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drawings/drawing1.xml" ContentType="application/vnd.openxmlformats-officedocument.drawing+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filterPrivacy="1" codeName="ThisWorkbook" defaultThemeVersion="124226"/>
  <xr:revisionPtr revIDLastSave="0" documentId="13_ncr:1_{C41DEF84-C9FC-47AC-95EC-8B0DD1A04E1F}" xr6:coauthVersionLast="37" xr6:coauthVersionMax="37" xr10:uidLastSave="{00000000-0000-0000-0000-000000000000}"/>
  <bookViews>
    <workbookView xWindow="0" yWindow="120" windowWidth="2280" windowHeight="5655" tabRatio="740" firstSheet="90" activeTab="91"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auru" sheetId="165" r:id="rId87"/>
    <sheet name="Nepal " sheetId="11" r:id="rId88"/>
    <sheet name="Nicaragua" sheetId="96" r:id="rId89"/>
    <sheet name="Niger" sheetId="20" r:id="rId90"/>
    <sheet name="Nigeria  " sheetId="15" r:id="rId91"/>
    <sheet name="Pakistan " sheetId="18" r:id="rId92"/>
    <sheet name="Palau" sheetId="141" r:id="rId93"/>
    <sheet name="Panama"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44" i="18" l="1"/>
  <c r="H44" i="18"/>
  <c r="I44" i="18"/>
  <c r="J44" i="18"/>
  <c r="K44" i="18"/>
  <c r="L44" i="18"/>
  <c r="M44" i="18"/>
  <c r="N44" i="18"/>
  <c r="O44" i="18"/>
  <c r="P44" i="18"/>
  <c r="Q44" i="18"/>
  <c r="R44" i="18"/>
  <c r="S44" i="18"/>
  <c r="T44" i="18"/>
  <c r="U44" i="18"/>
  <c r="V44" i="18"/>
  <c r="F44" i="18"/>
  <c r="E44" i="18"/>
  <c r="Q26" i="112"/>
  <c r="Q24" i="112" s="1"/>
  <c r="S26" i="112"/>
  <c r="R26" i="112"/>
  <c r="R25" i="112" s="1"/>
  <c r="S35" i="112"/>
  <c r="S25" i="112"/>
  <c r="E24" i="112"/>
  <c r="F24" i="112"/>
  <c r="G24" i="112"/>
  <c r="H24" i="112"/>
  <c r="I24" i="112"/>
  <c r="J24" i="112"/>
  <c r="K24" i="112"/>
  <c r="L24" i="112"/>
  <c r="M24" i="112"/>
  <c r="N24" i="112"/>
  <c r="O24" i="112"/>
  <c r="P24" i="112"/>
  <c r="R24" i="112"/>
  <c r="S24" i="112"/>
  <c r="T24" i="112"/>
  <c r="U24" i="112"/>
  <c r="V24" i="112"/>
  <c r="W24" i="112"/>
  <c r="D24" i="112"/>
  <c r="L25" i="112"/>
  <c r="M25" i="112"/>
  <c r="H7" i="99"/>
  <c r="H6" i="99"/>
  <c r="H15" i="99"/>
  <c r="L7" i="99"/>
  <c r="L6" i="99" s="1"/>
  <c r="L15" i="99"/>
  <c r="M76" i="97" l="1"/>
  <c r="O76" i="97"/>
  <c r="P76" i="97"/>
  <c r="M77" i="97"/>
  <c r="O77" i="97"/>
  <c r="P77" i="97"/>
  <c r="M64" i="97"/>
  <c r="M65" i="97"/>
  <c r="N101" i="97"/>
  <c r="O101" i="97"/>
  <c r="P101" i="97"/>
  <c r="Q101" i="97"/>
  <c r="M101" i="97"/>
  <c r="M68" i="97"/>
  <c r="M67" i="97"/>
  <c r="M66" i="97"/>
  <c r="N68" i="97"/>
  <c r="O68" i="97"/>
  <c r="P68" i="97"/>
  <c r="N67" i="97"/>
  <c r="O67" i="97"/>
  <c r="P67" i="97"/>
  <c r="N66" i="97"/>
  <c r="O66" i="97"/>
  <c r="P66" i="97"/>
  <c r="N64" i="97"/>
  <c r="O64" i="97"/>
  <c r="P64" i="97"/>
  <c r="N73" i="97"/>
  <c r="O73" i="97"/>
  <c r="P73" i="97"/>
  <c r="M73" i="97"/>
  <c r="N65" i="97"/>
  <c r="O65" i="97"/>
  <c r="P65" i="97"/>
  <c r="N82" i="97"/>
  <c r="O82" i="97"/>
  <c r="P82" i="97"/>
  <c r="M82" i="97"/>
  <c r="N83" i="97"/>
  <c r="O83" i="97"/>
  <c r="P83" i="97"/>
  <c r="M83" i="97"/>
  <c r="R24" i="90" l="1"/>
  <c r="P20" i="4"/>
  <c r="E20" i="4"/>
  <c r="R36" i="112"/>
  <c r="K23" i="45"/>
  <c r="H23" i="45"/>
  <c r="H24" i="45"/>
  <c r="S24" i="12"/>
  <c r="S23" i="12"/>
  <c r="L25" i="8"/>
  <c r="D29" i="84"/>
  <c r="V26" i="18"/>
  <c r="U26" i="18"/>
  <c r="S26" i="18"/>
  <c r="T26" i="18"/>
  <c r="N26" i="18"/>
  <c r="L26" i="18"/>
  <c r="K26" i="18"/>
  <c r="G26" i="18"/>
  <c r="E26" i="18"/>
  <c r="U18" i="20"/>
  <c r="T18" i="20"/>
  <c r="S18" i="20"/>
  <c r="T20" i="20"/>
  <c r="U20" i="20"/>
  <c r="S20" i="20"/>
  <c r="P20" i="20"/>
  <c r="D18" i="20"/>
  <c r="R23" i="104"/>
  <c r="E24" i="138"/>
  <c r="F24" i="138"/>
  <c r="G24" i="138"/>
  <c r="D24" i="138"/>
  <c r="W24" i="117"/>
  <c r="T23" i="117"/>
  <c r="T24" i="117"/>
  <c r="AA6" i="14"/>
  <c r="Z6" i="14"/>
  <c r="Y6" i="14"/>
  <c r="X6" i="14"/>
  <c r="W6" i="14"/>
  <c r="V6" i="14"/>
  <c r="U6" i="14"/>
  <c r="T6" i="14"/>
  <c r="S6" i="14"/>
  <c r="R6" i="14"/>
  <c r="Q6" i="14"/>
  <c r="P6" i="14"/>
  <c r="O6" i="14"/>
  <c r="N6" i="14"/>
  <c r="N8" i="14"/>
  <c r="O8" i="14"/>
  <c r="P8" i="14"/>
  <c r="Q8" i="14"/>
  <c r="R8" i="14"/>
  <c r="S8" i="14"/>
  <c r="T8" i="14"/>
  <c r="U8" i="14"/>
  <c r="V8" i="14"/>
  <c r="W8" i="14"/>
  <c r="X8" i="14"/>
  <c r="Y8" i="14"/>
  <c r="Z8" i="14"/>
  <c r="AA8" i="14"/>
  <c r="AA11" i="14"/>
  <c r="Z11" i="14"/>
  <c r="Y11" i="14"/>
  <c r="X11" i="14"/>
  <c r="W11" i="14"/>
  <c r="V11" i="14"/>
  <c r="U11" i="14"/>
  <c r="T11" i="14"/>
  <c r="S11" i="14"/>
  <c r="R11" i="14"/>
  <c r="Q11" i="14"/>
  <c r="P11" i="14"/>
  <c r="O11" i="14"/>
  <c r="N11" i="14"/>
  <c r="M11" i="14"/>
  <c r="T22" i="42"/>
  <c r="Z24" i="135"/>
  <c r="Y24" i="135"/>
  <c r="X24" i="135"/>
  <c r="W24" i="135"/>
  <c r="V24" i="135"/>
  <c r="U24" i="135"/>
  <c r="T24" i="135"/>
  <c r="S24" i="135"/>
  <c r="R24" i="135"/>
  <c r="Q24" i="135"/>
  <c r="P24" i="135"/>
  <c r="O24" i="135"/>
  <c r="N24" i="135"/>
  <c r="M24" i="135"/>
  <c r="L24" i="135"/>
  <c r="K24" i="135"/>
  <c r="Q27" i="93"/>
  <c r="H27" i="93"/>
  <c r="F19" i="77"/>
  <c r="N6" i="121"/>
  <c r="N7" i="121"/>
  <c r="D18" i="31"/>
  <c r="P31" i="159"/>
  <c r="J19" i="125"/>
  <c r="I19" i="125"/>
  <c r="G19" i="125"/>
  <c r="T19" i="125"/>
  <c r="Q19" i="125"/>
  <c r="P39" i="80"/>
  <c r="Q24" i="80"/>
  <c r="N24" i="80"/>
  <c r="M24" i="80"/>
  <c r="L24" i="80"/>
  <c r="J24" i="80"/>
  <c r="I24" i="80"/>
  <c r="W7" i="71"/>
  <c r="V7" i="71"/>
  <c r="U7" i="71"/>
  <c r="R7" i="71"/>
  <c r="AA6" i="35"/>
  <c r="AA17" i="35"/>
  <c r="I21" i="34"/>
  <c r="H21" i="34"/>
  <c r="G21" i="34"/>
  <c r="F21" i="34"/>
  <c r="D21" i="34"/>
  <c r="S23" i="106"/>
  <c r="Q23" i="106"/>
  <c r="P23" i="106"/>
  <c r="W27" i="66"/>
  <c r="V6" i="66"/>
  <c r="W6" i="66"/>
  <c r="X6" i="66"/>
  <c r="Y6" i="66"/>
  <c r="Z6" i="66"/>
  <c r="U6" i="66"/>
  <c r="V7" i="66"/>
  <c r="W7" i="66"/>
  <c r="X7" i="66"/>
  <c r="Y7" i="66"/>
  <c r="Z7" i="66"/>
  <c r="U7" i="66"/>
  <c r="V8" i="66"/>
  <c r="W8" i="66"/>
  <c r="X8" i="66"/>
  <c r="Y8" i="66"/>
  <c r="Z8" i="66"/>
  <c r="U8" i="66"/>
  <c r="Y15" i="66"/>
  <c r="Z15" i="66"/>
  <c r="V15" i="66"/>
  <c r="W15" i="66"/>
  <c r="X15" i="66"/>
  <c r="U15" i="66"/>
  <c r="V14" i="66"/>
  <c r="W14" i="66"/>
  <c r="X14" i="66"/>
  <c r="Y14" i="66"/>
  <c r="Z14" i="66"/>
  <c r="U14" i="66"/>
  <c r="X44" i="66"/>
  <c r="Y44" i="66"/>
  <c r="V45" i="66"/>
  <c r="V44" i="66" s="1"/>
  <c r="W45" i="66"/>
  <c r="W44" i="66" s="1"/>
  <c r="X45" i="66"/>
  <c r="Y45" i="66"/>
  <c r="Z45" i="66"/>
  <c r="Z44" i="66" s="1"/>
  <c r="U45" i="66"/>
  <c r="U44" i="66" s="1"/>
  <c r="S14" i="66"/>
  <c r="V27" i="66"/>
  <c r="S27" i="66"/>
  <c r="Y34" i="66"/>
  <c r="Z34" i="66"/>
  <c r="X34" i="66"/>
  <c r="S25" i="66"/>
  <c r="T25" i="66"/>
  <c r="U25" i="66"/>
  <c r="R25" i="66"/>
  <c r="V33" i="66"/>
  <c r="S7" i="149"/>
  <c r="S15" i="149"/>
  <c r="H22" i="60"/>
  <c r="M24" i="99"/>
  <c r="R24" i="99"/>
  <c r="Q24" i="99"/>
  <c r="P24" i="99"/>
  <c r="O24" i="99"/>
  <c r="N24" i="99"/>
  <c r="L24" i="99"/>
  <c r="K24" i="99"/>
  <c r="J24" i="99"/>
  <c r="I24" i="99"/>
  <c r="H24" i="99"/>
  <c r="G24" i="99"/>
  <c r="G26" i="25"/>
  <c r="H26" i="25"/>
  <c r="I26" i="25"/>
  <c r="J26" i="25"/>
  <c r="K26" i="25"/>
  <c r="L26" i="25"/>
  <c r="M26" i="25"/>
  <c r="N26" i="25"/>
  <c r="O26" i="25"/>
  <c r="P26" i="25"/>
  <c r="Q26" i="25"/>
  <c r="R26" i="25"/>
  <c r="S26" i="25"/>
  <c r="T26" i="25"/>
  <c r="U26" i="25"/>
  <c r="N19" i="62"/>
  <c r="R16" i="24"/>
  <c r="I16" i="24"/>
  <c r="G16" i="24"/>
  <c r="O16" i="24"/>
  <c r="J20" i="27"/>
  <c r="K20" i="27"/>
  <c r="I20" i="27"/>
  <c r="H20" i="27"/>
  <c r="K18" i="6"/>
  <c r="R21" i="26"/>
  <c r="S21" i="26"/>
  <c r="T21" i="26"/>
  <c r="U21" i="26"/>
  <c r="V21" i="26"/>
  <c r="Q21" i="26"/>
  <c r="N21" i="26"/>
  <c r="O21" i="26"/>
  <c r="P21" i="26"/>
  <c r="J21" i="26"/>
  <c r="K21" i="26"/>
  <c r="L21" i="26"/>
  <c r="M21" i="26"/>
  <c r="I21" i="26"/>
  <c r="Q18" i="6"/>
  <c r="H18" i="6"/>
  <c r="L23" i="131"/>
  <c r="Q15" i="23"/>
  <c r="R15" i="23"/>
  <c r="S15" i="23"/>
  <c r="T15" i="23"/>
  <c r="U15" i="23"/>
  <c r="V15" i="23"/>
  <c r="W15" i="23"/>
  <c r="O15" i="23"/>
  <c r="P15" i="23"/>
  <c r="N15" i="23"/>
  <c r="N29" i="127"/>
  <c r="H29" i="127"/>
  <c r="G29" i="127"/>
  <c r="F29" i="127"/>
  <c r="H30" i="127"/>
  <c r="G30" i="127"/>
  <c r="W29" i="127"/>
  <c r="X29" i="127"/>
  <c r="Y29" i="127"/>
  <c r="Z29" i="127"/>
  <c r="V29" i="127"/>
  <c r="G20" i="113"/>
  <c r="G19" i="113"/>
  <c r="E19" i="113"/>
  <c r="D19" i="113"/>
  <c r="D20" i="113"/>
  <c r="E20" i="113"/>
  <c r="M23" i="73"/>
  <c r="S52" i="42" l="1"/>
  <c r="R17" i="42" l="1"/>
  <c r="S17" i="42"/>
  <c r="T17" i="42"/>
  <c r="U17" i="42"/>
  <c r="V17" i="42"/>
  <c r="W17" i="42"/>
  <c r="X17" i="42"/>
  <c r="Y17" i="42"/>
  <c r="Z17" i="42"/>
  <c r="Q17" i="42"/>
  <c r="R2" i="42"/>
  <c r="Q2" i="42"/>
  <c r="Q52" i="42" l="1"/>
  <c r="R52" i="42"/>
  <c r="T52" i="42"/>
  <c r="U52" i="42"/>
  <c r="V52" i="42"/>
  <c r="W52" i="42"/>
  <c r="X52" i="42"/>
  <c r="Y52" i="42"/>
  <c r="Z52" i="42"/>
  <c r="Q78" i="42"/>
  <c r="M44" i="133" l="1"/>
  <c r="I39" i="10"/>
  <c r="H39" i="10"/>
  <c r="Q44" i="133"/>
  <c r="R44" i="133"/>
  <c r="S44" i="133"/>
  <c r="T44" i="133"/>
  <c r="U44" i="133"/>
  <c r="V44" i="133"/>
  <c r="W44" i="133"/>
  <c r="X44" i="133"/>
  <c r="Y44" i="133"/>
  <c r="Z44" i="133"/>
  <c r="P50" i="133"/>
  <c r="P44" i="133"/>
  <c r="Q46" i="133"/>
  <c r="R46" i="133"/>
  <c r="S46" i="133"/>
  <c r="T46" i="133"/>
  <c r="U46" i="133"/>
  <c r="V46" i="133"/>
  <c r="W46" i="133"/>
  <c r="X46" i="133"/>
  <c r="Y46" i="133"/>
  <c r="Z46" i="133"/>
  <c r="P46" i="133"/>
  <c r="Z50" i="133"/>
  <c r="Q50" i="133"/>
  <c r="R50" i="133"/>
  <c r="S50" i="133"/>
  <c r="T50" i="133"/>
  <c r="U50" i="133"/>
  <c r="V50" i="133"/>
  <c r="W50" i="133"/>
  <c r="X50" i="133"/>
  <c r="Y50" i="133"/>
  <c r="Q64" i="133"/>
  <c r="R64" i="133"/>
  <c r="S64" i="133"/>
  <c r="T64" i="133"/>
  <c r="U64" i="133"/>
  <c r="V64" i="133"/>
  <c r="W64" i="133"/>
  <c r="X64" i="133"/>
  <c r="Y64" i="133"/>
  <c r="Z64" i="133"/>
  <c r="P64" i="133"/>
  <c r="R20" i="92"/>
  <c r="S20" i="92"/>
  <c r="T20" i="92"/>
  <c r="U20" i="92"/>
  <c r="V20" i="92"/>
  <c r="Q20" i="92"/>
  <c r="U7" i="121"/>
  <c r="K16" i="86"/>
  <c r="I8" i="123"/>
  <c r="F6" i="123"/>
  <c r="F7" i="123"/>
  <c r="G28" i="123"/>
  <c r="H28" i="123"/>
  <c r="I28" i="123"/>
  <c r="J28" i="123"/>
  <c r="K28" i="123"/>
  <c r="L28" i="123"/>
  <c r="M28" i="123"/>
  <c r="N28" i="123"/>
  <c r="O28" i="123"/>
  <c r="F28" i="123"/>
  <c r="F20" i="103"/>
  <c r="E20" i="103"/>
  <c r="D20" i="103"/>
  <c r="Q6" i="58"/>
  <c r="Q8" i="58"/>
  <c r="H20" i="103"/>
  <c r="I20" i="103"/>
  <c r="J20" i="103"/>
  <c r="K20" i="103"/>
  <c r="L20" i="103"/>
  <c r="M20" i="103"/>
  <c r="G20" i="103"/>
  <c r="U65" i="14"/>
  <c r="U64" i="14"/>
  <c r="U62" i="14"/>
  <c r="U25" i="14"/>
  <c r="U30" i="14"/>
  <c r="S35" i="150"/>
  <c r="L24" i="111"/>
  <c r="O6" i="144"/>
  <c r="O7" i="144"/>
  <c r="R7" i="144"/>
  <c r="Q7" i="144"/>
  <c r="P7" i="144"/>
  <c r="P57" i="144"/>
  <c r="P14" i="144"/>
  <c r="Q14" i="144"/>
  <c r="R14" i="144"/>
  <c r="G34" i="128"/>
  <c r="U26" i="58"/>
  <c r="V26" i="58"/>
  <c r="W26" i="58"/>
  <c r="T26" i="58"/>
  <c r="T83" i="58"/>
  <c r="U82" i="58"/>
  <c r="V82" i="58"/>
  <c r="W82" i="58"/>
  <c r="T82" i="58"/>
  <c r="V52" i="58"/>
  <c r="W52" i="58"/>
  <c r="U52" i="58"/>
  <c r="T52" i="58"/>
  <c r="U58" i="58"/>
  <c r="V58" i="58"/>
  <c r="W58" i="58"/>
  <c r="T58" i="58"/>
  <c r="U53" i="58"/>
  <c r="V53" i="58"/>
  <c r="W53" i="58"/>
  <c r="T53" i="58"/>
  <c r="U23" i="58"/>
  <c r="V23" i="58"/>
  <c r="W23" i="58"/>
  <c r="T23" i="58"/>
  <c r="U25" i="58"/>
  <c r="V25" i="58"/>
  <c r="W25" i="58"/>
  <c r="T25" i="58"/>
  <c r="U30" i="58"/>
  <c r="V30" i="58"/>
  <c r="W30" i="58"/>
  <c r="T30" i="58"/>
  <c r="U6" i="58"/>
  <c r="V6" i="58"/>
  <c r="W6" i="58"/>
  <c r="T6" i="58"/>
  <c r="U7" i="58"/>
  <c r="V7" i="58"/>
  <c r="W7" i="58"/>
  <c r="T7" i="58"/>
  <c r="U8" i="58"/>
  <c r="V8" i="58"/>
  <c r="W8" i="58"/>
  <c r="T8" i="58"/>
  <c r="X19" i="58"/>
  <c r="K6" i="115"/>
  <c r="L6" i="115"/>
  <c r="M6" i="115"/>
  <c r="N6" i="115"/>
  <c r="O6" i="115"/>
  <c r="P6" i="115"/>
  <c r="Q6" i="115"/>
  <c r="R6" i="115"/>
  <c r="S6" i="115"/>
  <c r="T6" i="115"/>
  <c r="K7" i="115"/>
  <c r="L7" i="115"/>
  <c r="M7" i="115"/>
  <c r="N7" i="115"/>
  <c r="O7" i="115"/>
  <c r="P7" i="115"/>
  <c r="Q7" i="115"/>
  <c r="R7" i="115"/>
  <c r="S7" i="115"/>
  <c r="T7" i="115"/>
  <c r="O58" i="115"/>
  <c r="P58" i="115"/>
  <c r="O13" i="115"/>
  <c r="O61" i="115"/>
  <c r="N13" i="115"/>
  <c r="K26" i="115"/>
  <c r="L26" i="115"/>
  <c r="M26" i="115"/>
  <c r="N26" i="115"/>
  <c r="Q26" i="115"/>
  <c r="R26" i="115"/>
  <c r="S26" i="115"/>
  <c r="T26" i="115"/>
  <c r="P26" i="115"/>
  <c r="O26" i="115"/>
  <c r="O62" i="115"/>
  <c r="R12" i="151"/>
  <c r="S12" i="151"/>
  <c r="Q13" i="151"/>
  <c r="R13" i="151"/>
  <c r="S13" i="151"/>
  <c r="S40" i="151"/>
  <c r="U25" i="151"/>
  <c r="V25" i="151"/>
  <c r="T25" i="151"/>
  <c r="U26" i="151"/>
  <c r="V26" i="151"/>
  <c r="T26" i="151"/>
  <c r="U27" i="151"/>
  <c r="V27" i="151"/>
  <c r="T27" i="151"/>
  <c r="U12" i="151"/>
  <c r="V12" i="151"/>
  <c r="T12" i="151"/>
  <c r="U13" i="151"/>
  <c r="V13" i="151"/>
  <c r="T13" i="151"/>
  <c r="U6" i="151"/>
  <c r="V6" i="151"/>
  <c r="T6" i="151"/>
  <c r="U7" i="151"/>
  <c r="V7" i="151"/>
  <c r="T7" i="151"/>
  <c r="S34" i="144"/>
  <c r="T34" i="144"/>
  <c r="U34" i="144"/>
  <c r="V34" i="144"/>
  <c r="T39" i="144"/>
  <c r="U39" i="144"/>
  <c r="V39" i="144"/>
  <c r="S39" i="144"/>
  <c r="T35" i="144"/>
  <c r="U35" i="144"/>
  <c r="V35" i="144"/>
  <c r="S35" i="144"/>
  <c r="R18" i="144"/>
  <c r="R17" i="144"/>
  <c r="T21" i="144"/>
  <c r="T18" i="144"/>
  <c r="T17" i="144"/>
  <c r="U21" i="144"/>
  <c r="U18" i="144"/>
  <c r="U17" i="144"/>
  <c r="V21" i="144"/>
  <c r="V18" i="144"/>
  <c r="V17" i="144"/>
  <c r="S21" i="144"/>
  <c r="S18" i="144"/>
  <c r="S17" i="144"/>
  <c r="T6" i="144"/>
  <c r="U6" i="144"/>
  <c r="V6" i="144"/>
  <c r="S6" i="144"/>
  <c r="T7" i="144"/>
  <c r="U7" i="144"/>
  <c r="V7" i="144"/>
  <c r="S7" i="144"/>
  <c r="T16" i="144"/>
  <c r="U16" i="144"/>
  <c r="V16" i="144"/>
  <c r="S16" i="144"/>
  <c r="T9" i="144"/>
  <c r="U9" i="144"/>
  <c r="V9" i="144"/>
  <c r="S9" i="144"/>
  <c r="U71" i="111"/>
  <c r="U72" i="111"/>
  <c r="U73" i="111"/>
  <c r="U74" i="111"/>
  <c r="U75" i="111"/>
  <c r="U76" i="111"/>
  <c r="U77" i="111"/>
  <c r="U78" i="111"/>
  <c r="U79" i="111"/>
  <c r="U80" i="111"/>
  <c r="U81" i="111"/>
  <c r="U82" i="111"/>
  <c r="U83" i="111"/>
  <c r="U86" i="111"/>
  <c r="U87" i="111"/>
  <c r="U88" i="111"/>
  <c r="T58" i="111"/>
  <c r="U58" i="111"/>
  <c r="S58" i="111"/>
  <c r="T50" i="111"/>
  <c r="T49" i="111"/>
  <c r="U50" i="111"/>
  <c r="U49" i="111"/>
  <c r="T51" i="111"/>
  <c r="U51" i="111"/>
  <c r="S51" i="111"/>
  <c r="S50" i="111"/>
  <c r="S49" i="111"/>
  <c r="O37" i="111"/>
  <c r="P37" i="111"/>
  <c r="Q37" i="111"/>
  <c r="R37" i="111"/>
  <c r="S37" i="111"/>
  <c r="T37" i="111"/>
  <c r="K34" i="111"/>
  <c r="L34" i="111"/>
  <c r="M34" i="111"/>
  <c r="M25" i="111"/>
  <c r="N34" i="111"/>
  <c r="O34" i="111"/>
  <c r="P34" i="111"/>
  <c r="Q34" i="111"/>
  <c r="Q25" i="111"/>
  <c r="R34" i="111"/>
  <c r="S34" i="111"/>
  <c r="K29" i="111"/>
  <c r="L29" i="111"/>
  <c r="M29" i="111"/>
  <c r="N29" i="111"/>
  <c r="O29" i="111"/>
  <c r="P29" i="111"/>
  <c r="Q29" i="111"/>
  <c r="R29" i="111"/>
  <c r="K25" i="111"/>
  <c r="K24" i="111"/>
  <c r="L25" i="111"/>
  <c r="N25" i="111"/>
  <c r="O25" i="111"/>
  <c r="P25" i="111"/>
  <c r="P24" i="111"/>
  <c r="R25" i="111"/>
  <c r="T24" i="111"/>
  <c r="T25" i="111"/>
  <c r="U25" i="111"/>
  <c r="S25" i="111"/>
  <c r="U29" i="111"/>
  <c r="T29" i="111"/>
  <c r="S29" i="111"/>
  <c r="U37" i="111"/>
  <c r="U24" i="111"/>
  <c r="T34" i="111"/>
  <c r="U34" i="111"/>
  <c r="T6" i="111"/>
  <c r="U6" i="111"/>
  <c r="S6" i="111"/>
  <c r="T7" i="111"/>
  <c r="U7" i="111"/>
  <c r="T18" i="111"/>
  <c r="U18" i="111"/>
  <c r="S18" i="111"/>
  <c r="S7" i="111"/>
  <c r="T8" i="111"/>
  <c r="U8" i="111"/>
  <c r="S8" i="111"/>
  <c r="U18" i="150"/>
  <c r="T18" i="150"/>
  <c r="S18" i="150"/>
  <c r="R18" i="150"/>
  <c r="Q18" i="150"/>
  <c r="P18" i="150"/>
  <c r="O18" i="150"/>
  <c r="O19" i="150"/>
  <c r="P19" i="150"/>
  <c r="Q19" i="150"/>
  <c r="R19" i="150"/>
  <c r="S19" i="150"/>
  <c r="T19" i="150"/>
  <c r="U19" i="150"/>
  <c r="P9" i="150"/>
  <c r="Q9" i="150"/>
  <c r="R9" i="150"/>
  <c r="S9" i="150"/>
  <c r="T9" i="150"/>
  <c r="U9" i="150"/>
  <c r="V9" i="150"/>
  <c r="O9" i="150"/>
  <c r="O7" i="150"/>
  <c r="O56" i="150"/>
  <c r="P7" i="150"/>
  <c r="P6" i="150"/>
  <c r="Q7" i="150"/>
  <c r="Q6" i="150"/>
  <c r="R7" i="150"/>
  <c r="R6" i="150"/>
  <c r="S7" i="150"/>
  <c r="S6" i="150"/>
  <c r="T7" i="150"/>
  <c r="T6" i="150"/>
  <c r="U7" i="150"/>
  <c r="U6" i="150"/>
  <c r="T32" i="150"/>
  <c r="U32" i="150"/>
  <c r="V32" i="150"/>
  <c r="S32" i="150"/>
  <c r="T35" i="150"/>
  <c r="U35" i="150"/>
  <c r="V35" i="150"/>
  <c r="U34" i="150"/>
  <c r="V34" i="150"/>
  <c r="S34" i="150"/>
  <c r="T34" i="150"/>
  <c r="V19" i="150"/>
  <c r="V18" i="150"/>
  <c r="V7" i="150"/>
  <c r="V6" i="150"/>
  <c r="R32" i="150"/>
  <c r="T63" i="108"/>
  <c r="R64" i="108"/>
  <c r="S19" i="108"/>
  <c r="T19" i="108"/>
  <c r="U19" i="108"/>
  <c r="R19" i="108"/>
  <c r="S20" i="108"/>
  <c r="T20" i="108"/>
  <c r="U20" i="108"/>
  <c r="R20" i="108"/>
  <c r="S21" i="108"/>
  <c r="T21" i="108"/>
  <c r="U21" i="108"/>
  <c r="R21" i="108"/>
  <c r="T7" i="108"/>
  <c r="U7" i="108"/>
  <c r="R7" i="108"/>
  <c r="T6" i="108"/>
  <c r="U6" i="108"/>
  <c r="R6" i="108"/>
  <c r="U8" i="108"/>
  <c r="S8" i="108"/>
  <c r="S7" i="108"/>
  <c r="S6" i="108"/>
  <c r="R8" i="108"/>
  <c r="P20" i="108"/>
  <c r="Q20" i="108"/>
  <c r="O20" i="108"/>
  <c r="P43" i="108"/>
  <c r="Q43" i="108"/>
  <c r="R43" i="108"/>
  <c r="S43" i="108"/>
  <c r="T43" i="108"/>
  <c r="U43" i="108"/>
  <c r="O43" i="108"/>
  <c r="O30" i="108"/>
  <c r="D26" i="161"/>
  <c r="E26" i="161"/>
  <c r="F26" i="161"/>
  <c r="G26" i="161"/>
  <c r="D27" i="161"/>
  <c r="E27" i="161"/>
  <c r="F27" i="161"/>
  <c r="G27" i="161"/>
  <c r="D28" i="161"/>
  <c r="E28" i="161"/>
  <c r="F28" i="161"/>
  <c r="G28" i="161"/>
  <c r="D29" i="161"/>
  <c r="E29" i="161"/>
  <c r="F29" i="161"/>
  <c r="G29" i="161"/>
  <c r="D30" i="161"/>
  <c r="E30" i="161"/>
  <c r="F30" i="161"/>
  <c r="G30" i="161"/>
  <c r="D31" i="161"/>
  <c r="E31" i="161"/>
  <c r="F31" i="161"/>
  <c r="G31" i="161"/>
  <c r="D34" i="161"/>
  <c r="E34" i="161"/>
  <c r="F34" i="161"/>
  <c r="G34" i="161"/>
  <c r="G12" i="161"/>
  <c r="K12" i="161"/>
  <c r="K29" i="161"/>
  <c r="E13" i="161"/>
  <c r="E12" i="161"/>
  <c r="E19" i="161"/>
  <c r="F13" i="161"/>
  <c r="F12" i="161"/>
  <c r="G13" i="161"/>
  <c r="H13" i="161"/>
  <c r="H12" i="161"/>
  <c r="I13" i="161"/>
  <c r="I12" i="161"/>
  <c r="J13" i="161"/>
  <c r="J12" i="161"/>
  <c r="K13" i="161"/>
  <c r="L13" i="161"/>
  <c r="L12" i="161"/>
  <c r="D13" i="161"/>
  <c r="D12" i="161"/>
  <c r="D19" i="161"/>
  <c r="E6" i="161"/>
  <c r="I6" i="161"/>
  <c r="D6" i="161"/>
  <c r="E7" i="161"/>
  <c r="F7" i="161"/>
  <c r="F6" i="161"/>
  <c r="G7" i="161"/>
  <c r="G6" i="161"/>
  <c r="H7" i="161"/>
  <c r="H6" i="161"/>
  <c r="H26" i="161"/>
  <c r="I7" i="161"/>
  <c r="J7" i="161"/>
  <c r="J6" i="161"/>
  <c r="J26" i="161"/>
  <c r="K7" i="161"/>
  <c r="K6" i="161"/>
  <c r="K26" i="161"/>
  <c r="L7" i="161"/>
  <c r="L27" i="161"/>
  <c r="D7" i="161"/>
  <c r="L34" i="161"/>
  <c r="K34" i="161"/>
  <c r="J34" i="161"/>
  <c r="I34" i="161"/>
  <c r="H34" i="161"/>
  <c r="L30" i="161"/>
  <c r="K30" i="161"/>
  <c r="J30" i="161"/>
  <c r="I30" i="161"/>
  <c r="H30" i="161"/>
  <c r="J27" i="161"/>
  <c r="H27" i="161"/>
  <c r="L28" i="161"/>
  <c r="K28" i="161"/>
  <c r="J28" i="161"/>
  <c r="I27" i="161"/>
  <c r="H28" i="161"/>
  <c r="T8" i="128"/>
  <c r="U8" i="128"/>
  <c r="S8" i="128"/>
  <c r="T34" i="128"/>
  <c r="U34" i="128"/>
  <c r="S34" i="128"/>
  <c r="O24" i="111"/>
  <c r="S24" i="111"/>
  <c r="N24" i="111"/>
  <c r="R24" i="111"/>
  <c r="Q24" i="111"/>
  <c r="M24" i="111"/>
  <c r="F19" i="161"/>
  <c r="I19" i="161"/>
  <c r="I31" i="161"/>
  <c r="I29" i="161"/>
  <c r="L29" i="161"/>
  <c r="H29" i="161"/>
  <c r="H19" i="161"/>
  <c r="H31" i="161"/>
  <c r="J29" i="161"/>
  <c r="J19" i="161"/>
  <c r="J31" i="161"/>
  <c r="G19" i="161"/>
  <c r="L6" i="161"/>
  <c r="L26" i="161"/>
  <c r="K19" i="161"/>
  <c r="K31" i="161"/>
  <c r="K27" i="161"/>
  <c r="I26" i="161"/>
  <c r="I28" i="161"/>
  <c r="Q8" i="108"/>
  <c r="Q63" i="108"/>
  <c r="P30" i="108"/>
  <c r="Q30" i="108"/>
  <c r="O6" i="108"/>
  <c r="P6" i="108"/>
  <c r="O7" i="108"/>
  <c r="P7" i="108"/>
  <c r="S62" i="108"/>
  <c r="T62" i="108"/>
  <c r="U24" i="14"/>
  <c r="L19" i="161"/>
  <c r="L31" i="161"/>
  <c r="Q7" i="108"/>
  <c r="Q6" i="108"/>
  <c r="T68" i="108"/>
  <c r="V17" i="47"/>
  <c r="W17" i="47"/>
  <c r="M18" i="133"/>
  <c r="R6" i="74"/>
  <c r="O6" i="74"/>
  <c r="P6" i="74"/>
  <c r="Q6" i="74"/>
  <c r="N6" i="74"/>
  <c r="Q8" i="74"/>
  <c r="Q7" i="74"/>
  <c r="P8" i="74"/>
  <c r="P7" i="74"/>
  <c r="O8" i="74"/>
  <c r="O7" i="74"/>
  <c r="V58" i="92"/>
  <c r="V59" i="92"/>
  <c r="N59" i="92"/>
  <c r="O59" i="92"/>
  <c r="P59" i="92"/>
  <c r="Q59" i="92"/>
  <c r="R59" i="92"/>
  <c r="S59" i="92"/>
  <c r="T59" i="92"/>
  <c r="U59" i="92"/>
  <c r="M58" i="92"/>
  <c r="O13" i="51"/>
  <c r="O29" i="51"/>
  <c r="O6" i="51"/>
  <c r="O7" i="51"/>
  <c r="O8" i="51"/>
  <c r="U51" i="19"/>
  <c r="U52" i="19"/>
  <c r="U53" i="19"/>
  <c r="AA6" i="12"/>
  <c r="AA8" i="12"/>
  <c r="U30" i="16"/>
  <c r="U31" i="16"/>
  <c r="V21" i="47"/>
  <c r="L6" i="135"/>
  <c r="L8" i="135"/>
  <c r="K6" i="17"/>
  <c r="K26" i="17"/>
  <c r="L54" i="31"/>
  <c r="L55" i="31"/>
  <c r="O18" i="133"/>
  <c r="T6" i="43"/>
  <c r="T8" i="43"/>
  <c r="N7" i="74"/>
  <c r="N8" i="74"/>
  <c r="W83" i="73"/>
  <c r="V83" i="73"/>
  <c r="Q96" i="73"/>
  <c r="R96" i="73"/>
  <c r="V96" i="73"/>
  <c r="W96" i="73"/>
  <c r="X96" i="73"/>
  <c r="Y96" i="73"/>
  <c r="Z96" i="73"/>
  <c r="U96" i="73"/>
  <c r="T96" i="73"/>
  <c r="S96" i="73"/>
  <c r="S18" i="133"/>
  <c r="R18" i="133"/>
  <c r="Q18" i="133"/>
  <c r="P18" i="133"/>
  <c r="N18" i="133"/>
  <c r="I13" i="30"/>
  <c r="H13" i="30"/>
  <c r="V6" i="43"/>
  <c r="V62" i="43"/>
  <c r="U6" i="43"/>
  <c r="S6" i="43"/>
  <c r="W6" i="43"/>
  <c r="W8" i="43"/>
  <c r="N15" i="11"/>
  <c r="O15" i="11"/>
  <c r="P15" i="11"/>
  <c r="Q15" i="11"/>
  <c r="M15" i="11"/>
  <c r="W7" i="15"/>
  <c r="X7" i="15"/>
  <c r="V6" i="15"/>
  <c r="V7" i="15"/>
  <c r="U70" i="15"/>
  <c r="V70" i="15"/>
  <c r="T70" i="15"/>
  <c r="T112" i="15"/>
  <c r="V28" i="15"/>
  <c r="W28" i="15"/>
  <c r="X28" i="15"/>
  <c r="Y28" i="15"/>
  <c r="Z28" i="15"/>
  <c r="AA28" i="15"/>
  <c r="U28" i="15"/>
  <c r="T28" i="15"/>
  <c r="T31" i="15"/>
  <c r="U31" i="15"/>
  <c r="V31" i="15"/>
  <c r="X31" i="15"/>
  <c r="Y31" i="15"/>
  <c r="Z31" i="15"/>
  <c r="AA31" i="15"/>
  <c r="W31" i="15"/>
  <c r="N54" i="15"/>
  <c r="O54" i="15"/>
  <c r="P54" i="15"/>
  <c r="U6" i="142"/>
  <c r="U7" i="142"/>
  <c r="U9" i="142"/>
  <c r="J25" i="142"/>
  <c r="K25" i="142"/>
  <c r="L25" i="142"/>
  <c r="M25" i="142"/>
  <c r="N25" i="142"/>
  <c r="O25" i="142"/>
  <c r="P25" i="142"/>
  <c r="Q25" i="142"/>
  <c r="R25" i="142"/>
  <c r="S25" i="142"/>
  <c r="T25" i="142"/>
  <c r="U25" i="142"/>
  <c r="V25" i="142"/>
  <c r="W25" i="142"/>
  <c r="X25" i="142"/>
  <c r="Y25" i="142"/>
  <c r="Z25" i="142"/>
  <c r="I25" i="142"/>
  <c r="N39" i="81"/>
  <c r="U62" i="81"/>
  <c r="T15" i="136"/>
  <c r="U15" i="136"/>
  <c r="V15" i="136"/>
  <c r="W15" i="136"/>
  <c r="X15" i="136"/>
  <c r="Y15" i="136"/>
  <c r="Z15" i="136"/>
  <c r="AA15" i="136"/>
  <c r="S15" i="136"/>
  <c r="H15" i="11"/>
  <c r="I15" i="11"/>
  <c r="J15" i="11"/>
  <c r="K15" i="11"/>
  <c r="L15" i="11"/>
  <c r="G15" i="11"/>
  <c r="P58" i="8"/>
  <c r="X55" i="8"/>
  <c r="X56" i="8"/>
  <c r="R16" i="8"/>
  <c r="S16" i="8"/>
  <c r="T16" i="8"/>
  <c r="U16" i="8"/>
  <c r="V16" i="8"/>
  <c r="W16" i="8"/>
  <c r="X16" i="8"/>
  <c r="Q16" i="8"/>
  <c r="I21" i="47"/>
  <c r="J21" i="47"/>
  <c r="K21" i="47"/>
  <c r="H21" i="47"/>
  <c r="E21" i="47"/>
  <c r="F21" i="47"/>
  <c r="G21" i="47"/>
  <c r="D21" i="47"/>
  <c r="W30" i="16"/>
  <c r="X30" i="16"/>
  <c r="Y30" i="16"/>
  <c r="Z30" i="16"/>
  <c r="V30" i="16"/>
  <c r="W31" i="16"/>
  <c r="X31" i="16"/>
  <c r="Y31" i="16"/>
  <c r="Z31" i="16"/>
  <c r="V31" i="16"/>
  <c r="W37" i="16"/>
  <c r="X37" i="16"/>
  <c r="Y37" i="16"/>
  <c r="Z37" i="16"/>
  <c r="V37" i="16"/>
  <c r="Q47" i="46"/>
  <c r="P47" i="46"/>
  <c r="M47" i="46"/>
  <c r="N47" i="46"/>
  <c r="O47" i="46"/>
  <c r="L95" i="46"/>
  <c r="L47" i="46"/>
  <c r="R28" i="46"/>
  <c r="L23" i="46"/>
  <c r="M23" i="46"/>
  <c r="N23" i="46"/>
  <c r="O23" i="46"/>
  <c r="P23" i="46"/>
  <c r="S40" i="12"/>
  <c r="Q6" i="49"/>
  <c r="V22" i="49"/>
  <c r="U22" i="49"/>
  <c r="T22" i="49"/>
  <c r="S22" i="49"/>
  <c r="R22" i="49"/>
  <c r="X40" i="146"/>
  <c r="Y40" i="146"/>
  <c r="Z40" i="146"/>
  <c r="W40" i="146"/>
  <c r="W64" i="146"/>
  <c r="R6" i="87"/>
  <c r="R8" i="87"/>
  <c r="O6" i="87"/>
  <c r="O8" i="87"/>
  <c r="E22" i="87"/>
  <c r="F22" i="87"/>
  <c r="G22" i="87"/>
  <c r="H22" i="87"/>
  <c r="I22" i="87"/>
  <c r="J22" i="87"/>
  <c r="K22" i="87"/>
  <c r="L22" i="87"/>
  <c r="D22" i="87"/>
  <c r="K13" i="30"/>
  <c r="L13" i="30"/>
  <c r="J13" i="30"/>
  <c r="E8" i="30"/>
  <c r="F8" i="30"/>
  <c r="G8" i="30"/>
  <c r="D8" i="30"/>
  <c r="S23" i="51"/>
  <c r="O62" i="51"/>
  <c r="P13" i="51"/>
  <c r="Q13" i="51"/>
  <c r="O77" i="51"/>
  <c r="P16" i="51"/>
  <c r="Q16" i="51"/>
  <c r="O16" i="51"/>
  <c r="P17" i="51"/>
  <c r="Q17" i="51"/>
  <c r="O17" i="51"/>
  <c r="T6" i="50"/>
  <c r="T8" i="50"/>
  <c r="T53" i="50"/>
  <c r="L6" i="50"/>
  <c r="L51" i="50"/>
  <c r="L14" i="50"/>
  <c r="L54" i="50"/>
  <c r="L21" i="50"/>
  <c r="L56" i="50"/>
  <c r="K6" i="50"/>
  <c r="J6" i="50"/>
  <c r="J51" i="50"/>
  <c r="Q6" i="50"/>
  <c r="S6" i="50"/>
  <c r="S8" i="50"/>
  <c r="Q15" i="50"/>
  <c r="W14" i="50"/>
  <c r="X14" i="50"/>
  <c r="V14" i="50"/>
  <c r="W8" i="112"/>
  <c r="O26" i="112"/>
  <c r="O29" i="112"/>
  <c r="O25" i="81"/>
  <c r="P25" i="81"/>
  <c r="P45" i="101"/>
  <c r="P26" i="101"/>
  <c r="P25" i="101"/>
  <c r="P7" i="101"/>
  <c r="P6" i="101"/>
  <c r="N45" i="101"/>
  <c r="O45" i="101"/>
  <c r="M45" i="101"/>
  <c r="N25" i="101"/>
  <c r="O25" i="101"/>
  <c r="M25" i="101"/>
  <c r="N26" i="101"/>
  <c r="O26" i="101"/>
  <c r="M26" i="101"/>
  <c r="N6" i="101"/>
  <c r="O6" i="101"/>
  <c r="M6" i="101"/>
  <c r="N7" i="101"/>
  <c r="O7" i="101"/>
  <c r="M7" i="101"/>
  <c r="S6" i="74"/>
  <c r="T6" i="74"/>
  <c r="U6" i="74"/>
  <c r="V6" i="74"/>
  <c r="W6" i="74"/>
  <c r="X6" i="74"/>
  <c r="Y6" i="74"/>
  <c r="Z6" i="74"/>
  <c r="U7" i="74"/>
  <c r="V7" i="74"/>
  <c r="W7" i="74"/>
  <c r="X7" i="74"/>
  <c r="Y7" i="74"/>
  <c r="Z7" i="74"/>
  <c r="S7" i="74"/>
  <c r="T7" i="74"/>
  <c r="R7" i="74"/>
  <c r="Z20" i="74"/>
  <c r="Y20" i="74"/>
  <c r="X20" i="74"/>
  <c r="W20" i="74"/>
  <c r="V20" i="74"/>
  <c r="U20" i="74"/>
  <c r="T20" i="74"/>
  <c r="S20" i="74"/>
  <c r="R20" i="74"/>
  <c r="T7" i="4"/>
  <c r="T8" i="4"/>
  <c r="G34" i="90"/>
  <c r="E12" i="162"/>
  <c r="F12" i="162"/>
  <c r="E7" i="162"/>
  <c r="E6" i="162"/>
  <c r="E48" i="162"/>
  <c r="F35" i="162"/>
  <c r="F48" i="162"/>
  <c r="G48" i="162"/>
  <c r="H48" i="162"/>
  <c r="I48" i="162"/>
  <c r="D48" i="162"/>
  <c r="F7" i="162"/>
  <c r="G7" i="162"/>
  <c r="H7" i="162"/>
  <c r="I7" i="162"/>
  <c r="D7" i="162"/>
  <c r="R56" i="141"/>
  <c r="R53" i="141"/>
  <c r="E6" i="14"/>
  <c r="E8" i="14"/>
  <c r="W15" i="43"/>
  <c r="V15" i="43"/>
  <c r="U15" i="43"/>
  <c r="T15" i="43"/>
  <c r="S15" i="43"/>
  <c r="R15" i="43"/>
  <c r="Q15" i="43"/>
  <c r="K31" i="17"/>
  <c r="J31" i="17"/>
  <c r="S26" i="17"/>
  <c r="S6" i="17"/>
  <c r="T6" i="17"/>
  <c r="U6" i="17"/>
  <c r="V6" i="17"/>
  <c r="W6" i="17"/>
  <c r="X6" i="17"/>
  <c r="Y6" i="17"/>
  <c r="Z6" i="17"/>
  <c r="AA6" i="17"/>
  <c r="Q6" i="17"/>
  <c r="R6" i="17"/>
  <c r="AA13" i="17"/>
  <c r="P14" i="75"/>
  <c r="Q14" i="75"/>
  <c r="R14" i="75"/>
  <c r="Q17" i="75"/>
  <c r="P17" i="75"/>
  <c r="Q8" i="75"/>
  <c r="P8" i="75"/>
  <c r="M22" i="139"/>
  <c r="M24" i="139"/>
  <c r="L32" i="145"/>
  <c r="L33" i="145"/>
  <c r="H15" i="145"/>
  <c r="G15" i="145"/>
  <c r="U25" i="35"/>
  <c r="Z6" i="69"/>
  <c r="Z7" i="69"/>
  <c r="L19" i="140"/>
  <c r="L20" i="140"/>
  <c r="M7" i="140"/>
  <c r="M6" i="140"/>
  <c r="S53" i="106"/>
  <c r="T53" i="106"/>
  <c r="R53" i="106"/>
  <c r="Q24" i="105"/>
  <c r="V20" i="133"/>
  <c r="W20" i="133"/>
  <c r="X20" i="133"/>
  <c r="Y20" i="133"/>
  <c r="Z20" i="133"/>
  <c r="S20" i="133"/>
  <c r="T20" i="133"/>
  <c r="U20" i="133"/>
  <c r="N20" i="133"/>
  <c r="O20" i="133"/>
  <c r="P20" i="133"/>
  <c r="Q20" i="133"/>
  <c r="R20" i="133"/>
  <c r="M20" i="133"/>
  <c r="W6" i="63"/>
  <c r="S43" i="63"/>
  <c r="T43" i="63"/>
  <c r="U43" i="63"/>
  <c r="V43" i="63"/>
  <c r="W43" i="63"/>
  <c r="X43" i="63"/>
  <c r="Y43" i="63"/>
  <c r="Z43" i="63"/>
  <c r="AA43" i="63"/>
  <c r="R43" i="63"/>
  <c r="J51" i="62"/>
  <c r="J55" i="62"/>
  <c r="T6" i="24"/>
  <c r="R6" i="24"/>
  <c r="N18" i="23"/>
  <c r="L7" i="23"/>
  <c r="K7" i="23"/>
  <c r="N48" i="23"/>
  <c r="O48" i="23"/>
  <c r="P48" i="23"/>
  <c r="Q48" i="23"/>
  <c r="R48" i="23"/>
  <c r="S48" i="23"/>
  <c r="T48" i="23"/>
  <c r="U48" i="23"/>
  <c r="V48" i="23"/>
  <c r="W48" i="23"/>
  <c r="M48" i="23"/>
  <c r="N52" i="27"/>
  <c r="O52" i="27"/>
  <c r="M52" i="27"/>
  <c r="E115" i="12"/>
  <c r="Q65" i="116"/>
  <c r="R27" i="116"/>
  <c r="S27" i="116"/>
  <c r="T27" i="116"/>
  <c r="U27" i="116"/>
  <c r="V27" i="116"/>
  <c r="Q27" i="116"/>
  <c r="R45" i="116"/>
  <c r="S45" i="116"/>
  <c r="T45" i="116"/>
  <c r="U45" i="116"/>
  <c r="V45" i="116"/>
  <c r="Q45" i="116"/>
  <c r="R38" i="116"/>
  <c r="S38" i="116"/>
  <c r="T38" i="116"/>
  <c r="U38" i="116"/>
  <c r="V38" i="116"/>
  <c r="Q38" i="116"/>
  <c r="R17" i="116"/>
  <c r="S17" i="116"/>
  <c r="T17" i="116"/>
  <c r="U17" i="116"/>
  <c r="V17" i="116"/>
  <c r="Q17" i="116"/>
  <c r="R18" i="116"/>
  <c r="S18" i="116"/>
  <c r="T18" i="116"/>
  <c r="U18" i="116"/>
  <c r="V18" i="116"/>
  <c r="Q18" i="116"/>
  <c r="D6" i="116"/>
  <c r="E6" i="116"/>
  <c r="F6" i="116"/>
  <c r="G6" i="116"/>
  <c r="H6" i="116"/>
  <c r="I6" i="116"/>
  <c r="J6" i="116"/>
  <c r="K6" i="116"/>
  <c r="L6" i="116"/>
  <c r="M6" i="116"/>
  <c r="N6" i="116"/>
  <c r="O6" i="116"/>
  <c r="P6" i="116"/>
  <c r="R6" i="116"/>
  <c r="S6" i="116"/>
  <c r="T6" i="116"/>
  <c r="U6" i="116"/>
  <c r="V6" i="116"/>
  <c r="Q6" i="116"/>
  <c r="D7" i="116"/>
  <c r="E7" i="116"/>
  <c r="F7" i="116"/>
  <c r="G7" i="116"/>
  <c r="H7" i="116"/>
  <c r="I7" i="116"/>
  <c r="J7" i="116"/>
  <c r="K7" i="116"/>
  <c r="L7" i="116"/>
  <c r="M7" i="116"/>
  <c r="N7" i="116"/>
  <c r="O7" i="116"/>
  <c r="P7" i="116"/>
  <c r="R7" i="116"/>
  <c r="S7" i="116"/>
  <c r="T7" i="116"/>
  <c r="U7" i="116"/>
  <c r="V7" i="116"/>
  <c r="Q7" i="116"/>
  <c r="R8" i="116"/>
  <c r="S8" i="116"/>
  <c r="T8" i="116"/>
  <c r="U8" i="116"/>
  <c r="V8" i="116"/>
  <c r="Q8" i="116"/>
  <c r="R15" i="116"/>
  <c r="S15" i="116"/>
  <c r="T15" i="116"/>
  <c r="U15" i="116"/>
  <c r="V15" i="116"/>
  <c r="Q15" i="116"/>
  <c r="R11" i="116"/>
  <c r="S11" i="116"/>
  <c r="T11" i="116"/>
  <c r="U11" i="116"/>
  <c r="V11" i="116"/>
  <c r="Q11" i="116"/>
  <c r="S32" i="145"/>
  <c r="T32" i="145"/>
  <c r="U32" i="145"/>
  <c r="V32" i="145"/>
  <c r="R32" i="145"/>
  <c r="S16" i="145"/>
  <c r="S15" i="145"/>
  <c r="T16" i="145"/>
  <c r="T15" i="145"/>
  <c r="U16" i="145"/>
  <c r="U15" i="145"/>
  <c r="V16" i="145"/>
  <c r="V15" i="145"/>
  <c r="R16" i="145"/>
  <c r="R15" i="145"/>
  <c r="S7" i="145"/>
  <c r="S6" i="145"/>
  <c r="T7" i="145"/>
  <c r="T6" i="145"/>
  <c r="U7" i="145"/>
  <c r="U6" i="145"/>
  <c r="V7" i="145"/>
  <c r="V6" i="145"/>
  <c r="R7" i="145"/>
  <c r="R6" i="145"/>
  <c r="T31" i="152"/>
  <c r="U31" i="152"/>
  <c r="V31" i="152"/>
  <c r="W31" i="152"/>
  <c r="X31" i="152"/>
  <c r="S31" i="152"/>
  <c r="T21" i="152"/>
  <c r="U21" i="152"/>
  <c r="V21" i="152"/>
  <c r="W21" i="152"/>
  <c r="X21" i="152"/>
  <c r="S21" i="152"/>
  <c r="T22" i="152"/>
  <c r="U22" i="152"/>
  <c r="V22" i="152"/>
  <c r="W22" i="152"/>
  <c r="X22" i="152"/>
  <c r="S22" i="152"/>
  <c r="T6" i="152"/>
  <c r="U6" i="152"/>
  <c r="V6" i="152"/>
  <c r="W6" i="152"/>
  <c r="X6" i="152"/>
  <c r="S6" i="152"/>
  <c r="T7" i="152"/>
  <c r="U7" i="152"/>
  <c r="V7" i="152"/>
  <c r="W7" i="152"/>
  <c r="X7" i="152"/>
  <c r="S7" i="152"/>
  <c r="T10" i="152"/>
  <c r="U10" i="152"/>
  <c r="V10" i="152"/>
  <c r="W10" i="152"/>
  <c r="X10" i="152"/>
  <c r="S10" i="152"/>
  <c r="R83" i="73"/>
  <c r="R149" i="73"/>
  <c r="S83" i="73"/>
  <c r="T83" i="73"/>
  <c r="U83" i="73"/>
  <c r="X83" i="73"/>
  <c r="X149" i="73"/>
  <c r="Y83" i="73"/>
  <c r="Z83" i="73"/>
  <c r="Q83" i="73"/>
  <c r="G8" i="123"/>
  <c r="H8" i="123"/>
  <c r="J8" i="123"/>
  <c r="K8" i="123"/>
  <c r="L8" i="123"/>
  <c r="M8" i="123"/>
  <c r="N8" i="123"/>
  <c r="O8" i="123"/>
  <c r="F8" i="123"/>
  <c r="G7" i="123"/>
  <c r="G6" i="123"/>
  <c r="H7" i="123"/>
  <c r="H6" i="123"/>
  <c r="I7" i="123"/>
  <c r="I6" i="123"/>
  <c r="J7" i="123"/>
  <c r="J6" i="123"/>
  <c r="K7" i="123"/>
  <c r="K6" i="123"/>
  <c r="L7" i="123"/>
  <c r="L6" i="123"/>
  <c r="M7" i="123"/>
  <c r="M6" i="123"/>
  <c r="N7" i="123"/>
  <c r="N6" i="123"/>
  <c r="O7" i="123"/>
  <c r="O6" i="123"/>
  <c r="G19" i="123"/>
  <c r="G18" i="123"/>
  <c r="H19" i="123"/>
  <c r="H18" i="123"/>
  <c r="I19" i="123"/>
  <c r="I18" i="123"/>
  <c r="J19" i="123"/>
  <c r="J18" i="123"/>
  <c r="K19" i="123"/>
  <c r="K18" i="123"/>
  <c r="L19" i="123"/>
  <c r="L18" i="123"/>
  <c r="M19" i="123"/>
  <c r="M18" i="123"/>
  <c r="N19" i="123"/>
  <c r="N18" i="123"/>
  <c r="O19" i="123"/>
  <c r="O18" i="123"/>
  <c r="F19" i="123"/>
  <c r="F18" i="123"/>
  <c r="O50" i="123"/>
  <c r="L50" i="123"/>
  <c r="Q24" i="89"/>
  <c r="Q25" i="89"/>
  <c r="Q67" i="89"/>
  <c r="R68" i="89"/>
  <c r="S68" i="89"/>
  <c r="T68" i="89"/>
  <c r="U68" i="89"/>
  <c r="V68" i="89"/>
  <c r="W68" i="89"/>
  <c r="Q69" i="89"/>
  <c r="Q68" i="89"/>
  <c r="R46" i="89"/>
  <c r="S46" i="89"/>
  <c r="T46" i="89"/>
  <c r="U46" i="89"/>
  <c r="V46" i="89"/>
  <c r="W46" i="89"/>
  <c r="Q46" i="89"/>
  <c r="O16" i="89"/>
  <c r="O65" i="89"/>
  <c r="J8" i="89"/>
  <c r="K7" i="89"/>
  <c r="K6" i="89"/>
  <c r="Q7" i="89"/>
  <c r="Q6" i="89"/>
  <c r="R7" i="89"/>
  <c r="R6" i="89"/>
  <c r="S7" i="89"/>
  <c r="S6" i="89"/>
  <c r="T7" i="89"/>
  <c r="T6" i="89"/>
  <c r="U7" i="89"/>
  <c r="U6" i="89"/>
  <c r="V7" i="89"/>
  <c r="V6" i="89"/>
  <c r="W7" i="89"/>
  <c r="W6" i="89"/>
  <c r="J7" i="89"/>
  <c r="J6" i="89"/>
  <c r="T17" i="147"/>
  <c r="X72" i="101"/>
  <c r="X73" i="101"/>
  <c r="R25" i="101"/>
  <c r="S25" i="101"/>
  <c r="T25" i="101"/>
  <c r="U25" i="101"/>
  <c r="V25" i="101"/>
  <c r="W25" i="101"/>
  <c r="X25" i="101"/>
  <c r="Q25" i="101"/>
  <c r="R45" i="101"/>
  <c r="S45" i="101"/>
  <c r="T45" i="101"/>
  <c r="U45" i="101"/>
  <c r="V45" i="101"/>
  <c r="W45" i="101"/>
  <c r="X45" i="101"/>
  <c r="Q45" i="101"/>
  <c r="R6" i="101"/>
  <c r="S6" i="101"/>
  <c r="T6" i="101"/>
  <c r="U6" i="101"/>
  <c r="V6" i="101"/>
  <c r="W6" i="101"/>
  <c r="X6" i="101"/>
  <c r="Q6" i="101"/>
  <c r="X61" i="101"/>
  <c r="X62" i="101"/>
  <c r="X63" i="101"/>
  <c r="X64" i="101"/>
  <c r="X65" i="101"/>
  <c r="X66" i="101"/>
  <c r="X67" i="101"/>
  <c r="X68" i="101"/>
  <c r="T29" i="44"/>
  <c r="U29" i="44"/>
  <c r="V29" i="44"/>
  <c r="W29" i="44"/>
  <c r="X29" i="44"/>
  <c r="Y29" i="44"/>
  <c r="Z29" i="44"/>
  <c r="S29" i="44"/>
  <c r="T17" i="44"/>
  <c r="U17" i="44"/>
  <c r="V17" i="44"/>
  <c r="W17" i="44"/>
  <c r="X17" i="44"/>
  <c r="Y17" i="44"/>
  <c r="Z17" i="44"/>
  <c r="S17" i="44"/>
  <c r="T7" i="44"/>
  <c r="T6" i="44"/>
  <c r="U7" i="44"/>
  <c r="U6" i="44"/>
  <c r="V7" i="44"/>
  <c r="V6" i="44"/>
  <c r="W7" i="44"/>
  <c r="W6" i="44"/>
  <c r="X7" i="44"/>
  <c r="X6" i="44"/>
  <c r="Y7" i="44"/>
  <c r="Y6" i="44"/>
  <c r="Z7" i="44"/>
  <c r="Z6" i="44"/>
  <c r="S7" i="44"/>
  <c r="S6" i="44"/>
  <c r="R24" i="44"/>
  <c r="Q24" i="44"/>
  <c r="P14" i="114"/>
  <c r="R14" i="114"/>
  <c r="S14" i="114"/>
  <c r="T14" i="114"/>
  <c r="U14" i="114"/>
  <c r="V14" i="114"/>
  <c r="W14" i="114"/>
  <c r="X14" i="114"/>
  <c r="Y14" i="114"/>
  <c r="Z14" i="114"/>
  <c r="Q14" i="114"/>
  <c r="R15" i="114"/>
  <c r="S15" i="114"/>
  <c r="T15" i="114"/>
  <c r="U15" i="114"/>
  <c r="V15" i="114"/>
  <c r="W15" i="114"/>
  <c r="X15" i="114"/>
  <c r="Y15" i="114"/>
  <c r="Z15" i="114"/>
  <c r="Q15" i="114"/>
  <c r="P33" i="114"/>
  <c r="F28" i="85"/>
  <c r="F30" i="85"/>
  <c r="F26" i="85"/>
  <c r="G28" i="85"/>
  <c r="G30" i="85"/>
  <c r="G26" i="85"/>
  <c r="H28" i="85"/>
  <c r="H30" i="85"/>
  <c r="H26" i="85"/>
  <c r="I28" i="85"/>
  <c r="I30" i="85"/>
  <c r="I26" i="85"/>
  <c r="J28" i="85"/>
  <c r="J30" i="85"/>
  <c r="J26" i="85"/>
  <c r="K28" i="85"/>
  <c r="K30" i="85"/>
  <c r="K26" i="85"/>
  <c r="L28" i="85"/>
  <c r="L30" i="85"/>
  <c r="L26" i="85"/>
  <c r="M28" i="85"/>
  <c r="M30" i="85"/>
  <c r="M26" i="85"/>
  <c r="E28" i="85"/>
  <c r="E30" i="85"/>
  <c r="E26" i="85"/>
  <c r="F17" i="85"/>
  <c r="F16" i="85"/>
  <c r="G17" i="85"/>
  <c r="G16" i="85"/>
  <c r="H17" i="85"/>
  <c r="H16" i="85"/>
  <c r="I17" i="85"/>
  <c r="I16" i="85"/>
  <c r="J17" i="85"/>
  <c r="J16" i="85"/>
  <c r="K17" i="85"/>
  <c r="K16" i="85"/>
  <c r="L17" i="85"/>
  <c r="L16" i="85"/>
  <c r="M17" i="85"/>
  <c r="M16" i="85"/>
  <c r="E17" i="85"/>
  <c r="E16" i="85"/>
  <c r="F10" i="85"/>
  <c r="F7" i="85"/>
  <c r="F6" i="85"/>
  <c r="G10" i="85"/>
  <c r="G7" i="85"/>
  <c r="G6" i="85"/>
  <c r="H10" i="85"/>
  <c r="H7" i="85"/>
  <c r="H6" i="85"/>
  <c r="I10" i="85"/>
  <c r="I7" i="85"/>
  <c r="I6" i="85"/>
  <c r="J10" i="85"/>
  <c r="J7" i="85"/>
  <c r="J6" i="85"/>
  <c r="K10" i="85"/>
  <c r="K7" i="85"/>
  <c r="K6" i="85"/>
  <c r="L10" i="85"/>
  <c r="L7" i="85"/>
  <c r="L6" i="85"/>
  <c r="M10" i="85"/>
  <c r="M7" i="85"/>
  <c r="M6" i="85"/>
  <c r="E10" i="85"/>
  <c r="E7" i="85"/>
  <c r="E6" i="85"/>
  <c r="E12" i="165"/>
  <c r="F12" i="165"/>
  <c r="G12" i="165"/>
  <c r="H12" i="165"/>
  <c r="I12" i="165"/>
  <c r="J12" i="165"/>
  <c r="K12" i="165"/>
  <c r="D12" i="165"/>
  <c r="E7" i="165"/>
  <c r="E6" i="165"/>
  <c r="F32" i="165"/>
  <c r="E13" i="165"/>
  <c r="F7" i="165"/>
  <c r="F13" i="165"/>
  <c r="G7" i="165"/>
  <c r="H33" i="165"/>
  <c r="G13" i="165"/>
  <c r="H7" i="165"/>
  <c r="H13" i="165"/>
  <c r="H6" i="165"/>
  <c r="I32" i="165"/>
  <c r="I7" i="165"/>
  <c r="J33" i="165"/>
  <c r="I13" i="165"/>
  <c r="J7" i="165"/>
  <c r="J13" i="165"/>
  <c r="K7" i="165"/>
  <c r="K13" i="165"/>
  <c r="D7" i="165"/>
  <c r="D6" i="165"/>
  <c r="E32" i="165"/>
  <c r="D13" i="165"/>
  <c r="K18" i="165"/>
  <c r="K17" i="165"/>
  <c r="E18" i="165"/>
  <c r="E17" i="165"/>
  <c r="F35" i="165"/>
  <c r="F18" i="165"/>
  <c r="F17" i="165"/>
  <c r="G35" i="165"/>
  <c r="G18" i="165"/>
  <c r="G17" i="165"/>
  <c r="H35" i="165"/>
  <c r="H18" i="165"/>
  <c r="H17" i="165"/>
  <c r="I35" i="165"/>
  <c r="I18" i="165"/>
  <c r="I17" i="165"/>
  <c r="J35" i="165"/>
  <c r="J18" i="165"/>
  <c r="J17" i="165"/>
  <c r="K35" i="165"/>
  <c r="D18" i="165"/>
  <c r="D17" i="165"/>
  <c r="E35" i="165"/>
  <c r="E25" i="165"/>
  <c r="F25" i="165"/>
  <c r="G25" i="165"/>
  <c r="H37" i="165"/>
  <c r="H25" i="165"/>
  <c r="I37" i="165"/>
  <c r="I25" i="165"/>
  <c r="J37" i="165"/>
  <c r="J25" i="165"/>
  <c r="K25" i="165"/>
  <c r="D25" i="165"/>
  <c r="E37" i="165"/>
  <c r="D32" i="165"/>
  <c r="D33" i="165"/>
  <c r="E33" i="165"/>
  <c r="F33" i="165"/>
  <c r="G33" i="165"/>
  <c r="D34" i="165"/>
  <c r="E34" i="165"/>
  <c r="F34" i="165"/>
  <c r="G34" i="165"/>
  <c r="D35" i="165"/>
  <c r="D36" i="165"/>
  <c r="E36" i="165"/>
  <c r="F36" i="165"/>
  <c r="G36" i="165"/>
  <c r="D37" i="165"/>
  <c r="F37" i="165"/>
  <c r="G37" i="165"/>
  <c r="D40" i="165"/>
  <c r="E40" i="165"/>
  <c r="F40" i="165"/>
  <c r="G40" i="165"/>
  <c r="K40" i="165"/>
  <c r="J40" i="165"/>
  <c r="I40" i="165"/>
  <c r="H40" i="165"/>
  <c r="K37" i="165"/>
  <c r="K36" i="165"/>
  <c r="J36" i="165"/>
  <c r="I36" i="165"/>
  <c r="H36" i="165"/>
  <c r="K34" i="165"/>
  <c r="J34" i="165"/>
  <c r="I34" i="165"/>
  <c r="H34" i="165"/>
  <c r="I33" i="165"/>
  <c r="R13" i="104"/>
  <c r="Q13" i="104"/>
  <c r="Q6" i="139"/>
  <c r="Q7" i="139"/>
  <c r="H72" i="139"/>
  <c r="K22" i="139"/>
  <c r="Z22" i="139"/>
  <c r="Y22" i="139"/>
  <c r="X22" i="139"/>
  <c r="W22" i="139"/>
  <c r="V22" i="139"/>
  <c r="U22" i="139"/>
  <c r="T22" i="139"/>
  <c r="S22" i="139"/>
  <c r="R22" i="139"/>
  <c r="Q22" i="139"/>
  <c r="P22" i="139"/>
  <c r="P68" i="139"/>
  <c r="O6" i="139"/>
  <c r="O7" i="139"/>
  <c r="O9" i="139"/>
  <c r="O67" i="139"/>
  <c r="P24" i="139"/>
  <c r="T6" i="75"/>
  <c r="U6" i="75"/>
  <c r="V6" i="75"/>
  <c r="W6" i="75"/>
  <c r="X6" i="75"/>
  <c r="Y6" i="75"/>
  <c r="S6" i="75"/>
  <c r="T7" i="75"/>
  <c r="U7" i="75"/>
  <c r="V7" i="75"/>
  <c r="W7" i="75"/>
  <c r="X7" i="75"/>
  <c r="Y7" i="75"/>
  <c r="S7" i="75"/>
  <c r="T22" i="75"/>
  <c r="U22" i="75"/>
  <c r="V22" i="75"/>
  <c r="W22" i="75"/>
  <c r="X22" i="75"/>
  <c r="Y22" i="75"/>
  <c r="S22" i="75"/>
  <c r="T23" i="75"/>
  <c r="U23" i="75"/>
  <c r="V23" i="75"/>
  <c r="W23" i="75"/>
  <c r="X23" i="75"/>
  <c r="Y23" i="75"/>
  <c r="S23" i="75"/>
  <c r="S21" i="75"/>
  <c r="T21" i="75"/>
  <c r="U21" i="75"/>
  <c r="V21" i="75"/>
  <c r="W21" i="75"/>
  <c r="X21" i="75"/>
  <c r="Y21" i="75"/>
  <c r="R21" i="75"/>
  <c r="T14" i="75"/>
  <c r="U14" i="75"/>
  <c r="V14" i="75"/>
  <c r="W14" i="75"/>
  <c r="X14" i="75"/>
  <c r="Y14" i="75"/>
  <c r="S14" i="75"/>
  <c r="T8" i="75"/>
  <c r="U8" i="75"/>
  <c r="V8" i="75"/>
  <c r="W8" i="75"/>
  <c r="X8" i="75"/>
  <c r="Y8" i="75"/>
  <c r="S8" i="75"/>
  <c r="AG37" i="75"/>
  <c r="AF37" i="75"/>
  <c r="AE37" i="75"/>
  <c r="AD37" i="75"/>
  <c r="AC37" i="75"/>
  <c r="AB37" i="75"/>
  <c r="AA37" i="75"/>
  <c r="AG31" i="75"/>
  <c r="AF31" i="75"/>
  <c r="AE31" i="75"/>
  <c r="AD31" i="75"/>
  <c r="AC31" i="75"/>
  <c r="AB31" i="75"/>
  <c r="AA31" i="75"/>
  <c r="AG30" i="75"/>
  <c r="AF30" i="75"/>
  <c r="AE30" i="75"/>
  <c r="AD30" i="75"/>
  <c r="AC30" i="75"/>
  <c r="AB30" i="75"/>
  <c r="AA30" i="75"/>
  <c r="AG28" i="75"/>
  <c r="AF28" i="75"/>
  <c r="AE28" i="75"/>
  <c r="AD28" i="75"/>
  <c r="AC28" i="75"/>
  <c r="AB28" i="75"/>
  <c r="AA28" i="75"/>
  <c r="AG27" i="75"/>
  <c r="AF27" i="75"/>
  <c r="AE27" i="75"/>
  <c r="AD27" i="75"/>
  <c r="AC27" i="75"/>
  <c r="AB27" i="75"/>
  <c r="AA27" i="75"/>
  <c r="AG26" i="75"/>
  <c r="AF26" i="75"/>
  <c r="AE26" i="75"/>
  <c r="AD26" i="75"/>
  <c r="AC26" i="75"/>
  <c r="AB26" i="75"/>
  <c r="AA26" i="75"/>
  <c r="AG24" i="75"/>
  <c r="AF24" i="75"/>
  <c r="AE24" i="75"/>
  <c r="AD24" i="75"/>
  <c r="AC24" i="75"/>
  <c r="AB24" i="75"/>
  <c r="AA24" i="75"/>
  <c r="AG18" i="75"/>
  <c r="AF18" i="75"/>
  <c r="AE18" i="75"/>
  <c r="AD18" i="75"/>
  <c r="AC18" i="75"/>
  <c r="AB18" i="75"/>
  <c r="AA18" i="75"/>
  <c r="AG17" i="75"/>
  <c r="AF17" i="75"/>
  <c r="AE17" i="75"/>
  <c r="AD17" i="75"/>
  <c r="AC17" i="75"/>
  <c r="AB17" i="75"/>
  <c r="AA17" i="75"/>
  <c r="AG16" i="75"/>
  <c r="AF16" i="75"/>
  <c r="AE16" i="75"/>
  <c r="AD16" i="75"/>
  <c r="AC16" i="75"/>
  <c r="AB16" i="75"/>
  <c r="AA16" i="75"/>
  <c r="AG15" i="75"/>
  <c r="AF15" i="75"/>
  <c r="AE15" i="75"/>
  <c r="AD15" i="75"/>
  <c r="AC15" i="75"/>
  <c r="AB15" i="75"/>
  <c r="AA15" i="75"/>
  <c r="AG12" i="75"/>
  <c r="AF12" i="75"/>
  <c r="AE12" i="75"/>
  <c r="AD12" i="75"/>
  <c r="AC12" i="75"/>
  <c r="AB12" i="75"/>
  <c r="AA12" i="75"/>
  <c r="AG11" i="75"/>
  <c r="AF11" i="75"/>
  <c r="AE11" i="75"/>
  <c r="AD11" i="75"/>
  <c r="AC11" i="75"/>
  <c r="AB11" i="75"/>
  <c r="AA11" i="75"/>
  <c r="AG10" i="75"/>
  <c r="AF10" i="75"/>
  <c r="AE10" i="75"/>
  <c r="AD10" i="75"/>
  <c r="AC10" i="75"/>
  <c r="AB10" i="75"/>
  <c r="AA10" i="75"/>
  <c r="AB9" i="75"/>
  <c r="AC9" i="75"/>
  <c r="AD9" i="75"/>
  <c r="AE9" i="75"/>
  <c r="AF9" i="75"/>
  <c r="AG9" i="75"/>
  <c r="AA9" i="75"/>
  <c r="T49" i="75"/>
  <c r="U49" i="75"/>
  <c r="V49" i="75"/>
  <c r="W49" i="75"/>
  <c r="X49" i="75"/>
  <c r="Y49" i="75"/>
  <c r="S49" i="75"/>
  <c r="N49" i="75"/>
  <c r="O49" i="75"/>
  <c r="P49" i="75"/>
  <c r="Q49" i="75"/>
  <c r="R49" i="75"/>
  <c r="M49" i="75"/>
  <c r="R37" i="75"/>
  <c r="P6" i="135"/>
  <c r="P52" i="135"/>
  <c r="P7" i="135"/>
  <c r="P8" i="135"/>
  <c r="P54" i="135"/>
  <c r="K39" i="20"/>
  <c r="L39" i="20"/>
  <c r="J39" i="20"/>
  <c r="AA19" i="5"/>
  <c r="E24" i="14"/>
  <c r="D24" i="14"/>
  <c r="E25" i="14"/>
  <c r="E11" i="14"/>
  <c r="F11" i="14"/>
  <c r="D11" i="14"/>
  <c r="O52" i="126"/>
  <c r="J7" i="110"/>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s="1"/>
  <c r="M7" i="42"/>
  <c r="M6" i="42" s="1"/>
  <c r="L17" i="42"/>
  <c r="M17" i="42"/>
  <c r="N17" i="42"/>
  <c r="O17" i="42"/>
  <c r="P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N25" i="112"/>
  <c r="O25" i="112"/>
  <c r="P25" i="112"/>
  <c r="Q25" i="112"/>
  <c r="T25" i="112"/>
  <c r="U25" i="112"/>
  <c r="V25" i="112"/>
  <c r="W25" i="112"/>
  <c r="D25" i="112"/>
  <c r="W26" i="112"/>
  <c r="V26" i="112"/>
  <c r="W29" i="112"/>
  <c r="V29" i="112"/>
  <c r="T31" i="112"/>
  <c r="U31" i="112"/>
  <c r="S31" i="112"/>
  <c r="W6" i="112"/>
  <c r="V6"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50" i="87"/>
  <c r="R55" i="87"/>
  <c r="R48" i="87"/>
  <c r="S50" i="87"/>
  <c r="S55" i="87"/>
  <c r="S48" i="87"/>
  <c r="T50" i="87"/>
  <c r="T55" i="87"/>
  <c r="T48" i="87"/>
  <c r="U50" i="87"/>
  <c r="U55" i="87"/>
  <c r="U48" i="87"/>
  <c r="V50" i="87"/>
  <c r="V55" i="87"/>
  <c r="V48" i="87"/>
  <c r="W50" i="87"/>
  <c r="W55" i="87"/>
  <c r="W48" i="87"/>
  <c r="X50" i="87"/>
  <c r="X55" i="87"/>
  <c r="X48" i="87"/>
  <c r="Y50" i="87"/>
  <c r="Y55" i="87"/>
  <c r="Y48" i="87"/>
  <c r="Z50" i="87"/>
  <c r="Z55" i="87"/>
  <c r="Z48" i="87"/>
  <c r="Q50" i="87"/>
  <c r="Q55" i="87"/>
  <c r="Q48" i="87"/>
  <c r="U16" i="47"/>
  <c r="V16" i="47"/>
  <c r="W16" i="47"/>
  <c r="W68" i="47"/>
  <c r="X16" i="47"/>
  <c r="Y16" i="47"/>
  <c r="Z16" i="47"/>
  <c r="S16" i="47"/>
  <c r="T16" i="47"/>
  <c r="R16" i="47"/>
  <c r="S30" i="47"/>
  <c r="T30" i="47"/>
  <c r="U30" i="47"/>
  <c r="V30" i="47"/>
  <c r="W30" i="47"/>
  <c r="X30" i="47"/>
  <c r="Y30" i="47"/>
  <c r="Z30" i="47"/>
  <c r="R30" i="47"/>
  <c r="S26" i="47"/>
  <c r="T26" i="47"/>
  <c r="U26" i="47"/>
  <c r="V26" i="47"/>
  <c r="W26" i="47"/>
  <c r="X26" i="47"/>
  <c r="Y26" i="47"/>
  <c r="Z26" i="47"/>
  <c r="R26"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T44" i="66"/>
  <c r="T7" i="66"/>
  <c r="T6"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A55" i="31"/>
  <c r="AA54" i="31"/>
  <c r="AA87" i="31"/>
  <c r="Z55" i="31"/>
  <c r="Y55" i="31"/>
  <c r="X55" i="31"/>
  <c r="X88" i="31"/>
  <c r="W55" i="31"/>
  <c r="W88" i="31"/>
  <c r="Y78" i="31"/>
  <c r="Z78" i="31"/>
  <c r="AA78" i="31"/>
  <c r="Y79" i="31"/>
  <c r="Z79" i="31"/>
  <c r="AA79" i="31"/>
  <c r="Y80" i="31"/>
  <c r="Z80" i="31"/>
  <c r="AA80" i="31"/>
  <c r="Y81" i="31"/>
  <c r="Z81" i="31"/>
  <c r="AA81" i="31"/>
  <c r="Y18" i="31"/>
  <c r="Y20" i="31"/>
  <c r="Y82" i="31"/>
  <c r="Z18" i="31"/>
  <c r="Z82" i="31"/>
  <c r="Z20" i="31"/>
  <c r="AA18" i="31"/>
  <c r="AA82" i="31"/>
  <c r="AA20" i="31"/>
  <c r="Y83" i="31"/>
  <c r="Z83" i="31"/>
  <c r="AA83" i="31"/>
  <c r="Y84" i="31"/>
  <c r="Z84" i="31"/>
  <c r="AA84" i="31"/>
  <c r="Y85" i="31"/>
  <c r="Z85" i="31"/>
  <c r="AA85" i="31"/>
  <c r="Y86" i="31"/>
  <c r="Z86" i="31"/>
  <c r="AA86" i="31"/>
  <c r="Y54" i="31"/>
  <c r="Y87" i="31"/>
  <c r="Z54" i="31"/>
  <c r="Z87" i="31"/>
  <c r="Y88" i="31"/>
  <c r="Z88" i="31"/>
  <c r="Y89" i="31"/>
  <c r="Z89" i="31"/>
  <c r="AA89" i="31"/>
  <c r="V88" i="31"/>
  <c r="T20" i="31"/>
  <c r="U20" i="31"/>
  <c r="V20" i="31"/>
  <c r="W20" i="31"/>
  <c r="W82" i="31"/>
  <c r="X20" i="31"/>
  <c r="S20" i="31"/>
  <c r="S18" i="31"/>
  <c r="S82" i="31"/>
  <c r="T54" i="31"/>
  <c r="U54" i="31"/>
  <c r="V54" i="31"/>
  <c r="S54" i="31"/>
  <c r="T18" i="31"/>
  <c r="U18" i="31"/>
  <c r="U82" i="31"/>
  <c r="V18" i="31"/>
  <c r="W18" i="31"/>
  <c r="X18" i="31"/>
  <c r="X82"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T31" i="25"/>
  <c r="T34" i="25"/>
  <c r="U31" i="25"/>
  <c r="U34" i="25"/>
  <c r="S30" i="23"/>
  <c r="M74" i="23"/>
  <c r="M70" i="23"/>
  <c r="M57" i="23"/>
  <c r="M46" i="23"/>
  <c r="M69" i="23"/>
  <c r="O74" i="23"/>
  <c r="O70" i="23"/>
  <c r="O57" i="23"/>
  <c r="O46" i="23"/>
  <c r="P74" i="23"/>
  <c r="P70" i="23"/>
  <c r="P57" i="23"/>
  <c r="P46" i="23"/>
  <c r="Q74" i="23"/>
  <c r="Q70" i="23"/>
  <c r="Q57" i="23"/>
  <c r="Q46" i="23"/>
  <c r="R74" i="23"/>
  <c r="R70" i="23"/>
  <c r="R57" i="23"/>
  <c r="R46" i="23"/>
  <c r="S74" i="23"/>
  <c r="S70" i="23"/>
  <c r="S57" i="23"/>
  <c r="S46" i="23"/>
  <c r="T74" i="23"/>
  <c r="T70" i="23"/>
  <c r="T57" i="23"/>
  <c r="T46" i="23"/>
  <c r="U74" i="23"/>
  <c r="U70" i="23"/>
  <c r="U57" i="23"/>
  <c r="U46" i="23"/>
  <c r="V74" i="23"/>
  <c r="V70" i="23"/>
  <c r="V57" i="23"/>
  <c r="V46" i="23"/>
  <c r="W74" i="23"/>
  <c r="W70" i="23"/>
  <c r="W57" i="23"/>
  <c r="W46" i="23"/>
  <c r="N74"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55" i="12"/>
  <c r="Q151" i="73"/>
  <c r="R150" i="73"/>
  <c r="S150" i="73"/>
  <c r="T150" i="73"/>
  <c r="U150" i="73"/>
  <c r="V150" i="73"/>
  <c r="W150" i="73"/>
  <c r="X150" i="73"/>
  <c r="Y150" i="73"/>
  <c r="Z150" i="73"/>
  <c r="Q150" i="73"/>
  <c r="R148" i="73"/>
  <c r="S148" i="73"/>
  <c r="T148" i="73"/>
  <c r="U148" i="73"/>
  <c r="V148" i="73"/>
  <c r="W148" i="73"/>
  <c r="X148" i="73"/>
  <c r="Y148" i="73"/>
  <c r="Z148" i="73"/>
  <c r="Q148" i="73"/>
  <c r="R140" i="73"/>
  <c r="S140" i="73"/>
  <c r="T140" i="73"/>
  <c r="U140" i="73"/>
  <c r="V140" i="73"/>
  <c r="W140" i="73"/>
  <c r="X140" i="73"/>
  <c r="Y140" i="73"/>
  <c r="Z140" i="73"/>
  <c r="Q140" i="73"/>
  <c r="Q20" i="73"/>
  <c r="R20" i="73"/>
  <c r="S20" i="73"/>
  <c r="T20" i="73"/>
  <c r="U20" i="73"/>
  <c r="V20" i="73"/>
  <c r="W20" i="73"/>
  <c r="X20" i="73"/>
  <c r="Y20" i="73"/>
  <c r="Z20" i="73"/>
  <c r="Y137" i="73"/>
  <c r="Z137" i="73"/>
  <c r="Y138" i="73"/>
  <c r="Z138" i="73"/>
  <c r="Y139" i="73"/>
  <c r="Z139" i="73"/>
  <c r="Y141" i="73"/>
  <c r="Z141" i="73"/>
  <c r="Y142" i="73"/>
  <c r="Z142" i="73"/>
  <c r="Y143" i="73"/>
  <c r="Z143" i="73"/>
  <c r="Y144" i="73"/>
  <c r="Z144" i="73"/>
  <c r="Y145" i="73"/>
  <c r="Z145" i="73"/>
  <c r="Y146" i="73"/>
  <c r="Z146" i="73"/>
  <c r="Y147" i="73"/>
  <c r="Z147" i="73"/>
  <c r="Y149" i="73"/>
  <c r="Z149" i="73"/>
  <c r="Y151" i="73"/>
  <c r="Z151" i="73"/>
  <c r="R137" i="73"/>
  <c r="S137" i="73"/>
  <c r="T137" i="73"/>
  <c r="U137" i="73"/>
  <c r="V137" i="73"/>
  <c r="W137" i="73"/>
  <c r="X137" i="73"/>
  <c r="R138" i="73"/>
  <c r="S138" i="73"/>
  <c r="T138" i="73"/>
  <c r="U138" i="73"/>
  <c r="V138" i="73"/>
  <c r="W138" i="73"/>
  <c r="X138" i="73"/>
  <c r="R139" i="73"/>
  <c r="S139" i="73"/>
  <c r="T139" i="73"/>
  <c r="U139" i="73"/>
  <c r="V139" i="73"/>
  <c r="W139" i="73"/>
  <c r="X139" i="73"/>
  <c r="R141" i="73"/>
  <c r="S141" i="73"/>
  <c r="T141" i="73"/>
  <c r="U141" i="73"/>
  <c r="V141" i="73"/>
  <c r="W141" i="73"/>
  <c r="X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16" i="12"/>
  <c r="U55" i="12"/>
  <c r="V67" i="12"/>
  <c r="V54" i="12"/>
  <c r="W55" i="12"/>
  <c r="X55" i="12"/>
  <c r="X67" i="12"/>
  <c r="X54" i="12"/>
  <c r="Y55" i="12"/>
  <c r="Z55" i="12"/>
  <c r="AA55" i="12"/>
  <c r="AB55" i="12"/>
  <c r="AB67" i="12"/>
  <c r="AB54" i="12"/>
  <c r="T55" i="12"/>
  <c r="U67" i="12"/>
  <c r="U54" i="12"/>
  <c r="W67" i="12"/>
  <c r="Y67" i="12"/>
  <c r="Z67" i="12"/>
  <c r="Z54" i="12"/>
  <c r="AA67" i="12"/>
  <c r="T67" i="12"/>
  <c r="Y54" i="12"/>
  <c r="U23" i="12"/>
  <c r="V23" i="12"/>
  <c r="W23" i="12"/>
  <c r="X23" i="12"/>
  <c r="Y23" i="12"/>
  <c r="Z23" i="12"/>
  <c r="AA23" i="12"/>
  <c r="AB23" i="12"/>
  <c r="V7" i="12"/>
  <c r="W7" i="12"/>
  <c r="X7" i="12"/>
  <c r="Y7" i="12"/>
  <c r="Z7" i="12"/>
  <c r="AA7" i="12"/>
  <c r="AB7" i="12"/>
  <c r="U7" i="12"/>
  <c r="AA54" i="12"/>
  <c r="W54" i="12"/>
  <c r="S112" i="15"/>
  <c r="U104" i="15"/>
  <c r="V104" i="15"/>
  <c r="W104" i="15"/>
  <c r="X104" i="15"/>
  <c r="Y104" i="15"/>
  <c r="Z104" i="15"/>
  <c r="AA104" i="15"/>
  <c r="T104" i="15"/>
  <c r="U54" i="15"/>
  <c r="V54" i="15"/>
  <c r="W54" i="15"/>
  <c r="X54" i="15"/>
  <c r="Y54" i="15"/>
  <c r="Z54" i="15"/>
  <c r="AA54" i="15"/>
  <c r="T54" i="15"/>
  <c r="P26"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4" i="14"/>
  <c r="V24" i="14"/>
  <c r="V88" i="14"/>
  <c r="W24" i="14"/>
  <c r="W88" i="14"/>
  <c r="X24" i="14"/>
  <c r="X88" i="14"/>
  <c r="Y24" i="14"/>
  <c r="Z24" i="14"/>
  <c r="Z88" i="14"/>
  <c r="AA24" i="14"/>
  <c r="AA88" i="14"/>
  <c r="V85" i="14"/>
  <c r="W84" i="14"/>
  <c r="X84" i="14"/>
  <c r="Y84"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4" i="75"/>
  <c r="W43" i="75"/>
  <c r="X44" i="75"/>
  <c r="R46" i="75"/>
  <c r="Y52" i="75"/>
  <c r="W53" i="75"/>
  <c r="X53" i="75"/>
  <c r="Y53" i="75"/>
  <c r="Y43" i="75"/>
  <c r="Y44" i="75"/>
  <c r="W45" i="75"/>
  <c r="X45" i="75"/>
  <c r="Y45" i="75"/>
  <c r="W46" i="75"/>
  <c r="X46" i="75"/>
  <c r="Y46" i="75"/>
  <c r="W47" i="75"/>
  <c r="X47" i="75"/>
  <c r="Y47" i="75"/>
  <c r="W48" i="75"/>
  <c r="X48" i="75"/>
  <c r="Y48" i="75"/>
  <c r="Q6" i="75"/>
  <c r="R6"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X64" i="146"/>
  <c r="Z64" i="146"/>
  <c r="T65" i="146"/>
  <c r="V65" i="146"/>
  <c r="W65" i="146"/>
  <c r="X65" i="146"/>
  <c r="Y65" i="146"/>
  <c r="Z65" i="146"/>
  <c r="R7" i="146"/>
  <c r="S7" i="146"/>
  <c r="W52" i="75"/>
  <c r="W44" i="75"/>
  <c r="X43"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58" i="115"/>
  <c r="S27" i="115"/>
  <c r="T27" i="115"/>
  <c r="T28" i="115"/>
  <c r="T62" i="115"/>
  <c r="S28" i="115"/>
  <c r="S64" i="115"/>
  <c r="S12" i="115"/>
  <c r="S60" i="115"/>
  <c r="T12" i="115"/>
  <c r="T60"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I47" i="162"/>
  <c r="G47" i="162"/>
  <c r="F47" i="162"/>
  <c r="E47" i="162"/>
  <c r="D47" i="162"/>
  <c r="I46" i="162"/>
  <c r="G46" i="162"/>
  <c r="F46" i="162"/>
  <c r="E46" i="162"/>
  <c r="D46" i="162"/>
  <c r="I45" i="162"/>
  <c r="H45" i="162"/>
  <c r="G45" i="162"/>
  <c r="F45" i="162"/>
  <c r="E45" i="162"/>
  <c r="D45" i="162"/>
  <c r="I44" i="162"/>
  <c r="H44" i="162"/>
  <c r="G44" i="162"/>
  <c r="F44" i="162"/>
  <c r="D44" i="162"/>
  <c r="I43" i="162"/>
  <c r="H43" i="162"/>
  <c r="G43" i="162"/>
  <c r="F43" i="162"/>
  <c r="D43" i="162"/>
  <c r="I41" i="162"/>
  <c r="H41" i="162"/>
  <c r="G41" i="162"/>
  <c r="F41" i="162"/>
  <c r="E41" i="162"/>
  <c r="D41" i="162"/>
  <c r="H21" i="162"/>
  <c r="I12" i="162"/>
  <c r="H12" i="162"/>
  <c r="G12" i="162"/>
  <c r="D12" i="162"/>
  <c r="V54" i="92"/>
  <c r="V55" i="92"/>
  <c r="V56" i="92"/>
  <c r="P38" i="92"/>
  <c r="P7" i="92"/>
  <c r="Z6" i="147"/>
  <c r="Z37" i="147"/>
  <c r="Z30" i="147"/>
  <c r="Z38" i="147"/>
  <c r="Z12" i="147"/>
  <c r="Z39" i="147"/>
  <c r="Z40" i="147"/>
  <c r="Z41" i="147"/>
  <c r="Y12" i="147"/>
  <c r="W12" i="147"/>
  <c r="X12" i="147"/>
  <c r="V12" i="147"/>
  <c r="U17" i="147"/>
  <c r="U16"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2" i="89"/>
  <c r="S22" i="89"/>
  <c r="T22" i="89"/>
  <c r="U22" i="89"/>
  <c r="V22" i="89"/>
  <c r="W22" i="89"/>
  <c r="W74" i="89"/>
  <c r="Q22" i="89"/>
  <c r="V73" i="89"/>
  <c r="W73" i="89"/>
  <c r="V74" i="89"/>
  <c r="R67" i="89"/>
  <c r="S67" i="89"/>
  <c r="T67" i="89"/>
  <c r="U67" i="89"/>
  <c r="V67" i="89"/>
  <c r="W67" i="89"/>
  <c r="V63" i="89"/>
  <c r="V64" i="89"/>
  <c r="W64" i="89"/>
  <c r="V65" i="89"/>
  <c r="W65" i="89"/>
  <c r="V66" i="89"/>
  <c r="W66" i="89"/>
  <c r="V69" i="89"/>
  <c r="W69" i="89"/>
  <c r="V70" i="89"/>
  <c r="W70" i="89"/>
  <c r="Q66" i="89"/>
  <c r="R66" i="89"/>
  <c r="S66" i="89"/>
  <c r="T66" i="89"/>
  <c r="U66" i="89"/>
  <c r="R65" i="89"/>
  <c r="S65" i="89"/>
  <c r="T65" i="89"/>
  <c r="U65" i="89"/>
  <c r="Q65" i="89"/>
  <c r="R62" i="89"/>
  <c r="S62" i="89"/>
  <c r="T62" i="89"/>
  <c r="U62" i="89"/>
  <c r="Q62"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7" i="47"/>
  <c r="W67" i="47"/>
  <c r="X67" i="47"/>
  <c r="Y67" i="47"/>
  <c r="Z67" i="47"/>
  <c r="V68" i="47"/>
  <c r="X68" i="47"/>
  <c r="Y68" i="47"/>
  <c r="Z68" i="47"/>
  <c r="U59" i="47"/>
  <c r="V59" i="47"/>
  <c r="W59" i="47"/>
  <c r="X59" i="47"/>
  <c r="Y59" i="47"/>
  <c r="Z59" i="47"/>
  <c r="T59" i="47"/>
  <c r="V55" i="47"/>
  <c r="W55" i="47"/>
  <c r="X55" i="47"/>
  <c r="Y55" i="47"/>
  <c r="Z55" i="47"/>
  <c r="V56" i="47"/>
  <c r="W56" i="47"/>
  <c r="X56" i="47"/>
  <c r="Y56" i="47"/>
  <c r="Z56" i="47"/>
  <c r="V57" i="47"/>
  <c r="W57" i="47"/>
  <c r="X57" i="47"/>
  <c r="Y57" i="47"/>
  <c r="Z57" i="47"/>
  <c r="V58" i="47"/>
  <c r="W58" i="47"/>
  <c r="X58" i="47"/>
  <c r="Y58" i="47"/>
  <c r="Z58" i="47"/>
  <c r="V60" i="47"/>
  <c r="W60" i="47"/>
  <c r="X60" i="47"/>
  <c r="Y60" i="47"/>
  <c r="Z60" i="47"/>
  <c r="V61" i="47"/>
  <c r="W61" i="47"/>
  <c r="X61" i="47"/>
  <c r="Y61" i="47"/>
  <c r="Z61" i="47"/>
  <c r="V62" i="47"/>
  <c r="W62" i="47"/>
  <c r="X62" i="47"/>
  <c r="Y62" i="47"/>
  <c r="Z62" i="47"/>
  <c r="V63" i="47"/>
  <c r="W63" i="47"/>
  <c r="X63" i="47"/>
  <c r="Y63" i="47"/>
  <c r="Z63" i="47"/>
  <c r="Y7" i="142"/>
  <c r="Y61" i="142"/>
  <c r="Z7" i="142"/>
  <c r="Y62" i="142"/>
  <c r="Y63" i="142"/>
  <c r="Z63" i="142"/>
  <c r="Y64" i="142"/>
  <c r="Z64" i="142"/>
  <c r="Y65" i="142"/>
  <c r="Z65" i="142"/>
  <c r="Y66" i="142"/>
  <c r="Z66" i="142"/>
  <c r="Y67" i="142"/>
  <c r="Z67" i="142"/>
  <c r="Y68" i="142"/>
  <c r="Z68" i="142"/>
  <c r="Y69" i="142"/>
  <c r="Z69" i="142"/>
  <c r="R7" i="142"/>
  <c r="S7" i="142"/>
  <c r="T7" i="142"/>
  <c r="V7" i="142"/>
  <c r="W7" i="142"/>
  <c r="X7" i="142"/>
  <c r="U132" i="12"/>
  <c r="X112" i="12"/>
  <c r="AA114" i="12"/>
  <c r="V114" i="12"/>
  <c r="U114" i="12"/>
  <c r="V111" i="12"/>
  <c r="X129" i="12"/>
  <c r="Y132" i="12"/>
  <c r="W132" i="12"/>
  <c r="X132" i="12"/>
  <c r="AA132" i="12"/>
  <c r="V107" i="12"/>
  <c r="W108" i="12"/>
  <c r="X108" i="12"/>
  <c r="Y108" i="12"/>
  <c r="Z107" i="12"/>
  <c r="AA108" i="12"/>
  <c r="AB107" i="12"/>
  <c r="U108" i="12"/>
  <c r="AB109" i="12"/>
  <c r="AB113" i="12"/>
  <c r="AB115" i="12"/>
  <c r="AB116" i="12"/>
  <c r="AB117" i="12"/>
  <c r="AB118" i="12"/>
  <c r="AB119" i="12"/>
  <c r="AB120" i="12"/>
  <c r="AB121" i="12"/>
  <c r="AB122" i="12"/>
  <c r="AB123" i="12"/>
  <c r="AB124" i="12"/>
  <c r="AB125" i="12"/>
  <c r="Z132" i="12"/>
  <c r="V132" i="12"/>
  <c r="U81" i="45"/>
  <c r="V81" i="45"/>
  <c r="W81" i="45"/>
  <c r="X81" i="45"/>
  <c r="T58" i="45"/>
  <c r="T81" i="45"/>
  <c r="S58" i="45"/>
  <c r="S81" i="45"/>
  <c r="X80" i="45"/>
  <c r="W80" i="45"/>
  <c r="X82" i="45"/>
  <c r="X79" i="45"/>
  <c r="X78" i="45"/>
  <c r="X77" i="45"/>
  <c r="X76" i="45"/>
  <c r="X75" i="45"/>
  <c r="X74" i="45"/>
  <c r="X73" i="45"/>
  <c r="Y54" i="44"/>
  <c r="Z54" i="44"/>
  <c r="R16" i="44"/>
  <c r="Z51" i="44"/>
  <c r="Q16" i="44"/>
  <c r="Y50" i="44"/>
  <c r="Z50" i="44"/>
  <c r="Y51" i="44"/>
  <c r="Y41" i="44"/>
  <c r="Z41" i="44"/>
  <c r="Y42" i="44"/>
  <c r="Z42"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73" i="114"/>
  <c r="X73" i="114"/>
  <c r="Y66" i="114"/>
  <c r="Y73"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X33" i="114"/>
  <c r="X32" i="114"/>
  <c r="X31" i="114"/>
  <c r="W33" i="114"/>
  <c r="V33" i="114"/>
  <c r="U33" i="114"/>
  <c r="T33" i="114"/>
  <c r="T32" i="114"/>
  <c r="T31" i="114"/>
  <c r="S33" i="114"/>
  <c r="S32" i="114"/>
  <c r="S31" i="114"/>
  <c r="R33" i="114"/>
  <c r="Q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77" i="18"/>
  <c r="V78" i="18"/>
  <c r="V80" i="18"/>
  <c r="V82" i="18"/>
  <c r="V85" i="18"/>
  <c r="V86" i="18"/>
  <c r="V93" i="18"/>
  <c r="V94" i="18"/>
  <c r="U8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40" i="11"/>
  <c r="Z40" i="11"/>
  <c r="Y41" i="11"/>
  <c r="Z41" i="11"/>
  <c r="Y26" i="11"/>
  <c r="Y21" i="11"/>
  <c r="Y42" i="11"/>
  <c r="Z26" i="11"/>
  <c r="Z21" i="11"/>
  <c r="Z42" i="11"/>
  <c r="Y43" i="11"/>
  <c r="Z43" i="11"/>
  <c r="S26" i="11"/>
  <c r="S21" i="11"/>
  <c r="S42" i="11"/>
  <c r="T26" i="11"/>
  <c r="T21" i="11"/>
  <c r="T42" i="11"/>
  <c r="U26" i="11"/>
  <c r="U21" i="11"/>
  <c r="U42" i="11"/>
  <c r="V26" i="11"/>
  <c r="V21" i="11"/>
  <c r="V42" i="11"/>
  <c r="W26" i="11"/>
  <c r="W21" i="11"/>
  <c r="W42" i="11"/>
  <c r="X26" i="11"/>
  <c r="X21" i="11"/>
  <c r="X42" i="11"/>
  <c r="R26" i="11"/>
  <c r="R21" i="11"/>
  <c r="R42"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T16" i="117"/>
  <c r="T7" i="117"/>
  <c r="T6" i="117"/>
  <c r="T10" i="117"/>
  <c r="S24" i="117"/>
  <c r="S23" i="117"/>
  <c r="R8" i="117"/>
  <c r="R16" i="117"/>
  <c r="R7" i="117"/>
  <c r="R24" i="117"/>
  <c r="R23" i="117"/>
  <c r="Q16" i="117"/>
  <c r="V7" i="117"/>
  <c r="U7" i="117"/>
  <c r="S7" i="117"/>
  <c r="Q7"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78" i="42"/>
  <c r="Z79" i="42"/>
  <c r="Z80" i="42"/>
  <c r="Z81" i="42"/>
  <c r="Z8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W17" i="71"/>
  <c r="W51" i="71"/>
  <c r="X17" i="71"/>
  <c r="Y17" i="71"/>
  <c r="Z17" i="71"/>
  <c r="Q17" i="71"/>
  <c r="Q6" i="71"/>
  <c r="R6" i="71"/>
  <c r="R49" i="71" s="1"/>
  <c r="S6" i="71"/>
  <c r="T6" i="71"/>
  <c r="T49" i="71"/>
  <c r="U6" i="71"/>
  <c r="U49" i="71" s="1"/>
  <c r="V6" i="71"/>
  <c r="V49" i="71" s="1"/>
  <c r="W6" i="71"/>
  <c r="W49" i="71"/>
  <c r="X6" i="71"/>
  <c r="X49" i="71"/>
  <c r="Y6" i="71"/>
  <c r="Y49" i="71"/>
  <c r="Z6" i="71"/>
  <c r="S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64"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W28" i="66"/>
  <c r="X28" i="66"/>
  <c r="X27" i="66" s="1"/>
  <c r="Y28" i="66"/>
  <c r="Z28" i="66"/>
  <c r="Z27" i="66" s="1"/>
  <c r="U27" i="66"/>
  <c r="S28" i="66"/>
  <c r="X58" i="66"/>
  <c r="T60" i="66"/>
  <c r="U60" i="66"/>
  <c r="V60" i="66"/>
  <c r="W60" i="66"/>
  <c r="X60" i="66"/>
  <c r="Y60" i="66"/>
  <c r="Z60" i="66"/>
  <c r="S60" i="66"/>
  <c r="X55" i="66"/>
  <c r="Y55" i="66"/>
  <c r="Z55" i="66"/>
  <c r="X56" i="66"/>
  <c r="Y56" i="66"/>
  <c r="Z56" i="66"/>
  <c r="Y58" i="66"/>
  <c r="Z58" i="66"/>
  <c r="X59" i="66"/>
  <c r="Y59" i="66"/>
  <c r="Z59" i="66"/>
  <c r="X63" i="66"/>
  <c r="Y63" i="66"/>
  <c r="Z63" i="66"/>
  <c r="X64" i="66"/>
  <c r="Y64" i="66"/>
  <c r="Z64" i="66"/>
  <c r="X65" i="66"/>
  <c r="Y65" i="66"/>
  <c r="Z65"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R20" i="31"/>
  <c r="W89" i="31"/>
  <c r="X89" i="31"/>
  <c r="W78" i="31"/>
  <c r="X78" i="31"/>
  <c r="W79" i="31"/>
  <c r="X79" i="31"/>
  <c r="W80" i="31"/>
  <c r="X80" i="31"/>
  <c r="W81" i="31"/>
  <c r="X81" i="31"/>
  <c r="W83" i="31"/>
  <c r="X83" i="31"/>
  <c r="W84" i="31"/>
  <c r="X84" i="31"/>
  <c r="W85" i="31"/>
  <c r="X85" i="31"/>
  <c r="W86" i="31"/>
  <c r="X86"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14" i="108"/>
  <c r="O62" i="108"/>
  <c r="O21" i="108"/>
  <c r="O19" i="108"/>
  <c r="P21" i="108"/>
  <c r="P66" i="108"/>
  <c r="P19" i="108"/>
  <c r="P74" i="108"/>
  <c r="Q21" i="108"/>
  <c r="Q19" i="108"/>
  <c r="Q74" i="108"/>
  <c r="S74" i="108"/>
  <c r="Q14" i="108"/>
  <c r="P14" i="108"/>
  <c r="N14" i="108"/>
  <c r="M14"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S54" i="123"/>
  <c r="R52" i="123"/>
  <c r="R49" i="123"/>
  <c r="S49" i="123"/>
  <c r="R50" i="123"/>
  <c r="S50" i="123"/>
  <c r="R53" i="123"/>
  <c r="S53" i="123"/>
  <c r="R54" i="123"/>
  <c r="R55" i="123"/>
  <c r="S55" i="123"/>
  <c r="R56" i="123"/>
  <c r="S56" i="123"/>
  <c r="R61" i="123"/>
  <c r="S61" i="123"/>
  <c r="R62" i="123"/>
  <c r="S62" i="123"/>
  <c r="R51"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T62" i="43"/>
  <c r="U7" i="43"/>
  <c r="V7" i="43"/>
  <c r="W7" i="43"/>
  <c r="W63"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126" i="97"/>
  <c r="T61" i="101"/>
  <c r="V121" i="97"/>
  <c r="U121" i="97"/>
  <c r="T122" i="97"/>
  <c r="W62" i="101"/>
  <c r="V61" i="101"/>
  <c r="O7" i="97"/>
  <c r="O6" i="97"/>
  <c r="O29" i="97"/>
  <c r="O27" i="97"/>
  <c r="P7" i="97"/>
  <c r="P6" i="97"/>
  <c r="P25" i="151"/>
  <c r="P26" i="151"/>
  <c r="P27" i="151"/>
  <c r="P43" i="151"/>
  <c r="P41" i="151"/>
  <c r="R25" i="151"/>
  <c r="T37" i="151"/>
  <c r="S7" i="151"/>
  <c r="R7" i="151"/>
  <c r="V43" i="151"/>
  <c r="U43" i="151"/>
  <c r="S27" i="151"/>
  <c r="S43" i="151"/>
  <c r="R27" i="151"/>
  <c r="R43" i="151"/>
  <c r="U42" i="151"/>
  <c r="T42" i="151"/>
  <c r="S26" i="151"/>
  <c r="S25" i="151"/>
  <c r="S41" i="151"/>
  <c r="R26" i="151"/>
  <c r="R42" i="151"/>
  <c r="V41" i="151"/>
  <c r="Q27" i="151"/>
  <c r="Q43" i="151"/>
  <c r="Q26" i="151"/>
  <c r="Q42" i="151"/>
  <c r="P42" i="151"/>
  <c r="R71" i="150"/>
  <c r="S71" i="150"/>
  <c r="T71" i="150"/>
  <c r="U71" i="150"/>
  <c r="V71" i="150"/>
  <c r="N65" i="150"/>
  <c r="N64" i="150"/>
  <c r="Q65" i="150"/>
  <c r="P64" i="150"/>
  <c r="Q63" i="150"/>
  <c r="V67" i="150"/>
  <c r="U67" i="150"/>
  <c r="T67" i="150"/>
  <c r="S67" i="150"/>
  <c r="V66" i="150"/>
  <c r="U66" i="150"/>
  <c r="T66" i="150"/>
  <c r="S66" i="150"/>
  <c r="V65" i="150"/>
  <c r="U65" i="150"/>
  <c r="T65" i="150"/>
  <c r="V64" i="150"/>
  <c r="U64" i="150"/>
  <c r="T64" i="150"/>
  <c r="V63" i="150"/>
  <c r="U63" i="150"/>
  <c r="T63" i="150"/>
  <c r="S63" i="150"/>
  <c r="R63" i="150"/>
  <c r="R62" i="150"/>
  <c r="R67" i="150"/>
  <c r="R66" i="150"/>
  <c r="R64" i="150"/>
  <c r="R61" i="150"/>
  <c r="N63" i="150"/>
  <c r="V58" i="150"/>
  <c r="V59" i="150"/>
  <c r="V70" i="150"/>
  <c r="U70" i="150"/>
  <c r="T70" i="150"/>
  <c r="S55" i="150"/>
  <c r="R70" i="150"/>
  <c r="W67" i="117"/>
  <c r="W23" i="117"/>
  <c r="W75" i="117" s="1"/>
  <c r="Q70" i="117"/>
  <c r="T64" i="117"/>
  <c r="V63"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63"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F56"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4" i="89"/>
  <c r="U64" i="89"/>
  <c r="S64" i="89"/>
  <c r="R64" i="89"/>
  <c r="Q64" i="89"/>
  <c r="H64" i="89"/>
  <c r="I64" i="89"/>
  <c r="R12" i="65"/>
  <c r="R96" i="65"/>
  <c r="Q12" i="65"/>
  <c r="Q96" i="65"/>
  <c r="P12" i="65"/>
  <c r="P96" i="65"/>
  <c r="O12" i="65"/>
  <c r="O96" i="65"/>
  <c r="N12" i="65"/>
  <c r="N96" i="65"/>
  <c r="M12" i="65"/>
  <c r="M96" i="65"/>
  <c r="L12" i="65"/>
  <c r="L96" i="65"/>
  <c r="K12" i="65"/>
  <c r="K96" i="65"/>
  <c r="J12" i="65"/>
  <c r="J96" i="65"/>
  <c r="I12" i="65"/>
  <c r="I96" i="65"/>
  <c r="H12" i="65"/>
  <c r="H96" i="65"/>
  <c r="O97" i="65"/>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24" i="12"/>
  <c r="AA122" i="12"/>
  <c r="AA120" i="12"/>
  <c r="AA117" i="12"/>
  <c r="AA116" i="12"/>
  <c r="AA113" i="12"/>
  <c r="AA109" i="12"/>
  <c r="L58" i="50"/>
  <c r="L60" i="50"/>
  <c r="K39" i="50"/>
  <c r="K59" i="50"/>
  <c r="W59" i="50"/>
  <c r="P39" i="50"/>
  <c r="P59" i="50"/>
  <c r="U121" i="131"/>
  <c r="J39" i="50"/>
  <c r="N39" i="50"/>
  <c r="N59" i="50"/>
  <c r="Q64" i="150"/>
  <c r="R65" i="150"/>
  <c r="U61" i="117"/>
  <c r="V62" i="117"/>
  <c r="T61" i="117"/>
  <c r="R61" i="117"/>
  <c r="Q67" i="117"/>
  <c r="L52" i="157"/>
  <c r="N45" i="131"/>
  <c r="N120" i="131"/>
  <c r="V49" i="113"/>
  <c r="V48" i="113"/>
  <c r="R48" i="113"/>
  <c r="AA128" i="12"/>
  <c r="Z128" i="12"/>
  <c r="U119" i="12"/>
  <c r="AA118" i="12"/>
  <c r="AA115" i="12"/>
  <c r="AA111" i="12"/>
  <c r="T81" i="12"/>
  <c r="T78" i="12"/>
  <c r="T77" i="12"/>
  <c r="T123"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29" i="12"/>
  <c r="AA125" i="12"/>
  <c r="AA121" i="12"/>
  <c r="AA123" i="12"/>
  <c r="AA119" i="12"/>
  <c r="V121"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17" i="12"/>
  <c r="U117" i="12"/>
  <c r="T117" i="12"/>
  <c r="S117" i="12"/>
  <c r="T107" i="12"/>
  <c r="T23" i="12"/>
  <c r="T129" i="12" s="1"/>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Q37" i="75"/>
  <c r="P37" i="75"/>
  <c r="O37" i="75"/>
  <c r="N37" i="75"/>
  <c r="M37"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3" i="11"/>
  <c r="W43" i="11"/>
  <c r="V43" i="11"/>
  <c r="U43" i="11"/>
  <c r="T43" i="11"/>
  <c r="X41" i="11"/>
  <c r="W41" i="11"/>
  <c r="V41" i="11"/>
  <c r="U41" i="11"/>
  <c r="T41" i="11"/>
  <c r="X40" i="11"/>
  <c r="W40" i="11"/>
  <c r="V40" i="11"/>
  <c r="U40" i="11"/>
  <c r="T40"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M56" i="85"/>
  <c r="M55" i="85"/>
  <c r="I43" i="85"/>
  <c r="L43" i="85"/>
  <c r="H43"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43" i="85"/>
  <c r="M44" i="85"/>
  <c r="K44" i="85"/>
  <c r="H44" i="85"/>
  <c r="G44" i="85"/>
  <c r="E44" i="85"/>
  <c r="K42" i="85"/>
  <c r="G42"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R110" i="15"/>
  <c r="Y108" i="15"/>
  <c r="X108" i="15"/>
  <c r="W108" i="15"/>
  <c r="V108" i="15"/>
  <c r="X105" i="15"/>
  <c r="W111" i="15"/>
  <c r="V111" i="15"/>
  <c r="R31" i="15"/>
  <c r="R105"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s="1"/>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X67" i="51"/>
  <c r="W67" i="51"/>
  <c r="T87" i="14"/>
  <c r="U95" i="14"/>
  <c r="T95" i="14"/>
  <c r="S95" i="14"/>
  <c r="S87" i="14"/>
  <c r="U103" i="14"/>
  <c r="W103" i="14"/>
  <c r="V103" i="14"/>
  <c r="V98" i="14"/>
  <c r="U98" i="14"/>
  <c r="T98" i="14"/>
  <c r="W99" i="14"/>
  <c r="V99" i="14"/>
  <c r="U99" i="14"/>
  <c r="T99" i="14"/>
  <c r="S99" i="14"/>
  <c r="W98" i="14"/>
  <c r="S98" i="14"/>
  <c r="W90" i="58"/>
  <c r="V90" i="58"/>
  <c r="U90" i="58"/>
  <c r="T90" i="58"/>
  <c r="S90" i="58"/>
  <c r="R90" i="58"/>
  <c r="W91" i="58"/>
  <c r="V91" i="58"/>
  <c r="U91" i="58"/>
  <c r="T91" i="58"/>
  <c r="S91" i="58"/>
  <c r="R91" i="58"/>
  <c r="Q91" i="58"/>
  <c r="Q90" i="58"/>
  <c r="V93" i="58"/>
  <c r="W93" i="58"/>
  <c r="W87" i="58"/>
  <c r="W86" i="58"/>
  <c r="W85" i="58"/>
  <c r="W84" i="58"/>
  <c r="W83" i="58"/>
  <c r="W79" i="58"/>
  <c r="V87" i="58"/>
  <c r="V86" i="58"/>
  <c r="V85" i="58"/>
  <c r="V84" i="58"/>
  <c r="V83" i="58"/>
  <c r="V79" i="58"/>
  <c r="U93" i="58"/>
  <c r="U87" i="58"/>
  <c r="U86" i="58"/>
  <c r="U85" i="58"/>
  <c r="U84" i="58"/>
  <c r="U83" i="58"/>
  <c r="U79" i="58"/>
  <c r="W80" i="58"/>
  <c r="U80" i="58"/>
  <c r="T80" i="58"/>
  <c r="S19" i="58"/>
  <c r="R19" i="58"/>
  <c r="R80" i="58"/>
  <c r="Q19" i="58"/>
  <c r="Q80" i="58"/>
  <c r="S40" i="58"/>
  <c r="R40" i="58"/>
  <c r="Q40" i="58"/>
  <c r="W81" i="58"/>
  <c r="V81" i="58"/>
  <c r="U81" i="58"/>
  <c r="T81" i="58"/>
  <c r="S23" i="58"/>
  <c r="R23" i="58"/>
  <c r="R81" i="58"/>
  <c r="Q23" i="58"/>
  <c r="W78" i="58"/>
  <c r="S7" i="58"/>
  <c r="S78"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U76" i="89"/>
  <c r="U74" i="89"/>
  <c r="U73" i="89"/>
  <c r="U70" i="89"/>
  <c r="U69" i="89"/>
  <c r="U63" i="89"/>
  <c r="U61" i="89"/>
  <c r="T76" i="89"/>
  <c r="T74" i="89"/>
  <c r="T73" i="89"/>
  <c r="T70" i="89"/>
  <c r="T69" i="89"/>
  <c r="T63" i="89"/>
  <c r="T61" i="89"/>
  <c r="U78" i="89"/>
  <c r="O24" i="89"/>
  <c r="M24"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7" i="47"/>
  <c r="N68" i="47"/>
  <c r="N62" i="47"/>
  <c r="H39" i="155"/>
  <c r="G39" i="155"/>
  <c r="F39" i="155"/>
  <c r="E39" i="155"/>
  <c r="D39" i="155"/>
  <c r="N60" i="47"/>
  <c r="N59" i="47"/>
  <c r="H38" i="155"/>
  <c r="G38" i="155"/>
  <c r="F38" i="155"/>
  <c r="E38" i="155"/>
  <c r="D38" i="155"/>
  <c r="H37" i="155"/>
  <c r="G37" i="155"/>
  <c r="F37" i="155"/>
  <c r="E37" i="155"/>
  <c r="D37" i="155"/>
  <c r="N58" i="47"/>
  <c r="F36" i="155"/>
  <c r="E36" i="155"/>
  <c r="D36" i="155"/>
  <c r="N57" i="47"/>
  <c r="H34" i="155"/>
  <c r="G34" i="155"/>
  <c r="F34" i="155"/>
  <c r="E34" i="155"/>
  <c r="D34" i="155"/>
  <c r="N56" i="47"/>
  <c r="H33" i="155"/>
  <c r="G33" i="155"/>
  <c r="F33" i="155"/>
  <c r="D33" i="155"/>
  <c r="N55" i="47"/>
  <c r="X77" i="139"/>
  <c r="X76"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8" i="115"/>
  <c r="P62" i="115"/>
  <c r="R12" i="115"/>
  <c r="R67" i="115"/>
  <c r="R61" i="115"/>
  <c r="R28" i="115"/>
  <c r="R64" i="115"/>
  <c r="Q28" i="115"/>
  <c r="Q64" i="115"/>
  <c r="O28" i="115"/>
  <c r="R27" i="115"/>
  <c r="R63" i="115"/>
  <c r="Q27" i="115"/>
  <c r="Q63" i="115"/>
  <c r="O27" i="115"/>
  <c r="O63" i="115"/>
  <c r="N27" i="115"/>
  <c r="N63" i="115"/>
  <c r="N28" i="115"/>
  <c r="N62" i="115"/>
  <c r="J26" i="115"/>
  <c r="N64" i="115"/>
  <c r="R62" i="115"/>
  <c r="Q12" i="115"/>
  <c r="Q60" i="115"/>
  <c r="P12" i="115"/>
  <c r="P60" i="115"/>
  <c r="O12" i="115"/>
  <c r="O60" i="115"/>
  <c r="P59" i="47"/>
  <c r="R63" i="47"/>
  <c r="P62" i="47"/>
  <c r="S57" i="47"/>
  <c r="U68" i="47"/>
  <c r="T68" i="47"/>
  <c r="U67" i="47"/>
  <c r="T67" i="47"/>
  <c r="U63" i="47"/>
  <c r="U62" i="47"/>
  <c r="U61" i="47"/>
  <c r="U60" i="47"/>
  <c r="U58" i="47"/>
  <c r="U57" i="47"/>
  <c r="U56" i="47"/>
  <c r="U55" i="47"/>
  <c r="S59" i="47"/>
  <c r="R59" i="47"/>
  <c r="Q57"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42"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V64" i="117"/>
  <c r="U75" i="117"/>
  <c r="U62" i="117"/>
  <c r="T63" i="117"/>
  <c r="S62" i="117"/>
  <c r="P24" i="117"/>
  <c r="P23" i="117"/>
  <c r="P75" i="117"/>
  <c r="O32" i="117"/>
  <c r="O69" i="117"/>
  <c r="P32" i="117"/>
  <c r="P69" i="117"/>
  <c r="S69" i="117"/>
  <c r="T69" i="117"/>
  <c r="U69" i="117"/>
  <c r="V69" i="117"/>
  <c r="W69"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115" i="12"/>
  <c r="T121" i="12"/>
  <c r="V116" i="12"/>
  <c r="T7" i="12"/>
  <c r="T108"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37" i="152"/>
  <c r="U36" i="152"/>
  <c r="U37" i="152"/>
  <c r="V37" i="152"/>
  <c r="X37" i="152"/>
  <c r="M10" i="152"/>
  <c r="M37" i="152"/>
  <c r="M21" i="152"/>
  <c r="M45" i="152"/>
  <c r="N21" i="152"/>
  <c r="N45" i="152"/>
  <c r="N38" i="152"/>
  <c r="O21" i="152"/>
  <c r="O38" i="152"/>
  <c r="P21" i="152"/>
  <c r="P38" i="152"/>
  <c r="Q21" i="152"/>
  <c r="Q45" i="152"/>
  <c r="R21" i="152"/>
  <c r="R38" i="152"/>
  <c r="T45" i="152"/>
  <c r="U45" i="152"/>
  <c r="V38" i="152"/>
  <c r="W38" i="152"/>
  <c r="X45" i="152"/>
  <c r="L10" i="152"/>
  <c r="Q6" i="152"/>
  <c r="X36" i="152"/>
  <c r="M29" i="152"/>
  <c r="N29" i="152"/>
  <c r="N39" i="152"/>
  <c r="O29" i="152"/>
  <c r="P29" i="152"/>
  <c r="P39" i="152"/>
  <c r="Q29" i="152"/>
  <c r="Q39" i="152"/>
  <c r="R29" i="152"/>
  <c r="R39" i="152"/>
  <c r="T39" i="152"/>
  <c r="U3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P48" i="151"/>
  <c r="Q48" i="151"/>
  <c r="R48" i="151"/>
  <c r="S48" i="151"/>
  <c r="T48" i="151"/>
  <c r="U48" i="151"/>
  <c r="V48" i="151"/>
  <c r="P39" i="151"/>
  <c r="Q25" i="151"/>
  <c r="Q41" i="151"/>
  <c r="Q40" i="151"/>
  <c r="R40" i="151"/>
  <c r="T40" i="151"/>
  <c r="U40" i="151"/>
  <c r="V40" i="151"/>
  <c r="P40" i="151"/>
  <c r="Q39" i="151"/>
  <c r="R39" i="151"/>
  <c r="S39" i="151"/>
  <c r="T39" i="151"/>
  <c r="U39" i="151"/>
  <c r="V39" i="151"/>
  <c r="R38" i="151"/>
  <c r="S38" i="151"/>
  <c r="U38" i="151"/>
  <c r="V38" i="151"/>
  <c r="R37" i="151"/>
  <c r="S37" i="151"/>
  <c r="U37" i="151"/>
  <c r="V37" i="151"/>
  <c r="Q7" i="151"/>
  <c r="Q38" i="151"/>
  <c r="P7" i="151"/>
  <c r="P38" i="151"/>
  <c r="O71" i="150"/>
  <c r="P71" i="150"/>
  <c r="Q71" i="150"/>
  <c r="N71" i="150"/>
  <c r="O63" i="150"/>
  <c r="P63" i="150"/>
  <c r="O62" i="150"/>
  <c r="P62" i="150"/>
  <c r="Q62" i="150"/>
  <c r="S62" i="150"/>
  <c r="T62" i="150"/>
  <c r="U62" i="150"/>
  <c r="V62" i="150"/>
  <c r="N62" i="150"/>
  <c r="O61" i="150"/>
  <c r="P61" i="150"/>
  <c r="Q61" i="150"/>
  <c r="S61" i="150"/>
  <c r="T61" i="150"/>
  <c r="U61" i="150"/>
  <c r="V61" i="150"/>
  <c r="N61" i="150"/>
  <c r="O60" i="150"/>
  <c r="P60" i="150"/>
  <c r="Q60" i="150"/>
  <c r="R60" i="150"/>
  <c r="S60" i="150"/>
  <c r="T60" i="150"/>
  <c r="U60" i="150"/>
  <c r="V60" i="150"/>
  <c r="N60" i="150"/>
  <c r="O59" i="150"/>
  <c r="P59" i="150"/>
  <c r="Q59" i="150"/>
  <c r="R59" i="150"/>
  <c r="S59" i="150"/>
  <c r="T59" i="150"/>
  <c r="U59" i="150"/>
  <c r="N59" i="150"/>
  <c r="O58" i="150"/>
  <c r="P58" i="150"/>
  <c r="Q58" i="150"/>
  <c r="R58" i="150"/>
  <c r="S58" i="150"/>
  <c r="T58" i="150"/>
  <c r="U58" i="150"/>
  <c r="N58" i="150"/>
  <c r="O57" i="150"/>
  <c r="P57" i="150"/>
  <c r="Q57" i="150"/>
  <c r="R57" i="150"/>
  <c r="S57" i="150"/>
  <c r="T57" i="150"/>
  <c r="U57" i="150"/>
  <c r="V57" i="150"/>
  <c r="N57" i="150"/>
  <c r="P56" i="150"/>
  <c r="Q56" i="150"/>
  <c r="R56" i="150"/>
  <c r="S56" i="150"/>
  <c r="T56" i="150"/>
  <c r="U56" i="150"/>
  <c r="V56" i="150"/>
  <c r="N56" i="150"/>
  <c r="O6" i="150"/>
  <c r="O55" i="150"/>
  <c r="P70" i="150"/>
  <c r="Q70" i="150"/>
  <c r="N6" i="150"/>
  <c r="N70" i="150"/>
  <c r="R63" i="122"/>
  <c r="Q71" i="122"/>
  <c r="S71" i="122"/>
  <c r="R74" i="122"/>
  <c r="T74" i="122"/>
  <c r="S80" i="122"/>
  <c r="T80" i="122"/>
  <c r="T132"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8" i="11"/>
  <c r="Q26" i="11"/>
  <c r="Q21" i="11"/>
  <c r="P47" i="5"/>
  <c r="Q47" i="5"/>
  <c r="Q74" i="5"/>
  <c r="R47" i="5"/>
  <c r="R74" i="5"/>
  <c r="Q50" i="14"/>
  <c r="Q91" i="14"/>
  <c r="R50" i="14"/>
  <c r="R91" i="14"/>
  <c r="S91" i="14"/>
  <c r="T91" i="14"/>
  <c r="U91" i="14"/>
  <c r="Q24" i="14"/>
  <c r="Q88" i="14"/>
  <c r="R24" i="14"/>
  <c r="R88" i="14"/>
  <c r="S88" i="14"/>
  <c r="T88" i="14"/>
  <c r="U88" i="14"/>
  <c r="T86"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S67" i="149" s="1"/>
  <c r="T54" i="149"/>
  <c r="U6" i="149"/>
  <c r="U67" i="149"/>
  <c r="V6" i="149"/>
  <c r="V67" i="149"/>
  <c r="L54" i="149"/>
  <c r="D125" i="12"/>
  <c r="E125" i="12"/>
  <c r="F125" i="12"/>
  <c r="G125" i="12"/>
  <c r="H125" i="12"/>
  <c r="I125" i="12"/>
  <c r="J125" i="12"/>
  <c r="K125" i="12"/>
  <c r="L125" i="12"/>
  <c r="M125" i="12"/>
  <c r="N125" i="12"/>
  <c r="O125" i="12"/>
  <c r="P125" i="12"/>
  <c r="Q125" i="12"/>
  <c r="R125" i="12"/>
  <c r="S125"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D123" i="12"/>
  <c r="E123" i="12"/>
  <c r="F123" i="12"/>
  <c r="G123" i="12"/>
  <c r="H123" i="12"/>
  <c r="I123" i="12"/>
  <c r="J123" i="12"/>
  <c r="K123" i="12"/>
  <c r="L123" i="12"/>
  <c r="M123" i="12"/>
  <c r="N123" i="12"/>
  <c r="O123" i="12"/>
  <c r="P123" i="12"/>
  <c r="R123" i="12"/>
  <c r="S123" i="12"/>
  <c r="V129" i="12"/>
  <c r="W129" i="12"/>
  <c r="Y129" i="12"/>
  <c r="U128" i="12"/>
  <c r="U118" i="12"/>
  <c r="U120" i="12"/>
  <c r="U121" i="12"/>
  <c r="U122" i="12"/>
  <c r="U107" i="12"/>
  <c r="U109" i="12"/>
  <c r="U110" i="12"/>
  <c r="U113" i="12"/>
  <c r="U115" i="12"/>
  <c r="U116" i="12"/>
  <c r="D122" i="12"/>
  <c r="E122" i="12"/>
  <c r="F122" i="12"/>
  <c r="G122" i="12"/>
  <c r="H122" i="12"/>
  <c r="I122" i="12"/>
  <c r="J122" i="12"/>
  <c r="K122" i="12"/>
  <c r="L122" i="12"/>
  <c r="M122" i="12"/>
  <c r="N122" i="12"/>
  <c r="O122" i="12"/>
  <c r="P122" i="12"/>
  <c r="Q122" i="12"/>
  <c r="R122" i="12"/>
  <c r="S122" i="12"/>
  <c r="T122" i="12"/>
  <c r="V122" i="12"/>
  <c r="W122" i="12"/>
  <c r="X122" i="12"/>
  <c r="Y122" i="12"/>
  <c r="Z122" i="12"/>
  <c r="Y121" i="12"/>
  <c r="W123" i="12"/>
  <c r="X123" i="12"/>
  <c r="Y123" i="12"/>
  <c r="Z123" i="12"/>
  <c r="V118" i="12"/>
  <c r="Z109" i="12"/>
  <c r="Z111" i="12"/>
  <c r="Z113" i="12"/>
  <c r="Z115" i="12"/>
  <c r="Z116" i="12"/>
  <c r="Z117" i="12"/>
  <c r="Z120" i="12"/>
  <c r="D115" i="12"/>
  <c r="F115" i="12"/>
  <c r="G115" i="12"/>
  <c r="H115" i="12"/>
  <c r="I115" i="12"/>
  <c r="J115" i="12"/>
  <c r="K115" i="12"/>
  <c r="L115" i="12"/>
  <c r="M115" i="12"/>
  <c r="N115" i="12"/>
  <c r="O115" i="12"/>
  <c r="P115" i="12"/>
  <c r="Q115" i="12"/>
  <c r="R115" i="12"/>
  <c r="S115" i="12"/>
  <c r="V115" i="12"/>
  <c r="W115" i="12"/>
  <c r="X115" i="12"/>
  <c r="Y115" i="12"/>
  <c r="D116" i="12"/>
  <c r="E116" i="12"/>
  <c r="F116" i="12"/>
  <c r="G116" i="12"/>
  <c r="H116" i="12"/>
  <c r="I116" i="12"/>
  <c r="J116" i="12"/>
  <c r="K116" i="12"/>
  <c r="L116" i="12"/>
  <c r="M116" i="12"/>
  <c r="N116" i="12"/>
  <c r="O116" i="12"/>
  <c r="P116" i="12"/>
  <c r="Q116" i="12"/>
  <c r="R116" i="12"/>
  <c r="S116" i="12"/>
  <c r="W116" i="12"/>
  <c r="X116" i="12"/>
  <c r="Y116" i="12"/>
  <c r="T114" i="12"/>
  <c r="D109" i="12"/>
  <c r="E109" i="12"/>
  <c r="F109" i="12"/>
  <c r="Q109" i="12"/>
  <c r="R109" i="12"/>
  <c r="S109" i="12"/>
  <c r="T109" i="12"/>
  <c r="W109" i="12"/>
  <c r="X109" i="12"/>
  <c r="Y109" i="12"/>
  <c r="V109" i="12"/>
  <c r="E16" i="12"/>
  <c r="E108" i="12"/>
  <c r="F16" i="12"/>
  <c r="F108" i="12"/>
  <c r="G16" i="12"/>
  <c r="G108" i="12"/>
  <c r="H16" i="12"/>
  <c r="I16" i="12"/>
  <c r="I108" i="12"/>
  <c r="J16" i="12"/>
  <c r="J108" i="12"/>
  <c r="K16" i="12"/>
  <c r="K108" i="12"/>
  <c r="L16" i="12"/>
  <c r="L108" i="12"/>
  <c r="M16" i="12"/>
  <c r="M108" i="12"/>
  <c r="N16" i="12"/>
  <c r="N108" i="12"/>
  <c r="O16" i="12"/>
  <c r="O108" i="12"/>
  <c r="P16" i="12"/>
  <c r="P108" i="12"/>
  <c r="Q16" i="12"/>
  <c r="Q108" i="12"/>
  <c r="R16" i="12"/>
  <c r="R108" i="12"/>
  <c r="S16" i="12"/>
  <c r="S108" i="12"/>
  <c r="D16" i="12"/>
  <c r="D108"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86" i="14"/>
  <c r="O86" i="14"/>
  <c r="M86" i="14"/>
  <c r="X50" i="113"/>
  <c r="X54" i="113"/>
  <c r="X58" i="113"/>
  <c r="X59" i="113"/>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O57" i="144"/>
  <c r="Q57" i="144"/>
  <c r="R57" i="144"/>
  <c r="S57" i="144"/>
  <c r="T57" i="144"/>
  <c r="U57" i="144"/>
  <c r="V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84" i="18"/>
  <c r="N84" i="18"/>
  <c r="O84" i="18"/>
  <c r="Q8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4" i="108"/>
  <c r="T70" i="108"/>
  <c r="P68" i="108"/>
  <c r="N28" i="108"/>
  <c r="N7" i="108"/>
  <c r="N6" i="108"/>
  <c r="N61" i="108"/>
  <c r="N19" i="108"/>
  <c r="N65" i="108"/>
  <c r="N64" i="108"/>
  <c r="Q62" i="108"/>
  <c r="T66" i="108"/>
  <c r="T67" i="108"/>
  <c r="T69" i="108"/>
  <c r="N43" i="108"/>
  <c r="Q102" i="26"/>
  <c r="P39" i="26"/>
  <c r="Q103" i="26"/>
  <c r="H149" i="73"/>
  <c r="K149" i="73"/>
  <c r="L149" i="73"/>
  <c r="M149" i="73"/>
  <c r="N149" i="73"/>
  <c r="O149" i="73"/>
  <c r="P149" i="73"/>
  <c r="Q149" i="73"/>
  <c r="T149" i="73"/>
  <c r="U149" i="73"/>
  <c r="V149" i="73"/>
  <c r="W149" i="73"/>
  <c r="S149" i="73"/>
  <c r="R151" i="73"/>
  <c r="S151" i="73"/>
  <c r="T151" i="73"/>
  <c r="U151" i="73"/>
  <c r="V151" i="73"/>
  <c r="W151" i="73"/>
  <c r="X151" i="73"/>
  <c r="I151" i="73"/>
  <c r="J151" i="73"/>
  <c r="K151" i="73"/>
  <c r="L151" i="73"/>
  <c r="M151" i="73"/>
  <c r="N151" i="73"/>
  <c r="O151" i="73"/>
  <c r="P151" i="73"/>
  <c r="H151" i="73"/>
  <c r="H150" i="73"/>
  <c r="J150" i="73"/>
  <c r="K150" i="73"/>
  <c r="L150" i="73"/>
  <c r="M150" i="73"/>
  <c r="N150" i="73"/>
  <c r="O150" i="73"/>
  <c r="P150" i="73"/>
  <c r="W156" i="73"/>
  <c r="W157" i="73"/>
  <c r="W142" i="73"/>
  <c r="X142" i="73"/>
  <c r="W143" i="73"/>
  <c r="X143" i="73"/>
  <c r="W144" i="73"/>
  <c r="X144" i="73"/>
  <c r="W145" i="73"/>
  <c r="X145" i="73"/>
  <c r="W146" i="73"/>
  <c r="X146" i="73"/>
  <c r="W147" i="73"/>
  <c r="X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3" i="145"/>
  <c r="G53" i="145"/>
  <c r="S57" i="145"/>
  <c r="S56" i="145"/>
  <c r="S55" i="145"/>
  <c r="N57" i="145"/>
  <c r="L57" i="145"/>
  <c r="J57" i="145"/>
  <c r="H57" i="145"/>
  <c r="G57" i="145"/>
  <c r="G55" i="145"/>
  <c r="G52"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5" i="89"/>
  <c r="F66"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41" i="145"/>
  <c r="H32" i="145"/>
  <c r="H56" i="145"/>
  <c r="I41" i="145"/>
  <c r="I32" i="145"/>
  <c r="I56" i="145"/>
  <c r="I58" i="145"/>
  <c r="G41" i="145"/>
  <c r="G58" i="145"/>
  <c r="O58" i="145"/>
  <c r="P58" i="145"/>
  <c r="Q58" i="145"/>
  <c r="R58" i="145"/>
  <c r="S58" i="145"/>
  <c r="J58" i="145"/>
  <c r="K58" i="145"/>
  <c r="L58" i="145"/>
  <c r="M58" i="145"/>
  <c r="N58" i="145"/>
  <c r="I38" i="145"/>
  <c r="I57" i="145"/>
  <c r="K57" i="145"/>
  <c r="M57" i="145"/>
  <c r="O57" i="145"/>
  <c r="P57" i="145"/>
  <c r="Q57" i="145"/>
  <c r="R57" i="145"/>
  <c r="P56" i="145"/>
  <c r="Q56" i="145"/>
  <c r="R56" i="145"/>
  <c r="J56" i="145"/>
  <c r="K56" i="145"/>
  <c r="L56" i="145"/>
  <c r="M56" i="145"/>
  <c r="N56" i="145"/>
  <c r="O56" i="145"/>
  <c r="H55" i="145"/>
  <c r="I55" i="145"/>
  <c r="J55" i="145"/>
  <c r="K55" i="145"/>
  <c r="L55" i="145"/>
  <c r="M55" i="145"/>
  <c r="N55" i="145"/>
  <c r="O55" i="145"/>
  <c r="P55" i="145"/>
  <c r="Q55" i="145"/>
  <c r="R55" i="145"/>
  <c r="H54" i="145"/>
  <c r="I54" i="145"/>
  <c r="J54" i="145"/>
  <c r="K54" i="145"/>
  <c r="L54" i="145"/>
  <c r="M54" i="145"/>
  <c r="N54" i="145"/>
  <c r="O54" i="145"/>
  <c r="P54" i="145"/>
  <c r="Q54" i="145"/>
  <c r="R54" i="145"/>
  <c r="S54" i="145"/>
  <c r="G54" i="145"/>
  <c r="I53" i="145"/>
  <c r="J53" i="145"/>
  <c r="K53" i="145"/>
  <c r="L53" i="145"/>
  <c r="M53" i="145"/>
  <c r="N53" i="145"/>
  <c r="O53" i="145"/>
  <c r="P53" i="145"/>
  <c r="Q53" i="145"/>
  <c r="R53" i="145"/>
  <c r="S53" i="145"/>
  <c r="S62" i="145"/>
  <c r="R62" i="145"/>
  <c r="Q62" i="145"/>
  <c r="P62" i="145"/>
  <c r="O62" i="145"/>
  <c r="N62" i="145"/>
  <c r="M62" i="145"/>
  <c r="L62" i="145"/>
  <c r="K62" i="145"/>
  <c r="J62" i="145"/>
  <c r="I62" i="145"/>
  <c r="H62" i="145"/>
  <c r="G62" i="145"/>
  <c r="S61" i="145"/>
  <c r="R61" i="145"/>
  <c r="Q61" i="145"/>
  <c r="P61" i="145"/>
  <c r="O61" i="145"/>
  <c r="N61" i="145"/>
  <c r="M61" i="145"/>
  <c r="L61" i="145"/>
  <c r="K61" i="145"/>
  <c r="J61" i="145"/>
  <c r="I61" i="145"/>
  <c r="H61" i="145"/>
  <c r="G61" i="145"/>
  <c r="S52" i="145"/>
  <c r="R52" i="145"/>
  <c r="Q52" i="145"/>
  <c r="P52" i="145"/>
  <c r="O52" i="145"/>
  <c r="N52" i="145"/>
  <c r="M52" i="145"/>
  <c r="L52" i="145"/>
  <c r="K52" i="145"/>
  <c r="J52" i="145"/>
  <c r="I52" i="145"/>
  <c r="H52" i="145"/>
  <c r="R51" i="145"/>
  <c r="N7" i="145"/>
  <c r="N51" i="145"/>
  <c r="M7" i="145"/>
  <c r="M51" i="145"/>
  <c r="J7" i="145"/>
  <c r="J51" i="145"/>
  <c r="R50" i="145"/>
  <c r="O7" i="145"/>
  <c r="O51" i="145"/>
  <c r="O50" i="145"/>
  <c r="Q7" i="145"/>
  <c r="Q51" i="145"/>
  <c r="Q50" i="145"/>
  <c r="P7" i="145"/>
  <c r="P50" i="145"/>
  <c r="N50" i="145"/>
  <c r="M50" i="145"/>
  <c r="L7" i="145"/>
  <c r="L50" i="145"/>
  <c r="K7" i="145"/>
  <c r="J50" i="145"/>
  <c r="I7" i="145"/>
  <c r="H7" i="145"/>
  <c r="H51" i="145"/>
  <c r="H50" i="145"/>
  <c r="G7" i="145"/>
  <c r="G51" i="145"/>
  <c r="J63" i="144"/>
  <c r="F63" i="144"/>
  <c r="G63" i="144"/>
  <c r="H63" i="144"/>
  <c r="I63" i="144"/>
  <c r="K63" i="144"/>
  <c r="L63" i="144"/>
  <c r="M63" i="144"/>
  <c r="N63" i="144"/>
  <c r="O63" i="144"/>
  <c r="P63" i="144"/>
  <c r="Q63" i="144"/>
  <c r="R63" i="144"/>
  <c r="S63" i="144"/>
  <c r="T63" i="144"/>
  <c r="U63" i="144"/>
  <c r="V63" i="144"/>
  <c r="F62" i="144"/>
  <c r="G62" i="144"/>
  <c r="H62" i="144"/>
  <c r="I62" i="144"/>
  <c r="J62" i="144"/>
  <c r="K62" i="144"/>
  <c r="L62" i="144"/>
  <c r="M62" i="144"/>
  <c r="N62" i="144"/>
  <c r="O62" i="144"/>
  <c r="P62" i="144"/>
  <c r="Q62" i="144"/>
  <c r="R62" i="144"/>
  <c r="S62" i="144"/>
  <c r="T62" i="144"/>
  <c r="U62" i="144"/>
  <c r="V62" i="144"/>
  <c r="J34" i="144"/>
  <c r="J61" i="144"/>
  <c r="F61" i="144"/>
  <c r="G61" i="144"/>
  <c r="H61" i="144"/>
  <c r="I61" i="144"/>
  <c r="K61" i="144"/>
  <c r="L61" i="144"/>
  <c r="M61" i="144"/>
  <c r="N61" i="144"/>
  <c r="O61" i="144"/>
  <c r="Q61" i="144"/>
  <c r="R61" i="144"/>
  <c r="S61" i="144"/>
  <c r="T61" i="144"/>
  <c r="U61" i="144"/>
  <c r="V61" i="144"/>
  <c r="P61" i="144"/>
  <c r="V67" i="144"/>
  <c r="U67" i="144"/>
  <c r="T67" i="144"/>
  <c r="S67" i="144"/>
  <c r="R67" i="144"/>
  <c r="Q67" i="144"/>
  <c r="P67" i="144"/>
  <c r="O67" i="144"/>
  <c r="N67" i="144"/>
  <c r="M67" i="144"/>
  <c r="L67" i="144"/>
  <c r="K67" i="144"/>
  <c r="J67" i="144"/>
  <c r="I67" i="144"/>
  <c r="H67" i="144"/>
  <c r="G67" i="144"/>
  <c r="F67" i="144"/>
  <c r="E67" i="144"/>
  <c r="T66" i="144"/>
  <c r="F60" i="144"/>
  <c r="G60" i="144"/>
  <c r="H60" i="144"/>
  <c r="I60" i="144"/>
  <c r="J60" i="144"/>
  <c r="K60" i="144"/>
  <c r="L60" i="144"/>
  <c r="M60" i="144"/>
  <c r="N60" i="144"/>
  <c r="O60" i="144"/>
  <c r="P60" i="144"/>
  <c r="Q60" i="144"/>
  <c r="R60" i="144"/>
  <c r="S60" i="144"/>
  <c r="T60" i="144"/>
  <c r="U60" i="144"/>
  <c r="V60" i="144"/>
  <c r="E6" i="144"/>
  <c r="E56" i="144"/>
  <c r="F59" i="144"/>
  <c r="G59" i="144"/>
  <c r="H59" i="144"/>
  <c r="I59" i="144"/>
  <c r="J59" i="144"/>
  <c r="K59" i="144"/>
  <c r="L59" i="144"/>
  <c r="M59" i="144"/>
  <c r="N59" i="144"/>
  <c r="O59" i="144"/>
  <c r="P59" i="144"/>
  <c r="Q59" i="144"/>
  <c r="R59" i="144"/>
  <c r="S59" i="144"/>
  <c r="T59" i="144"/>
  <c r="U59" i="144"/>
  <c r="V59"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V56" i="144"/>
  <c r="S56" i="144"/>
  <c r="R6" i="144"/>
  <c r="R56" i="144"/>
  <c r="Q6" i="144"/>
  <c r="Q66" i="144"/>
  <c r="P6" i="144"/>
  <c r="O66" i="144"/>
  <c r="M6" i="144"/>
  <c r="L6" i="144"/>
  <c r="L66" i="144"/>
  <c r="K6" i="144"/>
  <c r="J6" i="144"/>
  <c r="J56" i="144"/>
  <c r="I6" i="144"/>
  <c r="I66" i="144"/>
  <c r="H6" i="144"/>
  <c r="H66" i="144"/>
  <c r="G6" i="144"/>
  <c r="G5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K65" i="142"/>
  <c r="L65" i="142"/>
  <c r="M65" i="142"/>
  <c r="N65" i="142"/>
  <c r="O65" i="142"/>
  <c r="P65" i="142"/>
  <c r="S65" i="142"/>
  <c r="T65" i="142"/>
  <c r="W65" i="142"/>
  <c r="X6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2"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73" i="133"/>
  <c r="P74" i="133"/>
  <c r="P73" i="133"/>
  <c r="Q73" i="133"/>
  <c r="R74" i="133"/>
  <c r="R73" i="133"/>
  <c r="S73" i="133"/>
  <c r="T73" i="133"/>
  <c r="U73" i="133"/>
  <c r="V73"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51" i="145"/>
  <c r="P51" i="145"/>
  <c r="F56" i="144"/>
  <c r="H56" i="144"/>
  <c r="L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V77"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V76" i="128"/>
  <c r="U76" i="128"/>
  <c r="T76" i="128"/>
  <c r="S76" i="128"/>
  <c r="R37" i="128"/>
  <c r="R76" i="128"/>
  <c r="Q37" i="128"/>
  <c r="Q76" i="128"/>
  <c r="V75" i="128"/>
  <c r="U75" i="128"/>
  <c r="S75" i="128"/>
  <c r="Q35" i="128"/>
  <c r="Q75" i="128"/>
  <c r="P35" i="128"/>
  <c r="P75" i="128"/>
  <c r="O35" i="128"/>
  <c r="O75" i="128"/>
  <c r="N35" i="128"/>
  <c r="N75" i="128"/>
  <c r="M35" i="128"/>
  <c r="M75" i="128"/>
  <c r="L35" i="128"/>
  <c r="L75" i="128"/>
  <c r="K35" i="128"/>
  <c r="K75" i="128"/>
  <c r="J35" i="128"/>
  <c r="J75" i="128"/>
  <c r="I35" i="128"/>
  <c r="H35" i="128"/>
  <c r="F35" i="128"/>
  <c r="D35" i="128"/>
  <c r="X71" i="128"/>
  <c r="X72" i="128"/>
  <c r="W72" i="128"/>
  <c r="V72" i="128"/>
  <c r="U72" i="128"/>
  <c r="T71"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70" i="128"/>
  <c r="V71" i="128"/>
  <c r="U70" i="128"/>
  <c r="T70"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67" i="128"/>
  <c r="V66" i="128"/>
  <c r="V67" i="128"/>
  <c r="T67"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I49" i="123"/>
  <c r="K49" i="123"/>
  <c r="K50" i="123"/>
  <c r="N49" i="123"/>
  <c r="P61" i="123"/>
  <c r="Q52" i="123"/>
  <c r="Q62" i="123"/>
  <c r="P62" i="123"/>
  <c r="O62" i="123"/>
  <c r="N62" i="123"/>
  <c r="M62" i="123"/>
  <c r="L62" i="123"/>
  <c r="K62" i="123"/>
  <c r="J62" i="123"/>
  <c r="I62" i="123"/>
  <c r="H62" i="123"/>
  <c r="G62" i="123"/>
  <c r="F62" i="123"/>
  <c r="E62" i="123"/>
  <c r="D62" i="123"/>
  <c r="Q61" i="123"/>
  <c r="O61" i="123"/>
  <c r="N61" i="123"/>
  <c r="M61" i="123"/>
  <c r="L61" i="123"/>
  <c r="J61" i="123"/>
  <c r="H61" i="123"/>
  <c r="G61" i="123"/>
  <c r="F61" i="123"/>
  <c r="D61" i="123"/>
  <c r="Q56" i="123"/>
  <c r="P56" i="123"/>
  <c r="O56" i="123"/>
  <c r="N56" i="123"/>
  <c r="M56" i="123"/>
  <c r="L56" i="123"/>
  <c r="K56" i="123"/>
  <c r="J56" i="123"/>
  <c r="I56" i="123"/>
  <c r="H56" i="123"/>
  <c r="G56" i="123"/>
  <c r="E56" i="123"/>
  <c r="D56" i="123"/>
  <c r="Q55" i="123"/>
  <c r="P55" i="123"/>
  <c r="O55" i="123"/>
  <c r="N55" i="123"/>
  <c r="M55" i="123"/>
  <c r="L55" i="123"/>
  <c r="K55" i="123"/>
  <c r="J55" i="123"/>
  <c r="I55" i="123"/>
  <c r="H55" i="123"/>
  <c r="G55" i="123"/>
  <c r="F55" i="123"/>
  <c r="E55" i="123"/>
  <c r="D55" i="123"/>
  <c r="M54" i="123"/>
  <c r="L54" i="123"/>
  <c r="Q53" i="123"/>
  <c r="P53" i="123"/>
  <c r="O53" i="123"/>
  <c r="N53" i="123"/>
  <c r="M53" i="123"/>
  <c r="L53" i="123"/>
  <c r="K53" i="123"/>
  <c r="J53" i="123"/>
  <c r="I53" i="123"/>
  <c r="H53" i="123"/>
  <c r="G53" i="123"/>
  <c r="F53" i="123"/>
  <c r="E53" i="123"/>
  <c r="O52" i="123"/>
  <c r="L52" i="123"/>
  <c r="D52" i="123"/>
  <c r="Q50" i="123"/>
  <c r="P50" i="123"/>
  <c r="N50" i="123"/>
  <c r="M50" i="123"/>
  <c r="J50" i="123"/>
  <c r="I50" i="123"/>
  <c r="H50" i="123"/>
  <c r="G50" i="123"/>
  <c r="F50" i="123"/>
  <c r="D50" i="123"/>
  <c r="Q49" i="123"/>
  <c r="O49" i="123"/>
  <c r="M49" i="123"/>
  <c r="L49" i="123"/>
  <c r="J49" i="123"/>
  <c r="H49" i="123"/>
  <c r="G49" i="123"/>
  <c r="F49" i="123"/>
  <c r="D49" i="123"/>
  <c r="Q54" i="123"/>
  <c r="P54" i="123"/>
  <c r="O54" i="123"/>
  <c r="N54" i="123"/>
  <c r="K54" i="123"/>
  <c r="J54" i="123"/>
  <c r="I54" i="123"/>
  <c r="H54" i="123"/>
  <c r="G54" i="123"/>
  <c r="F54" i="123"/>
  <c r="E54" i="123"/>
  <c r="D54" i="123"/>
  <c r="D53" i="123"/>
  <c r="Q51" i="123"/>
  <c r="P52" i="123"/>
  <c r="N52" i="123"/>
  <c r="M51" i="123"/>
  <c r="K52" i="123"/>
  <c r="I51" i="123"/>
  <c r="G52" i="123"/>
  <c r="E51" i="123"/>
  <c r="P51" i="123"/>
  <c r="O51" i="123"/>
  <c r="L51" i="123"/>
  <c r="D51"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43" i="121"/>
  <c r="N44"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Q79" i="97"/>
  <c r="Q78" i="97"/>
  <c r="Q77" i="97"/>
  <c r="Q76" i="97"/>
  <c r="Q75" i="97"/>
  <c r="Q74" i="97"/>
  <c r="Q73" i="97"/>
  <c r="Q71" i="97"/>
  <c r="Q70" i="97"/>
  <c r="Q69" i="97"/>
  <c r="Q68" i="97"/>
  <c r="Q67" i="97"/>
  <c r="Q66" i="97"/>
  <c r="Q65" i="97"/>
  <c r="Q64" i="97"/>
  <c r="R124" i="97"/>
  <c r="Q29" i="97"/>
  <c r="Q124" i="97"/>
  <c r="P29" i="97"/>
  <c r="P124" i="97"/>
  <c r="N29" i="97"/>
  <c r="N124" i="97"/>
  <c r="M29" i="97"/>
  <c r="M124" i="97"/>
  <c r="L29" i="97"/>
  <c r="L27" i="97"/>
  <c r="L123" i="97"/>
  <c r="O123" i="97"/>
  <c r="R122" i="97"/>
  <c r="Q7" i="97"/>
  <c r="Q121" i="97"/>
  <c r="O122" i="97"/>
  <c r="N24" i="89"/>
  <c r="N66" i="89"/>
  <c r="P24" i="89"/>
  <c r="Q78" i="89"/>
  <c r="R78" i="89"/>
  <c r="N16" i="89"/>
  <c r="P34" i="89"/>
  <c r="P67" i="89"/>
  <c r="O34" i="89"/>
  <c r="O67" i="89"/>
  <c r="N34" i="89"/>
  <c r="N67" i="89"/>
  <c r="M34"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4" i="58"/>
  <c r="T85" i="58"/>
  <c r="T86" i="58"/>
  <c r="P63" i="58"/>
  <c r="P87" i="58"/>
  <c r="P40" i="58"/>
  <c r="O40" i="58"/>
  <c r="O23" i="58"/>
  <c r="O81" i="58"/>
  <c r="P23" i="58"/>
  <c r="P81" i="58"/>
  <c r="Q81" i="58"/>
  <c r="S81" i="58"/>
  <c r="P19" i="58"/>
  <c r="P77" i="58"/>
  <c r="O19" i="58"/>
  <c r="O80" i="58"/>
  <c r="T77"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5" i="47"/>
  <c r="T56" i="47"/>
  <c r="T57" i="47"/>
  <c r="T58" i="47"/>
  <c r="T60" i="47"/>
  <c r="T61" i="47"/>
  <c r="T62" i="47"/>
  <c r="T63"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77" i="128"/>
  <c r="X77" i="128"/>
  <c r="G69" i="128"/>
  <c r="R70" i="128"/>
  <c r="V70" i="128"/>
  <c r="U71" i="128"/>
  <c r="I75" i="128"/>
  <c r="X76" i="128"/>
  <c r="W77" i="128"/>
  <c r="L71" i="128"/>
  <c r="D75" i="128"/>
  <c r="H75" i="128"/>
  <c r="W76" i="128"/>
  <c r="R77" i="128"/>
  <c r="W71" i="128"/>
  <c r="G75" i="128"/>
  <c r="F59" i="125"/>
  <c r="S64" i="125"/>
  <c r="E50" i="123"/>
  <c r="K61" i="123"/>
  <c r="P49" i="123"/>
  <c r="K51" i="123"/>
  <c r="N51" i="123"/>
  <c r="E52" i="123"/>
  <c r="I52" i="123"/>
  <c r="M52"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V71" i="116"/>
  <c r="U71" i="116"/>
  <c r="T71" i="116"/>
  <c r="S71" i="116"/>
  <c r="R71" i="116"/>
  <c r="Q71" i="116"/>
  <c r="P71" i="116"/>
  <c r="O71" i="116"/>
  <c r="N71" i="116"/>
  <c r="M71" i="116"/>
  <c r="L71" i="116"/>
  <c r="K71" i="116"/>
  <c r="J71" i="116"/>
  <c r="I71" i="116"/>
  <c r="H71" i="116"/>
  <c r="G71" i="116"/>
  <c r="F71" i="116"/>
  <c r="E71" i="116"/>
  <c r="D71" i="116"/>
  <c r="V70" i="116"/>
  <c r="S70" i="116"/>
  <c r="M70" i="116"/>
  <c r="K70" i="116"/>
  <c r="J70" i="116"/>
  <c r="E70" i="116"/>
  <c r="D70" i="116"/>
  <c r="U69" i="116"/>
  <c r="S69" i="116"/>
  <c r="Q69" i="116"/>
  <c r="O69" i="116"/>
  <c r="M69" i="116"/>
  <c r="I69" i="116"/>
  <c r="F69" i="116"/>
  <c r="E69" i="116"/>
  <c r="D69" i="116"/>
  <c r="V65" i="116"/>
  <c r="U65" i="116"/>
  <c r="S65" i="116"/>
  <c r="R65" i="116"/>
  <c r="O65" i="116"/>
  <c r="N65" i="116"/>
  <c r="M65" i="116"/>
  <c r="L65" i="116"/>
  <c r="I53" i="116"/>
  <c r="I65" i="116"/>
  <c r="H65" i="116"/>
  <c r="G65" i="116"/>
  <c r="F65" i="116"/>
  <c r="E65" i="116"/>
  <c r="D65" i="116"/>
  <c r="V64" i="116"/>
  <c r="U64" i="116"/>
  <c r="O64" i="116"/>
  <c r="N64" i="116"/>
  <c r="M64" i="116"/>
  <c r="I64" i="116"/>
  <c r="H64" i="116"/>
  <c r="G64" i="116"/>
  <c r="F64" i="116"/>
  <c r="E64" i="116"/>
  <c r="D64" i="116"/>
  <c r="P63" i="116"/>
  <c r="O63" i="116"/>
  <c r="N63" i="116"/>
  <c r="I63" i="116"/>
  <c r="H63" i="116"/>
  <c r="G63" i="116"/>
  <c r="F63" i="116"/>
  <c r="E63" i="116"/>
  <c r="D63" i="116"/>
  <c r="N62" i="116"/>
  <c r="I62" i="116"/>
  <c r="G62" i="116"/>
  <c r="F62" i="116"/>
  <c r="E62" i="116"/>
  <c r="D62" i="116"/>
  <c r="V61" i="116"/>
  <c r="S61" i="116"/>
  <c r="Q61" i="116"/>
  <c r="O61" i="116"/>
  <c r="M61" i="116"/>
  <c r="K61" i="116"/>
  <c r="J61" i="116"/>
  <c r="F61" i="116"/>
  <c r="E61" i="116"/>
  <c r="D61" i="116"/>
  <c r="V60" i="116"/>
  <c r="S60" i="116"/>
  <c r="M60" i="116"/>
  <c r="K60" i="116"/>
  <c r="V59" i="116"/>
  <c r="U59" i="116"/>
  <c r="T59" i="116"/>
  <c r="S59" i="116"/>
  <c r="R59" i="116"/>
  <c r="Q59" i="116"/>
  <c r="O59" i="116"/>
  <c r="N59" i="116"/>
  <c r="M59" i="116"/>
  <c r="L59" i="116"/>
  <c r="I57" i="116"/>
  <c r="F57" i="116"/>
  <c r="E57" i="116"/>
  <c r="D57" i="116"/>
  <c r="J53" i="116"/>
  <c r="J65" i="116"/>
  <c r="T65" i="116"/>
  <c r="P47" i="116"/>
  <c r="P65" i="116"/>
  <c r="K47" i="116"/>
  <c r="K65" i="116"/>
  <c r="S64" i="116"/>
  <c r="R64" i="116"/>
  <c r="L45" i="116"/>
  <c r="L64" i="116"/>
  <c r="K45" i="116"/>
  <c r="K64" i="116"/>
  <c r="J45" i="116"/>
  <c r="J64" i="116"/>
  <c r="V62" i="116"/>
  <c r="T63" i="116"/>
  <c r="Q63" i="116"/>
  <c r="M41" i="116"/>
  <c r="M38" i="116"/>
  <c r="M62" i="116"/>
  <c r="L41" i="116"/>
  <c r="K41" i="116"/>
  <c r="J41" i="116"/>
  <c r="J38" i="116"/>
  <c r="J63" i="116"/>
  <c r="O38" i="116"/>
  <c r="O62" i="116"/>
  <c r="H38" i="116"/>
  <c r="H62" i="116"/>
  <c r="J31" i="116"/>
  <c r="J60" i="116"/>
  <c r="I31" i="116"/>
  <c r="F31" i="116"/>
  <c r="E31" i="116"/>
  <c r="E60" i="116"/>
  <c r="D31" i="116"/>
  <c r="D60" i="116"/>
  <c r="T61" i="116"/>
  <c r="R61" i="116"/>
  <c r="P18" i="116"/>
  <c r="P61" i="116"/>
  <c r="N18" i="116"/>
  <c r="N17" i="116"/>
  <c r="N60" i="116"/>
  <c r="L18" i="116"/>
  <c r="L61" i="116"/>
  <c r="I18" i="116"/>
  <c r="I61" i="116"/>
  <c r="H18" i="116"/>
  <c r="G18" i="116"/>
  <c r="G17" i="116"/>
  <c r="G70" i="116"/>
  <c r="T70" i="116"/>
  <c r="Q70" i="116"/>
  <c r="P17" i="116"/>
  <c r="O17" i="116"/>
  <c r="O70" i="116"/>
  <c r="L17" i="116"/>
  <c r="L60" i="116"/>
  <c r="L70" i="116"/>
  <c r="F17" i="116"/>
  <c r="P8" i="116"/>
  <c r="P59" i="116"/>
  <c r="K8" i="116"/>
  <c r="K59" i="116"/>
  <c r="J8" i="116"/>
  <c r="J59" i="116"/>
  <c r="I8" i="116"/>
  <c r="H8" i="116"/>
  <c r="H59" i="116"/>
  <c r="G8" i="116"/>
  <c r="G58" i="116"/>
  <c r="F8" i="116"/>
  <c r="F59" i="116"/>
  <c r="E8" i="116"/>
  <c r="D8" i="116"/>
  <c r="D59" i="116"/>
  <c r="V58" i="116"/>
  <c r="T58" i="116"/>
  <c r="S58" i="116"/>
  <c r="R58" i="116"/>
  <c r="Q58" i="116"/>
  <c r="O58" i="116"/>
  <c r="N58" i="116"/>
  <c r="L58" i="116"/>
  <c r="T69" i="116"/>
  <c r="N69" i="116"/>
  <c r="H69" i="116"/>
  <c r="G69"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61" i="115"/>
  <c r="M13" i="115"/>
  <c r="M12" i="115"/>
  <c r="L13" i="115"/>
  <c r="L61" i="115"/>
  <c r="Q68" i="115"/>
  <c r="P68" i="115"/>
  <c r="O68" i="115"/>
  <c r="K12" i="115"/>
  <c r="K68" i="115"/>
  <c r="J12" i="115"/>
  <c r="J68" i="115"/>
  <c r="Q59" i="115"/>
  <c r="P59" i="115"/>
  <c r="O59" i="115"/>
  <c r="N59" i="115"/>
  <c r="M59"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8" i="111"/>
  <c r="S88" i="111"/>
  <c r="R88" i="111"/>
  <c r="Q88" i="111"/>
  <c r="P88" i="111"/>
  <c r="O88" i="111"/>
  <c r="N88" i="111"/>
  <c r="M88" i="111"/>
  <c r="L88" i="111"/>
  <c r="K88" i="111"/>
  <c r="T87" i="111"/>
  <c r="S87" i="111"/>
  <c r="R87" i="111"/>
  <c r="Q87" i="111"/>
  <c r="P87" i="111"/>
  <c r="O87" i="111"/>
  <c r="N87" i="111"/>
  <c r="M87" i="111"/>
  <c r="L87" i="111"/>
  <c r="K87" i="111"/>
  <c r="T86" i="111"/>
  <c r="S86" i="111"/>
  <c r="R86" i="111"/>
  <c r="Q86" i="111"/>
  <c r="P86" i="111"/>
  <c r="O86" i="111"/>
  <c r="N86" i="111"/>
  <c r="M86" i="111"/>
  <c r="L86" i="111"/>
  <c r="K86" i="111"/>
  <c r="T83" i="111"/>
  <c r="S83" i="111"/>
  <c r="R83" i="111"/>
  <c r="Q83" i="111"/>
  <c r="P83" i="111"/>
  <c r="O83" i="111"/>
  <c r="N83" i="111"/>
  <c r="M83" i="111"/>
  <c r="L83" i="111"/>
  <c r="K83" i="111"/>
  <c r="T82" i="111"/>
  <c r="S82" i="111"/>
  <c r="R82" i="111"/>
  <c r="Q82" i="111"/>
  <c r="P82" i="111"/>
  <c r="O82" i="111"/>
  <c r="N82" i="111"/>
  <c r="M82" i="111"/>
  <c r="L82" i="111"/>
  <c r="K82" i="111"/>
  <c r="T81" i="111"/>
  <c r="S81" i="111"/>
  <c r="R81" i="111"/>
  <c r="P81" i="111"/>
  <c r="O81" i="111"/>
  <c r="N81" i="111"/>
  <c r="M81" i="111"/>
  <c r="L81" i="111"/>
  <c r="T80" i="111"/>
  <c r="S80" i="111"/>
  <c r="R80" i="111"/>
  <c r="P80" i="111"/>
  <c r="O80" i="111"/>
  <c r="N80" i="111"/>
  <c r="M80" i="111"/>
  <c r="L80" i="111"/>
  <c r="T79" i="111"/>
  <c r="S79" i="111"/>
  <c r="R79" i="111"/>
  <c r="Q79" i="111"/>
  <c r="P79" i="111"/>
  <c r="O79" i="111"/>
  <c r="N79" i="111"/>
  <c r="M79" i="111"/>
  <c r="L79" i="111"/>
  <c r="K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Q75" i="111"/>
  <c r="T74" i="111"/>
  <c r="S74" i="111"/>
  <c r="R74" i="111"/>
  <c r="Q74" i="111"/>
  <c r="P74" i="111"/>
  <c r="O74" i="111"/>
  <c r="N74" i="111"/>
  <c r="M74" i="111"/>
  <c r="L74" i="111"/>
  <c r="K74" i="111"/>
  <c r="T73" i="111"/>
  <c r="R73" i="111"/>
  <c r="Q73" i="111"/>
  <c r="P73" i="111"/>
  <c r="O73" i="111"/>
  <c r="N73" i="111"/>
  <c r="M73" i="111"/>
  <c r="L73" i="111"/>
  <c r="K73" i="111"/>
  <c r="T72" i="111"/>
  <c r="S72" i="111"/>
  <c r="R72" i="111"/>
  <c r="Q72" i="111"/>
  <c r="P72" i="111"/>
  <c r="O72" i="111"/>
  <c r="N72" i="111"/>
  <c r="M72" i="111"/>
  <c r="L72" i="111"/>
  <c r="K72" i="111"/>
  <c r="T71" i="111"/>
  <c r="S71" i="111"/>
  <c r="R71" i="111"/>
  <c r="Q71" i="111"/>
  <c r="P71" i="111"/>
  <c r="O71" i="111"/>
  <c r="N71" i="111"/>
  <c r="M71" i="111"/>
  <c r="L71" i="111"/>
  <c r="K71" i="111"/>
  <c r="Q50" i="111"/>
  <c r="Q49" i="111"/>
  <c r="Q80" i="111"/>
  <c r="K50" i="111"/>
  <c r="K49" i="111"/>
  <c r="K80" i="111"/>
  <c r="K81" i="111"/>
  <c r="T75" i="111"/>
  <c r="S75" i="111"/>
  <c r="R75" i="111"/>
  <c r="P75" i="111"/>
  <c r="O75" i="111"/>
  <c r="N75" i="111"/>
  <c r="M75" i="111"/>
  <c r="L75" i="111"/>
  <c r="K75" i="111"/>
  <c r="S73"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K20" i="108"/>
  <c r="K66" i="108"/>
  <c r="J20" i="108"/>
  <c r="I20" i="108"/>
  <c r="H20" i="108"/>
  <c r="H65" i="108"/>
  <c r="H66" i="108"/>
  <c r="G20" i="108"/>
  <c r="G66" i="108"/>
  <c r="G19" i="108"/>
  <c r="G74" i="108"/>
  <c r="F20" i="108"/>
  <c r="E20" i="108"/>
  <c r="E66" i="108"/>
  <c r="D20" i="108"/>
  <c r="I19" i="108"/>
  <c r="M64" i="108"/>
  <c r="K14" i="108"/>
  <c r="K64" i="108"/>
  <c r="J14" i="108"/>
  <c r="I14" i="108"/>
  <c r="I64" i="108"/>
  <c r="H14" i="108"/>
  <c r="G14" i="108"/>
  <c r="F14" i="108"/>
  <c r="E14" i="108"/>
  <c r="E64" i="108"/>
  <c r="D14" i="108"/>
  <c r="D64"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62" i="103"/>
  <c r="J71" i="103"/>
  <c r="I62" i="103"/>
  <c r="I71" i="103"/>
  <c r="H62" i="103"/>
  <c r="G71" i="103"/>
  <c r="G62" i="103"/>
  <c r="E62"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66" i="101"/>
  <c r="O73"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2" i="101"/>
  <c r="O62" i="101"/>
  <c r="N62" i="101"/>
  <c r="M61" i="101"/>
  <c r="I7" i="101"/>
  <c r="I62" i="101"/>
  <c r="R61" i="101"/>
  <c r="S75" i="129"/>
  <c r="S84" i="129"/>
  <c r="O73" i="108"/>
  <c r="O51" i="120"/>
  <c r="K51" i="120"/>
  <c r="S51" i="120"/>
  <c r="R51" i="120"/>
  <c r="Q51" i="120"/>
  <c r="S35" i="118"/>
  <c r="V32" i="118"/>
  <c r="G60" i="116"/>
  <c r="N70" i="116"/>
  <c r="O57" i="116"/>
  <c r="S57" i="116"/>
  <c r="O60" i="116"/>
  <c r="G61" i="116"/>
  <c r="I17" i="116"/>
  <c r="I70" i="116"/>
  <c r="J62" i="116"/>
  <c r="N57" i="116"/>
  <c r="F58" i="116"/>
  <c r="N61" i="116"/>
  <c r="V63" i="116"/>
  <c r="Q57" i="116"/>
  <c r="Q60" i="116"/>
  <c r="M63" i="116"/>
  <c r="P45" i="116"/>
  <c r="T64" i="116"/>
  <c r="H57" i="116"/>
  <c r="T57" i="116"/>
  <c r="D58" i="116"/>
  <c r="H58" i="116"/>
  <c r="T60" i="116"/>
  <c r="Q58" i="115"/>
  <c r="M61" i="115"/>
  <c r="K60" i="115"/>
  <c r="P63" i="114"/>
  <c r="P72" i="114"/>
  <c r="L66" i="114"/>
  <c r="P66" i="114"/>
  <c r="O66" i="114"/>
  <c r="S66" i="114"/>
  <c r="N69" i="112"/>
  <c r="R69" i="112"/>
  <c r="E69" i="112"/>
  <c r="E71" i="112"/>
  <c r="L69" i="112"/>
  <c r="Q81" i="111"/>
  <c r="S66" i="108"/>
  <c r="S67" i="108"/>
  <c r="D7" i="108"/>
  <c r="J65" i="108"/>
  <c r="J66" i="108"/>
  <c r="Q61" i="108"/>
  <c r="Q66" i="108"/>
  <c r="O67" i="108"/>
  <c r="F68" i="108"/>
  <c r="L61"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62" i="116"/>
  <c r="I60" i="116"/>
  <c r="D62" i="108"/>
  <c r="D6" i="108"/>
  <c r="D73"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53" i="99"/>
  <c r="K18" i="99"/>
  <c r="K53" i="99"/>
  <c r="J18" i="99"/>
  <c r="J53" i="99"/>
  <c r="I18" i="99"/>
  <c r="I53" i="99"/>
  <c r="H18" i="99"/>
  <c r="H53" i="99"/>
  <c r="G18" i="99"/>
  <c r="G53" i="99"/>
  <c r="O131" i="97"/>
  <c r="N131" i="97"/>
  <c r="M131" i="97"/>
  <c r="Q130" i="97"/>
  <c r="M130" i="97"/>
  <c r="L130" i="97"/>
  <c r="L80" i="97"/>
  <c r="L79" i="97"/>
  <c r="L78" i="97"/>
  <c r="L77" i="97"/>
  <c r="L76" i="97"/>
  <c r="L75" i="97"/>
  <c r="L74" i="97"/>
  <c r="L73" i="97"/>
  <c r="L71" i="97"/>
  <c r="L70" i="97"/>
  <c r="L69" i="97"/>
  <c r="L68" i="97"/>
  <c r="L67" i="97"/>
  <c r="L66" i="97"/>
  <c r="N126" i="97"/>
  <c r="L65" i="97"/>
  <c r="R131" i="97"/>
  <c r="P122" i="97"/>
  <c r="N7" i="97"/>
  <c r="N122" i="97"/>
  <c r="M7" i="97"/>
  <c r="M122" i="97"/>
  <c r="L7" i="97"/>
  <c r="L121" i="97"/>
  <c r="P21" i="11"/>
  <c r="P42" i="11"/>
  <c r="O26" i="11"/>
  <c r="O21" i="11"/>
  <c r="N26" i="11"/>
  <c r="N21" i="11"/>
  <c r="M26" i="11"/>
  <c r="M21" i="11"/>
  <c r="M42" i="11"/>
  <c r="L53" i="86"/>
  <c r="M55" i="87"/>
  <c r="M50" i="87"/>
  <c r="M48" i="87"/>
  <c r="N50" i="87"/>
  <c r="N55" i="87"/>
  <c r="P68" i="87"/>
  <c r="M69" i="87"/>
  <c r="G78" i="89"/>
  <c r="H78" i="89"/>
  <c r="I78" i="89"/>
  <c r="F78"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51" i="85"/>
  <c r="K51" i="85"/>
  <c r="H51" i="85"/>
  <c r="G51" i="85"/>
  <c r="D51" i="85"/>
  <c r="M51" i="85"/>
  <c r="I51" i="85"/>
  <c r="E51"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50" i="85"/>
  <c r="I49" i="85"/>
  <c r="R73" i="96"/>
  <c r="D49" i="85"/>
  <c r="H49" i="85"/>
  <c r="E50" i="85"/>
  <c r="R130" i="97"/>
  <c r="O127" i="97"/>
  <c r="Q131" i="97"/>
  <c r="L131" i="97"/>
  <c r="L49" i="85"/>
  <c r="J50" i="85"/>
  <c r="E49" i="85"/>
  <c r="M49"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1" i="47"/>
  <c r="Q61" i="47"/>
  <c r="R61" i="47"/>
  <c r="S61" i="47"/>
  <c r="E40" i="47"/>
  <c r="E63" i="47"/>
  <c r="F40" i="47"/>
  <c r="F63" i="47"/>
  <c r="G40" i="47"/>
  <c r="H40" i="47"/>
  <c r="H51" i="47"/>
  <c r="H61" i="47"/>
  <c r="I40" i="47"/>
  <c r="J40" i="47"/>
  <c r="J63" i="47"/>
  <c r="K40" i="47"/>
  <c r="K63" i="47"/>
  <c r="L40" i="47"/>
  <c r="L61" i="47"/>
  <c r="M40" i="47"/>
  <c r="M61" i="47"/>
  <c r="N40" i="47"/>
  <c r="O40" i="47"/>
  <c r="O63" i="47"/>
  <c r="D40" i="47"/>
  <c r="D51" i="47"/>
  <c r="D61"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9"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4" i="89"/>
  <c r="K78" i="89"/>
  <c r="L24" i="89"/>
  <c r="J24" i="89"/>
  <c r="J78" i="89" s="1"/>
  <c r="K48" i="87"/>
  <c r="E65" i="87"/>
  <c r="F74" i="87"/>
  <c r="G74" i="87"/>
  <c r="H79" i="87"/>
  <c r="I79" i="87"/>
  <c r="J65" i="87"/>
  <c r="K65" i="87"/>
  <c r="L79" i="87"/>
  <c r="M22" i="87"/>
  <c r="M74" i="87"/>
  <c r="O65" i="87"/>
  <c r="P65" i="87"/>
  <c r="T65" i="87"/>
  <c r="D79" i="87"/>
  <c r="E29" i="84"/>
  <c r="E98" i="84" s="1"/>
  <c r="G29" i="84"/>
  <c r="G98" i="84"/>
  <c r="H29" i="84"/>
  <c r="H98" i="84" s="1"/>
  <c r="I29" i="84"/>
  <c r="I98" i="84"/>
  <c r="J29" i="84"/>
  <c r="J98" i="84" s="1"/>
  <c r="K29" i="84"/>
  <c r="K110" i="84"/>
  <c r="L29" i="84"/>
  <c r="L98" i="84"/>
  <c r="M29" i="84"/>
  <c r="M110" i="84"/>
  <c r="N29" i="84"/>
  <c r="N98" i="84"/>
  <c r="O29" i="84"/>
  <c r="P98" i="84"/>
  <c r="Q98" i="84"/>
  <c r="R98" i="84"/>
  <c r="S98" i="84"/>
  <c r="F65" i="77"/>
  <c r="G19" i="77"/>
  <c r="G65" i="77"/>
  <c r="H19" i="77"/>
  <c r="H65" i="77" s="1"/>
  <c r="I19" i="77"/>
  <c r="I65" i="77" s="1"/>
  <c r="J19" i="77"/>
  <c r="J65" i="77"/>
  <c r="K19" i="77"/>
  <c r="K65" i="77"/>
  <c r="L19" i="77"/>
  <c r="L65" i="77"/>
  <c r="M19" i="77"/>
  <c r="M65" i="77"/>
  <c r="O19" i="77"/>
  <c r="O65" i="77"/>
  <c r="P65" i="77"/>
  <c r="Q65" i="77"/>
  <c r="R65" i="77"/>
  <c r="S65" i="77"/>
  <c r="T65" i="77"/>
  <c r="U65" i="77"/>
  <c r="V65" i="77"/>
  <c r="W65" i="77"/>
  <c r="E19" i="77"/>
  <c r="E65" i="77"/>
  <c r="I27" i="93"/>
  <c r="I87" i="93"/>
  <c r="J27" i="93"/>
  <c r="J87" i="93" s="1"/>
  <c r="K27" i="93"/>
  <c r="K87" i="93"/>
  <c r="L27" i="93"/>
  <c r="L87" i="93"/>
  <c r="M27" i="93"/>
  <c r="M87" i="93" s="1"/>
  <c r="N27" i="93"/>
  <c r="N87" i="93" s="1"/>
  <c r="O27" i="93"/>
  <c r="O87" i="93" s="1"/>
  <c r="P27" i="93"/>
  <c r="P87" i="93" s="1"/>
  <c r="Q87" i="93"/>
  <c r="H87" i="93"/>
  <c r="P64" i="74"/>
  <c r="Q64" i="74"/>
  <c r="R64" i="74"/>
  <c r="F24" i="80"/>
  <c r="F101" i="80"/>
  <c r="I101" i="80"/>
  <c r="J101" i="80"/>
  <c r="L101" i="80"/>
  <c r="M101"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s="1"/>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77" i="45"/>
  <c r="I23" i="45"/>
  <c r="I77" i="45"/>
  <c r="J23" i="45"/>
  <c r="J87"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70" i="34"/>
  <c r="G70" i="34"/>
  <c r="H70" i="34"/>
  <c r="I70" i="34"/>
  <c r="J21" i="34"/>
  <c r="J70" i="34"/>
  <c r="K21" i="34"/>
  <c r="K70" i="34"/>
  <c r="L21" i="34"/>
  <c r="L70" i="34"/>
  <c r="M21" i="34"/>
  <c r="M70" i="34"/>
  <c r="N70" i="34"/>
  <c r="O21" i="34"/>
  <c r="O70" i="34"/>
  <c r="P21" i="34"/>
  <c r="P70" i="34"/>
  <c r="Q21" i="34"/>
  <c r="Q70" i="34"/>
  <c r="R21" i="34"/>
  <c r="R70" i="34"/>
  <c r="D70" i="34"/>
  <c r="F21" i="26"/>
  <c r="F95" i="26" s="1"/>
  <c r="G21" i="26"/>
  <c r="G95" i="26"/>
  <c r="H21" i="26"/>
  <c r="H95" i="26"/>
  <c r="I95" i="26"/>
  <c r="J95" i="26"/>
  <c r="K95" i="26"/>
  <c r="L95" i="26"/>
  <c r="M95" i="26"/>
  <c r="N95" i="26"/>
  <c r="O95" i="26"/>
  <c r="P95" i="26"/>
  <c r="Q95" i="26"/>
  <c r="R95" i="26"/>
  <c r="E21" i="26"/>
  <c r="E95" i="26"/>
  <c r="E16" i="24"/>
  <c r="E78" i="24"/>
  <c r="F16" i="24"/>
  <c r="F78" i="24"/>
  <c r="G78" i="24"/>
  <c r="H16" i="24"/>
  <c r="H78"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D78" i="20"/>
  <c r="F26" i="18"/>
  <c r="F77" i="18" s="1"/>
  <c r="G77" i="18"/>
  <c r="H26" i="18"/>
  <c r="H77" i="18"/>
  <c r="I26" i="18"/>
  <c r="I77" i="18" s="1"/>
  <c r="J26" i="18"/>
  <c r="J77" i="18"/>
  <c r="K77" i="18"/>
  <c r="L77"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11" i="12" s="1"/>
  <c r="R129" i="12"/>
  <c r="E23" i="12"/>
  <c r="E111" i="12" s="1"/>
  <c r="G23" i="12"/>
  <c r="G129" i="12"/>
  <c r="H23" i="12"/>
  <c r="H111" i="12"/>
  <c r="I23" i="12"/>
  <c r="I111" i="12"/>
  <c r="J23" i="12"/>
  <c r="J111" i="12"/>
  <c r="K23" i="12"/>
  <c r="K129" i="12"/>
  <c r="L23" i="12"/>
  <c r="L129" i="12"/>
  <c r="M23" i="12"/>
  <c r="M111" i="12"/>
  <c r="N23" i="12"/>
  <c r="N111" i="12" s="1"/>
  <c r="O23" i="12"/>
  <c r="O129" i="12"/>
  <c r="P23" i="12"/>
  <c r="P111" i="12"/>
  <c r="Q23" i="12"/>
  <c r="Q129" i="12"/>
  <c r="S129" i="12"/>
  <c r="W111" i="12"/>
  <c r="X111" i="12"/>
  <c r="Y111" i="12"/>
  <c r="F23" i="12"/>
  <c r="F111" i="12" s="1"/>
  <c r="I53" i="7"/>
  <c r="I94" i="7"/>
  <c r="J53" i="7"/>
  <c r="J94" i="7"/>
  <c r="H68" i="6"/>
  <c r="H54" i="6"/>
  <c r="I18" i="6"/>
  <c r="I54" i="6" s="1"/>
  <c r="J18" i="6"/>
  <c r="J6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71" i="4"/>
  <c r="F20" i="4"/>
  <c r="F71" i="4"/>
  <c r="G20" i="4"/>
  <c r="G71" i="4"/>
  <c r="H20" i="4"/>
  <c r="H71" i="4"/>
  <c r="I20" i="4"/>
  <c r="I71" i="4" s="1"/>
  <c r="J20" i="4"/>
  <c r="J71" i="4" s="1"/>
  <c r="K20" i="4"/>
  <c r="K71" i="4"/>
  <c r="L20" i="4"/>
  <c r="L71" i="4" s="1"/>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6" i="89"/>
  <c r="E76" i="89"/>
  <c r="G76" i="89"/>
  <c r="H76" i="89"/>
  <c r="I76" i="89"/>
  <c r="J76" i="89"/>
  <c r="K76" i="89"/>
  <c r="L76" i="89"/>
  <c r="M76" i="89"/>
  <c r="N76" i="89"/>
  <c r="O76" i="89"/>
  <c r="P76" i="89"/>
  <c r="Q76" i="89"/>
  <c r="R76" i="89"/>
  <c r="S76" i="89"/>
  <c r="V76" i="89"/>
  <c r="W76" i="89"/>
  <c r="X76" i="89"/>
  <c r="F76"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32" i="12"/>
  <c r="E132" i="12"/>
  <c r="F132" i="12"/>
  <c r="H132" i="12"/>
  <c r="I132" i="12"/>
  <c r="J132" i="12"/>
  <c r="K132" i="12"/>
  <c r="L132" i="12"/>
  <c r="M132" i="12"/>
  <c r="O132" i="12"/>
  <c r="P132" i="12"/>
  <c r="Q132" i="12"/>
  <c r="R132" i="12"/>
  <c r="S132" i="12"/>
  <c r="D132"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I84" i="73"/>
  <c r="I83" i="73"/>
  <c r="I149" i="73"/>
  <c r="O38" i="75"/>
  <c r="R67" i="91"/>
  <c r="R83" i="91"/>
  <c r="G67" i="91"/>
  <c r="G83" i="91"/>
  <c r="P55" i="92"/>
  <c r="T83" i="91"/>
  <c r="L67" i="91"/>
  <c r="L83" i="91"/>
  <c r="H67" i="91"/>
  <c r="H83" i="91"/>
  <c r="O66"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2" i="11"/>
  <c r="N42" i="11"/>
  <c r="N123" i="9"/>
  <c r="F83" i="5"/>
  <c r="L83" i="5"/>
  <c r="M83" i="5"/>
  <c r="N83" i="5"/>
  <c r="G83" i="5"/>
  <c r="H83" i="5"/>
  <c r="I83" i="5"/>
  <c r="J83" i="5"/>
  <c r="K83" i="5"/>
  <c r="I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56"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3" i="89"/>
  <c r="H73" i="89"/>
  <c r="I73" i="89"/>
  <c r="J73" i="89"/>
  <c r="K73" i="89"/>
  <c r="Q73" i="89"/>
  <c r="R73" i="89"/>
  <c r="S73" i="89"/>
  <c r="G74" i="89"/>
  <c r="H74" i="89"/>
  <c r="I74" i="89"/>
  <c r="J74" i="89"/>
  <c r="K74" i="89"/>
  <c r="L74" i="89"/>
  <c r="M74" i="89"/>
  <c r="N74" i="89"/>
  <c r="O74" i="89"/>
  <c r="P74" i="89"/>
  <c r="Q74" i="89"/>
  <c r="R74" i="89"/>
  <c r="S74" i="89"/>
  <c r="F74" i="89"/>
  <c r="F73" i="89"/>
  <c r="S70" i="89"/>
  <c r="R70" i="89"/>
  <c r="Q70" i="89"/>
  <c r="P70" i="89"/>
  <c r="O70" i="89"/>
  <c r="N70" i="89"/>
  <c r="M70" i="89"/>
  <c r="L70" i="89"/>
  <c r="K70" i="89"/>
  <c r="J70" i="89"/>
  <c r="I70" i="89"/>
  <c r="H70" i="89"/>
  <c r="G70" i="89"/>
  <c r="F70" i="89"/>
  <c r="S69" i="89"/>
  <c r="R69" i="89"/>
  <c r="P69" i="89"/>
  <c r="O69" i="89"/>
  <c r="N69" i="89"/>
  <c r="M69" i="89"/>
  <c r="L69" i="89"/>
  <c r="K69" i="89"/>
  <c r="J69" i="89"/>
  <c r="I69" i="89"/>
  <c r="H69" i="89"/>
  <c r="G69" i="89"/>
  <c r="F69" i="89"/>
  <c r="P68" i="89"/>
  <c r="O68" i="89"/>
  <c r="N68" i="89"/>
  <c r="M68" i="89"/>
  <c r="L68" i="89"/>
  <c r="K68" i="89"/>
  <c r="J68" i="89"/>
  <c r="I68" i="89"/>
  <c r="H68" i="89"/>
  <c r="G68" i="89"/>
  <c r="F68" i="89"/>
  <c r="M67" i="89"/>
  <c r="L67" i="89"/>
  <c r="K67" i="89"/>
  <c r="J67" i="89"/>
  <c r="I67" i="89"/>
  <c r="H67" i="89"/>
  <c r="G67" i="89"/>
  <c r="F67" i="89"/>
  <c r="P65" i="89"/>
  <c r="M65" i="89"/>
  <c r="L65" i="89"/>
  <c r="K65" i="89"/>
  <c r="J65" i="89"/>
  <c r="I65" i="89"/>
  <c r="H65" i="89"/>
  <c r="G65" i="89"/>
  <c r="F65" i="89"/>
  <c r="K64" i="89"/>
  <c r="J64" i="89"/>
  <c r="G64" i="89"/>
  <c r="F64" i="89"/>
  <c r="S63" i="89"/>
  <c r="R63" i="89"/>
  <c r="Q63" i="89"/>
  <c r="K63" i="89"/>
  <c r="J63" i="89"/>
  <c r="I63" i="89"/>
  <c r="H63" i="89"/>
  <c r="G63" i="89"/>
  <c r="F63" i="89"/>
  <c r="K62" i="89"/>
  <c r="J62" i="89"/>
  <c r="I62" i="89"/>
  <c r="H62" i="89"/>
  <c r="G62" i="89"/>
  <c r="F62" i="89"/>
  <c r="S61" i="89"/>
  <c r="R61" i="89"/>
  <c r="Q61" i="89"/>
  <c r="K61" i="89"/>
  <c r="J61" i="89"/>
  <c r="I61" i="89"/>
  <c r="H61" i="89"/>
  <c r="G61" i="89"/>
  <c r="F61" i="89"/>
  <c r="I36" i="89"/>
  <c r="I66" i="89"/>
  <c r="H36" i="89"/>
  <c r="H66" i="89"/>
  <c r="G36" i="89"/>
  <c r="G66"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56" i="85"/>
  <c r="G56" i="85"/>
  <c r="M48" i="85"/>
  <c r="L48" i="85"/>
  <c r="K48" i="85"/>
  <c r="J48" i="85"/>
  <c r="I48" i="85"/>
  <c r="H48" i="85"/>
  <c r="G48" i="85"/>
  <c r="F48" i="85"/>
  <c r="E48" i="85"/>
  <c r="D48" i="85"/>
  <c r="G46" i="85"/>
  <c r="D46" i="85"/>
  <c r="G45" i="85"/>
  <c r="D45" i="85"/>
  <c r="M43" i="85"/>
  <c r="G43" i="85"/>
  <c r="F43" i="85"/>
  <c r="E43" i="85"/>
  <c r="I55" i="85"/>
  <c r="H55" i="85"/>
  <c r="G55" i="85"/>
  <c r="E55"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28"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46" i="85"/>
  <c r="E46" i="85"/>
  <c r="L55" i="85"/>
  <c r="M45" i="85"/>
  <c r="J46" i="85"/>
  <c r="K55" i="85"/>
  <c r="J55" i="85"/>
  <c r="P103" i="80"/>
  <c r="G73" i="78"/>
  <c r="G10" i="78"/>
  <c r="K42" i="86"/>
  <c r="R40" i="86"/>
  <c r="R41" i="86"/>
  <c r="S42" i="86"/>
  <c r="S43" i="86"/>
  <c r="U53" i="86"/>
  <c r="V42" i="86"/>
  <c r="J45" i="85"/>
  <c r="J56" i="85"/>
  <c r="K45" i="85"/>
  <c r="K56" i="85"/>
  <c r="K46" i="85"/>
  <c r="K43" i="85"/>
  <c r="J43" i="85"/>
  <c r="I56" i="85"/>
  <c r="I45" i="85"/>
  <c r="I46" i="85"/>
  <c r="E45" i="85"/>
  <c r="E56" i="85"/>
  <c r="H46" i="85"/>
  <c r="H45" i="85"/>
  <c r="F56" i="85"/>
  <c r="F46"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46" i="85"/>
  <c r="L45" i="85"/>
  <c r="D55" i="85"/>
  <c r="F55" i="85"/>
  <c r="L56" i="85"/>
  <c r="K50" i="86"/>
  <c r="R39" i="86"/>
  <c r="R42" i="86"/>
  <c r="U39" i="86"/>
  <c r="F45" i="85"/>
  <c r="T103" i="81"/>
  <c r="T87" i="81"/>
  <c r="R103" i="81"/>
  <c r="R87" i="81"/>
  <c r="V103" i="81"/>
  <c r="V87" i="81"/>
  <c r="H49"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0" i="12"/>
  <c r="T110" i="12"/>
  <c r="T113" i="12"/>
  <c r="T118" i="12"/>
  <c r="Q56" i="12"/>
  <c r="Q120" i="12"/>
  <c r="R56" i="12"/>
  <c r="R119" i="12"/>
  <c r="E119" i="12"/>
  <c r="F119" i="12"/>
  <c r="G119" i="12"/>
  <c r="H119" i="12"/>
  <c r="I119" i="12"/>
  <c r="J119" i="12"/>
  <c r="K119" i="12"/>
  <c r="L119" i="12"/>
  <c r="D119" i="12"/>
  <c r="Q112" i="12"/>
  <c r="Q28" i="12"/>
  <c r="Q113" i="12"/>
  <c r="Q128" i="12"/>
  <c r="Q107" i="12"/>
  <c r="Q110" i="12"/>
  <c r="Q117" i="12"/>
  <c r="Q121"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3" i="75"/>
  <c r="U53" i="75"/>
  <c r="T53" i="75"/>
  <c r="S53" i="75"/>
  <c r="R53" i="75"/>
  <c r="Q53" i="75"/>
  <c r="P53" i="75"/>
  <c r="O53" i="75"/>
  <c r="N53" i="75"/>
  <c r="M53" i="75"/>
  <c r="L53" i="75"/>
  <c r="K53" i="75"/>
  <c r="J53" i="75"/>
  <c r="I53" i="75"/>
  <c r="H53" i="75"/>
  <c r="V52" i="75"/>
  <c r="U52" i="75"/>
  <c r="S52" i="75"/>
  <c r="R52" i="75"/>
  <c r="Q52" i="75"/>
  <c r="O52" i="75"/>
  <c r="N52" i="75"/>
  <c r="M52" i="75"/>
  <c r="L52" i="75"/>
  <c r="K52" i="75"/>
  <c r="J52" i="75"/>
  <c r="I52" i="75"/>
  <c r="H52" i="75"/>
  <c r="L49" i="75"/>
  <c r="K49" i="75"/>
  <c r="J49" i="75"/>
  <c r="I49" i="75"/>
  <c r="V48" i="75"/>
  <c r="U48" i="75"/>
  <c r="T48" i="75"/>
  <c r="S48" i="75"/>
  <c r="R48" i="75"/>
  <c r="Q48" i="75"/>
  <c r="P48" i="75"/>
  <c r="O48" i="75"/>
  <c r="N48" i="75"/>
  <c r="M48" i="75"/>
  <c r="L48" i="75"/>
  <c r="K48" i="75"/>
  <c r="J48" i="75"/>
  <c r="I48" i="75"/>
  <c r="H48" i="75"/>
  <c r="V47" i="75"/>
  <c r="U47" i="75"/>
  <c r="T47" i="75"/>
  <c r="S47" i="75"/>
  <c r="R47" i="75"/>
  <c r="Q47" i="75"/>
  <c r="P47" i="75"/>
  <c r="O47" i="75"/>
  <c r="N47" i="75"/>
  <c r="M47" i="75"/>
  <c r="L47" i="75"/>
  <c r="K47" i="75"/>
  <c r="J47" i="75"/>
  <c r="I47" i="75"/>
  <c r="H47" i="75"/>
  <c r="V46" i="75"/>
  <c r="U46" i="75"/>
  <c r="T46" i="75"/>
  <c r="S46" i="75"/>
  <c r="Q46" i="75"/>
  <c r="P46" i="75"/>
  <c r="O46" i="75"/>
  <c r="N46" i="75"/>
  <c r="M46" i="75"/>
  <c r="L46" i="75"/>
  <c r="K46" i="75"/>
  <c r="J46" i="75"/>
  <c r="I46" i="75"/>
  <c r="H46" i="75"/>
  <c r="V45" i="75"/>
  <c r="U45" i="75"/>
  <c r="T45" i="75"/>
  <c r="S45" i="75"/>
  <c r="R45" i="75"/>
  <c r="Q45" i="75"/>
  <c r="P45" i="75"/>
  <c r="O45" i="75"/>
  <c r="N45" i="75"/>
  <c r="M45" i="75"/>
  <c r="L45" i="75"/>
  <c r="K45" i="75"/>
  <c r="J45" i="75"/>
  <c r="I45" i="75"/>
  <c r="H45" i="75"/>
  <c r="L39" i="75"/>
  <c r="K39" i="75"/>
  <c r="J39" i="75"/>
  <c r="I39" i="75"/>
  <c r="R38" i="75"/>
  <c r="Q38" i="75"/>
  <c r="N38" i="75"/>
  <c r="M38" i="75"/>
  <c r="L38" i="75"/>
  <c r="K38" i="75"/>
  <c r="J38" i="75"/>
  <c r="I38" i="75"/>
  <c r="H38" i="75"/>
  <c r="V44" i="75"/>
  <c r="U43" i="75"/>
  <c r="S43" i="75"/>
  <c r="Q44" i="75"/>
  <c r="O43" i="75"/>
  <c r="N7" i="75"/>
  <c r="N44" i="75"/>
  <c r="M7" i="75"/>
  <c r="M44" i="75"/>
  <c r="L7" i="75"/>
  <c r="L43" i="75"/>
  <c r="K7" i="75"/>
  <c r="K43" i="75"/>
  <c r="J7" i="75"/>
  <c r="J44" i="75"/>
  <c r="I7" i="75"/>
  <c r="I43" i="75"/>
  <c r="H7" i="75"/>
  <c r="H43"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V157" i="73"/>
  <c r="U157" i="73"/>
  <c r="T157" i="73"/>
  <c r="S157" i="73"/>
  <c r="R157" i="73"/>
  <c r="Q157" i="73"/>
  <c r="P157" i="73"/>
  <c r="O157" i="73"/>
  <c r="N157" i="73"/>
  <c r="M157" i="73"/>
  <c r="L157" i="73"/>
  <c r="K157" i="73"/>
  <c r="J157" i="73"/>
  <c r="I157" i="73"/>
  <c r="H157" i="73"/>
  <c r="V156" i="73"/>
  <c r="U156" i="73"/>
  <c r="T156" i="73"/>
  <c r="S156" i="73"/>
  <c r="R156" i="73"/>
  <c r="Q156" i="73"/>
  <c r="P156" i="73"/>
  <c r="O156" i="73"/>
  <c r="N156" i="73"/>
  <c r="M156" i="73"/>
  <c r="L156" i="73"/>
  <c r="K156" i="73"/>
  <c r="J156" i="73"/>
  <c r="I156" i="73"/>
  <c r="H156" i="73"/>
  <c r="P148" i="73"/>
  <c r="O148" i="73"/>
  <c r="N148" i="73"/>
  <c r="M148" i="73"/>
  <c r="L148" i="73"/>
  <c r="K148" i="73"/>
  <c r="H148" i="73"/>
  <c r="V147" i="73"/>
  <c r="U147" i="73"/>
  <c r="T147" i="73"/>
  <c r="S147" i="73"/>
  <c r="R147" i="73"/>
  <c r="Q147" i="73"/>
  <c r="P147" i="73"/>
  <c r="O147" i="73"/>
  <c r="N147" i="73"/>
  <c r="M147" i="73"/>
  <c r="L147" i="73"/>
  <c r="K147" i="73"/>
  <c r="J147" i="73"/>
  <c r="I147" i="73"/>
  <c r="H147" i="73"/>
  <c r="V146" i="73"/>
  <c r="U146" i="73"/>
  <c r="T146" i="73"/>
  <c r="S146" i="73"/>
  <c r="R146" i="73"/>
  <c r="Q146" i="73"/>
  <c r="P146" i="73"/>
  <c r="O146" i="73"/>
  <c r="N146" i="73"/>
  <c r="M146" i="73"/>
  <c r="L146" i="73"/>
  <c r="K146" i="73"/>
  <c r="J146" i="73"/>
  <c r="I146" i="73"/>
  <c r="H146" i="73"/>
  <c r="V145" i="73"/>
  <c r="U145" i="73"/>
  <c r="T145" i="73"/>
  <c r="S145" i="73"/>
  <c r="R145" i="73"/>
  <c r="Q145" i="73"/>
  <c r="P145" i="73"/>
  <c r="O145" i="73"/>
  <c r="N145" i="73"/>
  <c r="M145" i="73"/>
  <c r="L145" i="73"/>
  <c r="K145" i="73"/>
  <c r="J145" i="73"/>
  <c r="I145" i="73"/>
  <c r="V144" i="73"/>
  <c r="U144" i="73"/>
  <c r="T144" i="73"/>
  <c r="S144" i="73"/>
  <c r="R144" i="73"/>
  <c r="Q144" i="73"/>
  <c r="P144" i="73"/>
  <c r="O144" i="73"/>
  <c r="N144" i="73"/>
  <c r="M144" i="73"/>
  <c r="L144" i="73"/>
  <c r="K144" i="73"/>
  <c r="J144" i="73"/>
  <c r="I144" i="73"/>
  <c r="H144" i="73"/>
  <c r="V143" i="73"/>
  <c r="U143" i="73"/>
  <c r="T143" i="73"/>
  <c r="S143" i="73"/>
  <c r="R143" i="73"/>
  <c r="Q143" i="73"/>
  <c r="P143" i="73"/>
  <c r="O143" i="73"/>
  <c r="N143" i="73"/>
  <c r="M143" i="73"/>
  <c r="L143" i="73"/>
  <c r="H143" i="73"/>
  <c r="V142" i="73"/>
  <c r="U142" i="73"/>
  <c r="T142" i="73"/>
  <c r="S142" i="73"/>
  <c r="R142" i="73"/>
  <c r="Q142" i="73"/>
  <c r="P142" i="73"/>
  <c r="O142" i="73"/>
  <c r="N142" i="73"/>
  <c r="M142" i="73"/>
  <c r="L142" i="73"/>
  <c r="K142" i="73"/>
  <c r="J142" i="73"/>
  <c r="I142" i="73"/>
  <c r="H142" i="73"/>
  <c r="Q141" i="73"/>
  <c r="P141" i="73"/>
  <c r="O141" i="73"/>
  <c r="N141" i="73"/>
  <c r="M141" i="73"/>
  <c r="L141" i="73"/>
  <c r="K141" i="73"/>
  <c r="J141" i="73"/>
  <c r="I141" i="73"/>
  <c r="H141" i="73"/>
  <c r="P140" i="73"/>
  <c r="O140" i="73"/>
  <c r="N140" i="73"/>
  <c r="M140" i="73"/>
  <c r="L140" i="73"/>
  <c r="K140" i="73"/>
  <c r="J140" i="73"/>
  <c r="I140" i="73"/>
  <c r="H140" i="73"/>
  <c r="Q139" i="73"/>
  <c r="P139" i="73"/>
  <c r="O139" i="73"/>
  <c r="N139" i="73"/>
  <c r="M139" i="73"/>
  <c r="L139" i="73"/>
  <c r="K139" i="73"/>
  <c r="J139" i="73"/>
  <c r="I139" i="73"/>
  <c r="H139" i="73"/>
  <c r="M138" i="73"/>
  <c r="L138" i="73"/>
  <c r="K138" i="73"/>
  <c r="J138" i="73"/>
  <c r="H138" i="73"/>
  <c r="Q137" i="73"/>
  <c r="P137" i="73"/>
  <c r="O137" i="73"/>
  <c r="N137" i="73"/>
  <c r="M137" i="73"/>
  <c r="L137" i="73"/>
  <c r="K137" i="73"/>
  <c r="J137" i="73"/>
  <c r="I137" i="73"/>
  <c r="H137" i="73"/>
  <c r="J83" i="73"/>
  <c r="J149" i="73"/>
  <c r="J73" i="73"/>
  <c r="J148" i="73"/>
  <c r="I73" i="73"/>
  <c r="I148" i="73"/>
  <c r="H56" i="73"/>
  <c r="H145" i="73"/>
  <c r="K43" i="73"/>
  <c r="K143" i="73"/>
  <c r="J41" i="73"/>
  <c r="J143" i="73"/>
  <c r="I41" i="73"/>
  <c r="I143" i="73"/>
  <c r="Q138" i="73"/>
  <c r="P138" i="73"/>
  <c r="O138" i="73"/>
  <c r="N138" i="73"/>
  <c r="I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4" i="75"/>
  <c r="L101" i="65"/>
  <c r="P62" i="66"/>
  <c r="P27" i="66"/>
  <c r="P61" i="66"/>
  <c r="O73" i="62"/>
  <c r="U56" i="66"/>
  <c r="K44" i="75"/>
  <c r="H31" i="76"/>
  <c r="L49" i="71"/>
  <c r="L45" i="71"/>
  <c r="T45" i="71"/>
  <c r="J45" i="71"/>
  <c r="J49" i="71"/>
  <c r="N45" i="71"/>
  <c r="V45" i="71"/>
  <c r="Q55" i="76"/>
  <c r="L17" i="77"/>
  <c r="T63" i="77"/>
  <c r="P73" i="62"/>
  <c r="R72" i="62"/>
  <c r="Q49" i="71"/>
  <c r="Q45" i="71"/>
  <c r="J76" i="78"/>
  <c r="J48" i="78"/>
  <c r="J47" i="78"/>
  <c r="J74" i="78"/>
  <c r="N65" i="76"/>
  <c r="K17" i="77"/>
  <c r="K63" i="77"/>
  <c r="S63" i="77"/>
  <c r="W73" i="77"/>
  <c r="O63" i="77"/>
  <c r="S73" i="77"/>
  <c r="P63" i="77"/>
  <c r="D77" i="78"/>
  <c r="H58" i="76"/>
  <c r="D58" i="76"/>
  <c r="J65" i="76"/>
  <c r="N55" i="76"/>
  <c r="G58" i="76"/>
  <c r="O44" i="75"/>
  <c r="H44" i="75"/>
  <c r="P44" i="75"/>
  <c r="L44" i="75"/>
  <c r="T44"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3" i="75"/>
  <c r="N43" i="75"/>
  <c r="R43" i="75"/>
  <c r="V43" i="75"/>
  <c r="M43" i="75"/>
  <c r="Q43" i="75"/>
  <c r="I44" i="75"/>
  <c r="U44"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N62" i="51"/>
  <c r="M62" i="51"/>
  <c r="L62" i="51"/>
  <c r="K62" i="51"/>
  <c r="J62" i="51"/>
  <c r="I62" i="51"/>
  <c r="H62" i="51"/>
  <c r="G62" i="51"/>
  <c r="L53" i="51"/>
  <c r="L72"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8" i="47"/>
  <c r="R68" i="47"/>
  <c r="Q68" i="47"/>
  <c r="P68" i="47"/>
  <c r="O68" i="47"/>
  <c r="L68" i="47"/>
  <c r="K68" i="47"/>
  <c r="J68" i="47"/>
  <c r="I68" i="47"/>
  <c r="H68" i="47"/>
  <c r="G68" i="47"/>
  <c r="F68" i="47"/>
  <c r="E68" i="47"/>
  <c r="D68" i="47"/>
  <c r="S67" i="47"/>
  <c r="R67" i="47"/>
  <c r="Q67" i="47"/>
  <c r="P67" i="47"/>
  <c r="O67" i="47"/>
  <c r="M67" i="47"/>
  <c r="L67" i="47"/>
  <c r="K67" i="47"/>
  <c r="J67" i="47"/>
  <c r="I67" i="47"/>
  <c r="H67" i="47"/>
  <c r="G67" i="47"/>
  <c r="F67" i="47"/>
  <c r="E67" i="47"/>
  <c r="D67" i="47"/>
  <c r="S63" i="47"/>
  <c r="Q63" i="47"/>
  <c r="P63" i="47"/>
  <c r="S62" i="47"/>
  <c r="R62" i="47"/>
  <c r="Q62" i="47"/>
  <c r="O62" i="47"/>
  <c r="M62" i="47"/>
  <c r="L62" i="47"/>
  <c r="K62" i="47"/>
  <c r="J62" i="47"/>
  <c r="I62" i="47"/>
  <c r="H62" i="47"/>
  <c r="G62" i="47"/>
  <c r="F62" i="47"/>
  <c r="E62" i="47"/>
  <c r="D62" i="47"/>
  <c r="S60" i="47"/>
  <c r="R60" i="47"/>
  <c r="Q60" i="47"/>
  <c r="P60" i="47"/>
  <c r="O60" i="47"/>
  <c r="M60" i="47"/>
  <c r="Q59" i="47"/>
  <c r="O59" i="47"/>
  <c r="L59" i="47"/>
  <c r="K59" i="47"/>
  <c r="J59" i="47"/>
  <c r="I59" i="47"/>
  <c r="H59" i="47"/>
  <c r="G59" i="47"/>
  <c r="F59" i="47"/>
  <c r="E59" i="47"/>
  <c r="S58" i="47"/>
  <c r="R58" i="47"/>
  <c r="Q58" i="47"/>
  <c r="P58" i="47"/>
  <c r="O58" i="47"/>
  <c r="M58" i="47"/>
  <c r="L58" i="47"/>
  <c r="K58" i="47"/>
  <c r="J58" i="47"/>
  <c r="I58" i="47"/>
  <c r="H58" i="47"/>
  <c r="G58" i="47"/>
  <c r="F58" i="47"/>
  <c r="E58" i="47"/>
  <c r="D58" i="47"/>
  <c r="R57" i="47"/>
  <c r="P57" i="47"/>
  <c r="O57" i="47"/>
  <c r="M57" i="47"/>
  <c r="L57" i="47"/>
  <c r="K57" i="47"/>
  <c r="J57" i="47"/>
  <c r="I57" i="47"/>
  <c r="H57" i="47"/>
  <c r="G57" i="47"/>
  <c r="F57" i="47"/>
  <c r="E57" i="47"/>
  <c r="D57" i="47"/>
  <c r="S56" i="47"/>
  <c r="R56" i="47"/>
  <c r="Q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I51" i="47"/>
  <c r="F51" i="47"/>
  <c r="F61" i="47"/>
  <c r="E51" i="47"/>
  <c r="E61" i="47"/>
  <c r="L30" i="47"/>
  <c r="L60" i="47"/>
  <c r="K30" i="47"/>
  <c r="K60" i="47"/>
  <c r="J30" i="47"/>
  <c r="J60" i="47"/>
  <c r="I30" i="47"/>
  <c r="I60" i="47"/>
  <c r="H30" i="47"/>
  <c r="H60" i="47"/>
  <c r="G26" i="47"/>
  <c r="G60" i="47"/>
  <c r="F26" i="47"/>
  <c r="F60" i="47"/>
  <c r="E26" i="47"/>
  <c r="E60" i="47"/>
  <c r="D26" i="47"/>
  <c r="D60"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87" i="42" s="1"/>
  <c r="P68" i="42"/>
  <c r="O7" i="42"/>
  <c r="O69" i="42"/>
  <c r="M69" i="42"/>
  <c r="L7" i="42"/>
  <c r="L6" i="42" s="1"/>
  <c r="K7" i="42"/>
  <c r="J7" i="42"/>
  <c r="J6" i="42"/>
  <c r="J87" i="42" s="1"/>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O84" i="31"/>
  <c r="N25" i="31"/>
  <c r="N84" i="31"/>
  <c r="M25" i="31"/>
  <c r="M84" i="31"/>
  <c r="L25" i="31"/>
  <c r="L84" i="31"/>
  <c r="K25" i="31"/>
  <c r="J25" i="31"/>
  <c r="J84" i="31"/>
  <c r="I25" i="31"/>
  <c r="I84" i="31"/>
  <c r="H25" i="31"/>
  <c r="H84" i="31"/>
  <c r="G25" i="31"/>
  <c r="G84" i="31"/>
  <c r="F25" i="31"/>
  <c r="F84" i="31"/>
  <c r="E25" i="31"/>
  <c r="E84" i="31"/>
  <c r="D25" i="31"/>
  <c r="D84" i="31"/>
  <c r="V82" i="31"/>
  <c r="R82" i="31"/>
  <c r="Q19" i="31"/>
  <c r="Q83" i="31"/>
  <c r="P19" i="31"/>
  <c r="P18" i="31"/>
  <c r="O19" i="31"/>
  <c r="O18" i="31"/>
  <c r="O82" i="31"/>
  <c r="N19" i="31"/>
  <c r="N18" i="31"/>
  <c r="N82" i="31"/>
  <c r="M19" i="31"/>
  <c r="M18" i="31"/>
  <c r="M82" i="31"/>
  <c r="L19" i="31"/>
  <c r="L83" i="31"/>
  <c r="L18" i="31"/>
  <c r="L82" i="31"/>
  <c r="K19" i="31"/>
  <c r="K18" i="31"/>
  <c r="K82" i="31"/>
  <c r="J19" i="31"/>
  <c r="J18" i="31"/>
  <c r="J82" i="31"/>
  <c r="I19" i="31"/>
  <c r="I34" i="31"/>
  <c r="H19" i="31"/>
  <c r="H34" i="31"/>
  <c r="G19" i="31"/>
  <c r="F19" i="31"/>
  <c r="F34" i="31"/>
  <c r="F83" i="31"/>
  <c r="E19" i="31"/>
  <c r="E34" i="31"/>
  <c r="E83"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09" i="30"/>
  <c r="K109" i="30"/>
  <c r="J109" i="30"/>
  <c r="I109"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R76" i="29"/>
  <c r="N76" i="29"/>
  <c r="H108" i="30"/>
  <c r="R73" i="33"/>
  <c r="P82" i="31"/>
  <c r="T83" i="31"/>
  <c r="T82" i="31"/>
  <c r="D118" i="30"/>
  <c r="J114" i="30"/>
  <c r="J73" i="33"/>
  <c r="J56" i="38"/>
  <c r="H56" i="38"/>
  <c r="L125" i="30"/>
  <c r="V83"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28" i="12"/>
  <c r="S107" i="12"/>
  <c r="S110" i="12"/>
  <c r="S113" i="12"/>
  <c r="S118" i="12"/>
  <c r="S121" i="12"/>
  <c r="S28" i="12"/>
  <c r="J77" i="15"/>
  <c r="J76"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101" i="27"/>
  <c r="K114" i="27"/>
  <c r="J42" i="27"/>
  <c r="J114" i="27"/>
  <c r="I42" i="27"/>
  <c r="I101" i="27"/>
  <c r="H42" i="27"/>
  <c r="H101"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2" i="15"/>
  <c r="G114" i="15"/>
  <c r="F77" i="15"/>
  <c r="I76" i="15"/>
  <c r="I112" i="15"/>
  <c r="F76" i="15"/>
  <c r="F112" i="15"/>
  <c r="G70" i="15"/>
  <c r="T110" i="15"/>
  <c r="S110" i="15"/>
  <c r="Q60" i="15"/>
  <c r="Q110" i="15"/>
  <c r="P60" i="15"/>
  <c r="P110" i="15"/>
  <c r="O60" i="15"/>
  <c r="O110" i="15"/>
  <c r="N60" i="15"/>
  <c r="N110" i="15"/>
  <c r="M60" i="15"/>
  <c r="M110" i="15"/>
  <c r="T111" i="15"/>
  <c r="S111" i="15"/>
  <c r="R111" i="15"/>
  <c r="Q48" i="15"/>
  <c r="Q31" i="15"/>
  <c r="Q111" i="15"/>
  <c r="P48" i="15"/>
  <c r="P31" i="15"/>
  <c r="P105" i="15"/>
  <c r="O48" i="15"/>
  <c r="O31" i="15"/>
  <c r="O105" i="15"/>
  <c r="N48" i="15"/>
  <c r="N28" i="15"/>
  <c r="N31" i="15"/>
  <c r="N105" i="15"/>
  <c r="M48" i="15"/>
  <c r="M31" i="15"/>
  <c r="M105" i="15"/>
  <c r="M111" i="15"/>
  <c r="L48" i="15"/>
  <c r="L31" i="15"/>
  <c r="L105" i="15"/>
  <c r="K48" i="15"/>
  <c r="K31" i="15"/>
  <c r="K105" i="15"/>
  <c r="J48" i="15"/>
  <c r="J111" i="15"/>
  <c r="I48" i="15"/>
  <c r="I111" i="15"/>
  <c r="I28" i="15"/>
  <c r="H48" i="15"/>
  <c r="H111" i="15"/>
  <c r="G48" i="15"/>
  <c r="G28" i="15"/>
  <c r="I47" i="15"/>
  <c r="I107" i="15"/>
  <c r="H47" i="15"/>
  <c r="H107" i="15"/>
  <c r="G47" i="15"/>
  <c r="G107" i="15"/>
  <c r="F47" i="15"/>
  <c r="F107" i="15"/>
  <c r="I34" i="15"/>
  <c r="H34" i="15"/>
  <c r="G34" i="15"/>
  <c r="F34" i="15"/>
  <c r="F106" i="15"/>
  <c r="G32"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28" i="12"/>
  <c r="X128" i="12"/>
  <c r="W128" i="12"/>
  <c r="V128" i="12"/>
  <c r="R128" i="12"/>
  <c r="P128" i="12"/>
  <c r="O128" i="12"/>
  <c r="N128" i="12"/>
  <c r="M128" i="12"/>
  <c r="L128" i="12"/>
  <c r="K128" i="12"/>
  <c r="J128" i="12"/>
  <c r="I128" i="12"/>
  <c r="G128" i="12"/>
  <c r="F128" i="12"/>
  <c r="E128" i="12"/>
  <c r="D128" i="12"/>
  <c r="R121" i="12"/>
  <c r="P121" i="12"/>
  <c r="O121" i="12"/>
  <c r="N121" i="12"/>
  <c r="M121" i="12"/>
  <c r="L121" i="12"/>
  <c r="K121" i="12"/>
  <c r="J121" i="12"/>
  <c r="I121" i="12"/>
  <c r="H121" i="12"/>
  <c r="G121" i="12"/>
  <c r="F121" i="12"/>
  <c r="E121" i="12"/>
  <c r="D121" i="12"/>
  <c r="R118" i="12"/>
  <c r="P118" i="12"/>
  <c r="O118" i="12"/>
  <c r="N118" i="12"/>
  <c r="M118" i="12"/>
  <c r="L118" i="12"/>
  <c r="K118" i="12"/>
  <c r="J118" i="12"/>
  <c r="I118" i="12"/>
  <c r="H118" i="12"/>
  <c r="G118" i="12"/>
  <c r="F118" i="12"/>
  <c r="E118" i="12"/>
  <c r="D118" i="12"/>
  <c r="Y117" i="12"/>
  <c r="X117" i="12"/>
  <c r="W117" i="12"/>
  <c r="R117" i="12"/>
  <c r="P117" i="12"/>
  <c r="O117" i="12"/>
  <c r="N117" i="12"/>
  <c r="M117" i="12"/>
  <c r="L117" i="12"/>
  <c r="K117" i="12"/>
  <c r="J117" i="12"/>
  <c r="I117" i="12"/>
  <c r="H117" i="12"/>
  <c r="G117" i="12"/>
  <c r="F117" i="12"/>
  <c r="E117" i="12"/>
  <c r="D117" i="12"/>
  <c r="Y113" i="12"/>
  <c r="X113" i="12"/>
  <c r="W113" i="12"/>
  <c r="V113" i="12"/>
  <c r="R113" i="12"/>
  <c r="P113" i="12"/>
  <c r="O113" i="12"/>
  <c r="N113" i="12"/>
  <c r="M113" i="12"/>
  <c r="L113" i="12"/>
  <c r="K113" i="12"/>
  <c r="J113" i="12"/>
  <c r="I113" i="12"/>
  <c r="H113" i="12"/>
  <c r="G113" i="12"/>
  <c r="F113" i="12"/>
  <c r="E113" i="12"/>
  <c r="D113" i="12"/>
  <c r="F112" i="12"/>
  <c r="W110" i="12"/>
  <c r="V110" i="12"/>
  <c r="R110" i="12"/>
  <c r="P110" i="12"/>
  <c r="O110" i="12"/>
  <c r="N110" i="12"/>
  <c r="M110" i="12"/>
  <c r="L110" i="12"/>
  <c r="K110" i="12"/>
  <c r="J110" i="12"/>
  <c r="I110" i="12"/>
  <c r="H110" i="12"/>
  <c r="G110" i="12"/>
  <c r="F110" i="12"/>
  <c r="E110" i="12"/>
  <c r="D110" i="12"/>
  <c r="R107" i="12"/>
  <c r="P107" i="12"/>
  <c r="O107" i="12"/>
  <c r="N107" i="12"/>
  <c r="M107" i="12"/>
  <c r="L107" i="12"/>
  <c r="K107" i="12"/>
  <c r="J107" i="12"/>
  <c r="I107" i="12"/>
  <c r="G107" i="12"/>
  <c r="F107" i="12"/>
  <c r="E107" i="12"/>
  <c r="D107" i="12"/>
  <c r="S56" i="12"/>
  <c r="S119" i="12"/>
  <c r="P56" i="12"/>
  <c r="P119" i="12"/>
  <c r="O56" i="12"/>
  <c r="O119" i="12"/>
  <c r="N56" i="12"/>
  <c r="N119" i="12"/>
  <c r="M56" i="12"/>
  <c r="M119" i="12"/>
  <c r="L56" i="12"/>
  <c r="L120" i="12"/>
  <c r="K56" i="12"/>
  <c r="K120" i="12"/>
  <c r="J56" i="12"/>
  <c r="J120" i="12"/>
  <c r="I56" i="12"/>
  <c r="I120" i="12"/>
  <c r="H56" i="12"/>
  <c r="H120" i="12"/>
  <c r="G56" i="12"/>
  <c r="G120" i="12"/>
  <c r="F56" i="12"/>
  <c r="F120" i="12"/>
  <c r="E56" i="12"/>
  <c r="E120" i="12"/>
  <c r="D56" i="12"/>
  <c r="D120" i="12"/>
  <c r="D47" i="12"/>
  <c r="D23" i="12"/>
  <c r="D129" i="12"/>
  <c r="R29" i="12"/>
  <c r="S112" i="12"/>
  <c r="P112" i="12"/>
  <c r="O29" i="12"/>
  <c r="O112" i="12"/>
  <c r="N29" i="12"/>
  <c r="N112" i="12"/>
  <c r="M29" i="12"/>
  <c r="M112" i="12"/>
  <c r="L29" i="12"/>
  <c r="L112" i="12"/>
  <c r="K29" i="12"/>
  <c r="K112" i="12"/>
  <c r="J112" i="12"/>
  <c r="I29" i="12"/>
  <c r="I112" i="12"/>
  <c r="H29" i="12"/>
  <c r="H112" i="12"/>
  <c r="G29" i="12"/>
  <c r="G112" i="12"/>
  <c r="E29" i="12"/>
  <c r="E112" i="12"/>
  <c r="D29" i="12"/>
  <c r="D112" i="12"/>
  <c r="G22" i="12"/>
  <c r="G132" i="12"/>
  <c r="P15" i="12"/>
  <c r="P109" i="12"/>
  <c r="O15" i="12"/>
  <c r="O109" i="12"/>
  <c r="N15" i="12"/>
  <c r="N109" i="12"/>
  <c r="M15" i="12"/>
  <c r="M109" i="12"/>
  <c r="L15" i="12"/>
  <c r="L109" i="12"/>
  <c r="K15" i="12"/>
  <c r="K109" i="12"/>
  <c r="J15" i="12"/>
  <c r="J109" i="12"/>
  <c r="I15" i="12"/>
  <c r="I109" i="12"/>
  <c r="G15" i="12"/>
  <c r="G109" i="12"/>
  <c r="S47" i="11"/>
  <c r="R47" i="11"/>
  <c r="Q47" i="11"/>
  <c r="P47" i="11"/>
  <c r="O47" i="11"/>
  <c r="N47" i="11"/>
  <c r="M47" i="11"/>
  <c r="L47" i="11"/>
  <c r="K47" i="11"/>
  <c r="J47" i="11"/>
  <c r="I47" i="11"/>
  <c r="H47" i="11"/>
  <c r="G47" i="11"/>
  <c r="S46" i="11"/>
  <c r="R46" i="11"/>
  <c r="Q46" i="11"/>
  <c r="P46" i="11"/>
  <c r="O46" i="11"/>
  <c r="N46" i="11"/>
  <c r="M46" i="11"/>
  <c r="L46" i="11"/>
  <c r="K46" i="11"/>
  <c r="J46" i="11"/>
  <c r="I46" i="11"/>
  <c r="H46" i="11"/>
  <c r="G46" i="11"/>
  <c r="S43" i="11"/>
  <c r="R43" i="11"/>
  <c r="Q43" i="11"/>
  <c r="P43" i="11"/>
  <c r="O43" i="11"/>
  <c r="N43" i="11"/>
  <c r="M43" i="11"/>
  <c r="L43" i="11"/>
  <c r="K43" i="11"/>
  <c r="J43" i="11"/>
  <c r="I43" i="11"/>
  <c r="H43" i="11"/>
  <c r="G43" i="11"/>
  <c r="L42" i="11"/>
  <c r="K42" i="11"/>
  <c r="J42" i="11"/>
  <c r="I42" i="11"/>
  <c r="H42" i="11"/>
  <c r="G42" i="11"/>
  <c r="S41" i="11"/>
  <c r="R41" i="11"/>
  <c r="Q41" i="11"/>
  <c r="P41" i="11"/>
  <c r="O41" i="11"/>
  <c r="N41" i="11"/>
  <c r="M41" i="11"/>
  <c r="L41" i="11"/>
  <c r="K41" i="11"/>
  <c r="J41" i="11"/>
  <c r="I41" i="11"/>
  <c r="H41" i="11"/>
  <c r="G41" i="11"/>
  <c r="S40" i="11"/>
  <c r="R40" i="11"/>
  <c r="Q40" i="11"/>
  <c r="P40" i="11"/>
  <c r="O40" i="11"/>
  <c r="N40" i="11"/>
  <c r="M40" i="11"/>
  <c r="L40" i="11"/>
  <c r="K40" i="11"/>
  <c r="J40" i="11"/>
  <c r="I40" i="11"/>
  <c r="H40" i="11"/>
  <c r="G40" i="11"/>
  <c r="F40" i="11"/>
  <c r="E40" i="11"/>
  <c r="D40" i="11"/>
  <c r="Y120" i="12"/>
  <c r="X120" i="12"/>
  <c r="W120" i="12"/>
  <c r="V120"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N79" i="32"/>
  <c r="J101" i="27"/>
  <c r="L79" i="32"/>
  <c r="L80" i="32"/>
  <c r="O80" i="32"/>
  <c r="K117" i="9"/>
  <c r="K121" i="9"/>
  <c r="D20" i="57"/>
  <c r="D76" i="57"/>
  <c r="D78" i="57"/>
  <c r="H43" i="88"/>
  <c r="H7" i="88"/>
  <c r="H42" i="88"/>
  <c r="D102" i="80"/>
  <c r="D24" i="80"/>
  <c r="D101" i="80"/>
  <c r="D6" i="81"/>
  <c r="D88" i="81"/>
  <c r="E63" i="13"/>
  <c r="J36" i="20"/>
  <c r="J82" i="20"/>
  <c r="O71" i="43"/>
  <c r="K73" i="33"/>
  <c r="D82" i="31"/>
  <c r="P72" i="41"/>
  <c r="G80" i="57"/>
  <c r="Q65" i="59"/>
  <c r="P102" i="80"/>
  <c r="P24" i="80"/>
  <c r="P101" i="80"/>
  <c r="I6" i="27"/>
  <c r="I97" i="27"/>
  <c r="O6" i="27"/>
  <c r="K6" i="27"/>
  <c r="K110" i="27"/>
  <c r="W73" i="33"/>
  <c r="T79" i="33"/>
  <c r="R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7" i="116"/>
  <c r="L69" i="116"/>
  <c r="M57" i="116"/>
  <c r="M58" i="116"/>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7" i="116"/>
  <c r="P70" i="116"/>
  <c r="P60" i="116"/>
  <c r="H61" i="116"/>
  <c r="H17" i="116"/>
  <c r="H60" i="116"/>
  <c r="Q62" i="116"/>
  <c r="Q64" i="116"/>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62" i="115"/>
  <c r="K63" i="115"/>
  <c r="U58" i="116"/>
  <c r="U57" i="116"/>
  <c r="E59" i="116"/>
  <c r="E58" i="116"/>
  <c r="I59" i="116"/>
  <c r="I58" i="116"/>
  <c r="F70" i="116"/>
  <c r="F60"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S96" i="81"/>
  <c r="N63" i="47"/>
  <c r="N61" i="47"/>
  <c r="I46" i="86"/>
  <c r="I29" i="86"/>
  <c r="I45" i="86"/>
  <c r="J54" i="107"/>
  <c r="O54" i="107"/>
  <c r="G58" i="107"/>
  <c r="L58" i="107"/>
  <c r="N58" i="115"/>
  <c r="K38" i="116"/>
  <c r="K62" i="116"/>
  <c r="K63" i="116"/>
  <c r="K6" i="128"/>
  <c r="K67" i="128"/>
  <c r="S67" i="128"/>
  <c r="Q70" i="128"/>
  <c r="Q71" i="128"/>
  <c r="M87" i="39"/>
  <c r="O69" i="77"/>
  <c r="O66" i="108"/>
  <c r="G71" i="112"/>
  <c r="K86" i="112"/>
  <c r="L63" i="114"/>
  <c r="M62" i="115"/>
  <c r="K58" i="116"/>
  <c r="X54" i="54"/>
  <c r="V54" i="54"/>
  <c r="N46" i="86"/>
  <c r="N29" i="86"/>
  <c r="F45" i="96"/>
  <c r="F76" i="96"/>
  <c r="N69" i="77"/>
  <c r="S55" i="54"/>
  <c r="X98" i="81"/>
  <c r="X96" i="81"/>
  <c r="J52" i="123"/>
  <c r="J51" i="123"/>
  <c r="L55" i="134"/>
  <c r="L46" i="134"/>
  <c r="I6" i="141"/>
  <c r="I48" i="141"/>
  <c r="I49" i="141"/>
  <c r="U77" i="133"/>
  <c r="U76" i="133"/>
  <c r="G69" i="133"/>
  <c r="G81" i="133"/>
  <c r="E71" i="133"/>
  <c r="E7" i="133"/>
  <c r="S59" i="135"/>
  <c r="S60" i="135"/>
  <c r="W54" i="54"/>
  <c r="M6" i="128"/>
  <c r="M66" i="128"/>
  <c r="M67" i="128"/>
  <c r="U67" i="128"/>
  <c r="O71" i="128"/>
  <c r="O16" i="128"/>
  <c r="O70" i="128"/>
  <c r="F34" i="128"/>
  <c r="F74" i="128"/>
  <c r="F75" i="128"/>
  <c r="O84" i="129"/>
  <c r="O75" i="129"/>
  <c r="E73" i="133"/>
  <c r="E32" i="133"/>
  <c r="E74" i="133"/>
  <c r="I81" i="133"/>
  <c r="I69" i="133"/>
  <c r="M6" i="134"/>
  <c r="M54" i="134"/>
  <c r="M44" i="134"/>
  <c r="U59" i="135"/>
  <c r="T48" i="141"/>
  <c r="T49" i="141"/>
  <c r="T66" i="128"/>
  <c r="T82" i="128"/>
  <c r="P8" i="46"/>
  <c r="P6" i="46"/>
  <c r="P87" i="46"/>
  <c r="X94" i="81"/>
  <c r="V55" i="76"/>
  <c r="R55" i="76"/>
  <c r="H6" i="128"/>
  <c r="H66" i="128"/>
  <c r="H67" i="128"/>
  <c r="Q6" i="128"/>
  <c r="Q82" i="128"/>
  <c r="Q67" i="128"/>
  <c r="I34" i="128"/>
  <c r="I74" i="128"/>
  <c r="T75" i="128"/>
  <c r="J74" i="133"/>
  <c r="J73" i="133"/>
  <c r="L6" i="133"/>
  <c r="L70" i="133"/>
  <c r="X98" i="80"/>
  <c r="R78" i="41"/>
  <c r="W96" i="81"/>
  <c r="W94" i="81"/>
  <c r="X64" i="114"/>
  <c r="F6" i="128"/>
  <c r="F67" i="128"/>
  <c r="O6" i="128"/>
  <c r="O67"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G51" i="123"/>
  <c r="V82" i="128"/>
  <c r="J23" i="131"/>
  <c r="J126" i="131"/>
  <c r="J116" i="131"/>
  <c r="G115" i="131"/>
  <c r="D60" i="135"/>
  <c r="D59" i="135"/>
  <c r="T73" i="108"/>
  <c r="T61" i="108"/>
  <c r="D6" i="128"/>
  <c r="D66" i="128"/>
  <c r="O121" i="131"/>
  <c r="O45" i="131"/>
  <c r="O120" i="131"/>
  <c r="M92" i="137"/>
  <c r="S50" i="145"/>
  <c r="S51" i="145"/>
  <c r="R63" i="108"/>
  <c r="Q92" i="23"/>
  <c r="Q107" i="23"/>
  <c r="M92" i="23"/>
  <c r="M107" i="23"/>
  <c r="N101" i="23"/>
  <c r="P54" i="28"/>
  <c r="P55" i="28"/>
  <c r="F60" i="125"/>
  <c r="G6" i="128"/>
  <c r="G82" i="128"/>
  <c r="J67" i="128"/>
  <c r="J6" i="128"/>
  <c r="J82" i="128"/>
  <c r="X82" i="128"/>
  <c r="X66" i="128"/>
  <c r="J71" i="128"/>
  <c r="G74" i="128"/>
  <c r="V76" i="133"/>
  <c r="J92" i="137"/>
  <c r="M48" i="141"/>
  <c r="T74" i="108"/>
  <c r="T65" i="108"/>
  <c r="R100" i="80"/>
  <c r="G50" i="145"/>
  <c r="G32" i="145"/>
  <c r="G56" i="145"/>
  <c r="R53" i="38"/>
  <c r="P71" i="74"/>
  <c r="P44" i="74"/>
  <c r="P69" i="74"/>
  <c r="N6" i="144"/>
  <c r="N56" i="144"/>
  <c r="N57" i="144"/>
  <c r="T63" i="5"/>
  <c r="T80" i="5"/>
  <c r="T102" i="80"/>
  <c r="I7" i="152"/>
  <c r="W67" i="149"/>
  <c r="W54" i="149"/>
  <c r="O67" i="149"/>
  <c r="O54" i="149"/>
  <c r="X68" i="149"/>
  <c r="X59" i="149"/>
  <c r="T68" i="149"/>
  <c r="T59" i="149"/>
  <c r="P68" i="149"/>
  <c r="P59" i="149"/>
  <c r="R54" i="6"/>
  <c r="R65" i="6"/>
  <c r="H37" i="152"/>
  <c r="R54" i="28"/>
  <c r="Q106" i="80"/>
  <c r="W59" i="149"/>
  <c r="S59" i="149"/>
  <c r="O59" i="149"/>
  <c r="K36" i="152"/>
  <c r="J7" i="152"/>
  <c r="J6" i="152"/>
  <c r="P107" i="23"/>
  <c r="S60" i="28"/>
  <c r="T70" i="41"/>
  <c r="I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68" i="101"/>
  <c r="K8" i="101"/>
  <c r="K7" i="101"/>
  <c r="N61" i="101"/>
  <c r="O68" i="101"/>
  <c r="P68" i="101"/>
  <c r="R126" i="97"/>
  <c r="Q122" i="97"/>
  <c r="R127" i="97"/>
  <c r="P127" i="97"/>
  <c r="M127" i="97"/>
  <c r="M121" i="97"/>
  <c r="N127" i="97"/>
  <c r="L126" i="97"/>
  <c r="P27" i="97"/>
  <c r="P123" i="97"/>
  <c r="L64" i="97"/>
  <c r="L125" i="97"/>
  <c r="N27" i="97"/>
  <c r="N123" i="97"/>
  <c r="L124" i="97"/>
  <c r="Q127" i="97"/>
  <c r="M125" i="97"/>
  <c r="Q126" i="97"/>
  <c r="P37" i="151"/>
  <c r="Q37" i="151"/>
  <c r="T55" i="150"/>
  <c r="N55" i="150"/>
  <c r="Q55" i="150"/>
  <c r="U55" i="150"/>
  <c r="V5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P130" i="97"/>
  <c r="P121" i="97"/>
  <c r="N6" i="97"/>
  <c r="L122" i="97"/>
  <c r="M27" i="97"/>
  <c r="M123" i="97"/>
  <c r="Q27" i="97"/>
  <c r="Q123" i="97"/>
  <c r="L127" i="97"/>
  <c r="Q125" i="97"/>
  <c r="R121" i="97"/>
  <c r="F66" i="101"/>
  <c r="F73" i="101"/>
  <c r="P61" i="101"/>
  <c r="E7" i="101"/>
  <c r="E63" i="101"/>
  <c r="G63" i="101"/>
  <c r="G7" i="101"/>
  <c r="F7" i="101"/>
  <c r="F62" i="101"/>
  <c r="I6" i="101"/>
  <c r="I61"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52" i="113"/>
  <c r="H20" i="113"/>
  <c r="H52" i="113"/>
  <c r="U123" i="12"/>
  <c r="T42" i="4"/>
  <c r="T41" i="4"/>
  <c r="T74" i="4"/>
  <c r="T80" i="4"/>
  <c r="L86" i="18"/>
  <c r="D63" i="13"/>
  <c r="G63" i="13"/>
  <c r="V125" i="12"/>
  <c r="W119" i="12"/>
  <c r="U125" i="12"/>
  <c r="Y125" i="12"/>
  <c r="V119" i="12"/>
  <c r="Z125" i="12"/>
  <c r="M129" i="12"/>
  <c r="X119" i="12"/>
  <c r="W125" i="12"/>
  <c r="X125"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E7" i="62"/>
  <c r="E70" i="62"/>
  <c r="E71" i="62"/>
  <c r="I7" i="62"/>
  <c r="I70" i="62"/>
  <c r="F72" i="62"/>
  <c r="I73" i="62"/>
  <c r="Q79" i="62"/>
  <c r="R69" i="62"/>
  <c r="M70" i="62"/>
  <c r="S72" i="62"/>
  <c r="N87" i="39"/>
  <c r="J36" i="39"/>
  <c r="J83" i="39"/>
  <c r="K95" i="39"/>
  <c r="D95" i="39"/>
  <c r="L87" i="39"/>
  <c r="P79" i="39"/>
  <c r="O79" i="39"/>
  <c r="G83" i="39"/>
  <c r="F51" i="50"/>
  <c r="H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98" i="84"/>
  <c r="D99" i="84"/>
  <c r="O96" i="84"/>
  <c r="D103" i="84"/>
  <c r="H94" i="84"/>
  <c r="M7" i="84"/>
  <c r="M94" i="84"/>
  <c r="L7" i="84"/>
  <c r="D94" i="84"/>
  <c r="J94" i="84"/>
  <c r="R110" i="84"/>
  <c r="Q110" i="84"/>
  <c r="K98" i="84"/>
  <c r="H110" i="84"/>
  <c r="L110" i="84"/>
  <c r="R26" i="18"/>
  <c r="R77" i="18"/>
  <c r="N77" i="18"/>
  <c r="Q26" i="18"/>
  <c r="Q77" i="18" s="1"/>
  <c r="S77" i="18"/>
  <c r="O26" i="18"/>
  <c r="O77" i="18" s="1"/>
  <c r="E79" i="18"/>
  <c r="E81" i="18"/>
  <c r="M26" i="18"/>
  <c r="M77" i="18" s="1"/>
  <c r="E83" i="18"/>
  <c r="X68" i="42"/>
  <c r="T69" i="42"/>
  <c r="U68" i="42"/>
  <c r="H6" i="42"/>
  <c r="H68" i="42"/>
  <c r="Q68" i="42"/>
  <c r="P69" i="42"/>
  <c r="X69" i="42"/>
  <c r="J68" i="42"/>
  <c r="Q87" i="42"/>
  <c r="N70" i="42"/>
  <c r="O6" i="42"/>
  <c r="O68" i="42"/>
  <c r="J69" i="42"/>
  <c r="G6" i="42"/>
  <c r="G68" i="42" s="1"/>
  <c r="M95" i="17"/>
  <c r="K95" i="17"/>
  <c r="N9" i="17"/>
  <c r="N7" i="17"/>
  <c r="M7" i="17"/>
  <c r="K7" i="17"/>
  <c r="K93" i="17"/>
  <c r="P86" i="14"/>
  <c r="S85" i="14"/>
  <c r="M64" i="14"/>
  <c r="M63" i="14"/>
  <c r="M62" i="14"/>
  <c r="M93" i="14"/>
  <c r="M52" i="14"/>
  <c r="M89" i="14"/>
  <c r="J82" i="58"/>
  <c r="N6" i="58"/>
  <c r="N77" i="58"/>
  <c r="L77" i="58"/>
  <c r="Q77" i="58"/>
  <c r="T78" i="58"/>
  <c r="K83" i="58"/>
  <c r="R77" i="58"/>
  <c r="R78"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N48" i="113"/>
  <c r="F7" i="113"/>
  <c r="F49" i="113"/>
  <c r="P48" i="113"/>
  <c r="D48" i="113"/>
  <c r="I7" i="113"/>
  <c r="O48" i="113"/>
  <c r="E48" i="113"/>
  <c r="F59" i="113"/>
  <c r="M52" i="113"/>
  <c r="M48" i="113"/>
  <c r="J48" i="113"/>
  <c r="G58" i="113"/>
  <c r="K58" i="113"/>
  <c r="T78" i="89"/>
  <c r="K66" i="89"/>
  <c r="P66" i="89"/>
  <c r="S78" i="89"/>
  <c r="L66" i="89"/>
  <c r="M66" i="89"/>
  <c r="N65"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J31" i="15"/>
  <c r="J105" i="15"/>
  <c r="F65" i="15"/>
  <c r="P28" i="15"/>
  <c r="P118" i="15"/>
  <c r="H112" i="15"/>
  <c r="P111" i="15"/>
  <c r="H83" i="93"/>
  <c r="H82" i="93"/>
  <c r="P95" i="93"/>
  <c r="N96" i="93"/>
  <c r="K95" i="93"/>
  <c r="H105" i="93"/>
  <c r="J105" i="93"/>
  <c r="H84" i="93"/>
  <c r="H96" i="93"/>
  <c r="J86" i="93"/>
  <c r="F60" i="6"/>
  <c r="G56" i="6"/>
  <c r="F58" i="6"/>
  <c r="F68" i="6"/>
  <c r="L68" i="6"/>
  <c r="G54" i="6"/>
  <c r="G68" i="6"/>
  <c r="J54" i="6"/>
  <c r="Q54" i="6"/>
  <c r="O83" i="60"/>
  <c r="K83" i="60"/>
  <c r="M58" i="115"/>
  <c r="L58" i="115"/>
  <c r="L67" i="115"/>
  <c r="M60" i="115"/>
  <c r="M68" i="115"/>
  <c r="J59" i="115"/>
  <c r="L59" i="115"/>
  <c r="L12" i="115"/>
  <c r="N12" i="115"/>
  <c r="N60" i="115"/>
  <c r="J60" i="115"/>
  <c r="H63" i="47"/>
  <c r="K61" i="47"/>
  <c r="D63" i="47"/>
  <c r="O61" i="47"/>
  <c r="L63" i="47"/>
  <c r="J61" i="47"/>
  <c r="M63" i="47"/>
  <c r="G51" i="47"/>
  <c r="G61" i="47"/>
  <c r="I61" i="47"/>
  <c r="S36" i="72"/>
  <c r="O98" i="7"/>
  <c r="J85" i="7"/>
  <c r="Q93" i="7"/>
  <c r="Q94" i="7"/>
  <c r="J75" i="7"/>
  <c r="I98" i="7"/>
  <c r="I96" i="7"/>
  <c r="M96" i="7"/>
  <c r="N54" i="21"/>
  <c r="O54" i="21"/>
  <c r="N61" i="21"/>
  <c r="D63" i="110"/>
  <c r="L7" i="110"/>
  <c r="L60" i="110"/>
  <c r="N74" i="110"/>
  <c r="G48" i="110"/>
  <c r="G67" i="110"/>
  <c r="M29" i="7"/>
  <c r="M90" i="7"/>
  <c r="Q95" i="7"/>
  <c r="P98" i="7"/>
  <c r="M95" i="7"/>
  <c r="Q35" i="72"/>
  <c r="G63" i="47"/>
  <c r="I63"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U66" i="117"/>
  <c r="T67" i="117"/>
  <c r="Q75" i="117"/>
  <c r="P66" i="117"/>
  <c r="V66" i="117"/>
  <c r="P74" i="117"/>
  <c r="Q74" i="117"/>
  <c r="Q60" i="117"/>
  <c r="P6" i="117"/>
  <c r="P60" i="117"/>
  <c r="Y119" i="12"/>
  <c r="Z121" i="12"/>
  <c r="X121" i="12"/>
  <c r="X118" i="12"/>
  <c r="Z119" i="12"/>
  <c r="Y118" i="12"/>
  <c r="W121" i="12"/>
  <c r="Z118" i="12"/>
  <c r="V123" i="12"/>
  <c r="W118" i="1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2" i="11"/>
  <c r="Q83" i="5"/>
  <c r="P83" i="5"/>
  <c r="P80" i="5"/>
  <c r="P63" i="5"/>
  <c r="M8" i="14"/>
  <c r="M6" i="14"/>
  <c r="M98" i="14" s="1"/>
  <c r="M84" i="14"/>
  <c r="M94" i="14"/>
  <c r="U86" i="14"/>
  <c r="U84" i="14"/>
  <c r="U85" i="14"/>
  <c r="Q86" i="14"/>
  <c r="S84" i="14"/>
  <c r="Q81" i="10"/>
  <c r="R57" i="6"/>
  <c r="J98" i="80"/>
  <c r="G6" i="80"/>
  <c r="G110" i="80"/>
  <c r="D98" i="80"/>
  <c r="K101" i="80"/>
  <c r="K102" i="80"/>
  <c r="F113" i="69"/>
  <c r="F96" i="69"/>
  <c r="N6" i="152"/>
  <c r="N75" i="117"/>
  <c r="R98" i="80"/>
  <c r="M55" i="134"/>
  <c r="W66" i="128"/>
  <c r="W82" i="128"/>
  <c r="F66" i="128"/>
  <c r="F82" i="128"/>
  <c r="X97" i="80"/>
  <c r="M82" i="128"/>
  <c r="U54" i="54"/>
  <c r="J58" i="116"/>
  <c r="F83" i="96"/>
  <c r="K62" i="108"/>
  <c r="T97" i="80"/>
  <c r="T110" i="80"/>
  <c r="H70" i="116"/>
  <c r="J68" i="78"/>
  <c r="I110" i="27"/>
  <c r="O79" i="32"/>
  <c r="O95" i="32"/>
  <c r="T75" i="4"/>
  <c r="I6" i="152"/>
  <c r="I44" i="152"/>
  <c r="G66" i="128"/>
  <c r="R62" i="108"/>
  <c r="E6" i="133"/>
  <c r="E70" i="133"/>
  <c r="K66" i="128"/>
  <c r="K82" i="128"/>
  <c r="P45" i="86"/>
  <c r="P53" i="86"/>
  <c r="U97" i="80"/>
  <c r="U110" i="80"/>
  <c r="F74" i="108"/>
  <c r="F65" i="108"/>
  <c r="R74" i="108"/>
  <c r="R65" i="108"/>
  <c r="H97" i="80"/>
  <c r="D103" i="81"/>
  <c r="D87" i="81"/>
  <c r="O105" i="137"/>
  <c r="I36" i="152"/>
  <c r="N66" i="144"/>
  <c r="O55" i="134"/>
  <c r="O66" i="128"/>
  <c r="O82" i="128"/>
  <c r="Q66" i="128"/>
  <c r="M43" i="134"/>
  <c r="U66" i="128"/>
  <c r="U82" i="128"/>
  <c r="S54" i="54"/>
  <c r="W97" i="80"/>
  <c r="W110" i="80"/>
  <c r="F6" i="108"/>
  <c r="F61" i="108"/>
  <c r="H61" i="108"/>
  <c r="H62" i="108"/>
  <c r="M61" i="108"/>
  <c r="M73" i="108"/>
  <c r="N41" i="88"/>
  <c r="N6" i="88"/>
  <c r="K97" i="27"/>
  <c r="H6" i="88"/>
  <c r="H53" i="88"/>
  <c r="H41" i="88"/>
  <c r="J66" i="128"/>
  <c r="L69" i="133"/>
  <c r="L81" i="133"/>
  <c r="K57"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M84" i="62"/>
  <c r="E6" i="62"/>
  <c r="E83" i="62"/>
  <c r="O70" i="62"/>
  <c r="P70" i="62"/>
  <c r="Q84" i="62"/>
  <c r="I6" i="62"/>
  <c r="I69" i="62"/>
  <c r="K6" i="62"/>
  <c r="K70" i="62"/>
  <c r="J95" i="39"/>
  <c r="K83" i="39"/>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G87" i="42"/>
  <c r="R68" i="42"/>
  <c r="W68" i="42"/>
  <c r="V68" i="42"/>
  <c r="M6" i="17"/>
  <c r="M110" i="17"/>
  <c r="M93" i="17"/>
  <c r="K92" i="17"/>
  <c r="H70" i="138"/>
  <c r="L71" i="138"/>
  <c r="H59" i="140"/>
  <c r="I49" i="113"/>
  <c r="I6" i="113"/>
  <c r="I58" i="113"/>
  <c r="I42" i="86"/>
  <c r="M40" i="86"/>
  <c r="I61" i="87"/>
  <c r="J61" i="87"/>
  <c r="N79" i="87"/>
  <c r="N61" i="87"/>
  <c r="H61" i="87"/>
  <c r="F61" i="87"/>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72" i="60"/>
  <c r="H73" i="60"/>
  <c r="G22" i="60"/>
  <c r="G83" i="60"/>
  <c r="H99" i="127"/>
  <c r="I7" i="127"/>
  <c r="I6" i="127"/>
  <c r="I100" i="127"/>
  <c r="G93" i="106"/>
  <c r="W74" i="106"/>
  <c r="X75" i="106"/>
  <c r="O81" i="106"/>
  <c r="V88" i="46"/>
  <c r="V87" i="46"/>
  <c r="V74" i="117"/>
  <c r="V60" i="117"/>
  <c r="V61" i="117"/>
  <c r="S61" i="117"/>
  <c r="S74" i="117"/>
  <c r="S60" i="117"/>
  <c r="N44" i="152"/>
  <c r="V44" i="152"/>
  <c r="M44" i="152"/>
  <c r="M85" i="14"/>
  <c r="T85" i="14"/>
  <c r="G97" i="80"/>
  <c r="E81" i="133"/>
  <c r="E69" i="133"/>
  <c r="R73" i="108"/>
  <c r="R61" i="108"/>
  <c r="J81" i="78"/>
  <c r="J67" i="78"/>
  <c r="N53" i="88"/>
  <c r="N56" i="88"/>
  <c r="K61" i="108"/>
  <c r="K73" i="108"/>
  <c r="J69" i="116"/>
  <c r="J57" i="116"/>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70" i="66"/>
  <c r="U26" i="66"/>
  <c r="U70" i="66"/>
  <c r="U61" i="66"/>
  <c r="T61" i="66"/>
  <c r="T26" i="66"/>
  <c r="T70" i="66"/>
  <c r="T59" i="66"/>
  <c r="T14" i="66"/>
  <c r="T58" i="66"/>
  <c r="W74" i="117"/>
  <c r="W6" i="117"/>
  <c r="W60" i="117"/>
  <c r="W61" i="117"/>
  <c r="U111" i="12"/>
  <c r="U129" i="12"/>
  <c r="S65"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07" i="12"/>
  <c r="Y114" i="12"/>
  <c r="F129" i="12"/>
  <c r="H109" i="12"/>
  <c r="O111" i="12"/>
  <c r="T111" i="12"/>
  <c r="Q55" i="12"/>
  <c r="Q119" i="12"/>
  <c r="T125" i="12"/>
  <c r="Z108" i="12"/>
  <c r="J129" i="12"/>
  <c r="H129" i="12"/>
  <c r="AB114" i="12"/>
  <c r="V108" i="12"/>
  <c r="Z114" i="12"/>
  <c r="AB108" i="12"/>
  <c r="AB112" i="12"/>
  <c r="H108" i="12"/>
  <c r="P129" i="12"/>
  <c r="X107" i="12"/>
  <c r="R112" i="12"/>
  <c r="U112" i="12"/>
  <c r="H128" i="12"/>
  <c r="H107" i="12"/>
  <c r="T112" i="12"/>
  <c r="S120" i="12"/>
  <c r="M120" i="12"/>
  <c r="R120" i="12"/>
  <c r="X114" i="12"/>
  <c r="W112" i="12"/>
  <c r="AA107" i="12"/>
  <c r="T54" i="12"/>
  <c r="Y112" i="12"/>
  <c r="Y107" i="12"/>
  <c r="D111" i="12"/>
  <c r="V112" i="12"/>
  <c r="AA112" i="12"/>
  <c r="G111" i="12"/>
  <c r="N120" i="12"/>
  <c r="O120" i="12"/>
  <c r="S111" i="12"/>
  <c r="L111" i="12"/>
  <c r="T119" i="12"/>
  <c r="Z112" i="12"/>
  <c r="Q111" i="12"/>
  <c r="I129" i="12"/>
  <c r="K111" i="12"/>
  <c r="W114" i="12"/>
  <c r="Z129" i="12"/>
  <c r="AB111" i="12"/>
  <c r="I118" i="15"/>
  <c r="M65" i="15"/>
  <c r="M104" i="15"/>
  <c r="G111" i="15"/>
  <c r="G106" i="15"/>
  <c r="M118" i="15"/>
  <c r="I95" i="10"/>
  <c r="I85" i="19"/>
  <c r="Q123" i="12"/>
  <c r="Q54" i="12"/>
  <c r="Q118" i="12"/>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F69" i="62"/>
  <c r="F83" i="62"/>
  <c r="J61" i="101"/>
  <c r="J72" i="101"/>
  <c r="G6" i="127"/>
  <c r="G99" i="127"/>
  <c r="H98" i="127"/>
  <c r="H119" i="127"/>
  <c r="L116" i="131"/>
  <c r="L126" i="131"/>
  <c r="N116" i="131"/>
  <c r="N126" i="131"/>
  <c r="N44" i="147"/>
  <c r="N37" i="147"/>
  <c r="E85" i="19"/>
  <c r="E89" i="19"/>
  <c r="G85" i="19"/>
  <c r="G89" i="19"/>
  <c r="K6" i="101"/>
  <c r="K62" i="101"/>
  <c r="D110" i="80"/>
  <c r="D97" i="80"/>
  <c r="I54" i="38"/>
  <c r="I56" i="38"/>
  <c r="M83" i="31"/>
  <c r="M72" i="41"/>
  <c r="M71" i="41"/>
  <c r="K69" i="42"/>
  <c r="K6" i="42"/>
  <c r="K68" i="42" s="1"/>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63" i="116"/>
  <c r="S62"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3" i="89"/>
  <c r="Y54" i="54"/>
  <c r="Y55" i="54"/>
  <c r="W59" i="54"/>
  <c r="S59" i="54"/>
  <c r="AA59" i="54"/>
  <c r="AA62" i="54"/>
  <c r="Z92" i="81"/>
  <c r="Z94" i="81"/>
  <c r="T39" i="95"/>
  <c r="T44" i="95"/>
  <c r="Y93" i="19"/>
  <c r="Y75" i="19"/>
  <c r="V44" i="147"/>
  <c r="V37" i="147"/>
  <c r="T52" i="75"/>
  <c r="T43" i="75"/>
  <c r="P43" i="75"/>
  <c r="P52" i="75"/>
  <c r="P38" i="75"/>
  <c r="Y7" i="17"/>
  <c r="Y94" i="17"/>
  <c r="U7" i="17"/>
  <c r="U94" i="17"/>
  <c r="Q93" i="17"/>
  <c r="P120" i="12"/>
  <c r="F85" i="19"/>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L118" i="15"/>
  <c r="N111" i="15"/>
  <c r="E100" i="26"/>
  <c r="I114" i="27"/>
  <c r="N97" i="27"/>
  <c r="N110" i="27"/>
  <c r="L116" i="30"/>
  <c r="H90" i="35"/>
  <c r="O86" i="35"/>
  <c r="E125" i="30"/>
  <c r="K108" i="30"/>
  <c r="H84" i="29"/>
  <c r="N56" i="30"/>
  <c r="N118" i="30"/>
  <c r="N120" i="30"/>
  <c r="M73" i="33"/>
  <c r="S88" i="33"/>
  <c r="U73" i="33"/>
  <c r="U89" i="33"/>
  <c r="U79" i="33"/>
  <c r="F86" i="35"/>
  <c r="F85" i="35"/>
  <c r="I86" i="35"/>
  <c r="L85" i="35"/>
  <c r="L86" i="35"/>
  <c r="L79" i="39"/>
  <c r="L78" i="39"/>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J6" i="141"/>
  <c r="J48" i="141"/>
  <c r="J51" i="141"/>
  <c r="H81" i="20"/>
  <c r="H18" i="20"/>
  <c r="H78" i="20"/>
  <c r="K82" i="20"/>
  <c r="K81" i="20"/>
  <c r="K86" i="35"/>
  <c r="K85" i="35"/>
  <c r="W83" i="24"/>
  <c r="M66" i="117"/>
  <c r="H72" i="101"/>
  <c r="F73" i="108"/>
  <c r="K69" i="116"/>
  <c r="M36" i="152"/>
  <c r="O6" i="46"/>
  <c r="O87" i="46"/>
  <c r="F6" i="113"/>
  <c r="J71" i="138"/>
  <c r="G6" i="131"/>
  <c r="O23" i="131"/>
  <c r="H65" i="15"/>
  <c r="H104" i="15"/>
  <c r="I74" i="117"/>
  <c r="H82" i="128"/>
  <c r="K63" i="101"/>
  <c r="I86" i="7"/>
  <c r="H73" i="45"/>
  <c r="N78" i="39"/>
  <c r="J6" i="46"/>
  <c r="J87" i="46"/>
  <c r="D88" i="46"/>
  <c r="I81" i="20"/>
  <c r="I114" i="15"/>
  <c r="L82" i="20"/>
  <c r="H110" i="27"/>
  <c r="N85" i="35"/>
  <c r="Q74" i="45"/>
  <c r="M120" i="30"/>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8" i="47"/>
  <c r="M59" i="47"/>
  <c r="G42" i="88"/>
  <c r="G43" i="88"/>
  <c r="I45" i="88"/>
  <c r="I9" i="88"/>
  <c r="K45" i="88"/>
  <c r="K9" i="88"/>
  <c r="J86" i="90"/>
  <c r="J82" i="90"/>
  <c r="N86" i="90"/>
  <c r="N82" i="90"/>
  <c r="N69" i="90"/>
  <c r="R86" i="90"/>
  <c r="R82" i="90"/>
  <c r="G79" i="90"/>
  <c r="G77" i="90"/>
  <c r="K79" i="90"/>
  <c r="K77" i="90"/>
  <c r="P107" i="80"/>
  <c r="P45" i="80"/>
  <c r="P105" i="80"/>
  <c r="R57" i="103"/>
  <c r="R58" i="103"/>
  <c r="F51" i="107"/>
  <c r="F50" i="107"/>
  <c r="U63" i="116"/>
  <c r="U62" i="116"/>
  <c r="Q45" i="125"/>
  <c r="Q63" i="125"/>
  <c r="Q64" i="125"/>
  <c r="H23" i="131"/>
  <c r="H117" i="131"/>
  <c r="M70" i="133"/>
  <c r="M69" i="133"/>
  <c r="D73" i="133"/>
  <c r="D32" i="133"/>
  <c r="D74" i="133"/>
  <c r="H49" i="141"/>
  <c r="H53" i="141"/>
  <c r="F69" i="146"/>
  <c r="F61" i="146"/>
  <c r="P44" i="24"/>
  <c r="P82" i="24"/>
  <c r="P84" i="24"/>
  <c r="U55" i="21"/>
  <c r="U57" i="21"/>
  <c r="X7" i="131"/>
  <c r="X113" i="131"/>
  <c r="I44" i="85"/>
  <c r="I42" i="85"/>
  <c r="G50" i="85"/>
  <c r="G49" i="85"/>
  <c r="K50" i="85"/>
  <c r="K49" i="85"/>
  <c r="D50" i="85"/>
  <c r="H50" i="85"/>
  <c r="L50" i="85"/>
  <c r="M50" i="85"/>
  <c r="F49" i="85"/>
  <c r="F51" i="85"/>
  <c r="J49" i="85"/>
  <c r="J51" i="85"/>
  <c r="G105" i="15"/>
  <c r="J69" i="62"/>
  <c r="I65" i="139"/>
  <c r="I40" i="86"/>
  <c r="N94" i="17"/>
  <c r="G61" i="67"/>
  <c r="N117" i="131"/>
  <c r="Q39" i="86"/>
  <c r="R70" i="22"/>
  <c r="M103" i="23"/>
  <c r="J87" i="7"/>
  <c r="L6" i="110"/>
  <c r="J69" i="139"/>
  <c r="G6" i="61"/>
  <c r="E61" i="87"/>
  <c r="G77" i="45"/>
  <c r="L74" i="45"/>
  <c r="N6" i="86"/>
  <c r="N40" i="86"/>
  <c r="J95" i="17"/>
  <c r="I6" i="42"/>
  <c r="J7" i="77"/>
  <c r="G62" i="67"/>
  <c r="K82" i="93"/>
  <c r="Q37" i="147"/>
  <c r="P67" i="117"/>
  <c r="H43" i="121"/>
  <c r="M51" i="141"/>
  <c r="Q60" i="135"/>
  <c r="T98" i="80"/>
  <c r="K31" i="30"/>
  <c r="K116" i="30"/>
  <c r="M117" i="9"/>
  <c r="T105" i="80"/>
  <c r="F100" i="84"/>
  <c r="L107" i="23"/>
  <c r="J97" i="27"/>
  <c r="F6" i="29"/>
  <c r="I125" i="30"/>
  <c r="J85" i="29"/>
  <c r="J84" i="29"/>
  <c r="F125" i="30"/>
  <c r="G18" i="31"/>
  <c r="G82" i="3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58" i="116"/>
  <c r="U61" i="116"/>
  <c r="J74" i="45"/>
  <c r="F84" i="29"/>
  <c r="P84" i="29"/>
  <c r="G125" i="30"/>
  <c r="G108" i="30"/>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9" i="116"/>
  <c r="V57" i="116"/>
  <c r="R60" i="116"/>
  <c r="R70" i="116"/>
  <c r="L63" i="116"/>
  <c r="L62" i="116"/>
  <c r="O32" i="118"/>
  <c r="O40" i="118"/>
  <c r="H77" i="128"/>
  <c r="H34" i="128"/>
  <c r="H74" i="128"/>
  <c r="L60" i="135"/>
  <c r="L59" i="135"/>
  <c r="P84" i="18"/>
  <c r="P26" i="18"/>
  <c r="P77" i="18" s="1"/>
  <c r="J6" i="121"/>
  <c r="J44" i="121"/>
  <c r="P121" i="9"/>
  <c r="P117" i="9"/>
  <c r="X54" i="149"/>
  <c r="X67" i="149"/>
  <c r="R62" i="116"/>
  <c r="R63" i="116"/>
  <c r="F52" i="123"/>
  <c r="F51" i="123"/>
  <c r="E49" i="123"/>
  <c r="H68" i="146"/>
  <c r="H57" i="146"/>
  <c r="O73" i="133"/>
  <c r="O74" i="133"/>
  <c r="L69" i="139"/>
  <c r="L22" i="139"/>
  <c r="P24" i="131"/>
  <c r="P118" i="131"/>
  <c r="K46" i="157"/>
  <c r="K47" i="157"/>
  <c r="O46" i="157"/>
  <c r="O47" i="157"/>
  <c r="S122" i="97"/>
  <c r="S121" i="97"/>
  <c r="V63" i="43"/>
  <c r="S52" i="123"/>
  <c r="S51" i="123"/>
  <c r="S17" i="134"/>
  <c r="S47" i="134"/>
  <c r="Z114" i="69"/>
  <c r="Z102" i="69"/>
  <c r="Y73" i="36"/>
  <c r="Y74" i="36"/>
  <c r="T71" i="117"/>
  <c r="U96" i="93"/>
  <c r="U58" i="93"/>
  <c r="T83" i="5"/>
  <c r="T74" i="5"/>
  <c r="X61" i="104"/>
  <c r="X31" i="104"/>
  <c r="X60" i="104"/>
  <c r="T31" i="104"/>
  <c r="T60" i="104"/>
  <c r="J66" i="89"/>
  <c r="G79" i="41"/>
  <c r="K85" i="19"/>
  <c r="I83" i="96"/>
  <c r="I34" i="96"/>
  <c r="I73" i="96"/>
  <c r="J74" i="96"/>
  <c r="J17" i="96"/>
  <c r="J77" i="96"/>
  <c r="S85" i="33"/>
  <c r="M85" i="33"/>
  <c r="P57" i="103"/>
  <c r="G65" i="108"/>
  <c r="P64" i="116"/>
  <c r="P38" i="116"/>
  <c r="P62" i="116"/>
  <c r="N58" i="103"/>
  <c r="I55" i="105"/>
  <c r="P51" i="107"/>
  <c r="F86" i="112"/>
  <c r="J64" i="115"/>
  <c r="G59" i="116"/>
  <c r="P44" i="121"/>
  <c r="P43" i="121"/>
  <c r="E69" i="125"/>
  <c r="E59" i="125"/>
  <c r="E66" i="128"/>
  <c r="E82" i="128"/>
  <c r="S70" i="128"/>
  <c r="S77" i="128"/>
  <c r="L62" i="142"/>
  <c r="F7" i="133"/>
  <c r="F71" i="133"/>
  <c r="K47" i="134"/>
  <c r="K17" i="134"/>
  <c r="G53" i="135"/>
  <c r="G52" i="135"/>
  <c r="M6" i="139"/>
  <c r="M65" i="139"/>
  <c r="K49" i="141"/>
  <c r="K6" i="141"/>
  <c r="K48" i="141"/>
  <c r="P49" i="141"/>
  <c r="P6" i="141"/>
  <c r="P48" i="141"/>
  <c r="M66" i="144"/>
  <c r="M56" i="144"/>
  <c r="P58" i="33"/>
  <c r="K6" i="121"/>
  <c r="N68" i="149"/>
  <c r="N59" i="149"/>
  <c r="M60" i="50"/>
  <c r="M59" i="50"/>
  <c r="Y60" i="50"/>
  <c r="V42" i="151"/>
  <c r="O50" i="71"/>
  <c r="O88" i="19"/>
  <c r="O69" i="19"/>
  <c r="O66" i="19"/>
  <c r="Q71" i="96"/>
  <c r="Q82" i="96"/>
  <c r="L75" i="129"/>
  <c r="H58" i="103"/>
  <c r="H57" i="103"/>
  <c r="H58" i="107"/>
  <c r="H54" i="107"/>
  <c r="E62" i="108"/>
  <c r="E61" i="108"/>
  <c r="M86" i="112"/>
  <c r="M69" i="112"/>
  <c r="L7" i="113"/>
  <c r="R63" i="27"/>
  <c r="R104" i="27"/>
  <c r="E61" i="123"/>
  <c r="M43" i="121"/>
  <c r="M44" i="121"/>
  <c r="G59" i="125"/>
  <c r="G60" i="125"/>
  <c r="P70" i="128"/>
  <c r="P71" i="128"/>
  <c r="M71" i="128"/>
  <c r="M72" i="128"/>
  <c r="E35" i="128"/>
  <c r="E76" i="128"/>
  <c r="M27" i="129"/>
  <c r="M77" i="129"/>
  <c r="D69" i="133"/>
  <c r="D81" i="133"/>
  <c r="E53" i="135"/>
  <c r="E52" i="135"/>
  <c r="K66" i="144"/>
  <c r="K56" i="144"/>
  <c r="U66" i="144"/>
  <c r="U56" i="144"/>
  <c r="K50" i="145"/>
  <c r="K51"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I61"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66" i="144"/>
  <c r="D59" i="146"/>
  <c r="D7" i="146"/>
  <c r="O57" i="146"/>
  <c r="O68" i="146"/>
  <c r="P57" i="146"/>
  <c r="P87" i="9"/>
  <c r="P123" i="9"/>
  <c r="P125" i="9"/>
  <c r="P64" i="115"/>
  <c r="U77" i="58"/>
  <c r="U78" i="58"/>
  <c r="X49" i="67"/>
  <c r="X50" i="67"/>
  <c r="L47" i="157"/>
  <c r="L46" i="157"/>
  <c r="P47" i="157"/>
  <c r="P46" i="157"/>
  <c r="V47" i="157"/>
  <c r="V46" i="157"/>
  <c r="H108" i="159"/>
  <c r="H106" i="159"/>
  <c r="L108" i="159"/>
  <c r="L106" i="159"/>
  <c r="J58" i="50"/>
  <c r="J59" i="50"/>
  <c r="O54" i="50"/>
  <c r="O7" i="50"/>
  <c r="O65" i="150"/>
  <c r="O64" i="150"/>
  <c r="T38" i="151"/>
  <c r="Q6" i="113"/>
  <c r="Q49" i="113"/>
  <c r="Q52" i="113"/>
  <c r="Q19" i="113"/>
  <c r="N74" i="34"/>
  <c r="H52" i="123"/>
  <c r="H51" i="123"/>
  <c r="R71" i="128"/>
  <c r="U77" i="128"/>
  <c r="N78" i="129"/>
  <c r="H74" i="133"/>
  <c r="H73" i="133"/>
  <c r="N62" i="142"/>
  <c r="N61" i="142"/>
  <c r="G66" i="144"/>
  <c r="P66" i="144"/>
  <c r="P56" i="144"/>
  <c r="I51" i="145"/>
  <c r="I50" i="145"/>
  <c r="O26" i="38"/>
  <c r="O53" i="38"/>
  <c r="R59" i="115"/>
  <c r="R58" i="115"/>
  <c r="O64" i="115"/>
  <c r="V78" i="58"/>
  <c r="V77" i="58"/>
  <c r="X24" i="131"/>
  <c r="X118" i="131"/>
  <c r="Q93" i="126"/>
  <c r="D42" i="85"/>
  <c r="D44" i="85"/>
  <c r="L44" i="85"/>
  <c r="L42"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K57" i="146"/>
  <c r="H58" i="145"/>
  <c r="I74" i="133"/>
  <c r="Q59" i="149"/>
  <c r="S38" i="152"/>
  <c r="S45" i="152"/>
  <c r="R68" i="115"/>
  <c r="R60" i="115"/>
  <c r="O12" i="24"/>
  <c r="X69" i="77"/>
  <c r="X54" i="50"/>
  <c r="X121" i="131"/>
  <c r="X45" i="131"/>
  <c r="X120" i="131"/>
  <c r="F42" i="85"/>
  <c r="F44" i="85"/>
  <c r="J44" i="85"/>
  <c r="J42"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5" i="150"/>
  <c r="S64" i="150"/>
  <c r="U124" i="97"/>
  <c r="R80" i="137"/>
  <c r="R107" i="137"/>
  <c r="T69" i="49"/>
  <c r="T70" i="49"/>
  <c r="Y52" i="113"/>
  <c r="S99" i="69"/>
  <c r="S98" i="69"/>
  <c r="Z79" i="36"/>
  <c r="Z80" i="36"/>
  <c r="X44" i="152"/>
  <c r="E42" i="85"/>
  <c r="M42" i="85"/>
  <c r="I50" i="85"/>
  <c r="J46" i="157"/>
  <c r="J47" i="157"/>
  <c r="N47" i="157"/>
  <c r="N46" i="157"/>
  <c r="T46" i="157"/>
  <c r="T47" i="157"/>
  <c r="O108" i="159"/>
  <c r="O106" i="159"/>
  <c r="S106" i="159"/>
  <c r="S108" i="159"/>
  <c r="T43" i="151"/>
  <c r="T41" i="151"/>
  <c r="R70" i="49"/>
  <c r="R6" i="49"/>
  <c r="X91" i="16"/>
  <c r="X90" i="16"/>
  <c r="Y77" i="29"/>
  <c r="Y76" i="29"/>
  <c r="T102" i="23"/>
  <c r="T101" i="23"/>
  <c r="Z77" i="63"/>
  <c r="Z78" i="63"/>
  <c r="T54" i="28"/>
  <c r="T55" i="28"/>
  <c r="Y49" i="113"/>
  <c r="Q64" i="117"/>
  <c r="Q61" i="117"/>
  <c r="O60" i="50"/>
  <c r="O59" i="50"/>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H46" i="162"/>
  <c r="H47"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R58" i="93"/>
  <c r="R96" i="93"/>
  <c r="Z69" i="139"/>
  <c r="Z68" i="139"/>
  <c r="AA31" i="104"/>
  <c r="AA61" i="104"/>
  <c r="AA60" i="104"/>
  <c r="T7" i="122"/>
  <c r="T73" i="122"/>
  <c r="V52" i="92"/>
  <c r="V53" i="92"/>
  <c r="Z72" i="114"/>
  <c r="Z63" i="114"/>
  <c r="R68" i="87"/>
  <c r="V57" i="92"/>
  <c r="W101" i="23"/>
  <c r="X83" i="5"/>
  <c r="S68" i="87"/>
  <c r="V61" i="89"/>
  <c r="V62" i="89"/>
  <c r="Z59" i="54"/>
  <c r="Y83" i="81"/>
  <c r="Y97" i="81"/>
  <c r="Y96" i="81"/>
  <c r="V97" i="81"/>
  <c r="Z58" i="53"/>
  <c r="X52"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O89" i="19"/>
  <c r="O85" i="19"/>
  <c r="M76" i="139"/>
  <c r="M64" i="139"/>
  <c r="P23" i="131"/>
  <c r="P117" i="131"/>
  <c r="I50" i="67"/>
  <c r="I6" i="67"/>
  <c r="L7" i="88"/>
  <c r="L43" i="88"/>
  <c r="K6" i="66"/>
  <c r="K56" i="66"/>
  <c r="L7" i="17"/>
  <c r="L94" i="17"/>
  <c r="J63" i="77"/>
  <c r="J6" i="77"/>
  <c r="K7" i="88"/>
  <c r="K43" i="88"/>
  <c r="G129" i="131"/>
  <c r="G111" i="131"/>
  <c r="G125" i="131"/>
  <c r="I82" i="60"/>
  <c r="I68" i="60"/>
  <c r="K64" i="87"/>
  <c r="K61" i="87"/>
  <c r="O39" i="95"/>
  <c r="O44" i="95"/>
  <c r="H6" i="67"/>
  <c r="H50" i="67"/>
  <c r="F83" i="60"/>
  <c r="F72" i="60"/>
  <c r="U93" i="17"/>
  <c r="U92" i="17"/>
  <c r="P36" i="152"/>
  <c r="P6" i="152"/>
  <c r="P44" i="152"/>
  <c r="J16" i="67"/>
  <c r="J53" i="67"/>
  <c r="J93" i="17"/>
  <c r="J6" i="17"/>
  <c r="K87" i="42"/>
  <c r="T95" i="93"/>
  <c r="T105" i="93"/>
  <c r="U46" i="134"/>
  <c r="U37" i="134"/>
  <c r="U50" i="134"/>
  <c r="V85" i="122"/>
  <c r="V63" i="122"/>
  <c r="V71" i="122"/>
  <c r="Q59" i="50"/>
  <c r="Q58" i="50"/>
  <c r="S48" i="113"/>
  <c r="S58" i="113"/>
  <c r="Q51" i="113"/>
  <c r="Q59" i="113"/>
  <c r="I61" i="108"/>
  <c r="I62" i="108"/>
  <c r="M26" i="129"/>
  <c r="M76" i="129"/>
  <c r="G70" i="125"/>
  <c r="G69" i="125"/>
  <c r="K51" i="121"/>
  <c r="K43" i="121"/>
  <c r="J83" i="96"/>
  <c r="J73" i="96"/>
  <c r="R66" i="128"/>
  <c r="R82" i="128"/>
  <c r="H6" i="78"/>
  <c r="H68" i="78"/>
  <c r="U60" i="116"/>
  <c r="U70" i="116"/>
  <c r="J61" i="108"/>
  <c r="J62" i="108"/>
  <c r="F6" i="46"/>
  <c r="F87" i="46"/>
  <c r="F88" i="46"/>
  <c r="I87" i="42"/>
  <c r="I68" i="42"/>
  <c r="L73" i="110"/>
  <c r="L59" i="110"/>
  <c r="G70" i="62"/>
  <c r="G6" i="62"/>
  <c r="E6" i="46"/>
  <c r="E87" i="46"/>
  <c r="E88" i="46"/>
  <c r="L72" i="62"/>
  <c r="L84" i="62"/>
  <c r="W61" i="89"/>
  <c r="W62" i="89"/>
  <c r="G98" i="127"/>
  <c r="G119" i="127"/>
  <c r="N92" i="17"/>
  <c r="N110" i="17"/>
  <c r="V95" i="93"/>
  <c r="V105" i="93"/>
  <c r="Y37" i="134"/>
  <c r="Y50" i="134"/>
  <c r="Y46" i="134"/>
  <c r="V77" i="24"/>
  <c r="V74" i="24"/>
  <c r="X6" i="122"/>
  <c r="X72" i="122"/>
  <c r="O6" i="24"/>
  <c r="O77" i="24"/>
  <c r="W51" i="113"/>
  <c r="W59" i="113"/>
  <c r="X117" i="131"/>
  <c r="X23" i="131"/>
  <c r="D92" i="137"/>
  <c r="D6" i="137"/>
  <c r="D91" i="137"/>
  <c r="N71" i="128"/>
  <c r="N16" i="128"/>
  <c r="L6" i="113"/>
  <c r="L49" i="113"/>
  <c r="P85" i="33"/>
  <c r="P83" i="33"/>
  <c r="F6" i="133"/>
  <c r="F70" i="133"/>
  <c r="R69" i="116"/>
  <c r="R57" i="116"/>
  <c r="S46" i="134"/>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N87" i="81"/>
  <c r="N103" i="81"/>
  <c r="P57" i="116"/>
  <c r="P69" i="116"/>
  <c r="F90" i="29"/>
  <c r="F76" i="29"/>
  <c r="G83" i="61"/>
  <c r="G98" i="61"/>
  <c r="X112" i="131"/>
  <c r="X111" i="131"/>
  <c r="K52" i="71"/>
  <c r="K60" i="71"/>
  <c r="E76" i="57"/>
  <c r="O126" i="131"/>
  <c r="O116" i="131"/>
  <c r="F48" i="113"/>
  <c r="F58" i="113"/>
  <c r="E24" i="80"/>
  <c r="E101" i="80"/>
  <c r="E102" i="80"/>
  <c r="L65" i="15"/>
  <c r="L104" i="15"/>
  <c r="N72" i="129"/>
  <c r="N83" i="129"/>
  <c r="M7" i="88"/>
  <c r="M43" i="88"/>
  <c r="G68" i="78"/>
  <c r="G6" i="78"/>
  <c r="N88" i="46"/>
  <c r="N6" i="46"/>
  <c r="N87" i="46"/>
  <c r="K72" i="101"/>
  <c r="K61" i="101"/>
  <c r="M42" i="88"/>
  <c r="M6" i="88"/>
  <c r="M41" i="88"/>
  <c r="N83" i="128"/>
  <c r="N70" i="128"/>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H67" i="78"/>
  <c r="H81" i="78"/>
  <c r="J52" i="67"/>
  <c r="J62" i="67"/>
  <c r="L6" i="17"/>
  <c r="L93" i="17"/>
  <c r="L41" i="88"/>
  <c r="L6" i="88"/>
  <c r="L42" i="88"/>
  <c r="P116" i="131"/>
  <c r="P126" i="131"/>
  <c r="L56" i="88"/>
  <c r="L53" i="88"/>
  <c r="J53" i="88"/>
  <c r="J56" i="88"/>
  <c r="K53" i="88"/>
  <c r="K56" i="88"/>
  <c r="I67" i="78"/>
  <c r="I81" i="78"/>
  <c r="M56" i="88"/>
  <c r="M53" i="88"/>
  <c r="L110" i="17"/>
  <c r="L92" i="17"/>
  <c r="I53" i="88"/>
  <c r="I56" i="88"/>
  <c r="R82" i="24"/>
  <c r="R83" i="24"/>
  <c r="R84" i="24"/>
  <c r="P59" i="54"/>
  <c r="W41" i="27"/>
  <c r="W102" i="27"/>
  <c r="V102" i="27"/>
  <c r="W20" i="27"/>
  <c r="W101" i="27"/>
  <c r="V20" i="27"/>
  <c r="V101" i="27"/>
  <c r="S81" i="42"/>
  <c r="S79" i="42"/>
  <c r="Q73" i="42"/>
  <c r="Q74" i="42"/>
  <c r="S24" i="44"/>
  <c r="S43" i="44"/>
  <c r="T43" i="44"/>
  <c r="T24" i="44"/>
  <c r="U43" i="44"/>
  <c r="U24" i="44"/>
  <c r="V43" i="44"/>
  <c r="V24" i="44"/>
  <c r="W43" i="44"/>
  <c r="W24" i="44"/>
  <c r="X43" i="44"/>
  <c r="X24" i="44"/>
  <c r="Z43" i="44"/>
  <c r="Z24" i="44"/>
  <c r="Y43" i="44"/>
  <c r="Y24" i="44"/>
  <c r="N7" i="89"/>
  <c r="N6" i="89"/>
  <c r="N61" i="89"/>
  <c r="N78" i="89"/>
  <c r="N73" i="89"/>
  <c r="L7" i="89"/>
  <c r="L6" i="89"/>
  <c r="L61" i="89"/>
  <c r="M7" i="89"/>
  <c r="M6" i="89"/>
  <c r="M61" i="89"/>
  <c r="O7" i="89"/>
  <c r="O6" i="89"/>
  <c r="O61" i="89"/>
  <c r="P7" i="89"/>
  <c r="P6" i="89"/>
  <c r="P61" i="89"/>
  <c r="L62" i="89"/>
  <c r="M62" i="89"/>
  <c r="N62" i="89"/>
  <c r="O62" i="89"/>
  <c r="P62" i="89"/>
  <c r="L63" i="89"/>
  <c r="M63" i="89"/>
  <c r="N63" i="89"/>
  <c r="O63" i="89"/>
  <c r="P63" i="89"/>
  <c r="P73" i="89"/>
  <c r="O73" i="89"/>
  <c r="M73" i="89"/>
  <c r="L73" i="89"/>
  <c r="L78" i="89"/>
  <c r="M78" i="89"/>
  <c r="P78" i="89"/>
  <c r="O78" i="89"/>
  <c r="L13" i="89"/>
  <c r="L64" i="89"/>
  <c r="M13" i="89"/>
  <c r="M64" i="89"/>
  <c r="N13" i="89"/>
  <c r="N64" i="89"/>
  <c r="O13" i="89"/>
  <c r="O64" i="89"/>
  <c r="P13" i="89"/>
  <c r="P64" i="89"/>
  <c r="E8" i="162"/>
  <c r="E43" i="162"/>
  <c r="E44" i="162"/>
  <c r="M6" i="58"/>
  <c r="I77" i="58"/>
  <c r="K77" i="58"/>
  <c r="S77" i="58"/>
  <c r="P80" i="58"/>
  <c r="J77" i="58"/>
  <c r="N90" i="58"/>
  <c r="O77" i="58"/>
  <c r="R41" i="151"/>
  <c r="U41" i="151"/>
  <c r="S42" i="151"/>
  <c r="I56" i="144"/>
  <c r="T56" i="144"/>
  <c r="O56" i="144"/>
  <c r="S70" i="150"/>
  <c r="R55" i="150"/>
  <c r="O70" i="150"/>
  <c r="P55" i="150"/>
  <c r="P65" i="150"/>
  <c r="O65" i="108"/>
  <c r="O74" i="108"/>
  <c r="P65" i="108"/>
  <c r="Q65" i="108"/>
  <c r="S65" i="108"/>
  <c r="I6" i="165"/>
  <c r="J32" i="165"/>
  <c r="F6" i="165"/>
  <c r="G32" i="165"/>
  <c r="J6" i="165"/>
  <c r="K32" i="165"/>
  <c r="K6" i="165"/>
  <c r="G6" i="165"/>
  <c r="H32" i="165"/>
  <c r="K33" i="165"/>
  <c r="J34" i="31"/>
  <c r="I18" i="31"/>
  <c r="I82" i="31"/>
  <c r="G34" i="31"/>
  <c r="G83" i="31"/>
  <c r="K83" i="31"/>
  <c r="W54" i="31"/>
  <c r="W87" i="31"/>
  <c r="Q18" i="31"/>
  <c r="Q82" i="31"/>
  <c r="E18" i="31"/>
  <c r="E82" i="31" s="1"/>
  <c r="I83" i="31"/>
  <c r="K84" i="31"/>
  <c r="H83" i="31"/>
  <c r="AA88" i="31"/>
  <c r="D34" i="31"/>
  <c r="D83" i="31"/>
  <c r="F18" i="31"/>
  <c r="F82" i="31" s="1"/>
  <c r="J83" i="31"/>
  <c r="H18" i="31"/>
  <c r="H82" i="31"/>
  <c r="X54" i="31"/>
  <c r="X87" i="31"/>
  <c r="Q105" i="15"/>
  <c r="Q28" i="15"/>
  <c r="S104" i="15"/>
  <c r="S105" i="15"/>
  <c r="G65" i="15"/>
  <c r="G104" i="15"/>
  <c r="K28" i="15"/>
  <c r="I65" i="15"/>
  <c r="I104" i="15"/>
  <c r="F104" i="15"/>
  <c r="G118" i="15"/>
  <c r="J28" i="15"/>
  <c r="K111" i="15"/>
  <c r="N65" i="15"/>
  <c r="N104" i="15"/>
  <c r="O111" i="15"/>
  <c r="J114" i="15"/>
  <c r="R28" i="15"/>
  <c r="O28" i="15"/>
  <c r="I105" i="15"/>
  <c r="M77" i="58"/>
  <c r="M90" i="58"/>
  <c r="O118" i="15"/>
  <c r="O65" i="15"/>
  <c r="O104" i="15"/>
  <c r="R104" i="15"/>
  <c r="R118" i="15"/>
  <c r="Q104" i="15"/>
  <c r="Q118" i="15"/>
  <c r="J118" i="15"/>
  <c r="J65" i="15"/>
  <c r="J104" i="15"/>
  <c r="K65" i="15"/>
  <c r="K118" i="15"/>
  <c r="K104" i="15"/>
  <c r="N125" i="97" l="1"/>
  <c r="P125" i="97"/>
  <c r="N129" i="12"/>
  <c r="E129" i="12"/>
  <c r="E110" i="84"/>
  <c r="J110" i="84"/>
  <c r="V84" i="18"/>
  <c r="W66" i="117"/>
  <c r="T66" i="117"/>
  <c r="T75" i="117"/>
  <c r="R84" i="14"/>
  <c r="R98" i="14"/>
  <c r="R85" i="14"/>
  <c r="P85" i="14"/>
  <c r="Q98" i="14"/>
  <c r="Q84" i="14"/>
  <c r="Q85" i="14"/>
  <c r="P43" i="14"/>
  <c r="P90" i="14" s="1"/>
  <c r="P84" i="14"/>
  <c r="P98" i="14"/>
  <c r="N84" i="14"/>
  <c r="N98" i="14"/>
  <c r="N85" i="14"/>
  <c r="U45" i="71"/>
  <c r="R45" i="71"/>
  <c r="Y62" i="66"/>
  <c r="Y27" i="66"/>
  <c r="W62" i="66"/>
  <c r="Z26" i="66"/>
  <c r="Z25" i="66" s="1"/>
  <c r="Z61" i="66"/>
  <c r="Z62" i="66"/>
  <c r="W26" i="66"/>
  <c r="W25" i="66" s="1"/>
  <c r="W61" i="66"/>
  <c r="X61" i="66"/>
  <c r="X26" i="66"/>
  <c r="X25" i="66" s="1"/>
  <c r="X62" i="66"/>
  <c r="V26" i="66"/>
  <c r="V25" i="66" s="1"/>
  <c r="V61" i="66"/>
  <c r="V62" i="66"/>
  <c r="S54" i="149"/>
  <c r="S55" i="25"/>
  <c r="N64" i="62"/>
  <c r="N83" i="62"/>
  <c r="N69" i="62"/>
  <c r="N70" i="62"/>
  <c r="K68" i="6"/>
  <c r="E59" i="113"/>
  <c r="E51" i="113"/>
  <c r="E52" i="113"/>
  <c r="L68" i="42"/>
  <c r="L87" i="42"/>
  <c r="N69" i="42"/>
  <c r="N6" i="42"/>
  <c r="M68" i="42"/>
  <c r="M87" i="42"/>
  <c r="L69" i="42"/>
  <c r="O85" i="14" l="1"/>
  <c r="W70" i="66"/>
  <c r="Y61" i="66"/>
  <c r="Y26" i="66"/>
  <c r="Y25" i="66" s="1"/>
  <c r="V70" i="66"/>
  <c r="G59" i="113"/>
  <c r="G51" i="113"/>
  <c r="N68" i="42"/>
  <c r="N87" i="42"/>
  <c r="O98" i="14" l="1"/>
  <c r="O84" i="14"/>
  <c r="T79" i="20" l="1"/>
  <c r="T78"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V56" authorId="0" shapeId="0" xr:uid="{8187B494-6476-42B7-B7E7-844319215F2E}">
      <text>
        <r>
          <rPr>
            <sz val="9"/>
            <color indexed="81"/>
            <rFont val="Tahoma"/>
            <family val="2"/>
          </rPr>
          <t xml:space="preserve">Changed to o to avoid negative value
</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sz val="9"/>
            <color indexed="81"/>
            <rFont val="Tahoma"/>
            <family val="2"/>
          </rPr>
          <t>IMF World Ecnommic Outlook database. April 2018.
https://www.imf.org/external/pubs/ft/weo/2018/01/weodata/index.aspx</t>
        </r>
      </text>
    </comment>
    <comment ref="T64" authorId="0" shapeId="0" xr:uid="{2514D8F1-F8FC-4B4C-97E7-8E989778EB70}">
      <text>
        <r>
          <rPr>
            <sz val="9"/>
            <color indexed="81"/>
            <rFont val="Tahoma"/>
            <family val="2"/>
          </rPr>
          <t>IMF World Ecnommic Outlook database. April 2018.
https://www.imf.org/external/pubs/ft/weo/2018/01/weodata/index.aspx</t>
        </r>
      </text>
    </comment>
    <comment ref="U64" authorId="0" shapeId="0" xr:uid="{DBEDC7EB-39C3-4903-B130-A42C273D9D4B}">
      <text>
        <r>
          <rPr>
            <sz val="9"/>
            <color indexed="81"/>
            <rFont val="Tahoma"/>
            <family val="2"/>
          </rPr>
          <t>IMF World Ecnommic Outlook database. April 2018.
https://www.imf.org/external/pubs/ft/weo/2018/01/weodata/index.aspx</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3" authorId="0" shapeId="0" xr:uid="{8A51F337-5DB4-4016-9340-9D72E9B0679A}">
      <text>
        <r>
          <rPr>
            <b/>
            <sz val="9"/>
            <color indexed="81"/>
            <rFont val="Tahoma"/>
            <family val="2"/>
          </rPr>
          <t>Author:</t>
        </r>
        <r>
          <rPr>
            <sz val="9"/>
            <color indexed="81"/>
            <rFont val="Tahoma"/>
            <family val="2"/>
          </rPr>
          <t xml:space="preserve">
Data for the Calendar year </t>
        </r>
      </text>
    </comment>
    <comment ref="I3" authorId="0" shapeId="0" xr:uid="{B1F86226-74E7-4107-A15C-FB62421BA9BA}">
      <text>
        <r>
          <rPr>
            <b/>
            <sz val="9"/>
            <color indexed="81"/>
            <rFont val="Tahoma"/>
            <family val="2"/>
          </rPr>
          <t>Author:</t>
        </r>
        <r>
          <rPr>
            <sz val="9"/>
            <color indexed="81"/>
            <rFont val="Tahoma"/>
            <family val="2"/>
          </rPr>
          <t xml:space="preserve">
Data for the Calendar year </t>
        </r>
      </text>
    </comment>
    <comment ref="D23" authorId="0" shapeId="0" xr:uid="{957CFC5C-FB10-46AB-9108-D07D21B19D34}">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E23" authorId="0" shapeId="0" xr:uid="{3761A098-E08A-4E57-A5CD-CAFB086EB3B2}">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F23" authorId="0" shapeId="0" xr:uid="{C69B46C9-EB64-405C-A441-483380C39AD3}">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G23" authorId="0" shapeId="0" xr:uid="{6D10B8E5-D85E-4063-83DF-8CF3CF764C75}">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H23" authorId="0" shapeId="0" xr:uid="{EEED4EBB-A2FD-4296-BA5F-76DC85769F4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I23" authorId="0" shapeId="0" xr:uid="{455B0580-02AB-4B3F-85F4-B7DDAA117127}">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J23" authorId="0" shapeId="0" xr:uid="{FA8E7438-0B06-4AAB-BFA0-9F016F073471}">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K23" authorId="0" shapeId="0" xr:uid="{0B24B396-009D-49E3-BF6F-EA684D4453AF}">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L23" authorId="0" shapeId="0" xr:uid="{C8431E71-F645-4CE2-98FB-B984E7D56E8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sz val="9"/>
            <color indexed="81"/>
            <rFont val="Tahoma"/>
            <family val="2"/>
          </rPr>
          <t xml:space="preserve">Chile : 2016 Article IV Consultation-Press Release; Staff Report; and Statement by the Executive Director for Chile. December 2016.
https://www.imf.org/en/Publications/CR/Issues/2016/12/31/Chile-2016-Article-IV-Consultation-Press-Release-Staff-Report-and-Statement-by-the-Executive-44448
</t>
        </r>
        <r>
          <rPr>
            <b/>
            <sz val="9"/>
            <color indexed="81"/>
            <rFont val="Tahoma"/>
            <family val="2"/>
          </rPr>
          <t xml:space="preserve">
</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U58" authorId="0" shapeId="0" xr:uid="{27F82B02-F711-4453-8903-3524E2841725}">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M33" authorId="0" shapeId="0" xr:uid="{897CA7DF-6FDA-4937-B29C-CE4F4B0834F3}">
      <text>
        <r>
          <rPr>
            <b/>
            <sz val="9"/>
            <color indexed="81"/>
            <rFont val="Tahoma"/>
            <family val="2"/>
          </rPr>
          <t>0 to avoid negative issue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Third Review Under the Extended Arrangement Under the Extended Fund Facility, and Requests for a Waiver of Nonobservance of a Performance Criterion and for Modification of a Performance Criterion-Press Release; Staff Report; and Statement by the Executive Director for the Arab Republic of Egypt
https://www.imf.org/en/Publications/CR/Issues/2018/07/12/Arab-Republic-of-Egypt-Third-Review-Under-the-Extended-Arrangement-Under-the-Extended-Fund-46061</t>
        </r>
      </text>
    </comment>
    <comment ref="V53" authorId="0" shapeId="0" xr:uid="{39F69EF6-2017-49E4-B96A-906785344831}">
      <text>
        <r>
          <rPr>
            <sz val="9"/>
            <color indexed="81"/>
            <rFont val="Tahoma"/>
            <family val="2"/>
          </rPr>
          <t>Arab Republic of Egypt : Third Review Under the Extended Arrangement Under the Extended Fund Facility, and Requests for a Waiver of Nonobservance of a Performance Criterion and for Modification of a Performance Criterion-Press Release; Staff Report; and Statement by the Executive Director for the Arab Republic of Egypt
https://www.imf.org/en/Publications/CR/Issues/2018/07/12/Arab-Republic-of-Egypt-Third-Review-Under-the-Extended-Arrangement-Under-the-Extended-Fund-46061</t>
        </r>
      </text>
    </comment>
    <comment ref="W53" authorId="0" shapeId="0" xr:uid="{02D24034-5F10-45DE-AB09-8F00EF77FF43}">
      <text>
        <r>
          <rPr>
            <sz val="9"/>
            <color indexed="81"/>
            <rFont val="Tahoma"/>
            <family val="2"/>
          </rPr>
          <t>Arab Republic of Egypt : Third Review Under the Extended Arrangement Under the Extended Fund Facility, and Requests for a Waiver of Nonobservance of a Performance Criterion and for Modification of a Performance Criterion-Press Release; Staff Report; and Statement by the Executive Director for the Arab Republic of Egypt
https://www.imf.org/en/Publications/CR/Issues/2018/07/12/Arab-Republic-of-Egypt-Third-Review-Under-the-Extended-Arrangement-Under-the-Extended-Fund-46061</t>
        </r>
      </text>
    </comment>
    <comment ref="X53" authorId="0" shapeId="0" xr:uid="{12F096A5-2A1D-49ED-B633-281F846EA8B0}">
      <text>
        <r>
          <rPr>
            <sz val="9"/>
            <color indexed="81"/>
            <rFont val="Tahoma"/>
            <family val="2"/>
          </rPr>
          <t>Arab Republic of Egypt : Third Review Under the Extended Arrangement Under the Extended Fund Facility, and Requests for a Waiver of Nonobservance of a Performance Criterion and for Modification of a Performance Criterion-Press Release; Staff Report; and Statement by the Executive Director for the Arab Republic of Egypt
https://www.imf.org/en/Publications/CR/Issues/2018/07/12/Arab-Republic-of-Egypt-Third-Review-Under-the-Extended-Arrangement-Under-the-Extended-Fund-46061</t>
        </r>
      </text>
    </comment>
    <comment ref="Y53" authorId="0" shapeId="0" xr:uid="{68AEAF2C-73B6-49EB-9629-94A6EE3569D7}">
      <text>
        <r>
          <rPr>
            <sz val="9"/>
            <color indexed="81"/>
            <rFont val="Tahoma"/>
            <family val="2"/>
          </rPr>
          <t>Arab Republic of Egypt : Third Review Under the Extended Arrangement Under the Extended Fund Facility, and Requests for a Waiver of Nonobservance of a Performance Criterion and for Modification of a Performance Criterion-Press Release; Staff Report; and Statement by the Executive Director for the Arab Republic of Egypt
https://www.imf.org/en/Publications/CR/Issues/2018/07/12/Arab-Republic-of-Egypt-Third-Review-Under-the-Extended-Arrangement-Under-the-Extended-Fund-46061</t>
        </r>
      </text>
    </comment>
    <comment ref="Z53" authorId="0" shapeId="0" xr:uid="{CC4B97CC-E5BF-4F84-AE3A-B9749153ACC7}">
      <text>
        <r>
          <rPr>
            <sz val="9"/>
            <color indexed="81"/>
            <rFont val="Tahoma"/>
            <family val="2"/>
          </rPr>
          <t>Arab Republic of Egypt : Third Review Under the Extended Arrangement Under the Extended Fund Facility, and Requests for a Waiver of Nonobservance of a Performance Criterion and for Modification of a Performance Criterion-Press Release; Staff Report; and Statement by the Executive Director for the Arab Republic of Egypt
https://www.imf.org/en/Publications/CR/Issues/2018/07/12/Arab-Republic-of-Egypt-Third-Review-Under-the-Extended-Arrangement-Under-the-Extended-Fund-46061</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700-000001000000}">
      <text>
        <r>
          <rPr>
            <b/>
            <sz val="9"/>
            <color indexed="81"/>
            <rFont val="Tahoma"/>
            <family val="2"/>
          </rPr>
          <t>Author:</t>
        </r>
        <r>
          <rPr>
            <sz val="9"/>
            <color indexed="81"/>
            <rFont val="Tahoma"/>
            <family val="2"/>
          </rPr>
          <t xml:space="preserve">
Data for CY</t>
        </r>
      </text>
    </comment>
    <comment ref="R3" authorId="0" shapeId="0" xr:uid="{00000000-0006-0000-3700-000002000000}">
      <text>
        <r>
          <rPr>
            <b/>
            <sz val="9"/>
            <color indexed="81"/>
            <rFont val="Tahoma"/>
            <family val="2"/>
          </rPr>
          <t>Author:</t>
        </r>
        <r>
          <rPr>
            <sz val="9"/>
            <color indexed="81"/>
            <rFont val="Tahoma"/>
            <family val="2"/>
          </rPr>
          <t xml:space="preserve">
Data for CY</t>
        </r>
      </text>
    </comment>
    <comment ref="S3" authorId="0" shapeId="0" xr:uid="{00000000-0006-0000-3700-000003000000}">
      <text>
        <r>
          <rPr>
            <b/>
            <sz val="9"/>
            <color indexed="81"/>
            <rFont val="Tahoma"/>
            <family val="2"/>
          </rPr>
          <t>Author:</t>
        </r>
        <r>
          <rPr>
            <sz val="9"/>
            <color indexed="81"/>
            <rFont val="Tahoma"/>
            <family val="2"/>
          </rPr>
          <t xml:space="preserve">
Data for CY</t>
        </r>
      </text>
    </comment>
    <comment ref="T3" authorId="0" shapeId="0" xr:uid="{00000000-0006-0000-3700-000004000000}">
      <text>
        <r>
          <rPr>
            <b/>
            <sz val="9"/>
            <color indexed="81"/>
            <rFont val="Tahoma"/>
            <family val="2"/>
          </rPr>
          <t>Author:</t>
        </r>
        <r>
          <rPr>
            <sz val="9"/>
            <color indexed="81"/>
            <rFont val="Tahoma"/>
            <family val="2"/>
          </rPr>
          <t xml:space="preserve">
Data for CY</t>
        </r>
      </text>
    </comment>
    <comment ref="U3" authorId="0" shapeId="0" xr:uid="{00000000-0006-0000-3700-000005000000}">
      <text>
        <r>
          <rPr>
            <b/>
            <sz val="9"/>
            <color indexed="81"/>
            <rFont val="Tahoma"/>
            <family val="2"/>
          </rPr>
          <t>Author:</t>
        </r>
        <r>
          <rPr>
            <sz val="9"/>
            <color indexed="81"/>
            <rFont val="Tahoma"/>
            <family val="2"/>
          </rPr>
          <t xml:space="preserve">
Data for CY</t>
        </r>
      </text>
    </comment>
    <comment ref="V3" authorId="0" shapeId="0" xr:uid="{00000000-0006-0000-3700-000006000000}">
      <text>
        <r>
          <rPr>
            <b/>
            <sz val="9"/>
            <color indexed="81"/>
            <rFont val="Tahoma"/>
            <family val="2"/>
          </rPr>
          <t>Author:</t>
        </r>
        <r>
          <rPr>
            <sz val="9"/>
            <color indexed="81"/>
            <rFont val="Tahoma"/>
            <family val="2"/>
          </rPr>
          <t xml:space="preserve">
Data for CY</t>
        </r>
      </text>
    </comment>
    <comment ref="W3" authorId="0" shapeId="0" xr:uid="{00000000-0006-0000-3700-000007000000}">
      <text>
        <r>
          <rPr>
            <b/>
            <sz val="9"/>
            <color indexed="81"/>
            <rFont val="Tahoma"/>
            <family val="2"/>
          </rPr>
          <t>Author:</t>
        </r>
        <r>
          <rPr>
            <sz val="9"/>
            <color indexed="81"/>
            <rFont val="Tahoma"/>
            <family val="2"/>
          </rPr>
          <t xml:space="preserve">
Data for CY</t>
        </r>
      </text>
    </comment>
    <comment ref="X3" authorId="0" shapeId="0" xr:uid="{D020C5CC-211E-469E-8DA1-8FEC033B75DF}">
      <text>
        <r>
          <rPr>
            <b/>
            <sz val="9"/>
            <color indexed="81"/>
            <rFont val="Tahoma"/>
            <family val="2"/>
          </rPr>
          <t>Author:</t>
        </r>
        <r>
          <rPr>
            <sz val="9"/>
            <color indexed="81"/>
            <rFont val="Tahoma"/>
            <family val="2"/>
          </rPr>
          <t xml:space="preserve">
Data for CY</t>
        </r>
      </text>
    </comment>
    <comment ref="Y3" authorId="0" shapeId="0" xr:uid="{59BEB179-078B-4BFF-9B03-592FD14C1ED7}">
      <text>
        <r>
          <rPr>
            <b/>
            <sz val="9"/>
            <color indexed="81"/>
            <rFont val="Tahoma"/>
            <family val="2"/>
          </rPr>
          <t>Author:</t>
        </r>
        <r>
          <rPr>
            <sz val="9"/>
            <color indexed="81"/>
            <rFont val="Tahoma"/>
            <family val="2"/>
          </rPr>
          <t xml:space="preserve">
Data for CY</t>
        </r>
      </text>
    </comment>
    <comment ref="Z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H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K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L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O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Q135" authorId="0" shapeId="0" xr:uid="{00000000-0006-0000-3700-000012000000}">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R135" authorId="0" shapeId="0" xr:uid="{B5C29D15-F9BF-4769-B833-E8894446E5C8}">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S135" authorId="0" shapeId="0" xr:uid="{31CB13F9-FE09-48C0-A1C0-33D55FBCF41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T135" authorId="0" shapeId="0" xr:uid="{5F73BFAC-FE86-4217-AE39-2A13DC6792E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U135" authorId="0" shapeId="0" xr:uid="{B67DDB90-0EC0-49B3-84D1-BA0AF63589DD}">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V135" authorId="0" shapeId="0" xr:uid="{E32A456D-B802-4B29-B057-7418AEC33BC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W135" authorId="0" shapeId="0" xr:uid="{B754F376-874C-48F0-B789-F0549231BFF9}">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X135" authorId="0" shapeId="0" xr:uid="{8388A3C1-F2E1-4E4F-AC75-2F8288E836B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Y135" authorId="0" shapeId="0" xr:uid="{759BF6F6-4265-4C92-B0DC-4071533F0AD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Z135" authorId="0" shapeId="0" xr:uid="{B7EB3EDA-9A72-4870-973F-9D127F591E11}">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J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family val="2"/>
          </rPr>
          <t>Deleted due to negative issue</t>
        </r>
        <r>
          <rPr>
            <sz val="9"/>
            <color indexed="81"/>
            <rFont val="Tahoma"/>
            <family val="2"/>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1"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1"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1"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1"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1"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1"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1"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1"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1"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1"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1"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1" authorId="0" shapeId="0" xr:uid="{00000000-0006-0000-4A00-000017000000}">
      <text>
        <r>
          <rPr>
            <sz val="9"/>
            <color indexed="81"/>
            <rFont val="Tahoma"/>
            <family val="2"/>
          </rPr>
          <t>Republic of the Marshall Islands : 2018 Article IV Consultation-Press Release; Staff Report; and Statement by the Executive Director for the Republic of the Marshall Islands. September 2018.
https://www.imf.org/en/Publications/CR/Issues/2018/09/10/Republic-of-the-Marshall-Islands-2018-Article-IV-Consultation-Press-Release-Staff-Report-and-46216</t>
        </r>
      </text>
    </comment>
    <comment ref="T41"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1"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1"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1"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1"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1"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BABA2146-5614-45FF-B919-1173BAEA9A99}">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T52" authorId="0" shapeId="0" xr:uid="{D4A90F72-647D-4771-955B-8C4904D1806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U52" authorId="0" shapeId="0" xr:uid="{EA82C64B-ED23-4D9C-B1E6-4A71D3A50D33}">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V52" authorId="0" shapeId="0" xr:uid="{50711C2B-9E56-4983-96FC-6D03B99335D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W52" authorId="0" shapeId="0" xr:uid="{8E209FCE-E11D-41C2-A866-807097DDAE3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X52" authorId="0" shapeId="0" xr:uid="{DD7824F8-D6B5-4998-BC6D-EB035B8DF24E}">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Y52" authorId="0" shapeId="0" xr:uid="{E36BB2CC-EB9C-4486-9017-3D0ACEDED809}">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Z52" authorId="0" shapeId="0" xr:uid="{4995F102-65EC-4551-A5FE-73938769196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AA52" authorId="0" shapeId="0" xr:uid="{62AB3DEE-C91E-4945-BEB0-BC469FED2316}">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9D1BB70B-5578-418A-BF4C-DE9644D9A07A}">
      <text>
        <r>
          <rPr>
            <b/>
            <sz val="9"/>
            <color indexed="81"/>
            <rFont val="Tahoma"/>
            <family val="2"/>
          </rPr>
          <t>Author:</t>
        </r>
        <r>
          <rPr>
            <sz val="9"/>
            <color indexed="81"/>
            <rFont val="Tahoma"/>
            <family val="2"/>
          </rPr>
          <t xml:space="preserve">
Data for the Calendar year </t>
        </r>
      </text>
    </comment>
    <comment ref="H3" authorId="0" shapeId="0" xr:uid="{FA3E29C3-2E46-46DC-BF6E-361BF6BABD45}">
      <text>
        <r>
          <rPr>
            <b/>
            <sz val="9"/>
            <color indexed="81"/>
            <rFont val="Tahoma"/>
            <family val="2"/>
          </rPr>
          <t>Author:</t>
        </r>
        <r>
          <rPr>
            <sz val="9"/>
            <color indexed="81"/>
            <rFont val="Tahoma"/>
            <family val="2"/>
          </rPr>
          <t xml:space="preserve">
Data for the Calendar year </t>
        </r>
      </text>
    </comment>
    <comment ref="D29" authorId="0" shapeId="0" xr:uid="{9297F4F2-1FB3-4C0F-9B42-06A5C0A15517}">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E29" authorId="0" shapeId="0" xr:uid="{678D5B73-3BBF-4D66-9715-BE4E3A2E2AA4}">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F29" authorId="0" shapeId="0" xr:uid="{4993790F-779E-4F45-AA47-DD5E65F263DE}">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G29" authorId="0" shapeId="0" xr:uid="{9B1C1A9F-686F-4CB6-A5BB-24A379CD075C}">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H29" authorId="0" shapeId="0" xr:uid="{87C84F23-8B88-4D4E-ACD0-7D3519AEBBCA}">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I29" authorId="0" shapeId="0" xr:uid="{D421A929-0288-4A15-9555-D8540CC3DA4B}">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J29" authorId="0" shapeId="0" xr:uid="{B875528B-BB31-4E0D-A96C-79CFD805E01D}">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K29" authorId="0" shapeId="0" xr:uid="{2EB87F21-AE58-46E3-9795-AB2F1361441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6" authorId="0" shapeId="0" xr:uid="{00000000-0006-0000-5600-000015000000}">
      <text>
        <r>
          <rPr>
            <b/>
            <sz val="9"/>
            <color indexed="81"/>
            <rFont val="Tahoma"/>
            <family val="2"/>
          </rPr>
          <t>Author:</t>
        </r>
        <r>
          <rPr>
            <sz val="9"/>
            <color indexed="81"/>
            <rFont val="Tahoma"/>
            <family val="2"/>
          </rPr>
          <t xml:space="preserve">
Capital and net lending</t>
        </r>
      </text>
    </comment>
    <comment ref="I16" authorId="0" shapeId="0" xr:uid="{00000000-0006-0000-5600-000016000000}">
      <text>
        <r>
          <rPr>
            <b/>
            <sz val="9"/>
            <color indexed="81"/>
            <rFont val="Tahoma"/>
            <family val="2"/>
          </rPr>
          <t>Author:</t>
        </r>
        <r>
          <rPr>
            <sz val="9"/>
            <color indexed="81"/>
            <rFont val="Tahoma"/>
            <family val="2"/>
          </rPr>
          <t xml:space="preserve">
Capital and net lending</t>
        </r>
      </text>
    </comment>
    <comment ref="J16" authorId="0" shapeId="0" xr:uid="{00000000-0006-0000-5600-000017000000}">
      <text>
        <r>
          <rPr>
            <b/>
            <sz val="9"/>
            <color indexed="81"/>
            <rFont val="Tahoma"/>
            <family val="2"/>
          </rPr>
          <t>Author:</t>
        </r>
        <r>
          <rPr>
            <sz val="9"/>
            <color indexed="81"/>
            <rFont val="Tahoma"/>
            <family val="2"/>
          </rPr>
          <t xml:space="preserve">
Capital and net lending</t>
        </r>
      </text>
    </comment>
    <comment ref="K16" authorId="0" shapeId="0" xr:uid="{00000000-0006-0000-5600-000018000000}">
      <text>
        <r>
          <rPr>
            <b/>
            <sz val="9"/>
            <color indexed="81"/>
            <rFont val="Tahoma"/>
            <family val="2"/>
          </rPr>
          <t>Author:</t>
        </r>
        <r>
          <rPr>
            <sz val="9"/>
            <color indexed="81"/>
            <rFont val="Tahoma"/>
            <family val="2"/>
          </rPr>
          <t xml:space="preserve">
Capital and net lending</t>
        </r>
      </text>
    </comment>
    <comment ref="L16" authorId="0" shapeId="0" xr:uid="{00000000-0006-0000-5600-000019000000}">
      <text>
        <r>
          <rPr>
            <b/>
            <sz val="9"/>
            <color indexed="81"/>
            <rFont val="Tahoma"/>
            <family val="2"/>
          </rPr>
          <t>Author:</t>
        </r>
        <r>
          <rPr>
            <sz val="9"/>
            <color indexed="81"/>
            <rFont val="Tahoma"/>
            <family val="2"/>
          </rPr>
          <t xml:space="preserve">
Capital and net lending</t>
        </r>
      </text>
    </comment>
    <comment ref="G38"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8"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8"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8"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8"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8"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8"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8"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8"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8"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8"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8"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8"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8"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8"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8"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8"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8"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8"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8"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9" authorId="0" shapeId="0" xr:uid="{7971E023-CA39-4221-932E-D0A37420FFCE}">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E39" authorId="0" shapeId="0" xr:uid="{4F348933-F1B8-42EB-9693-8067E75A1EB4}">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F39" authorId="0" shapeId="0" xr:uid="{0C8DED10-33C9-4E11-B306-51633F51944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G39" authorId="0" shapeId="0" xr:uid="{36392F1A-6FD5-4343-9DFC-EAB09113BA8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H39" authorId="0" shapeId="0" xr:uid="{E244D745-CBD1-4084-8F1E-928CA46735BC}">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I39" authorId="0" shapeId="0" xr:uid="{6C87F0EE-606D-4FAC-928D-CD52ECD7ED37}">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E40" authorId="0" shapeId="0" xr:uid="{00000000-0006-0000-5F00-00000D000000}">
      <text>
        <r>
          <rPr>
            <sz val="9"/>
            <color indexed="81"/>
            <rFont val="Tahoma"/>
            <family val="2"/>
          </rPr>
          <t xml:space="preserve">Paraguay : 2017 Article IV Consultation-Press Release and Staff Report. July 2017.
https://www.imf.org/en/Publications/CR/Issues/2017/07/24/Paraguay-2017-Article-IV-Consultation-Press-Release-and-Staff-Report-45119
</t>
        </r>
      </text>
    </comment>
    <comment ref="F40"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40"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40"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40"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40"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40"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40"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40"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T34" authorId="0" shapeId="0" xr:uid="{352AB437-1096-4FE0-B85F-8EB0A20BF70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U34" authorId="0" shapeId="0" xr:uid="{779B75AE-ADD7-421A-84A8-033E5692EB99}">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V34" authorId="0" shapeId="0" xr:uid="{65F6EF38-74F0-49C8-830B-D7996535D2C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W34" authorId="0" shapeId="0" xr:uid="{E1E79D72-7BB2-472E-B770-CB4BDE66086E}">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X34" authorId="0" shapeId="0" xr:uid="{A72DBB25-A0DF-40B9-ABB7-1107406E0E55}">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sz val="12"/>
            <color indexed="81"/>
            <rFont val="Eras Medium ITC"/>
            <family val="2"/>
          </rPr>
          <t>Samoa: 2018 Article IV Consultation-Press Release; Staff Report; Staff Statement; and Statement by the Executive Director for Samoa. June 2018.
https://www.imf.org/en/Publications/CR/Issues/2018/06/04/Samoa-2018-Article-IV-Consultation-Press-Release-Staff-Report-Staff-Statement-and-Statement-45934</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N52"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52"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52"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52"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52"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52"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52" authorId="0" shapeId="0" xr:uid="{00000000-0006-0000-6600-00001D000000}">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U52" authorId="0" shapeId="0" xr:uid="{5B1564C8-4308-4F16-A536-6ACBEB607C27}">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V52" authorId="0" shapeId="0" xr:uid="{DB059450-C24D-4B8D-8137-CD16B9244F5E}">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05"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05"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05"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05"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05"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05"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05"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05"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05"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05"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05"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05"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05"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05"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05"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05"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05"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05"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05"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05"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05"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05"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05"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05"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05"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9"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9"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9"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9"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9"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9"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9"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9"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9" authorId="0" shapeId="0" xr:uid="{00000000-0006-0000-6900-00001E000000}">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T69" authorId="0" shapeId="0" xr:uid="{34E12418-F777-4764-B5A6-A77EC99A8B3E}">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U69" authorId="0" shapeId="0" xr:uid="{73970849-3D19-46EC-806D-00F0F7D93E9B}">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B88"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8" authorId="0" shapeId="0" xr:uid="{00000000-0006-0000-6900-000021000000}">
      <text>
        <r>
          <rPr>
            <b/>
            <sz val="9"/>
            <color indexed="81"/>
            <rFont val="Tahoma"/>
            <family val="2"/>
          </rPr>
          <t xml:space="preserve">Author: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3"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3"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3"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3"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3"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3"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3"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3"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3"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3"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3"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3"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3"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3"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3"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3"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3"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3"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3"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3"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3"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3"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3"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R58" authorId="0" shapeId="0" xr:uid="{A730C6B4-4DB4-4F1D-84A1-6263DBF318D6}">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S58" authorId="0" shapeId="0" xr:uid="{1FA3182D-77E9-468A-A28C-612B9ED4A573}">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T58" authorId="0" shapeId="0" xr:uid="{C12EDF76-439F-41E9-B9A2-9AB16681615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U58" authorId="0" shapeId="0" xr:uid="{CDEBBD34-2641-4161-8771-AC4EDDDD137F}">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V58" authorId="0" shapeId="0" xr:uid="{17B6F057-25D7-4827-81D6-6440240B2724}">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W58" authorId="0" shapeId="0" xr:uid="{BC46D21E-F4FC-4B0B-B3A6-17797F7E6D78}">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X58" authorId="0" shapeId="0" xr:uid="{6E22B03B-32D3-4CC2-831F-D0284CB0D1CC}">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sz val="9"/>
            <color indexed="81"/>
            <rFont val="Tahoma"/>
            <family val="2"/>
          </rPr>
          <t>St. Kitts and Nevis : 2017 Article IV Consultation- Press Release; Staff Report. July 2017.
https://www.imf.org/en/Publications/CR/Issues/2017/07/05/St-45039</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G47"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7"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7"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7"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7"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7"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7"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7"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7"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7"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7"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7" authorId="0" shapeId="0" xr:uid="{E35B0107-444A-491B-BB38-7010675A7C72}">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S47" authorId="0" shapeId="0" xr:uid="{75CAEC2F-9252-458D-838F-EA99E2590D54}">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T47" authorId="0" shapeId="0" xr:uid="{C4162D37-10F4-408E-9923-66171DF7A268}">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U47" authorId="0" shapeId="0" xr:uid="{8F058C01-47CE-46CF-8483-43F13BC6D7CB}">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V47" authorId="0" shapeId="0" xr:uid="{41789A1D-C30A-458E-B36A-C2F729FC2713}">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55"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55"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55"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55"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55"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55"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55"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55"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55"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55"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55"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55"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55"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55" authorId="0" shapeId="0" xr:uid="{00000000-0006-0000-7400-000023000000}">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R55" authorId="0" shapeId="0" xr:uid="{FA09CBD4-DE54-4CF0-8ED2-17D9067447B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S55" authorId="0" shapeId="0" xr:uid="{66379617-5CF9-4E1A-BAA9-4C24A81EC9A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T55" authorId="0" shapeId="0" xr:uid="{65839E0F-1E00-42A9-9B22-E04D0B16629A}">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U55" authorId="0" shapeId="0" xr:uid="{6E64DE64-B605-4127-8DD2-CAFD26CC6A1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V55" authorId="0" shapeId="0" xr:uid="{3E5125C8-6277-4C63-A01A-BC8B18DF8E2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O60" authorId="0" shapeId="0" xr:uid="{00000000-0006-0000-7400-00002A000000}">
      <text>
        <r>
          <rPr>
            <b/>
            <sz val="9"/>
            <color indexed="81"/>
            <rFont val="Tahoma"/>
            <family val="2"/>
          </rPr>
          <t>Author:</t>
        </r>
        <r>
          <rPr>
            <sz val="9"/>
            <color indexed="81"/>
            <rFont val="Tahoma"/>
            <family val="2"/>
          </rPr>
          <t xml:space="preserve">
Statistical discrepancy</t>
        </r>
      </text>
    </comment>
    <comment ref="P60" authorId="0" shapeId="0" xr:uid="{00000000-0006-0000-7400-00002B000000}">
      <text>
        <r>
          <rPr>
            <b/>
            <sz val="9"/>
            <color indexed="81"/>
            <rFont val="Tahoma"/>
            <family val="2"/>
          </rPr>
          <t>Author:</t>
        </r>
        <r>
          <rPr>
            <sz val="9"/>
            <color indexed="81"/>
            <rFont val="Tahoma"/>
            <family val="2"/>
          </rPr>
          <t xml:space="preserve">
Statistical discrepancy</t>
        </r>
      </text>
    </comment>
    <comment ref="Q60" authorId="0" shapeId="0" xr:uid="{00000000-0006-0000-7400-00002C000000}">
      <text>
        <r>
          <rPr>
            <b/>
            <sz val="9"/>
            <color indexed="81"/>
            <rFont val="Tahoma"/>
            <family val="2"/>
          </rPr>
          <t>Author:</t>
        </r>
        <r>
          <rPr>
            <sz val="9"/>
            <color indexed="81"/>
            <rFont val="Tahoma"/>
            <family val="2"/>
          </rPr>
          <t xml:space="preserve">
Statistical discrepancy</t>
        </r>
      </text>
    </comment>
    <comment ref="R62"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62"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62"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59"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59"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59"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59"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59"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59"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59"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59"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59"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59"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59"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59"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59"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59"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59"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59"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59"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59"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E00-000005000000}">
      <text>
        <r>
          <rPr>
            <b/>
            <sz val="9"/>
            <color indexed="81"/>
            <rFont val="Tahoma"/>
            <family val="2"/>
          </rPr>
          <t>Author:</t>
        </r>
        <r>
          <rPr>
            <sz val="9"/>
            <color indexed="81"/>
            <rFont val="Tahoma"/>
            <family val="2"/>
          </rPr>
          <t xml:space="preserve">
:
data for cy</t>
        </r>
      </text>
    </comment>
    <comment ref="E3" authorId="0" shapeId="0" xr:uid="{00000000-0006-0000-7E00-000006000000}">
      <text>
        <r>
          <rPr>
            <b/>
            <sz val="9"/>
            <color indexed="81"/>
            <rFont val="Tahoma"/>
            <family val="2"/>
          </rPr>
          <t>Author:</t>
        </r>
        <r>
          <rPr>
            <sz val="9"/>
            <color indexed="81"/>
            <rFont val="Tahoma"/>
            <family val="2"/>
          </rPr>
          <t xml:space="preserve">
:
data for cy</t>
        </r>
      </text>
    </comment>
    <comment ref="F3" authorId="0" shapeId="0" xr:uid="{00000000-0006-0000-7E00-000007000000}">
      <text>
        <r>
          <rPr>
            <b/>
            <sz val="9"/>
            <color indexed="81"/>
            <rFont val="Tahoma"/>
            <family val="2"/>
          </rPr>
          <t>Author:</t>
        </r>
        <r>
          <rPr>
            <sz val="9"/>
            <color indexed="81"/>
            <rFont val="Tahoma"/>
            <family val="2"/>
          </rPr>
          <t xml:space="preserve">
:
data for cy</t>
        </r>
      </text>
    </comment>
    <comment ref="G3" authorId="0" shapeId="0" xr:uid="{00000000-0006-0000-7E00-000008000000}">
      <text>
        <r>
          <rPr>
            <b/>
            <sz val="9"/>
            <color indexed="81"/>
            <rFont val="Tahoma"/>
            <family val="2"/>
          </rPr>
          <t>Author:</t>
        </r>
        <r>
          <rPr>
            <sz val="9"/>
            <color indexed="81"/>
            <rFont val="Tahoma"/>
            <family val="2"/>
          </rPr>
          <t xml:space="preserve">
:
data for cy</t>
        </r>
      </text>
    </comment>
    <comment ref="H3" authorId="0" shapeId="0" xr:uid="{00000000-0006-0000-7E00-000009000000}">
      <text>
        <r>
          <rPr>
            <b/>
            <sz val="9"/>
            <color indexed="81"/>
            <rFont val="Tahoma"/>
            <family val="2"/>
          </rPr>
          <t>Author:</t>
        </r>
        <r>
          <rPr>
            <sz val="9"/>
            <color indexed="81"/>
            <rFont val="Tahoma"/>
            <family val="2"/>
          </rPr>
          <t xml:space="preserve">
:
data for cy</t>
        </r>
      </text>
    </comment>
    <comment ref="I3" authorId="0" shapeId="0" xr:uid="{00000000-0006-0000-7E00-00000A000000}">
      <text>
        <r>
          <rPr>
            <b/>
            <sz val="9"/>
            <color indexed="81"/>
            <rFont val="Tahoma"/>
            <family val="2"/>
          </rPr>
          <t>Author:</t>
        </r>
        <r>
          <rPr>
            <sz val="9"/>
            <color indexed="81"/>
            <rFont val="Tahoma"/>
            <family val="2"/>
          </rPr>
          <t xml:space="preserve">
:
data for cy</t>
        </r>
      </text>
    </comment>
    <comment ref="J3" authorId="0" shapeId="0" xr:uid="{00000000-0006-0000-7E00-00000B000000}">
      <text>
        <r>
          <rPr>
            <b/>
            <sz val="9"/>
            <color indexed="81"/>
            <rFont val="Tahoma"/>
            <family val="2"/>
          </rPr>
          <t>Author:</t>
        </r>
        <r>
          <rPr>
            <sz val="9"/>
            <color indexed="81"/>
            <rFont val="Tahoma"/>
            <family val="2"/>
          </rPr>
          <t xml:space="preserve">
:
data for cy</t>
        </r>
      </text>
    </comment>
    <comment ref="K3" authorId="0" shapeId="0" xr:uid="{00000000-0006-0000-7E00-00000C000000}">
      <text>
        <r>
          <rPr>
            <b/>
            <sz val="9"/>
            <color indexed="81"/>
            <rFont val="Tahoma"/>
            <family val="2"/>
          </rPr>
          <t>Author:</t>
        </r>
        <r>
          <rPr>
            <sz val="9"/>
            <color indexed="81"/>
            <rFont val="Tahoma"/>
            <family val="2"/>
          </rPr>
          <t xml:space="preserve">
:
data for cy</t>
        </r>
      </text>
    </comment>
    <comment ref="L3" authorId="0" shapeId="0" xr:uid="{00000000-0006-0000-7E00-00000D000000}">
      <text>
        <r>
          <rPr>
            <b/>
            <sz val="9"/>
            <color indexed="81"/>
            <rFont val="Tahoma"/>
            <family val="2"/>
          </rPr>
          <t>Author:</t>
        </r>
        <r>
          <rPr>
            <sz val="9"/>
            <color indexed="81"/>
            <rFont val="Tahoma"/>
            <family val="2"/>
          </rPr>
          <t xml:space="preserve">
:
data for cy</t>
        </r>
      </text>
    </comment>
    <comment ref="M3" authorId="0" shapeId="0" xr:uid="{00000000-0006-0000-7E00-00000E000000}">
      <text>
        <r>
          <rPr>
            <b/>
            <sz val="9"/>
            <color indexed="81"/>
            <rFont val="Tahoma"/>
            <family val="2"/>
          </rPr>
          <t>Author:</t>
        </r>
        <r>
          <rPr>
            <sz val="9"/>
            <color indexed="81"/>
            <rFont val="Tahoma"/>
            <family val="2"/>
          </rPr>
          <t xml:space="preserve">
:
data for cy</t>
        </r>
      </text>
    </comment>
    <comment ref="N3" authorId="0" shapeId="0" xr:uid="{00000000-0006-0000-7E00-00000F000000}">
      <text>
        <r>
          <rPr>
            <b/>
            <sz val="9"/>
            <color indexed="81"/>
            <rFont val="Tahoma"/>
            <family val="2"/>
          </rPr>
          <t>Author:</t>
        </r>
        <r>
          <rPr>
            <sz val="9"/>
            <color indexed="81"/>
            <rFont val="Tahoma"/>
            <family val="2"/>
          </rPr>
          <t xml:space="preserve">
:
data for cy</t>
        </r>
      </text>
    </comment>
    <comment ref="O3" authorId="0" shapeId="0" xr:uid="{00000000-0006-0000-7E00-000010000000}">
      <text>
        <r>
          <rPr>
            <b/>
            <sz val="9"/>
            <color indexed="81"/>
            <rFont val="Tahoma"/>
            <family val="2"/>
          </rPr>
          <t>Author:</t>
        </r>
        <r>
          <rPr>
            <sz val="9"/>
            <color indexed="81"/>
            <rFont val="Tahoma"/>
            <family val="2"/>
          </rPr>
          <t xml:space="preserve">
:
data for cy</t>
        </r>
      </text>
    </comment>
    <comment ref="P3" authorId="0" shapeId="0" xr:uid="{00000000-0006-0000-7E00-000011000000}">
      <text>
        <r>
          <rPr>
            <b/>
            <sz val="9"/>
            <color indexed="81"/>
            <rFont val="Tahoma"/>
            <family val="2"/>
          </rPr>
          <t>Author:</t>
        </r>
        <r>
          <rPr>
            <sz val="9"/>
            <color indexed="81"/>
            <rFont val="Tahoma"/>
            <family val="2"/>
          </rPr>
          <t xml:space="preserve">
:
data for cy</t>
        </r>
      </text>
    </comment>
    <comment ref="Q3" authorId="0" shapeId="0" xr:uid="{00000000-0006-0000-7E00-000012000000}">
      <text>
        <r>
          <rPr>
            <b/>
            <sz val="9"/>
            <color indexed="81"/>
            <rFont val="Tahoma"/>
            <family val="2"/>
          </rPr>
          <t>Author:</t>
        </r>
        <r>
          <rPr>
            <sz val="9"/>
            <color indexed="81"/>
            <rFont val="Tahoma"/>
            <family val="2"/>
          </rPr>
          <t xml:space="preserve">
data for cy</t>
        </r>
      </text>
    </comment>
    <comment ref="R3" authorId="0" shapeId="0" xr:uid="{00000000-0006-0000-7E00-000013000000}">
      <text>
        <r>
          <rPr>
            <b/>
            <sz val="9"/>
            <color indexed="81"/>
            <rFont val="Tahoma"/>
            <family val="2"/>
          </rPr>
          <t>Author:</t>
        </r>
        <r>
          <rPr>
            <sz val="9"/>
            <color indexed="81"/>
            <rFont val="Tahoma"/>
            <family val="2"/>
          </rPr>
          <t xml:space="preserve">
data for cy</t>
        </r>
      </text>
    </comment>
    <comment ref="S3" authorId="0" shapeId="0" xr:uid="{00000000-0006-0000-7E00-000014000000}">
      <text>
        <r>
          <rPr>
            <b/>
            <sz val="9"/>
            <color indexed="81"/>
            <rFont val="Tahoma"/>
            <family val="2"/>
          </rPr>
          <t>Author:</t>
        </r>
        <r>
          <rPr>
            <sz val="9"/>
            <color indexed="81"/>
            <rFont val="Tahoma"/>
            <family val="2"/>
          </rPr>
          <t xml:space="preserve">
data for cy</t>
        </r>
      </text>
    </comment>
    <comment ref="F45" authorId="0" shapeId="0" xr:uid="{00000000-0006-0000-7E00-00001B000000}">
      <text>
        <r>
          <rPr>
            <sz val="9"/>
            <color indexed="81"/>
            <rFont val="Tahoma"/>
            <family val="2"/>
          </rPr>
          <t>IMF government finance statistics database
https://data.imf.org/?sk=a0867067-d23c-4ebc-ad23-d3b015045405&amp;sId=1409151240976</t>
        </r>
      </text>
    </comment>
    <comment ref="G45" authorId="0" shapeId="0" xr:uid="{EB48F906-81BD-4AB4-A968-45303A39BAE1}">
      <text>
        <r>
          <rPr>
            <sz val="9"/>
            <color indexed="81"/>
            <rFont val="Tahoma"/>
            <family val="2"/>
          </rPr>
          <t>IMF government finance statistics database
https://data.imf.org/?sk=a0867067-d23c-4ebc-ad23-d3b015045405&amp;sId=1409151240976</t>
        </r>
      </text>
    </comment>
    <comment ref="H45" authorId="0" shapeId="0" xr:uid="{5102E623-FB80-4E5A-918E-8601D6A6FBF5}">
      <text>
        <r>
          <rPr>
            <sz val="9"/>
            <color indexed="81"/>
            <rFont val="Tahoma"/>
            <family val="2"/>
          </rPr>
          <t>IMF government finance statistics database
https://data.imf.org/?sk=a0867067-d23c-4ebc-ad23-d3b015045405&amp;sId=1409151240976</t>
        </r>
      </text>
    </comment>
    <comment ref="I45" authorId="0" shapeId="0" xr:uid="{B8534D68-D81C-402C-90FA-0E1C0FF726A2}">
      <text>
        <r>
          <rPr>
            <sz val="9"/>
            <color indexed="81"/>
            <rFont val="Tahoma"/>
            <family val="2"/>
          </rPr>
          <t>IMF government finance statistics database
https://data.imf.org/?sk=a0867067-d23c-4ebc-ad23-d3b015045405&amp;sId=1409151240976</t>
        </r>
      </text>
    </comment>
    <comment ref="J45" authorId="0" shapeId="0" xr:uid="{ED5B3E5A-CBE6-4C94-81AA-23D6DA854046}">
      <text>
        <r>
          <rPr>
            <sz val="9"/>
            <color indexed="81"/>
            <rFont val="Tahoma"/>
            <family val="2"/>
          </rPr>
          <t>IMF government finance statistics database
https://data.imf.org/?sk=a0867067-d23c-4ebc-ad23-d3b015045405&amp;sId=1409151240976</t>
        </r>
      </text>
    </comment>
    <comment ref="K45" authorId="0" shapeId="0" xr:uid="{F9A70211-8724-4D90-9349-D13C2D2F11DF}">
      <text>
        <r>
          <rPr>
            <sz val="9"/>
            <color indexed="81"/>
            <rFont val="Tahoma"/>
            <family val="2"/>
          </rPr>
          <t>IMF government finance statistics database
https://data.imf.org/?sk=a0867067-d23c-4ebc-ad23-d3b015045405&amp;sId=1409151240976</t>
        </r>
      </text>
    </comment>
    <comment ref="L45" authorId="0" shapeId="0" xr:uid="{D57CB619-508D-4C9B-BD38-271103D26490}">
      <text>
        <r>
          <rPr>
            <sz val="9"/>
            <color indexed="81"/>
            <rFont val="Tahoma"/>
            <family val="2"/>
          </rPr>
          <t>IMF government finance statistics database
https://data.imf.org/?sk=a0867067-d23c-4ebc-ad23-d3b015045405&amp;sId=1409151240976</t>
        </r>
      </text>
    </comment>
    <comment ref="M45" authorId="0" shapeId="0" xr:uid="{B07A4C2E-7524-4174-B521-469877C95E89}">
      <text>
        <r>
          <rPr>
            <sz val="9"/>
            <color indexed="81"/>
            <rFont val="Tahoma"/>
            <family val="2"/>
          </rPr>
          <t>IMF government finance statistics database
https://data.imf.org/?sk=a0867067-d23c-4ebc-ad23-d3b015045405&amp;sId=1409151240976</t>
        </r>
      </text>
    </comment>
    <comment ref="N45" authorId="0" shapeId="0" xr:uid="{70028EA0-E271-4FD8-9210-91DE7930A054}">
      <text>
        <r>
          <rPr>
            <sz val="9"/>
            <color indexed="81"/>
            <rFont val="Tahoma"/>
            <family val="2"/>
          </rPr>
          <t>IMF government finance statistics database
https://data.imf.org/?sk=a0867067-d23c-4ebc-ad23-d3b015045405&amp;sId=1409151240976</t>
        </r>
      </text>
    </comment>
    <comment ref="O45" authorId="0" shapeId="0" xr:uid="{FC381787-472E-4CA1-94D6-3EDB3288D10D}">
      <text>
        <r>
          <rPr>
            <sz val="9"/>
            <color indexed="81"/>
            <rFont val="Tahoma"/>
            <family val="2"/>
          </rPr>
          <t>IMF government finance statistics database
https://data.imf.org/?sk=a0867067-d23c-4ebc-ad23-d3b015045405&amp;sId=1409151240976</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U35" authorId="0" shapeId="0" xr:uid="{17B1A43B-C0BD-433B-89BB-8C3EEA2B5AC1}">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V35" authorId="0" shapeId="0" xr:uid="{FE78D88D-96BA-4F0B-BD42-6DAA776BDDF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 ref="T54" authorId="0" shapeId="0" xr:uid="{FA318FD6-B829-4DBF-955A-A6B500E3B97A}">
      <text>
        <r>
          <rPr>
            <sz val="9"/>
            <color indexed="81"/>
            <rFont val="Tahoma"/>
            <family val="2"/>
          </rPr>
          <t>IMF World Economic Outlook Database. April 2018.</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U74" authorId="0" shapeId="0" xr:uid="{8995B25A-9237-4C76-ACCA-043D81DC6FE4}">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V74" authorId="0" shapeId="0" xr:uid="{DA951855-DA08-4967-B270-94AC373816DC}">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W74" authorId="0" shapeId="0" xr:uid="{AD19A5F7-DD17-4D0D-9235-88B27D27659A}">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<sst xmlns="http://schemas.openxmlformats.org/spreadsheetml/2006/main" count="31551" uniqueCount="7226">
  <si>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</si>
  <si>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</si>
  <si>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</si>
  <si>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</si>
  <si>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</si>
  <si>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</si>
  <si>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</si>
  <si>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</si>
  <si>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</si>
  <si>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</si>
  <si>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</si>
  <si>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</si>
  <si>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</si>
  <si>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</si>
  <si>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</si>
  <si>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</si>
  <si>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</si>
  <si>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</si>
  <si>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</si>
  <si>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</si>
  <si>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</si>
  <si>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</si>
  <si>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</si>
  <si>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</si>
  <si>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</si>
  <si>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</si>
  <si>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</si>
  <si>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</si>
  <si>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</si>
  <si>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</si>
  <si>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</si>
  <si>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</si>
  <si>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</si>
  <si>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</si>
  <si>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</si>
  <si>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</si>
  <si>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</si>
  <si>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</si>
  <si>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</si>
  <si>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</si>
  <si>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</si>
  <si>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</si>
  <si>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</si>
  <si>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</si>
  <si>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</si>
  <si>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</si>
  <si>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</si>
  <si>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</si>
  <si>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</si>
  <si>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</si>
  <si>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</si>
  <si>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</si>
  <si>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</si>
  <si>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</si>
  <si>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</si>
  <si>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</si>
  <si>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</si>
  <si>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</si>
  <si>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</si>
  <si>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</si>
  <si>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</si>
  <si>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</si>
  <si>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</si>
  <si>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</si>
  <si>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</si>
  <si>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</si>
  <si>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</si>
  <si>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</si>
  <si>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</si>
  <si>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</si>
  <si>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</si>
  <si>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</si>
  <si>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</si>
  <si>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</si>
  <si>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</si>
  <si>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</si>
  <si>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</si>
  <si>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</si>
  <si>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</si>
  <si>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</si>
  <si>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</si>
  <si>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</si>
  <si>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</si>
  <si>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</si>
  <si>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</si>
  <si>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</si>
  <si>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</si>
  <si>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</si>
  <si>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</si>
  <si>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</si>
  <si>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</si>
  <si>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</si>
  <si>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</si>
  <si>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</si>
  <si>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</si>
  <si>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</si>
  <si>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</si>
  <si>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</si>
  <si>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</si>
  <si>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</si>
  <si>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</si>
  <si>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</si>
  <si>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</si>
  <si>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</si>
  <si>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</si>
  <si>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</si>
  <si>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</si>
  <si>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</si>
  <si>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</si>
  <si>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</si>
  <si>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</si>
  <si>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</si>
  <si>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</si>
  <si>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</si>
  <si>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</si>
  <si>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</si>
  <si>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</si>
  <si>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</si>
  <si>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</si>
  <si>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</si>
  <si>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</si>
  <si>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</si>
  <si>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</si>
  <si>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</si>
  <si>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</si>
  <si>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</si>
  <si>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</si>
  <si>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</si>
  <si>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</si>
  <si>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</si>
  <si>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</si>
  <si>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</si>
  <si>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</si>
  <si>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</si>
  <si>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</si>
  <si>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</si>
  <si>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</si>
  <si>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</si>
  <si>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</si>
  <si>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</si>
  <si>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</si>
  <si>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</si>
  <si>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</si>
  <si>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</si>
  <si>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</si>
  <si>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</si>
  <si>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</si>
  <si>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</si>
  <si>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</si>
  <si>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</si>
  <si>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</si>
  <si>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</si>
  <si>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</si>
  <si>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</si>
  <si>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</si>
  <si>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</si>
  <si>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</si>
  <si>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</si>
  <si>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</si>
  <si>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</si>
  <si>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</si>
  <si>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</si>
  <si>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</si>
  <si>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</si>
  <si>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</si>
  <si>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</si>
  <si>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</si>
  <si>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</si>
  <si>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</si>
  <si>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</si>
  <si>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</si>
  <si>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</si>
  <si>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</si>
  <si>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</si>
  <si>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</si>
  <si>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</si>
  <si>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</si>
  <si>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</si>
  <si>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</si>
  <si>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</si>
  <si>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</si>
  <si>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</si>
  <si>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</si>
  <si>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</si>
  <si>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</si>
  <si>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</si>
  <si>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</si>
  <si>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</si>
  <si>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</si>
  <si>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</si>
  <si>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</si>
  <si>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</si>
  <si>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</si>
  <si>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</si>
  <si>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</si>
  <si>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</si>
  <si>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</si>
  <si>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</si>
  <si>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</si>
  <si>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</si>
  <si>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</si>
  <si>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</si>
  <si>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</si>
  <si>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</si>
  <si>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</si>
  <si>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</si>
  <si>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</si>
  <si>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</si>
  <si>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</si>
  <si>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</si>
  <si>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</si>
  <si>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</si>
  <si>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</si>
  <si>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</si>
  <si>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</si>
  <si>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</si>
  <si>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</si>
  <si>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</si>
  <si>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</si>
  <si>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</si>
  <si>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</si>
  <si>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</si>
  <si>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</si>
  <si>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</si>
  <si>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</si>
  <si>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</si>
  <si>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</si>
  <si>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</si>
  <si>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</si>
  <si>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</si>
  <si>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</si>
  <si>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</si>
  <si>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</si>
  <si>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</si>
  <si>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</si>
  <si>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</si>
  <si>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</si>
  <si>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</si>
  <si>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</si>
  <si>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</si>
  <si>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</si>
  <si>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</si>
  <si>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</si>
  <si>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</si>
  <si>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</si>
  <si>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</si>
  <si>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</si>
  <si>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</si>
  <si>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</si>
  <si>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</si>
  <si>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</si>
  <si>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</si>
  <si>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</si>
  <si>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</si>
  <si>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</si>
  <si>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</si>
  <si>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</si>
  <si>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</si>
  <si>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</si>
  <si>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</si>
  <si>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</si>
  <si>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</si>
  <si>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</si>
  <si>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</si>
  <si>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</si>
  <si>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</si>
  <si>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</si>
  <si>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</si>
  <si>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</si>
  <si>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</si>
  <si>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</si>
  <si>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</si>
  <si>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</si>
  <si>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</si>
  <si>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</si>
  <si>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</si>
  <si>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</si>
  <si>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</si>
  <si>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</si>
  <si>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</si>
  <si>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</si>
  <si>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</si>
  <si>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</si>
  <si>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</si>
  <si>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</si>
  <si>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</si>
  <si>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</si>
  <si>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</si>
  <si>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</si>
  <si>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</si>
  <si>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</si>
  <si>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</si>
  <si>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</si>
  <si>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</si>
  <si>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</si>
  <si>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</si>
  <si>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</si>
  <si>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</si>
  <si>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</si>
  <si>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</si>
  <si>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</si>
  <si>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</si>
  <si>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</si>
  <si>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</si>
  <si>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</si>
  <si>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</si>
  <si>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</si>
  <si>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</si>
  <si>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</si>
  <si>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</si>
  <si>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</si>
  <si>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</si>
  <si>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</si>
  <si>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</si>
  <si>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</si>
  <si>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</si>
  <si>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</si>
  <si>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</si>
  <si>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</si>
  <si>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</si>
  <si>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</si>
  <si>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</si>
  <si>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</si>
  <si>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</si>
  <si>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</si>
  <si>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</si>
  <si>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</si>
  <si>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</si>
  <si>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</si>
  <si>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</si>
  <si>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</si>
  <si>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</si>
  <si>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</si>
  <si>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</si>
  <si>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</si>
  <si>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</si>
  <si>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</si>
  <si>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</si>
  <si>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</si>
  <si>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</si>
  <si>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</si>
  <si>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</si>
  <si>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</si>
  <si>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</si>
  <si>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</si>
  <si>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</si>
  <si>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</si>
  <si>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</si>
  <si>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</si>
  <si>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</si>
  <si>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</si>
  <si>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</si>
  <si>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</si>
  <si>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</si>
  <si>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</si>
  <si>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</si>
  <si>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</si>
  <si>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</si>
  <si>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</si>
  <si>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</si>
  <si>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</si>
  <si>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</si>
  <si>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</si>
  <si>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</si>
  <si>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</si>
  <si>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</si>
  <si>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</si>
  <si>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</si>
  <si>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</si>
  <si>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</si>
  <si>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</si>
  <si>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</si>
  <si>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</si>
  <si>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</si>
  <si>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</si>
  <si>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</si>
  <si>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</si>
  <si>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</si>
  <si>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</si>
  <si>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</si>
  <si>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</si>
  <si>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</si>
  <si>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</si>
  <si>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</si>
  <si>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</si>
  <si>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</si>
  <si>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</si>
  <si>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</si>
  <si>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</si>
  <si>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</si>
  <si>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</si>
  <si>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</si>
  <si>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</si>
  <si>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</si>
  <si>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</si>
  <si>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</si>
  <si>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</si>
  <si>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</si>
  <si>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</si>
  <si>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</si>
  <si>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r>
      <t>Quasi-fiscal</t>
    </r>
    <r>
      <rPr>
        <sz val="11"/>
        <color theme="1"/>
        <rFont val="Calibri"/>
        <family val="2"/>
        <scheme val="minor"/>
      </rPr>
      <t xml:space="preserve"> </t>
    </r>
    <r>
      <rPr>
        <sz val="11"/>
        <color rgb="FF000000"/>
        <rFont val="Calibri"/>
        <family val="2"/>
        <scheme val="minor"/>
      </rPr>
      <t>expenditures</t>
    </r>
  </si>
  <si>
    <t>L2_other_expenditure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</si>
  <si>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</si>
  <si>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</si>
  <si>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</si>
  <si>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</si>
  <si>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</si>
  <si>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</si>
  <si>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</si>
  <si>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</si>
  <si>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</si>
  <si>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</si>
  <si>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</si>
  <si>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</si>
  <si>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</si>
  <si>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</si>
  <si>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</si>
  <si>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</si>
  <si>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</si>
  <si>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</si>
  <si>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</si>
  <si>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</si>
  <si>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</si>
  <si>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</si>
  <si>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</si>
  <si>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</si>
  <si>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</si>
  <si>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</si>
  <si>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</si>
  <si>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</si>
  <si>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</si>
  <si>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</si>
  <si>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</si>
  <si>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</si>
  <si>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</si>
  <si>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</si>
  <si>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</si>
  <si>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</si>
  <si>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</si>
  <si>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</si>
  <si>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</si>
  <si>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</si>
  <si>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</si>
  <si>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</si>
  <si>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</si>
  <si>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</si>
  <si>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</si>
  <si>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</si>
  <si>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</si>
  <si>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</si>
  <si>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</si>
  <si>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</si>
  <si>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</si>
  <si>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</si>
  <si>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</si>
  <si>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</si>
  <si>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</si>
  <si>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</si>
  <si>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</si>
  <si>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</si>
  <si>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</si>
  <si>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</si>
  <si>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</si>
  <si>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</si>
  <si>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</si>
  <si>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</si>
  <si>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</si>
  <si>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</si>
  <si>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</si>
  <si>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</si>
  <si>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</si>
  <si>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</si>
  <si>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</si>
  <si>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</si>
  <si>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</si>
  <si>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</si>
  <si>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</si>
  <si>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</si>
  <si>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</si>
  <si>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</si>
  <si>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</si>
  <si>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</si>
  <si>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</si>
  <si>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</si>
  <si>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</si>
  <si>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</si>
  <si>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</si>
  <si>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</si>
  <si>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</si>
  <si>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</si>
  <si>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</si>
  <si>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</si>
  <si>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</si>
  <si>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</si>
  <si>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</si>
  <si>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</si>
  <si>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</si>
  <si>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</si>
  <si>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</si>
  <si>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</si>
  <si>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</si>
  <si>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</si>
  <si>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</si>
  <si>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</si>
  <si>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</si>
  <si>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</si>
  <si>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</si>
  <si>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</si>
  <si>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</si>
  <si>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</si>
  <si>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</si>
  <si>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</si>
  <si>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</si>
  <si>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</si>
  <si>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</si>
  <si>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</si>
  <si>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</si>
  <si>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</si>
  <si>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</si>
  <si>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</si>
  <si>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</si>
  <si>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</si>
  <si>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</si>
  <si>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</si>
  <si>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</si>
  <si>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</si>
  <si>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</si>
  <si>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</si>
  <si>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</si>
  <si>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</si>
  <si>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</si>
  <si>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</si>
  <si>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</si>
  <si>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Revenues</t>
  </si>
  <si>
    <t>Social security contributions</t>
  </si>
  <si>
    <t>Expenditure</t>
  </si>
  <si>
    <t>Wages</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</si>
  <si>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</si>
  <si>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</si>
  <si>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Capital spending</t>
  </si>
  <si>
    <t>Capital</t>
  </si>
  <si>
    <t>Current</t>
  </si>
  <si>
    <t>Overall balance</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</si>
  <si>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</si>
  <si>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</si>
  <si>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</si>
  <si>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</si>
  <si>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</si>
  <si>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</si>
  <si>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</si>
  <si>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</si>
  <si>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</si>
  <si>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</si>
  <si>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</si>
  <si>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</si>
  <si>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</si>
  <si>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</si>
  <si>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</si>
  <si>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</si>
  <si>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</si>
  <si>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</si>
  <si>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</si>
  <si>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</si>
  <si>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</si>
  <si>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</si>
  <si>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</si>
  <si>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</si>
  <si>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</si>
  <si>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</si>
  <si>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</si>
  <si>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</si>
  <si>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</si>
  <si>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</si>
  <si>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</si>
  <si>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</si>
  <si>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</si>
  <si>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</si>
  <si>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</si>
  <si>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</si>
  <si>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</si>
  <si>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</si>
  <si>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</si>
  <si>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</si>
  <si>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</si>
  <si>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</si>
  <si>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</si>
  <si>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</si>
  <si>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</si>
  <si>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</si>
  <si>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</si>
  <si>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</si>
  <si>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</si>
  <si>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</si>
  <si>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</si>
  <si>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</si>
  <si>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</si>
  <si>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</si>
  <si>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</si>
  <si>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</si>
  <si>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</si>
  <si>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</si>
  <si>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</si>
  <si>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</si>
  <si>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</si>
  <si>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</si>
  <si>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</si>
  <si>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</si>
  <si>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</si>
  <si>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</si>
  <si>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</si>
  <si>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</si>
  <si>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</si>
  <si>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</si>
  <si>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</si>
  <si>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</si>
  <si>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</si>
  <si>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</si>
  <si>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</si>
  <si>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</si>
  <si>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</si>
  <si>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</si>
  <si>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</si>
  <si>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</si>
  <si>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</si>
  <si>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</si>
  <si>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</si>
  <si>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</si>
  <si>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</si>
  <si>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</si>
  <si>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</si>
  <si>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</si>
  <si>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</si>
  <si>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</si>
  <si>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</si>
  <si>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</si>
  <si>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</si>
  <si>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</si>
  <si>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</si>
  <si>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</si>
  <si>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</si>
  <si>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</si>
  <si>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</si>
  <si>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</si>
  <si>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</si>
  <si>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</si>
  <si>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</si>
  <si>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</si>
  <si>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</si>
  <si>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</si>
  <si>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</si>
  <si>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</si>
  <si>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</si>
  <si>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</si>
  <si>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</si>
  <si>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</si>
  <si>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</si>
  <si>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</si>
  <si>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</si>
  <si>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</si>
  <si>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</si>
  <si>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</si>
  <si>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</si>
  <si>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</si>
  <si>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</si>
  <si>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</si>
  <si>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</si>
  <si>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</si>
  <si>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</si>
  <si>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</si>
  <si>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</si>
  <si>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</si>
  <si>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</si>
  <si>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</si>
  <si>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</si>
  <si>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</si>
  <si>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</si>
  <si>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</si>
  <si>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</si>
  <si>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</si>
  <si>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</si>
  <si>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</si>
  <si>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</si>
  <si>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</si>
  <si>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</si>
  <si>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</si>
  <si>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</si>
  <si>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</si>
  <si>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</si>
  <si>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</si>
  <si>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</si>
  <si>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</si>
  <si>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</si>
  <si>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</si>
  <si>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</si>
  <si>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</si>
  <si>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</si>
  <si>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</si>
  <si>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</si>
  <si>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</si>
  <si>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</si>
  <si>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</si>
  <si>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</si>
  <si>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</si>
  <si>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</si>
  <si>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</si>
  <si>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</si>
  <si>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</si>
  <si>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</si>
  <si>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</si>
  <si>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</si>
  <si>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</si>
  <si>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</si>
  <si>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</si>
  <si>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</si>
  <si>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</si>
  <si>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</si>
  <si>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</si>
  <si>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</si>
  <si>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</si>
  <si>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</si>
  <si>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</si>
  <si>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</si>
  <si>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</si>
  <si>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</si>
  <si>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</si>
  <si>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</si>
  <si>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</si>
  <si>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</si>
  <si>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</si>
  <si>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</si>
  <si>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</si>
  <si>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</si>
  <si>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</si>
  <si>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</si>
  <si>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</si>
  <si>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</si>
  <si>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</si>
  <si>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</si>
  <si>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</si>
  <si>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</si>
  <si>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</si>
  <si>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</si>
  <si>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</si>
  <si>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</si>
  <si>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</si>
  <si>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</si>
  <si>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</si>
  <si>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</si>
  <si>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</si>
  <si>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</si>
  <si>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</si>
  <si>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</si>
  <si>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</si>
  <si>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</si>
  <si>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</si>
  <si>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</si>
  <si>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</si>
  <si>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</si>
  <si>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</si>
  <si>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</si>
  <si>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</si>
  <si>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</si>
  <si>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</si>
  <si>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</si>
  <si>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</si>
  <si>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</si>
  <si>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</si>
  <si>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</si>
  <si>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</si>
  <si>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</si>
  <si>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</si>
  <si>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</si>
  <si>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</si>
  <si>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</si>
  <si>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</si>
  <si>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</si>
  <si>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</si>
  <si>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</si>
  <si>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</si>
  <si>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</si>
  <si>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</si>
  <si>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</si>
  <si>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</si>
  <si>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</si>
  <si>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</si>
  <si>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</si>
  <si>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</si>
  <si>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</si>
  <si>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</si>
  <si>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</si>
  <si>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</si>
  <si>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</si>
  <si>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</si>
  <si>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</si>
  <si>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</si>
  <si>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</si>
  <si>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</si>
  <si>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</si>
  <si>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</si>
  <si>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</si>
  <si>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</si>
  <si>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</si>
  <si>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</si>
  <si>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</si>
  <si>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</si>
  <si>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</si>
  <si>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</si>
  <si>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</si>
  <si>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</si>
  <si>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</si>
  <si>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</si>
  <si>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</si>
  <si>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</si>
  <si>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</si>
  <si>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</si>
  <si>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</si>
  <si>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</si>
  <si>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</si>
  <si>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</si>
  <si>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</si>
  <si>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</si>
  <si>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</si>
  <si>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</si>
  <si>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</si>
  <si>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</si>
  <si>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</si>
  <si>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</si>
  <si>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</si>
  <si>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</si>
  <si>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</si>
  <si>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</si>
  <si>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</si>
  <si>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</si>
  <si>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</si>
  <si>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</si>
  <si>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</si>
  <si>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</si>
  <si>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</si>
  <si>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</si>
  <si>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</si>
  <si>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</si>
  <si>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</si>
  <si>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</si>
  <si>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</si>
  <si>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</si>
  <si>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</si>
  <si>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</si>
  <si>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</si>
  <si>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</si>
  <si>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</si>
  <si>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</si>
  <si>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</si>
  <si>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</si>
  <si>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</si>
  <si>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</si>
  <si>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</si>
  <si>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</si>
  <si>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</si>
  <si>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</si>
  <si>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</si>
  <si>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</si>
  <si>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</si>
  <si>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</si>
  <si>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</si>
  <si>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</si>
  <si>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</si>
  <si>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</si>
  <si>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</si>
  <si>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</si>
  <si>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</si>
  <si>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</si>
  <si>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</si>
  <si>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</si>
  <si>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</si>
  <si>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</si>
  <si>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</si>
  <si>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</si>
  <si>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</si>
  <si>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</si>
  <si>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</si>
  <si>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</si>
  <si>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</si>
  <si>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</si>
  <si>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</si>
  <si>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</si>
  <si>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</si>
  <si>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</si>
  <si>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</si>
  <si>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</si>
  <si>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</si>
  <si>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</si>
  <si>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</si>
  <si>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</si>
  <si>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</si>
  <si>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</si>
  <si>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</si>
  <si>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</si>
  <si>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</si>
  <si>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</si>
  <si>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</si>
  <si>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</si>
  <si>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</si>
  <si>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</si>
  <si>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</si>
  <si>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</si>
  <si>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</si>
  <si>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</si>
  <si>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</si>
  <si>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</si>
  <si>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</si>
  <si>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</si>
  <si>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</si>
  <si>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</si>
  <si>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</si>
  <si>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</si>
  <si>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</si>
  <si>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</si>
  <si>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</si>
  <si>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</si>
  <si>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</si>
  <si>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</si>
  <si>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</si>
  <si>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</si>
  <si>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</si>
  <si>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</si>
  <si>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</si>
  <si>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</si>
  <si>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</si>
  <si>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</si>
  <si>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</si>
  <si>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</si>
  <si>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</si>
  <si>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</si>
  <si>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</si>
  <si>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</si>
  <si>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</si>
  <si>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</si>
  <si>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</si>
  <si>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</si>
  <si>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</si>
  <si>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</si>
  <si>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</si>
  <si>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</si>
  <si>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</si>
  <si>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</si>
  <si>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</si>
  <si>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</si>
  <si>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</si>
  <si>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</si>
  <si>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</si>
  <si>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</si>
  <si>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</si>
  <si>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</si>
  <si>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</si>
  <si>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</si>
  <si>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</si>
  <si>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</si>
  <si>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</si>
  <si>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</si>
  <si>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</si>
  <si>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</si>
  <si>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</si>
  <si>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</si>
  <si>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</si>
  <si>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</si>
  <si>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</si>
  <si>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</si>
  <si>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</si>
  <si>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</si>
  <si>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</si>
  <si>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</si>
  <si>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</si>
  <si>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</si>
  <si>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</si>
  <si>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</si>
  <si>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</si>
  <si>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</si>
  <si>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</si>
  <si>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</si>
  <si>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</si>
  <si>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</si>
  <si>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</si>
  <si>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</si>
  <si>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</si>
  <si>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</si>
  <si>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</si>
  <si>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</si>
  <si>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</si>
  <si>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</si>
  <si>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</si>
  <si>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</si>
  <si>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</si>
  <si>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</si>
  <si>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</si>
  <si>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</si>
  <si>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</si>
  <si>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</si>
  <si>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</si>
  <si>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</si>
  <si>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</si>
  <si>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</si>
  <si>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</si>
  <si>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</si>
  <si>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</si>
  <si>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</si>
  <si>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</si>
  <si>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</si>
  <si>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</si>
  <si>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</si>
  <si>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</si>
  <si>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</si>
  <si>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</si>
  <si>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</si>
  <si>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</si>
  <si>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</si>
  <si>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</si>
  <si>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</si>
  <si>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</si>
  <si>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</si>
  <si>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</si>
  <si>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</si>
  <si>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</si>
  <si>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</si>
  <si>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</si>
  <si>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</si>
  <si>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</si>
  <si>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</si>
  <si>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</si>
  <si>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</si>
  <si>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</si>
  <si>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</si>
  <si>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</si>
  <si>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</si>
  <si>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</si>
  <si>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</si>
  <si>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</si>
  <si>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</si>
  <si>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</si>
  <si>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</si>
  <si>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</si>
  <si>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</si>
  <si>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</si>
  <si>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</si>
  <si>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</si>
  <si>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</si>
  <si>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</si>
  <si>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</si>
  <si>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</si>
  <si>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</si>
  <si>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</si>
  <si>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</si>
  <si>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</si>
  <si>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</si>
  <si>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</si>
  <si>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</si>
  <si>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</si>
  <si>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</si>
  <si>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</si>
  <si>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</si>
  <si>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</si>
  <si>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</si>
  <si>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</si>
  <si>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</si>
  <si>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</si>
  <si>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</si>
  <si>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</si>
  <si>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</si>
  <si>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</si>
  <si>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</si>
  <si>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</si>
  <si>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</si>
  <si>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</si>
  <si>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</si>
  <si>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</si>
  <si>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</si>
  <si>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</si>
  <si>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</si>
  <si>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</si>
  <si>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</si>
  <si>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</si>
  <si>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</si>
  <si>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</si>
  <si>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</si>
  <si>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</si>
  <si>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</si>
  <si>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</si>
  <si>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</si>
  <si>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</si>
  <si>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</si>
  <si>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</si>
  <si>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</si>
  <si>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</si>
  <si>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</si>
  <si>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</si>
  <si>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</si>
  <si>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</si>
  <si>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</si>
  <si>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</si>
  <si>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</si>
  <si>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</si>
  <si>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</si>
  <si>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</si>
  <si>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</si>
  <si>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</si>
  <si>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</si>
  <si>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</si>
  <si>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</si>
  <si>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</si>
  <si>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</si>
  <si>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</si>
  <si>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</si>
  <si>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</si>
  <si>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</si>
  <si>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</si>
  <si>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</si>
  <si>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</si>
  <si>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</si>
  <si>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</si>
  <si>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</si>
  <si>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</si>
  <si>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</si>
  <si>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</si>
  <si>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</si>
  <si>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</si>
  <si>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</si>
  <si>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</si>
  <si>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</si>
  <si>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</si>
  <si>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</si>
  <si>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</si>
  <si>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</si>
  <si>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</si>
  <si>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</si>
  <si>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</si>
  <si>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</si>
  <si>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</si>
  <si>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</si>
  <si>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</si>
  <si>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</si>
  <si>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</si>
  <si>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</si>
  <si>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</si>
  <si>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</si>
  <si>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</si>
  <si>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</si>
  <si>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</si>
  <si>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</si>
  <si>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</si>
  <si>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</si>
  <si>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</si>
  <si>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</si>
  <si>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</si>
  <si>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</si>
  <si>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</si>
  <si>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</si>
  <si>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</si>
  <si>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</si>
  <si>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</si>
  <si>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</si>
  <si>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</si>
  <si>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</si>
  <si>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</si>
  <si>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</si>
  <si>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</si>
  <si>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</si>
  <si>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</si>
  <si>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</si>
  <si>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</si>
  <si>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</si>
  <si>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</si>
  <si>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</si>
  <si>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</si>
  <si>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</si>
  <si>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</si>
  <si>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</si>
  <si>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</si>
  <si>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</si>
  <si>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</si>
  <si>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</si>
  <si>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</si>
  <si>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</si>
  <si>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</si>
  <si>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</si>
  <si>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</si>
  <si>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</si>
  <si>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</si>
  <si>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</si>
  <si>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</si>
  <si>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</si>
  <si>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</si>
  <si>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</si>
  <si>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</si>
  <si>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</si>
  <si>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</si>
  <si>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</si>
  <si>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</si>
  <si>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</si>
  <si>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</si>
  <si>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</si>
  <si>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</si>
  <si>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</si>
  <si>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</si>
  <si>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</si>
  <si>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</si>
  <si>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</si>
  <si>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</si>
  <si>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</si>
  <si>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</si>
  <si>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</si>
  <si>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</si>
  <si>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</si>
  <si>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</si>
  <si>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</si>
  <si>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</si>
  <si>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</si>
  <si>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</si>
  <si>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</si>
  <si>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</si>
  <si>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</si>
  <si>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</si>
  <si>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</si>
  <si>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</si>
  <si>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</si>
  <si>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</si>
  <si>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</si>
  <si>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</si>
  <si>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</si>
  <si>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</si>
  <si>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</si>
  <si>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</si>
  <si>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</si>
  <si>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</si>
  <si>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</si>
  <si>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</si>
  <si>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</si>
  <si>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</si>
  <si>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</si>
  <si>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</si>
  <si>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</si>
  <si>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</si>
  <si>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</si>
  <si>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</si>
  <si>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</si>
  <si>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</si>
  <si>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</si>
  <si>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</si>
  <si>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</si>
  <si>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</si>
  <si>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</si>
  <si>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</si>
  <si>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</si>
  <si>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</si>
  <si>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</si>
  <si>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</si>
  <si>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</si>
  <si>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</si>
  <si>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</si>
  <si>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</si>
  <si>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</si>
  <si>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</si>
  <si>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</si>
  <si>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</si>
  <si>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</si>
  <si>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</si>
  <si>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</si>
  <si>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</si>
  <si>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</si>
  <si>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</si>
  <si>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</si>
  <si>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</si>
  <si>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</si>
  <si>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</si>
  <si>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</si>
  <si>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</si>
  <si>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</si>
  <si>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</si>
  <si>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</si>
  <si>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</si>
  <si>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</si>
  <si>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</si>
  <si>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</si>
  <si>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</si>
  <si>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</si>
  <si>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</si>
  <si>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</si>
  <si>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</si>
  <si>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</si>
  <si>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</si>
  <si>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</si>
  <si>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</si>
  <si>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</si>
  <si>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</si>
  <si>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</si>
  <si>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</si>
  <si>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</si>
  <si>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</si>
  <si>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</si>
  <si>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</si>
  <si>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</si>
  <si>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</si>
  <si>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</si>
  <si>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</si>
  <si>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</si>
  <si>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</si>
  <si>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</si>
  <si>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</si>
  <si>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</si>
  <si>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</si>
  <si>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</si>
  <si>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</si>
  <si>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</si>
  <si>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</si>
  <si>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</si>
  <si>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</si>
  <si>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</si>
  <si>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</si>
  <si>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</si>
  <si>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</si>
  <si>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</si>
  <si>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</si>
  <si>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</si>
  <si>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</si>
  <si>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</si>
  <si>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</si>
  <si>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</si>
  <si>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</si>
  <si>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</si>
  <si>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</si>
  <si>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</si>
  <si>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</si>
  <si>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</si>
  <si>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</si>
  <si>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</si>
  <si>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</si>
  <si>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</si>
  <si>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</si>
  <si>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</si>
  <si>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</si>
  <si>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</si>
  <si>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</si>
  <si>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</si>
  <si>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</si>
  <si>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</si>
  <si>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</si>
  <si>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</si>
  <si>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</si>
  <si>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</si>
  <si>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</si>
  <si>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</si>
  <si>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</si>
  <si>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</si>
  <si>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</si>
  <si>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</si>
  <si>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</si>
  <si>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</si>
  <si>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</si>
  <si>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</si>
  <si>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</si>
  <si>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</si>
  <si>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</si>
  <si>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</si>
  <si>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</si>
  <si>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</si>
  <si>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</si>
  <si>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</si>
  <si>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</si>
  <si>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</si>
  <si>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</si>
  <si>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</si>
  <si>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</si>
  <si>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</si>
  <si>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</si>
  <si>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</si>
  <si>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</si>
  <si>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</si>
  <si>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</si>
  <si>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</si>
  <si>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</si>
  <si>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</si>
  <si>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</si>
  <si>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</si>
  <si>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</si>
  <si>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</si>
  <si>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</si>
  <si>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</si>
  <si>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</si>
  <si>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</si>
  <si>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</si>
  <si>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</si>
  <si>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</si>
  <si>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</si>
  <si>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</si>
  <si>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</si>
  <si>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</si>
  <si>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</si>
  <si>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</si>
  <si>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</si>
  <si>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</si>
  <si>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</si>
  <si>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</si>
  <si>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</si>
  <si>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</si>
  <si>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</si>
  <si>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</si>
  <si>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</si>
  <si>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</si>
  <si>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</si>
  <si>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</si>
  <si>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</si>
  <si>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</si>
  <si>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</si>
  <si>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</si>
  <si>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</si>
  <si>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</si>
  <si>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</si>
  <si>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</si>
  <si>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</si>
  <si>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</si>
  <si>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</si>
  <si>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</si>
  <si>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</si>
  <si>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</si>
  <si>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</si>
  <si>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</si>
  <si>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</si>
  <si>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</si>
  <si>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</si>
  <si>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</si>
  <si>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</si>
  <si>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</si>
  <si>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</si>
  <si>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</si>
  <si>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</si>
  <si>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</si>
  <si>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</si>
  <si>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</si>
  <si>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</si>
  <si>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</si>
  <si>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</si>
  <si>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</si>
  <si>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</si>
  <si>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</si>
  <si>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</si>
  <si>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</si>
  <si>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</si>
  <si>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</si>
  <si>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</si>
  <si>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</si>
  <si>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</si>
  <si>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</si>
  <si>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</si>
  <si>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</si>
  <si>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</si>
  <si>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</si>
  <si>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</si>
  <si>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</si>
  <si>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</si>
  <si>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</si>
  <si>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</si>
  <si>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</si>
  <si>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</si>
  <si>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</si>
  <si>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</si>
  <si>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</si>
  <si>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</si>
  <si>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</si>
  <si>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</si>
  <si>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</si>
  <si>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</si>
  <si>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</si>
  <si>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</si>
  <si>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</si>
  <si>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</si>
  <si>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</si>
  <si>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</si>
  <si>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</si>
  <si>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</si>
  <si>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</si>
  <si>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</si>
  <si>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</si>
  <si>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</si>
  <si>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</si>
  <si>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</si>
  <si>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</si>
  <si>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</si>
  <si>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</si>
  <si>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</si>
  <si>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</si>
  <si>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</si>
  <si>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</si>
  <si>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</si>
  <si>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</si>
  <si>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</si>
  <si>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</si>
  <si>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</si>
  <si>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</si>
  <si>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</si>
  <si>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</si>
  <si>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</si>
  <si>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</si>
  <si>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</si>
  <si>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</si>
  <si>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</si>
  <si>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</si>
  <si>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</si>
  <si>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</si>
  <si>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</si>
  <si>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</si>
  <si>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</si>
  <si>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</si>
  <si>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</si>
  <si>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</si>
  <si>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</si>
  <si>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</si>
  <si>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</si>
  <si>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</si>
  <si>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</si>
  <si>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</si>
  <si>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</si>
  <si>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</si>
  <si>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</si>
  <si>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</si>
  <si>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</si>
  <si>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</si>
  <si>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</si>
  <si>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</si>
  <si>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</si>
  <si>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</si>
  <si>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</si>
  <si>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</si>
  <si>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</si>
  <si>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</si>
  <si>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</si>
  <si>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</si>
  <si>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</si>
  <si>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</si>
  <si>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</si>
  <si>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</si>
  <si>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</si>
  <si>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</si>
  <si>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</si>
  <si>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</si>
  <si>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</si>
  <si>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</si>
  <si>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</si>
  <si>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</si>
  <si>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</si>
  <si>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</si>
  <si>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</si>
  <si>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</si>
  <si>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</si>
  <si>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</si>
  <si>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</si>
  <si>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</si>
  <si>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</si>
  <si>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</si>
  <si>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</si>
  <si>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</si>
  <si>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</si>
  <si>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</si>
  <si>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</si>
  <si>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</si>
  <si>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</si>
  <si>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</si>
  <si>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</si>
  <si>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</si>
  <si>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</si>
  <si>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</si>
  <si>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</si>
  <si>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</si>
  <si>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</si>
  <si>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</si>
  <si>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</si>
  <si>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</si>
  <si>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</si>
  <si>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</si>
  <si>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</si>
  <si>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</si>
  <si>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</si>
  <si>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</si>
  <si>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</si>
  <si>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</si>
  <si>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</si>
  <si>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</si>
  <si>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</si>
  <si>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</si>
  <si>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</si>
  <si>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</si>
  <si>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</si>
  <si>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</si>
  <si>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</si>
  <si>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</si>
  <si>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</si>
  <si>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</si>
  <si>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</si>
  <si>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</si>
  <si>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</si>
  <si>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</si>
  <si>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</si>
  <si>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</si>
  <si>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</si>
  <si>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</si>
  <si>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</si>
  <si>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</si>
  <si>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</si>
  <si>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</si>
  <si>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</si>
  <si>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</si>
  <si>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</si>
  <si>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</si>
  <si>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</si>
  <si>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</si>
  <si>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</si>
  <si>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</si>
  <si>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</si>
  <si>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</si>
  <si>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</si>
  <si>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</si>
  <si>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</si>
  <si>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</si>
  <si>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</si>
  <si>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</si>
  <si>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</si>
  <si>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</si>
  <si>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</si>
  <si>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</si>
  <si>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</si>
  <si>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</si>
  <si>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</si>
  <si>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</si>
  <si>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</si>
  <si>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</si>
  <si>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</si>
  <si>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</si>
  <si>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</si>
  <si>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</si>
  <si>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</si>
  <si>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</si>
  <si>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</si>
  <si>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</si>
  <si>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</si>
  <si>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</si>
  <si>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</si>
  <si>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</si>
  <si>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</si>
  <si>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</si>
  <si>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</si>
  <si>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</si>
  <si>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</si>
  <si>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</si>
  <si>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</si>
  <si>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</si>
  <si>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</si>
  <si>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</si>
  <si>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</si>
  <si>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</si>
  <si>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</si>
  <si>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</si>
  <si>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</si>
  <si>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</si>
  <si>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</si>
  <si>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</si>
  <si>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</si>
  <si>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</si>
  <si>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</si>
  <si>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</si>
  <si>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</si>
  <si>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</si>
  <si>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</si>
  <si>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</si>
  <si>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</si>
  <si>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</si>
  <si>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</si>
  <si>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</si>
  <si>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</si>
  <si>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</si>
  <si>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</si>
  <si>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</si>
  <si>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</si>
  <si>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</si>
  <si>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</si>
  <si>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</si>
  <si>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</si>
  <si>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</si>
  <si>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</si>
  <si>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</si>
  <si>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</si>
  <si>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</si>
  <si>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</si>
  <si>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</si>
  <si>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</si>
  <si>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</si>
  <si>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</si>
  <si>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</si>
  <si>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</si>
  <si>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</si>
  <si>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</si>
  <si>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</si>
  <si>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</si>
  <si>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</si>
  <si>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</si>
  <si>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</si>
  <si>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</si>
  <si>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</si>
  <si>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</si>
  <si>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</si>
  <si>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</si>
  <si>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</si>
  <si>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</si>
  <si>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</si>
  <si>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</si>
  <si>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</si>
  <si>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</si>
  <si>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</si>
  <si>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</si>
  <si>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</si>
  <si>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</si>
  <si>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</si>
  <si>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</si>
  <si>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</si>
  <si>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</si>
  <si>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</si>
  <si>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</si>
  <si>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</si>
  <si>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</si>
  <si>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</si>
  <si>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</si>
  <si>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</si>
  <si>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</si>
  <si>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</si>
  <si>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</si>
  <si>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</si>
  <si>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</si>
  <si>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</si>
  <si>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</si>
  <si>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</si>
  <si>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</si>
  <si>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</si>
  <si>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</si>
  <si>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</si>
  <si>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</si>
  <si>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</si>
  <si>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</si>
  <si>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</si>
  <si>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</si>
  <si>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</si>
  <si>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</si>
  <si>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</si>
  <si>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</si>
  <si>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</si>
  <si>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</si>
  <si>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</si>
  <si>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</si>
  <si>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</si>
  <si>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</si>
  <si>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</si>
  <si>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</si>
  <si>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</si>
  <si>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</si>
  <si>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</si>
  <si>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</si>
  <si>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</si>
  <si>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</si>
  <si>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</si>
  <si>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</si>
  <si>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</si>
  <si>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</si>
  <si>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</si>
  <si>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</si>
  <si>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</si>
  <si>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</si>
  <si>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</si>
  <si>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</si>
  <si>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</si>
  <si>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</si>
  <si>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</si>
  <si>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</si>
  <si>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</si>
  <si>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</si>
  <si>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</si>
  <si>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</si>
  <si>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</si>
  <si>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</si>
  <si>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</si>
  <si>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</si>
  <si>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</si>
  <si>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</si>
  <si>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</si>
  <si>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</si>
  <si>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</si>
  <si>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</si>
  <si>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</si>
  <si>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</si>
  <si>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</si>
  <si>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</si>
  <si>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</si>
  <si>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</si>
  <si>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</si>
  <si>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</si>
  <si>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</si>
  <si>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</si>
  <si>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</si>
  <si>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</si>
  <si>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</si>
  <si>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</si>
  <si>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</si>
  <si>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</si>
  <si>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</si>
  <si>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</si>
  <si>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</si>
  <si>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</si>
  <si>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</si>
  <si>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</si>
  <si>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</si>
  <si>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</si>
  <si>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</si>
  <si>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</si>
  <si>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</si>
  <si>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</si>
  <si>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</si>
  <si>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</si>
  <si>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</si>
  <si>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</si>
  <si>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</si>
  <si>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</si>
  <si>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</si>
  <si>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</si>
  <si>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</si>
  <si>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</si>
  <si>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</si>
  <si>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</si>
  <si>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</si>
  <si>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</si>
  <si>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</si>
  <si>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</si>
  <si>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</si>
  <si>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</si>
  <si>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</si>
  <si>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</si>
  <si>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</si>
  <si>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</si>
  <si>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</si>
  <si>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</si>
  <si>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</si>
  <si>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</si>
  <si>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</si>
  <si>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</si>
  <si>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</si>
  <si>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</si>
  <si>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</si>
  <si>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</si>
  <si>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</si>
  <si>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</si>
  <si>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</si>
  <si>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</si>
  <si>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</si>
  <si>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</si>
  <si>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</si>
  <si>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</si>
  <si>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</si>
  <si>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</si>
  <si>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</si>
  <si>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</si>
  <si>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</si>
  <si>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</si>
  <si>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</si>
  <si>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</si>
  <si>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</si>
  <si>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</si>
  <si>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</si>
  <si>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</si>
  <si>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</si>
  <si>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</si>
  <si>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</si>
  <si>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</si>
  <si>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</si>
  <si>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</si>
  <si>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</si>
  <si>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</si>
  <si>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</si>
  <si>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</si>
  <si>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</si>
  <si>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</si>
  <si>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</si>
  <si>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</si>
  <si>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</si>
  <si>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</si>
  <si>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</si>
  <si>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</si>
  <si>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</si>
  <si>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</si>
  <si>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</si>
  <si>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</si>
  <si>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</si>
  <si>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</si>
  <si>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</si>
  <si>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</si>
  <si>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</si>
  <si>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</si>
  <si>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</si>
  <si>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</si>
  <si>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</si>
  <si>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</si>
  <si>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</si>
  <si>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</si>
  <si>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</si>
  <si>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</si>
  <si>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</si>
  <si>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</si>
  <si>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</si>
  <si>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</si>
  <si>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</si>
  <si>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</si>
  <si>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</si>
  <si>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</si>
  <si>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</si>
  <si>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</si>
  <si>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</si>
  <si>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</si>
  <si>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</si>
  <si>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</si>
  <si>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</si>
  <si>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</si>
  <si>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</si>
  <si>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</si>
  <si>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</si>
  <si>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</si>
  <si>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</si>
  <si>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</si>
  <si>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</si>
  <si>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</si>
  <si>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</si>
  <si>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</si>
  <si>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</si>
  <si>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</si>
  <si>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</si>
  <si>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</si>
  <si>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</si>
  <si>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</si>
  <si>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</si>
  <si>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</si>
  <si>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</si>
  <si>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</si>
  <si>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</si>
  <si>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</si>
  <si>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</si>
  <si>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</si>
  <si>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</si>
  <si>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</si>
  <si>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</si>
  <si>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</si>
  <si>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</si>
  <si>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</si>
  <si>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</si>
  <si>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</si>
  <si>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</si>
  <si>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</si>
  <si>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</si>
  <si>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</si>
  <si>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</si>
  <si>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</si>
  <si>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</si>
  <si>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</si>
  <si>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</si>
  <si>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</si>
  <si>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</si>
  <si>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</si>
  <si>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</si>
  <si>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</si>
  <si>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</si>
  <si>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</si>
  <si>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</si>
  <si>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</si>
  <si>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</si>
  <si>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</si>
  <si>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</si>
  <si>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</si>
  <si>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</si>
  <si>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</si>
  <si>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</si>
  <si>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</si>
  <si>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</si>
  <si>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</si>
  <si>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</si>
  <si>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</si>
  <si>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</si>
  <si>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</si>
  <si>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</si>
  <si>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</si>
  <si>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</si>
  <si>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</si>
  <si>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</si>
  <si>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</si>
  <si>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</si>
  <si>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</si>
  <si>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</si>
  <si>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</si>
  <si>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</si>
  <si>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</si>
  <si>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</si>
  <si>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</si>
  <si>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</si>
  <si>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</si>
  <si>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</si>
  <si>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</si>
  <si>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</si>
  <si>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</si>
  <si>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</si>
  <si>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</si>
  <si>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</si>
  <si>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</si>
  <si>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</si>
  <si>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</si>
  <si>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</si>
  <si>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</si>
  <si>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</si>
  <si>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</si>
  <si>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</si>
  <si>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</si>
  <si>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</si>
  <si>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</si>
  <si>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</si>
  <si>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</si>
  <si>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</si>
  <si>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</si>
  <si>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</si>
  <si>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</si>
  <si>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</si>
  <si>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</si>
  <si>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</si>
  <si>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</si>
  <si>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</si>
  <si>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</si>
  <si>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</si>
  <si>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</si>
  <si>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</si>
  <si>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</si>
  <si>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</si>
  <si>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</si>
  <si>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</si>
  <si>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</si>
  <si>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</si>
  <si>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</si>
  <si>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</si>
  <si>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</si>
  <si>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</si>
  <si>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</si>
  <si>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</si>
  <si>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</si>
  <si>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</si>
  <si>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</si>
  <si>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</si>
  <si>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</si>
  <si>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</si>
  <si>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</si>
  <si>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</si>
  <si>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</si>
  <si>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</si>
  <si>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</si>
  <si>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</si>
  <si>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</si>
  <si>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</si>
  <si>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</si>
  <si>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</si>
  <si>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</si>
  <si>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</si>
  <si>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</si>
  <si>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</si>
  <si>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</si>
  <si>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</si>
  <si>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</si>
  <si>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</si>
  <si>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</si>
  <si>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</si>
  <si>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</si>
  <si>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</si>
  <si>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</si>
  <si>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</si>
  <si>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</si>
  <si>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</si>
  <si>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</si>
  <si>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</si>
  <si>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</si>
  <si>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</si>
  <si>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</si>
  <si>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</si>
  <si>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</si>
  <si>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</si>
  <si>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</si>
  <si>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</si>
  <si>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</si>
  <si>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</si>
  <si>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</si>
  <si>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</si>
  <si>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</si>
  <si>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</si>
  <si>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</si>
  <si>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</si>
  <si>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</si>
  <si>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</si>
  <si>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</si>
  <si>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</si>
  <si>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</si>
  <si>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</si>
  <si>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</si>
  <si>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</si>
  <si>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</si>
  <si>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</si>
  <si>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</si>
  <si>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</si>
  <si>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</si>
  <si>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</si>
  <si>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</si>
  <si>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</si>
  <si>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</si>
  <si>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</si>
  <si>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</si>
  <si>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</si>
  <si>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</si>
  <si>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</si>
  <si>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</si>
  <si>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</si>
  <si>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</si>
  <si>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</si>
  <si>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</si>
  <si>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</si>
  <si>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</si>
  <si>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</si>
  <si>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</si>
  <si>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</si>
  <si>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</si>
  <si>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</si>
  <si>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</si>
  <si>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</si>
  <si>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</si>
  <si>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</si>
  <si>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</si>
  <si>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</si>
  <si>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</si>
  <si>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</si>
  <si>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</si>
  <si>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</si>
  <si>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</si>
  <si>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</si>
  <si>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</si>
  <si>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</si>
  <si>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</si>
  <si>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</si>
  <si>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</si>
  <si>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</si>
  <si>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</si>
  <si>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</si>
  <si>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</si>
  <si>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</si>
  <si>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</si>
  <si>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</si>
  <si>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</si>
  <si>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</si>
  <si>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</si>
  <si>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</si>
  <si>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</si>
  <si>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</si>
  <si>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</si>
  <si>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</si>
  <si>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</si>
  <si>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</si>
  <si>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</si>
  <si>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</si>
  <si>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</si>
  <si>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</si>
  <si>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</si>
  <si>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</si>
  <si>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</si>
  <si>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</si>
  <si>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</si>
  <si>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</si>
  <si>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</si>
  <si>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</si>
  <si>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</si>
  <si>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</si>
  <si>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</si>
  <si>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</si>
  <si>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</si>
  <si>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</si>
  <si>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</si>
  <si>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</si>
  <si>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</si>
  <si>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</si>
  <si>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</si>
  <si>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</si>
  <si>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</si>
  <si>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</si>
  <si>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</si>
  <si>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</si>
  <si>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</si>
  <si>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</si>
  <si>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</si>
  <si>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</si>
  <si>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</si>
  <si>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</si>
  <si>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</si>
  <si>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</si>
  <si>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</si>
  <si>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</si>
  <si>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</si>
  <si>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</si>
  <si>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</si>
  <si>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</si>
  <si>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</si>
  <si>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</si>
  <si>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</si>
  <si>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</si>
  <si>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</si>
  <si>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</si>
  <si>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</si>
  <si>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</si>
  <si>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</si>
  <si>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</si>
  <si>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</si>
  <si>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</si>
  <si>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</si>
  <si>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</si>
  <si>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</si>
  <si>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</si>
  <si>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</si>
  <si>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</si>
  <si>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</si>
  <si>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</si>
  <si>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</si>
  <si>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</si>
  <si>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</si>
  <si>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</si>
  <si>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</si>
  <si>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</si>
  <si>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</si>
  <si>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</si>
  <si>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</si>
  <si>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</si>
  <si>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</si>
  <si>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</si>
  <si>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</si>
  <si>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</si>
  <si>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</si>
  <si>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</si>
  <si>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</si>
  <si>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</si>
  <si>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</si>
  <si>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</si>
  <si>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</si>
  <si>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</si>
  <si>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</si>
  <si>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</si>
  <si>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</si>
  <si>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</si>
  <si>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</si>
  <si>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</si>
  <si>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</si>
  <si>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</si>
  <si>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</si>
  <si>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</si>
  <si>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</si>
  <si>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</si>
  <si>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</si>
  <si>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</si>
  <si>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</si>
  <si>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</si>
  <si>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</si>
  <si>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</si>
  <si>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</si>
  <si>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</si>
  <si>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</si>
  <si>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</si>
  <si>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</si>
  <si>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</si>
  <si>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</si>
  <si>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</si>
  <si>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</si>
  <si>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</si>
  <si>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</si>
  <si>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</si>
  <si>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</si>
  <si>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</si>
  <si>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</si>
  <si>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</si>
  <si>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</si>
  <si>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</si>
  <si>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</si>
  <si>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</si>
  <si>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</si>
  <si>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</si>
  <si>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</si>
  <si>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</si>
  <si>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</si>
  <si>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</si>
  <si>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</si>
  <si>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</si>
  <si>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</si>
  <si>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</si>
  <si>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</si>
  <si>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</si>
  <si>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</si>
  <si>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</si>
  <si>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</si>
  <si>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</si>
  <si>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</si>
  <si>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</si>
  <si>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</si>
  <si>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</si>
  <si>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</si>
  <si>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</si>
  <si>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</si>
  <si>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</si>
  <si>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</si>
  <si>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</si>
  <si>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</si>
  <si>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</si>
  <si>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</si>
  <si>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</si>
  <si>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</si>
  <si>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</si>
  <si>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</si>
  <si>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</si>
  <si>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</si>
  <si>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</si>
  <si>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</si>
  <si>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</si>
  <si>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</si>
  <si>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</si>
  <si>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</si>
  <si>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</si>
  <si>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</si>
  <si>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</si>
  <si>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</si>
  <si>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</si>
  <si>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</si>
  <si>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</si>
  <si>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</si>
  <si>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</si>
  <si>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</si>
  <si>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</si>
  <si>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</si>
  <si>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</si>
  <si>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</si>
  <si>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</si>
  <si>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</si>
  <si>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</si>
  <si>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</si>
  <si>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</si>
  <si>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</si>
  <si>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</si>
  <si>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</si>
  <si>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</si>
  <si>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</si>
  <si>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</si>
  <si>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</si>
  <si>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</si>
  <si>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</si>
  <si>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</si>
  <si>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</si>
  <si>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</si>
  <si>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</si>
  <si>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</si>
  <si>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</si>
  <si>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</si>
  <si>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</si>
  <si>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</si>
  <si>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</si>
  <si>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</si>
  <si>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</si>
  <si>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</si>
  <si>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</si>
  <si>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</si>
  <si>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</si>
  <si>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</si>
  <si>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</si>
  <si>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</si>
  <si>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</si>
  <si>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</si>
  <si>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</si>
  <si>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</si>
  <si>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</si>
  <si>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</si>
  <si>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</si>
  <si>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</si>
  <si>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</si>
  <si>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</si>
  <si>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</si>
  <si>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</si>
  <si>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</si>
  <si>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</si>
  <si>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</si>
  <si>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</si>
  <si>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</si>
  <si>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</si>
  <si>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</si>
  <si>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</si>
  <si>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</si>
  <si>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</si>
  <si>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</si>
  <si>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</si>
  <si>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</si>
  <si>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</si>
  <si>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</si>
  <si>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</si>
  <si>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</si>
  <si>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</si>
  <si>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</si>
  <si>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</si>
  <si>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</si>
  <si>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</si>
  <si>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</si>
  <si>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</si>
  <si>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</si>
  <si>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</si>
  <si>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</si>
  <si>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</si>
  <si>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</si>
  <si>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</si>
  <si>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</si>
  <si>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</si>
  <si>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</si>
  <si>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</si>
  <si>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</si>
  <si>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</si>
  <si>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</si>
  <si>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</si>
  <si>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</si>
  <si>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</si>
  <si>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</si>
  <si>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</si>
  <si>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</si>
  <si>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</si>
  <si>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</si>
  <si>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</si>
  <si>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</si>
  <si>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</si>
  <si>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</si>
  <si>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</si>
  <si>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</si>
  <si>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</si>
  <si>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</si>
  <si>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</si>
  <si>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</si>
  <si>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</si>
  <si>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</si>
  <si>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</si>
  <si>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</si>
  <si>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</si>
  <si>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</si>
  <si>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</si>
  <si>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</si>
  <si>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</si>
  <si>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</si>
  <si>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</si>
  <si>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</si>
  <si>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</si>
  <si>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</si>
  <si>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</si>
  <si>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</si>
  <si>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</si>
  <si>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</si>
  <si>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</si>
  <si>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</si>
  <si>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</si>
  <si>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</si>
  <si>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</si>
  <si>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</si>
  <si>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</si>
  <si>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</si>
  <si>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</si>
  <si>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</si>
  <si>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</si>
  <si>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</si>
  <si>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</si>
  <si>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</si>
  <si>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</si>
  <si>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</si>
  <si>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</si>
  <si>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</si>
  <si>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</si>
  <si>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</si>
  <si>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</si>
  <si>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</si>
  <si>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</si>
  <si>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</si>
  <si>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</si>
  <si>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</si>
  <si>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</si>
  <si>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</si>
  <si>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</si>
  <si>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</si>
  <si>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</si>
  <si>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</si>
  <si>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</si>
  <si>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</si>
  <si>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</si>
  <si>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</si>
  <si>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</si>
  <si>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</si>
  <si>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</si>
  <si>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</si>
  <si>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</si>
  <si>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</si>
  <si>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</si>
  <si>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</si>
  <si>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</si>
  <si>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</si>
  <si>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</si>
  <si>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</si>
  <si>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</si>
  <si>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</si>
  <si>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</si>
  <si>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</si>
  <si>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</si>
  <si>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</si>
  <si>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</si>
  <si>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</si>
  <si>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</si>
  <si>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</si>
  <si>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</si>
  <si>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</si>
  <si>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</si>
  <si>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</si>
  <si>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</si>
  <si>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</si>
  <si>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</si>
  <si>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</si>
  <si>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</si>
  <si>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</si>
  <si>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</si>
  <si>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</si>
  <si>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</si>
  <si>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</si>
  <si>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</si>
  <si>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</si>
  <si>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</si>
  <si>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</si>
  <si>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</si>
  <si>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</si>
  <si>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</si>
  <si>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</si>
  <si>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</si>
  <si>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</si>
  <si>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</si>
  <si>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</si>
  <si>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</si>
  <si>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</si>
  <si>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</si>
  <si>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</si>
  <si>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</si>
  <si>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</si>
  <si>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</si>
  <si>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</si>
  <si>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</si>
  <si>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</si>
  <si>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</si>
  <si>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</si>
  <si>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</si>
  <si>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</si>
  <si>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</si>
  <si>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</si>
  <si>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</si>
  <si>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</si>
  <si>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</si>
  <si>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</si>
  <si>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</si>
  <si>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</si>
  <si>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</si>
  <si>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</si>
  <si>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</si>
  <si>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</si>
  <si>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</si>
  <si>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</si>
  <si>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</si>
  <si>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</si>
  <si>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</si>
  <si>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</si>
  <si>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</si>
  <si>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</si>
  <si>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</si>
  <si>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</si>
  <si>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</si>
  <si>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</si>
  <si>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</si>
  <si>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</si>
  <si>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</si>
  <si>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</si>
  <si>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</si>
  <si>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</si>
  <si>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</si>
  <si>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</si>
  <si>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</si>
  <si>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</si>
  <si>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</si>
  <si>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</si>
  <si>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</si>
  <si>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</si>
  <si>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</si>
  <si>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</si>
  <si>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</si>
  <si>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</si>
  <si>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</si>
  <si>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</si>
  <si>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</si>
  <si>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</si>
  <si>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</si>
  <si>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</si>
  <si>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</si>
  <si>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</si>
  <si>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</si>
  <si>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</si>
  <si>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</si>
  <si>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</si>
  <si>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</si>
  <si>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</si>
  <si>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</si>
  <si>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</si>
  <si>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</si>
  <si>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</si>
  <si>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</si>
  <si>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</si>
  <si>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</si>
  <si>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</si>
  <si>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</si>
  <si>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</si>
  <si>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</si>
  <si>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</si>
  <si>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</si>
  <si>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</si>
  <si>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</si>
  <si>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</si>
  <si>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</si>
  <si>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</si>
  <si>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</si>
  <si>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</si>
  <si>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</si>
  <si>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</si>
  <si>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</si>
  <si>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</si>
  <si>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</si>
  <si>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</si>
  <si>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</si>
  <si>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</si>
  <si>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</si>
  <si>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</si>
  <si>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</si>
  <si>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</si>
  <si>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</si>
  <si>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</si>
  <si>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</si>
  <si>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</si>
  <si>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</si>
  <si>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</si>
  <si>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</si>
  <si>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</si>
  <si>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</si>
  <si>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</si>
  <si>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</si>
  <si>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</si>
  <si>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</si>
  <si>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</si>
  <si>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</si>
  <si>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</si>
  <si>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</si>
  <si>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</si>
  <si>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</si>
  <si>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</si>
  <si>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</si>
  <si>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</si>
  <si>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</si>
  <si>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</si>
  <si>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</si>
  <si>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</si>
  <si>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</si>
  <si>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</si>
  <si>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</si>
  <si>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</si>
  <si>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</si>
  <si>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</si>
  <si>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</si>
  <si>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</si>
  <si>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</si>
  <si>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</si>
  <si>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</si>
  <si>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</si>
  <si>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</si>
  <si>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</si>
  <si>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</si>
  <si>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</si>
  <si>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</si>
  <si>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</si>
  <si>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</si>
  <si>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</si>
  <si>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</si>
  <si>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</si>
  <si>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</si>
  <si>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</si>
  <si>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</si>
  <si>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</si>
  <si>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</si>
  <si>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</si>
  <si>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</si>
  <si>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</si>
  <si>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</si>
  <si>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</si>
  <si>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</si>
  <si>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</si>
  <si>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</si>
  <si>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</si>
  <si>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</si>
  <si>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</si>
  <si>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</si>
  <si>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</si>
  <si>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</si>
  <si>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</si>
  <si>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</si>
  <si>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</si>
  <si>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</si>
  <si>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</si>
  <si>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</si>
  <si>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</si>
  <si>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</si>
  <si>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</si>
  <si>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</si>
  <si>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</si>
  <si>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</si>
  <si>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</si>
  <si>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</si>
  <si>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</si>
  <si>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</si>
  <si>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</si>
  <si>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</si>
  <si>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</si>
  <si>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</si>
  <si>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</si>
  <si>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</si>
  <si>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</si>
  <si>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</si>
  <si>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</si>
  <si>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</si>
  <si>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</si>
  <si>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</si>
  <si>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</si>
  <si>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</si>
  <si>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</si>
  <si>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</si>
  <si>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</si>
  <si>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</si>
  <si>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</si>
  <si>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</si>
  <si>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</si>
  <si>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</si>
  <si>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</si>
  <si>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</si>
  <si>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</si>
  <si>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</si>
  <si>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</si>
  <si>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</si>
  <si>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</si>
  <si>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</si>
  <si>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</si>
  <si>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</si>
  <si>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</si>
  <si>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</si>
  <si>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</si>
  <si>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</si>
  <si>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</si>
  <si>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</si>
  <si>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</si>
  <si>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</si>
  <si>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</si>
  <si>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</si>
  <si>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</si>
  <si>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</si>
  <si>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</si>
  <si>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</si>
  <si>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</si>
  <si>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</si>
  <si>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</si>
  <si>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</si>
  <si>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</si>
  <si>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</si>
  <si>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</si>
  <si>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</si>
  <si>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</si>
  <si>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</si>
  <si>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</si>
  <si>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</si>
  <si>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</si>
  <si>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</si>
  <si>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</si>
  <si>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</si>
  <si>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</si>
  <si>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</si>
  <si>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</si>
  <si>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</si>
  <si>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</si>
  <si>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</si>
  <si>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</si>
  <si>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</si>
  <si>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</si>
  <si>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</si>
  <si>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</si>
  <si>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</si>
  <si>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</si>
  <si>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</si>
  <si>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</si>
  <si>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</si>
  <si>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</si>
  <si>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</si>
  <si>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</si>
  <si>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</si>
  <si>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</si>
  <si>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</si>
  <si>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</si>
  <si>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</si>
  <si>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</si>
  <si>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</si>
  <si>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</si>
  <si>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</si>
  <si>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</si>
  <si>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</si>
  <si>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</si>
  <si>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</si>
  <si>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</si>
  <si>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</si>
  <si>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</si>
  <si>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</si>
  <si>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</si>
  <si>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</si>
  <si>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</si>
  <si>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</si>
  <si>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</si>
  <si>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</si>
  <si>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</si>
  <si>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</si>
  <si>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</si>
  <si>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</si>
  <si>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</si>
  <si>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</si>
  <si>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</si>
  <si>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</si>
  <si>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</si>
  <si>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</si>
  <si>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</si>
  <si>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</si>
  <si>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</si>
  <si>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</si>
  <si>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</si>
  <si>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</si>
  <si>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</si>
  <si>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</si>
  <si>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</si>
  <si>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</si>
  <si>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</si>
  <si>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</si>
  <si>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</si>
  <si>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</si>
  <si>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</si>
  <si>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</si>
  <si>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</si>
  <si>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</si>
  <si>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</si>
  <si>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</si>
  <si>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</si>
  <si>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</si>
  <si>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</si>
  <si>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</si>
  <si>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</si>
  <si>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</si>
  <si>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</si>
  <si>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</si>
  <si>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</si>
  <si>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</si>
  <si>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</si>
  <si>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</si>
  <si>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</si>
  <si>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</si>
  <si>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</si>
  <si>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</si>
  <si>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</si>
  <si>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</si>
  <si>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</si>
  <si>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</si>
  <si>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</si>
  <si>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</si>
  <si>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</si>
  <si>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</si>
  <si>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</si>
  <si>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</si>
  <si>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</si>
  <si>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</si>
  <si>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</si>
  <si>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</si>
  <si>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</si>
  <si>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</si>
  <si>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</si>
  <si>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</si>
  <si>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</si>
  <si>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</si>
  <si>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</si>
  <si>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</si>
  <si>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</si>
  <si>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</si>
  <si>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</si>
  <si>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</si>
  <si>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</si>
  <si>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</si>
  <si>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</si>
  <si>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</si>
  <si>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</si>
  <si>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</si>
  <si>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</si>
  <si>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</si>
  <si>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</si>
  <si>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</si>
  <si>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</si>
  <si>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</si>
  <si>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</si>
  <si>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</si>
  <si>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</si>
  <si>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</si>
  <si>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</si>
  <si>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</si>
  <si>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</si>
  <si>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</si>
  <si>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</si>
  <si>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</si>
  <si>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</si>
  <si>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</si>
  <si>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</si>
  <si>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</si>
  <si>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</si>
  <si>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</si>
  <si>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</si>
  <si>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</si>
  <si>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</si>
  <si>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</si>
  <si>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</si>
  <si>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</si>
  <si>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</si>
  <si>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</si>
  <si>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</si>
  <si>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</si>
  <si>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</si>
  <si>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</si>
  <si>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</si>
  <si>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</si>
  <si>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</si>
  <si>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</si>
  <si>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</si>
  <si>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</si>
  <si>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</si>
  <si>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</si>
  <si>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</si>
  <si>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</si>
  <si>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</si>
  <si>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</si>
  <si>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</si>
  <si>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</si>
  <si>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</si>
  <si>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</si>
  <si>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</si>
  <si>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</si>
  <si>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</si>
  <si>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</si>
  <si>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</si>
  <si>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</si>
  <si>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</si>
  <si>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</si>
  <si>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</si>
  <si>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</si>
  <si>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</si>
  <si>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</si>
  <si>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</si>
  <si>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</si>
  <si>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</si>
  <si>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</si>
  <si>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</si>
  <si>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</si>
  <si>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</si>
  <si>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</si>
  <si>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</si>
  <si>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</si>
  <si>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</si>
  <si>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</si>
  <si>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</si>
  <si>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</si>
  <si>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</si>
  <si>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</si>
  <si>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</si>
  <si>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</si>
  <si>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</si>
  <si>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</si>
  <si>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</si>
  <si>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</si>
  <si>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</si>
  <si>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</si>
  <si>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</si>
  <si>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</si>
  <si>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</si>
  <si>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</si>
  <si>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</si>
  <si>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</si>
  <si>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</si>
  <si>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</si>
  <si>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</si>
  <si>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</si>
  <si>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</si>
  <si>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</si>
  <si>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</si>
  <si>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</si>
  <si>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</si>
  <si>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</si>
  <si>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</si>
  <si>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</si>
  <si>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</si>
  <si>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</si>
  <si>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</si>
  <si>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</si>
  <si>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</si>
  <si>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</si>
  <si>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</si>
  <si>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</si>
  <si>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</si>
  <si>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</si>
  <si>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</si>
  <si>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</si>
  <si>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</si>
  <si>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</si>
  <si>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</si>
  <si>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</si>
  <si>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</si>
  <si>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</si>
  <si>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</si>
  <si>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</si>
  <si>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</si>
  <si>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</si>
  <si>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</si>
  <si>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</si>
  <si>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</si>
  <si>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</si>
  <si>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</si>
  <si>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</si>
  <si>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</si>
  <si>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</si>
  <si>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</si>
  <si>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</si>
  <si>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</si>
  <si>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</si>
  <si>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</si>
  <si>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</si>
  <si>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</si>
  <si>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</si>
  <si>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</si>
  <si>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</si>
  <si>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</si>
  <si>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</si>
  <si>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</si>
  <si>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</si>
  <si>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</si>
  <si>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</si>
  <si>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</si>
  <si>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</si>
  <si>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</si>
  <si>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</si>
  <si>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</si>
  <si>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</si>
  <si>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</si>
  <si>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</si>
  <si>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</si>
  <si>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</si>
  <si>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</si>
  <si>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</si>
  <si>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</si>
  <si>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</si>
  <si>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</si>
  <si>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</si>
  <si>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</si>
  <si>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</si>
  <si>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</si>
  <si>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</si>
  <si>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</si>
  <si>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</si>
  <si>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</si>
  <si>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</si>
  <si>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</si>
  <si>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</si>
  <si>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</si>
  <si>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</si>
  <si>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</si>
  <si>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</si>
  <si>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</si>
  <si>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</si>
  <si>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</si>
  <si>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</si>
  <si>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</si>
  <si>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</si>
  <si>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</si>
  <si>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</si>
  <si>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</si>
  <si>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</si>
  <si>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</si>
  <si>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</si>
  <si>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</si>
  <si>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</si>
  <si>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</si>
  <si>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</si>
  <si>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</si>
  <si>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</si>
  <si>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</si>
  <si>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</si>
  <si>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</si>
  <si>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</si>
  <si>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</si>
  <si>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</si>
  <si>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</si>
  <si>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</si>
  <si>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</si>
  <si>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</si>
  <si>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</si>
  <si>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</si>
  <si>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</si>
  <si>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</si>
  <si>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</si>
  <si>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</si>
  <si>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</si>
  <si>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</si>
  <si>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</si>
  <si>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</si>
  <si>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</si>
  <si>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</si>
  <si>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</si>
  <si>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</si>
  <si>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</si>
  <si>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</si>
  <si>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</si>
  <si>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</si>
  <si>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</si>
  <si>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</si>
  <si>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</si>
  <si>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</si>
  <si>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</si>
  <si>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</si>
  <si>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</si>
  <si>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</si>
  <si>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</si>
  <si>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</si>
  <si>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</si>
  <si>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</si>
  <si>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</si>
  <si>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</si>
  <si>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</si>
  <si>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</si>
  <si>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</si>
  <si>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</si>
  <si>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</si>
  <si>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</si>
  <si>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</si>
  <si>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</si>
  <si>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</si>
  <si>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</si>
  <si>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</si>
  <si>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</si>
  <si>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</si>
  <si>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</si>
  <si>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</si>
  <si>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</si>
  <si>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</si>
  <si>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</si>
  <si>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</si>
  <si>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</si>
  <si>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</si>
  <si>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</si>
  <si>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</si>
  <si>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</si>
  <si>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</si>
  <si>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</si>
  <si>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</si>
  <si>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</si>
  <si>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</si>
  <si>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</si>
  <si>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</si>
  <si>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</si>
  <si>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</si>
  <si>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</si>
  <si>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</si>
  <si>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</si>
  <si>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</si>
  <si>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</si>
  <si>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</si>
  <si>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</si>
  <si>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</si>
  <si>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</si>
  <si>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</si>
  <si>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</si>
  <si>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</si>
  <si>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</si>
  <si>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</si>
  <si>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</si>
  <si>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</si>
  <si>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</si>
  <si>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</si>
  <si>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</si>
  <si>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</si>
  <si>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</si>
  <si>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</si>
  <si>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</si>
  <si>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</si>
  <si>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</si>
  <si>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</si>
  <si>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</si>
  <si>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</si>
  <si>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</si>
  <si>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</si>
  <si>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</si>
  <si>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</si>
  <si>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</si>
  <si>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</si>
  <si>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</si>
  <si>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</si>
  <si>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</si>
  <si>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</si>
  <si>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</si>
  <si>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</si>
  <si>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</si>
  <si>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</si>
  <si>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</si>
  <si>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</si>
  <si>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</si>
  <si>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</si>
  <si>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</si>
  <si>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</si>
  <si>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</si>
  <si>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</si>
  <si>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</si>
  <si>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</si>
  <si>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</si>
  <si>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</si>
  <si>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</si>
  <si>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</si>
  <si>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</si>
  <si>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</si>
  <si>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</si>
  <si>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</si>
  <si>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</si>
  <si>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</si>
  <si>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</si>
  <si>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</si>
  <si>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</si>
  <si>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</si>
  <si>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</si>
  <si>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</si>
  <si>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</si>
  <si>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</si>
  <si>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</si>
  <si>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</si>
  <si>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</si>
  <si>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</si>
  <si>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</si>
  <si>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</si>
  <si>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</si>
  <si>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</si>
  <si>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</si>
  <si>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</si>
  <si>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</si>
  <si>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</si>
  <si>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</si>
  <si>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</si>
  <si>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</si>
  <si>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</si>
  <si>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</si>
  <si>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</si>
  <si>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</si>
  <si>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</si>
  <si>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</si>
  <si>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</si>
  <si>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</si>
  <si>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</si>
  <si>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</si>
  <si>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</si>
  <si>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</si>
  <si>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</si>
  <si>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</si>
  <si>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</si>
  <si>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</si>
  <si>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</si>
  <si>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</si>
  <si>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</si>
  <si>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</si>
  <si>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</si>
  <si>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</si>
  <si>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</si>
  <si>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IOCs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</si>
  <si>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</si>
  <si>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</si>
  <si>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</si>
  <si>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</si>
  <si>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</si>
  <si>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</si>
  <si>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</si>
  <si>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</si>
  <si>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</si>
  <si>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</si>
  <si>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</si>
  <si>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</si>
  <si>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</si>
  <si>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</si>
  <si>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</si>
  <si>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</si>
  <si>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</si>
  <si>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</si>
  <si>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</si>
  <si>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</si>
  <si>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</si>
  <si>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</si>
  <si>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</si>
  <si>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</si>
  <si>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</si>
  <si>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</si>
  <si>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</si>
  <si>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</si>
  <si>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</si>
  <si>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</si>
  <si>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</si>
  <si>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</si>
  <si>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</si>
  <si>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</si>
  <si>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</si>
  <si>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</si>
  <si>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</si>
  <si>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</si>
  <si>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</si>
  <si>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</si>
  <si>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</si>
  <si>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</si>
  <si>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</si>
  <si>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</si>
  <si>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</si>
  <si>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</si>
  <si>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</si>
  <si>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</si>
  <si>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</si>
  <si>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</si>
  <si>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</si>
  <si>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</si>
  <si>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</si>
  <si>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</si>
  <si>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</si>
  <si>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</si>
  <si>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</si>
  <si>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</si>
  <si>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</si>
  <si>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</si>
  <si>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</si>
  <si>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</si>
  <si>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</si>
  <si>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</si>
  <si>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</si>
  <si>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</si>
  <si>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</si>
  <si>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</si>
  <si>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</si>
  <si>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</si>
  <si>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</si>
  <si>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</si>
  <si>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</si>
  <si>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</si>
  <si>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</si>
  <si>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</si>
  <si>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</si>
  <si>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</si>
  <si>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</si>
  <si>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</si>
  <si>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</si>
  <si>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</si>
  <si>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</si>
  <si>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</si>
  <si>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</si>
  <si>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</si>
  <si>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</si>
  <si>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</si>
  <si>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</si>
  <si>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</si>
  <si>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</si>
  <si>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</si>
  <si>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</si>
  <si>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</si>
  <si>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</si>
  <si>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</si>
  <si>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</si>
  <si>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</si>
  <si>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</si>
  <si>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</si>
  <si>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</si>
  <si>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</si>
  <si>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</si>
  <si>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</si>
  <si>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</si>
  <si>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</si>
  <si>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</si>
  <si>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</si>
  <si>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</si>
  <si>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</si>
  <si>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</si>
  <si>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</si>
  <si>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</si>
  <si>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</si>
  <si>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</si>
  <si>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</si>
  <si>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</si>
  <si>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</si>
  <si>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</si>
  <si>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</si>
  <si>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</si>
  <si>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</si>
  <si>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</si>
  <si>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</si>
  <si>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</si>
  <si>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</si>
  <si>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</si>
  <si>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</si>
  <si>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</si>
  <si>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</si>
  <si>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</si>
  <si>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</si>
  <si>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</si>
  <si>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</si>
  <si>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</si>
  <si>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</si>
  <si>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</si>
  <si>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</si>
  <si>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</si>
  <si>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</si>
  <si>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</si>
  <si>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</si>
  <si>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</si>
  <si>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</si>
  <si>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</si>
  <si>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</si>
  <si>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</si>
  <si>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</si>
  <si>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</si>
  <si>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</si>
  <si>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</si>
  <si>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</si>
  <si>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</si>
  <si>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</si>
  <si>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</si>
  <si>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</si>
  <si>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</si>
  <si>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</si>
  <si>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</si>
  <si>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</si>
  <si>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</si>
  <si>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</si>
  <si>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</si>
  <si>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</si>
  <si>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</si>
  <si>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</si>
  <si>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</si>
  <si>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</si>
  <si>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</si>
  <si>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</si>
  <si>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</si>
  <si>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</si>
  <si>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</si>
  <si>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</si>
  <si>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</si>
  <si>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</si>
  <si>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</si>
  <si>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</si>
  <si>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</si>
  <si>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</si>
  <si>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</si>
  <si>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</si>
  <si>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</si>
  <si>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</si>
  <si>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</si>
  <si>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</si>
  <si>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</si>
  <si>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</si>
  <si>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</si>
  <si>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</si>
  <si>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</si>
  <si>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</si>
  <si>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</si>
  <si>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</si>
  <si>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</si>
  <si>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</si>
  <si>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</si>
  <si>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</si>
  <si>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</si>
  <si>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</si>
  <si>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</si>
  <si>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</si>
  <si>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</si>
  <si>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</si>
  <si>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</si>
  <si>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</si>
  <si>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</si>
  <si>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</si>
  <si>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</si>
  <si>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</si>
  <si>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</si>
  <si>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</si>
  <si>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</si>
  <si>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</si>
  <si>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</si>
  <si>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</si>
  <si>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</si>
  <si>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</si>
  <si>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</si>
  <si>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</si>
  <si>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</si>
  <si>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</si>
  <si>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</si>
  <si>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</si>
  <si>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</si>
  <si>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</si>
  <si>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</si>
  <si>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</si>
  <si>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</si>
  <si>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</si>
  <si>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</si>
  <si>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</si>
  <si>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</si>
  <si>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</si>
  <si>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</si>
  <si>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</si>
  <si>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</si>
  <si>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</si>
  <si>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</si>
  <si>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</si>
  <si>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</si>
  <si>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</si>
  <si>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</si>
  <si>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</si>
  <si>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</si>
  <si>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</si>
  <si>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</si>
  <si>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</si>
  <si>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</si>
  <si>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</si>
  <si>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</si>
  <si>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</si>
  <si>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</si>
  <si>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</si>
  <si>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</si>
  <si>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</si>
  <si>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</si>
  <si>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</si>
  <si>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</si>
  <si>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</si>
  <si>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</si>
  <si>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</si>
  <si>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</si>
  <si>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</si>
  <si>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</si>
  <si>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</si>
  <si>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</si>
  <si>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</si>
  <si>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</si>
  <si>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</si>
  <si>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</si>
  <si>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</si>
  <si>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</si>
  <si>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</si>
  <si>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</si>
  <si>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</si>
  <si>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</si>
  <si>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</si>
  <si>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</si>
  <si>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</si>
  <si>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</si>
  <si>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</si>
  <si>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</si>
  <si>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</si>
  <si>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</si>
  <si>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</si>
  <si>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</si>
  <si>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</si>
  <si>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</si>
  <si>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</si>
  <si>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</si>
  <si>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</si>
  <si>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</si>
  <si>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</si>
  <si>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</si>
  <si>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</si>
  <si>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</si>
  <si>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</si>
  <si>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</si>
  <si>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</si>
  <si>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</si>
  <si>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</si>
  <si>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</si>
  <si>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</si>
  <si>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</si>
  <si>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</si>
  <si>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</si>
  <si>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</si>
  <si>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</si>
  <si>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</si>
  <si>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</si>
  <si>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</si>
  <si>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</si>
  <si>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</si>
  <si>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</si>
  <si>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</si>
  <si>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</si>
  <si>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</si>
  <si>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</si>
  <si>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</si>
  <si>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</si>
  <si>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</si>
  <si>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</si>
  <si>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</si>
  <si>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</si>
  <si>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</si>
  <si>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</si>
  <si>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</si>
  <si>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</si>
  <si>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</si>
  <si>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</si>
  <si>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</si>
  <si>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</si>
  <si>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</si>
  <si>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</si>
  <si>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</si>
  <si>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</si>
  <si>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</si>
  <si>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</si>
  <si>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</si>
  <si>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</si>
  <si>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</si>
  <si>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</si>
  <si>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</si>
  <si>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</si>
  <si>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</si>
  <si>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</si>
  <si>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</si>
  <si>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</si>
  <si>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</si>
  <si>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</si>
  <si>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</si>
  <si>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</si>
  <si>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</si>
  <si>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</si>
  <si>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</si>
  <si>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</si>
  <si>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</si>
  <si>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</si>
  <si>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</si>
  <si>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</si>
  <si>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</si>
  <si>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</si>
  <si>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</si>
  <si>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</si>
  <si>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</si>
  <si>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</si>
  <si>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</si>
  <si>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</si>
  <si>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</si>
  <si>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</si>
  <si>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</si>
  <si>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</si>
  <si>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</si>
  <si>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</si>
  <si>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</si>
  <si>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</si>
  <si>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</si>
  <si>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</si>
  <si>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</si>
  <si>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</si>
  <si>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</si>
  <si>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</si>
  <si>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</si>
  <si>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</si>
  <si>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</si>
  <si>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</si>
  <si>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</si>
  <si>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</si>
  <si>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</si>
  <si>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</si>
  <si>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</si>
  <si>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</si>
  <si>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</si>
  <si>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</si>
  <si>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</si>
  <si>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</si>
  <si>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</si>
  <si>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</si>
  <si>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</si>
  <si>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</si>
  <si>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</si>
  <si>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</si>
  <si>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</si>
  <si>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</si>
  <si>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</si>
  <si>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</si>
  <si>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</si>
  <si>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</si>
  <si>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</si>
  <si>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</si>
  <si>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</si>
  <si>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</si>
  <si>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</si>
  <si>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</si>
  <si>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</si>
  <si>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</si>
  <si>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</si>
  <si>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</si>
  <si>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</si>
  <si>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</si>
  <si>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</si>
  <si>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</si>
  <si>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</si>
  <si>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</si>
  <si>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</si>
  <si>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</si>
  <si>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</si>
  <si>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</si>
  <si>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</si>
  <si>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</si>
  <si>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</si>
  <si>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</si>
  <si>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</si>
  <si>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</si>
  <si>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</si>
  <si>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</si>
  <si>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</si>
  <si>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</si>
  <si>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</si>
  <si>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</si>
  <si>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</si>
  <si>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</si>
  <si>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</si>
  <si>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</si>
  <si>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</si>
  <si>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</si>
  <si>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</si>
  <si>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</si>
  <si>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</si>
  <si>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</si>
  <si>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</si>
  <si>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</si>
  <si>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</si>
  <si>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</si>
  <si>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</si>
  <si>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</si>
  <si>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</si>
  <si>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</si>
  <si>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</si>
  <si>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</si>
  <si>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</si>
  <si>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</si>
  <si>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</si>
  <si>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</si>
  <si>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</si>
  <si>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</si>
  <si>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</si>
  <si>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</si>
  <si>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</si>
  <si>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</si>
  <si>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</si>
  <si>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</si>
  <si>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</si>
  <si>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</si>
  <si>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</si>
  <si>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</si>
  <si>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</si>
  <si>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</si>
  <si>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</si>
  <si>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</si>
  <si>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</si>
  <si>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</si>
  <si>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</si>
  <si>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</si>
  <si>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</si>
  <si>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</si>
  <si>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</si>
  <si>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</si>
  <si>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</si>
  <si>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</si>
  <si>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</si>
  <si>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</si>
  <si>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</si>
  <si>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</si>
  <si>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</si>
  <si>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</si>
  <si>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</si>
  <si>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</si>
  <si>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</si>
  <si>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</si>
  <si>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</si>
  <si>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</si>
  <si>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</si>
  <si>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</si>
  <si>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</si>
  <si>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</si>
  <si>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</si>
  <si>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</si>
  <si>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</si>
  <si>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</si>
  <si>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</si>
  <si>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</si>
  <si>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</si>
  <si>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</si>
  <si>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</si>
  <si>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</si>
  <si>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</si>
  <si>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</si>
  <si>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</si>
  <si>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</si>
  <si>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</si>
  <si>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</si>
  <si>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</si>
  <si>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</si>
  <si>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</si>
  <si>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</si>
  <si>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</si>
  <si>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</si>
  <si>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</si>
  <si>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</si>
  <si>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</si>
  <si>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</si>
  <si>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</si>
  <si>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</si>
  <si>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</si>
  <si>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</si>
  <si>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</si>
  <si>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</si>
  <si>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</si>
  <si>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</si>
  <si>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</si>
  <si>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</si>
  <si>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</si>
  <si>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</si>
  <si>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</si>
  <si>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</si>
  <si>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</si>
  <si>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</si>
  <si>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</si>
  <si>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</si>
  <si>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</si>
  <si>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</si>
  <si>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</si>
  <si>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</si>
  <si>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</si>
  <si>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</si>
  <si>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</si>
  <si>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</si>
  <si>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</si>
  <si>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</si>
  <si>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</si>
  <si>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</si>
  <si>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</si>
  <si>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</si>
  <si>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</si>
  <si>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</si>
  <si>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</si>
  <si>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</si>
  <si>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</si>
  <si>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</si>
  <si>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</si>
  <si>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</si>
  <si>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</si>
  <si>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</si>
  <si>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</si>
  <si>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</si>
  <si>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</si>
  <si>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</si>
  <si>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</si>
  <si>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</si>
  <si>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</si>
  <si>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</si>
  <si>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</si>
  <si>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</si>
  <si>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</si>
  <si>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</si>
  <si>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</si>
  <si>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</si>
  <si>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</si>
  <si>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</si>
  <si>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</si>
  <si>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</si>
  <si>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</si>
  <si>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</si>
  <si>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</si>
  <si>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</si>
  <si>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</si>
  <si>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</si>
  <si>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</si>
  <si>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</si>
  <si>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</si>
  <si>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</si>
  <si>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</si>
  <si>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</si>
  <si>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</si>
  <si>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</si>
  <si>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</si>
  <si>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</si>
  <si>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</si>
  <si>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</si>
  <si>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</si>
  <si>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</si>
  <si>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</si>
  <si>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</si>
  <si>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</si>
  <si>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</si>
  <si>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</si>
  <si>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</si>
  <si>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</si>
  <si>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</si>
  <si>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</si>
  <si>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</si>
  <si>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</si>
  <si>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</si>
  <si>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</si>
  <si>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</si>
  <si>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</si>
  <si>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</si>
  <si>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</si>
  <si>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</si>
  <si>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</si>
  <si>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</si>
  <si>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</si>
  <si>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</si>
  <si>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</si>
  <si>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</si>
  <si>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</si>
  <si>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</si>
  <si>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</si>
  <si>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</si>
  <si>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</si>
  <si>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</si>
  <si>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</si>
  <si>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</si>
  <si>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</si>
  <si>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</si>
  <si>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</si>
  <si>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</si>
  <si>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</si>
  <si>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</si>
  <si>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</si>
  <si>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</si>
  <si>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</si>
  <si>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</si>
  <si>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</si>
  <si>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</si>
  <si>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</si>
  <si>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</si>
  <si>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</si>
  <si>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</si>
  <si>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</si>
  <si>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</si>
  <si>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</si>
  <si>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</si>
  <si>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</si>
  <si>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</si>
  <si>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</si>
  <si>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</si>
  <si>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</si>
  <si>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</si>
  <si>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</si>
  <si>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</si>
  <si>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</si>
  <si>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</si>
  <si>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</si>
  <si>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</si>
  <si>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</si>
  <si>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</si>
  <si>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</si>
  <si>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</si>
  <si>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</si>
  <si>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</si>
  <si>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</si>
  <si>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</si>
  <si>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</si>
  <si>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</si>
  <si>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</si>
  <si>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</si>
  <si>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</si>
  <si>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</si>
  <si>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</si>
  <si>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</si>
  <si>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</si>
  <si>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</si>
  <si>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</si>
  <si>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</si>
  <si>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</si>
  <si>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</si>
  <si>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</si>
  <si>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</si>
  <si>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</si>
  <si>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</si>
  <si>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</si>
  <si>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</si>
  <si>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</si>
  <si>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</si>
  <si>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</si>
  <si>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</si>
  <si>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</si>
  <si>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</si>
  <si>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</si>
  <si>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</si>
  <si>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</si>
  <si>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</si>
  <si>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</si>
  <si>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</si>
  <si>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</si>
  <si>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</si>
  <si>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</si>
  <si>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</si>
  <si>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</si>
  <si>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</si>
  <si>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</si>
  <si>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</si>
  <si>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</si>
  <si>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</si>
  <si>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</si>
  <si>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</si>
  <si>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</si>
  <si>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</si>
  <si>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</si>
  <si>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</si>
  <si>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</si>
  <si>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</si>
  <si>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</si>
  <si>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</si>
  <si>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</si>
  <si>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</si>
  <si>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</si>
  <si>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</si>
  <si>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</si>
  <si>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</si>
  <si>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</si>
  <si>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</si>
  <si>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</si>
  <si>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</si>
  <si>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</si>
  <si>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</si>
  <si>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</si>
  <si>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</si>
  <si>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</si>
  <si>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</si>
  <si>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</si>
  <si>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</si>
  <si>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</si>
  <si>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</si>
  <si>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</si>
  <si>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</si>
  <si>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</si>
  <si>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</si>
  <si>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</si>
  <si>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</si>
  <si>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</si>
  <si>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</si>
  <si>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</si>
  <si>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</si>
  <si>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</si>
  <si>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</si>
  <si>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</si>
  <si>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</si>
  <si>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</si>
  <si>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</si>
  <si>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</si>
  <si>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</si>
  <si>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</si>
  <si>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</si>
  <si>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</si>
  <si>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</si>
  <si>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</si>
  <si>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</si>
  <si>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</si>
  <si>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</si>
  <si>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</si>
  <si>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</si>
  <si>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</si>
  <si>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</si>
  <si>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</si>
  <si>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</si>
  <si>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</si>
  <si>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</si>
  <si>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</si>
  <si>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</si>
  <si>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</si>
  <si>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</si>
  <si>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</si>
  <si>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</si>
  <si>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</si>
  <si>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</si>
  <si>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</si>
  <si>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</si>
  <si>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</si>
  <si>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</si>
  <si>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</si>
  <si>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</si>
  <si>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</si>
  <si>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</si>
  <si>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</si>
  <si>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</si>
  <si>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</si>
  <si>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</si>
  <si>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</si>
  <si>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</si>
  <si>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</si>
  <si>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</si>
  <si>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</si>
  <si>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</si>
  <si>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</si>
  <si>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</si>
  <si>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</si>
  <si>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</si>
  <si>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</si>
  <si>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</si>
  <si>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</si>
  <si>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</si>
  <si>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</si>
  <si>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</si>
  <si>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</si>
  <si>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</si>
  <si>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</si>
  <si>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</si>
  <si>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</si>
  <si>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</si>
  <si>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</si>
  <si>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</si>
  <si>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</si>
  <si>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</si>
  <si>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</si>
  <si>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</si>
  <si>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</si>
  <si>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</si>
  <si>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</si>
  <si>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</si>
  <si>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</si>
  <si>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</si>
  <si>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</si>
  <si>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</si>
  <si>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</si>
  <si>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</si>
  <si>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</si>
  <si>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</si>
  <si>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</si>
  <si>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</si>
  <si>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</si>
  <si>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</si>
  <si>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</si>
  <si>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</si>
  <si>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</si>
  <si>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</si>
  <si>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</si>
  <si>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</si>
  <si>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</si>
  <si>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</si>
  <si>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</si>
  <si>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</si>
  <si>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</si>
  <si>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</si>
  <si>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</si>
  <si>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</si>
  <si>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</si>
  <si>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</si>
  <si>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</si>
  <si>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</si>
  <si>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</si>
  <si>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</si>
  <si>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</si>
  <si>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</si>
  <si>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</si>
  <si>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</si>
  <si>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</si>
  <si>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</si>
  <si>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</si>
  <si>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</si>
  <si>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</si>
  <si>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</si>
  <si>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</si>
  <si>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</si>
  <si>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</si>
  <si>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</si>
  <si>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</si>
  <si>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</si>
  <si>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</si>
  <si>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</si>
  <si>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</si>
  <si>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</si>
  <si>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</si>
  <si>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</si>
  <si>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</si>
  <si>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</si>
  <si>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</si>
  <si>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</si>
  <si>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</si>
  <si>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</si>
  <si>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</si>
  <si>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</si>
  <si>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</si>
  <si>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</si>
  <si>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</si>
  <si>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</si>
  <si>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</si>
  <si>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</si>
  <si>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</si>
  <si>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</si>
  <si>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</si>
  <si>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</si>
  <si>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</si>
  <si>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</si>
  <si>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</si>
  <si>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</si>
  <si>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</si>
  <si>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</si>
  <si>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</si>
  <si>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</si>
  <si>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</si>
  <si>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</si>
  <si>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</si>
  <si>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</si>
  <si>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</si>
  <si>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</si>
  <si>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</si>
  <si>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</si>
  <si>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</si>
  <si>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</si>
  <si>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</si>
  <si>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</si>
  <si>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</si>
  <si>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</si>
  <si>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</si>
  <si>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</si>
  <si>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</si>
  <si>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</si>
  <si>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</si>
  <si>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</si>
  <si>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</si>
  <si>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</si>
  <si>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</si>
  <si>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</si>
  <si>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</si>
  <si>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</si>
  <si>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</si>
  <si>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</si>
  <si>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</si>
  <si>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</si>
  <si>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</si>
  <si>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</si>
  <si>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</si>
  <si>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</si>
  <si>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</si>
  <si>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</si>
  <si>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</si>
  <si>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</si>
  <si>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</si>
  <si>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</si>
  <si>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</si>
  <si>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</si>
  <si>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</si>
  <si>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</si>
  <si>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</si>
  <si>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</si>
  <si>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</si>
  <si>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</si>
  <si>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</si>
  <si>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</si>
  <si>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</si>
  <si>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</si>
  <si>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</si>
  <si>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</si>
  <si>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</si>
  <si>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</si>
  <si>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</si>
  <si>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</si>
  <si>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</si>
  <si>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</si>
  <si>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</si>
  <si>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</si>
  <si>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</si>
  <si>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</si>
  <si>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</si>
  <si>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</si>
  <si>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</si>
  <si>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</si>
  <si>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</si>
  <si>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</si>
  <si>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</si>
  <si>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</si>
  <si>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</si>
  <si>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</si>
  <si>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</si>
  <si>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</si>
  <si>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</si>
  <si>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</si>
  <si>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</si>
  <si>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</si>
  <si>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</si>
  <si>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</si>
  <si>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</si>
  <si>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</si>
  <si>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</si>
  <si>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</si>
  <si>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</si>
  <si>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</si>
  <si>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</si>
  <si>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</si>
  <si>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</si>
  <si>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</si>
  <si>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</si>
  <si>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</si>
  <si>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</si>
  <si>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</si>
  <si>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</si>
  <si>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</si>
  <si>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</si>
  <si>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</si>
  <si>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</si>
  <si>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</si>
  <si>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</si>
  <si>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</si>
  <si>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</si>
  <si>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</si>
  <si>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</si>
  <si>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</si>
  <si>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</si>
  <si>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</si>
  <si>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</si>
  <si>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</si>
  <si>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</si>
  <si>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</si>
  <si>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</si>
  <si>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</si>
  <si>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</si>
  <si>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</si>
  <si>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</si>
  <si>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</si>
  <si>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</si>
  <si>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</si>
  <si>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</si>
  <si>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</si>
  <si>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</si>
  <si>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</si>
  <si>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</si>
  <si>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</si>
  <si>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</si>
  <si>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</si>
  <si>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</si>
  <si>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</si>
  <si>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</si>
  <si>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</si>
  <si>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</si>
  <si>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</si>
  <si>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</si>
  <si>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</si>
  <si>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</si>
  <si>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</si>
  <si>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</si>
  <si>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</si>
  <si>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</si>
  <si>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</si>
  <si>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</si>
  <si>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</si>
  <si>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</si>
  <si>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</si>
  <si>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</si>
  <si>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</si>
  <si>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</si>
  <si>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</si>
  <si>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</si>
  <si>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</si>
  <si>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</si>
  <si>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</si>
  <si>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</si>
  <si>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</si>
  <si>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</si>
  <si>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</si>
  <si>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</si>
  <si>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</si>
  <si>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</si>
  <si>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</si>
  <si>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</si>
  <si>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</si>
  <si>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</si>
  <si>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</si>
  <si>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</si>
  <si>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</si>
  <si>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</si>
  <si>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</si>
  <si>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</si>
  <si>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</si>
  <si>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</si>
  <si>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</si>
  <si>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</si>
  <si>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</si>
  <si>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</si>
  <si>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</si>
  <si>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</si>
  <si>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</si>
  <si>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</si>
  <si>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</si>
  <si>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</si>
  <si>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</si>
  <si>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</si>
  <si>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</si>
  <si>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</si>
  <si>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</si>
  <si>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</si>
  <si>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</si>
  <si>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</si>
  <si>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</si>
  <si>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</si>
  <si>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</si>
  <si>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</si>
  <si>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</si>
  <si>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</si>
  <si>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</si>
  <si>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</si>
  <si>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</si>
  <si>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</si>
  <si>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</si>
  <si>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</si>
  <si>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</si>
  <si>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</si>
  <si>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</si>
  <si>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</si>
  <si>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</si>
  <si>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</si>
  <si>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</si>
  <si>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</si>
  <si>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</si>
  <si>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</si>
  <si>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</si>
  <si>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</si>
  <si>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</si>
  <si>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</si>
  <si>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</si>
  <si>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</si>
  <si>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</si>
  <si>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</si>
  <si>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</si>
  <si>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</si>
  <si>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</si>
  <si>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</si>
  <si>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</si>
  <si>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</si>
  <si>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</si>
  <si>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</si>
  <si>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</si>
  <si>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</si>
  <si>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</si>
  <si>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</si>
  <si>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</si>
  <si>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</si>
  <si>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</si>
  <si>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</si>
  <si>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</si>
  <si>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</si>
  <si>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</si>
  <si>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</si>
  <si>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</si>
  <si>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</si>
  <si>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</si>
  <si>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</si>
  <si>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</si>
  <si>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</si>
  <si>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</si>
  <si>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</si>
  <si>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</si>
  <si>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</si>
  <si>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</si>
  <si>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</si>
  <si>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</si>
  <si>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</si>
  <si>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</si>
  <si>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</si>
  <si>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</si>
  <si>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</si>
  <si>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</si>
  <si>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</si>
  <si>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</si>
  <si>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</si>
  <si>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</si>
  <si>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</si>
  <si>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</si>
  <si>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</si>
  <si>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</si>
  <si>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</si>
  <si>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</si>
  <si>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</si>
  <si>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</si>
  <si>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</si>
  <si>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</si>
  <si>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</si>
  <si>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</si>
  <si>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</si>
  <si>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</si>
  <si>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</si>
  <si>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</si>
  <si>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</si>
  <si>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</si>
  <si>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</si>
  <si>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</si>
  <si>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</si>
  <si>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</si>
  <si>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</si>
  <si>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</si>
  <si>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</si>
  <si>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</si>
  <si>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</si>
  <si>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</si>
  <si>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</si>
  <si>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</si>
  <si>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</si>
  <si>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</si>
  <si>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</si>
  <si>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</si>
  <si>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</si>
  <si>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</si>
  <si>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</si>
  <si>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</si>
  <si>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</si>
  <si>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</si>
  <si>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</si>
  <si>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</si>
  <si>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</si>
  <si>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</si>
  <si>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</si>
  <si>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</si>
  <si>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</si>
  <si>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</si>
  <si>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</si>
  <si>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</si>
  <si>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</si>
  <si>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</si>
  <si>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</si>
  <si>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</si>
  <si>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</si>
  <si>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</si>
  <si>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</si>
  <si>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</si>
  <si>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</si>
  <si>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</si>
  <si>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</si>
  <si>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</si>
  <si>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</si>
  <si>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</si>
  <si>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</si>
  <si>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</si>
  <si>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</si>
  <si>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</si>
  <si>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</si>
  <si>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</si>
  <si>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</si>
  <si>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</si>
  <si>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</si>
  <si>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</si>
  <si>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</si>
  <si>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</si>
  <si>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</si>
  <si>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</si>
  <si>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</si>
  <si>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</si>
  <si>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</si>
  <si>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</si>
  <si>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</si>
  <si>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</si>
  <si>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</si>
  <si>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</si>
  <si>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</si>
  <si>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</si>
  <si>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</si>
  <si>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</si>
  <si>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</si>
  <si>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</si>
  <si>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</si>
  <si>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</si>
  <si>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</si>
  <si>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</si>
  <si>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</si>
  <si>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</si>
  <si>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</si>
  <si>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</si>
  <si>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</si>
  <si>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</si>
  <si>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</si>
  <si>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</si>
  <si>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</si>
  <si>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</si>
  <si>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</si>
  <si>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</si>
  <si>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</si>
  <si>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</si>
  <si>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</si>
  <si>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</si>
  <si>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</si>
  <si>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</si>
  <si>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</si>
  <si>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</si>
  <si>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</si>
  <si>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</si>
  <si>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</si>
  <si>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</si>
  <si>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</si>
  <si>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</si>
  <si>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</si>
  <si>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</si>
  <si>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</si>
  <si>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</si>
  <si>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</si>
  <si>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</si>
  <si>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</si>
  <si>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</si>
  <si>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</si>
  <si>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</si>
  <si>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</si>
  <si>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</si>
  <si>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</si>
  <si>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</si>
  <si>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</si>
  <si>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</si>
  <si>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</si>
  <si>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</si>
  <si>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</si>
  <si>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</si>
  <si>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</si>
  <si>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</si>
  <si>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</si>
  <si>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</si>
  <si>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</si>
  <si>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</si>
  <si>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</si>
  <si>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</si>
  <si>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</si>
  <si>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</si>
  <si>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</si>
  <si>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</si>
  <si>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</si>
  <si>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</si>
  <si>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</si>
  <si>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</si>
  <si>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</si>
  <si>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</si>
  <si>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</si>
  <si>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</si>
  <si>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</si>
  <si>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</si>
  <si>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</si>
  <si>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</si>
  <si>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</si>
  <si>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</si>
  <si>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</si>
  <si>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</si>
  <si>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</si>
  <si>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</si>
  <si>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</si>
  <si>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</si>
  <si>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</si>
  <si>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</si>
  <si>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</si>
  <si>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</si>
  <si>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</si>
  <si>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</si>
  <si>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</si>
  <si>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</si>
  <si>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</si>
  <si>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</si>
  <si>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</si>
  <si>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</si>
  <si>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</si>
  <si>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</si>
  <si>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</si>
  <si>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</si>
  <si>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</si>
  <si>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</si>
  <si>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</si>
  <si>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</si>
  <si>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</si>
  <si>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</si>
  <si>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</si>
  <si>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</si>
  <si>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</si>
  <si>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</si>
  <si>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</si>
  <si>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</si>
  <si>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</si>
  <si>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</si>
  <si>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</si>
  <si>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</si>
  <si>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</si>
  <si>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</si>
  <si>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</si>
  <si>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</si>
  <si>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</si>
  <si>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</si>
  <si>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</si>
  <si>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</si>
  <si>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</si>
  <si>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</si>
  <si>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</si>
  <si>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</si>
  <si>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</si>
  <si>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</si>
  <si>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</si>
  <si>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</si>
  <si>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</si>
  <si>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</si>
  <si>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</si>
  <si>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</si>
  <si>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</si>
  <si>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</si>
  <si>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</si>
  <si>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</si>
  <si>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</si>
  <si>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</si>
  <si>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</si>
  <si>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</si>
  <si>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</si>
  <si>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</si>
  <si>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</si>
  <si>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</si>
  <si>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</si>
  <si>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</si>
  <si>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</si>
  <si>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</si>
  <si>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</si>
  <si>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</si>
  <si>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</si>
  <si>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</si>
  <si>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</si>
  <si>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</si>
  <si>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</si>
  <si>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</si>
  <si>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</si>
  <si>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</si>
  <si>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</si>
  <si>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</si>
  <si>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</si>
  <si>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</si>
  <si>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</si>
  <si>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</si>
  <si>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</si>
  <si>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</si>
  <si>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</si>
  <si>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</si>
  <si>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</si>
  <si>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</si>
  <si>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</si>
  <si>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</si>
  <si>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</si>
  <si>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</si>
  <si>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</si>
  <si>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</si>
  <si>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</si>
  <si>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</si>
  <si>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</si>
  <si>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</si>
  <si>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</si>
  <si>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</si>
  <si>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</si>
  <si>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</si>
  <si>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</si>
  <si>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</si>
  <si>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</si>
  <si>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</si>
  <si>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</si>
  <si>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</si>
  <si>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</si>
  <si>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</si>
  <si>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</si>
  <si>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</si>
  <si>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</si>
  <si>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</si>
  <si>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</si>
  <si>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</si>
  <si>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</si>
  <si>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</si>
  <si>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</si>
  <si>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</si>
  <si>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</si>
  <si>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</si>
  <si>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</si>
  <si>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</si>
  <si>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</si>
  <si>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</si>
  <si>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</si>
  <si>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</si>
  <si>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</si>
  <si>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</si>
  <si>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</si>
  <si>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</si>
  <si>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</si>
  <si>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</si>
  <si>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</si>
  <si>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</si>
  <si>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</si>
  <si>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</si>
  <si>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</si>
  <si>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</si>
  <si>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</si>
  <si>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</si>
  <si>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</si>
  <si>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</si>
  <si>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</si>
  <si>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</si>
  <si>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</si>
  <si>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</si>
  <si>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</si>
  <si>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</si>
  <si>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</si>
  <si>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</si>
  <si>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</si>
  <si>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</si>
  <si>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</si>
  <si>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</si>
  <si>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</si>
  <si>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</si>
  <si>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</si>
  <si>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</si>
  <si>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</si>
  <si>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</si>
  <si>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</si>
  <si>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</si>
  <si>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</si>
  <si>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</si>
  <si>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</si>
  <si>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</si>
  <si>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</si>
  <si>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</si>
  <si>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</si>
  <si>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</si>
  <si>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</si>
  <si>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</si>
  <si>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</si>
  <si>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</si>
  <si>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</si>
  <si>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</si>
  <si>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</si>
  <si>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</si>
  <si>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</si>
  <si>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</si>
  <si>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</si>
  <si>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</si>
  <si>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</si>
  <si>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</si>
  <si>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</si>
  <si>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</si>
  <si>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</si>
  <si>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</si>
  <si>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</si>
  <si>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</si>
  <si>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</si>
  <si>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</si>
  <si>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</si>
  <si>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</si>
  <si>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</si>
  <si>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</si>
  <si>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</si>
  <si>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</si>
  <si>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</si>
  <si>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</si>
  <si>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</si>
  <si>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</si>
  <si>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</si>
  <si>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</si>
  <si>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</si>
  <si>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</si>
  <si>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</si>
  <si>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</si>
  <si>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</si>
  <si>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</si>
  <si>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</si>
  <si>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</si>
  <si>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</si>
  <si>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</si>
  <si>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</si>
  <si>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</si>
  <si>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</si>
  <si>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</si>
  <si>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</si>
  <si>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</si>
  <si>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</si>
  <si>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</si>
  <si>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</si>
  <si>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</si>
  <si>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</si>
  <si>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</si>
  <si>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</si>
  <si>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</si>
  <si>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</si>
  <si>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</si>
  <si>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</si>
  <si>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</si>
  <si>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</si>
  <si>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</si>
  <si>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</si>
  <si>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</si>
  <si>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</si>
  <si>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</si>
  <si>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</si>
  <si>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</si>
  <si>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</si>
  <si>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</si>
  <si>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</si>
  <si>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</si>
  <si>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</si>
  <si>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</si>
  <si>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</si>
  <si>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</si>
  <si>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</si>
  <si>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</si>
  <si>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</si>
  <si>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</si>
  <si>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</si>
  <si>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</si>
  <si>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</si>
  <si>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</si>
  <si>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</si>
  <si>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</si>
  <si>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</si>
  <si>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</si>
  <si>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</si>
  <si>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</si>
  <si>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</si>
  <si>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</si>
  <si>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</si>
  <si>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</si>
  <si>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</si>
  <si>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</si>
  <si>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</si>
  <si>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</si>
  <si>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</si>
  <si>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</si>
  <si>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</si>
  <si>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</si>
  <si>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</si>
  <si>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</si>
  <si>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</si>
  <si>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</si>
  <si>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</si>
  <si>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</si>
  <si>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</si>
  <si>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</si>
  <si>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</si>
  <si>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</si>
  <si>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</si>
  <si>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</si>
  <si>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</si>
  <si>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</si>
  <si>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</si>
  <si>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</si>
  <si>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</si>
  <si>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</si>
  <si>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</si>
  <si>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</si>
  <si>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</si>
  <si>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</si>
  <si>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</si>
  <si>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</si>
  <si>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</si>
  <si>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</si>
  <si>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</si>
  <si>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</si>
  <si>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</si>
  <si>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</si>
  <si>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</si>
  <si>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</si>
  <si>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</si>
  <si>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</si>
  <si>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</si>
  <si>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</si>
  <si>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</si>
  <si>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</si>
  <si>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</si>
  <si>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</si>
  <si>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</si>
  <si>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</si>
  <si>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</si>
  <si>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</si>
  <si>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</si>
  <si>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</si>
  <si>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</si>
  <si>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</si>
  <si>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</si>
  <si>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</si>
  <si>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</si>
  <si>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</si>
  <si>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</si>
  <si>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</si>
  <si>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</si>
  <si>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</si>
  <si>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</si>
  <si>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</si>
  <si>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</si>
  <si>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</si>
  <si>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</si>
  <si>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</si>
  <si>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</si>
  <si>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</si>
  <si>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</si>
  <si>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</si>
  <si>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</si>
  <si>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</si>
  <si>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</si>
  <si>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</si>
  <si>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</si>
  <si>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</si>
  <si>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</si>
  <si>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</si>
  <si>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</si>
  <si>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</si>
  <si>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</si>
  <si>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</si>
  <si>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</si>
  <si>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</si>
  <si>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</si>
  <si>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</si>
  <si>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</si>
  <si>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</si>
  <si>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</si>
  <si>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</si>
  <si>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</si>
  <si>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</si>
  <si>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</si>
  <si>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</si>
  <si>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</si>
  <si>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</si>
  <si>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</si>
  <si>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</si>
  <si>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</si>
  <si>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</si>
  <si>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</si>
  <si>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</si>
  <si>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</si>
  <si>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</si>
  <si>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</si>
  <si>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</si>
  <si>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</si>
  <si>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</si>
  <si>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</si>
  <si>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</si>
  <si>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</si>
  <si>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</si>
  <si>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</si>
  <si>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</si>
  <si>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</si>
  <si>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</si>
  <si>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</si>
  <si>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</si>
  <si>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</si>
  <si>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</si>
  <si>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</si>
  <si>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</si>
  <si>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</si>
  <si>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</si>
  <si>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</si>
  <si>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</si>
  <si>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</si>
  <si>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</si>
  <si>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</si>
  <si>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</si>
  <si>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</si>
  <si>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</si>
  <si>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</si>
  <si>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</si>
  <si>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</si>
  <si>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</si>
  <si>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</si>
  <si>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</si>
  <si>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</si>
  <si>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</si>
  <si>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</si>
  <si>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</si>
  <si>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</si>
  <si>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</si>
  <si>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</si>
  <si>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</si>
  <si>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</si>
  <si>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</si>
  <si>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</si>
  <si>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</si>
  <si>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</si>
  <si>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</si>
  <si>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</si>
  <si>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</si>
  <si>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</si>
  <si>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</si>
  <si>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</si>
  <si>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</si>
  <si>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</si>
  <si>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</si>
  <si>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</si>
  <si>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</si>
  <si>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</si>
  <si>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</si>
  <si>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</si>
  <si>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</si>
  <si>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</si>
  <si>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</si>
  <si>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</si>
  <si>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</si>
  <si>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</si>
  <si>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</si>
  <si>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</si>
  <si>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</si>
  <si>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</si>
  <si>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</si>
  <si>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</si>
  <si>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</si>
  <si>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</si>
  <si>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</si>
  <si>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</si>
  <si>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</si>
  <si>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</si>
  <si>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</si>
  <si>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</si>
  <si>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</si>
  <si>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</si>
  <si>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</si>
  <si>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</si>
  <si>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</si>
  <si>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</si>
  <si>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</si>
  <si>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</si>
  <si>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</si>
  <si>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</si>
  <si>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</si>
  <si>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</si>
  <si>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</si>
  <si>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</si>
  <si>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</si>
  <si>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</si>
  <si>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</si>
  <si>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</si>
  <si>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</si>
  <si>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</si>
  <si>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</si>
  <si>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</si>
  <si>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</si>
  <si>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</si>
  <si>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</si>
  <si>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</si>
  <si>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</si>
  <si>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</si>
  <si>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</si>
  <si>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</si>
  <si>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</si>
  <si>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</si>
  <si>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</si>
  <si>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</si>
  <si>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</si>
  <si>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</si>
  <si>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</si>
  <si>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</si>
  <si>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</si>
  <si>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</si>
  <si>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</si>
  <si>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</si>
  <si>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</si>
  <si>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</si>
  <si>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</si>
  <si>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</si>
  <si>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</si>
  <si>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</si>
  <si>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</si>
  <si>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</si>
  <si>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</si>
  <si>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</si>
  <si>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</si>
  <si>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</si>
  <si>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</si>
  <si>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</si>
  <si>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</si>
  <si>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</si>
  <si>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</si>
  <si>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</si>
  <si>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</si>
  <si>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</si>
  <si>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</si>
  <si>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</si>
  <si>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</si>
  <si>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</si>
  <si>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</si>
  <si>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</si>
  <si>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</si>
  <si>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</si>
  <si>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</si>
  <si>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</si>
  <si>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</si>
  <si>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</si>
  <si>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</si>
  <si>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</si>
  <si>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</si>
  <si>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</si>
  <si>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</si>
  <si>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</si>
  <si>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</si>
  <si>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</si>
  <si>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</si>
  <si>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</si>
  <si>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</si>
  <si>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</si>
  <si>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</si>
  <si>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</si>
  <si>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</si>
  <si>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</si>
  <si>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</si>
  <si>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</si>
  <si>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</si>
  <si>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</si>
  <si>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</si>
  <si>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</si>
  <si>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</si>
  <si>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</si>
  <si>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</si>
  <si>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</si>
  <si>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</si>
  <si>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</si>
  <si>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</si>
  <si>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</si>
  <si>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</si>
  <si>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</si>
  <si>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Revenue (with capital revenue)</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</si>
  <si>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</si>
  <si>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</si>
  <si>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</si>
  <si>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</si>
  <si>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</si>
  <si>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</si>
  <si>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</si>
  <si>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</si>
  <si>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</si>
  <si>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</si>
  <si>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</si>
  <si>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</si>
  <si>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</si>
  <si>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</si>
  <si>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</si>
  <si>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</si>
  <si>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</si>
  <si>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</si>
  <si>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</si>
  <si>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</si>
  <si>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</si>
  <si>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</si>
  <si>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</si>
  <si>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</si>
  <si>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</si>
  <si>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</si>
  <si>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</si>
  <si>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</si>
  <si>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</si>
  <si>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</si>
  <si>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</si>
  <si>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</si>
  <si>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</si>
  <si>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</si>
  <si>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</si>
  <si>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</si>
  <si>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</si>
  <si>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</si>
  <si>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</si>
  <si>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</si>
  <si>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</si>
  <si>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</si>
  <si>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</si>
  <si>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</si>
  <si>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</si>
  <si>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</si>
  <si>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</si>
  <si>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</si>
  <si>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</si>
  <si>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</si>
  <si>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</si>
  <si>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</si>
  <si>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</si>
  <si>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</si>
  <si>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</si>
  <si>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</si>
  <si>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</si>
  <si>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</si>
  <si>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</si>
  <si>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</si>
  <si>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</si>
  <si>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</si>
  <si>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</si>
  <si>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</si>
  <si>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</si>
  <si>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</si>
  <si>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</si>
  <si>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</si>
  <si>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</si>
  <si>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</si>
  <si>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</si>
  <si>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</si>
  <si>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</si>
  <si>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</si>
  <si>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</si>
  <si>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</si>
  <si>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</si>
  <si>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</si>
  <si>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</si>
  <si>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</si>
  <si>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</si>
  <si>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</si>
  <si>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</si>
  <si>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</si>
  <si>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</si>
  <si>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</si>
  <si>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</si>
  <si>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</si>
  <si>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</si>
  <si>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</si>
  <si>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</si>
  <si>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</si>
  <si>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</si>
  <si>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</si>
  <si>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</si>
  <si>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</si>
  <si>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</si>
  <si>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</si>
  <si>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</si>
  <si>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</si>
  <si>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</si>
  <si>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</si>
  <si>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</si>
  <si>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</si>
  <si>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</si>
  <si>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</si>
  <si>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</si>
  <si>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</si>
  <si>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</si>
  <si>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</si>
  <si>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</si>
  <si>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</si>
  <si>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</si>
  <si>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</si>
  <si>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</si>
  <si>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</si>
  <si>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</si>
  <si>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</si>
  <si>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</si>
  <si>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</si>
  <si>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Debt Securities</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</si>
  <si>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</si>
  <si>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</si>
  <si>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</si>
  <si>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</si>
  <si>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</si>
  <si>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</si>
  <si>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</si>
  <si>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</si>
  <si>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</si>
  <si>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</si>
  <si>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</si>
  <si>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</si>
  <si>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</si>
  <si>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</si>
  <si>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</si>
  <si>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</si>
  <si>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</si>
  <si>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</si>
  <si>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</si>
  <si>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</si>
  <si>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</si>
  <si>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</si>
  <si>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</si>
  <si>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</si>
  <si>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</si>
  <si>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</si>
  <si>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</si>
  <si>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</si>
  <si>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</si>
  <si>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</si>
  <si>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</si>
  <si>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</si>
  <si>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</si>
  <si>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</si>
  <si>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</si>
  <si>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</si>
  <si>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</si>
  <si>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</si>
  <si>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</si>
  <si>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</si>
  <si>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</si>
  <si>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</si>
  <si>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</si>
  <si>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</si>
  <si>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</si>
  <si>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</si>
  <si>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</si>
  <si>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</si>
  <si>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</si>
  <si>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</si>
  <si>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</si>
  <si>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</si>
  <si>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</si>
  <si>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</si>
  <si>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</si>
  <si>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</si>
  <si>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</si>
  <si>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</si>
  <si>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</si>
  <si>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</si>
  <si>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</si>
  <si>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</si>
  <si>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</si>
  <si>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</si>
  <si>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</si>
  <si>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</si>
  <si>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</si>
  <si>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</si>
  <si>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</si>
  <si>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</si>
  <si>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</si>
  <si>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</si>
  <si>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</si>
  <si>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</si>
  <si>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</si>
  <si>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</si>
  <si>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</si>
  <si>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</si>
  <si>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</si>
  <si>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</si>
  <si>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</si>
  <si>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</si>
  <si>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</si>
  <si>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</si>
  <si>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</si>
  <si>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</si>
  <si>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</si>
  <si>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</si>
  <si>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</si>
  <si>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</si>
  <si>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</si>
  <si>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</si>
  <si>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</si>
  <si>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</si>
  <si>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</si>
  <si>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</si>
  <si>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</si>
  <si>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</si>
  <si>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</si>
  <si>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</si>
  <si>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</si>
  <si>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</si>
  <si>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</si>
  <si>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</si>
  <si>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</si>
  <si>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</si>
  <si>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</si>
  <si>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</si>
  <si>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</si>
  <si>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</si>
  <si>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</si>
  <si>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</si>
  <si>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</si>
  <si>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</si>
  <si>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</si>
  <si>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</si>
  <si>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</si>
  <si>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</si>
  <si>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</si>
  <si>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</si>
  <si>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</si>
  <si>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</si>
  <si>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</si>
  <si>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</si>
  <si>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</si>
  <si>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</si>
  <si>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</si>
  <si>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</si>
  <si>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</si>
  <si>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</si>
  <si>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</si>
  <si>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</si>
  <si>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</si>
  <si>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</si>
  <si>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</si>
  <si>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</si>
  <si>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</si>
  <si>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</si>
  <si>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</si>
  <si>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</si>
  <si>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</si>
  <si>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</si>
  <si>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</si>
  <si>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</si>
  <si>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</si>
  <si>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</si>
  <si>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</si>
  <si>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</si>
  <si>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</si>
  <si>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</si>
  <si>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</si>
  <si>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</si>
  <si>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</si>
  <si>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</si>
  <si>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</si>
  <si>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</si>
  <si>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</si>
  <si>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</si>
  <si>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</si>
  <si>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</si>
  <si>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</si>
  <si>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</si>
  <si>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</si>
  <si>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</si>
  <si>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</si>
  <si>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</si>
  <si>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</si>
  <si>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</si>
  <si>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</si>
  <si>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</si>
  <si>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</si>
  <si>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</si>
  <si>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</si>
  <si>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</si>
  <si>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</si>
  <si>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</si>
  <si>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</si>
  <si>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</si>
  <si>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</si>
  <si>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</si>
  <si>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</si>
  <si>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</si>
  <si>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</si>
  <si>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</si>
  <si>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</si>
  <si>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</si>
  <si>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</si>
  <si>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</si>
  <si>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</si>
  <si>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</si>
  <si>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</si>
  <si>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</si>
  <si>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</si>
  <si>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</si>
  <si>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</si>
  <si>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</si>
  <si>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</si>
  <si>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</si>
  <si>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</si>
  <si>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</si>
  <si>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</si>
  <si>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</si>
  <si>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</si>
  <si>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</si>
  <si>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</si>
  <si>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</si>
  <si>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</si>
  <si>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</si>
  <si>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</si>
  <si>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</si>
  <si>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</si>
  <si>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</si>
  <si>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</si>
  <si>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</si>
  <si>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</si>
  <si>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</si>
  <si>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</si>
  <si>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</si>
  <si>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</si>
  <si>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</si>
  <si>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</si>
  <si>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</si>
  <si>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</si>
  <si>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</si>
  <si>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</si>
  <si>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</si>
  <si>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</si>
  <si>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External Assets</t>
  </si>
  <si>
    <t xml:space="preserve">Net incurrence of liabilities </t>
  </si>
  <si>
    <t>Net incurrence of liabilities (- = repayment)</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</si>
  <si>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</si>
  <si>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</si>
  <si>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</si>
  <si>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</si>
  <si>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</si>
  <si>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</si>
  <si>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</si>
  <si>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</si>
  <si>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</si>
  <si>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</si>
  <si>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</si>
  <si>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</si>
  <si>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</si>
  <si>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</si>
  <si>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</si>
  <si>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r>
      <t>Income</t>
    </r>
    <r>
      <rPr>
        <sz val="12"/>
        <color theme="1"/>
        <rFont val="Calibri"/>
        <family val="2"/>
        <scheme val="minor"/>
      </rPr>
      <t xml:space="preserve"> </t>
    </r>
    <r>
      <rPr>
        <sz val="12"/>
        <color rgb="FF000000"/>
        <rFont val="Calibri"/>
        <family val="2"/>
        <scheme val="minor"/>
      </rPr>
      <t>tax</t>
    </r>
  </si>
  <si>
    <t>Taxes on payroll and workforce</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</si>
  <si>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</si>
  <si>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</si>
  <si>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</si>
  <si>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</si>
  <si>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</si>
  <si>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</si>
  <si>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</si>
  <si>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</si>
  <si>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</si>
  <si>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</si>
  <si>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</si>
  <si>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</si>
  <si>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</si>
  <si>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</si>
  <si>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</si>
  <si>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</si>
  <si>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r>
      <t>Capital</t>
    </r>
    <r>
      <rPr>
        <sz val="12"/>
        <color theme="1"/>
        <rFont val="Calibri"/>
        <family val="2"/>
        <scheme val="minor"/>
      </rPr>
      <t xml:space="preserve"> </t>
    </r>
    <r>
      <rPr>
        <sz val="12"/>
        <color rgb="FF000000"/>
        <rFont val="Calibri"/>
        <family val="2"/>
        <scheme val="minor"/>
      </rPr>
      <t>expenditure (or Net acquisition of nonfinancial assets)</t>
    </r>
  </si>
  <si>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</si>
  <si>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</si>
  <si>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</si>
  <si>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</si>
  <si>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</si>
  <si>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</si>
  <si>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</si>
  <si>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</si>
  <si>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</si>
  <si>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</si>
  <si>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</si>
  <si>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</si>
  <si>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</si>
  <si>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</si>
  <si>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</si>
  <si>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</si>
  <si>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</si>
  <si>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</si>
  <si>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</si>
  <si>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</si>
  <si>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</si>
  <si>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</si>
  <si>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</si>
  <si>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</si>
  <si>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</si>
  <si>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</si>
  <si>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</si>
  <si>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</si>
  <si>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</si>
  <si>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</si>
  <si>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</si>
  <si>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</si>
  <si>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Other accounts receivable</t>
  </si>
  <si>
    <t>Net acquisition of foriegn financial assets</t>
  </si>
  <si>
    <t>Net incurrence of domestic liabilities</t>
  </si>
  <si>
    <t>L3_Net_incurrence_domestic_liabilities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</si>
  <si>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</si>
  <si>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</si>
  <si>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</si>
  <si>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</si>
  <si>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</si>
  <si>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Errors and omisions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</si>
  <si>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</si>
  <si>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</si>
  <si>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</si>
  <si>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</si>
  <si>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</si>
  <si>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</si>
  <si>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</si>
  <si>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</si>
  <si>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</si>
  <si>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</si>
  <si>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</si>
  <si>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</si>
  <si>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</si>
  <si>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</si>
  <si>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</si>
  <si>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</si>
  <si>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</si>
  <si>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</si>
  <si>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</si>
  <si>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</si>
  <si>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</si>
  <si>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</si>
  <si>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</si>
  <si>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</si>
  <si>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</si>
  <si>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</si>
  <si>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</si>
  <si>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</si>
  <si>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</si>
  <si>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</si>
  <si>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</si>
  <si>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</si>
  <si>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</si>
  <si>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</si>
  <si>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</si>
  <si>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</si>
  <si>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</si>
  <si>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</si>
  <si>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</si>
  <si>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</si>
  <si>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</si>
  <si>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</si>
  <si>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</si>
  <si>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</si>
  <si>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</si>
  <si>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</si>
  <si>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</si>
  <si>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</si>
  <si>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</si>
  <si>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</si>
  <si>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</si>
  <si>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</si>
  <si>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</si>
  <si>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</si>
  <si>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</si>
  <si>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</si>
  <si>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</si>
  <si>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</si>
  <si>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</si>
  <si>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</si>
  <si>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</si>
  <si>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</si>
  <si>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</si>
  <si>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</si>
  <si>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</si>
  <si>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</si>
  <si>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</si>
  <si>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</si>
  <si>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</si>
  <si>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</si>
  <si>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</si>
  <si>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</si>
  <si>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</si>
  <si>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</si>
  <si>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</si>
  <si>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</si>
  <si>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</si>
  <si>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</si>
  <si>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</si>
  <si>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</si>
  <si>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</si>
  <si>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</si>
  <si>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</si>
  <si>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</si>
  <si>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</si>
  <si>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</si>
  <si>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</si>
  <si>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</si>
  <si>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</si>
  <si>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</si>
  <si>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</si>
  <si>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</si>
  <si>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</si>
  <si>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</si>
  <si>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</si>
  <si>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</si>
  <si>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</si>
  <si>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</si>
  <si>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</si>
  <si>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</si>
  <si>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</si>
  <si>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</si>
  <si>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</si>
  <si>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</si>
  <si>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</si>
  <si>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</si>
  <si>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</si>
  <si>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</si>
  <si>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</si>
  <si>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</si>
  <si>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</si>
  <si>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</si>
  <si>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</si>
  <si>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</si>
  <si>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</si>
  <si>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</si>
  <si>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</si>
  <si>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</si>
  <si>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</si>
  <si>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</si>
  <si>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</si>
  <si>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</si>
  <si>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</si>
  <si>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</si>
  <si>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</si>
  <si>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</si>
  <si>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</si>
  <si>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</si>
  <si>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</si>
  <si>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</si>
  <si>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</si>
  <si>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</si>
  <si>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</si>
  <si>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</si>
  <si>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</si>
  <si>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</si>
  <si>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</si>
  <si>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</si>
  <si>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</si>
  <si>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</si>
  <si>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</si>
  <si>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</si>
  <si>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</si>
  <si>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</si>
  <si>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</si>
  <si>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</si>
  <si>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</si>
  <si>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</si>
  <si>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</si>
  <si>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</si>
  <si>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</si>
  <si>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</si>
  <si>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</si>
  <si>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</si>
  <si>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</si>
  <si>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</si>
  <si>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</si>
  <si>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</si>
  <si>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</si>
  <si>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</si>
  <si>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</si>
  <si>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</si>
  <si>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</si>
  <si>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</si>
  <si>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</si>
  <si>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</si>
  <si>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</si>
  <si>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</si>
  <si>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</si>
  <si>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</si>
  <si>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</si>
  <si>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</si>
  <si>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</si>
  <si>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</si>
  <si>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</si>
  <si>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</si>
  <si>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</si>
  <si>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</si>
  <si>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</si>
  <si>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</si>
  <si>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</si>
  <si>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</si>
  <si>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</si>
  <si>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</si>
  <si>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</si>
  <si>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</si>
  <si>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</si>
  <si>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</si>
  <si>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</si>
  <si>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</si>
  <si>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</si>
  <si>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</si>
  <si>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</si>
  <si>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</si>
  <si>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</si>
  <si>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</si>
  <si>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</si>
  <si>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</si>
  <si>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</si>
  <si>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</si>
  <si>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</si>
  <si>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</si>
  <si>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</si>
  <si>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</si>
  <si>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</si>
  <si>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</si>
  <si>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</si>
  <si>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</si>
  <si>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</si>
  <si>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</si>
  <si>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</si>
  <si>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</si>
  <si>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</si>
  <si>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</si>
  <si>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</si>
  <si>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</si>
  <si>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</si>
  <si>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</si>
  <si>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</si>
  <si>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</si>
  <si>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</si>
  <si>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</si>
  <si>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</si>
  <si>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</si>
  <si>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</si>
  <si>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</si>
  <si>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</si>
  <si>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</si>
  <si>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</si>
  <si>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</si>
  <si>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</si>
  <si>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</si>
  <si>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</si>
  <si>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</si>
  <si>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</si>
  <si>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</si>
  <si>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</si>
  <si>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</si>
  <si>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</si>
  <si>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</si>
  <si>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</si>
  <si>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</si>
  <si>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</si>
  <si>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</si>
  <si>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</si>
  <si>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</si>
  <si>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</si>
  <si>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</si>
  <si>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</si>
  <si>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</si>
  <si>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</si>
  <si>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</si>
  <si>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</si>
  <si>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</si>
  <si>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</si>
  <si>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</si>
  <si>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</si>
  <si>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</si>
  <si>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</si>
  <si>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</si>
  <si>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</si>
  <si>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</si>
  <si>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</si>
  <si>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</si>
  <si>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</si>
  <si>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</si>
  <si>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</si>
  <si>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</si>
  <si>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</si>
  <si>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</si>
  <si>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</si>
  <si>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</si>
  <si>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</si>
  <si>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</si>
  <si>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</si>
  <si>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</si>
  <si>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</si>
  <si>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</si>
  <si>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</si>
  <si>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</si>
  <si>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</si>
  <si>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</si>
  <si>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</si>
  <si>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</si>
  <si>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</si>
  <si>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</si>
  <si>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</si>
  <si>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</si>
  <si>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</si>
  <si>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</si>
  <si>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</si>
  <si>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</si>
  <si>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</si>
  <si>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</si>
  <si>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</si>
  <si>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</si>
  <si>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</si>
  <si>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</si>
  <si>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</si>
  <si>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</si>
  <si>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</si>
  <si>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</si>
  <si>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</si>
  <si>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</si>
  <si>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</si>
  <si>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</si>
  <si>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</si>
  <si>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</si>
  <si>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</si>
  <si>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</si>
  <si>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</si>
  <si>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</si>
  <si>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</si>
  <si>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</si>
  <si>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</si>
  <si>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</si>
  <si>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</si>
  <si>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</si>
  <si>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</si>
  <si>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</si>
  <si>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</si>
  <si>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</si>
  <si>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</si>
  <si>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</si>
  <si>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</si>
  <si>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</si>
  <si>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</si>
  <si>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</si>
  <si>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</si>
  <si>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</si>
  <si>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</si>
  <si>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</si>
  <si>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</si>
  <si>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</si>
  <si>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</si>
  <si>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</si>
  <si>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</si>
  <si>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</si>
  <si>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</si>
  <si>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</si>
  <si>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</si>
  <si>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</si>
  <si>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</si>
  <si>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</si>
  <si>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</si>
  <si>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</si>
  <si>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</si>
  <si>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</si>
  <si>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</si>
  <si>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</si>
  <si>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</si>
  <si>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</si>
  <si>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</si>
  <si>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</si>
  <si>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</si>
  <si>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</si>
  <si>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</si>
  <si>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</si>
  <si>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</si>
  <si>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</si>
  <si>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</si>
  <si>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</si>
  <si>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</si>
  <si>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</si>
  <si>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</si>
  <si>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</si>
  <si>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</si>
  <si>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</si>
  <si>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</si>
  <si>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</si>
  <si>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</si>
  <si>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</si>
  <si>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</si>
  <si>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</si>
  <si>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</si>
  <si>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</si>
  <si>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</si>
  <si>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</si>
  <si>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</si>
  <si>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</si>
  <si>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</si>
  <si>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</si>
  <si>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</si>
  <si>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</si>
  <si>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</si>
  <si>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</si>
  <si>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</si>
  <si>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</si>
  <si>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</si>
  <si>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</si>
  <si>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</si>
  <si>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</si>
  <si>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</si>
  <si>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</si>
  <si>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</si>
  <si>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</si>
  <si>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</si>
  <si>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</si>
  <si>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</si>
  <si>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</si>
  <si>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</si>
  <si>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</si>
  <si>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</si>
  <si>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</si>
  <si>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</si>
  <si>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</si>
  <si>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</si>
  <si>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</si>
  <si>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</si>
  <si>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</si>
  <si>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</si>
  <si>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</si>
  <si>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</si>
  <si>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</si>
  <si>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</si>
  <si>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</si>
  <si>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</si>
  <si>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</si>
  <si>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</si>
  <si>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</si>
  <si>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</si>
  <si>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</si>
  <si>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</si>
  <si>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</si>
  <si>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</si>
  <si>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</si>
  <si>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</si>
  <si>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</si>
  <si>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</si>
  <si>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</si>
  <si>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</si>
  <si>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</si>
  <si>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</si>
  <si>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</si>
  <si>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</si>
  <si>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</si>
  <si>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</si>
  <si>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</si>
  <si>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</si>
  <si>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</si>
  <si>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</si>
  <si>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</si>
  <si>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</si>
  <si>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</si>
  <si>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</si>
  <si>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</si>
  <si>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</si>
  <si>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</si>
  <si>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</si>
  <si>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</si>
  <si>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</si>
  <si>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</si>
  <si>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</si>
  <si>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</si>
  <si>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</si>
  <si>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</si>
  <si>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</si>
  <si>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</si>
  <si>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</si>
  <si>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</si>
  <si>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</si>
  <si>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</si>
  <si>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</si>
  <si>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</si>
  <si>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</si>
  <si>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</si>
  <si>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</si>
  <si>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</si>
  <si>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</si>
  <si>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</si>
  <si>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</si>
  <si>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</si>
  <si>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</si>
  <si>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</si>
  <si>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</si>
  <si>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</si>
  <si>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</si>
  <si>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</si>
  <si>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</si>
  <si>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</si>
  <si>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</si>
  <si>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</si>
  <si>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</si>
  <si>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</si>
  <si>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</si>
  <si>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</si>
  <si>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</si>
  <si>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</si>
  <si>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</si>
  <si>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</si>
  <si>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</si>
  <si>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</si>
  <si>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</si>
  <si>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</si>
  <si>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</si>
  <si>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</si>
  <si>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</si>
  <si>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</si>
  <si>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</si>
  <si>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</si>
  <si>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</si>
  <si>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</si>
  <si>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</si>
  <si>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</si>
  <si>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</si>
  <si>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</si>
  <si>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</si>
  <si>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</si>
  <si>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</si>
  <si>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</si>
  <si>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</si>
  <si>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</si>
  <si>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</si>
  <si>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</si>
  <si>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</si>
  <si>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</si>
  <si>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</si>
  <si>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</si>
  <si>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</si>
  <si>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</si>
  <si>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</si>
  <si>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</si>
  <si>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</si>
  <si>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</si>
  <si>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</si>
  <si>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</si>
  <si>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</si>
  <si>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</si>
  <si>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</si>
  <si>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</si>
  <si>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</si>
  <si>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</si>
  <si>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</si>
  <si>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</si>
  <si>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</si>
  <si>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</si>
  <si>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</si>
  <si>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</si>
  <si>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</si>
  <si>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</si>
  <si>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</si>
  <si>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</si>
  <si>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</si>
  <si>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</si>
  <si>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</si>
  <si>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</si>
  <si>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</si>
  <si>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</si>
  <si>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</si>
  <si>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</si>
  <si>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</si>
  <si>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</si>
  <si>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</si>
  <si>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</si>
  <si>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</si>
  <si>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</si>
  <si>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</si>
  <si>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</si>
  <si>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</si>
  <si>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</si>
  <si>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</si>
  <si>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</si>
  <si>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</si>
  <si>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</si>
  <si>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</si>
  <si>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</si>
  <si>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</si>
  <si>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</si>
  <si>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</si>
  <si>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</si>
  <si>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</si>
  <si>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</si>
  <si>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</si>
  <si>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</si>
  <si>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</si>
  <si>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</si>
  <si>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</si>
  <si>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</si>
  <si>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</si>
  <si>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</si>
  <si>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</si>
  <si>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</si>
  <si>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</si>
  <si>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</si>
  <si>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</si>
  <si>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</si>
  <si>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</si>
  <si>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</si>
  <si>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</si>
  <si>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</si>
  <si>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</si>
  <si>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</si>
  <si>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</si>
  <si>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</si>
  <si>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</si>
  <si>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</si>
  <si>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</si>
  <si>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</si>
  <si>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</si>
  <si>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</si>
  <si>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</si>
  <si>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</si>
  <si>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</si>
  <si>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</si>
  <si>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</si>
  <si>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</si>
  <si>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</si>
  <si>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</si>
  <si>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</si>
  <si>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</si>
  <si>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</si>
  <si>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</si>
  <si>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</si>
  <si>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</si>
  <si>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</si>
  <si>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</si>
  <si>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</si>
  <si>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</si>
  <si>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</si>
  <si>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</si>
  <si>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</si>
  <si>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</si>
  <si>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</si>
  <si>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</si>
  <si>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</si>
  <si>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</si>
  <si>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</si>
  <si>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</si>
  <si>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</si>
  <si>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</si>
  <si>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</si>
  <si>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</si>
  <si>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</si>
  <si>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</si>
  <si>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</si>
  <si>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</si>
  <si>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</si>
  <si>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</si>
  <si>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</si>
  <si>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</si>
  <si>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</si>
  <si>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</si>
  <si>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</si>
  <si>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</si>
  <si>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</si>
  <si>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</si>
  <si>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</si>
  <si>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</si>
  <si>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</si>
  <si>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</si>
  <si>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</si>
  <si>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</si>
  <si>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</si>
  <si>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</si>
  <si>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</si>
  <si>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</si>
  <si>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</si>
  <si>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</si>
  <si>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</si>
  <si>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</si>
  <si>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</si>
  <si>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</si>
  <si>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</si>
  <si>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</si>
  <si>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</si>
  <si>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</si>
  <si>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</si>
  <si>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</si>
  <si>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</si>
  <si>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</si>
  <si>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</si>
  <si>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</si>
  <si>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</si>
  <si>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</si>
  <si>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</si>
  <si>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</si>
  <si>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</si>
  <si>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</si>
  <si>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</si>
  <si>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</si>
  <si>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</si>
  <si>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</si>
  <si>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</si>
  <si>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</si>
  <si>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</si>
  <si>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</si>
  <si>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</si>
  <si>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</si>
  <si>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</si>
  <si>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</si>
  <si>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</si>
  <si>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</si>
  <si>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</si>
  <si>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</si>
  <si>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</si>
  <si>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</si>
  <si>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</si>
  <si>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</si>
  <si>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</si>
  <si>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</si>
  <si>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</si>
  <si>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</si>
  <si>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</si>
  <si>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</si>
  <si>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</si>
  <si>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</si>
  <si>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</si>
  <si>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</si>
  <si>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</si>
  <si>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</si>
  <si>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</si>
  <si>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</si>
  <si>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</si>
  <si>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</si>
  <si>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</si>
  <si>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</si>
  <si>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</si>
  <si>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</si>
  <si>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</si>
  <si>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</si>
  <si>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</si>
  <si>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</si>
  <si>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</si>
  <si>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</si>
  <si>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</si>
  <si>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</si>
  <si>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</si>
  <si>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</si>
  <si>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</si>
  <si>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</si>
  <si>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</si>
  <si>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</si>
  <si>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</si>
  <si>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</si>
  <si>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</si>
  <si>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</si>
  <si>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</si>
  <si>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</si>
  <si>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</si>
  <si>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</si>
  <si>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</si>
  <si>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</si>
  <si>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</si>
  <si>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</si>
  <si>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</si>
  <si>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</si>
  <si>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</si>
  <si>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</si>
  <si>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</si>
  <si>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</si>
  <si>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</si>
  <si>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</si>
  <si>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</si>
  <si>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</si>
  <si>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</si>
  <si>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</si>
  <si>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</si>
  <si>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</si>
  <si>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</si>
  <si>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</si>
  <si>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</si>
  <si>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</si>
  <si>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</si>
  <si>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</si>
  <si>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</si>
  <si>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</si>
  <si>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</si>
  <si>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</si>
  <si>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</si>
  <si>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</si>
  <si>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</si>
  <si>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</si>
  <si>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</si>
  <si>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</si>
  <si>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</si>
  <si>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</si>
  <si>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</si>
  <si>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</si>
  <si>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</si>
  <si>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</si>
  <si>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</si>
  <si>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</si>
  <si>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</si>
  <si>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</si>
  <si>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</si>
  <si>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</si>
  <si>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</si>
  <si>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</si>
  <si>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</si>
  <si>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</si>
  <si>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</si>
  <si>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</si>
  <si>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</si>
  <si>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</si>
  <si>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</si>
  <si>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</si>
  <si>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</si>
  <si>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</si>
  <si>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</si>
  <si>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</si>
  <si>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</si>
  <si>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</si>
  <si>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</si>
  <si>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</si>
  <si>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</si>
  <si>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</si>
  <si>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</si>
  <si>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</si>
  <si>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</si>
  <si>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</si>
  <si>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</si>
  <si>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</si>
  <si>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</si>
  <si>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</si>
  <si>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</si>
  <si>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</si>
  <si>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</si>
  <si>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</si>
  <si>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</si>
  <si>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</si>
  <si>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</si>
  <si>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</si>
  <si>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</si>
  <si>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</si>
  <si>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</si>
  <si>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</si>
  <si>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</si>
  <si>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</si>
  <si>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</si>
  <si>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</si>
  <si>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</si>
  <si>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</si>
  <si>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</si>
  <si>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</si>
  <si>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</si>
  <si>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</si>
  <si>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</si>
  <si>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</si>
  <si>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</si>
  <si>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</si>
  <si>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</si>
  <si>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</si>
  <si>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</si>
  <si>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</si>
  <si>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</si>
  <si>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</si>
  <si>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</si>
  <si>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</si>
  <si>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</si>
  <si>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</si>
  <si>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</si>
  <si>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</si>
  <si>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</si>
  <si>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</si>
  <si>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</si>
  <si>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</si>
  <si>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</si>
  <si>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</si>
  <si>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</si>
  <si>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</si>
  <si>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</si>
  <si>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</si>
  <si>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</si>
  <si>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</si>
  <si>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</si>
  <si>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</si>
  <si>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</si>
  <si>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</si>
  <si>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</si>
  <si>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</si>
  <si>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</si>
  <si>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</si>
  <si>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</si>
  <si>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</si>
  <si>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</si>
  <si>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</si>
  <si>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</si>
  <si>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</si>
  <si>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</si>
  <si>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</si>
  <si>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</si>
  <si>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</si>
  <si>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</si>
  <si>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</si>
  <si>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</si>
  <si>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</si>
  <si>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</si>
  <si>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</si>
  <si>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</si>
  <si>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</si>
  <si>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</si>
  <si>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</si>
  <si>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</si>
  <si>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</si>
  <si>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</si>
  <si>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</si>
  <si>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</si>
  <si>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</si>
  <si>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</si>
  <si>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</si>
  <si>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</si>
  <si>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</si>
  <si>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</si>
  <si>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</si>
  <si>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</si>
  <si>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</si>
  <si>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</si>
  <si>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</si>
  <si>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</si>
  <si>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</si>
  <si>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</si>
  <si>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</si>
  <si>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</si>
  <si>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</si>
  <si>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</si>
  <si>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</si>
  <si>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</si>
  <si>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</si>
  <si>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</si>
  <si>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</si>
  <si>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</si>
  <si>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</si>
  <si>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</si>
  <si>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</si>
  <si>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</si>
  <si>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</si>
  <si>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Total Expenditure (including Interest)</t>
  </si>
  <si>
    <r>
      <t>Primary</t>
    </r>
    <r>
      <rPr>
        <sz val="11"/>
        <color theme="1"/>
        <rFont val="Calibri"/>
        <family val="2"/>
        <scheme val="minor"/>
      </rPr>
      <t xml:space="preserve"> </t>
    </r>
    <r>
      <rPr>
        <sz val="11"/>
        <color rgb="FF000000"/>
        <rFont val="Calibri"/>
        <family val="2"/>
        <scheme val="minor"/>
      </rPr>
      <t>expenditure</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</si>
  <si>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</si>
  <si>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</si>
  <si>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</si>
  <si>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</si>
  <si>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</si>
  <si>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</si>
  <si>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</si>
  <si>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</si>
  <si>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</si>
  <si>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</si>
  <si>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</si>
  <si>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</si>
  <si>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</si>
  <si>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</si>
  <si>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</si>
  <si>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</si>
  <si>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</si>
  <si>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</si>
  <si>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</si>
  <si>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</si>
  <si>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</si>
  <si>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</si>
  <si>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</si>
  <si>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</si>
  <si>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</si>
  <si>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</si>
  <si>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</si>
  <si>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</si>
  <si>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</si>
  <si>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</si>
  <si>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</si>
  <si>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</si>
  <si>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</si>
  <si>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</si>
  <si>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</si>
  <si>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</si>
  <si>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</si>
  <si>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</si>
  <si>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</si>
  <si>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</si>
  <si>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</si>
  <si>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</si>
  <si>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</si>
  <si>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</si>
  <si>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</si>
  <si>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</si>
  <si>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</si>
  <si>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</si>
  <si>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</si>
  <si>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</si>
  <si>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</si>
  <si>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</si>
  <si>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</si>
  <si>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</si>
  <si>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</si>
  <si>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</si>
  <si>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</si>
  <si>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</si>
  <si>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</si>
  <si>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</si>
  <si>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</si>
  <si>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</si>
  <si>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</si>
  <si>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</si>
  <si>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</si>
  <si>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</si>
  <si>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</si>
  <si>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</si>
  <si>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</si>
  <si>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</si>
  <si>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</si>
  <si>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</si>
  <si>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</si>
  <si>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</si>
  <si>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</si>
  <si>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</si>
  <si>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</si>
  <si>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</si>
  <si>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</si>
  <si>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</si>
  <si>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</si>
  <si>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</si>
  <si>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</si>
  <si>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</si>
  <si>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</si>
  <si>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</si>
  <si>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</si>
  <si>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</si>
  <si>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</si>
  <si>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</si>
  <si>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</si>
  <si>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</si>
  <si>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</si>
  <si>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</si>
  <si>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</si>
  <si>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</si>
  <si>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</si>
  <si>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</si>
  <si>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</si>
  <si>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</si>
  <si>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</si>
  <si>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</si>
  <si>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</si>
  <si>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</si>
  <si>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</si>
  <si>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</si>
  <si>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</si>
  <si>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</si>
  <si>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</si>
  <si>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</si>
  <si>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</si>
  <si>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</si>
  <si>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</si>
  <si>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</si>
  <si>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</si>
  <si>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</si>
  <si>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</si>
  <si>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</si>
  <si>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</si>
  <si>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</si>
  <si>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</si>
  <si>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</si>
  <si>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</si>
  <si>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</si>
  <si>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</si>
  <si>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</si>
  <si>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</si>
  <si>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</si>
  <si>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</si>
  <si>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</si>
  <si>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</si>
  <si>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</si>
  <si>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</si>
  <si>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</si>
  <si>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</si>
  <si>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</si>
  <si>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</si>
  <si>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</si>
  <si>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</si>
  <si>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</si>
  <si>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</si>
  <si>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</si>
  <si>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</si>
  <si>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</si>
  <si>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</si>
  <si>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</si>
  <si>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</si>
  <si>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</si>
  <si>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</si>
  <si>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</si>
  <si>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</si>
  <si>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</si>
  <si>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</si>
  <si>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</si>
  <si>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</si>
  <si>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</si>
  <si>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</si>
  <si>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</si>
  <si>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</si>
  <si>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</si>
  <si>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</si>
  <si>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</si>
  <si>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</si>
  <si>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</si>
  <si>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</si>
  <si>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</si>
  <si>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</si>
  <si>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</si>
  <si>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</si>
  <si>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</si>
  <si>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</si>
  <si>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</si>
  <si>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</si>
  <si>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</si>
  <si>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</si>
  <si>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</si>
  <si>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</si>
  <si>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</si>
  <si>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</si>
  <si>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</si>
  <si>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</si>
  <si>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</si>
  <si>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</si>
  <si>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</si>
  <si>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</si>
  <si>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</si>
  <si>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</si>
  <si>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</si>
  <si>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</si>
  <si>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</si>
  <si>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</si>
  <si>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</si>
  <si>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</si>
  <si>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</si>
  <si>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</si>
  <si>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</si>
  <si>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</si>
  <si>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</si>
  <si>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</si>
  <si>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</si>
  <si>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</si>
  <si>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</si>
  <si>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</si>
  <si>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</si>
  <si>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</si>
  <si>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</si>
  <si>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</si>
  <si>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</si>
  <si>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</si>
  <si>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</si>
  <si>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</si>
  <si>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</si>
  <si>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</si>
  <si>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</si>
  <si>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</si>
  <si>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</si>
  <si>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</si>
  <si>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</si>
  <si>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</si>
  <si>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</si>
  <si>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</si>
  <si>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</si>
  <si>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</si>
  <si>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</si>
  <si>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</si>
  <si>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</si>
  <si>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</si>
  <si>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</si>
  <si>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</si>
  <si>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</si>
  <si>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</si>
  <si>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</si>
  <si>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</si>
  <si>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</si>
  <si>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</si>
  <si>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</si>
  <si>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</si>
  <si>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</si>
  <si>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</si>
  <si>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</si>
  <si>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</si>
  <si>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</si>
  <si>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</si>
  <si>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</si>
  <si>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</si>
  <si>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</si>
  <si>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</si>
  <si>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</si>
  <si>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</si>
  <si>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</si>
  <si>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</si>
  <si>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</si>
  <si>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</si>
  <si>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</si>
  <si>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</si>
  <si>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</si>
  <si>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</si>
  <si>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</si>
  <si>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</si>
  <si>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</si>
  <si>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</si>
  <si>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</si>
  <si>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</si>
  <si>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</si>
  <si>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</si>
  <si>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</si>
  <si>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</si>
  <si>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</si>
  <si>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</si>
  <si>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</si>
  <si>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</si>
  <si>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</si>
  <si>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</si>
  <si>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</si>
  <si>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</si>
  <si>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</si>
  <si>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</si>
  <si>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</si>
  <si>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</si>
  <si>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</si>
  <si>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</si>
  <si>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</si>
  <si>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</si>
  <si>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</si>
  <si>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</si>
  <si>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</si>
  <si>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</si>
  <si>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</si>
  <si>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</si>
  <si>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</si>
  <si>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</si>
  <si>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</si>
  <si>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</si>
  <si>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</si>
  <si>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</si>
  <si>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</si>
  <si>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</si>
  <si>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</si>
  <si>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</si>
  <si>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</si>
  <si>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</si>
  <si>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</si>
  <si>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</si>
  <si>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</si>
  <si>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</si>
  <si>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</si>
  <si>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</si>
  <si>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</si>
  <si>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</si>
  <si>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</si>
  <si>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</si>
  <si>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</si>
  <si>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</si>
  <si>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</si>
  <si>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</si>
  <si>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</si>
  <si>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</si>
  <si>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</si>
  <si>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</si>
  <si>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</si>
  <si>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</si>
  <si>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</si>
  <si>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</si>
  <si>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</si>
  <si>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</si>
  <si>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</si>
  <si>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</si>
  <si>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</si>
  <si>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</si>
  <si>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</si>
  <si>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</si>
  <si>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</si>
  <si>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</si>
  <si>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</si>
  <si>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</si>
  <si>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</si>
  <si>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</si>
  <si>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</si>
  <si>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</si>
  <si>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</si>
  <si>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</si>
  <si>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</si>
  <si>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</si>
  <si>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</si>
  <si>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</si>
  <si>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</si>
  <si>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</si>
  <si>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</si>
  <si>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</si>
  <si>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</si>
  <si>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</si>
  <si>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</si>
  <si>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</si>
  <si>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</si>
  <si>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</si>
  <si>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</si>
  <si>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</si>
  <si>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</si>
  <si>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</si>
  <si>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</si>
  <si>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</si>
  <si>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</si>
  <si>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</si>
  <si>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</si>
  <si>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</si>
  <si>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</si>
  <si>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</si>
  <si>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</si>
  <si>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</si>
  <si>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</si>
  <si>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</si>
  <si>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</si>
  <si>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</si>
  <si>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</si>
  <si>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</si>
  <si>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</si>
  <si>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</si>
  <si>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</si>
  <si>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</si>
  <si>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</si>
  <si>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</si>
  <si>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</si>
  <si>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</si>
  <si>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</si>
  <si>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</si>
  <si>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</si>
  <si>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</si>
  <si>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</si>
  <si>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</si>
  <si>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</si>
  <si>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</si>
  <si>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</si>
  <si>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</si>
  <si>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</si>
  <si>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</si>
  <si>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</si>
  <si>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</si>
  <si>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</si>
  <si>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</si>
  <si>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</si>
  <si>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</si>
  <si>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</si>
  <si>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</si>
  <si>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</si>
  <si>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</si>
  <si>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</si>
  <si>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</si>
  <si>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</si>
  <si>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</si>
  <si>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</si>
  <si>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</si>
  <si>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</si>
  <si>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</si>
  <si>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</si>
  <si>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</si>
  <si>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</si>
  <si>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</si>
  <si>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</si>
  <si>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</si>
  <si>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</si>
  <si>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</si>
  <si>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</si>
  <si>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</si>
  <si>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</si>
  <si>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</si>
  <si>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</si>
  <si>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</si>
  <si>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</si>
  <si>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</si>
  <si>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</si>
  <si>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</si>
  <si>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</si>
  <si>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</si>
  <si>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</si>
  <si>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</si>
  <si>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</si>
  <si>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</si>
  <si>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</si>
  <si>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</si>
  <si>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</si>
  <si>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</si>
  <si>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</si>
  <si>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</si>
  <si>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</si>
  <si>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</si>
  <si>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</si>
  <si>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</si>
  <si>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</si>
  <si>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</si>
  <si>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</si>
  <si>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</si>
  <si>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</si>
  <si>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</si>
  <si>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</si>
  <si>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</si>
  <si>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</si>
  <si>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</si>
  <si>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</si>
  <si>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</si>
  <si>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</si>
  <si>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</si>
  <si>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</si>
  <si>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</si>
  <si>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</si>
  <si>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</si>
  <si>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</si>
  <si>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</si>
  <si>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</si>
  <si>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</si>
  <si>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</si>
  <si>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</si>
  <si>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</si>
  <si>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Domestic debt</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</si>
  <si>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</si>
  <si>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</si>
  <si>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</si>
  <si>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</si>
  <si>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</si>
  <si>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</si>
  <si>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</si>
  <si>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</si>
  <si>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</si>
  <si>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</si>
  <si>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</si>
  <si>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</si>
  <si>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</si>
  <si>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</si>
  <si>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</si>
  <si>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</si>
  <si>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</si>
  <si>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</si>
  <si>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</si>
  <si>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</si>
  <si>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</si>
  <si>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</si>
  <si>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</si>
  <si>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</si>
  <si>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</si>
  <si>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</si>
  <si>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</si>
  <si>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t>Corporate income tax</t>
  </si>
  <si>
    <t>Natural resource tax</t>
  </si>
  <si>
    <t>Personal income tax</t>
  </si>
  <si>
    <t>Trade tax</t>
  </si>
  <si>
    <t>Other tax</t>
  </si>
  <si>
    <t>Net l tax</t>
  </si>
  <si>
    <t>Offic tax</t>
  </si>
  <si>
    <t>Off-b tax</t>
  </si>
  <si>
    <t>Of wh tax</t>
  </si>
  <si>
    <t>VDB n tax</t>
  </si>
  <si>
    <t>Overa tax</t>
  </si>
  <si>
    <t>Discr tax</t>
  </si>
  <si>
    <t>Net i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</si>
  <si>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</si>
  <si>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</si>
  <si>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</si>
  <si>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</si>
  <si>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</si>
  <si>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</si>
  <si>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</si>
  <si>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</si>
  <si>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</si>
  <si>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</si>
  <si>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</si>
  <si>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</si>
  <si>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</si>
  <si>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</si>
  <si>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</si>
  <si>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</si>
  <si>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</si>
  <si>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</si>
  <si>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</si>
  <si>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</si>
  <si>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</si>
  <si>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</si>
  <si>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</si>
  <si>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</si>
  <si>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</si>
  <si>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</si>
  <si>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</si>
  <si>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</si>
  <si>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</si>
  <si>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</si>
  <si>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</si>
  <si>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</si>
  <si>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</si>
  <si>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</si>
  <si>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</si>
  <si>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</si>
  <si>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</si>
  <si>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</si>
  <si>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</si>
  <si>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</si>
  <si>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</si>
  <si>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</si>
  <si>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</si>
  <si>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</si>
  <si>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</si>
  <si>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</si>
  <si>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</si>
  <si>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</si>
  <si>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</si>
  <si>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</si>
  <si>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</si>
  <si>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</si>
  <si>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</si>
  <si>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</si>
  <si>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</si>
  <si>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</si>
  <si>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</si>
  <si>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</si>
  <si>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</si>
  <si>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</si>
  <si>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</si>
  <si>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</si>
  <si>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</si>
  <si>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</si>
  <si>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</si>
  <si>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</si>
  <si>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</si>
  <si>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</si>
  <si>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</si>
  <si>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</si>
  <si>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</si>
  <si>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</si>
  <si>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</si>
  <si>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</si>
  <si>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</si>
  <si>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</si>
  <si>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</si>
  <si>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</si>
  <si>
    <t>Fishing license fee</t>
  </si>
  <si>
    <t>Change in foreign accounts receivable</t>
  </si>
  <si>
    <t>(Namibian dollars)</t>
  </si>
  <si>
    <t>Nauru</t>
  </si>
  <si>
    <t>(Australian dollars)</t>
  </si>
  <si>
    <t>NR</t>
  </si>
  <si>
    <t>Fishing license fees</t>
  </si>
  <si>
    <t>Visa fees</t>
  </si>
  <si>
    <t>Budget support (current)</t>
  </si>
  <si>
    <t>Development fund (capital)</t>
  </si>
  <si>
    <t>Trust fund: Donor contribution</t>
  </si>
  <si>
    <t>Social expenditure</t>
  </si>
  <si>
    <t>Subsidies and donations</t>
  </si>
  <si>
    <t>L3_nontax_revenue</t>
  </si>
  <si>
    <t>Development fund</t>
  </si>
  <si>
    <t>Public enterprises operating surplus</t>
  </si>
  <si>
    <t>Quasifiscal deficit financing</t>
  </si>
  <si>
    <t>(tala)</t>
  </si>
  <si>
    <t>(rand)</t>
  </si>
  <si>
    <t>(Turkish lira)</t>
  </si>
  <si>
    <t>Consumption of fixed capital</t>
  </si>
  <si>
    <t>Interest expense</t>
  </si>
  <si>
    <t>Subsidies expense</t>
  </si>
  <si>
    <t>Grants expense</t>
  </si>
  <si>
    <t>Social benefits expense</t>
  </si>
  <si>
    <t>Taxes on income, profits, &amp; capital gains</t>
  </si>
  <si>
    <t>Taxes on payroll &amp; workforce</t>
  </si>
  <si>
    <t>Taxes on int trade &amp; transactions</t>
  </si>
  <si>
    <t>Other taxes n.e.c.</t>
  </si>
  <si>
    <t>Grants revenue</t>
  </si>
  <si>
    <t>Turkey: General government</t>
  </si>
  <si>
    <t>Taxes on goods &amp; services</t>
  </si>
  <si>
    <t>( rubles)</t>
  </si>
  <si>
    <t>Mineral taxes</t>
  </si>
  <si>
    <t>Mineral revenues</t>
  </si>
  <si>
    <t>Social programs</t>
  </si>
  <si>
    <t>JM</t>
  </si>
  <si>
    <t xml:space="preserve">Other nonbank financing </t>
  </si>
  <si>
    <t>Pension transfers</t>
  </si>
  <si>
    <t>Arrears Clearance</t>
  </si>
  <si>
    <t>Resolution of demestic arrears</t>
  </si>
  <si>
    <t>(Argentine pesos)</t>
  </si>
  <si>
    <t>Other revenues</t>
  </si>
  <si>
    <t>Transfers to the private sector</t>
  </si>
  <si>
    <t>Argentina (Consolidated Public Sector Operations)</t>
  </si>
  <si>
    <t>International</t>
  </si>
  <si>
    <t>Amortization domestic</t>
  </si>
  <si>
    <t>Amortization inetrnational</t>
  </si>
  <si>
    <t>Foreign loans</t>
  </si>
  <si>
    <t>Non-bank finance</t>
  </si>
  <si>
    <t>Bank finance</t>
  </si>
  <si>
    <t>Transfer of SSF deposits to SPF</t>
  </si>
  <si>
    <t>Other flows</t>
  </si>
  <si>
    <t>Other federal expenditure</t>
  </si>
  <si>
    <t>Other supplementary expenditure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</si>
  <si>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including net lending</t>
    </r>
  </si>
  <si>
    <t>Provincial government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</si>
</sst>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393">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sz val="9"/>
      <color rgb="FF000000"/>
      <name val="Calibri"/>
      <family val="2"/>
    </font>
    <font>
      <sz val="9"/>
      <color theme="1"/>
      <name val="Calibri"/>
      <family val="2"/>
    </font>
    <font>
      <sz val="9"/>
      <name val="Calibri"/>
      <family val="2"/>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13">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medium">
        <color indexed="64"/>
      </right>
      <top/>
      <bottom/>
      <diagonal/>
    </border>
    <border>
      <left/>
      <right/>
      <top/>
      <bottom style="medium">
        <color indexed="64"/>
      </bottom>
      <diagonal/>
    </border>
    <border>
      <left style="medium">
        <color indexed="64"/>
      </left>
      <right/>
      <top/>
      <bottom style="medium">
        <color indexed="64"/>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87" fillId="0" borderId="0"/>
    <xf numFmtId="186" fontId="68" fillId="0" borderId="0" applyFont="0" applyFill="0" applyBorder="0" applyAlignment="0" applyProtection="0"/>
    <xf numFmtId="0" fontId="392" fillId="0" borderId="0" applyNumberFormat="0" applyFill="0" applyBorder="0" applyAlignment="0" applyProtection="0"/>
  </cellStyleXfs>
  <cellXfs count="2773">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2"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2" fillId="0" borderId="0" xfId="0" applyNumberFormat="1" applyFont="1" applyAlignment="1">
      <alignment horizontal="center" vertical="top"/>
    </xf>
    <xf numFmtId="3" fontId="62" fillId="0" borderId="0" xfId="0" applyNumberFormat="1" applyFont="1" applyAlignment="1">
      <alignment horizontal="center" vertical="top"/>
    </xf>
    <xf numFmtId="3" fontId="72"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2" fillId="0" borderId="0" xfId="0" applyNumberFormat="1" applyFont="1" applyAlignment="1">
      <alignment horizontal="left" vertical="top"/>
    </xf>
    <xf numFmtId="0" fontId="72" fillId="0" borderId="0" xfId="0" applyFont="1" applyAlignment="1">
      <alignment horizontal="left" vertical="top"/>
    </xf>
    <xf numFmtId="164" fontId="72" fillId="0" borderId="0" xfId="0" applyNumberFormat="1" applyFont="1" applyAlignment="1">
      <alignment horizontal="left" vertical="top"/>
    </xf>
    <xf numFmtId="167" fontId="72" fillId="0" borderId="0" xfId="0" applyNumberFormat="1" applyFont="1" applyAlignment="1">
      <alignment horizontal="left" vertical="top"/>
    </xf>
    <xf numFmtId="164" fontId="11" fillId="2" borderId="0" xfId="2" applyNumberFormat="1" applyFont="1" applyFill="1" applyAlignment="1">
      <alignment horizontal="center" vertical="top"/>
    </xf>
    <xf numFmtId="0" fontId="75"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7"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3" fillId="0" borderId="0" xfId="0" applyNumberFormat="1" applyFont="1" applyAlignment="1">
      <alignment horizontal="left" vertical="top"/>
    </xf>
    <xf numFmtId="0" fontId="83" fillId="0" borderId="0" xfId="0" applyFont="1" applyAlignment="1">
      <alignment horizontal="left" vertical="top"/>
    </xf>
    <xf numFmtId="164" fontId="83" fillId="0" borderId="0" xfId="0" applyNumberFormat="1" applyFont="1" applyAlignment="1">
      <alignment horizontal="left" vertical="top"/>
    </xf>
    <xf numFmtId="169" fontId="86" fillId="0" borderId="0" xfId="0" applyNumberFormat="1" applyFont="1" applyAlignment="1">
      <alignment horizontal="left" vertical="top"/>
    </xf>
    <xf numFmtId="164" fontId="0" fillId="0" borderId="0" xfId="0" applyNumberFormat="1" applyAlignment="1">
      <alignment horizontal="left" vertical="top"/>
    </xf>
    <xf numFmtId="0" fontId="71" fillId="0" borderId="0" xfId="0" applyFont="1"/>
    <xf numFmtId="0" fontId="71" fillId="0" borderId="0" xfId="0" applyFont="1" applyAlignment="1">
      <alignment horizontal="center"/>
    </xf>
    <xf numFmtId="169" fontId="87" fillId="0" borderId="0" xfId="0" applyNumberFormat="1" applyFont="1" applyAlignment="1">
      <alignment horizontal="left" vertical="top"/>
    </xf>
    <xf numFmtId="0" fontId="87" fillId="0" borderId="0" xfId="0" applyFont="1" applyAlignment="1">
      <alignment horizontal="left" vertical="top"/>
    </xf>
    <xf numFmtId="164" fontId="87" fillId="0" borderId="0" xfId="0" applyNumberFormat="1" applyFont="1" applyAlignment="1">
      <alignment horizontal="left" vertical="top"/>
    </xf>
    <xf numFmtId="169" fontId="84"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8" fillId="0" borderId="0" xfId="0" applyNumberFormat="1" applyFont="1" applyAlignment="1">
      <alignment horizontal="center" vertical="center" wrapText="1"/>
    </xf>
    <xf numFmtId="0" fontId="88" fillId="0" borderId="0" xfId="0" applyFont="1" applyAlignment="1">
      <alignment horizontal="center" vertical="center" wrapText="1"/>
    </xf>
    <xf numFmtId="167" fontId="88" fillId="0" borderId="0" xfId="0" applyNumberFormat="1" applyFont="1" applyAlignment="1">
      <alignment horizontal="center" vertical="center" wrapText="1"/>
    </xf>
    <xf numFmtId="3" fontId="83" fillId="0" borderId="0" xfId="0" applyNumberFormat="1" applyFont="1" applyAlignment="1">
      <alignment horizontal="left" vertical="top"/>
    </xf>
    <xf numFmtId="0" fontId="91" fillId="0" borderId="0" xfId="2" applyFont="1" applyAlignment="1">
      <alignment horizontal="center" vertical="top"/>
    </xf>
    <xf numFmtId="0" fontId="92"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4" fillId="14" borderId="4" xfId="0" applyFont="1" applyFill="1" applyBorder="1" applyAlignment="1">
      <alignment horizontal="left" wrapText="1"/>
    </xf>
    <xf numFmtId="0" fontId="95"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6" fillId="0" borderId="0" xfId="2" applyFont="1" applyAlignment="1">
      <alignment horizontal="center" vertical="top"/>
    </xf>
    <xf numFmtId="0" fontId="95" fillId="0" borderId="0" xfId="2" applyFont="1" applyAlignment="1">
      <alignment horizontal="center" vertical="top"/>
    </xf>
    <xf numFmtId="164" fontId="96"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7" fillId="0" borderId="0" xfId="2" applyFont="1" applyAlignment="1">
      <alignment horizontal="left" vertical="top"/>
    </xf>
    <xf numFmtId="0" fontId="98"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0"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1" fillId="0" borderId="0" xfId="0" applyFont="1" applyAlignment="1">
      <alignment horizontal="center"/>
    </xf>
    <xf numFmtId="0" fontId="60" fillId="3" borderId="0" xfId="2" applyFont="1" applyFill="1" applyAlignment="1">
      <alignment vertical="top"/>
    </xf>
    <xf numFmtId="0" fontId="102"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3" fillId="0" borderId="0" xfId="2" applyFont="1" applyAlignment="1">
      <alignment horizontal="left" vertical="top"/>
    </xf>
    <xf numFmtId="0" fontId="103"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4" fillId="0" borderId="0" xfId="2" applyFont="1" applyAlignment="1">
      <alignment horizontal="left" vertical="top"/>
    </xf>
    <xf numFmtId="0" fontId="88" fillId="0" borderId="0" xfId="2" applyFont="1" applyAlignment="1">
      <alignment horizontal="left" vertical="top"/>
    </xf>
    <xf numFmtId="0" fontId="88" fillId="0" borderId="0" xfId="2" applyFont="1" applyAlignment="1">
      <alignment horizontal="center" vertical="top"/>
    </xf>
    <xf numFmtId="0" fontId="105" fillId="0" borderId="0" xfId="2" applyFont="1" applyAlignment="1">
      <alignment horizontal="center" vertical="top"/>
    </xf>
    <xf numFmtId="0" fontId="106" fillId="0" borderId="0" xfId="0" applyFont="1"/>
    <xf numFmtId="0" fontId="104" fillId="0" borderId="0" xfId="2" applyFont="1" applyAlignment="1">
      <alignment horizontal="center" vertical="top"/>
    </xf>
    <xf numFmtId="164" fontId="105" fillId="0" borderId="0" xfId="2" applyNumberFormat="1" applyFont="1" applyAlignment="1">
      <alignment horizontal="center" vertical="top"/>
    </xf>
    <xf numFmtId="164" fontId="88" fillId="0" borderId="0" xfId="2" applyNumberFormat="1" applyFont="1" applyAlignment="1">
      <alignment horizontal="center" vertical="top"/>
    </xf>
    <xf numFmtId="4" fontId="88" fillId="0" borderId="0" xfId="2" applyNumberFormat="1" applyFont="1" applyAlignment="1">
      <alignment horizontal="center" vertical="top"/>
    </xf>
    <xf numFmtId="0" fontId="107" fillId="0" borderId="0" xfId="2" applyFont="1" applyAlignment="1">
      <alignment horizontal="left" vertical="top"/>
    </xf>
    <xf numFmtId="0" fontId="88" fillId="0" borderId="0" xfId="2" applyFont="1" applyAlignment="1">
      <alignment vertical="top"/>
    </xf>
    <xf numFmtId="0" fontId="88" fillId="0" borderId="0" xfId="0" applyFont="1" applyAlignment="1">
      <alignment horizontal="left" vertical="top"/>
    </xf>
    <xf numFmtId="3" fontId="106" fillId="0" borderId="0" xfId="0" applyNumberFormat="1" applyFont="1" applyAlignment="1">
      <alignment horizontal="center"/>
    </xf>
    <xf numFmtId="3" fontId="106" fillId="0" borderId="0" xfId="0" applyNumberFormat="1" applyFont="1" applyAlignment="1">
      <alignment horizontal="center" vertical="top"/>
    </xf>
    <xf numFmtId="3" fontId="106" fillId="0" borderId="0" xfId="0" applyNumberFormat="1" applyFont="1"/>
    <xf numFmtId="164" fontId="106" fillId="0" borderId="0" xfId="0" applyNumberFormat="1" applyFont="1"/>
    <xf numFmtId="164" fontId="106"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1" fillId="0" borderId="0" xfId="1" applyNumberFormat="1" applyFont="1"/>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09" fillId="0" borderId="0" xfId="0" applyNumberFormat="1" applyFont="1"/>
    <xf numFmtId="0" fontId="0" fillId="21" borderId="0" xfId="0" applyFill="1"/>
    <xf numFmtId="0" fontId="74" fillId="2" borderId="0" xfId="0" applyFont="1" applyFill="1"/>
    <xf numFmtId="0" fontId="74" fillId="3" borderId="0" xfId="0" applyFont="1" applyFill="1" applyAlignment="1">
      <alignment horizontal="right"/>
    </xf>
    <xf numFmtId="3" fontId="74"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2"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2" fillId="2" borderId="0" xfId="0" applyFont="1" applyFill="1" applyAlignment="1">
      <alignment horizontal="left" vertical="top"/>
    </xf>
    <xf numFmtId="3" fontId="30" fillId="3" borderId="0" xfId="1" applyNumberFormat="1" applyFont="1" applyFill="1" applyAlignment="1">
      <alignment horizontal="center" vertical="top"/>
    </xf>
    <xf numFmtId="0" fontId="74"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2"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3" fillId="0" borderId="0" xfId="0" applyNumberFormat="1" applyFont="1" applyAlignment="1">
      <alignment horizontal="left" vertical="top"/>
    </xf>
    <xf numFmtId="0" fontId="83"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165" fontId="11" fillId="2" borderId="0" xfId="1" applyNumberFormat="1" applyFont="1" applyFill="1" applyAlignment="1">
      <alignment horizontal="center" vertical="center"/>
    </xf>
    <xf numFmtId="0" fontId="110" fillId="0" borderId="0" xfId="0" applyFont="1" applyAlignment="1">
      <alignment horizontal="left" vertical="top"/>
    </xf>
    <xf numFmtId="3" fontId="87" fillId="0" borderId="0" xfId="0" applyNumberFormat="1" applyFont="1" applyAlignment="1">
      <alignment horizontal="left" vertical="top"/>
    </xf>
    <xf numFmtId="169" fontId="111" fillId="0" borderId="0" xfId="0" applyNumberFormat="1" applyFont="1" applyAlignment="1">
      <alignment horizontal="left" vertical="top"/>
    </xf>
    <xf numFmtId="0" fontId="83" fillId="0" borderId="0" xfId="0" applyFont="1" applyAlignment="1">
      <alignment horizontal="center" vertical="top"/>
    </xf>
    <xf numFmtId="0" fontId="83" fillId="0" borderId="0" xfId="0" applyFont="1" applyAlignment="1">
      <alignment horizontal="right" vertical="top"/>
    </xf>
    <xf numFmtId="3" fontId="0" fillId="21" borderId="0" xfId="0" applyNumberFormat="1" applyFill="1" applyAlignment="1">
      <alignment horizontal="center"/>
    </xf>
    <xf numFmtId="3" fontId="11" fillId="22" borderId="0" xfId="0" applyNumberFormat="1" applyFont="1" applyFill="1" applyAlignment="1">
      <alignment vertical="top"/>
    </xf>
    <xf numFmtId="3" fontId="114" fillId="0" borderId="0" xfId="0" applyNumberFormat="1" applyFont="1" applyAlignment="1">
      <alignment horizontal="center"/>
    </xf>
    <xf numFmtId="0" fontId="114" fillId="0" borderId="0" xfId="0" applyFont="1"/>
    <xf numFmtId="0" fontId="115" fillId="0" borderId="0" xfId="0" applyFont="1"/>
    <xf numFmtId="3" fontId="114"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6" fillId="0" borderId="0" xfId="0" applyNumberFormat="1" applyFont="1" applyAlignment="1">
      <alignment horizontal="center" vertical="top"/>
    </xf>
    <xf numFmtId="0" fontId="117"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18" fillId="2" borderId="0" xfId="0" applyNumberFormat="1" applyFont="1" applyFill="1" applyAlignment="1">
      <alignment horizontal="left" vertical="top"/>
    </xf>
    <xf numFmtId="3" fontId="119" fillId="2" borderId="0" xfId="2" applyNumberFormat="1" applyFont="1" applyFill="1" applyAlignment="1">
      <alignment horizontal="center" vertical="top"/>
    </xf>
    <xf numFmtId="3" fontId="118" fillId="11" borderId="0" xfId="0" applyNumberFormat="1" applyFont="1" applyFill="1" applyAlignment="1">
      <alignment horizontal="left" vertical="top"/>
    </xf>
    <xf numFmtId="3" fontId="118" fillId="0" borderId="0" xfId="0" applyNumberFormat="1" applyFont="1" applyAlignment="1">
      <alignment horizontal="left" vertical="top"/>
    </xf>
    <xf numFmtId="3" fontId="119" fillId="0" borderId="0" xfId="2" applyNumberFormat="1" applyFont="1" applyAlignment="1">
      <alignment horizontal="center" vertical="top"/>
    </xf>
    <xf numFmtId="3" fontId="118" fillId="21" borderId="0" xfId="0" applyNumberFormat="1" applyFont="1" applyFill="1" applyAlignment="1">
      <alignment horizontal="left" vertical="top"/>
    </xf>
    <xf numFmtId="3" fontId="119" fillId="21" borderId="0" xfId="2" applyNumberFormat="1" applyFont="1" applyFill="1" applyAlignment="1">
      <alignment horizontal="center" vertical="top"/>
    </xf>
    <xf numFmtId="0" fontId="120" fillId="0" borderId="0" xfId="0" applyFont="1" applyAlignment="1">
      <alignment horizontal="left" vertical="top"/>
    </xf>
    <xf numFmtId="0" fontId="112" fillId="0" borderId="0" xfId="2" applyFont="1" applyAlignment="1">
      <alignment horizontal="left" vertical="top"/>
    </xf>
    <xf numFmtId="3" fontId="121" fillId="0" borderId="0" xfId="0" applyNumberFormat="1" applyFont="1" applyAlignment="1">
      <alignment horizontal="left" vertical="top"/>
    </xf>
    <xf numFmtId="3" fontId="114" fillId="0" borderId="0" xfId="0" applyNumberFormat="1" applyFont="1" applyAlignment="1">
      <alignment horizontal="left" vertical="top"/>
    </xf>
    <xf numFmtId="0" fontId="122" fillId="0" borderId="0" xfId="2" applyFont="1" applyAlignment="1">
      <alignment horizontal="center" vertical="top"/>
    </xf>
    <xf numFmtId="3" fontId="113" fillId="0" borderId="0" xfId="1" applyNumberFormat="1" applyFont="1" applyAlignment="1">
      <alignment vertical="top"/>
    </xf>
    <xf numFmtId="3" fontId="113" fillId="0" borderId="0" xfId="0" applyNumberFormat="1" applyFont="1" applyAlignment="1">
      <alignment vertical="top"/>
    </xf>
    <xf numFmtId="3" fontId="113" fillId="2" borderId="0" xfId="0" applyNumberFormat="1" applyFont="1" applyFill="1" applyAlignment="1">
      <alignment vertical="top"/>
    </xf>
    <xf numFmtId="3" fontId="113" fillId="23" borderId="0" xfId="1" applyNumberFormat="1" applyFont="1" applyFill="1" applyAlignment="1">
      <alignment vertical="top"/>
    </xf>
    <xf numFmtId="0" fontId="123" fillId="0" borderId="0" xfId="0" applyFont="1" applyAlignment="1">
      <alignment horizontal="center" vertical="top"/>
    </xf>
    <xf numFmtId="0" fontId="114" fillId="0" borderId="0" xfId="0" applyFont="1" applyAlignment="1">
      <alignment horizontal="left" vertical="top"/>
    </xf>
    <xf numFmtId="43" fontId="123" fillId="0" borderId="0" xfId="1" applyFont="1" applyAlignment="1">
      <alignment horizontal="left" vertical="top"/>
    </xf>
    <xf numFmtId="0" fontId="20" fillId="21" borderId="0" xfId="0" applyFont="1" applyFill="1" applyAlignment="1">
      <alignment horizontal="center" vertical="top"/>
    </xf>
    <xf numFmtId="43" fontId="123" fillId="2" borderId="0" xfId="1" applyFont="1" applyFill="1" applyAlignment="1">
      <alignment horizontal="left" vertical="top"/>
    </xf>
    <xf numFmtId="3" fontId="114" fillId="2" borderId="0" xfId="0" applyNumberFormat="1" applyFont="1" applyFill="1"/>
    <xf numFmtId="43" fontId="124" fillId="0" borderId="0" xfId="1" applyFont="1" applyAlignment="1">
      <alignment horizontal="left" vertical="top"/>
    </xf>
    <xf numFmtId="0" fontId="11" fillId="21" borderId="0" xfId="2" applyFont="1" applyFill="1" applyAlignment="1">
      <alignment horizontal="center" vertical="top"/>
    </xf>
    <xf numFmtId="0" fontId="124" fillId="0" borderId="0" xfId="0" applyFont="1" applyAlignment="1">
      <alignment horizontal="left" vertical="top"/>
    </xf>
    <xf numFmtId="0" fontId="114" fillId="0" borderId="0" xfId="0" applyFont="1" applyAlignment="1">
      <alignment horizontal="right"/>
    </xf>
    <xf numFmtId="3" fontId="114" fillId="0" borderId="0" xfId="1" applyNumberFormat="1" applyFont="1" applyAlignment="1">
      <alignment horizontal="center"/>
    </xf>
    <xf numFmtId="3" fontId="114" fillId="2" borderId="0" xfId="1" applyNumberFormat="1" applyFont="1" applyFill="1" applyAlignment="1">
      <alignment horizontal="center" vertical="top"/>
    </xf>
    <xf numFmtId="3" fontId="114" fillId="2" borderId="0" xfId="0" applyNumberFormat="1" applyFont="1" applyFill="1" applyAlignment="1">
      <alignment horizontal="center"/>
    </xf>
    <xf numFmtId="3" fontId="114" fillId="0" borderId="0" xfId="1" applyNumberFormat="1" applyFont="1" applyAlignment="1">
      <alignment horizontal="center" vertical="top"/>
    </xf>
    <xf numFmtId="176" fontId="114" fillId="0" borderId="0" xfId="1" applyNumberFormat="1" applyFont="1" applyAlignment="1">
      <alignment horizontal="center" vertical="top"/>
    </xf>
    <xf numFmtId="4" fontId="114" fillId="0" borderId="0" xfId="1" applyNumberFormat="1" applyFont="1" applyAlignment="1">
      <alignment horizontal="center" vertical="top"/>
    </xf>
    <xf numFmtId="3" fontId="113"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5" fillId="0" borderId="0" xfId="0" applyFont="1" applyAlignment="1">
      <alignment horizontal="left" vertical="top"/>
    </xf>
    <xf numFmtId="3" fontId="126" fillId="2" borderId="0" xfId="1" applyNumberFormat="1" applyFont="1" applyFill="1" applyAlignment="1">
      <alignment horizontal="center" vertical="center"/>
    </xf>
    <xf numFmtId="3" fontId="126" fillId="0" borderId="0" xfId="1" applyNumberFormat="1" applyFont="1" applyAlignment="1">
      <alignment horizontal="center" vertical="center"/>
    </xf>
    <xf numFmtId="0" fontId="127" fillId="0" borderId="0" xfId="0" applyFont="1"/>
    <xf numFmtId="0" fontId="128" fillId="0" borderId="0" xfId="0" applyFont="1"/>
    <xf numFmtId="43" fontId="126" fillId="0" borderId="0" xfId="1" applyFont="1" applyAlignment="1">
      <alignment horizontal="right" vertical="top"/>
    </xf>
    <xf numFmtId="41" fontId="126" fillId="0" borderId="0" xfId="1" applyNumberFormat="1" applyFont="1" applyAlignment="1">
      <alignment horizontal="right" vertical="top"/>
    </xf>
    <xf numFmtId="3" fontId="117" fillId="2" borderId="0" xfId="2" applyNumberFormat="1" applyFont="1" applyFill="1" applyAlignment="1">
      <alignment horizontal="center" vertical="top"/>
    </xf>
    <xf numFmtId="3" fontId="117" fillId="0" borderId="0" xfId="0" applyNumberFormat="1" applyFont="1" applyAlignment="1">
      <alignment horizontal="left" vertical="top"/>
    </xf>
    <xf numFmtId="3" fontId="117" fillId="2" borderId="0" xfId="0" applyNumberFormat="1" applyFont="1" applyFill="1" applyAlignment="1">
      <alignment horizontal="center"/>
    </xf>
    <xf numFmtId="3" fontId="129" fillId="2" borderId="0" xfId="0" applyNumberFormat="1" applyFont="1" applyFill="1" applyAlignment="1">
      <alignment horizontal="center" vertical="top"/>
    </xf>
    <xf numFmtId="3" fontId="117" fillId="2" borderId="0" xfId="0" applyNumberFormat="1" applyFont="1" applyFill="1" applyAlignment="1">
      <alignment horizontal="left" vertical="top"/>
    </xf>
    <xf numFmtId="3" fontId="129"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7" fillId="0" borderId="0" xfId="0" applyNumberFormat="1" applyFont="1" applyAlignment="1">
      <alignment horizontal="center"/>
    </xf>
    <xf numFmtId="3" fontId="116" fillId="2" borderId="0" xfId="1" applyNumberFormat="1" applyFont="1" applyFill="1" applyAlignment="1">
      <alignment horizontal="center" vertical="top"/>
    </xf>
    <xf numFmtId="3" fontId="116" fillId="0" borderId="0" xfId="1" applyNumberFormat="1" applyFont="1" applyAlignment="1">
      <alignment horizontal="center" vertical="top"/>
    </xf>
    <xf numFmtId="3" fontId="117" fillId="0" borderId="0" xfId="1" applyNumberFormat="1" applyFont="1" applyAlignment="1">
      <alignment horizontal="center" vertical="top"/>
    </xf>
    <xf numFmtId="3" fontId="117" fillId="2" borderId="0" xfId="1" applyNumberFormat="1" applyFont="1" applyFill="1" applyAlignment="1">
      <alignment horizontal="center" vertical="top"/>
    </xf>
    <xf numFmtId="0" fontId="117"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79" fillId="0" borderId="0" xfId="1" applyNumberFormat="1" applyFont="1" applyAlignment="1">
      <alignment horizontal="center"/>
    </xf>
    <xf numFmtId="41" fontId="79" fillId="0" borderId="0" xfId="0" applyNumberFormat="1" applyFont="1"/>
    <xf numFmtId="41" fontId="79" fillId="0" borderId="0" xfId="1" applyNumberFormat="1" applyFont="1"/>
    <xf numFmtId="41" fontId="79" fillId="11" borderId="0" xfId="1" applyNumberFormat="1" applyFont="1" applyFill="1" applyAlignment="1">
      <alignment horizontal="center"/>
    </xf>
    <xf numFmtId="41" fontId="79"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0" fillId="2" borderId="0" xfId="1" applyNumberFormat="1" applyFont="1" applyFill="1" applyAlignment="1">
      <alignment vertical="top"/>
    </xf>
    <xf numFmtId="41" fontId="130" fillId="0" borderId="0" xfId="0" applyNumberFormat="1" applyFont="1" applyAlignment="1">
      <alignment horizontal="left" vertical="top"/>
    </xf>
    <xf numFmtId="41" fontId="130" fillId="0" borderId="0" xfId="0" applyNumberFormat="1" applyFont="1"/>
    <xf numFmtId="41" fontId="130" fillId="2" borderId="0" xfId="1" applyNumberFormat="1" applyFont="1" applyFill="1" applyAlignment="1">
      <alignment horizontal="center" vertical="top"/>
    </xf>
    <xf numFmtId="41" fontId="130" fillId="0" borderId="0" xfId="1" applyNumberFormat="1" applyFont="1" applyAlignment="1">
      <alignment vertical="top"/>
    </xf>
    <xf numFmtId="41" fontId="130" fillId="2" borderId="0" xfId="0" applyNumberFormat="1" applyFont="1" applyFill="1" applyAlignment="1">
      <alignment horizontal="left" vertical="top"/>
    </xf>
    <xf numFmtId="166" fontId="0" fillId="9" borderId="0" xfId="0" applyNumberFormat="1" applyFill="1"/>
    <xf numFmtId="3" fontId="116" fillId="0" borderId="0" xfId="0" applyNumberFormat="1" applyFont="1" applyAlignment="1">
      <alignment horizontal="left" vertical="top"/>
    </xf>
    <xf numFmtId="164" fontId="117" fillId="2" borderId="0" xfId="0" applyNumberFormat="1" applyFont="1" applyFill="1"/>
    <xf numFmtId="164" fontId="117" fillId="0" borderId="0" xfId="0" applyNumberFormat="1" applyFont="1"/>
    <xf numFmtId="3" fontId="117" fillId="11" borderId="0" xfId="1" applyNumberFormat="1" applyFont="1" applyFill="1" applyAlignment="1">
      <alignment horizontal="center" vertical="top"/>
    </xf>
    <xf numFmtId="4" fontId="117" fillId="0" borderId="0" xfId="1" applyNumberFormat="1" applyFont="1" applyAlignment="1">
      <alignment horizontal="center" vertical="top"/>
    </xf>
    <xf numFmtId="3" fontId="117" fillId="0" borderId="0" xfId="0" applyNumberFormat="1" applyFont="1" applyAlignment="1">
      <alignment horizontal="center" vertical="top"/>
    </xf>
    <xf numFmtId="3" fontId="117" fillId="2" borderId="0" xfId="0" applyNumberFormat="1" applyFont="1" applyFill="1" applyAlignment="1">
      <alignment horizontal="center" vertical="top"/>
    </xf>
    <xf numFmtId="3" fontId="117" fillId="21" borderId="0" xfId="1" applyNumberFormat="1" applyFont="1" applyFill="1" applyAlignment="1">
      <alignment horizontal="center" vertical="top"/>
    </xf>
    <xf numFmtId="3" fontId="117" fillId="21" borderId="0" xfId="1" applyNumberFormat="1" applyFont="1" applyFill="1" applyAlignment="1">
      <alignment horizontal="center"/>
    </xf>
    <xf numFmtId="3" fontId="117" fillId="21" borderId="0" xfId="0" applyNumberFormat="1" applyFont="1" applyFill="1" applyAlignment="1">
      <alignment horizontal="center"/>
    </xf>
    <xf numFmtId="0" fontId="117"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7" fillId="2" borderId="0" xfId="0" applyNumberFormat="1" applyFont="1" applyFill="1" applyAlignment="1">
      <alignment horizontal="right" vertical="top"/>
    </xf>
    <xf numFmtId="164" fontId="117" fillId="2" borderId="0" xfId="0" applyNumberFormat="1" applyFont="1" applyFill="1" applyAlignment="1">
      <alignment horizontal="center"/>
    </xf>
    <xf numFmtId="0" fontId="117" fillId="2" borderId="0" xfId="0" applyFont="1" applyFill="1"/>
    <xf numFmtId="164" fontId="117" fillId="0" borderId="0" xfId="1" applyNumberFormat="1" applyFont="1" applyAlignment="1">
      <alignment horizontal="center" vertical="center"/>
    </xf>
    <xf numFmtId="164" fontId="117" fillId="0" borderId="0" xfId="0" applyNumberFormat="1" applyFont="1" applyAlignment="1">
      <alignment horizontal="center"/>
    </xf>
    <xf numFmtId="164" fontId="116" fillId="0" borderId="0" xfId="1" applyNumberFormat="1" applyFont="1" applyAlignment="1">
      <alignment horizontal="center" vertical="center"/>
    </xf>
    <xf numFmtId="164" fontId="117" fillId="2" borderId="0" xfId="1" applyNumberFormat="1" applyFont="1" applyFill="1" applyAlignment="1">
      <alignment horizontal="center" vertical="center"/>
    </xf>
    <xf numFmtId="164" fontId="129" fillId="0" borderId="0" xfId="1" applyNumberFormat="1" applyFont="1" applyAlignment="1">
      <alignment horizontal="center" vertical="center"/>
    </xf>
    <xf numFmtId="164" fontId="117" fillId="0" borderId="0" xfId="0" applyNumberFormat="1" applyFont="1" applyAlignment="1">
      <alignment horizontal="right"/>
    </xf>
    <xf numFmtId="164" fontId="117" fillId="21" borderId="0" xfId="1" applyNumberFormat="1" applyFont="1" applyFill="1" applyAlignment="1">
      <alignment horizontal="center" vertical="center"/>
    </xf>
    <xf numFmtId="164" fontId="117" fillId="21" borderId="0" xfId="0" applyNumberFormat="1" applyFont="1" applyFill="1" applyAlignment="1">
      <alignment horizontal="right"/>
    </xf>
    <xf numFmtId="164" fontId="116"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08" fillId="0" borderId="0" xfId="0" applyFont="1" applyAlignment="1">
      <alignment horizontal="left" vertical="top"/>
    </xf>
    <xf numFmtId="0" fontId="108" fillId="4" borderId="0" xfId="0" applyFont="1" applyFill="1" applyAlignment="1">
      <alignment horizontal="left" vertical="top"/>
    </xf>
    <xf numFmtId="0" fontId="137" fillId="0" borderId="0" xfId="2" applyFont="1" applyAlignment="1">
      <alignment horizontal="left" vertical="top"/>
    </xf>
    <xf numFmtId="0" fontId="91" fillId="0" borderId="0" xfId="2" applyFont="1" applyAlignment="1">
      <alignment horizontal="left" vertical="top"/>
    </xf>
    <xf numFmtId="0" fontId="138" fillId="0" borderId="0" xfId="2" applyFont="1" applyAlignment="1">
      <alignment horizontal="center" vertical="top"/>
    </xf>
    <xf numFmtId="0" fontId="137" fillId="0" borderId="0" xfId="2" applyFont="1" applyAlignment="1">
      <alignment horizontal="center" vertical="top"/>
    </xf>
    <xf numFmtId="164" fontId="138" fillId="0" borderId="0" xfId="2" applyNumberFormat="1" applyFont="1" applyAlignment="1">
      <alignment horizontal="center" vertical="top"/>
    </xf>
    <xf numFmtId="164" fontId="91" fillId="0" borderId="0" xfId="2" applyNumberFormat="1" applyFont="1" applyAlignment="1">
      <alignment horizontal="center" vertical="top"/>
    </xf>
    <xf numFmtId="4" fontId="91" fillId="0" borderId="0" xfId="2" applyNumberFormat="1" applyFont="1" applyAlignment="1">
      <alignment horizontal="center" vertical="top"/>
    </xf>
    <xf numFmtId="0" fontId="139" fillId="0" borderId="0" xfId="2" applyFont="1" applyAlignment="1">
      <alignment horizontal="left" vertical="top"/>
    </xf>
    <xf numFmtId="0" fontId="139" fillId="4" borderId="0" xfId="2" applyFont="1" applyFill="1" applyAlignment="1">
      <alignment vertical="top"/>
    </xf>
    <xf numFmtId="3" fontId="91" fillId="0" borderId="0" xfId="0" applyNumberFormat="1" applyFont="1" applyAlignment="1">
      <alignment horizontal="center" vertical="top"/>
    </xf>
    <xf numFmtId="0" fontId="91" fillId="0" borderId="0" xfId="0" applyFont="1" applyAlignment="1">
      <alignment horizontal="center"/>
    </xf>
    <xf numFmtId="0" fontId="91" fillId="0" borderId="0" xfId="0" applyFont="1" applyAlignment="1">
      <alignment horizontal="left" vertical="top"/>
    </xf>
    <xf numFmtId="0" fontId="91" fillId="0" borderId="0" xfId="2" applyFont="1" applyAlignment="1">
      <alignment vertical="top"/>
    </xf>
    <xf numFmtId="0" fontId="91" fillId="0" borderId="0" xfId="0" applyFont="1" applyAlignment="1">
      <alignment horizontal="center" vertical="top"/>
    </xf>
    <xf numFmtId="0" fontId="91" fillId="0" borderId="0" xfId="0" applyFont="1" applyAlignment="1">
      <alignment horizontal="right" vertical="top"/>
    </xf>
    <xf numFmtId="3" fontId="75" fillId="0" borderId="0" xfId="0" applyNumberFormat="1" applyFont="1" applyAlignment="1">
      <alignment horizontal="center"/>
    </xf>
    <xf numFmtId="3" fontId="91" fillId="6" borderId="0" xfId="0" applyNumberFormat="1" applyFont="1" applyFill="1" applyAlignment="1">
      <alignment horizontal="center" vertical="top"/>
    </xf>
    <xf numFmtId="3" fontId="139" fillId="0" borderId="0" xfId="0" applyNumberFormat="1" applyFont="1" applyAlignment="1">
      <alignment horizontal="center" vertical="top"/>
    </xf>
    <xf numFmtId="0" fontId="75" fillId="0" borderId="0" xfId="0" applyFont="1" applyAlignment="1">
      <alignment horizontal="center"/>
    </xf>
    <xf numFmtId="0" fontId="91" fillId="0" borderId="0" xfId="0" applyFont="1" applyAlignment="1">
      <alignment horizontal="left" vertical="top" indent="13"/>
    </xf>
    <xf numFmtId="3" fontId="75" fillId="15" borderId="0" xfId="0" applyNumberFormat="1" applyFont="1" applyFill="1" applyAlignment="1">
      <alignment horizontal="center"/>
    </xf>
    <xf numFmtId="0" fontId="91" fillId="0" borderId="0" xfId="0" applyFont="1" applyAlignment="1">
      <alignment horizontal="left" vertical="top" indent="4"/>
    </xf>
    <xf numFmtId="167" fontId="91" fillId="0" borderId="0" xfId="0" applyNumberFormat="1" applyFont="1" applyAlignment="1">
      <alignment horizontal="left" vertical="top"/>
    </xf>
    <xf numFmtId="2" fontId="75" fillId="0" borderId="0" xfId="0" applyNumberFormat="1" applyFont="1"/>
    <xf numFmtId="168" fontId="75" fillId="0" borderId="0" xfId="0" applyNumberFormat="1" applyFont="1"/>
    <xf numFmtId="168" fontId="75" fillId="9" borderId="0" xfId="0" applyNumberFormat="1" applyFont="1" applyFill="1"/>
    <xf numFmtId="3" fontId="75" fillId="0" borderId="0" xfId="0" applyNumberFormat="1" applyFont="1"/>
    <xf numFmtId="4" fontId="75" fillId="0" borderId="0" xfId="0" applyNumberFormat="1" applyFont="1"/>
    <xf numFmtId="0" fontId="91" fillId="4" borderId="0" xfId="0" applyFont="1" applyFill="1" applyAlignment="1">
      <alignment horizontal="left" vertical="top"/>
    </xf>
    <xf numFmtId="0" fontId="75" fillId="4" borderId="0" xfId="0" applyFont="1" applyFill="1"/>
    <xf numFmtId="3" fontId="91" fillId="4" borderId="0" xfId="0" applyNumberFormat="1" applyFont="1" applyFill="1" applyAlignment="1">
      <alignment horizontal="center" vertical="top"/>
    </xf>
    <xf numFmtId="3" fontId="139" fillId="4" borderId="0" xfId="0" applyNumberFormat="1" applyFont="1" applyFill="1" applyAlignment="1">
      <alignment horizontal="center" vertical="top"/>
    </xf>
    <xf numFmtId="0" fontId="91" fillId="4" borderId="0" xfId="2" applyFont="1" applyFill="1" applyAlignment="1">
      <alignment vertical="top"/>
    </xf>
    <xf numFmtId="0" fontId="91" fillId="4" borderId="0" xfId="0" applyFont="1" applyFill="1" applyAlignment="1">
      <alignment horizontal="center"/>
    </xf>
    <xf numFmtId="0" fontId="91" fillId="4" borderId="0" xfId="2" applyFont="1" applyFill="1" applyAlignment="1">
      <alignment horizontal="center" vertical="top"/>
    </xf>
    <xf numFmtId="3" fontId="75" fillId="4" borderId="0" xfId="0" applyNumberFormat="1" applyFont="1" applyFill="1" applyAlignment="1">
      <alignment horizontal="center"/>
    </xf>
    <xf numFmtId="166" fontId="91" fillId="4" borderId="0" xfId="1" applyNumberFormat="1" applyFont="1" applyFill="1" applyAlignment="1">
      <alignment horizontal="center" vertical="top"/>
    </xf>
    <xf numFmtId="166" fontId="75" fillId="4" borderId="0" xfId="1" applyNumberFormat="1" applyFont="1" applyFill="1"/>
    <xf numFmtId="166" fontId="91" fillId="0" borderId="0" xfId="1" applyNumberFormat="1" applyFont="1" applyAlignment="1">
      <alignment horizontal="center" vertical="top"/>
    </xf>
    <xf numFmtId="166" fontId="75" fillId="4" borderId="0" xfId="1" applyNumberFormat="1" applyFont="1" applyFill="1" applyAlignment="1">
      <alignment horizontal="center"/>
    </xf>
    <xf numFmtId="166" fontId="75" fillId="0" borderId="0" xfId="1" applyNumberFormat="1" applyFont="1"/>
    <xf numFmtId="166" fontId="75" fillId="9" borderId="0" xfId="1" applyNumberFormat="1" applyFont="1" applyFill="1"/>
    <xf numFmtId="43" fontId="75" fillId="0" borderId="0" xfId="1" applyFont="1"/>
    <xf numFmtId="179" fontId="91" fillId="0" borderId="0" xfId="5" applyNumberFormat="1" applyFont="1" applyAlignment="1">
      <alignment horizontal="center" vertical="top"/>
    </xf>
    <xf numFmtId="0" fontId="143" fillId="7" borderId="1" xfId="0" applyFont="1" applyFill="1" applyBorder="1" applyAlignment="1">
      <alignment horizontal="right"/>
    </xf>
    <xf numFmtId="0" fontId="143" fillId="7" borderId="2" xfId="0" applyFont="1" applyFill="1" applyBorder="1" applyAlignment="1">
      <alignment horizontal="right"/>
    </xf>
    <xf numFmtId="0" fontId="143" fillId="8" borderId="2" xfId="0" applyFont="1" applyFill="1" applyBorder="1" applyAlignment="1">
      <alignment horizontal="right"/>
    </xf>
    <xf numFmtId="0" fontId="143" fillId="8" borderId="3" xfId="0" applyFont="1" applyFill="1" applyBorder="1" applyAlignment="1">
      <alignment horizontal="right"/>
    </xf>
    <xf numFmtId="0" fontId="144" fillId="0" borderId="0" xfId="0" applyFont="1"/>
    <xf numFmtId="0" fontId="91" fillId="6" borderId="0" xfId="2" applyFont="1" applyFill="1" applyAlignment="1">
      <alignment horizontal="center" vertical="top"/>
    </xf>
    <xf numFmtId="3" fontId="139" fillId="0" borderId="0" xfId="2" applyNumberFormat="1" applyFont="1" applyAlignment="1">
      <alignment horizontal="left" vertical="top"/>
    </xf>
    <xf numFmtId="169" fontId="91" fillId="0" borderId="0" xfId="0" applyNumberFormat="1" applyFont="1" applyAlignment="1">
      <alignment horizontal="left" vertical="top"/>
    </xf>
    <xf numFmtId="164" fontId="91" fillId="0" borderId="0" xfId="0" applyNumberFormat="1" applyFont="1" applyAlignment="1">
      <alignment horizontal="left" vertical="top"/>
    </xf>
    <xf numFmtId="3" fontId="75" fillId="9" borderId="0" xfId="0" applyNumberFormat="1" applyFont="1" applyFill="1"/>
    <xf numFmtId="0" fontId="0" fillId="4" borderId="0" xfId="0" applyFill="1"/>
    <xf numFmtId="0" fontId="91" fillId="25" borderId="0" xfId="0" applyFont="1" applyFill="1" applyAlignment="1">
      <alignment horizontal="right" vertical="top"/>
    </xf>
    <xf numFmtId="3" fontId="91" fillId="25" borderId="0" xfId="0" applyNumberFormat="1" applyFont="1" applyFill="1" applyAlignment="1">
      <alignment horizontal="center" vertical="top"/>
    </xf>
    <xf numFmtId="3" fontId="75"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47" fillId="0" borderId="0" xfId="1" applyNumberFormat="1" applyFont="1"/>
    <xf numFmtId="166" fontId="148" fillId="0" borderId="0" xfId="1" applyNumberFormat="1" applyFont="1"/>
    <xf numFmtId="0" fontId="148" fillId="0" borderId="0" xfId="0" applyFont="1"/>
    <xf numFmtId="166" fontId="0" fillId="9" borderId="0" xfId="1" applyNumberFormat="1" applyFont="1" applyFill="1"/>
    <xf numFmtId="0" fontId="149"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6" fillId="0" borderId="0" xfId="2" applyFont="1" applyAlignment="1">
      <alignment vertical="top"/>
    </xf>
    <xf numFmtId="3" fontId="149"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7"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6"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52" fillId="0" borderId="0" xfId="1" applyNumberFormat="1" applyFont="1"/>
    <xf numFmtId="166" fontId="153"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52" fillId="4" borderId="0" xfId="1" applyNumberFormat="1" applyFont="1" applyFill="1"/>
    <xf numFmtId="166" fontId="153"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52" fillId="0" borderId="0" xfId="1" applyNumberFormat="1" applyFont="1" applyAlignment="1">
      <alignment horizontal="center"/>
    </xf>
    <xf numFmtId="166" fontId="152" fillId="0" borderId="0" xfId="1" applyNumberFormat="1" applyFont="1" applyAlignment="1">
      <alignment horizontal="center"/>
    </xf>
    <xf numFmtId="0" fontId="154" fillId="0" borderId="0" xfId="0" applyFont="1"/>
    <xf numFmtId="0" fontId="155" fillId="0" borderId="0" xfId="2" applyFont="1" applyAlignment="1">
      <alignment horizontal="left" vertical="top"/>
    </xf>
    <xf numFmtId="0" fontId="154" fillId="0" borderId="0" xfId="2" applyFont="1" applyAlignment="1">
      <alignment horizontal="left" vertical="top"/>
    </xf>
    <xf numFmtId="0" fontId="154" fillId="0" borderId="0" xfId="2" applyFont="1" applyAlignment="1">
      <alignment horizontal="center" vertical="top"/>
    </xf>
    <xf numFmtId="0" fontId="156" fillId="0" borderId="0" xfId="2" applyFont="1" applyAlignment="1">
      <alignment horizontal="center" vertical="top"/>
    </xf>
    <xf numFmtId="3" fontId="154" fillId="0" borderId="0" xfId="2" applyNumberFormat="1" applyFont="1" applyAlignment="1">
      <alignment horizontal="center" vertical="top"/>
    </xf>
    <xf numFmtId="0" fontId="157" fillId="0" borderId="0" xfId="0" applyFont="1"/>
    <xf numFmtId="0" fontId="155" fillId="0" borderId="0" xfId="2" applyFont="1" applyAlignment="1">
      <alignment horizontal="center" vertical="top"/>
    </xf>
    <xf numFmtId="164" fontId="156" fillId="0" borderId="0" xfId="2" applyNumberFormat="1" applyFont="1" applyAlignment="1">
      <alignment horizontal="center" vertical="top"/>
    </xf>
    <xf numFmtId="164" fontId="154" fillId="0" borderId="0" xfId="2" applyNumberFormat="1" applyFont="1" applyAlignment="1">
      <alignment horizontal="center" vertical="top"/>
    </xf>
    <xf numFmtId="4" fontId="154" fillId="0" borderId="0" xfId="2" applyNumberFormat="1" applyFont="1" applyAlignment="1">
      <alignment horizontal="center" vertical="top"/>
    </xf>
    <xf numFmtId="0" fontId="154" fillId="4" borderId="0" xfId="0" applyFont="1" applyFill="1" applyAlignment="1">
      <alignment horizontal="left" vertical="top"/>
    </xf>
    <xf numFmtId="3" fontId="154" fillId="4" borderId="0" xfId="0" applyNumberFormat="1" applyFont="1" applyFill="1" applyAlignment="1">
      <alignment horizontal="center" vertical="top"/>
    </xf>
    <xf numFmtId="3" fontId="157" fillId="4" borderId="0" xfId="0" applyNumberFormat="1" applyFont="1" applyFill="1" applyAlignment="1">
      <alignment horizontal="center"/>
    </xf>
    <xf numFmtId="166" fontId="157" fillId="4" borderId="0" xfId="1" applyNumberFormat="1" applyFont="1" applyFill="1"/>
    <xf numFmtId="166" fontId="158" fillId="4" borderId="0" xfId="1" applyNumberFormat="1" applyFont="1" applyFill="1"/>
    <xf numFmtId="0" fontId="154" fillId="0" borderId="0" xfId="0" applyFont="1" applyAlignment="1">
      <alignment horizontal="left" vertical="top"/>
    </xf>
    <xf numFmtId="0" fontId="154" fillId="0" borderId="0" xfId="2" applyFont="1" applyAlignment="1">
      <alignment vertical="top"/>
    </xf>
    <xf numFmtId="3" fontId="154" fillId="0" borderId="0" xfId="0" applyNumberFormat="1" applyFont="1" applyAlignment="1">
      <alignment horizontal="center" vertical="top"/>
    </xf>
    <xf numFmtId="3" fontId="157" fillId="0" borderId="0" xfId="0" applyNumberFormat="1" applyFont="1" applyAlignment="1">
      <alignment horizontal="center"/>
    </xf>
    <xf numFmtId="166" fontId="154" fillId="0" borderId="0" xfId="1" applyNumberFormat="1" applyFont="1" applyAlignment="1">
      <alignment horizontal="center" vertical="top"/>
    </xf>
    <xf numFmtId="166" fontId="158" fillId="0" borderId="0" xfId="1" applyNumberFormat="1" applyFont="1"/>
    <xf numFmtId="0" fontId="154" fillId="0" borderId="0" xfId="0" applyFont="1" applyAlignment="1">
      <alignment horizontal="center" vertical="top"/>
    </xf>
    <xf numFmtId="0" fontId="154" fillId="0" borderId="0" xfId="0" applyFont="1" applyAlignment="1">
      <alignment horizontal="right" vertical="top"/>
    </xf>
    <xf numFmtId="164" fontId="157" fillId="0" borderId="0" xfId="0" applyNumberFormat="1" applyFont="1" applyAlignment="1">
      <alignment horizontal="center"/>
    </xf>
    <xf numFmtId="0" fontId="154" fillId="4" borderId="0" xfId="2" applyFont="1" applyFill="1" applyAlignment="1">
      <alignment vertical="top"/>
    </xf>
    <xf numFmtId="3" fontId="154" fillId="11" borderId="0" xfId="0" applyNumberFormat="1" applyFont="1" applyFill="1" applyAlignment="1">
      <alignment horizontal="center" vertical="top"/>
    </xf>
    <xf numFmtId="167" fontId="154" fillId="0" borderId="0" xfId="0" applyNumberFormat="1" applyFont="1" applyAlignment="1">
      <alignment horizontal="left" vertical="top"/>
    </xf>
    <xf numFmtId="166" fontId="154" fillId="0" borderId="0" xfId="1" applyNumberFormat="1" applyFont="1" applyAlignment="1">
      <alignment horizontal="left" vertical="top"/>
    </xf>
    <xf numFmtId="0" fontId="154" fillId="0" borderId="0" xfId="0" applyFont="1" applyAlignment="1">
      <alignment horizontal="center"/>
    </xf>
    <xf numFmtId="169" fontId="154" fillId="0" borderId="0" xfId="0" applyNumberFormat="1" applyFont="1" applyAlignment="1">
      <alignment horizontal="left" vertical="top"/>
    </xf>
    <xf numFmtId="0" fontId="154" fillId="11" borderId="0" xfId="0" applyFont="1" applyFill="1" applyAlignment="1">
      <alignment horizontal="center" vertical="top"/>
    </xf>
    <xf numFmtId="166" fontId="157" fillId="0" borderId="0" xfId="1" applyNumberFormat="1" applyFont="1"/>
    <xf numFmtId="3" fontId="159" fillId="0" borderId="0" xfId="0" applyNumberFormat="1" applyFont="1" applyAlignment="1">
      <alignment horizontal="center" vertical="top"/>
    </xf>
    <xf numFmtId="164" fontId="154" fillId="0" borderId="0" xfId="0" applyNumberFormat="1" applyFont="1" applyAlignment="1">
      <alignment horizontal="left" vertical="top"/>
    </xf>
    <xf numFmtId="164" fontId="157" fillId="0" borderId="0" xfId="0" applyNumberFormat="1" applyFont="1"/>
    <xf numFmtId="164" fontId="157" fillId="9" borderId="0" xfId="0" applyNumberFormat="1" applyFont="1" applyFill="1"/>
    <xf numFmtId="3" fontId="157" fillId="0" borderId="0" xfId="0" applyNumberFormat="1" applyFont="1"/>
    <xf numFmtId="4" fontId="157" fillId="0" borderId="0" xfId="0" applyNumberFormat="1" applyFont="1"/>
    <xf numFmtId="3" fontId="154" fillId="25" borderId="0" xfId="0" applyNumberFormat="1" applyFont="1" applyFill="1" applyAlignment="1">
      <alignment horizontal="center" vertical="top"/>
    </xf>
    <xf numFmtId="0" fontId="163" fillId="0" borderId="0" xfId="2" applyFont="1" applyAlignment="1">
      <alignment horizontal="left" vertical="top"/>
    </xf>
    <xf numFmtId="0" fontId="164" fillId="0" borderId="0" xfId="2" applyFont="1" applyAlignment="1">
      <alignment horizontal="center" vertical="top"/>
    </xf>
    <xf numFmtId="0" fontId="165" fillId="0" borderId="0" xfId="0" applyFont="1"/>
    <xf numFmtId="0" fontId="166" fillId="0" borderId="0" xfId="2" applyFont="1" applyAlignment="1">
      <alignment horizontal="left" vertical="top"/>
    </xf>
    <xf numFmtId="0" fontId="165" fillId="0" borderId="0" xfId="2" applyFont="1" applyAlignment="1">
      <alignment horizontal="left" vertical="top"/>
    </xf>
    <xf numFmtId="0" fontId="165" fillId="0" borderId="0" xfId="2" applyFont="1" applyAlignment="1">
      <alignment horizontal="center" vertical="top"/>
    </xf>
    <xf numFmtId="0" fontId="167" fillId="0" borderId="0" xfId="2" applyFont="1" applyAlignment="1">
      <alignment horizontal="center" vertical="top"/>
    </xf>
    <xf numFmtId="0" fontId="168" fillId="0" borderId="0" xfId="0" applyFont="1"/>
    <xf numFmtId="0" fontId="169" fillId="0" borderId="0" xfId="0" applyFont="1"/>
    <xf numFmtId="0" fontId="166" fillId="0" borderId="0" xfId="2" applyFont="1" applyAlignment="1">
      <alignment horizontal="center" vertical="top"/>
    </xf>
    <xf numFmtId="164" fontId="167" fillId="0" borderId="0" xfId="2" applyNumberFormat="1" applyFont="1" applyAlignment="1">
      <alignment horizontal="center" vertical="top"/>
    </xf>
    <xf numFmtId="0" fontId="170" fillId="0" borderId="0" xfId="2" applyFont="1" applyAlignment="1">
      <alignment horizontal="left" vertical="top"/>
    </xf>
    <xf numFmtId="0" fontId="170" fillId="4" borderId="0" xfId="2" applyFont="1" applyFill="1" applyAlignment="1">
      <alignment vertical="top"/>
    </xf>
    <xf numFmtId="0" fontId="169" fillId="2" borderId="0" xfId="0" applyFont="1" applyFill="1"/>
    <xf numFmtId="3" fontId="165" fillId="0" borderId="0" xfId="1" applyNumberFormat="1" applyFont="1" applyAlignment="1">
      <alignment horizontal="center" vertical="top"/>
    </xf>
    <xf numFmtId="3" fontId="165" fillId="0" borderId="0" xfId="0" applyNumberFormat="1" applyFont="1" applyAlignment="1">
      <alignment horizontal="left" vertical="top"/>
    </xf>
    <xf numFmtId="0" fontId="165" fillId="0" borderId="0" xfId="0" applyFont="1" applyAlignment="1">
      <alignment horizontal="center"/>
    </xf>
    <xf numFmtId="0" fontId="165" fillId="0" borderId="0" xfId="0" applyFont="1" applyAlignment="1">
      <alignment horizontal="left" vertical="top"/>
    </xf>
    <xf numFmtId="0" fontId="165" fillId="0" borderId="0" xfId="2" applyFont="1" applyAlignment="1">
      <alignment vertical="top"/>
    </xf>
    <xf numFmtId="43" fontId="169" fillId="0" borderId="0" xfId="1" applyFont="1"/>
    <xf numFmtId="43" fontId="165" fillId="0" borderId="0" xfId="1" applyFont="1" applyAlignment="1">
      <alignment horizontal="left" vertical="top"/>
    </xf>
    <xf numFmtId="3" fontId="165" fillId="25" borderId="0" xfId="0" applyNumberFormat="1" applyFont="1" applyFill="1" applyAlignment="1">
      <alignment horizontal="left" vertical="top"/>
    </xf>
    <xf numFmtId="3" fontId="168" fillId="0" borderId="0" xfId="0" applyNumberFormat="1" applyFont="1"/>
    <xf numFmtId="3" fontId="169" fillId="0" borderId="0" xfId="1" applyNumberFormat="1" applyFont="1" applyAlignment="1">
      <alignment horizontal="center"/>
    </xf>
    <xf numFmtId="0" fontId="165" fillId="0" borderId="0" xfId="0" applyFont="1" applyAlignment="1">
      <alignment horizontal="center" vertical="top"/>
    </xf>
    <xf numFmtId="3" fontId="173" fillId="11" borderId="0" xfId="1" applyNumberFormat="1" applyFont="1" applyFill="1" applyAlignment="1">
      <alignment horizontal="center" vertical="top"/>
    </xf>
    <xf numFmtId="3" fontId="165" fillId="25" borderId="0" xfId="1" applyNumberFormat="1" applyFont="1" applyFill="1" applyAlignment="1">
      <alignment horizontal="center" vertical="top"/>
    </xf>
    <xf numFmtId="0" fontId="165" fillId="2" borderId="0" xfId="0" applyFont="1" applyFill="1" applyAlignment="1">
      <alignment horizontal="left" vertical="top"/>
    </xf>
    <xf numFmtId="0" fontId="165" fillId="2" borderId="0" xfId="2" applyFont="1" applyFill="1" applyAlignment="1">
      <alignment vertical="top"/>
    </xf>
    <xf numFmtId="43" fontId="169" fillId="2" borderId="0" xfId="1" applyFont="1" applyFill="1"/>
    <xf numFmtId="3" fontId="165" fillId="2" borderId="0" xfId="1" applyNumberFormat="1" applyFont="1" applyFill="1" applyAlignment="1">
      <alignment horizontal="center" vertical="top"/>
    </xf>
    <xf numFmtId="3" fontId="169" fillId="0" borderId="0" xfId="0" applyNumberFormat="1" applyFont="1"/>
    <xf numFmtId="0" fontId="169" fillId="0" borderId="0" xfId="0" applyFont="1" applyAlignment="1">
      <alignment horizontal="center"/>
    </xf>
    <xf numFmtId="0" fontId="165" fillId="0" borderId="0" xfId="0" applyFont="1" applyAlignment="1">
      <alignment horizontal="right" vertical="top"/>
    </xf>
    <xf numFmtId="3" fontId="165" fillId="11" borderId="0" xfId="1" applyNumberFormat="1" applyFont="1" applyFill="1" applyAlignment="1">
      <alignment horizontal="center" vertical="top"/>
    </xf>
    <xf numFmtId="3" fontId="169" fillId="0" borderId="0" xfId="0" applyNumberFormat="1" applyFont="1" applyAlignment="1">
      <alignment horizontal="center" vertical="center"/>
    </xf>
    <xf numFmtId="164" fontId="169" fillId="0" borderId="0" xfId="0" applyNumberFormat="1" applyFont="1"/>
    <xf numFmtId="3" fontId="169" fillId="0" borderId="0" xfId="1" applyNumberFormat="1" applyFont="1"/>
    <xf numFmtId="169" fontId="169" fillId="0" borderId="0" xfId="0" applyNumberFormat="1" applyFont="1"/>
    <xf numFmtId="3" fontId="169" fillId="9" borderId="0" xfId="0" applyNumberFormat="1" applyFont="1" applyFill="1"/>
    <xf numFmtId="3" fontId="169" fillId="10" borderId="0" xfId="0" applyNumberFormat="1" applyFont="1" applyFill="1"/>
    <xf numFmtId="4" fontId="169" fillId="0" borderId="0" xfId="0" applyNumberFormat="1" applyFont="1"/>
    <xf numFmtId="2" fontId="169" fillId="0" borderId="0" xfId="0" applyNumberFormat="1" applyFont="1"/>
    <xf numFmtId="0" fontId="174" fillId="0" borderId="0" xfId="0" applyFont="1"/>
    <xf numFmtId="166" fontId="174" fillId="0" borderId="0" xfId="1" applyNumberFormat="1" applyFont="1"/>
    <xf numFmtId="166" fontId="165" fillId="25" borderId="0" xfId="1" applyNumberFormat="1" applyFont="1" applyFill="1" applyAlignment="1">
      <alignment horizontal="center" vertical="top"/>
    </xf>
    <xf numFmtId="166" fontId="169" fillId="0" borderId="0" xfId="1" applyNumberFormat="1" applyFont="1"/>
    <xf numFmtId="166" fontId="174" fillId="2" borderId="0" xfId="1" applyNumberFormat="1" applyFont="1" applyFill="1"/>
    <xf numFmtId="0" fontId="165" fillId="4" borderId="0" xfId="0" applyFont="1" applyFill="1" applyAlignment="1">
      <alignment horizontal="left" vertical="top"/>
    </xf>
    <xf numFmtId="0" fontId="169" fillId="4" borderId="0" xfId="0" applyFont="1" applyFill="1"/>
    <xf numFmtId="43" fontId="169" fillId="4" borderId="0" xfId="1" applyFont="1" applyFill="1"/>
    <xf numFmtId="43" fontId="165" fillId="4" borderId="0" xfId="1" applyFont="1" applyFill="1" applyAlignment="1">
      <alignment horizontal="left" vertical="top"/>
    </xf>
    <xf numFmtId="3" fontId="165" fillId="4" borderId="0" xfId="1" applyNumberFormat="1" applyFont="1" applyFill="1" applyAlignment="1">
      <alignment horizontal="center" vertical="top"/>
    </xf>
    <xf numFmtId="3" fontId="165" fillId="4" borderId="0" xfId="0" applyNumberFormat="1" applyFont="1" applyFill="1" applyAlignment="1">
      <alignment horizontal="left" vertical="top"/>
    </xf>
    <xf numFmtId="166" fontId="174" fillId="4" borderId="0" xfId="1" applyNumberFormat="1" applyFont="1" applyFill="1"/>
    <xf numFmtId="3" fontId="165" fillId="2" borderId="0" xfId="0" applyNumberFormat="1" applyFont="1" applyFill="1" applyAlignment="1">
      <alignment horizontal="left" vertical="top"/>
    </xf>
    <xf numFmtId="0" fontId="165" fillId="4" borderId="0" xfId="2" applyFont="1" applyFill="1" applyAlignment="1">
      <alignment horizontal="center" vertical="top"/>
    </xf>
    <xf numFmtId="43" fontId="165" fillId="4" borderId="0" xfId="1" applyFont="1" applyFill="1" applyAlignment="1">
      <alignment horizontal="center" vertical="top"/>
    </xf>
    <xf numFmtId="3" fontId="169" fillId="4" borderId="0" xfId="1" applyNumberFormat="1" applyFont="1" applyFill="1" applyAlignment="1">
      <alignment horizontal="center"/>
    </xf>
    <xf numFmtId="166" fontId="169" fillId="4" borderId="0" xfId="1" applyNumberFormat="1" applyFont="1" applyFill="1" applyAlignment="1">
      <alignment horizontal="center"/>
    </xf>
    <xf numFmtId="0" fontId="175" fillId="0" borderId="0" xfId="2" applyFont="1" applyAlignment="1">
      <alignment horizontal="left" vertical="top"/>
    </xf>
    <xf numFmtId="0" fontId="175" fillId="0" borderId="0" xfId="2" applyFont="1" applyAlignment="1">
      <alignment horizontal="center" vertical="top"/>
    </xf>
    <xf numFmtId="0" fontId="176" fillId="0" borderId="0" xfId="2" applyFont="1" applyAlignment="1">
      <alignment horizontal="center" vertical="top"/>
    </xf>
    <xf numFmtId="0" fontId="177" fillId="0" borderId="0" xfId="0" applyFont="1"/>
    <xf numFmtId="0" fontId="163" fillId="0" borderId="0" xfId="2" applyFont="1" applyAlignment="1">
      <alignment horizontal="center" vertical="top"/>
    </xf>
    <xf numFmtId="164" fontId="176" fillId="0" borderId="0" xfId="2" applyNumberFormat="1" applyFont="1" applyAlignment="1">
      <alignment horizontal="center" vertical="top"/>
    </xf>
    <xf numFmtId="164" fontId="175" fillId="0" borderId="0" xfId="2" applyNumberFormat="1" applyFont="1" applyAlignment="1">
      <alignment horizontal="center" vertical="top"/>
    </xf>
    <xf numFmtId="4" fontId="175" fillId="0" borderId="0" xfId="2" applyNumberFormat="1" applyFont="1" applyAlignment="1">
      <alignment horizontal="center" vertical="top"/>
    </xf>
    <xf numFmtId="0" fontId="178" fillId="0" borderId="0" xfId="2" applyFont="1" applyAlignment="1">
      <alignment horizontal="left" vertical="top"/>
    </xf>
    <xf numFmtId="3" fontId="175" fillId="0" borderId="0" xfId="0" applyNumberFormat="1" applyFont="1" applyAlignment="1">
      <alignment horizontal="center" vertical="top"/>
    </xf>
    <xf numFmtId="0" fontId="175" fillId="0" borderId="0" xfId="0" applyFont="1" applyAlignment="1">
      <alignment horizontal="left" vertical="top"/>
    </xf>
    <xf numFmtId="0" fontId="175" fillId="0" borderId="0" xfId="2" applyFont="1" applyAlignment="1">
      <alignment vertical="top"/>
    </xf>
    <xf numFmtId="3" fontId="177" fillId="0" borderId="0" xfId="0" applyNumberFormat="1" applyFont="1" applyAlignment="1">
      <alignment horizontal="center"/>
    </xf>
    <xf numFmtId="0" fontId="175" fillId="0" borderId="0" xfId="0" applyFont="1" applyAlignment="1">
      <alignment horizontal="center" vertical="top"/>
    </xf>
    <xf numFmtId="3" fontId="175" fillId="0" borderId="0" xfId="2" applyNumberFormat="1" applyFont="1" applyAlignment="1">
      <alignment horizontal="center" vertical="top"/>
    </xf>
    <xf numFmtId="0" fontId="175" fillId="0" borderId="0" xfId="0" applyFont="1" applyAlignment="1">
      <alignment horizontal="right" vertical="top"/>
    </xf>
    <xf numFmtId="0" fontId="177" fillId="0" borderId="0" xfId="0" applyFont="1" applyAlignment="1">
      <alignment horizontal="center"/>
    </xf>
    <xf numFmtId="0" fontId="175" fillId="0" borderId="0" xfId="0" applyFont="1" applyAlignment="1">
      <alignment horizontal="center"/>
    </xf>
    <xf numFmtId="3" fontId="177" fillId="0" borderId="0" xfId="0" applyNumberFormat="1" applyFont="1"/>
    <xf numFmtId="3" fontId="177" fillId="9" borderId="0" xfId="0" applyNumberFormat="1" applyFont="1" applyFill="1"/>
    <xf numFmtId="4" fontId="177" fillId="0" borderId="0" xfId="0" applyNumberFormat="1" applyFont="1"/>
    <xf numFmtId="164" fontId="177" fillId="0" borderId="0" xfId="0" applyNumberFormat="1" applyFont="1"/>
    <xf numFmtId="164" fontId="165" fillId="0" borderId="0" xfId="2" applyNumberFormat="1" applyFont="1" applyAlignment="1">
      <alignment horizontal="center" vertical="top"/>
    </xf>
    <xf numFmtId="4" fontId="165" fillId="0" borderId="0" xfId="2" applyNumberFormat="1" applyFont="1" applyAlignment="1">
      <alignment horizontal="center" vertical="top"/>
    </xf>
    <xf numFmtId="3" fontId="165" fillId="0" borderId="0" xfId="0" applyNumberFormat="1" applyFont="1" applyAlignment="1">
      <alignment horizontal="center" vertical="top"/>
    </xf>
    <xf numFmtId="3" fontId="169" fillId="2" borderId="0" xfId="0" applyNumberFormat="1" applyFont="1" applyFill="1" applyAlignment="1">
      <alignment horizontal="center"/>
    </xf>
    <xf numFmtId="3" fontId="169" fillId="0" borderId="0" xfId="0" applyNumberFormat="1" applyFont="1" applyAlignment="1">
      <alignment horizontal="center"/>
    </xf>
    <xf numFmtId="3" fontId="165" fillId="0" borderId="0" xfId="2" applyNumberFormat="1" applyFont="1" applyAlignment="1">
      <alignment horizontal="center" vertical="top"/>
    </xf>
    <xf numFmtId="3" fontId="169" fillId="11" borderId="0" xfId="0" applyNumberFormat="1" applyFont="1" applyFill="1" applyAlignment="1">
      <alignment horizontal="center"/>
    </xf>
    <xf numFmtId="3" fontId="165" fillId="11" borderId="0" xfId="2" applyNumberFormat="1" applyFont="1" applyFill="1" applyAlignment="1">
      <alignment horizontal="center" vertical="top"/>
    </xf>
    <xf numFmtId="3" fontId="165" fillId="4" borderId="0" xfId="0" applyNumberFormat="1" applyFont="1" applyFill="1" applyAlignment="1">
      <alignment horizontal="center" vertical="top"/>
    </xf>
    <xf numFmtId="3" fontId="169" fillId="4" borderId="0" xfId="0" applyNumberFormat="1" applyFont="1" applyFill="1" applyAlignment="1">
      <alignment horizontal="center"/>
    </xf>
    <xf numFmtId="164" fontId="169" fillId="4" borderId="0" xfId="0" applyNumberFormat="1" applyFont="1" applyFill="1"/>
    <xf numFmtId="164" fontId="21" fillId="4" borderId="0" xfId="0" applyNumberFormat="1" applyFont="1" applyFill="1" applyAlignment="1">
      <alignment horizontal="left" vertical="top"/>
    </xf>
    <xf numFmtId="0" fontId="165" fillId="4" borderId="0" xfId="2" applyFont="1" applyFill="1" applyAlignment="1">
      <alignment vertical="top"/>
    </xf>
    <xf numFmtId="3" fontId="165"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69" fillId="25" borderId="0" xfId="0" applyNumberFormat="1" applyFont="1" applyFill="1" applyAlignment="1">
      <alignment horizontal="center"/>
    </xf>
    <xf numFmtId="0" fontId="165" fillId="25" borderId="0" xfId="0" applyFont="1" applyFill="1" applyAlignment="1">
      <alignment horizontal="center" vertical="top"/>
    </xf>
    <xf numFmtId="0" fontId="11" fillId="4" borderId="0" xfId="0" applyFont="1" applyFill="1" applyAlignment="1">
      <alignment horizontal="left" vertical="top"/>
    </xf>
    <xf numFmtId="0" fontId="170" fillId="0" borderId="0" xfId="0" applyFont="1" applyAlignment="1">
      <alignment horizontal="left" vertical="top"/>
    </xf>
    <xf numFmtId="0" fontId="170" fillId="4" borderId="0" xfId="0" applyFont="1" applyFill="1" applyAlignment="1">
      <alignment horizontal="left" vertical="top"/>
    </xf>
    <xf numFmtId="0" fontId="174" fillId="4" borderId="0" xfId="0" applyFont="1" applyFill="1"/>
    <xf numFmtId="166" fontId="165" fillId="4" borderId="0" xfId="1" applyNumberFormat="1" applyFont="1" applyFill="1" applyAlignment="1">
      <alignment horizontal="left" vertical="top"/>
    </xf>
    <xf numFmtId="166" fontId="165" fillId="0" borderId="0" xfId="1" applyNumberFormat="1" applyFont="1" applyAlignment="1">
      <alignment horizontal="left" vertical="top"/>
    </xf>
    <xf numFmtId="166" fontId="169" fillId="4" borderId="0" xfId="1" applyNumberFormat="1" applyFont="1" applyFill="1"/>
    <xf numFmtId="3" fontId="169" fillId="26" borderId="0" xfId="0" applyNumberFormat="1" applyFont="1" applyFill="1"/>
    <xf numFmtId="4" fontId="169" fillId="21" borderId="0" xfId="0" applyNumberFormat="1" applyFont="1" applyFill="1"/>
    <xf numFmtId="3" fontId="165" fillId="21" borderId="0" xfId="2" applyNumberFormat="1" applyFont="1" applyFill="1" applyAlignment="1">
      <alignment horizontal="center" vertical="top"/>
    </xf>
    <xf numFmtId="0" fontId="175" fillId="3" borderId="0" xfId="0" applyFont="1" applyFill="1" applyAlignment="1">
      <alignment horizontal="left" vertical="top"/>
    </xf>
    <xf numFmtId="3" fontId="175" fillId="3" borderId="0" xfId="0" applyNumberFormat="1" applyFont="1" applyFill="1" applyAlignment="1">
      <alignment horizontal="center" vertical="top"/>
    </xf>
    <xf numFmtId="169" fontId="175" fillId="0" borderId="0" xfId="0" applyNumberFormat="1" applyFont="1" applyAlignment="1">
      <alignment horizontal="left" vertical="top"/>
    </xf>
    <xf numFmtId="166" fontId="165" fillId="0" borderId="0" xfId="1" applyNumberFormat="1" applyFont="1" applyAlignment="1">
      <alignment horizontal="center" vertical="top"/>
    </xf>
    <xf numFmtId="3" fontId="169" fillId="0" borderId="0" xfId="0" applyNumberFormat="1" applyFont="1" applyAlignment="1">
      <alignment horizontal="center" vertical="top"/>
    </xf>
    <xf numFmtId="166" fontId="169" fillId="0" borderId="0" xfId="1" applyNumberFormat="1" applyFont="1" applyAlignment="1">
      <alignment horizontal="center"/>
    </xf>
    <xf numFmtId="169" fontId="165" fillId="0" borderId="0" xfId="0" applyNumberFormat="1" applyFont="1" applyAlignment="1">
      <alignment horizontal="left" vertical="top"/>
    </xf>
    <xf numFmtId="3" fontId="180" fillId="7" borderId="1" xfId="0" applyNumberFormat="1" applyFont="1" applyFill="1" applyBorder="1" applyAlignment="1">
      <alignment horizontal="right"/>
    </xf>
    <xf numFmtId="3" fontId="180" fillId="7" borderId="2" xfId="0" applyNumberFormat="1" applyFont="1" applyFill="1" applyBorder="1" applyAlignment="1">
      <alignment horizontal="right"/>
    </xf>
    <xf numFmtId="3" fontId="180" fillId="8" borderId="2" xfId="0" applyNumberFormat="1" applyFont="1" applyFill="1" applyBorder="1" applyAlignment="1">
      <alignment horizontal="right"/>
    </xf>
    <xf numFmtId="3" fontId="180" fillId="8" borderId="3" xfId="0" applyNumberFormat="1" applyFont="1" applyFill="1" applyBorder="1" applyAlignment="1">
      <alignment horizontal="right"/>
    </xf>
    <xf numFmtId="3" fontId="169" fillId="4" borderId="0" xfId="0" applyNumberFormat="1" applyFont="1" applyFill="1" applyAlignment="1">
      <alignment horizontal="center" vertical="top"/>
    </xf>
    <xf numFmtId="166" fontId="165" fillId="4" borderId="0" xfId="1" applyNumberFormat="1" applyFont="1" applyFill="1" applyAlignment="1">
      <alignment horizontal="center" vertical="top"/>
    </xf>
    <xf numFmtId="0" fontId="181" fillId="0" borderId="0" xfId="2" applyFont="1" applyAlignment="1">
      <alignment horizontal="left" vertical="top"/>
    </xf>
    <xf numFmtId="0" fontId="181" fillId="0" borderId="0" xfId="2" applyFont="1" applyAlignment="1">
      <alignment horizontal="center" vertical="top"/>
    </xf>
    <xf numFmtId="0" fontId="71" fillId="4" borderId="0" xfId="0" applyFont="1" applyFill="1"/>
    <xf numFmtId="0" fontId="169" fillId="0" borderId="7" xfId="0" applyFont="1" applyBorder="1"/>
    <xf numFmtId="0" fontId="165" fillId="0" borderId="8" xfId="0" applyFont="1" applyBorder="1" applyAlignment="1">
      <alignment horizontal="center" vertical="top"/>
    </xf>
    <xf numFmtId="0" fontId="170" fillId="0" borderId="8" xfId="2" applyFont="1" applyBorder="1" applyAlignment="1">
      <alignment horizontal="left" vertical="top"/>
    </xf>
    <xf numFmtId="0" fontId="169" fillId="0" borderId="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75" fillId="4" borderId="0" xfId="0" applyFont="1" applyFill="1" applyAlignment="1">
      <alignment horizontal="left" vertical="top"/>
    </xf>
    <xf numFmtId="3" fontId="175" fillId="4" borderId="0" xfId="2" applyNumberFormat="1" applyFont="1" applyFill="1" applyAlignment="1">
      <alignment horizontal="center" vertical="top"/>
    </xf>
    <xf numFmtId="3" fontId="175" fillId="4" borderId="0" xfId="2" applyNumberFormat="1" applyFont="1" applyFill="1" applyAlignment="1">
      <alignment vertical="top"/>
    </xf>
    <xf numFmtId="3" fontId="175" fillId="0" borderId="0" xfId="1" applyNumberFormat="1" applyFont="1" applyAlignment="1">
      <alignment horizontal="center" vertical="top"/>
    </xf>
    <xf numFmtId="3" fontId="175" fillId="0" borderId="0" xfId="0" applyNumberFormat="1" applyFont="1" applyAlignment="1">
      <alignment vertical="top"/>
    </xf>
    <xf numFmtId="3" fontId="175" fillId="11" borderId="0" xfId="1" applyNumberFormat="1" applyFont="1" applyFill="1" applyAlignment="1">
      <alignment horizontal="center" vertical="top"/>
    </xf>
    <xf numFmtId="3" fontId="175" fillId="0" borderId="0" xfId="1" applyNumberFormat="1" applyFont="1" applyAlignment="1">
      <alignment vertical="top"/>
    </xf>
    <xf numFmtId="3" fontId="177" fillId="0" borderId="0" xfId="1" applyNumberFormat="1" applyFont="1" applyAlignment="1">
      <alignment horizontal="center"/>
    </xf>
    <xf numFmtId="0" fontId="175" fillId="3" borderId="0" xfId="2" applyFont="1" applyFill="1" applyAlignment="1">
      <alignment vertical="top"/>
    </xf>
    <xf numFmtId="3" fontId="175" fillId="3" borderId="0" xfId="1" applyNumberFormat="1" applyFont="1" applyFill="1" applyAlignment="1">
      <alignment horizontal="center" vertical="top"/>
    </xf>
    <xf numFmtId="3" fontId="175" fillId="3" borderId="0" xfId="0" applyNumberFormat="1" applyFont="1" applyFill="1" applyAlignment="1">
      <alignment vertical="top"/>
    </xf>
    <xf numFmtId="0" fontId="176" fillId="0" borderId="0" xfId="2" applyFont="1" applyAlignment="1">
      <alignment vertical="top"/>
    </xf>
    <xf numFmtId="0" fontId="175" fillId="4" borderId="0" xfId="0" applyFont="1" applyFill="1" applyAlignment="1">
      <alignment horizontal="center"/>
    </xf>
    <xf numFmtId="3" fontId="177" fillId="4" borderId="0" xfId="1" applyNumberFormat="1" applyFont="1" applyFill="1" applyAlignment="1">
      <alignment horizontal="center"/>
    </xf>
    <xf numFmtId="3" fontId="177" fillId="4" borderId="0" xfId="1" applyNumberFormat="1" applyFont="1" applyFill="1"/>
    <xf numFmtId="3" fontId="175" fillId="4" borderId="0" xfId="1" applyNumberFormat="1" applyFont="1" applyFill="1" applyAlignment="1">
      <alignment horizontal="center" vertical="top"/>
    </xf>
    <xf numFmtId="3" fontId="175" fillId="4" borderId="0" xfId="0" applyNumberFormat="1" applyFont="1" applyFill="1" applyAlignment="1">
      <alignment vertical="top"/>
    </xf>
    <xf numFmtId="3" fontId="175" fillId="4" borderId="0" xfId="0" applyNumberFormat="1" applyFont="1" applyFill="1" applyAlignment="1">
      <alignment horizontal="center" vertical="top"/>
    </xf>
    <xf numFmtId="3" fontId="175" fillId="6" borderId="0" xfId="1" applyNumberFormat="1" applyFont="1" applyFill="1" applyAlignment="1">
      <alignment horizontal="center" vertical="top"/>
    </xf>
    <xf numFmtId="0" fontId="175" fillId="0" borderId="0" xfId="0" applyFont="1" applyAlignment="1">
      <alignment horizontal="left" vertical="top" indent="12"/>
    </xf>
    <xf numFmtId="3" fontId="175" fillId="0" borderId="0" xfId="0" applyNumberFormat="1" applyFont="1" applyAlignment="1">
      <alignment horizontal="left" vertical="top"/>
    </xf>
    <xf numFmtId="169" fontId="177" fillId="9" borderId="0" xfId="0" applyNumberFormat="1" applyFont="1" applyFill="1"/>
    <xf numFmtId="169" fontId="177" fillId="0" borderId="0" xfId="0" applyNumberFormat="1" applyFont="1"/>
    <xf numFmtId="43" fontId="177" fillId="0" borderId="0" xfId="0" applyNumberFormat="1" applyFont="1"/>
    <xf numFmtId="2" fontId="177" fillId="0" borderId="0" xfId="0" applyNumberFormat="1" applyFont="1"/>
    <xf numFmtId="0" fontId="177" fillId="0" borderId="12" xfId="0" applyFont="1" applyBorder="1"/>
    <xf numFmtId="0" fontId="177" fillId="0" borderId="10" xfId="0" applyFont="1" applyBorder="1"/>
    <xf numFmtId="0" fontId="177" fillId="0" borderId="11" xfId="0" applyFont="1" applyBorder="1"/>
    <xf numFmtId="166" fontId="177" fillId="0" borderId="0" xfId="1" applyNumberFormat="1" applyFont="1"/>
    <xf numFmtId="0" fontId="182" fillId="0" borderId="0" xfId="0" applyFont="1"/>
    <xf numFmtId="4" fontId="179" fillId="7" borderId="2" xfId="0" applyNumberFormat="1" applyFont="1" applyFill="1" applyBorder="1" applyAlignment="1">
      <alignment horizontal="right"/>
    </xf>
    <xf numFmtId="4" fontId="179" fillId="8" borderId="2" xfId="0" applyNumberFormat="1" applyFont="1" applyFill="1" applyBorder="1" applyAlignment="1">
      <alignment horizontal="right"/>
    </xf>
    <xf numFmtId="0" fontId="183" fillId="0" borderId="0" xfId="0" applyFont="1"/>
    <xf numFmtId="3" fontId="169" fillId="2" borderId="0" xfId="0" applyNumberFormat="1" applyFont="1" applyFill="1" applyAlignment="1">
      <alignment horizontal="center" vertical="top"/>
    </xf>
    <xf numFmtId="0" fontId="165" fillId="2" borderId="0" xfId="2" applyFont="1" applyFill="1" applyAlignment="1">
      <alignment horizontal="center" vertical="top"/>
    </xf>
    <xf numFmtId="0" fontId="170" fillId="2" borderId="0" xfId="0" applyFont="1" applyFill="1" applyAlignment="1">
      <alignment horizontal="left" vertical="top"/>
    </xf>
    <xf numFmtId="3" fontId="165" fillId="11" borderId="0" xfId="0" applyNumberFormat="1" applyFont="1" applyFill="1" applyAlignment="1">
      <alignment horizontal="center" vertical="top"/>
    </xf>
    <xf numFmtId="0" fontId="169" fillId="9" borderId="0" xfId="0" applyFont="1" applyFill="1"/>
    <xf numFmtId="166" fontId="169" fillId="9" borderId="0" xfId="1" applyNumberFormat="1" applyFont="1" applyFill="1"/>
    <xf numFmtId="4" fontId="180" fillId="7" borderId="1" xfId="0" applyNumberFormat="1" applyFont="1" applyFill="1" applyBorder="1" applyAlignment="1">
      <alignment horizontal="right"/>
    </xf>
    <xf numFmtId="4" fontId="180" fillId="7" borderId="2" xfId="0" applyNumberFormat="1" applyFont="1" applyFill="1" applyBorder="1" applyAlignment="1">
      <alignment horizontal="right"/>
    </xf>
    <xf numFmtId="4" fontId="180" fillId="8" borderId="2" xfId="0" applyNumberFormat="1" applyFont="1" applyFill="1" applyBorder="1" applyAlignment="1">
      <alignment horizontal="right"/>
    </xf>
    <xf numFmtId="4" fontId="180" fillId="8" borderId="3" xfId="0" applyNumberFormat="1" applyFont="1" applyFill="1" applyBorder="1" applyAlignment="1">
      <alignment horizontal="right"/>
    </xf>
    <xf numFmtId="1" fontId="169"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1" fillId="0" borderId="0" xfId="0" applyFont="1"/>
    <xf numFmtId="0" fontId="56" fillId="2" borderId="0" xfId="0" applyFont="1" applyFill="1" applyAlignment="1">
      <alignment horizontal="center"/>
    </xf>
    <xf numFmtId="0" fontId="55" fillId="0" borderId="0" xfId="0" applyFont="1"/>
    <xf numFmtId="0" fontId="97"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1" fillId="0" borderId="0" xfId="2" applyNumberFormat="1" applyFont="1" applyAlignment="1">
      <alignment horizontal="center" vertical="top"/>
    </xf>
    <xf numFmtId="3" fontId="91" fillId="11" borderId="0" xfId="0" applyNumberFormat="1" applyFont="1" applyFill="1" applyAlignment="1">
      <alignment horizontal="center" vertical="top"/>
    </xf>
    <xf numFmtId="3" fontId="91" fillId="0" borderId="0" xfId="0" applyNumberFormat="1" applyFont="1" applyAlignment="1">
      <alignment horizontal="left" vertical="top"/>
    </xf>
    <xf numFmtId="3" fontId="75" fillId="6" borderId="0" xfId="0" applyNumberFormat="1" applyFont="1" applyFill="1"/>
    <xf numFmtId="3" fontId="91" fillId="4" borderId="0" xfId="2" applyNumberFormat="1" applyFont="1" applyFill="1" applyAlignment="1">
      <alignment horizontal="center" vertical="top"/>
    </xf>
    <xf numFmtId="3" fontId="75" fillId="4" borderId="0" xfId="0" applyNumberFormat="1" applyFont="1" applyFill="1"/>
    <xf numFmtId="3" fontId="55" fillId="0" borderId="0" xfId="0" applyNumberFormat="1" applyFont="1" applyAlignment="1">
      <alignment horizontal="center" vertical="top"/>
    </xf>
    <xf numFmtId="0" fontId="152"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52"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85" fillId="4" borderId="0" xfId="0" applyNumberFormat="1" applyFont="1" applyFill="1" applyAlignment="1">
      <alignment horizontal="center" vertical="top"/>
    </xf>
    <xf numFmtId="0" fontId="187" fillId="0" borderId="0" xfId="2" applyFont="1" applyAlignment="1">
      <alignment horizontal="left" vertical="top"/>
    </xf>
    <xf numFmtId="0" fontId="188" fillId="0" borderId="0" xfId="2" applyFont="1" applyAlignment="1">
      <alignment horizontal="left" vertical="top"/>
    </xf>
    <xf numFmtId="0" fontId="188" fillId="0" borderId="0" xfId="2" applyFont="1" applyAlignment="1">
      <alignment horizontal="center" vertical="top"/>
    </xf>
    <xf numFmtId="0" fontId="189" fillId="0" borderId="0" xfId="2" applyFont="1" applyAlignment="1">
      <alignment horizontal="center" vertical="top"/>
    </xf>
    <xf numFmtId="0" fontId="190" fillId="0" borderId="0" xfId="0" applyFont="1"/>
    <xf numFmtId="0" fontId="187" fillId="0" borderId="0" xfId="2" applyFont="1" applyAlignment="1">
      <alignment horizontal="center" vertical="top"/>
    </xf>
    <xf numFmtId="164" fontId="189" fillId="0" borderId="0" xfId="2" applyNumberFormat="1" applyFont="1" applyAlignment="1">
      <alignment horizontal="center" vertical="top"/>
    </xf>
    <xf numFmtId="164" fontId="188" fillId="0" borderId="0" xfId="2" applyNumberFormat="1" applyFont="1" applyAlignment="1">
      <alignment horizontal="center" vertical="top"/>
    </xf>
    <xf numFmtId="4" fontId="188" fillId="0" borderId="0" xfId="2" applyNumberFormat="1" applyFont="1" applyAlignment="1">
      <alignment horizontal="center" vertical="top"/>
    </xf>
    <xf numFmtId="0" fontId="191" fillId="0" borderId="0" xfId="2" applyFont="1" applyAlignment="1">
      <alignment horizontal="left" vertical="top"/>
    </xf>
    <xf numFmtId="0" fontId="188" fillId="0" borderId="0" xfId="0" applyFont="1" applyAlignment="1">
      <alignment horizontal="left" vertical="top"/>
    </xf>
    <xf numFmtId="0" fontId="188" fillId="0" borderId="0" xfId="2" applyFont="1" applyAlignment="1">
      <alignment vertical="top"/>
    </xf>
    <xf numFmtId="3" fontId="190" fillId="0" borderId="0" xfId="0" applyNumberFormat="1" applyFont="1" applyAlignment="1">
      <alignment horizontal="center"/>
    </xf>
    <xf numFmtId="3" fontId="188" fillId="0" borderId="0" xfId="0" applyNumberFormat="1" applyFont="1" applyAlignment="1">
      <alignment horizontal="center" vertical="top"/>
    </xf>
    <xf numFmtId="3" fontId="190" fillId="0" borderId="0" xfId="0" applyNumberFormat="1" applyFont="1"/>
    <xf numFmtId="0" fontId="188" fillId="0" borderId="0" xfId="0" applyFont="1" applyAlignment="1">
      <alignment horizontal="center" vertical="top"/>
    </xf>
    <xf numFmtId="0" fontId="188" fillId="0" borderId="0" xfId="0" applyFont="1" applyAlignment="1">
      <alignment horizontal="right" vertical="top"/>
    </xf>
    <xf numFmtId="167" fontId="190" fillId="0" borderId="0" xfId="0" applyNumberFormat="1" applyFont="1"/>
    <xf numFmtId="4" fontId="193" fillId="7" borderId="1" xfId="0" applyNumberFormat="1" applyFont="1" applyFill="1" applyBorder="1" applyAlignment="1">
      <alignment horizontal="right"/>
    </xf>
    <xf numFmtId="4" fontId="193" fillId="7" borderId="2" xfId="0" applyNumberFormat="1" applyFont="1" applyFill="1" applyBorder="1" applyAlignment="1">
      <alignment horizontal="right"/>
    </xf>
    <xf numFmtId="4" fontId="193" fillId="8" borderId="2" xfId="0" applyNumberFormat="1" applyFont="1" applyFill="1" applyBorder="1" applyAlignment="1">
      <alignment horizontal="right"/>
    </xf>
    <xf numFmtId="4" fontId="193" fillId="8" borderId="3" xfId="0" applyNumberFormat="1" applyFont="1" applyFill="1" applyBorder="1" applyAlignment="1">
      <alignment horizontal="right"/>
    </xf>
    <xf numFmtId="1" fontId="190" fillId="0" borderId="0" xfId="0" applyNumberFormat="1" applyFont="1"/>
    <xf numFmtId="0" fontId="188" fillId="4" borderId="0" xfId="0" applyFont="1" applyFill="1" applyAlignment="1">
      <alignment horizontal="left" vertical="top"/>
    </xf>
    <xf numFmtId="0" fontId="190" fillId="4" borderId="0" xfId="0" applyFont="1" applyFill="1"/>
    <xf numFmtId="3" fontId="190" fillId="4" borderId="0" xfId="0" applyNumberFormat="1" applyFont="1" applyFill="1" applyAlignment="1">
      <alignment horizontal="center"/>
    </xf>
    <xf numFmtId="3" fontId="188" fillId="4" borderId="0" xfId="0" applyNumberFormat="1" applyFont="1" applyFill="1" applyAlignment="1">
      <alignment horizontal="center" vertical="top"/>
    </xf>
    <xf numFmtId="0" fontId="188" fillId="4" borderId="0" xfId="2" applyFont="1" applyFill="1" applyAlignment="1">
      <alignment vertical="top"/>
    </xf>
    <xf numFmtId="3" fontId="188" fillId="25" borderId="0" xfId="0" applyNumberFormat="1" applyFont="1" applyFill="1" applyAlignment="1">
      <alignment horizontal="center" vertical="top"/>
    </xf>
    <xf numFmtId="0" fontId="177" fillId="4" borderId="0" xfId="0" applyFont="1" applyFill="1"/>
    <xf numFmtId="166" fontId="190" fillId="4" borderId="0" xfId="1" applyNumberFormat="1" applyFont="1" applyFill="1"/>
    <xf numFmtId="166" fontId="190" fillId="0" borderId="0" xfId="1" applyNumberFormat="1" applyFont="1"/>
    <xf numFmtId="166" fontId="188" fillId="0" borderId="0" xfId="1" applyNumberFormat="1" applyFont="1" applyAlignment="1">
      <alignment horizontal="left" vertical="top"/>
    </xf>
    <xf numFmtId="166" fontId="190" fillId="25" borderId="0" xfId="1" applyNumberFormat="1" applyFont="1" applyFill="1"/>
    <xf numFmtId="0" fontId="188" fillId="25" borderId="0" xfId="0" applyFont="1" applyFill="1" applyAlignment="1">
      <alignment horizontal="left" vertical="top"/>
    </xf>
    <xf numFmtId="166" fontId="190" fillId="26" borderId="0" xfId="1" applyNumberFormat="1" applyFont="1" applyFill="1"/>
    <xf numFmtId="166" fontId="190" fillId="0" borderId="0" xfId="0" applyNumberFormat="1" applyFont="1"/>
    <xf numFmtId="180" fontId="190" fillId="0" borderId="0" xfId="5" applyNumberFormat="1" applyFont="1"/>
    <xf numFmtId="10" fontId="190" fillId="0" borderId="0" xfId="5" applyNumberFormat="1" applyFont="1"/>
    <xf numFmtId="0" fontId="190"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36" fillId="0" borderId="0" xfId="2" applyFont="1" applyAlignment="1">
      <alignment horizontal="left" vertical="top"/>
    </xf>
    <xf numFmtId="0" fontId="136" fillId="0" borderId="0" xfId="2" applyFont="1" applyAlignment="1">
      <alignment horizontal="center" vertical="top"/>
    </xf>
    <xf numFmtId="167" fontId="175" fillId="0" borderId="0" xfId="0" applyNumberFormat="1" applyFont="1" applyAlignment="1">
      <alignment horizontal="left" vertical="top"/>
    </xf>
    <xf numFmtId="0" fontId="179" fillId="0" borderId="1" xfId="0" applyFont="1" applyBorder="1" applyAlignment="1">
      <alignment horizontal="right"/>
    </xf>
    <xf numFmtId="0" fontId="179" fillId="0" borderId="2" xfId="0" applyFont="1" applyBorder="1" applyAlignment="1">
      <alignment horizontal="right"/>
    </xf>
    <xf numFmtId="0" fontId="179" fillId="7" borderId="2" xfId="0" applyFont="1" applyFill="1" applyBorder="1" applyAlignment="1">
      <alignment horizontal="right"/>
    </xf>
    <xf numFmtId="0" fontId="175" fillId="25" borderId="0" xfId="0" applyFont="1" applyFill="1" applyAlignment="1">
      <alignment horizontal="left" vertical="top"/>
    </xf>
    <xf numFmtId="0" fontId="175" fillId="25" borderId="0" xfId="2" applyFont="1" applyFill="1" applyAlignment="1">
      <alignment vertical="top"/>
    </xf>
    <xf numFmtId="3" fontId="177" fillId="4" borderId="0" xfId="0" applyNumberFormat="1" applyFont="1" applyFill="1" applyAlignment="1">
      <alignment horizontal="center"/>
    </xf>
    <xf numFmtId="164" fontId="165" fillId="0" borderId="0" xfId="0" applyNumberFormat="1" applyFont="1" applyAlignment="1">
      <alignment horizontal="left" vertical="top"/>
    </xf>
    <xf numFmtId="3" fontId="169" fillId="4" borderId="0" xfId="0" applyNumberFormat="1" applyFont="1" applyFill="1"/>
    <xf numFmtId="0" fontId="165" fillId="25" borderId="0" xfId="0" applyFont="1" applyFill="1" applyAlignment="1">
      <alignment horizontal="left" vertical="top"/>
    </xf>
    <xf numFmtId="0" fontId="165" fillId="25" borderId="0" xfId="2" applyFont="1" applyFill="1" applyAlignment="1">
      <alignment vertical="top"/>
    </xf>
    <xf numFmtId="3" fontId="169" fillId="25" borderId="0" xfId="0" applyNumberFormat="1" applyFont="1" applyFill="1" applyAlignment="1">
      <alignment horizontal="center" vertical="top"/>
    </xf>
    <xf numFmtId="166" fontId="106" fillId="0" borderId="0" xfId="1" applyNumberFormat="1" applyFont="1"/>
    <xf numFmtId="166" fontId="175" fillId="4" borderId="0" xfId="1" applyNumberFormat="1" applyFont="1" applyFill="1" applyAlignment="1">
      <alignment horizontal="center" vertical="top"/>
    </xf>
    <xf numFmtId="166" fontId="177" fillId="4" borderId="0" xfId="1" applyNumberFormat="1" applyFont="1" applyFill="1"/>
    <xf numFmtId="166" fontId="175" fillId="0" borderId="0" xfId="1" applyNumberFormat="1" applyFont="1" applyAlignment="1">
      <alignment horizontal="center" vertical="top"/>
    </xf>
    <xf numFmtId="166" fontId="177" fillId="0" borderId="0" xfId="1" applyNumberFormat="1" applyFont="1" applyAlignment="1">
      <alignment horizontal="center"/>
    </xf>
    <xf numFmtId="166" fontId="175" fillId="0" borderId="0" xfId="1" applyNumberFormat="1" applyFont="1" applyAlignment="1">
      <alignment horizontal="left" vertical="top"/>
    </xf>
    <xf numFmtId="166" fontId="179" fillId="8" borderId="2" xfId="1" applyNumberFormat="1" applyFont="1" applyFill="1" applyBorder="1" applyAlignment="1">
      <alignment horizontal="right"/>
    </xf>
    <xf numFmtId="166" fontId="179" fillId="8" borderId="3" xfId="1" applyNumberFormat="1" applyFont="1" applyFill="1" applyBorder="1" applyAlignment="1">
      <alignment horizontal="right"/>
    </xf>
    <xf numFmtId="0" fontId="158" fillId="0" borderId="0" xfId="0" applyFont="1"/>
    <xf numFmtId="0" fontId="158" fillId="4" borderId="0" xfId="0" applyFont="1" applyFill="1"/>
    <xf numFmtId="0" fontId="198" fillId="0" borderId="0" xfId="2" applyFont="1" applyAlignment="1">
      <alignment horizontal="left" vertical="top"/>
    </xf>
    <xf numFmtId="0" fontId="198" fillId="0" borderId="0" xfId="2" applyFont="1" applyAlignment="1">
      <alignment horizontal="center" vertical="top"/>
    </xf>
    <xf numFmtId="0" fontId="199" fillId="0" borderId="0" xfId="2" applyFont="1" applyAlignment="1">
      <alignment horizontal="left" vertical="top"/>
    </xf>
    <xf numFmtId="0" fontId="157" fillId="4" borderId="0" xfId="0" applyFont="1" applyFill="1"/>
    <xf numFmtId="3" fontId="157" fillId="4" borderId="0" xfId="0" applyNumberFormat="1" applyFont="1" applyFill="1" applyAlignment="1">
      <alignment horizontal="center" vertical="top"/>
    </xf>
    <xf numFmtId="166" fontId="154" fillId="4" borderId="0" xfId="1" applyNumberFormat="1" applyFont="1" applyFill="1" applyAlignment="1">
      <alignment horizontal="center" vertical="top"/>
    </xf>
    <xf numFmtId="3" fontId="157" fillId="0" borderId="0" xfId="0" applyNumberFormat="1" applyFont="1" applyAlignment="1">
      <alignment horizontal="center" vertical="top"/>
    </xf>
    <xf numFmtId="166" fontId="157" fillId="0" borderId="0" xfId="1" applyNumberFormat="1" applyFont="1" applyAlignment="1">
      <alignment horizontal="center"/>
    </xf>
    <xf numFmtId="0" fontId="157" fillId="25" borderId="0" xfId="0" applyFont="1" applyFill="1"/>
    <xf numFmtId="0" fontId="154" fillId="25" borderId="0" xfId="0" applyFont="1" applyFill="1" applyAlignment="1">
      <alignment horizontal="left" vertical="top"/>
    </xf>
    <xf numFmtId="0" fontId="154" fillId="25" borderId="0" xfId="2" applyFont="1" applyFill="1" applyAlignment="1">
      <alignment vertical="top"/>
    </xf>
    <xf numFmtId="2" fontId="157" fillId="0" borderId="0" xfId="0" applyNumberFormat="1" applyFont="1"/>
    <xf numFmtId="0" fontId="157" fillId="0" borderId="0" xfId="0" applyFont="1" applyAlignment="1">
      <alignment horizontal="left" vertical="top"/>
    </xf>
    <xf numFmtId="175" fontId="157" fillId="0" borderId="0" xfId="0" applyNumberFormat="1" applyFont="1" applyAlignment="1">
      <alignment horizontal="left" vertical="top"/>
    </xf>
    <xf numFmtId="3" fontId="157" fillId="0" borderId="0" xfId="0" applyNumberFormat="1" applyFont="1" applyAlignment="1">
      <alignment horizontal="left" vertical="top"/>
    </xf>
    <xf numFmtId="166" fontId="157" fillId="0" borderId="0" xfId="1" applyNumberFormat="1" applyFont="1" applyAlignment="1">
      <alignment horizontal="left" vertical="top"/>
    </xf>
    <xf numFmtId="3" fontId="157" fillId="9" borderId="0" xfId="0" applyNumberFormat="1" applyFont="1" applyFill="1"/>
    <xf numFmtId="166" fontId="157" fillId="21" borderId="0" xfId="1" applyNumberFormat="1" applyFont="1" applyFill="1"/>
    <xf numFmtId="166" fontId="154" fillId="25" borderId="0" xfId="1" applyNumberFormat="1" applyFont="1" applyFill="1" applyAlignment="1">
      <alignment horizontal="center" vertical="top"/>
    </xf>
    <xf numFmtId="0" fontId="200" fillId="0" borderId="0" xfId="0" applyFont="1"/>
    <xf numFmtId="0" fontId="201" fillId="0" borderId="0" xfId="2" applyFont="1" applyAlignment="1">
      <alignment horizontal="left" vertical="top"/>
    </xf>
    <xf numFmtId="0" fontId="201" fillId="0" borderId="0" xfId="2" applyFont="1" applyAlignment="1">
      <alignment horizontal="center" vertical="top"/>
    </xf>
    <xf numFmtId="0" fontId="202" fillId="0" borderId="0" xfId="2" applyFont="1" applyAlignment="1">
      <alignment horizontal="center" vertical="top"/>
    </xf>
    <xf numFmtId="0" fontId="203" fillId="0" borderId="0" xfId="0" applyFont="1"/>
    <xf numFmtId="164" fontId="202" fillId="0" borderId="0" xfId="2" applyNumberFormat="1" applyFont="1" applyAlignment="1">
      <alignment horizontal="center" vertical="top"/>
    </xf>
    <xf numFmtId="164" fontId="201" fillId="0" borderId="0" xfId="2" applyNumberFormat="1" applyFont="1" applyAlignment="1">
      <alignment horizontal="center" vertical="top"/>
    </xf>
    <xf numFmtId="4" fontId="201" fillId="0" borderId="0" xfId="2" applyNumberFormat="1" applyFont="1" applyAlignment="1">
      <alignment horizontal="center" vertical="top"/>
    </xf>
    <xf numFmtId="0" fontId="201" fillId="0" borderId="0" xfId="0" applyFont="1" applyAlignment="1">
      <alignment horizontal="center"/>
    </xf>
    <xf numFmtId="0" fontId="201" fillId="0" borderId="0" xfId="0" applyFont="1" applyAlignment="1">
      <alignment horizontal="left" vertical="top"/>
    </xf>
    <xf numFmtId="0" fontId="201" fillId="0" borderId="0" xfId="2" applyFont="1" applyAlignment="1">
      <alignment vertical="top"/>
    </xf>
    <xf numFmtId="0" fontId="201" fillId="0" borderId="0" xfId="0" applyFont="1" applyAlignment="1">
      <alignment horizontal="center" vertical="top"/>
    </xf>
    <xf numFmtId="0" fontId="201" fillId="0" borderId="0" xfId="0" applyFont="1" applyAlignment="1">
      <alignment horizontal="right" vertical="top"/>
    </xf>
    <xf numFmtId="0" fontId="202" fillId="0" borderId="0" xfId="2" applyFont="1" applyAlignment="1">
      <alignment vertical="top"/>
    </xf>
    <xf numFmtId="0" fontId="205" fillId="0" borderId="0" xfId="0" applyFont="1" applyAlignment="1">
      <alignment horizontal="center"/>
    </xf>
    <xf numFmtId="0" fontId="203" fillId="0" borderId="0" xfId="0" applyFont="1" applyAlignment="1">
      <alignment horizontal="center"/>
    </xf>
    <xf numFmtId="164" fontId="203" fillId="0" borderId="0" xfId="0" applyNumberFormat="1" applyFont="1"/>
    <xf numFmtId="3" fontId="203" fillId="0" borderId="0" xfId="0" applyNumberFormat="1" applyFont="1"/>
    <xf numFmtId="1" fontId="203" fillId="0" borderId="0" xfId="0" applyNumberFormat="1" applyFont="1"/>
    <xf numFmtId="0" fontId="206" fillId="0" borderId="0" xfId="2" applyFont="1" applyAlignment="1">
      <alignment horizontal="left" vertical="top"/>
    </xf>
    <xf numFmtId="0" fontId="204" fillId="0" borderId="0" xfId="0" applyFont="1"/>
    <xf numFmtId="0" fontId="206" fillId="0" borderId="0" xfId="2" applyFont="1" applyAlignment="1">
      <alignment horizontal="center" vertical="top"/>
    </xf>
    <xf numFmtId="166" fontId="207" fillId="0" borderId="0" xfId="1" applyNumberFormat="1" applyFont="1"/>
    <xf numFmtId="166" fontId="207" fillId="0" borderId="0" xfId="1" applyNumberFormat="1" applyFont="1" applyAlignment="1">
      <alignment horizontal="center" vertical="top"/>
    </xf>
    <xf numFmtId="166" fontId="207" fillId="0" borderId="0" xfId="1" applyNumberFormat="1" applyFont="1" applyAlignment="1">
      <alignment horizontal="center"/>
    </xf>
    <xf numFmtId="0" fontId="201" fillId="4" borderId="0" xfId="0" applyFont="1" applyFill="1" applyAlignment="1">
      <alignment horizontal="center"/>
    </xf>
    <xf numFmtId="0" fontId="201" fillId="4" borderId="0" xfId="0" applyFont="1" applyFill="1" applyAlignment="1">
      <alignment horizontal="left" vertical="top"/>
    </xf>
    <xf numFmtId="0" fontId="201" fillId="4" borderId="0" xfId="2" applyFont="1" applyFill="1" applyAlignment="1">
      <alignment vertical="top"/>
    </xf>
    <xf numFmtId="166" fontId="207" fillId="4" borderId="0" xfId="1" applyNumberFormat="1" applyFont="1" applyFill="1" applyAlignment="1">
      <alignment horizontal="center" vertical="top"/>
    </xf>
    <xf numFmtId="0" fontId="201" fillId="4" borderId="0" xfId="2" applyFont="1" applyFill="1" applyAlignment="1">
      <alignment horizontal="left" vertical="top"/>
    </xf>
    <xf numFmtId="0" fontId="205" fillId="25" borderId="0" xfId="0" applyFont="1" applyFill="1" applyAlignment="1">
      <alignment horizontal="center"/>
    </xf>
    <xf numFmtId="0" fontId="201" fillId="25" borderId="0" xfId="0" applyFont="1" applyFill="1" applyAlignment="1">
      <alignment horizontal="left" vertical="top"/>
    </xf>
    <xf numFmtId="179" fontId="203" fillId="0" borderId="0" xfId="5" applyNumberFormat="1" applyFont="1"/>
    <xf numFmtId="0" fontId="211" fillId="0" borderId="0" xfId="0" applyFont="1"/>
    <xf numFmtId="0" fontId="212" fillId="0" borderId="0" xfId="0" applyFont="1"/>
    <xf numFmtId="0" fontId="214" fillId="0" borderId="0" xfId="2" applyFont="1" applyAlignment="1">
      <alignment horizontal="left" vertical="top"/>
    </xf>
    <xf numFmtId="0" fontId="211" fillId="0" borderId="0" xfId="2" applyFont="1" applyAlignment="1">
      <alignment horizontal="left" vertical="top"/>
    </xf>
    <xf numFmtId="0" fontId="211" fillId="0" borderId="0" xfId="2" applyFont="1" applyAlignment="1">
      <alignment horizontal="center" vertical="top"/>
    </xf>
    <xf numFmtId="0" fontId="215" fillId="0" borderId="0" xfId="2" applyFont="1" applyAlignment="1">
      <alignment horizontal="center" vertical="top"/>
    </xf>
    <xf numFmtId="0" fontId="216" fillId="0" borderId="0" xfId="0" applyFont="1"/>
    <xf numFmtId="0" fontId="214" fillId="0" borderId="0" xfId="2" applyFont="1" applyAlignment="1">
      <alignment horizontal="center" vertical="top"/>
    </xf>
    <xf numFmtId="164" fontId="215" fillId="0" borderId="0" xfId="2" applyNumberFormat="1" applyFont="1" applyAlignment="1">
      <alignment horizontal="center" vertical="top"/>
    </xf>
    <xf numFmtId="164" fontId="211" fillId="0" borderId="0" xfId="2" applyNumberFormat="1" applyFont="1" applyAlignment="1">
      <alignment horizontal="center" vertical="top"/>
    </xf>
    <xf numFmtId="4" fontId="211" fillId="0" borderId="0" xfId="2" applyNumberFormat="1" applyFont="1" applyAlignment="1">
      <alignment horizontal="center" vertical="top"/>
    </xf>
    <xf numFmtId="0" fontId="217" fillId="0" borderId="0" xfId="2" applyFont="1" applyAlignment="1">
      <alignment horizontal="left" vertical="top"/>
    </xf>
    <xf numFmtId="3" fontId="211" fillId="0" borderId="0" xfId="0" applyNumberFormat="1" applyFont="1" applyAlignment="1">
      <alignment horizontal="center" vertical="top"/>
    </xf>
    <xf numFmtId="3" fontId="211" fillId="11" borderId="0" xfId="0" applyNumberFormat="1" applyFont="1" applyFill="1" applyAlignment="1">
      <alignment horizontal="center" vertical="top"/>
    </xf>
    <xf numFmtId="0" fontId="211" fillId="0" borderId="0" xfId="0" applyFont="1" applyAlignment="1">
      <alignment horizontal="left" vertical="top"/>
    </xf>
    <xf numFmtId="0" fontId="211" fillId="0" borderId="0" xfId="2" applyFont="1" applyAlignment="1">
      <alignment vertical="top"/>
    </xf>
    <xf numFmtId="3" fontId="211" fillId="0" borderId="0" xfId="2" applyNumberFormat="1" applyFont="1" applyAlignment="1">
      <alignment horizontal="center" vertical="top"/>
    </xf>
    <xf numFmtId="3" fontId="216" fillId="0" borderId="0" xfId="0" applyNumberFormat="1" applyFont="1" applyAlignment="1">
      <alignment horizontal="center"/>
    </xf>
    <xf numFmtId="0" fontId="211" fillId="0" borderId="0" xfId="0" applyFont="1" applyAlignment="1">
      <alignment horizontal="center" vertical="top"/>
    </xf>
    <xf numFmtId="0" fontId="211" fillId="0" borderId="0" xfId="0" applyFont="1" applyAlignment="1">
      <alignment horizontal="right" vertical="top"/>
    </xf>
    <xf numFmtId="3" fontId="216" fillId="11" borderId="0" xfId="0" applyNumberFormat="1" applyFont="1" applyFill="1" applyAlignment="1">
      <alignment horizontal="center"/>
    </xf>
    <xf numFmtId="3" fontId="211" fillId="0" borderId="0" xfId="0" applyNumberFormat="1" applyFont="1" applyAlignment="1">
      <alignment horizontal="left" vertical="top"/>
    </xf>
    <xf numFmtId="169" fontId="211" fillId="0" borderId="0" xfId="0" applyNumberFormat="1" applyFont="1" applyAlignment="1">
      <alignment horizontal="left" vertical="top"/>
    </xf>
    <xf numFmtId="3" fontId="216" fillId="0" borderId="0" xfId="0" applyNumberFormat="1" applyFont="1"/>
    <xf numFmtId="3" fontId="216" fillId="6" borderId="0" xfId="0" applyNumberFormat="1" applyFont="1" applyFill="1"/>
    <xf numFmtId="3" fontId="216" fillId="9" borderId="0" xfId="0" applyNumberFormat="1" applyFont="1" applyFill="1"/>
    <xf numFmtId="10" fontId="211" fillId="0" borderId="0" xfId="5" applyNumberFormat="1" applyFont="1" applyAlignment="1">
      <alignment horizontal="center" vertical="top"/>
    </xf>
    <xf numFmtId="0" fontId="216" fillId="25" borderId="0" xfId="0" applyFont="1" applyFill="1"/>
    <xf numFmtId="0" fontId="211" fillId="25" borderId="0" xfId="0" applyFont="1" applyFill="1" applyAlignment="1">
      <alignment horizontal="left" vertical="top"/>
    </xf>
    <xf numFmtId="0" fontId="211" fillId="25" borderId="0" xfId="0" applyFont="1" applyFill="1" applyAlignment="1">
      <alignment horizontal="center" vertical="top"/>
    </xf>
    <xf numFmtId="0" fontId="211" fillId="25" borderId="0" xfId="0" applyFont="1" applyFill="1" applyAlignment="1">
      <alignment horizontal="right" vertical="top"/>
    </xf>
    <xf numFmtId="0" fontId="216" fillId="4" borderId="0" xfId="0" applyFont="1" applyFill="1"/>
    <xf numFmtId="0" fontId="211" fillId="4" borderId="0" xfId="0" applyFont="1" applyFill="1" applyAlignment="1">
      <alignment horizontal="left" vertical="top"/>
    </xf>
    <xf numFmtId="3" fontId="211" fillId="4" borderId="0" xfId="0" applyNumberFormat="1" applyFont="1" applyFill="1" applyAlignment="1">
      <alignment horizontal="center" vertical="top"/>
    </xf>
    <xf numFmtId="3" fontId="216" fillId="4" borderId="0" xfId="0" applyNumberFormat="1" applyFont="1" applyFill="1" applyAlignment="1">
      <alignment horizontal="center"/>
    </xf>
    <xf numFmtId="0" fontId="212" fillId="4" borderId="0" xfId="0" applyFont="1" applyFill="1"/>
    <xf numFmtId="3" fontId="216" fillId="25" borderId="0" xfId="0" applyNumberFormat="1" applyFont="1" applyFill="1" applyAlignment="1">
      <alignment horizontal="center"/>
    </xf>
    <xf numFmtId="0" fontId="218" fillId="0" borderId="0" xfId="0" applyFont="1"/>
    <xf numFmtId="166" fontId="211" fillId="4" borderId="0" xfId="1" applyNumberFormat="1" applyFont="1" applyFill="1" applyAlignment="1">
      <alignment horizontal="center" vertical="top"/>
    </xf>
    <xf numFmtId="166" fontId="216" fillId="4" borderId="0" xfId="1" applyNumberFormat="1" applyFont="1" applyFill="1"/>
    <xf numFmtId="166" fontId="218" fillId="4" borderId="0" xfId="1" applyNumberFormat="1" applyFont="1" applyFill="1"/>
    <xf numFmtId="166" fontId="211" fillId="0" borderId="0" xfId="1" applyNumberFormat="1" applyFont="1" applyAlignment="1">
      <alignment horizontal="center" vertical="top"/>
    </xf>
    <xf numFmtId="166" fontId="218" fillId="0" borderId="0" xfId="1" applyNumberFormat="1" applyFont="1"/>
    <xf numFmtId="166" fontId="211" fillId="25" borderId="0" xfId="1" applyNumberFormat="1" applyFont="1" applyFill="1" applyAlignment="1">
      <alignment horizontal="center" vertical="top"/>
    </xf>
    <xf numFmtId="166" fontId="216" fillId="0" borderId="0" xfId="1" applyNumberFormat="1" applyFont="1"/>
    <xf numFmtId="166" fontId="213" fillId="0" borderId="0" xfId="1" applyNumberFormat="1" applyFont="1"/>
    <xf numFmtId="0" fontId="223" fillId="0" borderId="0" xfId="2" applyFont="1" applyAlignment="1">
      <alignment horizontal="left" vertical="top"/>
    </xf>
    <xf numFmtId="0" fontId="223" fillId="0" borderId="0" xfId="2" applyFont="1" applyAlignment="1">
      <alignment horizontal="center" vertical="top"/>
    </xf>
    <xf numFmtId="166" fontId="0" fillId="4" borderId="0" xfId="1" applyNumberFormat="1" applyFont="1" applyFill="1"/>
    <xf numFmtId="0" fontId="175" fillId="21" borderId="0" xfId="0" applyFont="1" applyFill="1" applyAlignment="1">
      <alignment horizontal="left" vertical="top"/>
    </xf>
    <xf numFmtId="0" fontId="175" fillId="21" borderId="0" xfId="2" applyFont="1" applyFill="1" applyAlignment="1">
      <alignment vertical="top"/>
    </xf>
    <xf numFmtId="0" fontId="165" fillId="22" borderId="0" xfId="0" applyFont="1" applyFill="1" applyAlignment="1">
      <alignment horizontal="left" vertical="top"/>
    </xf>
    <xf numFmtId="0" fontId="175" fillId="0" borderId="0" xfId="0" applyFont="1"/>
    <xf numFmtId="3" fontId="177" fillId="4" borderId="0" xfId="0" applyNumberFormat="1" applyFont="1" applyFill="1"/>
    <xf numFmtId="9" fontId="165" fillId="0" borderId="0" xfId="5" applyFont="1" applyAlignment="1">
      <alignment horizontal="center" vertical="top"/>
    </xf>
    <xf numFmtId="9" fontId="177" fillId="0" borderId="0" xfId="5" applyFont="1"/>
    <xf numFmtId="164" fontId="175" fillId="0" borderId="0" xfId="0" applyNumberFormat="1" applyFont="1" applyAlignment="1">
      <alignment horizontal="left" vertical="top"/>
    </xf>
    <xf numFmtId="3" fontId="175" fillId="0" borderId="0" xfId="0" applyNumberFormat="1" applyFont="1" applyAlignment="1">
      <alignment horizontal="center" vertical="center"/>
    </xf>
    <xf numFmtId="0" fontId="179" fillId="7" borderId="1" xfId="0" applyFont="1" applyFill="1" applyBorder="1" applyAlignment="1">
      <alignment horizontal="right"/>
    </xf>
    <xf numFmtId="0" fontId="179" fillId="8" borderId="2" xfId="0" applyFont="1" applyFill="1" applyBorder="1" applyAlignment="1">
      <alignment horizontal="right"/>
    </xf>
    <xf numFmtId="1" fontId="177" fillId="0" borderId="0" xfId="0" applyNumberFormat="1" applyFont="1"/>
    <xf numFmtId="0" fontId="224" fillId="0" borderId="0" xfId="2" applyFont="1" applyAlignment="1">
      <alignment horizontal="left" vertical="top"/>
    </xf>
    <xf numFmtId="0" fontId="224" fillId="0" borderId="0" xfId="2" applyFont="1" applyAlignment="1">
      <alignment horizontal="center" vertical="top"/>
    </xf>
    <xf numFmtId="3" fontId="177" fillId="26" borderId="0" xfId="0" applyNumberFormat="1" applyFont="1" applyFill="1"/>
    <xf numFmtId="0" fontId="175" fillId="25" borderId="0" xfId="0" applyFont="1" applyFill="1" applyAlignment="1">
      <alignment horizontal="center"/>
    </xf>
    <xf numFmtId="3" fontId="175" fillId="11" borderId="0" xfId="2" applyNumberFormat="1" applyFont="1" applyFill="1" applyAlignment="1">
      <alignment horizontal="center" vertical="top"/>
    </xf>
    <xf numFmtId="3" fontId="177" fillId="11" borderId="0" xfId="0" applyNumberFormat="1" applyFont="1" applyFill="1" applyAlignment="1">
      <alignment horizontal="center"/>
    </xf>
    <xf numFmtId="175" fontId="175" fillId="0" borderId="0" xfId="0" applyNumberFormat="1" applyFont="1" applyAlignment="1">
      <alignment horizontal="left" vertical="top"/>
    </xf>
    <xf numFmtId="0" fontId="178" fillId="4" borderId="0" xfId="0" applyFont="1" applyFill="1" applyAlignment="1">
      <alignment horizontal="left" vertical="top"/>
    </xf>
    <xf numFmtId="166" fontId="0" fillId="25" borderId="0" xfId="0" applyNumberFormat="1" applyFill="1"/>
    <xf numFmtId="0" fontId="165" fillId="0" borderId="0" xfId="0" applyFont="1" applyAlignment="1">
      <alignment horizontal="left" vertical="top" indent="17"/>
    </xf>
    <xf numFmtId="0" fontId="167" fillId="0" borderId="0" xfId="2" applyFont="1" applyAlignment="1">
      <alignment vertical="top"/>
    </xf>
    <xf numFmtId="164" fontId="169" fillId="9" borderId="0" xfId="0" applyNumberFormat="1" applyFont="1" applyFill="1"/>
    <xf numFmtId="0" fontId="169" fillId="4" borderId="0" xfId="0" applyFont="1" applyFill="1" applyAlignment="1">
      <alignment horizontal="center"/>
    </xf>
    <xf numFmtId="0" fontId="170" fillId="4" borderId="0" xfId="2" applyFont="1" applyFill="1" applyAlignment="1">
      <alignment horizontal="left" vertical="top"/>
    </xf>
    <xf numFmtId="0" fontId="165" fillId="4" borderId="0" xfId="0" applyFont="1" applyFill="1" applyAlignment="1">
      <alignment horizontal="center"/>
    </xf>
    <xf numFmtId="168" fontId="169" fillId="0" borderId="0" xfId="0" applyNumberFormat="1" applyFont="1"/>
    <xf numFmtId="0" fontId="169" fillId="3" borderId="0" xfId="0" applyFont="1" applyFill="1" applyAlignment="1">
      <alignment horizontal="center"/>
    </xf>
    <xf numFmtId="0" fontId="174" fillId="0" borderId="0" xfId="0" applyFont="1" applyAlignment="1">
      <alignment horizontal="center"/>
    </xf>
    <xf numFmtId="0" fontId="165" fillId="3" borderId="0" xfId="0" applyFont="1" applyFill="1" applyAlignment="1">
      <alignment horizontal="left" vertical="top"/>
    </xf>
    <xf numFmtId="0" fontId="170" fillId="3" borderId="0" xfId="2" applyFont="1" applyFill="1" applyAlignment="1">
      <alignment horizontal="left" vertical="top"/>
    </xf>
    <xf numFmtId="167" fontId="165" fillId="3" borderId="0" xfId="0" applyNumberFormat="1" applyFont="1" applyFill="1" applyAlignment="1">
      <alignment horizontal="left" vertical="top"/>
    </xf>
    <xf numFmtId="3" fontId="165" fillId="3" borderId="0" xfId="1" applyNumberFormat="1" applyFont="1" applyFill="1" applyAlignment="1">
      <alignment horizontal="center" vertical="top"/>
    </xf>
    <xf numFmtId="164" fontId="169" fillId="3" borderId="0" xfId="0" applyNumberFormat="1" applyFont="1" applyFill="1" applyAlignment="1">
      <alignment horizontal="center"/>
    </xf>
    <xf numFmtId="164" fontId="174" fillId="3" borderId="0" xfId="0" applyNumberFormat="1" applyFont="1" applyFill="1" applyAlignment="1">
      <alignment horizontal="center"/>
    </xf>
    <xf numFmtId="0" fontId="169" fillId="3" borderId="0" xfId="0" applyFont="1" applyFill="1"/>
    <xf numFmtId="167" fontId="165" fillId="0" borderId="0" xfId="0" applyNumberFormat="1" applyFont="1" applyAlignment="1">
      <alignment horizontal="left" vertical="top"/>
    </xf>
    <xf numFmtId="164" fontId="169" fillId="0" borderId="0" xfId="0" applyNumberFormat="1" applyFont="1" applyAlignment="1">
      <alignment horizontal="center"/>
    </xf>
    <xf numFmtId="164" fontId="174" fillId="0" borderId="0" xfId="0" applyNumberFormat="1" applyFont="1" applyAlignment="1">
      <alignment horizontal="center"/>
    </xf>
    <xf numFmtId="0" fontId="165" fillId="0" borderId="0" xfId="0" applyFont="1" applyAlignment="1">
      <alignment horizontal="left"/>
    </xf>
    <xf numFmtId="0" fontId="165" fillId="3" borderId="0" xfId="0" applyFont="1" applyFill="1" applyAlignment="1">
      <alignment horizontal="center"/>
    </xf>
    <xf numFmtId="0" fontId="172" fillId="3" borderId="0" xfId="0" applyFont="1" applyFill="1" applyAlignment="1">
      <alignment horizontal="left" vertical="top"/>
    </xf>
    <xf numFmtId="0" fontId="165" fillId="3" borderId="0" xfId="2" applyFont="1" applyFill="1" applyAlignment="1">
      <alignment vertical="top"/>
    </xf>
    <xf numFmtId="3" fontId="172" fillId="3" borderId="0" xfId="1" applyNumberFormat="1" applyFont="1" applyFill="1" applyAlignment="1">
      <alignment horizontal="center" vertical="top"/>
    </xf>
    <xf numFmtId="3" fontId="172" fillId="0" borderId="0" xfId="1" applyNumberFormat="1" applyFont="1" applyAlignment="1">
      <alignment horizontal="center" vertical="top"/>
    </xf>
    <xf numFmtId="0" fontId="165" fillId="0" borderId="0" xfId="0" applyFont="1" applyAlignment="1">
      <alignment horizontal="right"/>
    </xf>
    <xf numFmtId="167" fontId="169" fillId="0" borderId="0" xfId="0" applyNumberFormat="1" applyFont="1"/>
    <xf numFmtId="171" fontId="169" fillId="0" borderId="0" xfId="0" applyNumberFormat="1" applyFont="1"/>
    <xf numFmtId="174" fontId="169" fillId="0" borderId="0" xfId="0" applyNumberFormat="1" applyFont="1"/>
    <xf numFmtId="169" fontId="169" fillId="9" borderId="0" xfId="0" applyNumberFormat="1" applyFont="1" applyFill="1"/>
    <xf numFmtId="166" fontId="169" fillId="26" borderId="0" xfId="1" applyNumberFormat="1" applyFont="1" applyFill="1"/>
    <xf numFmtId="164" fontId="169" fillId="21" borderId="0" xfId="0" applyNumberFormat="1" applyFont="1" applyFill="1"/>
    <xf numFmtId="0" fontId="243" fillId="0" borderId="0" xfId="2" applyFont="1" applyAlignment="1">
      <alignment horizontal="left" vertical="top"/>
    </xf>
    <xf numFmtId="0" fontId="243" fillId="0" borderId="0" xfId="2" applyFont="1" applyAlignment="1">
      <alignment horizontal="center" vertical="top"/>
    </xf>
    <xf numFmtId="0" fontId="175" fillId="0" borderId="0" xfId="0" applyFont="1" applyAlignment="1">
      <alignment horizontal="left" vertical="top" indent="18"/>
    </xf>
    <xf numFmtId="0" fontId="175" fillId="0" borderId="0" xfId="0" applyFont="1" applyAlignment="1">
      <alignment horizontal="left" vertical="top" indent="19"/>
    </xf>
    <xf numFmtId="164" fontId="177" fillId="9" borderId="0" xfId="0" applyNumberFormat="1" applyFont="1" applyFill="1"/>
    <xf numFmtId="0" fontId="178" fillId="4" borderId="0" xfId="2" applyFont="1" applyFill="1" applyAlignment="1">
      <alignment horizontal="left" vertical="top"/>
    </xf>
    <xf numFmtId="0" fontId="175" fillId="4" borderId="0" xfId="2" applyFont="1" applyFill="1" applyAlignment="1">
      <alignment vertical="top"/>
    </xf>
    <xf numFmtId="0" fontId="175" fillId="25" borderId="0" xfId="0" applyFont="1" applyFill="1" applyAlignment="1">
      <alignment horizontal="center" vertical="top"/>
    </xf>
    <xf numFmtId="0" fontId="175" fillId="25" borderId="0" xfId="0" applyFont="1" applyFill="1" applyAlignment="1">
      <alignment horizontal="right" vertical="top"/>
    </xf>
    <xf numFmtId="0" fontId="177" fillId="25" borderId="0" xfId="0" applyFont="1" applyFill="1"/>
    <xf numFmtId="164" fontId="174" fillId="0" borderId="0" xfId="0" applyNumberFormat="1" applyFont="1"/>
    <xf numFmtId="0" fontId="165" fillId="4" borderId="0" xfId="2" applyFont="1" applyFill="1" applyAlignment="1">
      <alignment horizontal="left" vertical="top"/>
    </xf>
    <xf numFmtId="164" fontId="174" fillId="4" borderId="0" xfId="0" applyNumberFormat="1" applyFont="1" applyFill="1"/>
    <xf numFmtId="3" fontId="165" fillId="25" borderId="0" xfId="0" applyNumberFormat="1" applyFont="1" applyFill="1" applyAlignment="1">
      <alignment horizontal="center" vertical="top"/>
    </xf>
    <xf numFmtId="0" fontId="165" fillId="25" borderId="0" xfId="0" applyFont="1" applyFill="1" applyAlignment="1">
      <alignment horizontal="right" vertical="top"/>
    </xf>
    <xf numFmtId="0" fontId="165" fillId="25" borderId="0" xfId="2" applyFont="1" applyFill="1" applyAlignment="1">
      <alignment horizontal="left" vertical="top"/>
    </xf>
    <xf numFmtId="0" fontId="165" fillId="0" borderId="0" xfId="0" applyFont="1" applyAlignment="1">
      <alignment horizontal="right" vertical="top" wrapText="1"/>
    </xf>
    <xf numFmtId="0" fontId="169" fillId="0" borderId="0" xfId="0" applyFont="1" applyAlignment="1">
      <alignment horizontal="right" vertical="top" wrapText="1"/>
    </xf>
    <xf numFmtId="0" fontId="180" fillId="7" borderId="1" xfId="0" applyFont="1" applyFill="1" applyBorder="1" applyAlignment="1">
      <alignment horizontal="right"/>
    </xf>
    <xf numFmtId="0" fontId="180" fillId="7" borderId="2" xfId="0" applyFont="1" applyFill="1" applyBorder="1" applyAlignment="1">
      <alignment horizontal="right"/>
    </xf>
    <xf numFmtId="3" fontId="165" fillId="0" borderId="0" xfId="0" applyNumberFormat="1" applyFont="1" applyAlignment="1">
      <alignment vertical="top" wrapText="1"/>
    </xf>
    <xf numFmtId="0" fontId="165" fillId="0" borderId="0" xfId="0" applyFont="1" applyAlignment="1">
      <alignment vertical="top" wrapText="1"/>
    </xf>
    <xf numFmtId="0" fontId="165" fillId="4" borderId="0" xfId="0" applyFont="1" applyFill="1"/>
    <xf numFmtId="0" fontId="165" fillId="25" borderId="0" xfId="0" applyFont="1" applyFill="1" applyAlignment="1">
      <alignment horizontal="center"/>
    </xf>
    <xf numFmtId="0" fontId="169" fillId="25" borderId="0" xfId="0" applyFont="1" applyFill="1"/>
    <xf numFmtId="0" fontId="165" fillId="25" borderId="0" xfId="0" applyFont="1" applyFill="1"/>
    <xf numFmtId="0" fontId="170" fillId="25" borderId="0" xfId="2" applyFont="1" applyFill="1" applyAlignment="1">
      <alignment horizontal="left" vertical="top"/>
    </xf>
    <xf numFmtId="166" fontId="165" fillId="0" borderId="0" xfId="1" applyNumberFormat="1" applyFont="1" applyAlignment="1">
      <alignment vertical="top" wrapText="1"/>
    </xf>
    <xf numFmtId="0" fontId="250" fillId="0" borderId="0" xfId="0" applyFont="1"/>
    <xf numFmtId="0" fontId="251" fillId="0" borderId="0" xfId="2" applyFont="1" applyAlignment="1">
      <alignment horizontal="left" vertical="top"/>
    </xf>
    <xf numFmtId="0" fontId="252" fillId="0" borderId="0" xfId="2" applyFont="1" applyAlignment="1">
      <alignment horizontal="left" vertical="top"/>
    </xf>
    <xf numFmtId="0" fontId="252" fillId="0" borderId="0" xfId="2" applyFont="1" applyAlignment="1">
      <alignment horizontal="center" vertical="top"/>
    </xf>
    <xf numFmtId="0" fontId="253" fillId="0" borderId="0" xfId="2" applyFont="1" applyAlignment="1">
      <alignment horizontal="center" vertical="top"/>
    </xf>
    <xf numFmtId="0" fontId="254" fillId="0" borderId="0" xfId="0" applyFont="1"/>
    <xf numFmtId="0" fontId="251" fillId="0" borderId="0" xfId="2" applyFont="1" applyAlignment="1">
      <alignment horizontal="center" vertical="top"/>
    </xf>
    <xf numFmtId="164" fontId="253" fillId="0" borderId="0" xfId="2" applyNumberFormat="1" applyFont="1" applyAlignment="1">
      <alignment horizontal="center" vertical="top"/>
    </xf>
    <xf numFmtId="164" fontId="252" fillId="0" borderId="0" xfId="2" applyNumberFormat="1" applyFont="1" applyAlignment="1">
      <alignment horizontal="center" vertical="top"/>
    </xf>
    <xf numFmtId="4" fontId="252" fillId="0" borderId="0" xfId="2" applyNumberFormat="1" applyFont="1" applyAlignment="1">
      <alignment horizontal="center" vertical="top"/>
    </xf>
    <xf numFmtId="0" fontId="255" fillId="0" borderId="0" xfId="2" applyFont="1" applyAlignment="1">
      <alignment horizontal="left" vertical="top"/>
    </xf>
    <xf numFmtId="3" fontId="252" fillId="0" borderId="0" xfId="0" applyNumberFormat="1" applyFont="1" applyAlignment="1">
      <alignment horizontal="center" vertical="top"/>
    </xf>
    <xf numFmtId="0" fontId="252" fillId="0" borderId="0" xfId="0" applyFont="1" applyAlignment="1">
      <alignment horizontal="left" vertical="top"/>
    </xf>
    <xf numFmtId="0" fontId="252" fillId="0" borderId="0" xfId="2" applyFont="1" applyAlignment="1">
      <alignment vertical="top"/>
    </xf>
    <xf numFmtId="3" fontId="254" fillId="0" borderId="0" xfId="0" applyNumberFormat="1" applyFont="1" applyAlignment="1">
      <alignment horizontal="center"/>
    </xf>
    <xf numFmtId="3" fontId="252" fillId="0" borderId="0" xfId="2" applyNumberFormat="1" applyFont="1" applyAlignment="1">
      <alignment horizontal="center" vertical="top"/>
    </xf>
    <xf numFmtId="0" fontId="252" fillId="5" borderId="0" xfId="0" applyFont="1" applyFill="1" applyAlignment="1">
      <alignment horizontal="left" vertical="top"/>
    </xf>
    <xf numFmtId="0" fontId="252" fillId="0" borderId="0" xfId="0" applyFont="1" applyAlignment="1">
      <alignment horizontal="center" vertical="top"/>
    </xf>
    <xf numFmtId="3" fontId="254" fillId="11" borderId="0" xfId="0" applyNumberFormat="1" applyFont="1" applyFill="1" applyAlignment="1">
      <alignment horizontal="center"/>
    </xf>
    <xf numFmtId="3" fontId="254" fillId="0" borderId="0" xfId="0" applyNumberFormat="1" applyFont="1" applyAlignment="1">
      <alignment horizontal="center" vertical="top"/>
    </xf>
    <xf numFmtId="3" fontId="254" fillId="0" borderId="0" xfId="0" applyNumberFormat="1" applyFont="1"/>
    <xf numFmtId="3" fontId="254" fillId="6" borderId="0" xfId="0" applyNumberFormat="1" applyFont="1" applyFill="1"/>
    <xf numFmtId="3" fontId="256" fillId="7" borderId="1" xfId="0" applyNumberFormat="1" applyFont="1" applyFill="1" applyBorder="1" applyAlignment="1">
      <alignment horizontal="right"/>
    </xf>
    <xf numFmtId="3" fontId="256" fillId="7" borderId="2" xfId="0" applyNumberFormat="1" applyFont="1" applyFill="1" applyBorder="1" applyAlignment="1">
      <alignment horizontal="right"/>
    </xf>
    <xf numFmtId="3" fontId="256" fillId="8" borderId="2" xfId="0" applyNumberFormat="1" applyFont="1" applyFill="1" applyBorder="1" applyAlignment="1">
      <alignment horizontal="right"/>
    </xf>
    <xf numFmtId="3" fontId="256" fillId="8" borderId="3" xfId="0" applyNumberFormat="1" applyFont="1" applyFill="1" applyBorder="1" applyAlignment="1">
      <alignment horizontal="right"/>
    </xf>
    <xf numFmtId="1" fontId="254" fillId="0" borderId="0" xfId="0" applyNumberFormat="1" applyFont="1"/>
    <xf numFmtId="0" fontId="252" fillId="4" borderId="0" xfId="0" applyFont="1" applyFill="1" applyAlignment="1">
      <alignment horizontal="left" vertical="top"/>
    </xf>
    <xf numFmtId="0" fontId="254" fillId="4" borderId="0" xfId="0" applyFont="1" applyFill="1"/>
    <xf numFmtId="3" fontId="254" fillId="4" borderId="0" xfId="0" applyNumberFormat="1" applyFont="1" applyFill="1" applyAlignment="1">
      <alignment horizontal="center"/>
    </xf>
    <xf numFmtId="3" fontId="252" fillId="4" borderId="0" xfId="0" applyNumberFormat="1" applyFont="1" applyFill="1" applyAlignment="1">
      <alignment horizontal="center" vertical="top"/>
    </xf>
    <xf numFmtId="0" fontId="252" fillId="21" borderId="0" xfId="0" applyFont="1" applyFill="1" applyAlignment="1">
      <alignment horizontal="center" vertical="top"/>
    </xf>
    <xf numFmtId="0" fontId="252" fillId="21" borderId="0" xfId="0" applyFont="1" applyFill="1" applyAlignment="1">
      <alignment horizontal="left" vertical="top"/>
    </xf>
    <xf numFmtId="0" fontId="254" fillId="25" borderId="0" xfId="0" applyFont="1" applyFill="1"/>
    <xf numFmtId="0" fontId="252" fillId="25" borderId="0" xfId="0" applyFont="1" applyFill="1" applyAlignment="1">
      <alignment horizontal="left" vertical="top"/>
    </xf>
    <xf numFmtId="0" fontId="255" fillId="25" borderId="0" xfId="2" applyFont="1" applyFill="1" applyAlignment="1">
      <alignment horizontal="left" vertical="top"/>
    </xf>
    <xf numFmtId="3" fontId="252" fillId="25" borderId="0" xfId="0" applyNumberFormat="1" applyFont="1" applyFill="1" applyAlignment="1">
      <alignment horizontal="center" vertical="top"/>
    </xf>
    <xf numFmtId="3" fontId="252" fillId="25" borderId="0" xfId="2" applyNumberFormat="1" applyFont="1" applyFill="1" applyAlignment="1">
      <alignment horizontal="center" vertical="top"/>
    </xf>
    <xf numFmtId="0" fontId="254" fillId="5" borderId="0" xfId="0" applyFont="1" applyFill="1"/>
    <xf numFmtId="0" fontId="255" fillId="5" borderId="0" xfId="2" applyFont="1" applyFill="1" applyAlignment="1">
      <alignment horizontal="left" vertical="top"/>
    </xf>
    <xf numFmtId="0" fontId="252" fillId="25" borderId="0" xfId="2" applyFont="1" applyFill="1" applyAlignment="1">
      <alignment vertical="top"/>
    </xf>
    <xf numFmtId="0" fontId="252"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57" fillId="0" borderId="0" xfId="0" applyFont="1"/>
    <xf numFmtId="0" fontId="68" fillId="0" borderId="0" xfId="0" applyFont="1" applyAlignment="1">
      <alignment horizontal="center" vertical="center"/>
    </xf>
    <xf numFmtId="166" fontId="156" fillId="4" borderId="0" xfId="1" applyNumberFormat="1" applyFont="1" applyFill="1"/>
    <xf numFmtId="166" fontId="156" fillId="0" borderId="0" xfId="1" applyNumberFormat="1" applyFont="1"/>
    <xf numFmtId="3" fontId="17" fillId="25" borderId="0" xfId="1" applyNumberFormat="1" applyFont="1" applyFill="1" applyAlignment="1">
      <alignment horizontal="center" vertical="top"/>
    </xf>
    <xf numFmtId="166" fontId="156" fillId="25" borderId="0" xfId="1" applyNumberFormat="1" applyFont="1" applyFill="1"/>
    <xf numFmtId="3" fontId="17" fillId="0" borderId="0" xfId="1" applyNumberFormat="1" applyFont="1" applyAlignment="1">
      <alignment horizontal="center"/>
    </xf>
    <xf numFmtId="166" fontId="168" fillId="0" borderId="0" xfId="1" applyNumberFormat="1" applyFont="1"/>
    <xf numFmtId="166" fontId="174" fillId="25" borderId="0" xfId="1" applyNumberFormat="1" applyFont="1" applyFill="1"/>
    <xf numFmtId="0" fontId="261" fillId="0" borderId="0" xfId="2" applyFont="1" applyAlignment="1">
      <alignment horizontal="left" vertical="top"/>
    </xf>
    <xf numFmtId="0" fontId="261" fillId="0" borderId="0" xfId="2" applyFont="1" applyAlignment="1">
      <alignment horizontal="center" vertical="top"/>
    </xf>
    <xf numFmtId="0" fontId="165" fillId="21" borderId="0" xfId="0" applyFont="1" applyFill="1" applyAlignment="1">
      <alignment horizontal="left" vertical="top"/>
    </xf>
    <xf numFmtId="0" fontId="262" fillId="0" borderId="0" xfId="0" applyFont="1"/>
    <xf numFmtId="0" fontId="263" fillId="0" borderId="0" xfId="2" applyFont="1" applyAlignment="1">
      <alignment horizontal="left" vertical="top"/>
    </xf>
    <xf numFmtId="0" fontId="262" fillId="0" borderId="0" xfId="2" applyFont="1" applyAlignment="1">
      <alignment horizontal="left" vertical="top"/>
    </xf>
    <xf numFmtId="0" fontId="262" fillId="0" borderId="0" xfId="2" applyFont="1" applyAlignment="1">
      <alignment horizontal="center" vertical="top"/>
    </xf>
    <xf numFmtId="0" fontId="264" fillId="0" borderId="0" xfId="2" applyFont="1" applyAlignment="1">
      <alignment horizontal="center" vertical="top"/>
    </xf>
    <xf numFmtId="0" fontId="265" fillId="0" borderId="0" xfId="0" applyFont="1"/>
    <xf numFmtId="0" fontId="263" fillId="0" borderId="0" xfId="2" applyFont="1" applyAlignment="1">
      <alignment horizontal="center" vertical="top"/>
    </xf>
    <xf numFmtId="164" fontId="264" fillId="0" borderId="0" xfId="2" applyNumberFormat="1" applyFont="1" applyAlignment="1">
      <alignment horizontal="center" vertical="top"/>
    </xf>
    <xf numFmtId="164" fontId="262" fillId="0" borderId="0" xfId="2" applyNumberFormat="1" applyFont="1" applyAlignment="1">
      <alignment horizontal="center" vertical="top"/>
    </xf>
    <xf numFmtId="4" fontId="262" fillId="0" borderId="0" xfId="2" applyNumberFormat="1" applyFont="1" applyAlignment="1">
      <alignment horizontal="center" vertical="top"/>
    </xf>
    <xf numFmtId="0" fontId="266" fillId="0" borderId="0" xfId="2" applyFont="1" applyAlignment="1">
      <alignment horizontal="left" vertical="top"/>
    </xf>
    <xf numFmtId="0" fontId="265" fillId="2" borderId="0" xfId="0" applyFont="1" applyFill="1" applyAlignment="1">
      <alignment horizontal="center"/>
    </xf>
    <xf numFmtId="0" fontId="266" fillId="2" borderId="0" xfId="2" applyFont="1" applyFill="1" applyAlignment="1">
      <alignment horizontal="left" vertical="top"/>
    </xf>
    <xf numFmtId="3" fontId="262" fillId="2" borderId="0" xfId="1" applyNumberFormat="1" applyFont="1" applyFill="1" applyAlignment="1">
      <alignment horizontal="center" vertical="top"/>
    </xf>
    <xf numFmtId="166" fontId="262" fillId="2" borderId="0" xfId="1" applyNumberFormat="1" applyFont="1" applyFill="1" applyAlignment="1">
      <alignment horizontal="center" vertical="top"/>
    </xf>
    <xf numFmtId="166" fontId="265" fillId="2" borderId="0" xfId="1" applyNumberFormat="1" applyFont="1" applyFill="1"/>
    <xf numFmtId="0" fontId="262" fillId="0" borderId="0" xfId="0" applyFont="1" applyAlignment="1">
      <alignment horizontal="center"/>
    </xf>
    <xf numFmtId="0" fontId="262" fillId="0" borderId="0" xfId="0" applyFont="1" applyAlignment="1">
      <alignment horizontal="left" vertical="top"/>
    </xf>
    <xf numFmtId="0" fontId="262" fillId="0" borderId="0" xfId="2" applyFont="1" applyAlignment="1">
      <alignment vertical="top"/>
    </xf>
    <xf numFmtId="3" fontId="262" fillId="0" borderId="0" xfId="1" applyNumberFormat="1" applyFont="1" applyAlignment="1">
      <alignment horizontal="center" vertical="top"/>
    </xf>
    <xf numFmtId="3" fontId="265" fillId="0" borderId="0" xfId="0" applyNumberFormat="1" applyFont="1" applyAlignment="1">
      <alignment horizontal="center"/>
    </xf>
    <xf numFmtId="166" fontId="265" fillId="0" borderId="0" xfId="1" applyNumberFormat="1" applyFont="1" applyAlignment="1">
      <alignment horizontal="center"/>
    </xf>
    <xf numFmtId="166" fontId="265" fillId="0" borderId="0" xfId="1" applyNumberFormat="1" applyFont="1"/>
    <xf numFmtId="0" fontId="262" fillId="0" borderId="0" xfId="0" applyFont="1" applyAlignment="1">
      <alignment horizontal="center" vertical="top"/>
    </xf>
    <xf numFmtId="3" fontId="265" fillId="0" borderId="0" xfId="1" applyNumberFormat="1" applyFont="1" applyAlignment="1">
      <alignment horizontal="center"/>
    </xf>
    <xf numFmtId="0" fontId="265" fillId="0" borderId="0" xfId="0" applyFont="1" applyAlignment="1">
      <alignment horizontal="center"/>
    </xf>
    <xf numFmtId="166" fontId="262" fillId="0" borderId="0" xfId="1" applyNumberFormat="1" applyFont="1" applyAlignment="1">
      <alignment horizontal="center" vertical="top"/>
    </xf>
    <xf numFmtId="0" fontId="262" fillId="0" borderId="0" xfId="0" applyFont="1" applyAlignment="1">
      <alignment horizontal="left" vertical="top" indent="16"/>
    </xf>
    <xf numFmtId="0" fontId="262" fillId="0" borderId="0" xfId="0" applyFont="1" applyAlignment="1">
      <alignment horizontal="right"/>
    </xf>
    <xf numFmtId="0" fontId="262" fillId="0" borderId="0" xfId="0" applyFont="1" applyAlignment="1">
      <alignment horizontal="left" vertical="top" indent="19"/>
    </xf>
    <xf numFmtId="0" fontId="262" fillId="0" borderId="0" xfId="0" applyFont="1" applyAlignment="1">
      <alignment horizontal="left" indent="15"/>
    </xf>
    <xf numFmtId="0" fontId="262" fillId="0" borderId="0" xfId="0" applyFont="1" applyAlignment="1">
      <alignment horizontal="right" vertical="top"/>
    </xf>
    <xf numFmtId="0" fontId="262" fillId="0" borderId="0" xfId="0" applyFont="1" applyAlignment="1">
      <alignment horizontal="left" vertical="top" indent="17"/>
    </xf>
    <xf numFmtId="0" fontId="262" fillId="2" borderId="0" xfId="0" applyFont="1" applyFill="1" applyAlignment="1">
      <alignment horizontal="center" vertical="top"/>
    </xf>
    <xf numFmtId="0" fontId="262" fillId="2" borderId="0" xfId="2" applyFont="1" applyFill="1" applyAlignment="1">
      <alignment vertical="top"/>
    </xf>
    <xf numFmtId="0" fontId="262" fillId="2" borderId="0" xfId="0" applyFont="1" applyFill="1" applyAlignment="1">
      <alignment horizontal="center"/>
    </xf>
    <xf numFmtId="0" fontId="262" fillId="2" borderId="0" xfId="0" applyFont="1" applyFill="1" applyAlignment="1">
      <alignment horizontal="left" vertical="top"/>
    </xf>
    <xf numFmtId="3" fontId="262" fillId="11" borderId="0" xfId="1" applyNumberFormat="1" applyFont="1" applyFill="1" applyAlignment="1">
      <alignment horizontal="center" vertical="top"/>
    </xf>
    <xf numFmtId="3" fontId="262" fillId="2" borderId="0" xfId="0" applyNumberFormat="1" applyFont="1" applyFill="1" applyAlignment="1">
      <alignment horizontal="center" vertical="top"/>
    </xf>
    <xf numFmtId="3" fontId="262" fillId="0" borderId="0" xfId="0" applyNumberFormat="1" applyFont="1" applyAlignment="1">
      <alignment horizontal="left" vertical="top"/>
    </xf>
    <xf numFmtId="166" fontId="262" fillId="0" borderId="0" xfId="1" applyNumberFormat="1" applyFont="1" applyAlignment="1">
      <alignment horizontal="left" vertical="top"/>
    </xf>
    <xf numFmtId="3" fontId="265" fillId="0" borderId="0" xfId="0" applyNumberFormat="1" applyFont="1"/>
    <xf numFmtId="3" fontId="265" fillId="9" borderId="0" xfId="0" applyNumberFormat="1" applyFont="1" applyFill="1"/>
    <xf numFmtId="4" fontId="265"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47" fillId="4" borderId="0" xfId="1" applyNumberFormat="1" applyFont="1" applyFill="1"/>
    <xf numFmtId="0" fontId="147" fillId="0" borderId="0" xfId="0" applyFont="1"/>
    <xf numFmtId="0" fontId="147"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68" fillId="0" borderId="0" xfId="0" applyFont="1"/>
    <xf numFmtId="3" fontId="174" fillId="0" borderId="0" xfId="0" applyNumberFormat="1" applyFont="1"/>
    <xf numFmtId="0" fontId="180" fillId="7" borderId="3" xfId="0" applyFont="1" applyFill="1" applyBorder="1" applyAlignment="1">
      <alignment horizontal="right"/>
    </xf>
    <xf numFmtId="0" fontId="180" fillId="8" borderId="2" xfId="0" applyFont="1" applyFill="1" applyBorder="1" applyAlignment="1">
      <alignment horizontal="right"/>
    </xf>
    <xf numFmtId="0" fontId="180" fillId="8" borderId="3" xfId="0" applyFont="1" applyFill="1" applyBorder="1" applyAlignment="1">
      <alignment horizontal="right"/>
    </xf>
    <xf numFmtId="0" fontId="180" fillId="0" borderId="0" xfId="0" applyFont="1"/>
    <xf numFmtId="164" fontId="170" fillId="4" borderId="0" xfId="0" applyNumberFormat="1" applyFont="1" applyFill="1" applyAlignment="1">
      <alignment horizontal="left" vertical="top"/>
    </xf>
    <xf numFmtId="166" fontId="169" fillId="25" borderId="0" xfId="1" applyNumberFormat="1" applyFont="1" applyFill="1" applyAlignment="1">
      <alignment horizontal="center"/>
    </xf>
    <xf numFmtId="166" fontId="169" fillId="0" borderId="0" xfId="0" applyNumberFormat="1" applyFont="1"/>
    <xf numFmtId="164" fontId="169"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65" fillId="0" borderId="0" xfId="0" applyNumberFormat="1" applyFont="1"/>
    <xf numFmtId="3" fontId="262" fillId="25" borderId="0" xfId="1" applyNumberFormat="1" applyFont="1" applyFill="1" applyAlignment="1">
      <alignment horizontal="center" vertical="top"/>
    </xf>
    <xf numFmtId="3" fontId="265" fillId="6" borderId="0" xfId="0" applyNumberFormat="1" applyFont="1" applyFill="1"/>
    <xf numFmtId="180" fontId="265" fillId="0" borderId="0" xfId="5" applyNumberFormat="1" applyFont="1"/>
    <xf numFmtId="0" fontId="11" fillId="4" borderId="0" xfId="0" applyFont="1" applyFill="1" applyAlignment="1">
      <alignment horizontal="center"/>
    </xf>
    <xf numFmtId="0" fontId="274" fillId="0" borderId="0" xfId="0" applyFont="1"/>
    <xf numFmtId="0" fontId="275" fillId="0" borderId="0" xfId="2" applyFont="1" applyAlignment="1">
      <alignment horizontal="left" vertical="top"/>
    </xf>
    <xf numFmtId="0" fontId="276" fillId="0" borderId="0" xfId="2" applyFont="1" applyAlignment="1">
      <alignment horizontal="left" vertical="top"/>
    </xf>
    <xf numFmtId="0" fontId="276" fillId="0" borderId="0" xfId="2" applyFont="1" applyAlignment="1">
      <alignment horizontal="center" vertical="top"/>
    </xf>
    <xf numFmtId="0" fontId="277" fillId="0" borderId="0" xfId="2" applyFont="1" applyAlignment="1">
      <alignment horizontal="center" vertical="top"/>
    </xf>
    <xf numFmtId="0" fontId="278" fillId="0" borderId="0" xfId="0" applyFont="1"/>
    <xf numFmtId="0" fontId="275" fillId="0" borderId="0" xfId="2" applyFont="1" applyAlignment="1">
      <alignment horizontal="center" vertical="top"/>
    </xf>
    <xf numFmtId="164" fontId="277" fillId="0" borderId="0" xfId="2" applyNumberFormat="1" applyFont="1" applyAlignment="1">
      <alignment horizontal="center" vertical="top"/>
    </xf>
    <xf numFmtId="164" fontId="276" fillId="0" borderId="0" xfId="2" applyNumberFormat="1" applyFont="1" applyAlignment="1">
      <alignment horizontal="center" vertical="top"/>
    </xf>
    <xf numFmtId="4" fontId="276" fillId="0" borderId="0" xfId="2" applyNumberFormat="1" applyFont="1" applyAlignment="1">
      <alignment horizontal="center" vertical="top"/>
    </xf>
    <xf numFmtId="0" fontId="279" fillId="0" borderId="0" xfId="2" applyFont="1" applyAlignment="1">
      <alignment horizontal="left" vertical="top"/>
    </xf>
    <xf numFmtId="0" fontId="276" fillId="0" borderId="0" xfId="0" applyFont="1" applyAlignment="1">
      <alignment horizontal="center"/>
    </xf>
    <xf numFmtId="0" fontId="276" fillId="0" borderId="0" xfId="0" applyFont="1" applyAlignment="1">
      <alignment horizontal="left" vertical="top"/>
    </xf>
    <xf numFmtId="0" fontId="276" fillId="0" borderId="0" xfId="2" applyFont="1" applyAlignment="1">
      <alignment vertical="top"/>
    </xf>
    <xf numFmtId="3" fontId="276" fillId="0" borderId="0" xfId="0" applyNumberFormat="1" applyFont="1" applyAlignment="1">
      <alignment horizontal="center" vertical="top"/>
    </xf>
    <xf numFmtId="0" fontId="276" fillId="0" borderId="0" xfId="0" applyFont="1" applyAlignment="1">
      <alignment horizontal="center" vertical="top"/>
    </xf>
    <xf numFmtId="3" fontId="276" fillId="0" borderId="0" xfId="1" applyNumberFormat="1" applyFont="1" applyAlignment="1">
      <alignment horizontal="center" vertical="top"/>
    </xf>
    <xf numFmtId="0" fontId="276" fillId="0" borderId="0" xfId="0" applyFont="1" applyAlignment="1">
      <alignment horizontal="right" vertical="top"/>
    </xf>
    <xf numFmtId="0" fontId="277" fillId="0" borderId="0" xfId="2" applyFont="1" applyAlignment="1">
      <alignment vertical="top"/>
    </xf>
    <xf numFmtId="0" fontId="276" fillId="0" borderId="0" xfId="0" applyFont="1"/>
    <xf numFmtId="0" fontId="278" fillId="0" borderId="0" xfId="0" applyFont="1" applyAlignment="1">
      <alignment horizontal="center"/>
    </xf>
    <xf numFmtId="0" fontId="276" fillId="21" borderId="0" xfId="0" applyFont="1" applyFill="1" applyAlignment="1">
      <alignment horizontal="left" vertical="top"/>
    </xf>
    <xf numFmtId="0" fontId="276" fillId="21" borderId="0" xfId="2" applyFont="1" applyFill="1" applyAlignment="1">
      <alignment vertical="top"/>
    </xf>
    <xf numFmtId="164" fontId="278" fillId="0" borderId="0" xfId="0" applyNumberFormat="1" applyFont="1"/>
    <xf numFmtId="43" fontId="278" fillId="0" borderId="0" xfId="0" applyNumberFormat="1" applyFont="1"/>
    <xf numFmtId="3" fontId="278" fillId="0" borderId="0" xfId="0" applyNumberFormat="1" applyFont="1"/>
    <xf numFmtId="0" fontId="0" fillId="4" borderId="0" xfId="0" applyFill="1" applyAlignment="1">
      <alignment horizontal="center"/>
    </xf>
    <xf numFmtId="166" fontId="276" fillId="0" borderId="0" xfId="1" applyNumberFormat="1" applyFont="1" applyAlignment="1">
      <alignment horizontal="center" vertical="top"/>
    </xf>
    <xf numFmtId="166" fontId="282" fillId="0" borderId="0" xfId="1" applyNumberFormat="1" applyFont="1"/>
    <xf numFmtId="0" fontId="148" fillId="4" borderId="0" xfId="0" applyFont="1" applyFill="1"/>
    <xf numFmtId="0" fontId="276" fillId="25" borderId="0" xfId="0" applyFont="1" applyFill="1" applyAlignment="1">
      <alignment horizontal="right" vertical="top"/>
    </xf>
    <xf numFmtId="10" fontId="278" fillId="0" borderId="0" xfId="5" applyNumberFormat="1" applyFont="1"/>
    <xf numFmtId="166" fontId="276" fillId="25" borderId="0" xfId="1" applyNumberFormat="1" applyFont="1" applyFill="1" applyAlignment="1">
      <alignment horizontal="center" vertical="top"/>
    </xf>
    <xf numFmtId="0" fontId="282" fillId="0" borderId="0" xfId="0" applyFont="1" applyAlignment="1">
      <alignment horizontal="center"/>
    </xf>
    <xf numFmtId="3" fontId="278" fillId="26" borderId="0" xfId="0" applyNumberFormat="1" applyFont="1" applyFill="1"/>
    <xf numFmtId="0" fontId="283" fillId="0" borderId="0" xfId="2" applyFont="1" applyAlignment="1">
      <alignment horizontal="left" vertical="top"/>
    </xf>
    <xf numFmtId="0" fontId="283" fillId="0" borderId="0" xfId="2" applyFont="1" applyAlignment="1">
      <alignment horizontal="center" vertical="top"/>
    </xf>
    <xf numFmtId="0" fontId="280" fillId="0" borderId="0" xfId="0" applyFont="1"/>
    <xf numFmtId="0" fontId="284" fillId="0" borderId="0" xfId="2" applyFont="1" applyAlignment="1">
      <alignment horizontal="left" vertical="top"/>
    </xf>
    <xf numFmtId="0" fontId="285" fillId="0" borderId="0" xfId="2" applyFont="1" applyAlignment="1">
      <alignment horizontal="left" vertical="top"/>
    </xf>
    <xf numFmtId="0" fontId="285" fillId="0" borderId="0" xfId="2" applyFont="1" applyAlignment="1">
      <alignment horizontal="center" vertical="top"/>
    </xf>
    <xf numFmtId="0" fontId="286" fillId="0" borderId="0" xfId="2" applyFont="1" applyAlignment="1">
      <alignment horizontal="center" vertical="top"/>
    </xf>
    <xf numFmtId="0" fontId="284" fillId="0" borderId="0" xfId="2" applyFont="1" applyAlignment="1">
      <alignment horizontal="center" vertical="top"/>
    </xf>
    <xf numFmtId="164" fontId="286" fillId="0" borderId="0" xfId="2" applyNumberFormat="1" applyFont="1" applyAlignment="1">
      <alignment horizontal="center" vertical="top"/>
    </xf>
    <xf numFmtId="164" fontId="285" fillId="0" borderId="0" xfId="2" applyNumberFormat="1" applyFont="1" applyAlignment="1">
      <alignment horizontal="center" vertical="top"/>
    </xf>
    <xf numFmtId="4" fontId="285" fillId="0" borderId="0" xfId="2" applyNumberFormat="1" applyFont="1" applyAlignment="1">
      <alignment horizontal="center" vertical="top"/>
    </xf>
    <xf numFmtId="0" fontId="287" fillId="0" borderId="0" xfId="2" applyFont="1" applyAlignment="1">
      <alignment horizontal="left" vertical="top"/>
    </xf>
    <xf numFmtId="0" fontId="285" fillId="0" borderId="0" xfId="0" applyFont="1" applyAlignment="1">
      <alignment horizontal="left" vertical="top"/>
    </xf>
    <xf numFmtId="0" fontId="285" fillId="0" borderId="0" xfId="2" applyFont="1" applyAlignment="1">
      <alignment vertical="top"/>
    </xf>
    <xf numFmtId="3" fontId="280" fillId="0" borderId="0" xfId="1" applyNumberFormat="1" applyFont="1" applyAlignment="1">
      <alignment horizontal="center"/>
    </xf>
    <xf numFmtId="3" fontId="285" fillId="0" borderId="0" xfId="1" applyNumberFormat="1" applyFont="1" applyAlignment="1">
      <alignment horizontal="center" vertical="top"/>
    </xf>
    <xf numFmtId="0" fontId="285" fillId="0" borderId="0" xfId="0" applyFont="1" applyAlignment="1">
      <alignment horizontal="center" vertical="top"/>
    </xf>
    <xf numFmtId="0" fontId="285" fillId="0" borderId="0" xfId="0" applyFont="1" applyAlignment="1">
      <alignment horizontal="center"/>
    </xf>
    <xf numFmtId="3" fontId="285" fillId="11" borderId="0" xfId="1" applyNumberFormat="1" applyFont="1" applyFill="1" applyAlignment="1">
      <alignment horizontal="center" vertical="top"/>
    </xf>
    <xf numFmtId="0" fontId="280" fillId="0" borderId="0" xfId="0" applyFont="1" applyAlignment="1">
      <alignment horizontal="center"/>
    </xf>
    <xf numFmtId="0" fontId="285" fillId="0" borderId="0" xfId="0" applyFont="1" applyAlignment="1">
      <alignment horizontal="right" vertical="top"/>
    </xf>
    <xf numFmtId="167" fontId="285" fillId="0" borderId="0" xfId="0" applyNumberFormat="1" applyFont="1" applyAlignment="1">
      <alignment horizontal="left" vertical="top"/>
    </xf>
    <xf numFmtId="43" fontId="285" fillId="0" borderId="0" xfId="1" applyFont="1" applyAlignment="1">
      <alignment horizontal="right" vertical="top"/>
    </xf>
    <xf numFmtId="43" fontId="280" fillId="0" borderId="0" xfId="1" applyFont="1" applyAlignment="1">
      <alignment horizontal="right"/>
    </xf>
    <xf numFmtId="3" fontId="280" fillId="0" borderId="0" xfId="0" applyNumberFormat="1" applyFont="1"/>
    <xf numFmtId="43" fontId="285" fillId="0" borderId="0" xfId="0" applyNumberFormat="1" applyFont="1" applyAlignment="1">
      <alignment horizontal="left" vertical="top"/>
    </xf>
    <xf numFmtId="43" fontId="280" fillId="0" borderId="0" xfId="0" applyNumberFormat="1" applyFont="1"/>
    <xf numFmtId="3" fontId="280" fillId="9" borderId="0" xfId="0" applyNumberFormat="1" applyFont="1" applyFill="1"/>
    <xf numFmtId="0" fontId="289" fillId="7" borderId="1" xfId="0" applyFont="1" applyFill="1" applyBorder="1" applyAlignment="1">
      <alignment horizontal="right"/>
    </xf>
    <xf numFmtId="0" fontId="289" fillId="7" borderId="2" xfId="0" applyFont="1" applyFill="1" applyBorder="1" applyAlignment="1">
      <alignment horizontal="right"/>
    </xf>
    <xf numFmtId="0" fontId="289" fillId="8" borderId="2" xfId="0" applyFont="1" applyFill="1" applyBorder="1" applyAlignment="1">
      <alignment horizontal="right"/>
    </xf>
    <xf numFmtId="164" fontId="285" fillId="0" borderId="0" xfId="0" applyNumberFormat="1" applyFont="1" applyAlignment="1">
      <alignment horizontal="left" vertical="top"/>
    </xf>
    <xf numFmtId="0" fontId="289" fillId="8" borderId="3" xfId="0" applyFont="1" applyFill="1" applyBorder="1" applyAlignment="1">
      <alignment horizontal="right"/>
    </xf>
    <xf numFmtId="166" fontId="285" fillId="0" borderId="0" xfId="1" applyNumberFormat="1" applyFont="1" applyAlignment="1">
      <alignment horizontal="center" vertical="top"/>
    </xf>
    <xf numFmtId="166" fontId="285" fillId="0" borderId="0" xfId="1" applyNumberFormat="1" applyFont="1" applyAlignment="1">
      <alignment horizontal="center" vertical="top" wrapText="1"/>
    </xf>
    <xf numFmtId="166" fontId="280" fillId="0" borderId="0" xfId="1" applyNumberFormat="1" applyFont="1" applyAlignment="1">
      <alignment horizontal="center" wrapText="1"/>
    </xf>
    <xf numFmtId="166" fontId="280" fillId="0" borderId="0" xfId="1" applyNumberFormat="1" applyFont="1"/>
    <xf numFmtId="166" fontId="285" fillId="0" borderId="0" xfId="1" applyNumberFormat="1" applyFont="1" applyAlignment="1">
      <alignment horizontal="left" vertical="top"/>
    </xf>
    <xf numFmtId="166" fontId="280" fillId="0" borderId="0" xfId="1" applyNumberFormat="1" applyFont="1" applyAlignment="1">
      <alignment horizontal="center"/>
    </xf>
    <xf numFmtId="166" fontId="280" fillId="0" borderId="0" xfId="1" applyNumberFormat="1" applyFont="1" applyAlignment="1">
      <alignment horizontal="right"/>
    </xf>
    <xf numFmtId="166" fontId="285"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85" fillId="25" borderId="0" xfId="1" applyNumberFormat="1" applyFont="1" applyFill="1" applyAlignment="1">
      <alignment horizontal="center" vertical="top"/>
    </xf>
    <xf numFmtId="0" fontId="285"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65" fillId="0" borderId="0" xfId="0" applyNumberFormat="1" applyFont="1" applyAlignment="1">
      <alignment vertical="top"/>
    </xf>
    <xf numFmtId="3" fontId="165" fillId="0" borderId="0" xfId="1" applyNumberFormat="1" applyFont="1" applyAlignment="1">
      <alignment vertical="top"/>
    </xf>
    <xf numFmtId="3" fontId="169" fillId="9" borderId="0" xfId="0" applyNumberFormat="1" applyFont="1" applyFill="1" applyAlignment="1">
      <alignment horizontal="center"/>
    </xf>
    <xf numFmtId="3" fontId="165" fillId="4" borderId="0" xfId="2" applyNumberFormat="1" applyFont="1" applyFill="1" applyAlignment="1">
      <alignment horizontal="left" vertical="top"/>
    </xf>
    <xf numFmtId="3" fontId="165" fillId="4" borderId="0" xfId="2" applyNumberFormat="1" applyFont="1" applyFill="1" applyAlignment="1">
      <alignment vertical="top"/>
    </xf>
    <xf numFmtId="3" fontId="165" fillId="4" borderId="0" xfId="0" applyNumberFormat="1" applyFont="1" applyFill="1" applyAlignment="1">
      <alignment vertical="top"/>
    </xf>
    <xf numFmtId="3" fontId="165" fillId="4" borderId="0" xfId="1" applyNumberFormat="1" applyFont="1" applyFill="1" applyAlignment="1">
      <alignment vertical="top"/>
    </xf>
    <xf numFmtId="9" fontId="169" fillId="0" borderId="0" xfId="5" applyFont="1" applyAlignment="1">
      <alignment horizontal="center"/>
    </xf>
    <xf numFmtId="10" fontId="169" fillId="0" borderId="0" xfId="5" applyNumberFormat="1" applyFont="1" applyAlignment="1">
      <alignment horizontal="center"/>
    </xf>
    <xf numFmtId="3" fontId="169" fillId="25" borderId="0" xfId="1" applyNumberFormat="1" applyFont="1" applyFill="1" applyAlignment="1">
      <alignment horizontal="center"/>
    </xf>
    <xf numFmtId="0" fontId="290" fillId="0" borderId="0" xfId="2" applyFont="1" applyAlignment="1">
      <alignment horizontal="left" vertical="top"/>
    </xf>
    <xf numFmtId="0" fontId="290" fillId="0" borderId="0" xfId="2" applyFont="1" applyAlignment="1">
      <alignment horizontal="center" vertical="top"/>
    </xf>
    <xf numFmtId="0" fontId="170" fillId="0" borderId="0" xfId="2" applyFont="1" applyAlignment="1">
      <alignment vertical="top"/>
    </xf>
    <xf numFmtId="3" fontId="165" fillId="0" borderId="0" xfId="1" applyNumberFormat="1" applyFont="1" applyAlignment="1">
      <alignment horizontal="right" vertical="top"/>
    </xf>
    <xf numFmtId="3" fontId="165" fillId="0" borderId="0" xfId="1" applyNumberFormat="1" applyFont="1" applyAlignment="1">
      <alignment horizontal="center" vertical="center"/>
    </xf>
    <xf numFmtId="3" fontId="165" fillId="0" borderId="0" xfId="2" applyNumberFormat="1" applyFont="1" applyAlignment="1">
      <alignment horizontal="center" vertical="center"/>
    </xf>
    <xf numFmtId="3" fontId="169" fillId="0" borderId="0" xfId="1" applyNumberFormat="1" applyFont="1" applyAlignment="1">
      <alignment horizontal="right"/>
    </xf>
    <xf numFmtId="3" fontId="165" fillId="0" borderId="0" xfId="0" applyNumberFormat="1" applyFont="1" applyAlignment="1">
      <alignment horizontal="center" vertical="center"/>
    </xf>
    <xf numFmtId="0" fontId="169" fillId="0" borderId="0" xfId="0" applyFont="1" applyAlignment="1">
      <alignment horizontal="right"/>
    </xf>
    <xf numFmtId="4" fontId="165" fillId="0" borderId="0" xfId="1" applyNumberFormat="1" applyFont="1" applyAlignment="1">
      <alignment horizontal="center" vertical="center"/>
    </xf>
    <xf numFmtId="43" fontId="169" fillId="0" borderId="0" xfId="0" applyNumberFormat="1" applyFont="1"/>
    <xf numFmtId="3" fontId="165" fillId="4" borderId="0" xfId="1" applyNumberFormat="1" applyFont="1" applyFill="1" applyAlignment="1">
      <alignment horizontal="right" vertical="top"/>
    </xf>
    <xf numFmtId="3" fontId="165" fillId="4" borderId="0" xfId="0" applyNumberFormat="1" applyFont="1" applyFill="1" applyAlignment="1">
      <alignment horizontal="center" vertical="center"/>
    </xf>
    <xf numFmtId="3" fontId="169" fillId="4" borderId="0" xfId="0" applyNumberFormat="1" applyFont="1" applyFill="1" applyAlignment="1">
      <alignment horizontal="center" vertical="center"/>
    </xf>
    <xf numFmtId="3" fontId="169" fillId="4" borderId="0" xfId="1" applyNumberFormat="1" applyFont="1" applyFill="1" applyAlignment="1">
      <alignment horizontal="right"/>
    </xf>
    <xf numFmtId="3" fontId="169" fillId="4" borderId="0" xfId="1" applyNumberFormat="1" applyFont="1" applyFill="1" applyAlignment="1">
      <alignment horizontal="center" vertical="center"/>
    </xf>
    <xf numFmtId="3" fontId="169" fillId="25" borderId="0" xfId="1" applyNumberFormat="1" applyFont="1" applyFill="1" applyAlignment="1">
      <alignment horizontal="right"/>
    </xf>
    <xf numFmtId="3" fontId="165" fillId="25" borderId="0" xfId="1" applyNumberFormat="1" applyFont="1" applyFill="1" applyAlignment="1">
      <alignment horizontal="right" vertical="top"/>
    </xf>
    <xf numFmtId="0" fontId="167" fillId="0" borderId="0" xfId="0" applyFont="1"/>
    <xf numFmtId="166" fontId="167" fillId="0" borderId="0" xfId="1" applyNumberFormat="1" applyFont="1"/>
    <xf numFmtId="10" fontId="169" fillId="0" borderId="0" xfId="5" applyNumberFormat="1" applyFont="1"/>
    <xf numFmtId="0" fontId="136" fillId="0" borderId="0" xfId="2" applyFont="1" applyAlignment="1">
      <alignment horizontal="center" vertical="center"/>
    </xf>
    <xf numFmtId="0" fontId="291"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74" fillId="0" borderId="0" xfId="0" applyNumberFormat="1" applyFont="1" applyAlignment="1">
      <alignment horizontal="center"/>
    </xf>
    <xf numFmtId="0" fontId="169" fillId="0" borderId="0" xfId="0" applyFont="1" applyAlignment="1">
      <alignment horizontal="left"/>
    </xf>
    <xf numFmtId="3" fontId="169" fillId="9" borderId="0" xfId="1" applyNumberFormat="1" applyFont="1" applyFill="1"/>
    <xf numFmtId="3" fontId="169" fillId="0" borderId="0" xfId="0" applyNumberFormat="1" applyFont="1" applyAlignment="1">
      <alignment horizontal="left" vertical="top"/>
    </xf>
    <xf numFmtId="3" fontId="174" fillId="4" borderId="0" xfId="0" applyNumberFormat="1" applyFont="1" applyFill="1" applyAlignment="1">
      <alignment horizontal="center"/>
    </xf>
    <xf numFmtId="179" fontId="169"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0" fontId="169" fillId="0" borderId="0" xfId="0" applyFont="1" applyAlignment="1">
      <alignment horizontal="left" vertical="top"/>
    </xf>
    <xf numFmtId="3" fontId="165" fillId="9" borderId="0" xfId="2" applyNumberFormat="1" applyFont="1" applyFill="1" applyAlignment="1">
      <alignment horizontal="center" vertical="top"/>
    </xf>
    <xf numFmtId="0" fontId="294" fillId="0" borderId="0" xfId="0" applyFont="1"/>
    <xf numFmtId="0" fontId="295" fillId="0" borderId="0" xfId="0" applyFont="1"/>
    <xf numFmtId="0" fontId="296" fillId="0" borderId="0" xfId="2" applyFont="1" applyAlignment="1">
      <alignment horizontal="left" vertical="top"/>
    </xf>
    <xf numFmtId="0" fontId="295" fillId="0" borderId="0" xfId="2" applyFont="1" applyAlignment="1">
      <alignment horizontal="left" vertical="top"/>
    </xf>
    <xf numFmtId="0" fontId="295" fillId="0" borderId="0" xfId="2" applyFont="1" applyAlignment="1">
      <alignment horizontal="center" vertical="top"/>
    </xf>
    <xf numFmtId="0" fontId="297" fillId="0" borderId="0" xfId="2" applyFont="1" applyAlignment="1">
      <alignment horizontal="center" vertical="top"/>
    </xf>
    <xf numFmtId="0" fontId="298" fillId="0" borderId="0" xfId="0" applyFont="1"/>
    <xf numFmtId="0" fontId="299" fillId="0" borderId="0" xfId="0" applyFont="1"/>
    <xf numFmtId="0" fontId="296" fillId="0" borderId="0" xfId="2" applyFont="1" applyAlignment="1">
      <alignment horizontal="center" vertical="top"/>
    </xf>
    <xf numFmtId="164" fontId="297" fillId="0" borderId="0" xfId="2" applyNumberFormat="1" applyFont="1" applyAlignment="1">
      <alignment horizontal="center" vertical="top"/>
    </xf>
    <xf numFmtId="164" fontId="295" fillId="0" borderId="0" xfId="2" applyNumberFormat="1" applyFont="1" applyAlignment="1">
      <alignment horizontal="center" vertical="top"/>
    </xf>
    <xf numFmtId="4" fontId="295" fillId="0" borderId="0" xfId="2" applyNumberFormat="1" applyFont="1" applyAlignment="1">
      <alignment horizontal="center" vertical="top"/>
    </xf>
    <xf numFmtId="0" fontId="300" fillId="0" borderId="0" xfId="2" applyFont="1" applyAlignment="1">
      <alignment horizontal="left" vertical="top"/>
    </xf>
    <xf numFmtId="3" fontId="295" fillId="0" borderId="0" xfId="0" applyNumberFormat="1" applyFont="1" applyAlignment="1">
      <alignment horizontal="center" vertical="top"/>
    </xf>
    <xf numFmtId="0" fontId="295" fillId="0" borderId="0" xfId="0" applyFont="1" applyAlignment="1">
      <alignment horizontal="left" vertical="top"/>
    </xf>
    <xf numFmtId="0" fontId="295" fillId="0" borderId="0" xfId="2" applyFont="1" applyAlignment="1">
      <alignment vertical="top"/>
    </xf>
    <xf numFmtId="3" fontId="299" fillId="0" borderId="0" xfId="0" applyNumberFormat="1" applyFont="1" applyAlignment="1">
      <alignment horizontal="center"/>
    </xf>
    <xf numFmtId="0" fontId="295" fillId="0" borderId="0" xfId="0" applyFont="1" applyAlignment="1">
      <alignment horizontal="center" vertical="top"/>
    </xf>
    <xf numFmtId="3" fontId="295" fillId="0" borderId="0" xfId="2" applyNumberFormat="1" applyFont="1" applyAlignment="1">
      <alignment horizontal="center" vertical="top"/>
    </xf>
    <xf numFmtId="0" fontId="295" fillId="0" borderId="0" xfId="0" applyFont="1" applyAlignment="1">
      <alignment horizontal="right" vertical="top"/>
    </xf>
    <xf numFmtId="1" fontId="295" fillId="0" borderId="0" xfId="0" applyNumberFormat="1" applyFont="1" applyAlignment="1">
      <alignment horizontal="center" vertical="top"/>
    </xf>
    <xf numFmtId="3" fontId="299" fillId="0" borderId="0" xfId="0" applyNumberFormat="1" applyFont="1"/>
    <xf numFmtId="3" fontId="299" fillId="9" borderId="0" xfId="0" applyNumberFormat="1" applyFont="1" applyFill="1"/>
    <xf numFmtId="1" fontId="299" fillId="0" borderId="0" xfId="0" applyNumberFormat="1" applyFont="1"/>
    <xf numFmtId="0" fontId="299" fillId="4" borderId="0" xfId="0" applyFont="1" applyFill="1"/>
    <xf numFmtId="0" fontId="295" fillId="4" borderId="0" xfId="0" applyFont="1" applyFill="1" applyAlignment="1">
      <alignment horizontal="left" vertical="top"/>
    </xf>
    <xf numFmtId="0" fontId="295" fillId="4" borderId="0" xfId="2" applyFont="1" applyFill="1" applyAlignment="1">
      <alignment horizontal="left" vertical="top"/>
    </xf>
    <xf numFmtId="3" fontId="299" fillId="4" borderId="0" xfId="0" applyNumberFormat="1" applyFont="1" applyFill="1" applyAlignment="1">
      <alignment horizontal="center"/>
    </xf>
    <xf numFmtId="3" fontId="295" fillId="4" borderId="0" xfId="0" applyNumberFormat="1" applyFont="1" applyFill="1" applyAlignment="1">
      <alignment horizontal="center" vertical="top"/>
    </xf>
    <xf numFmtId="0" fontId="294" fillId="4" borderId="0" xfId="0" applyFont="1" applyFill="1"/>
    <xf numFmtId="0" fontId="295" fillId="4" borderId="0" xfId="2" applyFont="1" applyFill="1" applyAlignment="1">
      <alignment vertical="top"/>
    </xf>
    <xf numFmtId="1" fontId="295" fillId="4" borderId="0" xfId="0" applyNumberFormat="1" applyFont="1" applyFill="1" applyAlignment="1">
      <alignment horizontal="center" vertical="top"/>
    </xf>
    <xf numFmtId="3" fontId="295" fillId="25" borderId="0" xfId="0" applyNumberFormat="1" applyFont="1" applyFill="1" applyAlignment="1">
      <alignment horizontal="center" vertical="top"/>
    </xf>
    <xf numFmtId="3" fontId="299" fillId="25" borderId="0" xfId="0" applyNumberFormat="1" applyFont="1" applyFill="1" applyAlignment="1">
      <alignment horizontal="center"/>
    </xf>
    <xf numFmtId="0" fontId="301" fillId="0" borderId="0" xfId="0" applyFont="1" applyAlignment="1">
      <alignment horizontal="center"/>
    </xf>
    <xf numFmtId="166" fontId="299" fillId="0" borderId="0" xfId="1" applyNumberFormat="1" applyFont="1"/>
    <xf numFmtId="166" fontId="295" fillId="0" borderId="0" xfId="1" applyNumberFormat="1" applyFont="1" applyAlignment="1">
      <alignment horizontal="center" vertical="top"/>
    </xf>
    <xf numFmtId="166" fontId="301" fillId="4" borderId="0" xfId="1" applyNumberFormat="1" applyFont="1" applyFill="1"/>
    <xf numFmtId="166" fontId="301" fillId="0" borderId="0" xfId="1" applyNumberFormat="1" applyFont="1"/>
    <xf numFmtId="1" fontId="299" fillId="9" borderId="0" xfId="0" applyNumberFormat="1" applyFont="1" applyFill="1"/>
    <xf numFmtId="2" fontId="299"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52" fillId="0" borderId="0" xfId="0" applyFont="1"/>
    <xf numFmtId="0" fontId="309" fillId="0" borderId="0" xfId="0" applyFont="1"/>
    <xf numFmtId="0" fontId="255" fillId="4" borderId="0" xfId="2" applyFont="1" applyFill="1" applyAlignment="1">
      <alignment vertical="top"/>
    </xf>
    <xf numFmtId="3" fontId="252" fillId="0" borderId="0" xfId="1" applyNumberFormat="1" applyFont="1" applyAlignment="1">
      <alignment vertical="top"/>
    </xf>
    <xf numFmtId="3" fontId="254" fillId="0" borderId="0" xfId="1" applyNumberFormat="1" applyFont="1"/>
    <xf numFmtId="0" fontId="254" fillId="0" borderId="0" xfId="0" applyFont="1" applyAlignment="1">
      <alignment horizontal="center"/>
    </xf>
    <xf numFmtId="0" fontId="254" fillId="0" borderId="0" xfId="0" applyFont="1" applyAlignment="1">
      <alignment horizontal="right"/>
    </xf>
    <xf numFmtId="3" fontId="252" fillId="0" borderId="0" xfId="1" applyNumberFormat="1" applyFont="1" applyAlignment="1">
      <alignment horizontal="center" vertical="top"/>
    </xf>
    <xf numFmtId="0" fontId="252" fillId="0" borderId="0" xfId="0" applyFont="1" applyAlignment="1">
      <alignment horizontal="center"/>
    </xf>
    <xf numFmtId="0" fontId="254" fillId="0" borderId="0" xfId="0" applyFont="1" applyAlignment="1">
      <alignment horizontal="left"/>
    </xf>
    <xf numFmtId="3" fontId="254" fillId="0" borderId="0" xfId="1" applyNumberFormat="1" applyFont="1" applyAlignment="1">
      <alignment horizontal="center"/>
    </xf>
    <xf numFmtId="176" fontId="254" fillId="0" borderId="0" xfId="1" applyNumberFormat="1" applyFont="1" applyAlignment="1">
      <alignment horizontal="center"/>
    </xf>
    <xf numFmtId="0" fontId="253" fillId="0" borderId="0" xfId="2" applyFont="1" applyAlignment="1">
      <alignment vertical="top"/>
    </xf>
    <xf numFmtId="4" fontId="252" fillId="0" borderId="0" xfId="1" applyNumberFormat="1" applyFont="1" applyAlignment="1">
      <alignment horizontal="center" vertical="top"/>
    </xf>
    <xf numFmtId="3" fontId="254" fillId="5" borderId="0" xfId="1" applyNumberFormat="1" applyFont="1" applyFill="1"/>
    <xf numFmtId="43" fontId="254" fillId="0" borderId="0" xfId="1" applyFont="1"/>
    <xf numFmtId="43" fontId="252" fillId="0" borderId="0" xfId="1" applyFont="1" applyAlignment="1">
      <alignment horizontal="left" vertical="top"/>
    </xf>
    <xf numFmtId="43" fontId="254" fillId="0" borderId="0" xfId="1" applyFont="1" applyAlignment="1">
      <alignment horizontal="right"/>
    </xf>
    <xf numFmtId="43" fontId="252" fillId="0" borderId="0" xfId="1" applyFont="1" applyAlignment="1">
      <alignment horizontal="right" vertical="top"/>
    </xf>
    <xf numFmtId="3" fontId="254" fillId="10" borderId="0" xfId="0" applyNumberFormat="1" applyFont="1" applyFill="1"/>
    <xf numFmtId="0" fontId="256" fillId="7" borderId="1" xfId="0" applyFont="1" applyFill="1" applyBorder="1" applyAlignment="1">
      <alignment horizontal="right"/>
    </xf>
    <xf numFmtId="0" fontId="256" fillId="7" borderId="2" xfId="0" applyFont="1" applyFill="1" applyBorder="1" applyAlignment="1">
      <alignment horizontal="right"/>
    </xf>
    <xf numFmtId="43" fontId="254" fillId="0" borderId="0" xfId="0" applyNumberFormat="1" applyFont="1"/>
    <xf numFmtId="165" fontId="254" fillId="0" borderId="0" xfId="0" applyNumberFormat="1" applyFont="1" applyAlignment="1">
      <alignment vertical="center"/>
    </xf>
    <xf numFmtId="43" fontId="254" fillId="0" borderId="0" xfId="0" applyNumberFormat="1" applyFont="1" applyAlignment="1">
      <alignment vertical="center"/>
    </xf>
    <xf numFmtId="3" fontId="252" fillId="25" borderId="0" xfId="1" applyNumberFormat="1" applyFont="1" applyFill="1" applyAlignment="1">
      <alignment vertical="top"/>
    </xf>
    <xf numFmtId="3" fontId="254" fillId="25" borderId="0" xfId="1" applyNumberFormat="1" applyFont="1" applyFill="1"/>
    <xf numFmtId="43" fontId="252" fillId="4" borderId="0" xfId="2" applyNumberFormat="1" applyFont="1" applyFill="1" applyAlignment="1">
      <alignment horizontal="center" vertical="top"/>
    </xf>
    <xf numFmtId="3" fontId="252" fillId="4" borderId="0" xfId="2" applyNumberFormat="1" applyFont="1" applyFill="1" applyAlignment="1">
      <alignment vertical="top"/>
    </xf>
    <xf numFmtId="3" fontId="252" fillId="4" borderId="0" xfId="2" applyNumberFormat="1" applyFont="1" applyFill="1" applyAlignment="1">
      <alignment horizontal="center" vertical="top"/>
    </xf>
    <xf numFmtId="3" fontId="252" fillId="4" borderId="0" xfId="1" applyNumberFormat="1" applyFont="1" applyFill="1" applyAlignment="1">
      <alignment vertical="top"/>
    </xf>
    <xf numFmtId="3" fontId="254" fillId="4" borderId="0" xfId="1" applyNumberFormat="1" applyFont="1" applyFill="1"/>
    <xf numFmtId="0" fontId="311" fillId="4" borderId="0" xfId="2" applyFont="1" applyFill="1" applyAlignment="1">
      <alignment vertical="top"/>
    </xf>
    <xf numFmtId="3" fontId="252" fillId="4" borderId="0" xfId="1" applyNumberFormat="1" applyFont="1" applyFill="1" applyAlignment="1">
      <alignment horizontal="center" vertical="top"/>
    </xf>
    <xf numFmtId="0" fontId="252" fillId="4" borderId="0" xfId="2" applyFont="1" applyFill="1" applyAlignment="1">
      <alignment horizontal="left" vertical="top"/>
    </xf>
    <xf numFmtId="3" fontId="254" fillId="4" borderId="0" xfId="1" applyNumberFormat="1" applyFont="1" applyFill="1" applyAlignment="1">
      <alignment horizontal="center"/>
    </xf>
    <xf numFmtId="0" fontId="254" fillId="21" borderId="0" xfId="0" applyFont="1" applyFill="1" applyAlignment="1">
      <alignment horizontal="center"/>
    </xf>
    <xf numFmtId="0" fontId="254" fillId="21" borderId="0" xfId="0" applyFont="1" applyFill="1"/>
    <xf numFmtId="0" fontId="312" fillId="0" borderId="0" xfId="0" applyFont="1"/>
    <xf numFmtId="166" fontId="312" fillId="4" borderId="0" xfId="1" applyNumberFormat="1" applyFont="1" applyFill="1"/>
    <xf numFmtId="166" fontId="252" fillId="0" borderId="0" xfId="1" applyNumberFormat="1" applyFont="1" applyAlignment="1">
      <alignment horizontal="center" vertical="top"/>
    </xf>
    <xf numFmtId="166" fontId="312" fillId="0" borderId="0" xfId="1" applyNumberFormat="1" applyFont="1"/>
    <xf numFmtId="166" fontId="254" fillId="4" borderId="0" xfId="1" applyNumberFormat="1" applyFont="1" applyFill="1"/>
    <xf numFmtId="3" fontId="254" fillId="26" borderId="0" xfId="0" applyNumberFormat="1" applyFont="1" applyFill="1"/>
    <xf numFmtId="0" fontId="252" fillId="21" borderId="0" xfId="2" applyFont="1" applyFill="1" applyAlignment="1">
      <alignment vertical="top"/>
    </xf>
    <xf numFmtId="0" fontId="316"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17" fillId="0" borderId="0" xfId="2" applyFont="1" applyAlignment="1">
      <alignment horizontal="center" vertical="top"/>
    </xf>
    <xf numFmtId="0" fontId="79" fillId="0" borderId="0" xfId="0" applyFont="1"/>
    <xf numFmtId="0" fontId="316" fillId="0" borderId="0" xfId="2" applyFont="1" applyAlignment="1">
      <alignment horizontal="center" vertical="top"/>
    </xf>
    <xf numFmtId="164" fontId="317"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3" fillId="0" borderId="0" xfId="2" applyFont="1" applyAlignment="1">
      <alignment horizontal="left" vertical="top"/>
    </xf>
    <xf numFmtId="0" fontId="79"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79" fillId="0" borderId="0" xfId="0" applyNumberFormat="1" applyFont="1" applyAlignment="1">
      <alignment horizontal="center"/>
    </xf>
    <xf numFmtId="3" fontId="79" fillId="11" borderId="0" xfId="0" applyNumberFormat="1" applyFont="1" applyFill="1" applyAlignment="1">
      <alignment horizontal="center"/>
    </xf>
    <xf numFmtId="164" fontId="79" fillId="0" borderId="0" xfId="0" applyNumberFormat="1" applyFont="1"/>
    <xf numFmtId="164" fontId="79" fillId="9" borderId="0" xfId="0" applyNumberFormat="1" applyFont="1" applyFill="1"/>
    <xf numFmtId="169" fontId="79" fillId="9" borderId="0" xfId="0" applyNumberFormat="1" applyFont="1" applyFill="1"/>
    <xf numFmtId="169" fontId="79" fillId="0" borderId="0" xfId="0" applyNumberFormat="1" applyFont="1"/>
    <xf numFmtId="3" fontId="79" fillId="0" borderId="0" xfId="0" applyNumberFormat="1" applyFont="1"/>
    <xf numFmtId="1" fontId="79" fillId="0" borderId="0" xfId="0" applyNumberFormat="1" applyFont="1"/>
    <xf numFmtId="0" fontId="79" fillId="6" borderId="0" xfId="0" applyFont="1" applyFill="1"/>
    <xf numFmtId="0" fontId="318"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79" fillId="4" borderId="0" xfId="0" applyFont="1" applyFill="1"/>
    <xf numFmtId="3" fontId="79" fillId="4" borderId="0" xfId="0" applyNumberFormat="1" applyFont="1" applyFill="1" applyAlignment="1">
      <alignment horizontal="center"/>
    </xf>
    <xf numFmtId="0" fontId="319" fillId="0" borderId="0" xfId="2" applyFont="1" applyAlignment="1">
      <alignment horizontal="center" vertical="top"/>
    </xf>
    <xf numFmtId="0" fontId="319"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79" fillId="4" borderId="0" xfId="1" applyNumberFormat="1" applyFont="1" applyFill="1"/>
    <xf numFmtId="166" fontId="28" fillId="0" borderId="0" xfId="1" applyNumberFormat="1" applyFont="1" applyAlignment="1">
      <alignment horizontal="center" vertical="top"/>
    </xf>
    <xf numFmtId="166" fontId="79" fillId="0" borderId="0" xfId="1" applyNumberFormat="1" applyFont="1"/>
    <xf numFmtId="166" fontId="28" fillId="0" borderId="0" xfId="1" applyNumberFormat="1" applyFont="1" applyAlignment="1">
      <alignment horizontal="left" vertical="top"/>
    </xf>
    <xf numFmtId="166" fontId="79"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3" fontId="317"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76" fillId="0" borderId="0" xfId="1" applyNumberFormat="1" applyFont="1" applyAlignment="1">
      <alignment horizontal="left" vertical="top"/>
    </xf>
    <xf numFmtId="166" fontId="278" fillId="0" borderId="0" xfId="1" applyNumberFormat="1" applyFont="1"/>
    <xf numFmtId="166" fontId="278" fillId="9" borderId="0" xfId="1" applyNumberFormat="1" applyFont="1" applyFill="1"/>
    <xf numFmtId="3" fontId="28" fillId="4" borderId="0" xfId="1" applyNumberFormat="1" applyFont="1" applyFill="1" applyAlignment="1">
      <alignment horizontal="left" vertical="top"/>
    </xf>
    <xf numFmtId="3" fontId="79"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79" fillId="0" borderId="0" xfId="1" applyNumberFormat="1" applyFont="1"/>
    <xf numFmtId="4" fontId="79" fillId="0" borderId="0" xfId="1" applyNumberFormat="1" applyFont="1"/>
    <xf numFmtId="3" fontId="79" fillId="4" borderId="0" xfId="1" applyNumberFormat="1" applyFont="1" applyFill="1" applyAlignment="1">
      <alignment horizontal="center"/>
    </xf>
    <xf numFmtId="3" fontId="28" fillId="0" borderId="0" xfId="1" applyNumberFormat="1" applyFont="1" applyAlignment="1">
      <alignment horizontal="center" vertical="top"/>
    </xf>
    <xf numFmtId="3" fontId="79" fillId="0" borderId="0" xfId="1" applyNumberFormat="1" applyFont="1" applyAlignment="1">
      <alignment horizontal="center"/>
    </xf>
    <xf numFmtId="166" fontId="320" fillId="0" borderId="0" xfId="1" applyNumberFormat="1" applyFont="1"/>
    <xf numFmtId="166" fontId="317" fillId="4" borderId="0" xfId="1" applyNumberFormat="1" applyFont="1" applyFill="1"/>
    <xf numFmtId="166" fontId="317" fillId="0" borderId="0" xfId="1" applyNumberFormat="1" applyFont="1"/>
    <xf numFmtId="166" fontId="79" fillId="9" borderId="0" xfId="1" applyNumberFormat="1" applyFont="1" applyFill="1"/>
    <xf numFmtId="0" fontId="321" fillId="0" borderId="0" xfId="0" applyFont="1"/>
    <xf numFmtId="0" fontId="320" fillId="0" borderId="0" xfId="0" applyFont="1" applyAlignment="1">
      <alignment horizontal="center"/>
    </xf>
    <xf numFmtId="3" fontId="106" fillId="25" borderId="0" xfId="0" applyNumberFormat="1" applyFont="1" applyFill="1" applyAlignment="1">
      <alignment horizontal="center"/>
    </xf>
    <xf numFmtId="0" fontId="88" fillId="4" borderId="0" xfId="2" applyFont="1" applyFill="1" applyAlignment="1">
      <alignment horizontal="left" vertical="top"/>
    </xf>
    <xf numFmtId="0" fontId="88" fillId="4" borderId="0" xfId="2" applyFont="1" applyFill="1" applyAlignment="1">
      <alignment horizontal="center" vertical="top"/>
    </xf>
    <xf numFmtId="3" fontId="88" fillId="4" borderId="0" xfId="2" applyNumberFormat="1" applyFont="1" applyFill="1" applyAlignment="1">
      <alignment horizontal="center" vertical="top"/>
    </xf>
    <xf numFmtId="0" fontId="106" fillId="4" borderId="0" xfId="0" applyFont="1" applyFill="1"/>
    <xf numFmtId="0" fontId="88" fillId="4" borderId="0" xfId="2" applyFont="1" applyFill="1" applyAlignment="1">
      <alignment vertical="top"/>
    </xf>
    <xf numFmtId="3" fontId="106" fillId="4" borderId="0" xfId="0" applyNumberFormat="1" applyFont="1" applyFill="1" applyAlignment="1">
      <alignment horizontal="center" vertical="top"/>
    </xf>
    <xf numFmtId="3" fontId="106" fillId="4" borderId="0" xfId="0" applyNumberFormat="1" applyFont="1" applyFill="1" applyAlignment="1">
      <alignment horizontal="center"/>
    </xf>
    <xf numFmtId="0" fontId="88" fillId="0" borderId="0" xfId="0" applyFont="1"/>
    <xf numFmtId="3" fontId="88" fillId="0" borderId="0" xfId="0" applyNumberFormat="1" applyFont="1" applyAlignment="1">
      <alignment horizontal="center" vertical="top"/>
    </xf>
    <xf numFmtId="0" fontId="88" fillId="0" borderId="0" xfId="0" applyFont="1" applyAlignment="1">
      <alignment horizontal="center" vertical="top"/>
    </xf>
    <xf numFmtId="0" fontId="88" fillId="0" borderId="0" xfId="0" applyFont="1" applyAlignment="1">
      <alignment horizontal="right" vertical="top"/>
    </xf>
    <xf numFmtId="0" fontId="88" fillId="21" borderId="0" xfId="0" applyFont="1" applyFill="1" applyAlignment="1">
      <alignment horizontal="right" vertical="top"/>
    </xf>
    <xf numFmtId="0" fontId="88" fillId="21" borderId="0" xfId="0" applyFont="1" applyFill="1" applyAlignment="1">
      <alignment horizontal="left" vertical="top"/>
    </xf>
    <xf numFmtId="0" fontId="88" fillId="4" borderId="0" xfId="0" applyFont="1" applyFill="1" applyAlignment="1">
      <alignment horizontal="left" vertical="top"/>
    </xf>
    <xf numFmtId="3" fontId="88" fillId="4" borderId="0" xfId="0" applyNumberFormat="1" applyFont="1" applyFill="1" applyAlignment="1">
      <alignment horizontal="center" vertical="top"/>
    </xf>
    <xf numFmtId="0" fontId="88" fillId="25" borderId="0" xfId="0" applyFont="1" applyFill="1" applyAlignment="1">
      <alignment horizontal="right" vertical="top"/>
    </xf>
    <xf numFmtId="0" fontId="88" fillId="25" borderId="0" xfId="0" applyFont="1" applyFill="1" applyAlignment="1">
      <alignment horizontal="left" vertical="top"/>
    </xf>
    <xf numFmtId="3" fontId="88" fillId="25" borderId="0" xfId="0" applyNumberFormat="1" applyFont="1" applyFill="1" applyAlignment="1">
      <alignment horizontal="center" vertical="top"/>
    </xf>
    <xf numFmtId="169" fontId="88" fillId="0" borderId="0" xfId="0" applyNumberFormat="1" applyFont="1" applyAlignment="1">
      <alignment horizontal="left" vertical="top"/>
    </xf>
    <xf numFmtId="164" fontId="88" fillId="0" borderId="0" xfId="0" applyNumberFormat="1" applyFont="1" applyAlignment="1">
      <alignment horizontal="left" vertical="top"/>
    </xf>
    <xf numFmtId="0" fontId="322" fillId="7" borderId="1" xfId="0" applyFont="1" applyFill="1" applyBorder="1" applyAlignment="1">
      <alignment horizontal="right"/>
    </xf>
    <xf numFmtId="0" fontId="322" fillId="7" borderId="2" xfId="0" applyFont="1" applyFill="1" applyBorder="1" applyAlignment="1">
      <alignment horizontal="right"/>
    </xf>
    <xf numFmtId="0" fontId="322" fillId="8" borderId="2" xfId="0" applyFont="1" applyFill="1" applyBorder="1" applyAlignment="1">
      <alignment horizontal="right"/>
    </xf>
    <xf numFmtId="0" fontId="322" fillId="8" borderId="3" xfId="0" applyFont="1" applyFill="1" applyBorder="1" applyAlignment="1">
      <alignment horizontal="right"/>
    </xf>
    <xf numFmtId="166" fontId="88" fillId="4" borderId="0" xfId="1" applyNumberFormat="1" applyFont="1" applyFill="1" applyAlignment="1">
      <alignment horizontal="center" vertical="top"/>
    </xf>
    <xf numFmtId="166" fontId="88" fillId="0" borderId="0" xfId="1" applyNumberFormat="1" applyFont="1" applyAlignment="1">
      <alignment horizontal="center" vertical="top"/>
    </xf>
    <xf numFmtId="166" fontId="88" fillId="25" borderId="0" xfId="1" applyNumberFormat="1" applyFont="1" applyFill="1" applyAlignment="1">
      <alignment horizontal="center" vertical="top"/>
    </xf>
    <xf numFmtId="166" fontId="106" fillId="4" borderId="0" xfId="1" applyNumberFormat="1" applyFont="1" applyFill="1"/>
    <xf numFmtId="166" fontId="106" fillId="25" borderId="0" xfId="1" applyNumberFormat="1" applyFont="1" applyFill="1"/>
    <xf numFmtId="3" fontId="285" fillId="0" borderId="0" xfId="1" applyNumberFormat="1" applyFont="1" applyAlignment="1">
      <alignment vertical="top"/>
    </xf>
    <xf numFmtId="3" fontId="280" fillId="0" borderId="0" xfId="1" applyNumberFormat="1" applyFont="1"/>
    <xf numFmtId="0" fontId="286" fillId="0" borderId="0" xfId="2" applyFont="1" applyAlignment="1">
      <alignment vertical="top"/>
    </xf>
    <xf numFmtId="3" fontId="285" fillId="0" borderId="0" xfId="0" applyNumberFormat="1" applyFont="1" applyAlignment="1">
      <alignment horizontal="center" vertical="top"/>
    </xf>
    <xf numFmtId="4" fontId="280" fillId="0" borderId="0" xfId="0" applyNumberFormat="1" applyFont="1"/>
    <xf numFmtId="166" fontId="285" fillId="0" borderId="0" xfId="1" applyNumberFormat="1" applyFont="1" applyAlignment="1">
      <alignment vertical="top"/>
    </xf>
    <xf numFmtId="166" fontId="285" fillId="11" borderId="0" xfId="1" applyNumberFormat="1" applyFont="1" applyFill="1" applyAlignment="1">
      <alignment vertical="top"/>
    </xf>
    <xf numFmtId="166" fontId="280" fillId="11" borderId="0" xfId="1" applyNumberFormat="1" applyFont="1" applyFill="1"/>
    <xf numFmtId="166" fontId="285" fillId="0" borderId="0" xfId="1" applyNumberFormat="1" applyFont="1" applyAlignment="1">
      <alignment horizontal="center" vertical="center"/>
    </xf>
    <xf numFmtId="166" fontId="285" fillId="4" borderId="0" xfId="1" applyNumberFormat="1" applyFont="1" applyFill="1" applyAlignment="1">
      <alignment horizontal="left" vertical="top"/>
    </xf>
    <xf numFmtId="0" fontId="287" fillId="4" borderId="0" xfId="2" applyFont="1" applyFill="1" applyAlignment="1">
      <alignment vertical="top"/>
    </xf>
    <xf numFmtId="0" fontId="280" fillId="4" borderId="0" xfId="0" applyFont="1" applyFill="1"/>
    <xf numFmtId="166" fontId="285" fillId="4" borderId="0" xfId="1" applyNumberFormat="1" applyFont="1" applyFill="1" applyAlignment="1">
      <alignment vertical="top"/>
    </xf>
    <xf numFmtId="166" fontId="285" fillId="4" borderId="0" xfId="1" applyNumberFormat="1" applyFont="1" applyFill="1" applyAlignment="1">
      <alignment horizontal="center" vertical="top"/>
    </xf>
    <xf numFmtId="0" fontId="285" fillId="4" borderId="0" xfId="0" applyFont="1" applyFill="1" applyAlignment="1">
      <alignment horizontal="left" vertical="top"/>
    </xf>
    <xf numFmtId="0" fontId="285" fillId="4" borderId="0" xfId="0" applyFont="1" applyFill="1"/>
    <xf numFmtId="0" fontId="285" fillId="4" borderId="0" xfId="2" applyFont="1" applyFill="1" applyAlignment="1">
      <alignment vertical="top"/>
    </xf>
    <xf numFmtId="0" fontId="324" fillId="0" borderId="0" xfId="2" applyFont="1" applyAlignment="1">
      <alignment horizontal="left" vertical="top"/>
    </xf>
    <xf numFmtId="0" fontId="324" fillId="0" borderId="0" xfId="2" applyFont="1" applyAlignment="1">
      <alignment horizontal="center" vertical="top"/>
    </xf>
    <xf numFmtId="0" fontId="285" fillId="25" borderId="0" xfId="0" applyFont="1" applyFill="1" applyAlignment="1">
      <alignment horizontal="left" vertical="top"/>
    </xf>
    <xf numFmtId="166" fontId="285" fillId="25" borderId="0" xfId="1" applyNumberFormat="1" applyFont="1" applyFill="1" applyAlignment="1">
      <alignment vertical="top"/>
    </xf>
    <xf numFmtId="0" fontId="280" fillId="21" borderId="0" xfId="0" applyFont="1" applyFill="1"/>
    <xf numFmtId="0" fontId="325" fillId="0" borderId="0" xfId="0" applyFont="1"/>
    <xf numFmtId="0" fontId="325" fillId="4" borderId="0" xfId="0" applyFont="1" applyFill="1"/>
    <xf numFmtId="3" fontId="325" fillId="4" borderId="0" xfId="0" applyNumberFormat="1" applyFont="1" applyFill="1"/>
    <xf numFmtId="166" fontId="325" fillId="0" borderId="0" xfId="1" applyNumberFormat="1" applyFont="1"/>
    <xf numFmtId="166" fontId="280" fillId="4" borderId="0" xfId="1" applyNumberFormat="1" applyFont="1" applyFill="1"/>
    <xf numFmtId="0" fontId="286" fillId="0" borderId="0" xfId="0" applyFont="1"/>
    <xf numFmtId="166" fontId="286" fillId="4" borderId="0" xfId="1" applyNumberFormat="1" applyFont="1" applyFill="1"/>
    <xf numFmtId="166" fontId="286" fillId="0" borderId="0" xfId="1" applyNumberFormat="1" applyFont="1"/>
    <xf numFmtId="3" fontId="280" fillId="26" borderId="0" xfId="0" applyNumberFormat="1" applyFont="1" applyFill="1"/>
    <xf numFmtId="0" fontId="325" fillId="0" borderId="0" xfId="0" applyFont="1" applyAlignment="1">
      <alignment horizontal="center"/>
    </xf>
    <xf numFmtId="0" fontId="286" fillId="0" borderId="0" xfId="0" applyFont="1" applyAlignment="1">
      <alignment horizontal="center"/>
    </xf>
    <xf numFmtId="3" fontId="176" fillId="0" borderId="0" xfId="5" applyNumberFormat="1" applyFont="1" applyAlignment="1">
      <alignment horizontal="center" vertical="top"/>
    </xf>
    <xf numFmtId="3" fontId="175" fillId="25" borderId="0" xfId="0" applyNumberFormat="1" applyFont="1" applyFill="1" applyAlignment="1">
      <alignment horizontal="center" vertical="top"/>
    </xf>
    <xf numFmtId="166" fontId="280" fillId="25" borderId="0" xfId="1" applyNumberFormat="1" applyFont="1" applyFill="1"/>
    <xf numFmtId="166" fontId="286"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26" fillId="0" borderId="0" xfId="0" applyFont="1"/>
    <xf numFmtId="3" fontId="17" fillId="0" borderId="0" xfId="0" applyNumberFormat="1" applyFont="1"/>
    <xf numFmtId="0" fontId="143" fillId="0" borderId="0" xfId="0" applyFont="1"/>
    <xf numFmtId="3" fontId="75" fillId="4" borderId="0" xfId="0" applyNumberFormat="1" applyFont="1" applyFill="1" applyAlignment="1">
      <alignment horizontal="center" vertical="top"/>
    </xf>
    <xf numFmtId="3" fontId="75" fillId="0" borderId="0" xfId="0" applyNumberFormat="1" applyFont="1" applyAlignment="1">
      <alignment horizontal="center" vertical="top"/>
    </xf>
    <xf numFmtId="3" fontId="75" fillId="11" borderId="0" xfId="0" applyNumberFormat="1" applyFont="1" applyFill="1" applyAlignment="1">
      <alignment horizontal="center" vertical="top"/>
    </xf>
    <xf numFmtId="3" fontId="75"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27" fillId="7" borderId="1" xfId="0" applyFont="1" applyFill="1" applyBorder="1" applyAlignment="1">
      <alignment horizontal="right"/>
    </xf>
    <xf numFmtId="0" fontId="327" fillId="7" borderId="2" xfId="0" applyFont="1" applyFill="1" applyBorder="1" applyAlignment="1">
      <alignment horizontal="right"/>
    </xf>
    <xf numFmtId="0" fontId="327" fillId="8" borderId="2" xfId="0" applyFont="1" applyFill="1" applyBorder="1" applyAlignment="1">
      <alignment horizontal="right"/>
    </xf>
    <xf numFmtId="0" fontId="327" fillId="8" borderId="3" xfId="0" applyFont="1" applyFill="1" applyBorder="1" applyAlignment="1">
      <alignment horizontal="right"/>
    </xf>
    <xf numFmtId="0" fontId="97"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76" fillId="5" borderId="0" xfId="2" applyFont="1" applyFill="1" applyAlignment="1">
      <alignment horizontal="center" vertical="top"/>
    </xf>
    <xf numFmtId="3" fontId="276" fillId="0" borderId="0" xfId="1" applyNumberFormat="1" applyFont="1" applyAlignment="1">
      <alignment horizontal="center" vertical="center"/>
    </xf>
    <xf numFmtId="3" fontId="278" fillId="0" borderId="0" xfId="1" applyNumberFormat="1" applyFont="1" applyAlignment="1">
      <alignment horizontal="center" vertical="center"/>
    </xf>
    <xf numFmtId="4" fontId="276" fillId="0" borderId="0" xfId="0" applyNumberFormat="1" applyFont="1" applyAlignment="1">
      <alignment horizontal="center" vertical="top"/>
    </xf>
    <xf numFmtId="167" fontId="276" fillId="0" borderId="0" xfId="0" applyNumberFormat="1" applyFont="1" applyAlignment="1">
      <alignment horizontal="left" vertical="top"/>
    </xf>
    <xf numFmtId="3" fontId="278" fillId="0" borderId="0" xfId="0" applyNumberFormat="1" applyFont="1" applyAlignment="1">
      <alignment horizontal="center" vertical="center"/>
    </xf>
    <xf numFmtId="169" fontId="276" fillId="0" borderId="0" xfId="0" applyNumberFormat="1" applyFont="1" applyAlignment="1">
      <alignment horizontal="left" vertical="top"/>
    </xf>
    <xf numFmtId="43" fontId="276" fillId="0" borderId="0" xfId="1" applyFont="1" applyAlignment="1">
      <alignment horizontal="left" vertical="top"/>
    </xf>
    <xf numFmtId="43" fontId="278" fillId="0" borderId="0" xfId="1" applyFont="1"/>
    <xf numFmtId="167" fontId="278" fillId="0" borderId="0" xfId="0" applyNumberFormat="1" applyFont="1"/>
    <xf numFmtId="170" fontId="278" fillId="0" borderId="0" xfId="0" applyNumberFormat="1" applyFont="1"/>
    <xf numFmtId="168" fontId="278" fillId="0" borderId="0" xfId="0" applyNumberFormat="1" applyFont="1"/>
    <xf numFmtId="43" fontId="278" fillId="9" borderId="0" xfId="0" applyNumberFormat="1" applyFont="1" applyFill="1"/>
    <xf numFmtId="0" fontId="329" fillId="7" borderId="1" xfId="0" applyFont="1" applyFill="1" applyBorder="1" applyAlignment="1">
      <alignment horizontal="right"/>
    </xf>
    <xf numFmtId="0" fontId="329" fillId="7" borderId="2" xfId="0" applyFont="1" applyFill="1" applyBorder="1" applyAlignment="1">
      <alignment horizontal="right"/>
    </xf>
    <xf numFmtId="0" fontId="330" fillId="0" borderId="0" xfId="2" applyFont="1" applyAlignment="1">
      <alignment horizontal="left" vertical="top"/>
    </xf>
    <xf numFmtId="0" fontId="274" fillId="0" borderId="0" xfId="2" applyFont="1" applyAlignment="1">
      <alignment horizontal="left" vertical="top"/>
    </xf>
    <xf numFmtId="0" fontId="274" fillId="0" borderId="0" xfId="2" applyFont="1" applyAlignment="1">
      <alignment horizontal="center" vertical="top"/>
    </xf>
    <xf numFmtId="0" fontId="331" fillId="0" borderId="0" xfId="2" applyFont="1" applyAlignment="1">
      <alignment horizontal="center" vertical="top"/>
    </xf>
    <xf numFmtId="0" fontId="332" fillId="0" borderId="0" xfId="0" applyFont="1"/>
    <xf numFmtId="0" fontId="330" fillId="0" borderId="0" xfId="2" applyFont="1" applyAlignment="1">
      <alignment horizontal="center" vertical="top"/>
    </xf>
    <xf numFmtId="164" fontId="331" fillId="0" borderId="0" xfId="2" applyNumberFormat="1" applyFont="1" applyAlignment="1">
      <alignment horizontal="center" vertical="top"/>
    </xf>
    <xf numFmtId="164" fontId="274" fillId="0" borderId="0" xfId="2" applyNumberFormat="1" applyFont="1" applyAlignment="1">
      <alignment horizontal="center" vertical="top"/>
    </xf>
    <xf numFmtId="4" fontId="274" fillId="0" borderId="0" xfId="2" applyNumberFormat="1" applyFont="1" applyAlignment="1">
      <alignment horizontal="center" vertical="top"/>
    </xf>
    <xf numFmtId="0" fontId="333" fillId="0" borderId="0" xfId="2" applyFont="1" applyAlignment="1">
      <alignment horizontal="left" vertical="top"/>
    </xf>
    <xf numFmtId="0" fontId="274" fillId="0" borderId="0" xfId="2" applyFont="1" applyAlignment="1">
      <alignment vertical="top"/>
    </xf>
    <xf numFmtId="0" fontId="274" fillId="0" borderId="0" xfId="0" applyFont="1" applyAlignment="1">
      <alignment horizontal="left" vertical="top"/>
    </xf>
    <xf numFmtId="0" fontId="274" fillId="0" borderId="0" xfId="0" applyFont="1" applyAlignment="1">
      <alignment horizontal="center" vertical="top"/>
    </xf>
    <xf numFmtId="0" fontId="274" fillId="0" borderId="0" xfId="0" applyFont="1" applyAlignment="1">
      <alignment horizontal="right" vertical="top"/>
    </xf>
    <xf numFmtId="167" fontId="274" fillId="0" borderId="0" xfId="0" applyNumberFormat="1" applyFont="1" applyAlignment="1">
      <alignment horizontal="left" vertical="top"/>
    </xf>
    <xf numFmtId="169" fontId="274" fillId="0" borderId="0" xfId="0" applyNumberFormat="1" applyFont="1" applyAlignment="1">
      <alignment horizontal="left" vertical="top"/>
    </xf>
    <xf numFmtId="43" fontId="274" fillId="0" borderId="0" xfId="1" applyFont="1" applyAlignment="1">
      <alignment horizontal="left" vertical="top"/>
    </xf>
    <xf numFmtId="43" fontId="332" fillId="0" borderId="0" xfId="1" applyFont="1"/>
    <xf numFmtId="168" fontId="332" fillId="0" borderId="0" xfId="0" applyNumberFormat="1" applyFont="1"/>
    <xf numFmtId="43" fontId="332" fillId="0" borderId="0" xfId="0" applyNumberFormat="1" applyFont="1"/>
    <xf numFmtId="43" fontId="332" fillId="9" borderId="0" xfId="0" applyNumberFormat="1" applyFont="1" applyFill="1"/>
    <xf numFmtId="3" fontId="332" fillId="0" borderId="0" xfId="0" applyNumberFormat="1" applyFont="1"/>
    <xf numFmtId="0" fontId="335" fillId="7" borderId="1" xfId="0" applyFont="1" applyFill="1" applyBorder="1" applyAlignment="1">
      <alignment horizontal="right"/>
    </xf>
    <xf numFmtId="0" fontId="335" fillId="7" borderId="2" xfId="0"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4" fontId="335" fillId="8" borderId="3" xfId="0" applyNumberFormat="1" applyFont="1" applyFill="1" applyBorder="1" applyAlignment="1">
      <alignment horizontal="right"/>
    </xf>
    <xf numFmtId="0" fontId="276" fillId="4" borderId="0" xfId="2" applyFont="1" applyFill="1" applyAlignment="1">
      <alignment vertical="top"/>
    </xf>
    <xf numFmtId="0" fontId="279" fillId="4" borderId="0" xfId="2" applyFont="1" applyFill="1" applyAlignment="1">
      <alignment vertical="top"/>
    </xf>
    <xf numFmtId="0" fontId="278" fillId="4" borderId="0" xfId="0" applyFont="1" applyFill="1"/>
    <xf numFmtId="0" fontId="276" fillId="4" borderId="0" xfId="0" applyFont="1" applyFill="1" applyAlignment="1">
      <alignment horizontal="left" vertical="top"/>
    </xf>
    <xf numFmtId="3" fontId="276" fillId="4" borderId="0" xfId="1" applyNumberFormat="1" applyFont="1" applyFill="1" applyAlignment="1">
      <alignment horizontal="center" vertical="center"/>
    </xf>
    <xf numFmtId="3" fontId="278" fillId="4" borderId="0" xfId="1" applyNumberFormat="1" applyFont="1" applyFill="1" applyAlignment="1">
      <alignment horizontal="center" vertical="center"/>
    </xf>
    <xf numFmtId="3" fontId="276" fillId="4" borderId="0" xfId="0" applyNumberFormat="1" applyFont="1" applyFill="1" applyAlignment="1">
      <alignment horizontal="center" vertical="top"/>
    </xf>
    <xf numFmtId="43" fontId="276" fillId="0" borderId="0" xfId="1" applyFont="1" applyAlignment="1">
      <alignment horizontal="center" vertical="top"/>
    </xf>
    <xf numFmtId="166" fontId="276" fillId="4" borderId="0" xfId="1" applyNumberFormat="1" applyFont="1" applyFill="1" applyAlignment="1">
      <alignment horizontal="center" vertical="top"/>
    </xf>
    <xf numFmtId="166" fontId="278" fillId="4" borderId="0" xfId="1" applyNumberFormat="1" applyFont="1" applyFill="1"/>
    <xf numFmtId="166" fontId="276" fillId="0" borderId="0" xfId="1" applyNumberFormat="1" applyFont="1" applyAlignment="1">
      <alignment horizontal="center" vertical="center"/>
    </xf>
    <xf numFmtId="166" fontId="276" fillId="4" borderId="0" xfId="1" applyNumberFormat="1" applyFont="1" applyFill="1" applyAlignment="1">
      <alignment horizontal="center" vertical="center"/>
    </xf>
    <xf numFmtId="166" fontId="276" fillId="25" borderId="0" xfId="1" applyNumberFormat="1" applyFont="1" applyFill="1" applyAlignment="1">
      <alignment horizontal="center" vertical="center"/>
    </xf>
    <xf numFmtId="43" fontId="278" fillId="26" borderId="0" xfId="0" applyNumberFormat="1" applyFont="1" applyFill="1"/>
    <xf numFmtId="166" fontId="278"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17" fillId="0" borderId="0" xfId="2" applyFont="1" applyAlignment="1">
      <alignment vertical="top"/>
    </xf>
    <xf numFmtId="3" fontId="28" fillId="11" borderId="0" xfId="1" applyNumberFormat="1" applyFont="1" applyFill="1" applyAlignment="1">
      <alignment horizontal="center" vertical="top"/>
    </xf>
    <xf numFmtId="0" fontId="73" fillId="4" borderId="0" xfId="0" applyFont="1" applyFill="1" applyAlignment="1">
      <alignment horizontal="left" vertical="top"/>
    </xf>
    <xf numFmtId="0" fontId="28" fillId="0" borderId="0" xfId="0" applyFont="1" applyAlignment="1">
      <alignment horizontal="left" vertical="top" indent="4"/>
    </xf>
    <xf numFmtId="3" fontId="79" fillId="9" borderId="0" xfId="0" applyNumberFormat="1" applyFont="1" applyFill="1"/>
    <xf numFmtId="4" fontId="79" fillId="0" borderId="0" xfId="0" applyNumberFormat="1" applyFont="1"/>
    <xf numFmtId="3" fontId="321"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6"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7" fillId="0" borderId="0" xfId="0" applyFont="1"/>
    <xf numFmtId="0" fontId="55" fillId="0" borderId="0" xfId="0" applyFont="1" applyAlignment="1">
      <alignment horizontal="left" vertical="top" indent="1"/>
    </xf>
    <xf numFmtId="4" fontId="327" fillId="7" borderId="1" xfId="0" applyNumberFormat="1" applyFont="1" applyFill="1" applyBorder="1" applyAlignment="1">
      <alignment horizontal="right"/>
    </xf>
    <xf numFmtId="4" fontId="327" fillId="7" borderId="2" xfId="0" applyNumberFormat="1" applyFont="1" applyFill="1" applyBorder="1" applyAlignment="1">
      <alignment horizontal="right"/>
    </xf>
    <xf numFmtId="4" fontId="327" fillId="8" borderId="2" xfId="0" applyNumberFormat="1" applyFont="1" applyFill="1" applyBorder="1" applyAlignment="1">
      <alignment horizontal="right"/>
    </xf>
    <xf numFmtId="1" fontId="56" fillId="0" borderId="0" xfId="0" applyNumberFormat="1" applyFont="1"/>
    <xf numFmtId="0" fontId="340" fillId="0" borderId="0" xfId="0" applyFont="1" applyAlignment="1">
      <alignment horizontal="left" vertical="top" indent="1"/>
    </xf>
    <xf numFmtId="3" fontId="340"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1" fillId="0" borderId="0" xfId="0" applyFont="1"/>
    <xf numFmtId="0" fontId="276" fillId="25" borderId="0" xfId="0" applyFont="1" applyFill="1" applyAlignment="1">
      <alignment horizontal="left" vertical="top"/>
    </xf>
    <xf numFmtId="0" fontId="276" fillId="25" borderId="0" xfId="2" applyFont="1" applyFill="1" applyAlignment="1">
      <alignment vertical="top"/>
    </xf>
    <xf numFmtId="0" fontId="274" fillId="4" borderId="0" xfId="0" applyFont="1" applyFill="1" applyAlignment="1">
      <alignment horizontal="left" vertical="top"/>
    </xf>
    <xf numFmtId="0" fontId="274" fillId="25" borderId="0" xfId="0" applyFont="1" applyFill="1" applyAlignment="1">
      <alignment horizontal="left" vertical="top"/>
    </xf>
    <xf numFmtId="0" fontId="342" fillId="0" borderId="0" xfId="0" applyFont="1"/>
    <xf numFmtId="3" fontId="278" fillId="4" borderId="0" xfId="1" applyNumberFormat="1" applyFont="1" applyFill="1" applyAlignment="1">
      <alignment horizontal="center"/>
    </xf>
    <xf numFmtId="3" fontId="276" fillId="4" borderId="0" xfId="1" applyNumberFormat="1" applyFont="1" applyFill="1" applyAlignment="1">
      <alignment horizontal="center" vertical="top"/>
    </xf>
    <xf numFmtId="3" fontId="278" fillId="0" borderId="0" xfId="1" applyNumberFormat="1" applyFont="1" applyAlignment="1">
      <alignment horizontal="center"/>
    </xf>
    <xf numFmtId="0" fontId="276" fillId="4" borderId="0" xfId="0" applyFont="1" applyFill="1" applyAlignment="1">
      <alignment horizontal="center"/>
    </xf>
    <xf numFmtId="3" fontId="278" fillId="0" borderId="0" xfId="0" applyNumberFormat="1" applyFont="1" applyAlignment="1">
      <alignment horizontal="center"/>
    </xf>
    <xf numFmtId="3" fontId="278" fillId="11" borderId="0" xfId="1" applyNumberFormat="1" applyFont="1" applyFill="1" applyAlignment="1">
      <alignment horizontal="center"/>
    </xf>
    <xf numFmtId="3" fontId="276" fillId="11" borderId="0" xfId="1" applyNumberFormat="1" applyFont="1" applyFill="1" applyAlignment="1">
      <alignment horizontal="center" vertical="top"/>
    </xf>
    <xf numFmtId="3" fontId="343" fillId="4" borderId="0" xfId="1" applyNumberFormat="1" applyFont="1" applyFill="1" applyAlignment="1">
      <alignment horizontal="center" vertical="top"/>
    </xf>
    <xf numFmtId="3" fontId="343" fillId="0" borderId="0" xfId="1" applyNumberFormat="1" applyFont="1" applyAlignment="1">
      <alignment horizontal="center" vertical="top"/>
    </xf>
    <xf numFmtId="169" fontId="278" fillId="0" borderId="0" xfId="0" applyNumberFormat="1" applyFont="1"/>
    <xf numFmtId="169" fontId="278" fillId="9" borderId="0" xfId="0" applyNumberFormat="1" applyFont="1" applyFill="1"/>
    <xf numFmtId="0" fontId="276" fillId="21" borderId="0" xfId="0" applyFont="1" applyFill="1" applyAlignment="1">
      <alignment horizontal="center" vertical="top"/>
    </xf>
    <xf numFmtId="166" fontId="277" fillId="0" borderId="0" xfId="1" applyNumberFormat="1" applyFont="1"/>
    <xf numFmtId="169" fontId="277" fillId="26" borderId="0" xfId="0" applyNumberFormat="1" applyFont="1" applyFill="1"/>
    <xf numFmtId="166" fontId="277" fillId="26" borderId="0" xfId="1" applyNumberFormat="1" applyFont="1" applyFill="1"/>
    <xf numFmtId="3" fontId="276" fillId="0" borderId="0" xfId="2" applyNumberFormat="1" applyFont="1" applyAlignment="1">
      <alignment horizontal="center" vertical="top"/>
    </xf>
    <xf numFmtId="3" fontId="278" fillId="9" borderId="0" xfId="0" applyNumberFormat="1" applyFont="1" applyFill="1"/>
    <xf numFmtId="0" fontId="285" fillId="0" borderId="0" xfId="0" applyFont="1"/>
    <xf numFmtId="0" fontId="345" fillId="0" borderId="0" xfId="0" applyFont="1"/>
    <xf numFmtId="3" fontId="280" fillId="11" borderId="0" xfId="0" applyNumberFormat="1" applyFont="1" applyFill="1"/>
    <xf numFmtId="3" fontId="285" fillId="0" borderId="0" xfId="0" applyNumberFormat="1" applyFont="1" applyAlignment="1">
      <alignment vertical="top"/>
    </xf>
    <xf numFmtId="3" fontId="280" fillId="0" borderId="0" xfId="0" applyNumberFormat="1" applyFont="1" applyAlignment="1">
      <alignment vertical="top"/>
    </xf>
    <xf numFmtId="3" fontId="280" fillId="22" borderId="0" xfId="0" applyNumberFormat="1" applyFont="1" applyFill="1"/>
    <xf numFmtId="3" fontId="285" fillId="0" borderId="0" xfId="2" applyNumberFormat="1" applyFont="1" applyAlignment="1">
      <alignment horizontal="center" vertical="top"/>
    </xf>
    <xf numFmtId="3" fontId="285" fillId="0" borderId="0" xfId="2" applyNumberFormat="1" applyFont="1" applyAlignment="1">
      <alignment vertical="top"/>
    </xf>
    <xf numFmtId="3" fontId="289" fillId="7" borderId="1" xfId="0" applyNumberFormat="1" applyFont="1" applyFill="1" applyBorder="1" applyAlignment="1">
      <alignment horizontal="right"/>
    </xf>
    <xf numFmtId="3" fontId="289" fillId="7" borderId="2" xfId="0" applyNumberFormat="1" applyFont="1" applyFill="1" applyBorder="1" applyAlignment="1">
      <alignment horizontal="right"/>
    </xf>
    <xf numFmtId="3" fontId="289" fillId="8" borderId="2" xfId="0" applyNumberFormat="1" applyFont="1" applyFill="1" applyBorder="1" applyAlignment="1">
      <alignment horizontal="right"/>
    </xf>
    <xf numFmtId="3" fontId="285" fillId="4" borderId="0" xfId="2" applyNumberFormat="1" applyFont="1" applyFill="1" applyAlignment="1">
      <alignment vertical="top"/>
    </xf>
    <xf numFmtId="3" fontId="280" fillId="4" borderId="0" xfId="0" applyNumberFormat="1" applyFont="1" applyFill="1"/>
    <xf numFmtId="0" fontId="345" fillId="4" borderId="0" xfId="0" applyFont="1" applyFill="1"/>
    <xf numFmtId="3" fontId="285" fillId="4" borderId="0" xfId="0" applyNumberFormat="1" applyFont="1" applyFill="1" applyAlignment="1">
      <alignment vertical="top"/>
    </xf>
    <xf numFmtId="43" fontId="285" fillId="0" borderId="0" xfId="1" applyFont="1" applyAlignment="1">
      <alignment horizontal="center" vertical="top"/>
    </xf>
    <xf numFmtId="166" fontId="325" fillId="4" borderId="0" xfId="1" applyNumberFormat="1" applyFont="1" applyFill="1"/>
    <xf numFmtId="3" fontId="285" fillId="25" borderId="0" xfId="0" applyNumberFormat="1" applyFont="1" applyFill="1" applyAlignment="1">
      <alignment vertical="top"/>
    </xf>
    <xf numFmtId="3" fontId="280" fillId="25" borderId="0" xfId="0" applyNumberFormat="1" applyFont="1" applyFill="1"/>
    <xf numFmtId="166" fontId="346" fillId="4" borderId="0" xfId="1" applyNumberFormat="1" applyFont="1" applyFill="1"/>
    <xf numFmtId="166" fontId="346" fillId="4" borderId="0" xfId="1" applyNumberFormat="1" applyFont="1" applyFill="1" applyAlignment="1">
      <alignment horizontal="center" vertical="top"/>
    </xf>
    <xf numFmtId="166" fontId="346" fillId="0" borderId="0" xfId="1" applyNumberFormat="1" applyFont="1"/>
    <xf numFmtId="166" fontId="346" fillId="22" borderId="0" xfId="1" applyNumberFormat="1" applyFont="1" applyFill="1"/>
    <xf numFmtId="166" fontId="346" fillId="0" borderId="0" xfId="1" applyNumberFormat="1" applyFont="1" applyAlignment="1">
      <alignment horizontal="center" vertical="top"/>
    </xf>
    <xf numFmtId="166" fontId="346" fillId="0" borderId="0" xfId="1" applyNumberFormat="1" applyFont="1" applyAlignment="1">
      <alignment vertical="top"/>
    </xf>
    <xf numFmtId="168" fontId="280" fillId="0" borderId="0" xfId="0" applyNumberFormat="1" applyFont="1"/>
    <xf numFmtId="164" fontId="83" fillId="4" borderId="0" xfId="0" applyNumberFormat="1" applyFont="1" applyFill="1" applyAlignment="1">
      <alignment horizontal="left" vertical="top"/>
    </xf>
    <xf numFmtId="164" fontId="87" fillId="4" borderId="0" xfId="0" applyNumberFormat="1" applyFont="1" applyFill="1" applyAlignment="1">
      <alignment horizontal="left" vertical="top"/>
    </xf>
    <xf numFmtId="169" fontId="83" fillId="4" borderId="0" xfId="0" applyNumberFormat="1" applyFont="1" applyFill="1" applyAlignment="1">
      <alignment horizontal="left" vertical="top"/>
    </xf>
    <xf numFmtId="169" fontId="87" fillId="4" borderId="0" xfId="0" applyNumberFormat="1" applyFont="1" applyFill="1" applyAlignment="1">
      <alignment horizontal="left" vertical="top"/>
    </xf>
    <xf numFmtId="0" fontId="347" fillId="0" borderId="0" xfId="0" applyFont="1"/>
    <xf numFmtId="0" fontId="347" fillId="0" borderId="0" xfId="2" applyFont="1" applyAlignment="1">
      <alignment horizontal="left" vertical="top"/>
    </xf>
    <xf numFmtId="0" fontId="347" fillId="0" borderId="0" xfId="2" applyFont="1" applyAlignment="1">
      <alignment horizontal="center" vertical="top"/>
    </xf>
    <xf numFmtId="164" fontId="347" fillId="0" borderId="0" xfId="2" applyNumberFormat="1" applyFont="1" applyAlignment="1">
      <alignment horizontal="center" vertical="top"/>
    </xf>
    <xf numFmtId="4" fontId="347" fillId="0" borderId="0" xfId="2" applyNumberFormat="1" applyFont="1" applyAlignment="1">
      <alignment horizontal="center" vertical="top"/>
    </xf>
    <xf numFmtId="0" fontId="347" fillId="0" borderId="0" xfId="0" applyFont="1" applyAlignment="1">
      <alignment horizontal="left" vertical="top"/>
    </xf>
    <xf numFmtId="0" fontId="347" fillId="4" borderId="0" xfId="0" applyFont="1" applyFill="1" applyAlignment="1">
      <alignment horizontal="left" vertical="top"/>
    </xf>
    <xf numFmtId="3" fontId="347" fillId="4" borderId="0" xfId="0" applyNumberFormat="1" applyFont="1" applyFill="1" applyAlignment="1">
      <alignment horizontal="center" vertical="top"/>
    </xf>
    <xf numFmtId="3" fontId="347" fillId="4" borderId="0" xfId="0" applyNumberFormat="1" applyFont="1" applyFill="1" applyAlignment="1">
      <alignment horizontal="center"/>
    </xf>
    <xf numFmtId="164" fontId="347" fillId="4" borderId="0" xfId="0" applyNumberFormat="1" applyFont="1" applyFill="1" applyAlignment="1">
      <alignment horizontal="left" vertical="top"/>
    </xf>
    <xf numFmtId="3" fontId="347" fillId="0" borderId="0" xfId="0" applyNumberFormat="1" applyFont="1" applyAlignment="1">
      <alignment horizontal="center"/>
    </xf>
    <xf numFmtId="3" fontId="347" fillId="0" borderId="0" xfId="0" applyNumberFormat="1" applyFont="1" applyAlignment="1">
      <alignment horizontal="center" vertical="top"/>
    </xf>
    <xf numFmtId="0" fontId="347" fillId="0" borderId="0" xfId="0" applyFont="1" applyAlignment="1">
      <alignment horizontal="center" vertical="top"/>
    </xf>
    <xf numFmtId="164" fontId="347" fillId="0" borderId="0" xfId="0" applyNumberFormat="1" applyFont="1" applyAlignment="1">
      <alignment horizontal="left" vertical="top"/>
    </xf>
    <xf numFmtId="0" fontId="347" fillId="0" borderId="0" xfId="0" applyFont="1" applyAlignment="1">
      <alignment horizontal="right" vertical="top"/>
    </xf>
    <xf numFmtId="3" fontId="347" fillId="0" borderId="0" xfId="2" applyNumberFormat="1" applyFont="1" applyAlignment="1">
      <alignment horizontal="center" vertical="top"/>
    </xf>
    <xf numFmtId="169" fontId="347" fillId="0" borderId="0" xfId="0" applyNumberFormat="1" applyFont="1" applyAlignment="1">
      <alignment horizontal="left" vertical="top"/>
    </xf>
    <xf numFmtId="0" fontId="347" fillId="4" borderId="0" xfId="2" applyFont="1" applyFill="1" applyAlignment="1">
      <alignment vertical="top"/>
    </xf>
    <xf numFmtId="169" fontId="347" fillId="4" borderId="0" xfId="0" applyNumberFormat="1" applyFont="1" applyFill="1" applyAlignment="1">
      <alignment horizontal="left" vertical="top"/>
    </xf>
    <xf numFmtId="0" fontId="347" fillId="4" borderId="0" xfId="0" applyFont="1" applyFill="1"/>
    <xf numFmtId="167" fontId="347" fillId="0" borderId="0" xfId="0" applyNumberFormat="1" applyFont="1" applyAlignment="1">
      <alignment horizontal="left" vertical="top"/>
    </xf>
    <xf numFmtId="175" fontId="347" fillId="0" borderId="0" xfId="0" applyNumberFormat="1" applyFont="1" applyAlignment="1">
      <alignment horizontal="left" vertical="top"/>
    </xf>
    <xf numFmtId="164" fontId="347" fillId="0" borderId="0" xfId="0" applyNumberFormat="1" applyFont="1" applyAlignment="1">
      <alignment horizontal="right" vertical="top"/>
    </xf>
    <xf numFmtId="169" fontId="348" fillId="0" borderId="0" xfId="0" applyNumberFormat="1" applyFont="1" applyAlignment="1">
      <alignment horizontal="left" vertical="top"/>
    </xf>
    <xf numFmtId="3" fontId="347" fillId="0" borderId="0" xfId="0" applyNumberFormat="1" applyFont="1"/>
    <xf numFmtId="3" fontId="347" fillId="9" borderId="0" xfId="0" applyNumberFormat="1" applyFont="1" applyFill="1"/>
    <xf numFmtId="0" fontId="347" fillId="7" borderId="2" xfId="0" applyFont="1" applyFill="1" applyBorder="1" applyAlignment="1">
      <alignment horizontal="right"/>
    </xf>
    <xf numFmtId="0" fontId="349" fillId="0" borderId="0" xfId="2" applyFont="1" applyAlignment="1">
      <alignment horizontal="left" vertical="top"/>
    </xf>
    <xf numFmtId="0" fontId="349" fillId="0" borderId="0" xfId="2" applyFont="1" applyAlignment="1">
      <alignment horizontal="center" vertical="top"/>
    </xf>
    <xf numFmtId="3" fontId="156" fillId="0" borderId="0" xfId="2" applyNumberFormat="1" applyFont="1" applyAlignment="1">
      <alignment horizontal="center" vertical="top"/>
    </xf>
    <xf numFmtId="0" fontId="347" fillId="25" borderId="0" xfId="0" applyFont="1" applyFill="1" applyAlignment="1">
      <alignment horizontal="left" vertical="top"/>
    </xf>
    <xf numFmtId="0" fontId="347" fillId="25" borderId="0" xfId="2" applyFont="1" applyFill="1" applyAlignment="1">
      <alignment vertical="top"/>
    </xf>
    <xf numFmtId="166" fontId="347" fillId="4" borderId="0" xfId="1" applyNumberFormat="1" applyFont="1" applyFill="1" applyAlignment="1">
      <alignment horizontal="center"/>
    </xf>
    <xf numFmtId="166" fontId="347" fillId="4" borderId="0" xfId="1" applyNumberFormat="1" applyFont="1" applyFill="1"/>
    <xf numFmtId="166" fontId="347" fillId="4" borderId="0" xfId="1" applyNumberFormat="1" applyFont="1" applyFill="1" applyAlignment="1">
      <alignment horizontal="left" vertical="top"/>
    </xf>
    <xf numFmtId="166" fontId="347" fillId="0" borderId="0" xfId="1" applyNumberFormat="1" applyFont="1" applyAlignment="1">
      <alignment horizontal="center" vertical="top"/>
    </xf>
    <xf numFmtId="166" fontId="347" fillId="0" borderId="0" xfId="1" applyNumberFormat="1" applyFont="1"/>
    <xf numFmtId="166" fontId="347" fillId="0" borderId="0" xfId="1" applyNumberFormat="1" applyFont="1" applyAlignment="1">
      <alignment horizontal="left" vertical="top"/>
    </xf>
    <xf numFmtId="166" fontId="347" fillId="4" borderId="0" xfId="1" applyNumberFormat="1" applyFont="1" applyFill="1" applyAlignment="1">
      <alignment horizontal="center" vertical="top"/>
    </xf>
    <xf numFmtId="166" fontId="347" fillId="0" borderId="0" xfId="1" applyNumberFormat="1" applyFont="1" applyAlignment="1">
      <alignment horizontal="center"/>
    </xf>
    <xf numFmtId="166" fontId="347" fillId="0" borderId="0" xfId="1" applyNumberFormat="1" applyFont="1" applyAlignment="1">
      <alignment horizontal="right" vertical="top"/>
    </xf>
    <xf numFmtId="166" fontId="347" fillId="0" borderId="0" xfId="1" applyNumberFormat="1" applyFont="1" applyAlignment="1">
      <alignment horizontal="right"/>
    </xf>
    <xf numFmtId="3" fontId="347" fillId="25" borderId="0" xfId="0" applyNumberFormat="1" applyFont="1" applyFill="1" applyAlignment="1">
      <alignment horizontal="center" vertical="top"/>
    </xf>
    <xf numFmtId="3" fontId="347" fillId="26" borderId="0" xfId="0" applyNumberFormat="1" applyFont="1" applyFill="1"/>
    <xf numFmtId="183" fontId="347" fillId="0" borderId="0" xfId="5" applyNumberFormat="1" applyFont="1" applyAlignment="1">
      <alignment horizontal="left" vertical="top"/>
    </xf>
    <xf numFmtId="0" fontId="350" fillId="0" borderId="0" xfId="0" applyFont="1"/>
    <xf numFmtId="0" fontId="352" fillId="0" borderId="0" xfId="2" applyFont="1" applyAlignment="1">
      <alignment horizontal="left" vertical="top"/>
    </xf>
    <xf numFmtId="0" fontId="352" fillId="0" borderId="0" xfId="2" applyFont="1" applyAlignment="1">
      <alignment horizontal="center" vertical="top"/>
    </xf>
    <xf numFmtId="0" fontId="354" fillId="0" borderId="0" xfId="2" applyFont="1" applyAlignment="1">
      <alignment horizontal="left" vertical="top"/>
    </xf>
    <xf numFmtId="0" fontId="352" fillId="0" borderId="0" xfId="0" applyFont="1" applyAlignment="1">
      <alignment horizontal="left" vertical="top"/>
    </xf>
    <xf numFmtId="0" fontId="352" fillId="0" borderId="0" xfId="2" applyFont="1" applyAlignment="1">
      <alignment vertical="top"/>
    </xf>
    <xf numFmtId="3" fontId="352" fillId="0" borderId="0" xfId="0" applyNumberFormat="1" applyFont="1" applyAlignment="1">
      <alignment horizontal="center" vertical="top"/>
    </xf>
    <xf numFmtId="3" fontId="350" fillId="0" borderId="0" xfId="0" applyNumberFormat="1" applyFont="1"/>
    <xf numFmtId="0" fontId="352" fillId="0" borderId="0" xfId="0" applyFont="1" applyAlignment="1">
      <alignment horizontal="center" vertical="top"/>
    </xf>
    <xf numFmtId="0" fontId="352" fillId="0" borderId="0" xfId="0" applyFont="1" applyAlignment="1">
      <alignment horizontal="center"/>
    </xf>
    <xf numFmtId="0" fontId="352" fillId="0" borderId="0" xfId="0" applyFont="1" applyAlignment="1">
      <alignment horizontal="right" vertical="top"/>
    </xf>
    <xf numFmtId="0" fontId="350" fillId="0" borderId="0" xfId="0" applyFont="1" applyAlignment="1">
      <alignment horizontal="center"/>
    </xf>
    <xf numFmtId="0" fontId="353" fillId="0" borderId="0" xfId="2" applyFont="1" applyAlignment="1">
      <alignment vertical="top"/>
    </xf>
    <xf numFmtId="0" fontId="286" fillId="0" borderId="0" xfId="2" applyFont="1" applyAlignment="1">
      <alignment horizontal="center" vertical="center"/>
    </xf>
    <xf numFmtId="0" fontId="285" fillId="0" borderId="0" xfId="2" applyFont="1" applyAlignment="1">
      <alignment horizontal="center" vertical="center"/>
    </xf>
    <xf numFmtId="9" fontId="286" fillId="0" borderId="0" xfId="5" applyFont="1" applyAlignment="1">
      <alignment horizontal="center" vertical="center"/>
    </xf>
    <xf numFmtId="164" fontId="285" fillId="0" borderId="0" xfId="2" applyNumberFormat="1" applyFont="1" applyAlignment="1">
      <alignment horizontal="center" vertical="center"/>
    </xf>
    <xf numFmtId="4" fontId="285" fillId="0" borderId="0" xfId="2" applyNumberFormat="1" applyFont="1" applyAlignment="1">
      <alignment horizontal="center" vertical="center"/>
    </xf>
    <xf numFmtId="3" fontId="285" fillId="0" borderId="0" xfId="1" applyNumberFormat="1" applyFont="1" applyAlignment="1">
      <alignment horizontal="center" vertical="center"/>
    </xf>
    <xf numFmtId="3" fontId="285" fillId="11" borderId="0" xfId="1" applyNumberFormat="1" applyFont="1" applyFill="1" applyAlignment="1">
      <alignment horizontal="center" vertical="center"/>
    </xf>
    <xf numFmtId="3" fontId="280" fillId="0" borderId="0" xfId="1" applyNumberFormat="1" applyFont="1" applyAlignment="1">
      <alignment horizontal="center" vertical="center"/>
    </xf>
    <xf numFmtId="9" fontId="285" fillId="0" borderId="0" xfId="5" applyFont="1" applyAlignment="1">
      <alignment horizontal="center" vertical="center"/>
    </xf>
    <xf numFmtId="0" fontId="280" fillId="0" borderId="0" xfId="0" applyFont="1" applyAlignment="1">
      <alignment horizontal="right"/>
    </xf>
    <xf numFmtId="0" fontId="280" fillId="0" borderId="0" xfId="0" applyFont="1" applyAlignment="1">
      <alignment vertical="center"/>
    </xf>
    <xf numFmtId="3" fontId="280" fillId="0" borderId="0" xfId="0" applyNumberFormat="1" applyFont="1" applyAlignment="1">
      <alignment vertical="center"/>
    </xf>
    <xf numFmtId="170" fontId="280" fillId="0" borderId="0" xfId="0" applyNumberFormat="1" applyFont="1"/>
    <xf numFmtId="168" fontId="280" fillId="9" borderId="0" xfId="0" applyNumberFormat="1" applyFont="1" applyFill="1"/>
    <xf numFmtId="0" fontId="286" fillId="0" borderId="0" xfId="0" applyFont="1" applyAlignment="1">
      <alignment horizontal="left" vertical="top"/>
    </xf>
    <xf numFmtId="3" fontId="285" fillId="0" borderId="0" xfId="0" applyNumberFormat="1" applyFont="1" applyAlignment="1">
      <alignment horizontal="left" vertical="top"/>
    </xf>
    <xf numFmtId="3" fontId="285" fillId="4" borderId="0" xfId="0" applyNumberFormat="1" applyFont="1" applyFill="1" applyAlignment="1">
      <alignment horizontal="center" vertical="top"/>
    </xf>
    <xf numFmtId="3" fontId="285" fillId="4" borderId="0" xfId="2" applyNumberFormat="1" applyFont="1" applyFill="1" applyAlignment="1">
      <alignment horizontal="center" vertical="center"/>
    </xf>
    <xf numFmtId="3" fontId="285" fillId="4" borderId="0" xfId="1" applyNumberFormat="1" applyFont="1" applyFill="1" applyAlignment="1">
      <alignment horizontal="center" vertical="center"/>
    </xf>
    <xf numFmtId="0" fontId="285" fillId="4" borderId="0" xfId="2" applyFont="1" applyFill="1" applyAlignment="1">
      <alignment horizontal="left" vertical="top"/>
    </xf>
    <xf numFmtId="43" fontId="285" fillId="0" borderId="0" xfId="1" applyFont="1" applyAlignment="1">
      <alignment horizontal="left" vertical="top"/>
    </xf>
    <xf numFmtId="0" fontId="285" fillId="0" borderId="0" xfId="0" applyFont="1" applyAlignment="1">
      <alignment horizontal="left"/>
    </xf>
    <xf numFmtId="0" fontId="357" fillId="0" borderId="0" xfId="0" applyFont="1"/>
    <xf numFmtId="43" fontId="280" fillId="0" borderId="0" xfId="1" applyFont="1"/>
    <xf numFmtId="0" fontId="280" fillId="0" borderId="0" xfId="0" applyFont="1" applyAlignment="1">
      <alignment horizontal="left" indent="3"/>
    </xf>
    <xf numFmtId="3" fontId="285" fillId="4" borderId="0" xfId="1" applyNumberFormat="1" applyFont="1" applyFill="1" applyAlignment="1">
      <alignment horizontal="center" vertical="top"/>
    </xf>
    <xf numFmtId="3" fontId="280" fillId="4" borderId="0" xfId="1" applyNumberFormat="1" applyFont="1" applyFill="1" applyAlignment="1">
      <alignment horizontal="center"/>
    </xf>
    <xf numFmtId="3" fontId="285" fillId="25" borderId="0" xfId="1" applyNumberFormat="1" applyFont="1" applyFill="1" applyAlignment="1">
      <alignment horizontal="center" vertical="top"/>
    </xf>
    <xf numFmtId="179" fontId="285" fillId="0" borderId="0" xfId="5" applyNumberFormat="1" applyFont="1" applyAlignment="1">
      <alignment horizontal="left" vertical="top"/>
    </xf>
    <xf numFmtId="43" fontId="274" fillId="0" borderId="0" xfId="1" applyFont="1" applyAlignment="1">
      <alignment horizontal="center" vertical="top"/>
    </xf>
    <xf numFmtId="3" fontId="274" fillId="0" borderId="0" xfId="1" applyNumberFormat="1" applyFont="1" applyAlignment="1">
      <alignment horizontal="center" vertical="top"/>
    </xf>
    <xf numFmtId="3" fontId="332" fillId="0" borderId="0" xfId="1" applyNumberFormat="1" applyFont="1" applyAlignment="1">
      <alignment horizontal="center"/>
    </xf>
    <xf numFmtId="3" fontId="274" fillId="11" borderId="0" xfId="1" applyNumberFormat="1" applyFont="1" applyFill="1" applyAlignment="1">
      <alignment horizontal="center" vertical="top"/>
    </xf>
    <xf numFmtId="0" fontId="332" fillId="0" borderId="0" xfId="0" applyFont="1" applyAlignment="1">
      <alignment horizontal="center"/>
    </xf>
    <xf numFmtId="0" fontId="274" fillId="0" borderId="0" xfId="0" applyFont="1" applyAlignment="1">
      <alignment horizontal="center"/>
    </xf>
    <xf numFmtId="3" fontId="332" fillId="0" borderId="0" xfId="1" applyNumberFormat="1" applyFont="1"/>
    <xf numFmtId="4" fontId="332" fillId="0" borderId="0" xfId="0" applyNumberFormat="1" applyFont="1"/>
    <xf numFmtId="164" fontId="274" fillId="0" borderId="0" xfId="0" applyNumberFormat="1" applyFont="1" applyAlignment="1">
      <alignment horizontal="center" vertical="top"/>
    </xf>
    <xf numFmtId="43" fontId="274" fillId="4" borderId="0" xfId="1" applyFont="1" applyFill="1" applyAlignment="1">
      <alignment horizontal="center" vertical="top"/>
    </xf>
    <xf numFmtId="0" fontId="332" fillId="4" borderId="0" xfId="0" applyFont="1" applyFill="1"/>
    <xf numFmtId="3" fontId="274" fillId="4" borderId="0" xfId="1" applyNumberFormat="1" applyFont="1" applyFill="1" applyAlignment="1">
      <alignment horizontal="center" vertical="top"/>
    </xf>
    <xf numFmtId="3" fontId="332" fillId="4" borderId="0" xfId="1" applyNumberFormat="1" applyFont="1" applyFill="1" applyAlignment="1">
      <alignment horizontal="center"/>
    </xf>
    <xf numFmtId="0" fontId="274" fillId="4" borderId="0" xfId="2" applyFont="1" applyFill="1" applyAlignment="1">
      <alignment vertical="top"/>
    </xf>
    <xf numFmtId="0" fontId="274" fillId="25" borderId="0" xfId="0" applyFont="1" applyFill="1" applyAlignment="1">
      <alignment horizontal="center" vertical="top"/>
    </xf>
    <xf numFmtId="3" fontId="274" fillId="25" borderId="0" xfId="1" applyNumberFormat="1" applyFont="1" applyFill="1" applyAlignment="1">
      <alignment horizontal="center" vertical="top"/>
    </xf>
    <xf numFmtId="166" fontId="274" fillId="4" borderId="0" xfId="1" applyNumberFormat="1" applyFont="1" applyFill="1" applyAlignment="1">
      <alignment horizontal="center" vertical="top"/>
    </xf>
    <xf numFmtId="166" fontId="274" fillId="0" borderId="0" xfId="1" applyNumberFormat="1" applyFont="1" applyAlignment="1">
      <alignment horizontal="center" vertical="top"/>
    </xf>
    <xf numFmtId="166" fontId="332" fillId="0" borderId="0" xfId="1" applyNumberFormat="1" applyFont="1"/>
    <xf numFmtId="166" fontId="359" fillId="0" borderId="0" xfId="1" applyNumberFormat="1" applyFont="1"/>
    <xf numFmtId="166" fontId="274" fillId="0" borderId="0" xfId="1" applyNumberFormat="1" applyFont="1" applyAlignment="1">
      <alignment horizontal="left" vertical="top"/>
    </xf>
    <xf numFmtId="166" fontId="274" fillId="25" borderId="0" xfId="1" applyNumberFormat="1" applyFont="1" applyFill="1" applyAlignment="1">
      <alignment horizontal="center" vertical="top"/>
    </xf>
    <xf numFmtId="166" fontId="332" fillId="0" borderId="0" xfId="1" applyNumberFormat="1" applyFont="1" applyAlignment="1">
      <alignment horizontal="center"/>
    </xf>
    <xf numFmtId="166" fontId="332" fillId="9" borderId="0" xfId="1" applyNumberFormat="1" applyFont="1" applyFill="1"/>
    <xf numFmtId="0" fontId="360" fillId="0" borderId="0" xfId="0" applyFont="1"/>
    <xf numFmtId="0" fontId="360" fillId="0" borderId="0" xfId="2" applyFont="1" applyAlignment="1">
      <alignment horizontal="center" vertical="top"/>
    </xf>
    <xf numFmtId="0" fontId="361" fillId="7" borderId="1" xfId="0" applyFont="1" applyFill="1" applyBorder="1" applyAlignment="1">
      <alignment horizontal="right"/>
    </xf>
    <xf numFmtId="0" fontId="361" fillId="7" borderId="2" xfId="0" applyFont="1" applyFill="1" applyBorder="1" applyAlignment="1">
      <alignment horizontal="right"/>
    </xf>
    <xf numFmtId="0" fontId="361" fillId="8" borderId="2" xfId="0" applyFont="1" applyFill="1" applyBorder="1" applyAlignment="1">
      <alignment horizontal="right"/>
    </xf>
    <xf numFmtId="0" fontId="361" fillId="8" borderId="3" xfId="0" applyFont="1" applyFill="1" applyBorder="1" applyAlignment="1">
      <alignment horizontal="right"/>
    </xf>
    <xf numFmtId="0" fontId="362" fillId="0" borderId="0" xfId="2" applyFont="1" applyAlignment="1">
      <alignment horizontal="left" vertical="top"/>
    </xf>
    <xf numFmtId="0" fontId="360" fillId="0" borderId="0" xfId="2" applyFont="1" applyAlignment="1">
      <alignment horizontal="left" vertical="top"/>
    </xf>
    <xf numFmtId="0" fontId="363" fillId="0" borderId="0" xfId="2" applyFont="1" applyAlignment="1">
      <alignment horizontal="center" vertical="top"/>
    </xf>
    <xf numFmtId="0" fontId="364" fillId="0" borderId="0" xfId="0" applyFont="1"/>
    <xf numFmtId="0" fontId="362" fillId="0" borderId="0" xfId="2" applyFont="1" applyAlignment="1">
      <alignment horizontal="center" vertical="top"/>
    </xf>
    <xf numFmtId="164" fontId="363" fillId="0" borderId="0" xfId="2" applyNumberFormat="1" applyFont="1" applyAlignment="1">
      <alignment horizontal="center"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5"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4" fillId="0" borderId="0" xfId="0" applyNumberFormat="1" applyFont="1" applyAlignment="1">
      <alignment horizontal="center"/>
    </xf>
    <xf numFmtId="3" fontId="360" fillId="0" borderId="0" xfId="0" applyNumberFormat="1" applyFont="1" applyAlignment="1">
      <alignment horizontal="center" vertical="top"/>
    </xf>
    <xf numFmtId="3" fontId="360" fillId="0" borderId="0" xfId="2" applyNumberFormat="1" applyFont="1" applyAlignment="1">
      <alignment horizontal="center" vertical="top"/>
    </xf>
    <xf numFmtId="0" fontId="360" fillId="0" borderId="0" xfId="0" applyFont="1" applyAlignment="1">
      <alignment horizontal="center" vertical="top"/>
    </xf>
    <xf numFmtId="0" fontId="360" fillId="0" borderId="0" xfId="0" applyFont="1" applyAlignment="1">
      <alignment horizontal="right" vertical="top"/>
    </xf>
    <xf numFmtId="167" fontId="360" fillId="0" borderId="0" xfId="0" applyNumberFormat="1" applyFont="1" applyAlignment="1">
      <alignment horizontal="left" vertical="top"/>
    </xf>
    <xf numFmtId="3" fontId="364" fillId="0" borderId="0" xfId="0" applyNumberFormat="1" applyFont="1"/>
    <xf numFmtId="3" fontId="364" fillId="9" borderId="0" xfId="0" applyNumberFormat="1" applyFont="1" applyFill="1"/>
    <xf numFmtId="3" fontId="360" fillId="0" borderId="0" xfId="0" applyNumberFormat="1" applyFont="1" applyAlignment="1">
      <alignment horizontal="left" vertical="top"/>
    </xf>
    <xf numFmtId="0" fontId="360" fillId="4" borderId="0" xfId="0" applyFont="1" applyFill="1" applyAlignment="1">
      <alignment horizontal="left" vertical="top"/>
    </xf>
    <xf numFmtId="0" fontId="360" fillId="4" borderId="0" xfId="2" applyFont="1" applyFill="1" applyAlignment="1">
      <alignment horizontal="center" vertical="top"/>
    </xf>
    <xf numFmtId="3" fontId="364" fillId="4" borderId="0" xfId="0" applyNumberFormat="1" applyFont="1" applyFill="1" applyAlignment="1">
      <alignment horizontal="center"/>
    </xf>
    <xf numFmtId="3" fontId="360" fillId="4" borderId="0" xfId="0" applyNumberFormat="1" applyFont="1" applyFill="1" applyAlignment="1">
      <alignment horizontal="center" vertical="top"/>
    </xf>
    <xf numFmtId="0" fontId="364" fillId="4" borderId="0" xfId="0" applyFont="1" applyFill="1"/>
    <xf numFmtId="0" fontId="360" fillId="4" borderId="0" xfId="2" applyFont="1" applyFill="1" applyAlignment="1">
      <alignment vertical="top"/>
    </xf>
    <xf numFmtId="0" fontId="360" fillId="21" borderId="0" xfId="0" applyFont="1" applyFill="1" applyAlignment="1">
      <alignment horizontal="left" vertical="top"/>
    </xf>
    <xf numFmtId="0" fontId="360" fillId="21" borderId="0" xfId="2" applyFont="1" applyFill="1" applyAlignment="1">
      <alignment vertical="top"/>
    </xf>
    <xf numFmtId="3" fontId="364" fillId="26" borderId="0" xfId="0" applyNumberFormat="1" applyFont="1" applyFill="1"/>
    <xf numFmtId="168" fontId="364" fillId="0" borderId="0" xfId="0" applyNumberFormat="1" applyFont="1"/>
    <xf numFmtId="166" fontId="360" fillId="4" borderId="0" xfId="1" applyNumberFormat="1" applyFont="1" applyFill="1" applyAlignment="1">
      <alignment horizontal="center" vertical="top"/>
    </xf>
    <xf numFmtId="166" fontId="360" fillId="0" borderId="0" xfId="1" applyNumberFormat="1" applyFont="1" applyAlignment="1">
      <alignment horizontal="center" vertical="top"/>
    </xf>
    <xf numFmtId="166" fontId="364" fillId="0" borderId="0" xfId="1" applyNumberFormat="1" applyFont="1"/>
    <xf numFmtId="166" fontId="364" fillId="26" borderId="0" xfId="1" applyNumberFormat="1" applyFont="1" applyFill="1"/>
    <xf numFmtId="3" fontId="294" fillId="0" borderId="0" xfId="0" applyNumberFormat="1" applyFont="1"/>
    <xf numFmtId="164" fontId="278" fillId="9" borderId="0" xfId="0" applyNumberFormat="1" applyFont="1" applyFill="1"/>
    <xf numFmtId="164" fontId="278" fillId="6" borderId="0" xfId="0" applyNumberFormat="1" applyFont="1" applyFill="1"/>
    <xf numFmtId="0" fontId="329" fillId="8" borderId="2" xfId="0" applyFont="1" applyFill="1" applyBorder="1" applyAlignment="1">
      <alignment horizontal="right"/>
    </xf>
    <xf numFmtId="0" fontId="329" fillId="8" borderId="3" xfId="0" applyFont="1" applyFill="1" applyBorder="1" applyAlignment="1">
      <alignment horizontal="right"/>
    </xf>
    <xf numFmtId="1" fontId="278" fillId="0" borderId="0" xfId="0" applyNumberFormat="1" applyFont="1"/>
    <xf numFmtId="0" fontId="278" fillId="6" borderId="0" xfId="0" applyFont="1" applyFill="1"/>
    <xf numFmtId="0" fontId="279" fillId="4" borderId="0" xfId="2" applyFont="1" applyFill="1" applyAlignment="1">
      <alignment horizontal="left" vertical="top"/>
    </xf>
    <xf numFmtId="3" fontId="276" fillId="4" borderId="0" xfId="2" applyNumberFormat="1" applyFont="1" applyFill="1" applyAlignment="1">
      <alignment horizontal="center" vertical="top"/>
    </xf>
    <xf numFmtId="3" fontId="276" fillId="4" borderId="0" xfId="2" applyNumberFormat="1" applyFont="1" applyFill="1" applyAlignment="1">
      <alignment horizontal="left" vertical="top"/>
    </xf>
    <xf numFmtId="0" fontId="276" fillId="4" borderId="0" xfId="2" applyFont="1" applyFill="1" applyAlignment="1">
      <alignment horizontal="center" vertical="top"/>
    </xf>
    <xf numFmtId="3" fontId="278" fillId="4" borderId="0" xfId="0" applyNumberFormat="1" applyFont="1" applyFill="1" applyAlignment="1">
      <alignment horizontal="center"/>
    </xf>
    <xf numFmtId="0" fontId="279" fillId="25" borderId="0" xfId="2" applyFont="1" applyFill="1" applyAlignment="1">
      <alignment horizontal="left" vertical="top"/>
    </xf>
    <xf numFmtId="3" fontId="278" fillId="25" borderId="0" xfId="0" applyNumberFormat="1" applyFont="1" applyFill="1" applyAlignment="1">
      <alignment horizontal="center"/>
    </xf>
    <xf numFmtId="3" fontId="276" fillId="25" borderId="0" xfId="0" applyNumberFormat="1" applyFont="1" applyFill="1" applyAlignment="1">
      <alignment horizontal="center" vertical="top"/>
    </xf>
    <xf numFmtId="164" fontId="278" fillId="26" borderId="0" xfId="0" applyNumberFormat="1" applyFont="1" applyFill="1"/>
    <xf numFmtId="169" fontId="285" fillId="0" borderId="0" xfId="0" applyNumberFormat="1" applyFont="1" applyAlignment="1">
      <alignment horizontal="left" vertical="top"/>
    </xf>
    <xf numFmtId="0" fontId="350" fillId="0" borderId="0" xfId="2" applyFont="1" applyAlignment="1">
      <alignment horizontal="left" vertical="top"/>
    </xf>
    <xf numFmtId="164" fontId="352" fillId="0" borderId="0" xfId="2" applyNumberFormat="1" applyFont="1" applyAlignment="1">
      <alignment horizontal="center" vertical="top"/>
    </xf>
    <xf numFmtId="4" fontId="352" fillId="0" borderId="0" xfId="2" applyNumberFormat="1" applyFont="1" applyAlignment="1">
      <alignment horizontal="center" vertical="top"/>
    </xf>
    <xf numFmtId="0" fontId="353" fillId="0" borderId="0" xfId="2" applyFont="1" applyAlignment="1">
      <alignment horizontal="center" vertical="top"/>
    </xf>
    <xf numFmtId="3" fontId="352" fillId="0" borderId="0" xfId="1" applyNumberFormat="1" applyFont="1" applyAlignment="1">
      <alignment horizontal="center" vertical="top"/>
    </xf>
    <xf numFmtId="3" fontId="352" fillId="11" borderId="0" xfId="1" applyNumberFormat="1" applyFont="1" applyFill="1" applyAlignment="1">
      <alignment horizontal="center" vertical="top"/>
    </xf>
    <xf numFmtId="3" fontId="352" fillId="0" borderId="0" xfId="2" applyNumberFormat="1" applyFont="1" applyAlignment="1">
      <alignment horizontal="center" vertical="top"/>
    </xf>
    <xf numFmtId="3" fontId="353" fillId="0" borderId="0" xfId="1" applyNumberFormat="1" applyFont="1" applyAlignment="1">
      <alignment horizontal="center" vertical="top"/>
    </xf>
    <xf numFmtId="0" fontId="350" fillId="0" borderId="0" xfId="2" applyFont="1" applyAlignment="1">
      <alignment horizontal="center" vertical="top"/>
    </xf>
    <xf numFmtId="3" fontId="353" fillId="0" borderId="0" xfId="2" applyNumberFormat="1" applyFont="1" applyAlignment="1">
      <alignment horizontal="center" vertical="top"/>
    </xf>
    <xf numFmtId="0" fontId="367" fillId="0" borderId="0" xfId="2" applyFont="1" applyAlignment="1">
      <alignment vertical="top"/>
    </xf>
    <xf numFmtId="3" fontId="367" fillId="0" borderId="0" xfId="2" applyNumberFormat="1" applyFont="1" applyAlignment="1">
      <alignment horizontal="center" vertical="top"/>
    </xf>
    <xf numFmtId="0" fontId="353" fillId="0" borderId="0" xfId="2" applyFont="1" applyAlignment="1">
      <alignment horizontal="left" vertical="top"/>
    </xf>
    <xf numFmtId="0" fontId="350" fillId="0" borderId="0" xfId="2" applyFont="1" applyAlignment="1">
      <alignment horizontal="right" vertical="top"/>
    </xf>
    <xf numFmtId="3" fontId="350" fillId="0" borderId="0" xfId="1" applyNumberFormat="1" applyFont="1" applyAlignment="1">
      <alignment horizontal="center"/>
    </xf>
    <xf numFmtId="0" fontId="354" fillId="4" borderId="0" xfId="2" applyFont="1" applyFill="1" applyAlignment="1">
      <alignment vertical="top"/>
    </xf>
    <xf numFmtId="3" fontId="354" fillId="4" borderId="0" xfId="2" applyNumberFormat="1" applyFont="1" applyFill="1" applyAlignment="1">
      <alignment horizontal="center" vertical="top"/>
    </xf>
    <xf numFmtId="3" fontId="350" fillId="0" borderId="0" xfId="0" applyNumberFormat="1" applyFont="1" applyAlignment="1">
      <alignment horizontal="center"/>
    </xf>
    <xf numFmtId="3" fontId="352" fillId="5" borderId="0" xfId="2" applyNumberFormat="1" applyFont="1" applyFill="1" applyAlignment="1">
      <alignment horizontal="center" vertical="top"/>
    </xf>
    <xf numFmtId="0" fontId="352" fillId="0" borderId="0" xfId="2" applyFont="1" applyAlignment="1">
      <alignment horizontal="right" vertical="top"/>
    </xf>
    <xf numFmtId="169" fontId="352" fillId="0" borderId="0" xfId="0" applyNumberFormat="1" applyFont="1" applyAlignment="1">
      <alignment horizontal="left" vertical="top"/>
    </xf>
    <xf numFmtId="4" fontId="368" fillId="7" borderId="1" xfId="0" applyNumberFormat="1" applyFont="1" applyFill="1" applyBorder="1" applyAlignment="1">
      <alignment horizontal="right"/>
    </xf>
    <xf numFmtId="4" fontId="368" fillId="7" borderId="2" xfId="0" applyNumberFormat="1" applyFont="1" applyFill="1" applyBorder="1" applyAlignment="1">
      <alignment horizontal="right"/>
    </xf>
    <xf numFmtId="4" fontId="368" fillId="8" borderId="2" xfId="0" applyNumberFormat="1" applyFont="1" applyFill="1" applyBorder="1" applyAlignment="1">
      <alignment horizontal="right"/>
    </xf>
    <xf numFmtId="3" fontId="350" fillId="0" borderId="0" xfId="0" applyNumberFormat="1" applyFont="1" applyAlignment="1">
      <alignment horizontal="left" vertical="top"/>
    </xf>
    <xf numFmtId="0" fontId="350" fillId="4" borderId="0" xfId="0" applyFont="1" applyFill="1"/>
    <xf numFmtId="3" fontId="352" fillId="4" borderId="0" xfId="1" applyNumberFormat="1" applyFont="1" applyFill="1" applyAlignment="1">
      <alignment horizontal="center" vertical="top"/>
    </xf>
    <xf numFmtId="0" fontId="350" fillId="4" borderId="0" xfId="2" applyFont="1" applyFill="1" applyAlignment="1">
      <alignment horizontal="left" vertical="top"/>
    </xf>
    <xf numFmtId="0" fontId="5" fillId="4" borderId="0" xfId="2" applyFont="1" applyFill="1" applyAlignment="1">
      <alignment horizontal="left" vertical="top"/>
    </xf>
    <xf numFmtId="0" fontId="352" fillId="4" borderId="0" xfId="2" applyFont="1" applyFill="1" applyAlignment="1">
      <alignment horizontal="left" vertical="top"/>
    </xf>
    <xf numFmtId="3" fontId="352" fillId="4" borderId="0" xfId="2" applyNumberFormat="1" applyFont="1" applyFill="1" applyAlignment="1">
      <alignment horizontal="center" vertical="top"/>
    </xf>
    <xf numFmtId="3" fontId="353" fillId="4" borderId="0" xfId="1" applyNumberFormat="1" applyFont="1" applyFill="1" applyAlignment="1">
      <alignment horizontal="center" vertical="top"/>
    </xf>
    <xf numFmtId="0" fontId="353" fillId="4" borderId="0" xfId="2" applyFont="1" applyFill="1" applyAlignment="1">
      <alignment vertical="top"/>
    </xf>
    <xf numFmtId="3" fontId="353" fillId="4" borderId="0" xfId="2" applyNumberFormat="1" applyFont="1" applyFill="1" applyAlignment="1">
      <alignment horizontal="center" vertical="top"/>
    </xf>
    <xf numFmtId="0" fontId="353" fillId="4" borderId="0" xfId="2" applyFont="1" applyFill="1" applyAlignment="1">
      <alignment horizontal="left" vertical="top"/>
    </xf>
    <xf numFmtId="0" fontId="7" fillId="4" borderId="0" xfId="2" applyFont="1" applyFill="1" applyAlignment="1">
      <alignment horizontal="left" vertical="top"/>
    </xf>
    <xf numFmtId="0" fontId="352" fillId="4" borderId="0" xfId="0" applyFont="1" applyFill="1" applyAlignment="1">
      <alignment horizontal="left" vertical="top"/>
    </xf>
    <xf numFmtId="3" fontId="367" fillId="0" borderId="0" xfId="1" applyNumberFormat="1" applyFont="1" applyAlignment="1">
      <alignment horizontal="center" vertical="top"/>
    </xf>
    <xf numFmtId="0" fontId="352" fillId="4" borderId="0" xfId="2" applyFont="1" applyFill="1" applyAlignment="1">
      <alignment vertical="top"/>
    </xf>
    <xf numFmtId="43" fontId="276" fillId="0" borderId="0" xfId="1" applyFont="1" applyAlignment="1">
      <alignment vertical="top"/>
    </xf>
    <xf numFmtId="0" fontId="329" fillId="0" borderId="0" xfId="0" applyFont="1"/>
    <xf numFmtId="0" fontId="329" fillId="7" borderId="5" xfId="0" applyFont="1" applyFill="1" applyBorder="1" applyAlignment="1">
      <alignment horizontal="right"/>
    </xf>
    <xf numFmtId="43" fontId="276" fillId="4" borderId="0" xfId="1" applyFont="1" applyFill="1" applyAlignment="1">
      <alignment vertical="top"/>
    </xf>
    <xf numFmtId="0" fontId="276" fillId="4" borderId="0" xfId="2" applyFont="1" applyFill="1" applyAlignment="1">
      <alignment horizontal="left" vertical="top"/>
    </xf>
    <xf numFmtId="166" fontId="276" fillId="4" borderId="0" xfId="1" applyNumberFormat="1" applyFont="1" applyFill="1" applyAlignment="1">
      <alignment vertical="top"/>
    </xf>
    <xf numFmtId="166" fontId="276" fillId="0" borderId="0" xfId="1" applyNumberFormat="1" applyFont="1" applyAlignment="1">
      <alignment vertical="top"/>
    </xf>
    <xf numFmtId="166" fontId="282" fillId="4" borderId="0" xfId="1" applyNumberFormat="1" applyFont="1" applyFill="1"/>
    <xf numFmtId="0" fontId="282" fillId="0" borderId="0" xfId="0" applyFont="1"/>
    <xf numFmtId="3" fontId="276" fillId="25" borderId="0" xfId="1" applyNumberFormat="1" applyFont="1" applyFill="1" applyAlignment="1">
      <alignment horizontal="center" vertical="top"/>
    </xf>
    <xf numFmtId="43" fontId="276" fillId="25" borderId="0" xfId="1" applyFont="1" applyFill="1" applyAlignment="1">
      <alignment vertical="top"/>
    </xf>
    <xf numFmtId="166" fontId="276" fillId="25" borderId="0" xfId="1" applyNumberFormat="1" applyFont="1" applyFill="1" applyAlignment="1">
      <alignment vertical="top"/>
    </xf>
    <xf numFmtId="3" fontId="280" fillId="11" borderId="0" xfId="1" applyNumberFormat="1" applyFont="1" applyFill="1" applyAlignment="1">
      <alignment horizontal="center"/>
    </xf>
    <xf numFmtId="164" fontId="280" fillId="0" borderId="0" xfId="0" applyNumberFormat="1" applyFont="1"/>
    <xf numFmtId="164" fontId="280" fillId="9" borderId="0" xfId="0" applyNumberFormat="1" applyFont="1" applyFill="1"/>
    <xf numFmtId="164" fontId="280" fillId="6" borderId="0" xfId="0" applyNumberFormat="1" applyFont="1" applyFill="1"/>
    <xf numFmtId="169" fontId="280" fillId="0" borderId="0" xfId="0" applyNumberFormat="1" applyFont="1"/>
    <xf numFmtId="0" fontId="287" fillId="4" borderId="0" xfId="2" applyFont="1" applyFill="1" applyAlignment="1">
      <alignment horizontal="left" vertical="top"/>
    </xf>
    <xf numFmtId="0" fontId="285" fillId="4" borderId="0" xfId="0" applyFont="1" applyFill="1" applyAlignment="1">
      <alignment horizontal="center" vertical="top"/>
    </xf>
    <xf numFmtId="0" fontId="285" fillId="25" borderId="0" xfId="0" applyFont="1" applyFill="1" applyAlignment="1">
      <alignment horizontal="right" vertical="top"/>
    </xf>
    <xf numFmtId="0" fontId="280" fillId="25" borderId="0" xfId="0" applyFont="1" applyFill="1"/>
    <xf numFmtId="0" fontId="285" fillId="21" borderId="0" xfId="0" applyFont="1" applyFill="1" applyAlignment="1">
      <alignment horizontal="right" vertical="top"/>
    </xf>
    <xf numFmtId="0" fontId="285" fillId="21" borderId="0" xfId="0" applyFont="1" applyFill="1" applyAlignment="1">
      <alignment horizontal="left" vertical="top"/>
    </xf>
    <xf numFmtId="182" fontId="280" fillId="0" borderId="0" xfId="1" applyNumberFormat="1" applyFont="1"/>
    <xf numFmtId="164" fontId="280" fillId="26" borderId="0" xfId="0" applyNumberFormat="1" applyFont="1" applyFill="1"/>
    <xf numFmtId="0" fontId="371"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85" fillId="2" borderId="0" xfId="0" applyFont="1" applyFill="1" applyAlignment="1">
      <alignment horizontal="left" vertical="top"/>
    </xf>
    <xf numFmtId="0" fontId="280" fillId="3" borderId="0" xfId="0" applyFont="1" applyFill="1"/>
    <xf numFmtId="166" fontId="280" fillId="9" borderId="0" xfId="1" applyNumberFormat="1" applyFont="1" applyFill="1"/>
    <xf numFmtId="0" fontId="289" fillId="7" borderId="0" xfId="0" applyFont="1" applyFill="1" applyAlignment="1">
      <alignment horizontal="right"/>
    </xf>
    <xf numFmtId="4" fontId="289" fillId="7" borderId="0" xfId="0" applyNumberFormat="1" applyFont="1" applyFill="1" applyAlignment="1">
      <alignment horizontal="right"/>
    </xf>
    <xf numFmtId="4" fontId="289" fillId="0" borderId="0" xfId="0" applyNumberFormat="1" applyFont="1" applyAlignment="1">
      <alignment horizontal="right"/>
    </xf>
    <xf numFmtId="3" fontId="285" fillId="25" borderId="0" xfId="0" applyNumberFormat="1" applyFont="1" applyFill="1" applyAlignment="1">
      <alignment horizontal="center" vertical="top"/>
    </xf>
    <xf numFmtId="166" fontId="285" fillId="25" borderId="0" xfId="1" applyNumberFormat="1" applyFont="1" applyFill="1" applyAlignment="1">
      <alignment horizontal="left" vertical="top"/>
    </xf>
    <xf numFmtId="0" fontId="372" fillId="0" borderId="0" xfId="0" applyFont="1" applyAlignment="1">
      <alignment horizontal="left" vertical="top"/>
    </xf>
    <xf numFmtId="0" fontId="134" fillId="0" borderId="0" xfId="0" applyFont="1"/>
    <xf numFmtId="0" fontId="134" fillId="0" borderId="0" xfId="0" applyFont="1" applyAlignment="1">
      <alignment horizontal="left" vertical="top"/>
    </xf>
    <xf numFmtId="0" fontId="133" fillId="0" borderId="0" xfId="0" applyFont="1" applyAlignment="1">
      <alignment horizontal="center" vertical="top"/>
    </xf>
    <xf numFmtId="169" fontId="108" fillId="0" borderId="0" xfId="0" applyNumberFormat="1" applyFont="1" applyAlignment="1">
      <alignment horizontal="center" vertical="top"/>
    </xf>
    <xf numFmtId="0" fontId="108" fillId="0" borderId="0" xfId="0" applyFont="1" applyAlignment="1">
      <alignment horizontal="center" vertical="top"/>
    </xf>
    <xf numFmtId="164" fontId="108" fillId="0" borderId="0" xfId="0" applyNumberFormat="1" applyFont="1" applyAlignment="1">
      <alignment horizontal="left" vertical="top"/>
    </xf>
    <xf numFmtId="164" fontId="134" fillId="0" borderId="0" xfId="0" applyNumberFormat="1" applyFont="1" applyAlignment="1">
      <alignment horizontal="left" vertical="top"/>
    </xf>
    <xf numFmtId="164" fontId="134" fillId="0" borderId="0" xfId="0" applyNumberFormat="1" applyFont="1"/>
    <xf numFmtId="0" fontId="108" fillId="0" borderId="0" xfId="2" applyFont="1" applyAlignment="1">
      <alignment vertical="top"/>
    </xf>
    <xf numFmtId="0" fontId="373" fillId="0" borderId="0" xfId="0" applyFont="1" applyAlignment="1">
      <alignment horizontal="left" vertical="top"/>
    </xf>
    <xf numFmtId="169" fontId="106" fillId="0" borderId="0" xfId="0" applyNumberFormat="1" applyFont="1"/>
    <xf numFmtId="0" fontId="108" fillId="4" borderId="0" xfId="2" applyFont="1" applyFill="1" applyAlignment="1">
      <alignment vertical="top"/>
    </xf>
    <xf numFmtId="0" fontId="108" fillId="21" borderId="0" xfId="2" applyFont="1" applyFill="1" applyAlignment="1">
      <alignment vertical="top"/>
    </xf>
    <xf numFmtId="0" fontId="374" fillId="0" borderId="0" xfId="0" applyFont="1" applyAlignment="1">
      <alignment horizontal="center" vertical="top"/>
    </xf>
    <xf numFmtId="0" fontId="108" fillId="21" borderId="0" xfId="0" applyFont="1" applyFill="1" applyAlignment="1">
      <alignment horizontal="left" vertical="top"/>
    </xf>
    <xf numFmtId="0" fontId="106" fillId="21" borderId="0" xfId="0" applyFont="1" applyFill="1"/>
    <xf numFmtId="0" fontId="134" fillId="0" borderId="0" xfId="0" applyFont="1" applyAlignment="1">
      <alignment horizontal="center"/>
    </xf>
    <xf numFmtId="166" fontId="285" fillId="4" borderId="0" xfId="1" applyNumberFormat="1" applyFont="1" applyFill="1" applyAlignment="1">
      <alignment horizontal="center" vertical="center"/>
    </xf>
    <xf numFmtId="166" fontId="280" fillId="26" borderId="0" xfId="1" applyNumberFormat="1" applyFont="1" applyFill="1"/>
    <xf numFmtId="0" fontId="377" fillId="0" borderId="0" xfId="0" applyFont="1"/>
    <xf numFmtId="0" fontId="62" fillId="3" borderId="0" xfId="0" applyFont="1" applyFill="1" applyAlignment="1">
      <alignment horizontal="left" vertical="top"/>
    </xf>
    <xf numFmtId="0" fontId="97"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78"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79" fillId="4" borderId="0" xfId="2" applyFont="1" applyFill="1" applyAlignment="1">
      <alignment horizontal="left" vertical="top"/>
    </xf>
    <xf numFmtId="0" fontId="286" fillId="4" borderId="0" xfId="2" applyFont="1" applyFill="1" applyAlignment="1">
      <alignment horizontal="center" vertical="top"/>
    </xf>
    <xf numFmtId="3" fontId="286" fillId="4" borderId="0" xfId="0" applyNumberFormat="1" applyFont="1" applyFill="1" applyAlignment="1">
      <alignment horizontal="center" vertical="top"/>
    </xf>
    <xf numFmtId="3" fontId="286" fillId="4" borderId="0" xfId="0" applyNumberFormat="1" applyFont="1" applyFill="1" applyAlignment="1">
      <alignment horizontal="center"/>
    </xf>
    <xf numFmtId="0" fontId="286" fillId="4" borderId="0" xfId="0" applyFont="1" applyFill="1"/>
    <xf numFmtId="3" fontId="280" fillId="0" borderId="0" xfId="0" applyNumberFormat="1" applyFont="1" applyAlignment="1">
      <alignment horizontal="center"/>
    </xf>
    <xf numFmtId="0" fontId="287" fillId="0" borderId="0" xfId="2" applyFont="1" applyAlignment="1">
      <alignment horizontal="center" vertical="top"/>
    </xf>
    <xf numFmtId="0" fontId="285" fillId="3" borderId="0" xfId="2" applyFont="1" applyFill="1" applyAlignment="1">
      <alignment horizontal="center" vertical="top"/>
    </xf>
    <xf numFmtId="3" fontId="285" fillId="3" borderId="0" xfId="0" applyNumberFormat="1" applyFont="1" applyFill="1" applyAlignment="1">
      <alignment horizontal="center" vertical="top"/>
    </xf>
    <xf numFmtId="3" fontId="280" fillId="3" borderId="0" xfId="0" applyNumberFormat="1" applyFont="1" applyFill="1" applyAlignment="1">
      <alignment horizontal="center"/>
    </xf>
    <xf numFmtId="3" fontId="285" fillId="3" borderId="0" xfId="2" applyNumberFormat="1" applyFont="1" applyFill="1" applyAlignment="1">
      <alignment horizontal="center" vertical="top"/>
    </xf>
    <xf numFmtId="4" fontId="289" fillId="29" borderId="0" xfId="0" applyNumberFormat="1" applyFont="1" applyFill="1" applyAlignment="1">
      <alignment horizontal="right"/>
    </xf>
    <xf numFmtId="166" fontId="285" fillId="29" borderId="0" xfId="3" applyNumberFormat="1" applyFont="1" applyFill="1" applyAlignment="1">
      <alignment horizontal="left" vertical="top"/>
    </xf>
    <xf numFmtId="43" fontId="285" fillId="29" borderId="0" xfId="3" applyFont="1" applyFill="1" applyAlignment="1">
      <alignment horizontal="left" vertical="top"/>
    </xf>
    <xf numFmtId="166" fontId="289" fillId="29" borderId="0" xfId="1" applyNumberFormat="1" applyFont="1" applyFill="1" applyAlignment="1">
      <alignment horizontal="right"/>
    </xf>
    <xf numFmtId="0" fontId="108" fillId="0" borderId="0" xfId="2" applyFont="1" applyAlignment="1">
      <alignment horizontal="left" vertical="top"/>
    </xf>
    <xf numFmtId="0" fontId="134" fillId="0" borderId="0" xfId="2" applyFont="1" applyAlignment="1">
      <alignment horizontal="left" vertical="top"/>
    </xf>
    <xf numFmtId="166" fontId="108" fillId="0" borderId="0" xfId="2" applyNumberFormat="1" applyFont="1" applyAlignment="1">
      <alignment horizontal="left" vertical="top"/>
    </xf>
    <xf numFmtId="0" fontId="108" fillId="30" borderId="0" xfId="2" applyFont="1" applyFill="1" applyAlignment="1">
      <alignment horizontal="left" vertical="top"/>
    </xf>
    <xf numFmtId="0" fontId="133" fillId="0" borderId="0" xfId="2" applyFont="1" applyAlignment="1">
      <alignment horizontal="left" vertical="top"/>
    </xf>
    <xf numFmtId="0" fontId="383" fillId="0" borderId="0" xfId="2" applyFont="1" applyAlignment="1">
      <alignment horizontal="left" vertical="top"/>
    </xf>
    <xf numFmtId="0" fontId="108" fillId="4" borderId="0" xfId="2" applyFont="1" applyFill="1" applyAlignment="1">
      <alignment horizontal="left" vertical="top"/>
    </xf>
    <xf numFmtId="0" fontId="134" fillId="4" borderId="0" xfId="2" applyFont="1" applyFill="1" applyAlignment="1">
      <alignment horizontal="left" vertical="top"/>
    </xf>
    <xf numFmtId="166" fontId="135" fillId="0" borderId="0" xfId="3" applyNumberFormat="1" applyFont="1" applyAlignment="1">
      <alignment horizontal="left" vertical="top"/>
    </xf>
    <xf numFmtId="9" fontId="135" fillId="0" borderId="0" xfId="6" applyFont="1" applyAlignment="1">
      <alignment horizontal="left" vertical="top"/>
    </xf>
    <xf numFmtId="0" fontId="135" fillId="0" borderId="0" xfId="2" applyFont="1" applyAlignment="1">
      <alignment horizontal="left" vertical="top"/>
    </xf>
    <xf numFmtId="166" fontId="135"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168" fontId="157" fillId="0" borderId="0" xfId="0" applyNumberFormat="1" applyFont="1"/>
    <xf numFmtId="0" fontId="138" fillId="7" borderId="2" xfId="0" applyFont="1" applyFill="1" applyBorder="1" applyAlignment="1">
      <alignment horizontal="right"/>
    </xf>
    <xf numFmtId="0" fontId="138" fillId="8" borderId="2" xfId="0" applyFont="1" applyFill="1" applyBorder="1" applyAlignment="1">
      <alignment horizontal="right"/>
    </xf>
    <xf numFmtId="0" fontId="138" fillId="8" borderId="3" xfId="0" applyFont="1" applyFill="1" applyBorder="1" applyAlignment="1">
      <alignment horizontal="right"/>
    </xf>
    <xf numFmtId="3" fontId="317" fillId="0" borderId="0" xfId="0" applyNumberFormat="1" applyFont="1"/>
    <xf numFmtId="4" fontId="50" fillId="0" borderId="0" xfId="0" applyNumberFormat="1" applyFont="1"/>
    <xf numFmtId="3" fontId="71" fillId="0" borderId="0" xfId="0" applyNumberFormat="1" applyFont="1"/>
    <xf numFmtId="3" fontId="167" fillId="0" borderId="0" xfId="1" applyNumberFormat="1" applyFont="1" applyAlignment="1">
      <alignment horizontal="center" vertical="top"/>
    </xf>
    <xf numFmtId="3" fontId="167" fillId="4" borderId="0" xfId="0" applyNumberFormat="1" applyFont="1" applyFill="1" applyAlignment="1">
      <alignment horizontal="center"/>
    </xf>
    <xf numFmtId="3" fontId="167" fillId="0" borderId="0" xfId="0" applyNumberFormat="1" applyFont="1" applyAlignment="1">
      <alignment horizontal="center"/>
    </xf>
    <xf numFmtId="3" fontId="167" fillId="0" borderId="0" xfId="1" applyNumberFormat="1" applyFont="1" applyAlignment="1">
      <alignment horizontal="center"/>
    </xf>
    <xf numFmtId="3" fontId="167" fillId="4" borderId="0" xfId="1" applyNumberFormat="1" applyFont="1" applyFill="1" applyAlignment="1">
      <alignment horizontal="center"/>
    </xf>
    <xf numFmtId="3" fontId="384" fillId="0" borderId="0" xfId="0" applyNumberFormat="1" applyFont="1"/>
    <xf numFmtId="1" fontId="252" fillId="0" borderId="0" xfId="1" applyNumberFormat="1" applyFont="1" applyAlignment="1">
      <alignment horizontal="center" vertical="top"/>
    </xf>
    <xf numFmtId="1" fontId="312" fillId="0" borderId="0" xfId="1" applyNumberFormat="1" applyFont="1"/>
    <xf numFmtId="3" fontId="280" fillId="0" borderId="0" xfId="1" applyNumberFormat="1" applyFont="1" applyAlignment="1">
      <alignment horizontal="center" wrapText="1"/>
    </xf>
    <xf numFmtId="3" fontId="280"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85" fillId="0" borderId="0" xfId="0" applyNumberFormat="1" applyFont="1" applyAlignment="1">
      <alignment horizontal="center" vertical="top"/>
    </xf>
    <xf numFmtId="164" fontId="175" fillId="0" borderId="0" xfId="0" applyNumberFormat="1" applyFont="1" applyAlignment="1">
      <alignment horizontal="center" vertical="top"/>
    </xf>
    <xf numFmtId="184" fontId="175" fillId="0" borderId="0" xfId="0" applyNumberFormat="1" applyFont="1" applyAlignment="1">
      <alignment horizontal="center" vertical="center"/>
    </xf>
    <xf numFmtId="176" fontId="175" fillId="0" borderId="0" xfId="0" applyNumberFormat="1" applyFont="1" applyAlignment="1">
      <alignment horizontal="center" vertical="center"/>
    </xf>
    <xf numFmtId="177" fontId="177" fillId="0" borderId="0" xfId="0" applyNumberFormat="1" applyFont="1"/>
    <xf numFmtId="10" fontId="177" fillId="0" borderId="0" xfId="0" applyNumberFormat="1" applyFont="1"/>
    <xf numFmtId="185" fontId="285"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85"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86" fillId="0" borderId="0" xfId="0" applyNumberFormat="1" applyFont="1"/>
    <xf numFmtId="0" fontId="386"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86"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6" fillId="0" borderId="0" xfId="0" applyNumberFormat="1" applyFont="1" applyAlignment="1">
      <alignment horizontal="center" vertical="top"/>
    </xf>
    <xf numFmtId="3" fontId="96"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49" fillId="0" borderId="0" xfId="0" applyFont="1" applyAlignment="1">
      <alignment horizontal="left" vertical="center" indent="3"/>
    </xf>
    <xf numFmtId="0" fontId="340"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88"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88" fillId="0" borderId="0" xfId="0" applyNumberFormat="1" applyFont="1" applyAlignment="1">
      <alignment horizontal="center" vertical="top"/>
    </xf>
    <xf numFmtId="3" fontId="388"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04" fillId="0" borderId="0" xfId="0" applyFont="1" applyFill="1"/>
    <xf numFmtId="0" fontId="204" fillId="0" borderId="0" xfId="0" applyFont="1" applyFill="1" applyAlignment="1">
      <alignment horizontal="center"/>
    </xf>
    <xf numFmtId="0" fontId="71" fillId="0" borderId="0" xfId="0" applyFont="1" applyFill="1" applyAlignment="1">
      <alignment horizontal="center"/>
    </xf>
    <xf numFmtId="0" fontId="50" fillId="0" borderId="0" xfId="0" applyFont="1" applyFill="1"/>
    <xf numFmtId="3" fontId="204" fillId="0" borderId="0" xfId="0" applyNumberFormat="1" applyFont="1" applyFill="1" applyAlignment="1">
      <alignment horizontal="center"/>
    </xf>
    <xf numFmtId="3" fontId="204" fillId="0" borderId="0" xfId="0" applyNumberFormat="1" applyFont="1" applyFill="1"/>
    <xf numFmtId="3" fontId="71" fillId="0" borderId="0" xfId="0" applyNumberFormat="1" applyFont="1" applyFill="1" applyAlignment="1">
      <alignment horizontal="center"/>
    </xf>
    <xf numFmtId="166" fontId="207" fillId="4" borderId="0" xfId="1" applyNumberFormat="1" applyFont="1" applyFill="1" applyAlignment="1">
      <alignment horizontal="center" vertical="center"/>
    </xf>
    <xf numFmtId="166" fontId="207" fillId="0" borderId="0" xfId="1" applyNumberFormat="1" applyFont="1" applyAlignment="1">
      <alignment horizontal="center" vertical="center"/>
    </xf>
    <xf numFmtId="166" fontId="207" fillId="0" borderId="0" xfId="1" applyNumberFormat="1" applyFont="1" applyFill="1" applyAlignment="1">
      <alignment horizontal="center" vertical="center"/>
    </xf>
    <xf numFmtId="0" fontId="203" fillId="0" borderId="0" xfId="0" applyFont="1" applyFill="1"/>
    <xf numFmtId="3" fontId="170" fillId="0" borderId="0" xfId="1" applyNumberFormat="1" applyFont="1" applyAlignment="1">
      <alignment horizontal="center" vertical="top"/>
    </xf>
    <xf numFmtId="3" fontId="174" fillId="4" borderId="0" xfId="0" applyNumberFormat="1" applyFont="1" applyFill="1"/>
    <xf numFmtId="0" fontId="169" fillId="0" borderId="0" xfId="0" applyFont="1" applyFill="1"/>
    <xf numFmtId="3" fontId="165" fillId="0" borderId="0" xfId="1" applyNumberFormat="1" applyFont="1" applyFill="1" applyAlignment="1">
      <alignment horizontal="center" vertical="top"/>
    </xf>
    <xf numFmtId="164" fontId="169" fillId="0" borderId="0" xfId="0" applyNumberFormat="1" applyFont="1" applyFill="1" applyAlignment="1">
      <alignment horizontal="center"/>
    </xf>
    <xf numFmtId="164" fontId="174" fillId="0" borderId="0" xfId="0" applyNumberFormat="1" applyFont="1" applyFill="1" applyAlignment="1">
      <alignment horizontal="center"/>
    </xf>
    <xf numFmtId="3" fontId="172" fillId="0" borderId="0" xfId="1" applyNumberFormat="1" applyFont="1" applyFill="1" applyAlignment="1">
      <alignment horizontal="center" vertical="top"/>
    </xf>
    <xf numFmtId="166" fontId="169" fillId="26" borderId="0" xfId="1" applyNumberFormat="1" applyFont="1" applyFill="1" applyAlignment="1">
      <alignment horizontal="center"/>
    </xf>
    <xf numFmtId="3" fontId="169" fillId="3" borderId="0" xfId="1" applyNumberFormat="1" applyFont="1" applyFill="1" applyAlignment="1">
      <alignment horizontal="center"/>
    </xf>
    <xf numFmtId="3" fontId="169" fillId="3" borderId="0" xfId="0" applyNumberFormat="1" applyFont="1" applyFill="1" applyAlignment="1">
      <alignment horizontal="center"/>
    </xf>
    <xf numFmtId="3" fontId="169" fillId="0" borderId="0" xfId="0" applyNumberFormat="1" applyFont="1" applyFill="1" applyAlignment="1">
      <alignment horizontal="center"/>
    </xf>
    <xf numFmtId="0" fontId="240" fillId="0" borderId="0" xfId="0" applyFont="1" applyAlignment="1">
      <alignment horizontal="center"/>
    </xf>
    <xf numFmtId="166" fontId="177" fillId="4" borderId="0" xfId="1" applyNumberFormat="1" applyFont="1" applyFill="1" applyAlignment="1">
      <alignment horizontal="center"/>
    </xf>
    <xf numFmtId="166" fontId="240" fillId="4" borderId="0" xfId="1" applyNumberFormat="1" applyFont="1" applyFill="1" applyAlignment="1">
      <alignment horizontal="center"/>
    </xf>
    <xf numFmtId="166" fontId="240" fillId="0" borderId="0" xfId="1" applyNumberFormat="1" applyFont="1" applyAlignment="1">
      <alignment horizontal="center"/>
    </xf>
    <xf numFmtId="164" fontId="177" fillId="0" borderId="0" xfId="0" applyNumberFormat="1" applyFont="1" applyAlignment="1">
      <alignment horizontal="center"/>
    </xf>
    <xf numFmtId="43" fontId="177" fillId="0" borderId="0" xfId="0" applyNumberFormat="1" applyFont="1" applyAlignment="1">
      <alignment horizontal="center"/>
    </xf>
    <xf numFmtId="0" fontId="175" fillId="0" borderId="0" xfId="0" applyFont="1" applyFill="1" applyAlignment="1">
      <alignment horizontal="left" vertical="top"/>
    </xf>
    <xf numFmtId="0" fontId="177" fillId="0" borderId="0" xfId="0" applyFont="1" applyFill="1" applyAlignment="1">
      <alignment horizontal="center"/>
    </xf>
    <xf numFmtId="0" fontId="175" fillId="0" borderId="0" xfId="0" applyFont="1" applyFill="1" applyAlignment="1">
      <alignment horizontal="left" vertical="top" indent="20"/>
    </xf>
    <xf numFmtId="0" fontId="177" fillId="0" borderId="0" xfId="0" applyFont="1" applyFill="1"/>
    <xf numFmtId="0" fontId="175" fillId="0" borderId="0" xfId="0" applyFont="1" applyFill="1" applyAlignment="1">
      <alignment horizontal="right" vertical="top"/>
    </xf>
    <xf numFmtId="0" fontId="175" fillId="0" borderId="0" xfId="0" applyFont="1" applyFill="1" applyAlignment="1">
      <alignment horizontal="center"/>
    </xf>
    <xf numFmtId="0" fontId="175" fillId="0" borderId="0" xfId="0" applyFont="1" applyFill="1" applyAlignment="1">
      <alignment horizontal="center" vertical="top"/>
    </xf>
    <xf numFmtId="0" fontId="186" fillId="0" borderId="0" xfId="0" applyFont="1" applyFill="1" applyAlignment="1">
      <alignment horizontal="right" vertical="top"/>
    </xf>
    <xf numFmtId="0" fontId="175" fillId="0" borderId="0" xfId="2" applyFont="1" applyFill="1" applyAlignment="1">
      <alignment vertical="top"/>
    </xf>
    <xf numFmtId="0" fontId="148" fillId="0" borderId="0" xfId="0" applyFont="1" applyFill="1"/>
    <xf numFmtId="166" fontId="276" fillId="0" borderId="0" xfId="1" applyNumberFormat="1" applyFont="1" applyFill="1" applyAlignment="1">
      <alignment horizontal="center" vertical="top"/>
    </xf>
    <xf numFmtId="182" fontId="148" fillId="0" borderId="0" xfId="0" applyNumberFormat="1" applyFont="1" applyFill="1"/>
    <xf numFmtId="188" fontId="50" fillId="0" borderId="0" xfId="0" applyNumberFormat="1" applyFont="1" applyFill="1"/>
    <xf numFmtId="0" fontId="165" fillId="0" borderId="0" xfId="0" applyFont="1" applyFill="1" applyAlignment="1">
      <alignment horizontal="center" vertical="top"/>
    </xf>
    <xf numFmtId="0" fontId="165" fillId="0" borderId="0" xfId="0" applyFont="1" applyFill="1" applyAlignment="1">
      <alignment horizontal="center"/>
    </xf>
    <xf numFmtId="0" fontId="165" fillId="0" borderId="0" xfId="0" applyFont="1" applyFill="1" applyAlignment="1">
      <alignment horizontal="left" vertical="top"/>
    </xf>
    <xf numFmtId="0" fontId="165" fillId="0" borderId="0" xfId="0" applyFont="1" applyFill="1" applyAlignment="1">
      <alignment horizontal="right" vertical="top"/>
    </xf>
    <xf numFmtId="166" fontId="174" fillId="0" borderId="0" xfId="1" applyNumberFormat="1" applyFont="1" applyAlignment="1">
      <alignment horizontal="center"/>
    </xf>
    <xf numFmtId="3" fontId="174" fillId="0" borderId="0" xfId="1" applyNumberFormat="1" applyFont="1" applyAlignment="1">
      <alignment horizontal="center"/>
    </xf>
    <xf numFmtId="3" fontId="165"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7" fillId="0" borderId="0" xfId="2" applyFont="1" applyFill="1" applyAlignment="1">
      <alignment horizontal="left" vertical="top"/>
    </xf>
    <xf numFmtId="3" fontId="3" fillId="4" borderId="0" xfId="0" applyNumberFormat="1" applyFont="1" applyFill="1" applyAlignment="1">
      <alignment horizontal="center" vertical="center"/>
    </xf>
    <xf numFmtId="0" fontId="134" fillId="0" borderId="0" xfId="0" applyFont="1" applyFill="1"/>
    <xf numFmtId="0" fontId="5" fillId="0" borderId="0" xfId="0" applyFont="1" applyFill="1"/>
    <xf numFmtId="0" fontId="108" fillId="0" borderId="0" xfId="0" applyFont="1" applyFill="1" applyAlignment="1">
      <alignment horizontal="left" vertical="top"/>
    </xf>
    <xf numFmtId="3" fontId="3" fillId="0" borderId="0" xfId="0" applyNumberFormat="1" applyFont="1" applyFill="1" applyAlignment="1">
      <alignment horizontal="center" vertical="center"/>
    </xf>
    <xf numFmtId="0" fontId="104" fillId="0" borderId="0" xfId="2" applyFont="1" applyFill="1" applyAlignment="1">
      <alignment horizontal="center" vertical="top"/>
    </xf>
    <xf numFmtId="0" fontId="107"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59" fillId="0" borderId="0" xfId="1" applyNumberFormat="1" applyFont="1" applyFill="1"/>
    <xf numFmtId="0" fontId="294" fillId="0" borderId="0" xfId="0" applyFont="1" applyFill="1"/>
    <xf numFmtId="166" fontId="332" fillId="0" borderId="0" xfId="1" applyNumberFormat="1" applyFont="1" applyFill="1"/>
    <xf numFmtId="0" fontId="332" fillId="0" borderId="0" xfId="0" applyFont="1" applyFill="1"/>
    <xf numFmtId="166" fontId="325"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52" fillId="4" borderId="0" xfId="0" applyNumberFormat="1" applyFont="1" applyFill="1"/>
    <xf numFmtId="3" fontId="152" fillId="25" borderId="0" xfId="0" applyNumberFormat="1" applyFont="1" applyFill="1"/>
    <xf numFmtId="3" fontId="152" fillId="0" borderId="0" xfId="0" applyNumberFormat="1" applyFont="1"/>
    <xf numFmtId="167" fontId="165" fillId="0" borderId="0" xfId="0" applyNumberFormat="1" applyFont="1" applyAlignment="1">
      <alignment horizontal="center" vertical="top"/>
    </xf>
    <xf numFmtId="3" fontId="74" fillId="0" borderId="0" xfId="0" applyNumberFormat="1" applyFont="1"/>
    <xf numFmtId="3" fontId="74"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89" fillId="0" borderId="0" xfId="0" applyFont="1" applyAlignment="1">
      <alignment horizontal="center"/>
    </xf>
    <xf numFmtId="3" fontId="389" fillId="0" borderId="0" xfId="0" applyNumberFormat="1" applyFont="1"/>
    <xf numFmtId="3" fontId="390" fillId="7" borderId="0" xfId="0" applyNumberFormat="1" applyFont="1" applyFill="1" applyAlignment="1">
      <alignment horizontal="right" vertical="center" wrapText="1"/>
    </xf>
    <xf numFmtId="3" fontId="389" fillId="0" borderId="0" xfId="0" applyNumberFormat="1" applyFont="1" applyAlignment="1">
      <alignment horizontal="center"/>
    </xf>
    <xf numFmtId="0" fontId="10" fillId="0" borderId="0" xfId="0" applyFont="1" applyAlignment="1">
      <alignment horizontal="center" vertical="center"/>
    </xf>
    <xf numFmtId="166" fontId="265" fillId="0" borderId="0" xfId="1" applyNumberFormat="1" applyFont="1" applyFill="1"/>
    <xf numFmtId="166" fontId="262" fillId="0" borderId="0" xfId="1" applyNumberFormat="1" applyFont="1" applyFill="1" applyAlignment="1">
      <alignment horizontal="center" vertical="top"/>
    </xf>
    <xf numFmtId="3" fontId="262" fillId="0" borderId="0" xfId="1" applyNumberFormat="1" applyFont="1" applyFill="1" applyAlignment="1">
      <alignment horizontal="center" vertical="top"/>
    </xf>
    <xf numFmtId="166" fontId="165" fillId="0" borderId="0" xfId="1" applyNumberFormat="1" applyFont="1" applyFill="1" applyAlignment="1">
      <alignment horizontal="center" vertical="top"/>
    </xf>
    <xf numFmtId="0" fontId="276" fillId="0" borderId="0" xfId="0" applyFont="1" applyFill="1" applyAlignment="1">
      <alignment horizontal="center" vertical="top"/>
    </xf>
    <xf numFmtId="0" fontId="276" fillId="0" borderId="0" xfId="2" applyFont="1" applyFill="1" applyAlignment="1">
      <alignment vertical="top"/>
    </xf>
    <xf numFmtId="0" fontId="347" fillId="0" borderId="0" xfId="0" applyFont="1" applyFill="1" applyAlignment="1">
      <alignment horizontal="right" vertical="top"/>
    </xf>
    <xf numFmtId="0" fontId="347" fillId="0" borderId="0" xfId="2" applyFont="1" applyFill="1" applyAlignment="1">
      <alignment horizontal="left" vertical="top"/>
    </xf>
    <xf numFmtId="0" fontId="276"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85" fillId="3" borderId="0" xfId="1" applyNumberFormat="1" applyFont="1" applyFill="1" applyAlignment="1">
      <alignment horizontal="center" vertical="top"/>
    </xf>
    <xf numFmtId="3" fontId="280" fillId="0" borderId="0" xfId="0" applyNumberFormat="1" applyFont="1" applyFill="1" applyAlignment="1">
      <alignment horizontal="center"/>
    </xf>
    <xf numFmtId="3" fontId="391" fillId="2" borderId="0" xfId="0" applyNumberFormat="1" applyFont="1" applyFill="1" applyAlignment="1">
      <alignment horizontal="center" vertical="top"/>
    </xf>
    <xf numFmtId="3" fontId="391"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392" fillId="0" borderId="0" xfId="9"/>
    <xf numFmtId="3" fontId="276" fillId="0" borderId="0" xfId="1" applyNumberFormat="1" applyFont="1" applyFill="1" applyAlignment="1">
      <alignment horizontal="center" vertical="top"/>
    </xf>
    <xf numFmtId="43" fontId="276" fillId="0" borderId="0" xfId="1" applyFont="1" applyFill="1" applyAlignment="1">
      <alignment vertical="top"/>
    </xf>
    <xf numFmtId="166" fontId="276"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78" fillId="0" borderId="0" xfId="0" applyNumberFormat="1" applyFont="1" applyAlignment="1">
      <alignment horizontal="center"/>
    </xf>
    <xf numFmtId="164" fontId="278" fillId="9" borderId="0" xfId="0" applyNumberFormat="1" applyFont="1" applyFill="1" applyAlignment="1">
      <alignment horizontal="center"/>
    </xf>
    <xf numFmtId="164" fontId="278" fillId="26" borderId="0" xfId="0" applyNumberFormat="1" applyFont="1" applyFill="1" applyAlignment="1">
      <alignment horizontal="center"/>
    </xf>
    <xf numFmtId="169" fontId="278" fillId="0" borderId="0" xfId="0" applyNumberFormat="1" applyFont="1" applyAlignment="1">
      <alignment horizontal="center"/>
    </xf>
    <xf numFmtId="0" fontId="329" fillId="0" borderId="0" xfId="0" applyFont="1" applyAlignment="1">
      <alignment horizontal="center"/>
    </xf>
    <xf numFmtId="0" fontId="329" fillId="7" borderId="5" xfId="0" applyFont="1" applyFill="1" applyBorder="1" applyAlignment="1">
      <alignment horizontal="center"/>
    </xf>
    <xf numFmtId="3" fontId="278" fillId="26" borderId="0" xfId="0" applyNumberFormat="1" applyFont="1" applyFill="1" applyAlignment="1">
      <alignment horizontal="center"/>
    </xf>
    <xf numFmtId="3" fontId="71" fillId="0" borderId="0" xfId="0" applyNumberFormat="1" applyFont="1" applyFill="1"/>
    <xf numFmtId="166" fontId="75" fillId="0" borderId="0" xfId="1" applyNumberFormat="1" applyFont="1" applyFill="1"/>
    <xf numFmtId="3" fontId="0" fillId="0" borderId="0" xfId="0" applyNumberFormat="1" applyFill="1" applyAlignment="1">
      <alignment horizontal="center" vertical="top"/>
    </xf>
    <xf numFmtId="3" fontId="91" fillId="0" borderId="0" xfId="1" applyNumberFormat="1" applyFont="1" applyAlignment="1">
      <alignment horizontal="center" vertical="top"/>
    </xf>
    <xf numFmtId="3" fontId="75" fillId="0" borderId="0" xfId="1" applyNumberFormat="1" applyFont="1"/>
    <xf numFmtId="3" fontId="169" fillId="6" borderId="0" xfId="0" applyNumberFormat="1" applyFont="1" applyFill="1" applyAlignment="1">
      <alignment horizontal="center"/>
    </xf>
    <xf numFmtId="3" fontId="165" fillId="6" borderId="0" xfId="0" applyNumberFormat="1" applyFont="1" applyFill="1" applyAlignment="1">
      <alignment horizontal="center" vertical="top"/>
    </xf>
    <xf numFmtId="3" fontId="295" fillId="0" borderId="0" xfId="0" applyNumberFormat="1" applyFont="1" applyFill="1" applyAlignment="1">
      <alignment horizontal="center" vertical="top"/>
    </xf>
    <xf numFmtId="3" fontId="117"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85" fillId="0" borderId="0" xfId="0" applyFont="1" applyFill="1" applyAlignment="1">
      <alignment horizontal="center" vertical="top"/>
    </xf>
    <xf numFmtId="0" fontId="280" fillId="0" borderId="0" xfId="0" applyFont="1" applyFill="1"/>
    <xf numFmtId="3" fontId="170" fillId="0" borderId="0" xfId="0" applyNumberFormat="1" applyFont="1" applyAlignment="1">
      <alignment horizontal="center" vertical="top"/>
    </xf>
    <xf numFmtId="0" fontId="82" fillId="0" borderId="0" xfId="0" applyFont="1" applyFill="1" applyAlignment="1">
      <alignment horizontal="left" vertical="top"/>
    </xf>
    <xf numFmtId="164" fontId="17" fillId="0" borderId="0" xfId="0" applyNumberFormat="1" applyFont="1" applyFill="1" applyAlignment="1">
      <alignment horizontal="center" vertical="top"/>
    </xf>
    <xf numFmtId="164" fontId="11" fillId="0" borderId="0" xfId="0" applyNumberFormat="1" applyFont="1" applyFill="1" applyAlignment="1">
      <alignment horizontal="center" vertical="top"/>
    </xf>
    <xf numFmtId="164" fontId="11" fillId="6" borderId="0" xfId="0" applyNumberFormat="1" applyFont="1" applyFill="1" applyAlignment="1">
      <alignment horizontal="center" vertical="top"/>
    </xf>
    <xf numFmtId="0" fontId="28" fillId="0" borderId="0" xfId="0" applyFont="1" applyFill="1" applyAlignment="1">
      <alignment horizontal="center" vertical="top"/>
    </xf>
    <xf numFmtId="0" fontId="28" fillId="0" borderId="0" xfId="0" applyFont="1" applyFill="1" applyAlignment="1">
      <alignment horizontal="right" vertical="top"/>
    </xf>
    <xf numFmtId="0" fontId="28" fillId="0" borderId="0" xfId="2" applyFont="1" applyFill="1" applyAlignment="1">
      <alignment horizontal="left" vertical="top"/>
    </xf>
    <xf numFmtId="0" fontId="278" fillId="0" borderId="0" xfId="0" applyFont="1" applyFill="1"/>
    <xf numFmtId="3" fontId="276" fillId="0" borderId="0" xfId="2" applyNumberFormat="1" applyFont="1" applyFill="1" applyAlignment="1">
      <alignment horizontal="center" vertical="top"/>
    </xf>
    <xf numFmtId="3" fontId="278" fillId="0" borderId="0" xfId="0" applyNumberFormat="1" applyFont="1" applyFill="1" applyAlignment="1">
      <alignment horizontal="center"/>
    </xf>
    <xf numFmtId="3" fontId="279" fillId="4" borderId="0" xfId="2" applyNumberFormat="1" applyFont="1" applyFill="1" applyAlignment="1">
      <alignment horizontal="center" vertical="top"/>
    </xf>
    <xf numFmtId="0" fontId="279" fillId="4" borderId="0" xfId="0" applyFont="1" applyFill="1" applyAlignment="1">
      <alignment horizontal="left" vertical="top"/>
    </xf>
    <xf numFmtId="0" fontId="328" fillId="4" borderId="0" xfId="0" applyFont="1" applyFill="1"/>
    <xf numFmtId="3" fontId="328" fillId="4" borderId="0" xfId="0" applyNumberFormat="1" applyFont="1" applyFill="1" applyAlignment="1">
      <alignment horizontal="center"/>
    </xf>
    <xf numFmtId="3" fontId="279" fillId="4" borderId="0" xfId="0" applyNumberFormat="1" applyFont="1" applyFill="1" applyAlignment="1">
      <alignment horizontal="center" vertical="top"/>
    </xf>
    <xf numFmtId="3" fontId="75" fillId="0" borderId="0" xfId="0" applyNumberFormat="1" applyFont="1" applyFill="1" applyAlignment="1">
      <alignment horizontal="center" vertical="top"/>
    </xf>
    <xf numFmtId="0" fontId="55" fillId="0" borderId="0" xfId="2" applyFont="1" applyFill="1" applyAlignment="1">
      <alignment vertical="top"/>
    </xf>
    <xf numFmtId="166" fontId="360" fillId="0" borderId="0" xfId="1" applyNumberFormat="1" applyFont="1" applyFill="1" applyAlignment="1">
      <alignment horizontal="center" vertical="top"/>
    </xf>
    <xf numFmtId="0" fontId="360" fillId="0" borderId="0" xfId="2" applyFont="1" applyFill="1" applyAlignment="1">
      <alignment horizontal="center" vertical="top"/>
    </xf>
    <xf numFmtId="0" fontId="364" fillId="0" borderId="0" xfId="0" applyFont="1" applyFill="1"/>
    <xf numFmtId="0" fontId="360" fillId="0" borderId="0" xfId="0" applyFont="1" applyFill="1" applyAlignment="1">
      <alignment horizontal="left" vertical="top"/>
    </xf>
    <xf numFmtId="3" fontId="364" fillId="0" borderId="0" xfId="0" applyNumberFormat="1" applyFont="1" applyFill="1" applyAlignment="1">
      <alignment horizontal="center"/>
    </xf>
    <xf numFmtId="3" fontId="360" fillId="0" borderId="0" xfId="0" applyNumberFormat="1" applyFont="1" applyFill="1" applyAlignment="1">
      <alignment horizontal="center" vertical="top"/>
    </xf>
    <xf numFmtId="0" fontId="360" fillId="0" borderId="0" xfId="0" applyFont="1" applyFill="1" applyAlignment="1">
      <alignment horizontal="center" vertical="top"/>
    </xf>
    <xf numFmtId="0" fontId="360" fillId="0" borderId="0" xfId="0" applyFont="1" applyFill="1" applyAlignment="1">
      <alignment horizontal="right" vertical="top"/>
    </xf>
    <xf numFmtId="0" fontId="11" fillId="0" borderId="0" xfId="0" applyFont="1" applyFill="1" applyAlignment="1">
      <alignment horizontal="center" vertical="top"/>
    </xf>
    <xf numFmtId="3" fontId="0" fillId="20" borderId="0" xfId="0" applyNumberFormat="1" applyFill="1" applyAlignment="1">
      <alignment horizontal="center"/>
    </xf>
    <xf numFmtId="3" fontId="20" fillId="0" borderId="0" xfId="0" applyNumberFormat="1" applyFont="1" applyFill="1" applyAlignment="1">
      <alignment horizontal="center" vertical="top"/>
    </xf>
    <xf numFmtId="3" fontId="11" fillId="0" borderId="0" xfId="0" applyNumberFormat="1" applyFont="1" applyFill="1" applyAlignment="1">
      <alignment horizontal="left" vertical="top"/>
    </xf>
    <xf numFmtId="0" fontId="108" fillId="0" borderId="0" xfId="2" applyFont="1" applyAlignment="1">
      <alignment horizontal="center" vertical="top"/>
    </xf>
    <xf numFmtId="0" fontId="380" fillId="0" borderId="0" xfId="2" applyFont="1" applyAlignment="1">
      <alignment horizontal="center" vertical="top"/>
    </xf>
    <xf numFmtId="169" fontId="108" fillId="0" borderId="0" xfId="2" applyNumberFormat="1" applyFont="1" applyAlignment="1">
      <alignment horizontal="center" vertical="top"/>
    </xf>
    <xf numFmtId="0" fontId="134" fillId="0" borderId="0" xfId="2" applyFont="1" applyAlignment="1">
      <alignment horizontal="center" vertical="top"/>
    </xf>
    <xf numFmtId="166" fontId="108" fillId="4" borderId="0" xfId="3" applyNumberFormat="1" applyFont="1" applyFill="1" applyAlignment="1">
      <alignment horizontal="center" vertical="top"/>
    </xf>
    <xf numFmtId="166" fontId="108" fillId="0" borderId="0" xfId="3" applyNumberFormat="1" applyFont="1" applyAlignment="1">
      <alignment horizontal="center" vertical="top"/>
    </xf>
    <xf numFmtId="166" fontId="108" fillId="30" borderId="0" xfId="3" applyNumberFormat="1" applyFont="1" applyFill="1" applyAlignment="1">
      <alignment horizontal="center" vertical="top"/>
    </xf>
    <xf numFmtId="166" fontId="135" fillId="0" borderId="0" xfId="3" applyNumberFormat="1" applyFont="1" applyAlignment="1">
      <alignment horizontal="center" vertical="top"/>
    </xf>
    <xf numFmtId="9" fontId="135" fillId="0" borderId="0" xfId="6" applyFont="1" applyAlignment="1">
      <alignment horizontal="center" vertical="top"/>
    </xf>
    <xf numFmtId="0" fontId="135" fillId="0" borderId="0" xfId="2" applyFont="1" applyAlignment="1">
      <alignment horizontal="center" vertical="top"/>
    </xf>
    <xf numFmtId="166" fontId="135" fillId="0" borderId="0" xfId="2" applyNumberFormat="1" applyFont="1" applyAlignment="1">
      <alignment horizontal="center" vertical="top"/>
    </xf>
    <xf numFmtId="169" fontId="133" fillId="0" borderId="0" xfId="2" applyNumberFormat="1" applyFont="1" applyAlignment="1">
      <alignment horizontal="center" vertical="top"/>
    </xf>
    <xf numFmtId="166" fontId="108" fillId="0" borderId="0" xfId="3" applyNumberFormat="1" applyFont="1" applyFill="1" applyAlignment="1">
      <alignment horizontal="center" vertical="top"/>
    </xf>
    <xf numFmtId="0" fontId="134" fillId="0" borderId="0" xfId="2" applyFont="1" applyFill="1" applyAlignment="1">
      <alignment horizontal="left" vertical="top"/>
    </xf>
    <xf numFmtId="0" fontId="2" fillId="0" borderId="0" xfId="2" applyFill="1" applyAlignment="1">
      <alignment horizontal="left" vertical="top"/>
    </xf>
    <xf numFmtId="166" fontId="134" fillId="0" borderId="0" xfId="2" applyNumberFormat="1" applyFont="1" applyFill="1" applyAlignment="1">
      <alignment horizontal="left" vertical="top"/>
    </xf>
    <xf numFmtId="0" fontId="108" fillId="0" borderId="0" xfId="2" applyFont="1" applyFill="1" applyAlignment="1">
      <alignment horizontal="center" vertical="top"/>
    </xf>
    <xf numFmtId="43" fontId="134" fillId="0" borderId="0" xfId="2" applyNumberFormat="1" applyFont="1" applyAlignment="1">
      <alignment horizontal="center" vertical="top"/>
    </xf>
    <xf numFmtId="3" fontId="347" fillId="6" borderId="0" xfId="0" applyNumberFormat="1" applyFont="1" applyFill="1" applyAlignment="1">
      <alignment horizontal="center" vertical="top"/>
    </xf>
    <xf numFmtId="3" fontId="347" fillId="6" borderId="0" xfId="0" applyNumberFormat="1" applyFont="1" applyFill="1" applyAlignment="1">
      <alignment horizontal="center"/>
    </xf>
    <xf numFmtId="0" fontId="281" fillId="0" borderId="0" xfId="0" applyFont="1" applyAlignment="1">
      <alignment horizontal="center" vertical="top"/>
    </xf>
    <xf numFmtId="3" fontId="20" fillId="0" borderId="0" xfId="0" applyNumberFormat="1" applyFont="1" applyFill="1" applyAlignment="1">
      <alignment horizontal="left" vertical="top"/>
    </xf>
    <xf numFmtId="3" fontId="165" fillId="0" borderId="0" xfId="2" applyNumberFormat="1" applyFont="1" applyFill="1" applyAlignment="1">
      <alignment horizontal="center" vertical="top"/>
    </xf>
    <xf numFmtId="0" fontId="165" fillId="0" borderId="0" xfId="2" applyFont="1" applyFill="1" applyAlignment="1">
      <alignment horizontal="center" vertical="top"/>
    </xf>
    <xf numFmtId="3" fontId="165" fillId="2" borderId="0" xfId="2" applyNumberFormat="1" applyFont="1" applyFill="1" applyAlignment="1">
      <alignment horizontal="center" vertical="top"/>
    </xf>
    <xf numFmtId="0" fontId="83" fillId="0" borderId="0" xfId="0" applyFont="1" applyFill="1" applyAlignment="1">
      <alignment horizontal="center" vertical="top"/>
    </xf>
    <xf numFmtId="0" fontId="40" fillId="0" borderId="0" xfId="0" applyFont="1" applyFill="1" applyAlignment="1">
      <alignment horizontal="right" vertical="top"/>
    </xf>
    <xf numFmtId="0" fontId="83" fillId="0" borderId="0" xfId="0" applyFont="1" applyFill="1" applyAlignment="1">
      <alignment horizontal="right" vertical="top"/>
    </xf>
    <xf numFmtId="0" fontId="40" fillId="0" borderId="0" xfId="0" applyFont="1" applyFill="1" applyAlignment="1">
      <alignment horizontal="center" vertical="top"/>
    </xf>
    <xf numFmtId="3" fontId="11" fillId="6" borderId="0" xfId="0" applyNumberFormat="1" applyFont="1" applyFill="1" applyAlignment="1">
      <alignment horizontal="center" vertical="top"/>
    </xf>
    <xf numFmtId="3" fontId="119" fillId="6" borderId="0" xfId="2" applyNumberFormat="1" applyFont="1" applyFill="1" applyAlignment="1">
      <alignment horizontal="center" vertical="top"/>
    </xf>
    <xf numFmtId="3" fontId="118" fillId="6" borderId="0" xfId="0" applyNumberFormat="1" applyFont="1" applyFill="1" applyAlignment="1">
      <alignment horizontal="center" vertical="top"/>
    </xf>
    <xf numFmtId="3" fontId="17" fillId="6" borderId="0" xfId="0" applyNumberFormat="1" applyFont="1" applyFill="1"/>
    <xf numFmtId="3" fontId="96" fillId="6" borderId="0" xfId="0" applyNumberFormat="1" applyFont="1" applyFill="1" applyAlignment="1">
      <alignment horizontal="left" vertical="top"/>
    </xf>
    <xf numFmtId="3" fontId="55" fillId="6" borderId="0" xfId="0" applyNumberFormat="1" applyFont="1" applyFill="1" applyAlignment="1">
      <alignment horizontal="left" vertical="top"/>
    </xf>
    <xf numFmtId="3" fontId="0" fillId="6" borderId="0" xfId="1" applyNumberFormat="1" applyFont="1" applyFill="1"/>
    <xf numFmtId="166" fontId="11" fillId="6" borderId="0" xfId="1" applyNumberFormat="1" applyFont="1" applyFill="1" applyAlignment="1">
      <alignment horizontal="center" vertical="center"/>
    </xf>
    <xf numFmtId="166" fontId="22" fillId="6" borderId="0" xfId="1" applyNumberFormat="1" applyFont="1" applyFill="1" applyAlignment="1">
      <alignment horizontal="center" vertical="center"/>
    </xf>
    <xf numFmtId="166" fontId="55" fillId="6" borderId="0" xfId="1" applyNumberFormat="1" applyFont="1" applyFill="1" applyAlignment="1">
      <alignment horizontal="center" vertical="top"/>
    </xf>
    <xf numFmtId="166" fontId="56" fillId="6" borderId="0" xfId="1" applyNumberFormat="1" applyFont="1" applyFill="1"/>
    <xf numFmtId="3" fontId="20" fillId="6" borderId="0" xfId="1" applyNumberFormat="1" applyFont="1" applyFill="1" applyAlignment="1">
      <alignment horizontal="center" vertical="top"/>
    </xf>
    <xf numFmtId="3" fontId="22" fillId="6" borderId="0" xfId="1" applyNumberFormat="1" applyFont="1" applyFill="1" applyAlignment="1">
      <alignment horizontal="center" vertical="top"/>
    </xf>
    <xf numFmtId="3" fontId="11" fillId="6" borderId="0" xfId="1" applyNumberFormat="1" applyFont="1" applyFill="1" applyAlignment="1">
      <alignment horizontal="center" vertical="top"/>
    </xf>
    <xf numFmtId="164" fontId="55" fillId="6" borderId="0" xfId="0" applyNumberFormat="1" applyFont="1" applyFill="1" applyAlignment="1">
      <alignment horizontal="center" vertical="top"/>
    </xf>
    <xf numFmtId="3" fontId="55" fillId="6" borderId="0" xfId="1" applyNumberFormat="1" applyFont="1" applyFill="1" applyAlignment="1">
      <alignment horizontal="center" vertical="top"/>
    </xf>
    <xf numFmtId="3" fontId="11" fillId="6" borderId="0" xfId="0" applyNumberFormat="1" applyFont="1" applyFill="1" applyAlignment="1">
      <alignment horizontal="left" vertical="top"/>
    </xf>
    <xf numFmtId="3" fontId="20" fillId="6" borderId="0" xfId="0" applyNumberFormat="1" applyFont="1" applyFill="1" applyAlignment="1">
      <alignment horizontal="center" vertical="top"/>
    </xf>
    <xf numFmtId="0" fontId="158" fillId="0" borderId="0" xfId="0" applyFont="1" applyAlignment="1">
      <alignment horizontal="center"/>
    </xf>
    <xf numFmtId="166" fontId="207" fillId="6" borderId="0" xfId="1" applyNumberFormat="1" applyFont="1" applyFill="1" applyAlignment="1">
      <alignment horizontal="center" vertical="top"/>
    </xf>
    <xf numFmtId="166" fontId="11" fillId="6" borderId="0" xfId="1" applyNumberFormat="1" applyFont="1" applyFill="1" applyAlignment="1">
      <alignment horizontal="center" vertical="top"/>
    </xf>
    <xf numFmtId="166" fontId="1" fillId="6" borderId="0" xfId="1" applyNumberFormat="1" applyFill="1"/>
    <xf numFmtId="43" fontId="21" fillId="6" borderId="0" xfId="1" applyFont="1" applyFill="1" applyAlignment="1">
      <alignment horizontal="center" vertical="top"/>
    </xf>
    <xf numFmtId="3" fontId="113" fillId="6" borderId="0" xfId="0" applyNumberFormat="1" applyFont="1" applyFill="1" applyAlignment="1">
      <alignment vertical="top"/>
    </xf>
    <xf numFmtId="166" fontId="11" fillId="2" borderId="0" xfId="0" applyNumberFormat="1" applyFont="1" applyFill="1" applyAlignment="1">
      <alignment horizontal="left" vertical="top"/>
    </xf>
    <xf numFmtId="3" fontId="22" fillId="6" borderId="0" xfId="0" applyNumberFormat="1" applyFont="1" applyFill="1" applyAlignment="1">
      <alignment vertical="top"/>
    </xf>
    <xf numFmtId="3" fontId="11" fillId="6" borderId="0" xfId="0" applyNumberFormat="1" applyFont="1" applyFill="1" applyAlignment="1">
      <alignment vertical="top"/>
    </xf>
    <xf numFmtId="3" fontId="20" fillId="6" borderId="0" xfId="0" applyNumberFormat="1" applyFont="1" applyFill="1" applyAlignment="1">
      <alignment vertical="top"/>
    </xf>
    <xf numFmtId="3" fontId="21" fillId="6" borderId="0" xfId="0" applyNumberFormat="1" applyFont="1" applyFill="1" applyAlignment="1">
      <alignment vertical="top"/>
    </xf>
    <xf numFmtId="3" fontId="55" fillId="6" borderId="0" xfId="0" applyNumberFormat="1" applyFont="1" applyFill="1" applyAlignment="1">
      <alignment horizontal="right" vertical="top"/>
    </xf>
    <xf numFmtId="3" fontId="55" fillId="6" borderId="0" xfId="1" applyNumberFormat="1" applyFont="1" applyFill="1" applyAlignment="1">
      <alignment horizontal="right" vertical="top"/>
    </xf>
    <xf numFmtId="3" fontId="254" fillId="6" borderId="0" xfId="0" applyNumberFormat="1" applyFont="1" applyFill="1" applyAlignment="1">
      <alignment horizontal="center"/>
    </xf>
    <xf numFmtId="3" fontId="22" fillId="6" borderId="0" xfId="0" applyNumberFormat="1" applyFont="1" applyFill="1" applyAlignment="1">
      <alignment horizontal="center" vertical="top"/>
    </xf>
    <xf numFmtId="166" fontId="165" fillId="6" borderId="0" xfId="1" applyNumberFormat="1" applyFont="1" applyFill="1" applyAlignment="1">
      <alignment horizontal="center" vertical="top"/>
    </xf>
    <xf numFmtId="3" fontId="165" fillId="6" borderId="0" xfId="1" applyNumberFormat="1" applyFont="1" applyFill="1" applyAlignment="1">
      <alignment horizontal="center" vertical="top"/>
    </xf>
    <xf numFmtId="3" fontId="165" fillId="6" borderId="0" xfId="1" applyNumberFormat="1" applyFont="1" applyFill="1" applyAlignment="1">
      <alignment horizontal="right" vertical="top"/>
    </xf>
    <xf numFmtId="3" fontId="165" fillId="6" borderId="0" xfId="0" applyNumberFormat="1" applyFont="1" applyFill="1" applyAlignment="1">
      <alignment horizontal="center" vertical="center"/>
    </xf>
    <xf numFmtId="3" fontId="169" fillId="6" borderId="0" xfId="0" applyNumberFormat="1" applyFont="1" applyFill="1" applyAlignment="1">
      <alignment horizontal="center" vertical="center"/>
    </xf>
    <xf numFmtId="3" fontId="167" fillId="6" borderId="0" xfId="1" applyNumberFormat="1" applyFont="1" applyFill="1" applyAlignment="1">
      <alignment horizontal="center"/>
    </xf>
    <xf numFmtId="3" fontId="167" fillId="6" borderId="0" xfId="0" applyNumberFormat="1" applyFont="1" applyFill="1" applyAlignment="1">
      <alignment horizontal="center"/>
    </xf>
    <xf numFmtId="3" fontId="28" fillId="6" borderId="0" xfId="0" applyNumberFormat="1" applyFont="1" applyFill="1" applyAlignment="1">
      <alignment horizontal="center" vertical="top"/>
    </xf>
    <xf numFmtId="166" fontId="285" fillId="6" borderId="0" xfId="1" applyNumberFormat="1" applyFont="1" applyFill="1" applyAlignment="1">
      <alignment horizontal="left" vertical="top"/>
    </xf>
    <xf numFmtId="166" fontId="285" fillId="6" borderId="0" xfId="1" applyNumberFormat="1" applyFont="1" applyFill="1" applyAlignment="1">
      <alignment vertical="top"/>
    </xf>
    <xf numFmtId="3" fontId="96" fillId="6" borderId="0" xfId="2" applyNumberFormat="1" applyFont="1" applyFill="1" applyAlignment="1">
      <alignment horizontal="center" vertical="top"/>
    </xf>
    <xf numFmtId="3" fontId="276" fillId="6" borderId="0" xfId="1" applyNumberFormat="1" applyFont="1" applyFill="1" applyAlignment="1">
      <alignment horizontal="center" vertical="center"/>
    </xf>
    <xf numFmtId="3" fontId="28" fillId="6" borderId="0" xfId="1" applyNumberFormat="1" applyFont="1" applyFill="1" applyAlignment="1">
      <alignment horizontal="center" vertical="top"/>
    </xf>
    <xf numFmtId="3" fontId="364" fillId="6" borderId="0" xfId="0" applyNumberFormat="1" applyFont="1" applyFill="1" applyAlignment="1">
      <alignment horizontal="center"/>
    </xf>
    <xf numFmtId="3" fontId="352" fillId="6" borderId="0" xfId="2" applyNumberFormat="1" applyFont="1" applyFill="1" applyAlignment="1">
      <alignment horizontal="center" vertical="top"/>
    </xf>
    <xf numFmtId="3" fontId="352" fillId="6" borderId="0" xfId="1" applyNumberFormat="1" applyFont="1" applyFill="1" applyAlignment="1">
      <alignment horizontal="center" vertical="top"/>
    </xf>
    <xf numFmtId="3" fontId="276" fillId="6" borderId="0" xfId="0" applyNumberFormat="1" applyFont="1" applyFill="1" applyAlignment="1">
      <alignment horizontal="center" vertical="top"/>
    </xf>
    <xf numFmtId="166" fontId="276" fillId="6" borderId="0" xfId="1" applyNumberFormat="1" applyFont="1" applyFill="1" applyAlignment="1">
      <alignment horizontal="center" vertical="top"/>
    </xf>
    <xf numFmtId="0" fontId="276" fillId="6" borderId="0" xfId="2" applyFont="1" applyFill="1" applyAlignment="1">
      <alignment horizontal="center" vertical="top"/>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en.wikipedia.org/wiki/.tm"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4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2.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3.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4.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5.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6.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7.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8.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49.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hyperlink" Target="https://en.wikipedia.org/wiki/.tm" TargetMode="External"/></Relationships>
</file>

<file path=xl/worksheets/_rels/sheet88.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50.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1.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52.bin"/></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53.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54.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5.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6.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7.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58.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9.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60.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61.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2.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3.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4.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5.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66.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7.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68.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9.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70.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7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xml"/><Relationship Id="rId1" Type="http://schemas.openxmlformats.org/officeDocument/2006/relationships/printerSettings" Target="../printerSettings/printerSettings73.bin"/><Relationship Id="rId4"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74.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5.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6.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W6" activePane="bottomRight" state="frozen"/>
      <selection pane="topRight" activeCell="C1" sqref="C1"/>
      <selection pane="bottomLeft" activeCell="A6" sqref="A6"/>
      <selection pane="bottomRight" activeCell="B23" sqref="B2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v>2021</v>
      </c>
      <c r="Z3" s="365">
        <v>2022</v>
      </c>
      <c r="AA3" s="365">
        <v>2023</v>
      </c>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1137</v>
      </c>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2226</v>
      </c>
      <c r="V5" s="28" t="s">
        <v>32</v>
      </c>
      <c r="W5" s="28" t="s">
        <v>32</v>
      </c>
      <c r="X5" s="2" t="s">
        <v>32</v>
      </c>
      <c r="Y5" s="2" t="s">
        <v>32</v>
      </c>
      <c r="Z5" s="2" t="s">
        <v>32</v>
      </c>
      <c r="AA5" s="2" t="s">
        <v>32</v>
      </c>
      <c r="AB5" s="365"/>
      <c r="AC5" s="365"/>
      <c r="AD5" s="365"/>
      <c r="AE5" s="365"/>
      <c r="AF5" s="365"/>
      <c r="AG5" s="365"/>
      <c r="AH5" s="365"/>
      <c r="AI5" s="365"/>
      <c r="AJ5" s="365"/>
      <c r="AK5" s="365"/>
      <c r="AL5" s="365"/>
      <c r="AM5" s="365"/>
      <c r="AN5" s="365"/>
      <c r="AO5" s="365"/>
      <c r="AP5" s="365"/>
      <c r="AQ5" s="365"/>
      <c r="AR5" s="365"/>
      <c r="AS5" s="365"/>
      <c r="AT5" s="365"/>
      <c r="AU5" s="365"/>
    </row>
    <row r="6" spans="1:47" s="15" customFormat="1" ht="16.5">
      <c r="A6" s="19" t="s">
        <v>33</v>
      </c>
      <c r="B6" s="19" t="s">
        <v>34</v>
      </c>
      <c r="C6" s="608" t="s">
        <v>35</v>
      </c>
      <c r="D6" s="609"/>
      <c r="E6" s="609"/>
      <c r="F6" s="609"/>
      <c r="G6" s="610">
        <v>15294000000</v>
      </c>
      <c r="H6" s="610">
        <v>24811000000</v>
      </c>
      <c r="I6" s="610">
        <v>36034000000</v>
      </c>
      <c r="J6" s="610">
        <v>56700000000</v>
      </c>
      <c r="K6" s="610">
        <v>64600000000</v>
      </c>
      <c r="L6" s="610">
        <v>86800000000</v>
      </c>
      <c r="M6" s="610">
        <v>93600000000</v>
      </c>
      <c r="N6" s="610">
        <v>126400000000</v>
      </c>
      <c r="O6" s="610">
        <v>177700000000</v>
      </c>
      <c r="P6" s="610">
        <v>260600000000</v>
      </c>
      <c r="Q6" s="611">
        <v>271899999999.99997</v>
      </c>
      <c r="R6" s="611">
        <v>280200000000</v>
      </c>
      <c r="S6" s="2456">
        <v>301400000000</v>
      </c>
      <c r="T6" s="2456">
        <v>344300000000</v>
      </c>
      <c r="U6" s="2456">
        <v>347800000000</v>
      </c>
      <c r="V6" s="2456">
        <v>354400000000</v>
      </c>
      <c r="W6" s="2456">
        <v>414800000000</v>
      </c>
      <c r="X6" s="2456">
        <v>475000000000</v>
      </c>
      <c r="Y6" s="2456">
        <v>547200000000.00006</v>
      </c>
      <c r="Z6" s="2456">
        <v>622900000000</v>
      </c>
      <c r="AA6" s="2456">
        <v>707400000000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18">
        <v>122300000000</v>
      </c>
      <c r="T7" s="418">
        <v>141100000000</v>
      </c>
      <c r="U7" s="419">
        <v>168300000000</v>
      </c>
      <c r="V7" s="419">
        <v>172000000000</v>
      </c>
      <c r="W7" s="419">
        <v>189100000000</v>
      </c>
      <c r="X7" s="419">
        <v>207900000000</v>
      </c>
      <c r="Y7" s="419">
        <v>245600000000</v>
      </c>
      <c r="Z7" s="419">
        <v>292900000000</v>
      </c>
      <c r="AA7" s="419">
        <v>350900000000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18">
        <v>89700000000</v>
      </c>
      <c r="T8" s="418">
        <v>101200000000</v>
      </c>
      <c r="U8" s="419">
        <v>110500000000</v>
      </c>
      <c r="V8" s="419">
        <v>114500000000</v>
      </c>
      <c r="W8" s="419">
        <v>126900000000</v>
      </c>
      <c r="X8" s="419">
        <v>140200000000</v>
      </c>
      <c r="Y8" s="419">
        <v>168800000000</v>
      </c>
      <c r="Z8" s="419">
        <v>208900000000</v>
      </c>
      <c r="AA8" s="419">
        <v>234800000000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18">
        <v>32299999999.999996</v>
      </c>
      <c r="T9" s="418">
        <v>36400000000</v>
      </c>
      <c r="U9" s="419">
        <v>38700000000</v>
      </c>
      <c r="V9" s="418"/>
      <c r="W9" s="418"/>
      <c r="X9" s="418"/>
      <c r="Y9" s="418"/>
      <c r="Z9" s="418"/>
      <c r="AA9" s="418"/>
      <c r="AB9" s="365"/>
      <c r="AC9" s="365"/>
      <c r="AD9" s="365"/>
      <c r="AE9" s="365"/>
      <c r="AF9" s="365"/>
      <c r="AG9" s="365"/>
      <c r="AH9" s="365"/>
      <c r="AI9" s="365"/>
      <c r="AJ9" s="365"/>
      <c r="AK9" s="365"/>
      <c r="AL9" s="365"/>
      <c r="AM9" s="365"/>
      <c r="AN9" s="365"/>
      <c r="AO9" s="365"/>
      <c r="AP9" s="365"/>
      <c r="AQ9" s="365"/>
      <c r="AR9" s="365"/>
      <c r="AS9" s="365"/>
      <c r="AT9" s="365"/>
      <c r="AU9" s="365"/>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18">
        <v>30400000000</v>
      </c>
      <c r="T10" s="418">
        <v>31100000000</v>
      </c>
      <c r="U10" s="419">
        <v>35700000000</v>
      </c>
      <c r="V10" s="418"/>
      <c r="W10" s="418"/>
      <c r="X10" s="418"/>
      <c r="Y10" s="418"/>
      <c r="Z10" s="418"/>
      <c r="AA10" s="418"/>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18">
        <v>21100000000</v>
      </c>
      <c r="T11" s="418">
        <v>27900000000</v>
      </c>
      <c r="U11" s="419">
        <v>32799999999.999996</v>
      </c>
      <c r="V11" s="418"/>
      <c r="W11" s="418"/>
      <c r="X11" s="418"/>
      <c r="Y11" s="418"/>
      <c r="Z11" s="418"/>
      <c r="AA11" s="418"/>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18">
        <v>5900000000</v>
      </c>
      <c r="T12" s="418">
        <v>5800000000</v>
      </c>
      <c r="U12" s="419">
        <v>3200000000</v>
      </c>
      <c r="V12" s="418"/>
      <c r="W12" s="418"/>
      <c r="X12" s="418"/>
      <c r="Y12" s="418"/>
      <c r="Z12" s="418"/>
      <c r="AA12" s="418"/>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18">
        <v>32600000000</v>
      </c>
      <c r="T13" s="418">
        <v>39900000000</v>
      </c>
      <c r="U13" s="419">
        <v>57800000000</v>
      </c>
      <c r="V13" s="419">
        <v>57500000000</v>
      </c>
      <c r="W13" s="419">
        <v>62200000000</v>
      </c>
      <c r="X13" s="419">
        <v>67700000000</v>
      </c>
      <c r="Y13" s="419">
        <v>76800000000</v>
      </c>
      <c r="Z13" s="419">
        <v>84000000000</v>
      </c>
      <c r="AA13" s="419">
        <v>116100000000</v>
      </c>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s="9" customFormat="1">
      <c r="A14" s="440" t="s">
        <v>53</v>
      </c>
      <c r="B14" s="616" t="s">
        <v>54</v>
      </c>
      <c r="C14" s="8" t="s">
        <v>38</v>
      </c>
      <c r="D14" s="618"/>
      <c r="E14" s="618"/>
      <c r="F14" s="618"/>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457">
        <f>(S15+S21)</f>
        <v>179000000000</v>
      </c>
      <c r="T14" s="2457">
        <f t="shared" ref="T14:AA14" si="0">(T15+T21)</f>
        <v>203200000000</v>
      </c>
      <c r="U14" s="2457">
        <f t="shared" si="0"/>
        <v>179500000000</v>
      </c>
      <c r="V14" s="2457">
        <f t="shared" si="0"/>
        <v>182400000000</v>
      </c>
      <c r="W14" s="2457">
        <f t="shared" si="0"/>
        <v>225800000000</v>
      </c>
      <c r="X14" s="2457">
        <f t="shared" si="0"/>
        <v>267100000000</v>
      </c>
      <c r="Y14" s="2457">
        <f t="shared" si="0"/>
        <v>301600000000</v>
      </c>
      <c r="Z14" s="2457">
        <f t="shared" si="0"/>
        <v>330000000000</v>
      </c>
      <c r="AA14" s="2457">
        <f t="shared" si="0"/>
        <v>356500000000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18">
        <v>122800000000</v>
      </c>
      <c r="T15" s="418">
        <v>143100000000</v>
      </c>
      <c r="U15" s="419">
        <v>118400000000</v>
      </c>
      <c r="V15" s="419">
        <v>117800000000</v>
      </c>
      <c r="W15" s="419">
        <v>144600000000</v>
      </c>
      <c r="X15" s="419">
        <v>159700000000</v>
      </c>
      <c r="Y15" s="419">
        <v>168200000000</v>
      </c>
      <c r="Z15" s="419">
        <v>179900000000</v>
      </c>
      <c r="AA15" s="419">
        <v>191100000000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18">
        <v>27400000000</v>
      </c>
      <c r="T16" s="418">
        <v>28900000000</v>
      </c>
      <c r="U16" s="419">
        <v>34200000000.000004</v>
      </c>
      <c r="V16" s="418"/>
      <c r="W16" s="418"/>
      <c r="X16" s="418"/>
      <c r="Y16" s="418"/>
      <c r="Z16" s="418"/>
      <c r="AA16" s="418"/>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18">
        <v>27500000000</v>
      </c>
      <c r="T17" s="418">
        <v>27400000000</v>
      </c>
      <c r="U17" s="419">
        <v>27200000000</v>
      </c>
      <c r="V17" s="418"/>
      <c r="W17" s="418"/>
      <c r="X17" s="418"/>
      <c r="Y17" s="418"/>
      <c r="Z17" s="418"/>
      <c r="AA17" s="418"/>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18"/>
      <c r="T18" s="418"/>
      <c r="U18" s="419"/>
      <c r="V18" s="418"/>
      <c r="W18" s="418"/>
      <c r="X18" s="418"/>
      <c r="Y18" s="418"/>
      <c r="Z18" s="418"/>
      <c r="AA18" s="418"/>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ht="16.5">
      <c r="A19" s="2445" t="s">
        <v>65</v>
      </c>
      <c r="B19" s="2446" t="s">
        <v>66</v>
      </c>
      <c r="C19" s="2447" t="s">
        <v>60</v>
      </c>
      <c r="D19" s="2448"/>
      <c r="E19" s="2448"/>
      <c r="F19" s="2448"/>
      <c r="G19" s="2449"/>
      <c r="H19" s="2450"/>
      <c r="I19" s="2450"/>
      <c r="J19" s="2450"/>
      <c r="K19" s="2450"/>
      <c r="L19" s="2450"/>
      <c r="M19" s="2449"/>
      <c r="N19" s="2449"/>
      <c r="O19" s="2451"/>
      <c r="P19" s="2451"/>
      <c r="Q19" s="2452"/>
      <c r="R19" s="2452"/>
      <c r="S19" s="2458">
        <v>67800000000</v>
      </c>
      <c r="T19" s="2458">
        <v>86800000000</v>
      </c>
      <c r="U19" s="2459">
        <v>48900000000</v>
      </c>
      <c r="V19" s="2458"/>
      <c r="W19" s="2458"/>
      <c r="X19" s="2458"/>
      <c r="Y19" s="2458"/>
      <c r="Z19" s="2458"/>
      <c r="AA19" s="2458"/>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18">
        <v>200000000</v>
      </c>
      <c r="T20" s="418">
        <v>100000000</v>
      </c>
      <c r="U20" s="419">
        <v>8100000000</v>
      </c>
      <c r="V20" s="418"/>
      <c r="W20" s="418"/>
      <c r="X20" s="418"/>
      <c r="Y20" s="418"/>
      <c r="Z20" s="418"/>
      <c r="AA20" s="418"/>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18">
        <v>56200000000</v>
      </c>
      <c r="T21" s="418">
        <v>60100000000</v>
      </c>
      <c r="U21" s="419">
        <v>61100000000</v>
      </c>
      <c r="V21" s="419">
        <v>64599999999.999992</v>
      </c>
      <c r="W21" s="419">
        <v>81200000000</v>
      </c>
      <c r="X21" s="419">
        <v>107400000000</v>
      </c>
      <c r="Y21" s="419">
        <v>133400000000</v>
      </c>
      <c r="Z21" s="419">
        <v>150100000000</v>
      </c>
      <c r="AA21" s="419">
        <v>165400000000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s="15" customFormat="1" ht="16.5">
      <c r="A22" s="608" t="s">
        <v>71</v>
      </c>
      <c r="B22" s="608" t="s">
        <v>72</v>
      </c>
      <c r="C22" s="616" t="s">
        <v>35</v>
      </c>
      <c r="D22" s="609"/>
      <c r="E22" s="609"/>
      <c r="F22" s="609"/>
      <c r="G22" s="610">
        <v>15514000000</v>
      </c>
      <c r="H22" s="614">
        <v>31606000000</v>
      </c>
      <c r="I22" s="614">
        <v>39550000000</v>
      </c>
      <c r="J22" s="207">
        <v>53400000000</v>
      </c>
      <c r="K22" s="207">
        <v>75700000000</v>
      </c>
      <c r="L22" s="614">
        <v>95700000000</v>
      </c>
      <c r="M22" s="207">
        <v>115700000000</v>
      </c>
      <c r="N22" s="207">
        <v>136100000000</v>
      </c>
      <c r="O22" s="617">
        <v>183200000000</v>
      </c>
      <c r="P22" s="617">
        <v>258700000000</v>
      </c>
      <c r="Q22" s="611">
        <v>278900000000</v>
      </c>
      <c r="R22" s="611">
        <v>300500000000</v>
      </c>
      <c r="S22" s="2456">
        <f>S23+S32</f>
        <v>329400000000</v>
      </c>
      <c r="T22" s="2456">
        <f t="shared" ref="T22:U22" si="1">T23+T32</f>
        <v>360200000000</v>
      </c>
      <c r="U22" s="2456">
        <f t="shared" si="1"/>
        <v>356400000000</v>
      </c>
      <c r="V22" s="2456">
        <v>361100000000</v>
      </c>
      <c r="W22" s="2456">
        <v>405500000000</v>
      </c>
      <c r="X22" s="2456">
        <v>479200000000</v>
      </c>
      <c r="Y22" s="2456">
        <v>555000000000</v>
      </c>
      <c r="Z22" s="2456">
        <v>629200000000</v>
      </c>
      <c r="AA22" s="2456">
        <v>708900000000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18">
        <v>235300000000</v>
      </c>
      <c r="T23" s="418">
        <v>248900000000</v>
      </c>
      <c r="U23" s="419">
        <v>253000000000</v>
      </c>
      <c r="V23" s="419">
        <v>256899999999.99997</v>
      </c>
      <c r="W23" s="419">
        <v>289600000000</v>
      </c>
      <c r="X23" s="419">
        <v>337900000000</v>
      </c>
      <c r="Y23" s="419">
        <v>384000000000</v>
      </c>
      <c r="Z23" s="419">
        <v>441600000000</v>
      </c>
      <c r="AA23" s="419">
        <v>502100000000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18">
        <v>145100000000</v>
      </c>
      <c r="T24" s="418">
        <v>149900000000</v>
      </c>
      <c r="U24" s="419">
        <v>138900000000</v>
      </c>
      <c r="V24" s="418"/>
      <c r="W24" s="418"/>
      <c r="X24" s="418"/>
      <c r="Y24" s="418"/>
      <c r="Z24" s="418"/>
      <c r="AA24" s="418"/>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18">
        <v>152300000000</v>
      </c>
      <c r="T25" s="418">
        <v>164500000000</v>
      </c>
      <c r="U25" s="419">
        <v>174200000000</v>
      </c>
      <c r="V25" s="418"/>
      <c r="W25" s="418"/>
      <c r="X25" s="418"/>
      <c r="Y25" s="418"/>
      <c r="Z25" s="418"/>
      <c r="AA25" s="418"/>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19"/>
      <c r="T26" s="418"/>
      <c r="U26" s="418"/>
      <c r="V26" s="418"/>
      <c r="W26" s="418"/>
      <c r="X26" s="418"/>
      <c r="Y26" s="418"/>
      <c r="Z26" s="418"/>
      <c r="AA26" s="418"/>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18">
        <v>55800000000</v>
      </c>
      <c r="T27" s="418">
        <v>55000000000</v>
      </c>
      <c r="U27" s="419">
        <v>47900000000</v>
      </c>
      <c r="V27" s="418"/>
      <c r="W27" s="418"/>
      <c r="X27" s="418"/>
      <c r="Y27" s="418"/>
      <c r="Z27" s="418"/>
      <c r="AA27" s="418"/>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18">
        <v>1300000000</v>
      </c>
      <c r="T28" s="418">
        <v>2200000000</v>
      </c>
      <c r="U28" s="419">
        <v>2700000000</v>
      </c>
      <c r="V28" s="418"/>
      <c r="W28" s="418"/>
      <c r="X28" s="418"/>
      <c r="Y28" s="418"/>
      <c r="Z28" s="418"/>
      <c r="AA28" s="418"/>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18">
        <v>17600000000</v>
      </c>
      <c r="T29" s="418">
        <v>21500000000</v>
      </c>
      <c r="U29" s="419">
        <v>22100000000</v>
      </c>
      <c r="V29" s="418"/>
      <c r="W29" s="418"/>
      <c r="X29" s="418"/>
      <c r="Y29" s="418"/>
      <c r="Z29" s="418"/>
      <c r="AA29" s="418"/>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18">
        <v>7800000000</v>
      </c>
      <c r="T30" s="418">
        <v>4900000000</v>
      </c>
      <c r="U30" s="419">
        <v>5300000000</v>
      </c>
      <c r="V30" s="418"/>
      <c r="W30" s="418"/>
      <c r="X30" s="418"/>
      <c r="Y30" s="418"/>
      <c r="Z30" s="418"/>
      <c r="AA30" s="418"/>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18">
        <v>600000000</v>
      </c>
      <c r="T31" s="418">
        <v>800000000</v>
      </c>
      <c r="U31" s="419">
        <v>900000000</v>
      </c>
      <c r="V31" s="419"/>
      <c r="W31" s="418"/>
      <c r="X31" s="418"/>
      <c r="Y31" s="418"/>
      <c r="Z31" s="418"/>
      <c r="AA31" s="418"/>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18">
        <f>S36+S37+S38+S39+S42</f>
        <v>94100000000</v>
      </c>
      <c r="T32" s="418">
        <f t="shared" ref="T32:U32" si="2">T36+T37+T38+T39+T42</f>
        <v>111300000000</v>
      </c>
      <c r="U32" s="418">
        <f t="shared" si="2"/>
        <v>103400000000</v>
      </c>
      <c r="V32" s="419">
        <v>104200000000</v>
      </c>
      <c r="W32" s="419">
        <v>116000000000</v>
      </c>
      <c r="X32" s="418">
        <v>141300000000</v>
      </c>
      <c r="Y32" s="418">
        <v>171000000000</v>
      </c>
      <c r="Z32" s="418">
        <v>187600000000</v>
      </c>
      <c r="AA32" s="418">
        <v>206800000000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19"/>
      <c r="T33" s="214"/>
      <c r="U33" s="419"/>
      <c r="V33" s="1936"/>
      <c r="W33" s="1936"/>
      <c r="X33" s="1936"/>
      <c r="Y33" s="2460"/>
      <c r="Z33" s="2460"/>
      <c r="AA33" s="2460"/>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2453"/>
      <c r="B34" s="2453" t="s">
        <v>96</v>
      </c>
      <c r="C34" s="2454"/>
      <c r="D34" s="2448"/>
      <c r="E34" s="2448"/>
      <c r="F34" s="2448"/>
      <c r="G34" s="2449"/>
      <c r="H34" s="2450"/>
      <c r="I34" s="2450"/>
      <c r="J34" s="2449"/>
      <c r="K34" s="2449"/>
      <c r="L34" s="2455"/>
      <c r="M34" s="2449"/>
      <c r="N34" s="2449"/>
      <c r="O34" s="2449"/>
      <c r="P34" s="2449"/>
      <c r="Q34" s="2449"/>
      <c r="R34" s="2449"/>
      <c r="S34" s="2459">
        <v>18000000000</v>
      </c>
      <c r="T34" s="2459">
        <v>4400000000</v>
      </c>
      <c r="U34" s="2459">
        <v>42400000000</v>
      </c>
      <c r="V34" s="2459"/>
      <c r="W34" s="2459"/>
      <c r="X34" s="2459"/>
      <c r="Y34" s="2459"/>
      <c r="Z34" s="2459"/>
      <c r="AA34" s="2459"/>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47"/>
      <c r="P35" s="647"/>
      <c r="Q35" s="141"/>
      <c r="R35" s="141"/>
      <c r="S35" s="419"/>
      <c r="T35" s="214"/>
      <c r="U35" s="419"/>
      <c r="V35" s="1936"/>
      <c r="W35" s="1936"/>
      <c r="X35" s="1936"/>
      <c r="Y35" s="2460"/>
      <c r="Z35" s="2460"/>
      <c r="AA35" s="2460"/>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47"/>
      <c r="P36" s="647"/>
      <c r="Q36" s="142">
        <v>27600000000</v>
      </c>
      <c r="R36" s="142">
        <v>21800000000</v>
      </c>
      <c r="S36" s="418">
        <v>33900000000</v>
      </c>
      <c r="T36" s="418">
        <v>40800000000</v>
      </c>
      <c r="U36" s="419">
        <v>43400000000</v>
      </c>
      <c r="V36" s="418"/>
      <c r="W36" s="418"/>
      <c r="X36" s="418"/>
      <c r="Y36" s="418"/>
      <c r="Z36" s="418"/>
      <c r="AA36" s="418"/>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47"/>
      <c r="P37" s="647"/>
      <c r="Q37" s="142">
        <v>8500000000</v>
      </c>
      <c r="R37" s="142">
        <v>8700000000</v>
      </c>
      <c r="S37" s="418">
        <v>8700000000</v>
      </c>
      <c r="T37" s="418">
        <v>8700000000</v>
      </c>
      <c r="U37" s="419">
        <v>7600000000</v>
      </c>
      <c r="V37" s="418"/>
      <c r="W37" s="418"/>
      <c r="X37" s="418"/>
      <c r="Y37" s="418"/>
      <c r="Z37" s="418"/>
      <c r="AA37" s="418"/>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47"/>
      <c r="P38" s="647"/>
      <c r="Q38" s="142">
        <v>7200000000</v>
      </c>
      <c r="R38" s="142">
        <v>9100000000</v>
      </c>
      <c r="S38" s="418">
        <v>11200000000</v>
      </c>
      <c r="T38" s="418">
        <v>12400000000</v>
      </c>
      <c r="U38" s="419">
        <v>14500000000</v>
      </c>
      <c r="V38" s="418"/>
      <c r="W38" s="418"/>
      <c r="X38" s="418"/>
      <c r="Y38" s="418"/>
      <c r="Z38" s="418"/>
      <c r="AA38" s="418"/>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47"/>
      <c r="P39" s="647"/>
      <c r="Q39" s="142">
        <v>22400000000</v>
      </c>
      <c r="R39" s="142">
        <v>24900000000</v>
      </c>
      <c r="S39" s="418">
        <v>33900000000</v>
      </c>
      <c r="T39" s="418">
        <v>40800000000</v>
      </c>
      <c r="U39" s="419">
        <v>24700000000</v>
      </c>
      <c r="V39" s="418"/>
      <c r="W39" s="418"/>
      <c r="X39" s="418"/>
      <c r="Y39" s="418"/>
      <c r="Z39" s="418"/>
      <c r="AA39" s="418"/>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64" t="s">
        <v>105</v>
      </c>
      <c r="B40" s="64" t="s">
        <v>106</v>
      </c>
      <c r="C40" s="11" t="s">
        <v>95</v>
      </c>
      <c r="D40" s="41"/>
      <c r="E40" s="41"/>
      <c r="F40" s="41"/>
      <c r="G40" s="135"/>
      <c r="H40" s="159"/>
      <c r="I40" s="159"/>
      <c r="J40" s="135">
        <v>0</v>
      </c>
      <c r="K40" s="135">
        <v>0</v>
      </c>
      <c r="L40" s="164">
        <v>100000000</v>
      </c>
      <c r="M40" s="135">
        <v>0</v>
      </c>
      <c r="N40" s="135">
        <v>0</v>
      </c>
      <c r="O40" s="647"/>
      <c r="P40" s="647"/>
      <c r="Q40" s="141"/>
      <c r="R40" s="141"/>
      <c r="S40" s="419"/>
      <c r="T40" s="418"/>
      <c r="U40" s="418"/>
      <c r="V40" s="418"/>
      <c r="W40" s="418"/>
      <c r="X40" s="418"/>
      <c r="Y40" s="418"/>
      <c r="Z40" s="418"/>
      <c r="AA40" s="418"/>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47"/>
      <c r="P41" s="647"/>
      <c r="Q41" s="141"/>
      <c r="R41" s="141"/>
      <c r="S41" s="419"/>
      <c r="T41" s="418"/>
      <c r="U41" s="418"/>
      <c r="V41" s="418"/>
      <c r="W41" s="418"/>
      <c r="X41" s="418"/>
      <c r="Y41" s="418"/>
      <c r="Z41" s="418"/>
      <c r="AA41" s="418"/>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47"/>
      <c r="P42" s="647"/>
      <c r="Q42" s="142">
        <f>Q32-Q36-Q37-Q38-Q39</f>
        <v>14700000000</v>
      </c>
      <c r="R42" s="142">
        <f>R32-R36-R37-R38-R39</f>
        <v>8100000000</v>
      </c>
      <c r="S42" s="418">
        <v>6400000000</v>
      </c>
      <c r="T42" s="418">
        <v>8600000000</v>
      </c>
      <c r="U42" s="419">
        <v>13200000000</v>
      </c>
      <c r="V42" s="418"/>
      <c r="W42" s="418"/>
      <c r="X42" s="418"/>
      <c r="Y42" s="418"/>
      <c r="Z42" s="418"/>
      <c r="AA42" s="418"/>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19"/>
      <c r="T43" s="214"/>
      <c r="U43" s="419"/>
      <c r="V43" s="1936"/>
      <c r="W43" s="1936"/>
      <c r="X43" s="1936"/>
      <c r="Y43" s="2460"/>
      <c r="Z43" s="2460"/>
      <c r="AA43" s="2460"/>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18">
        <v>-113000000000</v>
      </c>
      <c r="T44" s="418">
        <v>-107800000000</v>
      </c>
      <c r="U44" s="419">
        <v>84700000000</v>
      </c>
      <c r="V44" s="418"/>
      <c r="W44" s="418"/>
      <c r="X44" s="418"/>
      <c r="Y44" s="418"/>
      <c r="Z44" s="418"/>
      <c r="AA44" s="418"/>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18">
        <v>-16899999999.999998</v>
      </c>
      <c r="T45" s="418">
        <v>1600000000</v>
      </c>
      <c r="U45" s="419">
        <v>-8700000000</v>
      </c>
      <c r="V45" s="418"/>
      <c r="W45" s="418"/>
      <c r="X45" s="418"/>
      <c r="Y45" s="418"/>
      <c r="Z45" s="418"/>
      <c r="AA45" s="418"/>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18">
        <v>0</v>
      </c>
      <c r="T46" s="214"/>
      <c r="U46" s="419"/>
      <c r="V46" s="1936"/>
      <c r="W46" s="1936"/>
      <c r="X46" s="1936"/>
      <c r="Y46" s="2460"/>
      <c r="Z46" s="2460"/>
      <c r="AA46" s="2460"/>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18">
        <v>200000000</v>
      </c>
      <c r="T47" s="214"/>
      <c r="U47" s="419"/>
      <c r="V47" s="1936"/>
      <c r="W47" s="1936"/>
      <c r="X47" s="1936"/>
      <c r="Y47" s="2460"/>
      <c r="Z47" s="2460"/>
      <c r="AA47" s="2460"/>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18">
        <v>11200000000</v>
      </c>
      <c r="T48" s="418">
        <v>8199999999.999999</v>
      </c>
      <c r="U48" s="418"/>
      <c r="V48" s="418"/>
      <c r="W48" s="418"/>
      <c r="X48" s="418"/>
      <c r="Y48" s="418"/>
      <c r="Z48" s="418"/>
      <c r="AA48" s="418"/>
      <c r="AB48" s="365"/>
      <c r="AC48" s="365"/>
      <c r="AD48" s="365"/>
      <c r="AE48" s="365"/>
      <c r="AF48" s="365"/>
      <c r="AG48" s="365"/>
      <c r="AH48" s="365"/>
      <c r="AI48" s="365"/>
      <c r="AJ48" s="365"/>
      <c r="AK48" s="365"/>
      <c r="AL48" s="365"/>
      <c r="AM48" s="365"/>
      <c r="AN48" s="365"/>
      <c r="AO48" s="365"/>
      <c r="AP48" s="365"/>
      <c r="AQ48" s="365"/>
      <c r="AR48" s="365"/>
      <c r="AS48" s="365"/>
      <c r="AT48" s="365"/>
      <c r="AU48" s="365"/>
    </row>
    <row r="49" spans="1:47" ht="16.5">
      <c r="B49" s="90"/>
      <c r="C49" s="90"/>
      <c r="D49" s="41"/>
      <c r="E49" s="41"/>
      <c r="F49" s="41"/>
      <c r="G49" s="159"/>
      <c r="H49" s="164"/>
      <c r="I49" s="164"/>
      <c r="J49" s="135"/>
      <c r="K49" s="135"/>
      <c r="L49" s="164"/>
      <c r="M49" s="135"/>
      <c r="N49" s="135"/>
      <c r="O49" s="141"/>
      <c r="P49" s="141"/>
      <c r="Q49" s="141"/>
      <c r="R49" s="141"/>
      <c r="S49" s="419"/>
      <c r="T49" s="214"/>
      <c r="U49" s="419"/>
      <c r="V49" s="1936"/>
      <c r="W49" s="1936"/>
      <c r="X49" s="1936"/>
      <c r="Y49" s="2460"/>
      <c r="Z49" s="2460"/>
      <c r="AA49" s="2460"/>
      <c r="AB49" s="365"/>
      <c r="AC49" s="365"/>
      <c r="AD49" s="365"/>
      <c r="AE49" s="365"/>
      <c r="AF49" s="365"/>
      <c r="AG49" s="365"/>
      <c r="AH49" s="365"/>
      <c r="AI49" s="365"/>
      <c r="AJ49" s="365"/>
      <c r="AK49" s="365"/>
      <c r="AL49" s="365"/>
      <c r="AM49" s="365"/>
      <c r="AN49" s="365"/>
      <c r="AO49" s="365"/>
      <c r="AP49" s="365"/>
      <c r="AQ49" s="365"/>
      <c r="AR49" s="365"/>
      <c r="AS49" s="365"/>
      <c r="AT49" s="365"/>
      <c r="AU49" s="365"/>
    </row>
    <row r="50" spans="1:47" s="15" customFormat="1" ht="16.5">
      <c r="A50" s="612" t="s">
        <v>115</v>
      </c>
      <c r="B50" s="613" t="s">
        <v>115</v>
      </c>
      <c r="C50" s="613" t="s">
        <v>35</v>
      </c>
      <c r="D50" s="609"/>
      <c r="E50" s="609"/>
      <c r="F50" s="609"/>
      <c r="G50" s="610">
        <v>876000000</v>
      </c>
      <c r="H50" s="614">
        <v>5102000000</v>
      </c>
      <c r="I50" s="614">
        <v>3158000000</v>
      </c>
      <c r="J50" s="207">
        <v>-3200000000</v>
      </c>
      <c r="K50" s="207">
        <v>7500000000</v>
      </c>
      <c r="L50" s="610">
        <v>-200000000</v>
      </c>
      <c r="M50" s="207">
        <v>8000000000</v>
      </c>
      <c r="N50" s="207">
        <v>-4300000000</v>
      </c>
      <c r="O50" s="615">
        <f>32300000000-O51</f>
        <v>31700000000</v>
      </c>
      <c r="P50" s="615">
        <f>-17200000000-P51</f>
        <v>-23800000000</v>
      </c>
      <c r="Q50" s="611">
        <v>-3500000000</v>
      </c>
      <c r="R50" s="611">
        <v>19100000000</v>
      </c>
      <c r="S50" s="2456">
        <v>5700000000</v>
      </c>
      <c r="T50" s="2456">
        <v>-9700000000</v>
      </c>
      <c r="U50" s="2456">
        <v>-13900000000</v>
      </c>
      <c r="V50" s="2456">
        <v>6700000000</v>
      </c>
      <c r="W50" s="2456">
        <v>-9300000000</v>
      </c>
      <c r="X50" s="2456">
        <v>4200000000</v>
      </c>
      <c r="Y50" s="2456">
        <v>7800000000</v>
      </c>
      <c r="Z50" s="2456">
        <v>6300000000</v>
      </c>
      <c r="AA50" s="2456">
        <v>1500000000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18">
        <v>0</v>
      </c>
      <c r="T51" s="418">
        <v>2100000000</v>
      </c>
      <c r="U51" s="419">
        <v>2800000000</v>
      </c>
      <c r="V51" s="418">
        <v>0</v>
      </c>
      <c r="W51" s="418">
        <v>0</v>
      </c>
      <c r="X51" s="418">
        <v>0</v>
      </c>
      <c r="Y51" s="418">
        <v>0</v>
      </c>
      <c r="Z51" s="418">
        <v>0</v>
      </c>
      <c r="AA51" s="418">
        <v>0</v>
      </c>
      <c r="AB51" s="365"/>
      <c r="AC51" s="365"/>
      <c r="AD51" s="365"/>
      <c r="AE51" s="365"/>
      <c r="AF51" s="365"/>
      <c r="AG51" s="365"/>
      <c r="AH51" s="365"/>
      <c r="AI51" s="365"/>
      <c r="AJ51" s="365"/>
      <c r="AK51" s="365"/>
      <c r="AL51" s="365"/>
      <c r="AM51" s="365"/>
      <c r="AN51" s="365"/>
      <c r="AO51" s="365"/>
      <c r="AP51" s="365"/>
      <c r="AQ51" s="365"/>
      <c r="AR51" s="365"/>
      <c r="AS51" s="365"/>
      <c r="AT51" s="365"/>
      <c r="AU51" s="365"/>
    </row>
    <row r="52" spans="1:47" ht="16.5">
      <c r="A52" s="2463" t="s">
        <v>117</v>
      </c>
      <c r="B52" s="2464" t="s">
        <v>118</v>
      </c>
      <c r="C52" s="2454"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18">
        <v>600000000</v>
      </c>
      <c r="T52" s="418">
        <v>-300000000</v>
      </c>
      <c r="U52" s="419">
        <v>-200000000</v>
      </c>
      <c r="V52" s="418">
        <v>6300000000</v>
      </c>
      <c r="W52" s="418">
        <v>5700000000</v>
      </c>
      <c r="X52" s="418">
        <v>6700000000</v>
      </c>
      <c r="Y52" s="418">
        <v>7600000000</v>
      </c>
      <c r="Z52" s="418">
        <v>8600000000</v>
      </c>
      <c r="AA52" s="418">
        <v>10200000000</v>
      </c>
      <c r="AB52" s="365"/>
      <c r="AC52" s="365"/>
      <c r="AD52" s="365"/>
      <c r="AE52" s="365"/>
      <c r="AF52" s="365"/>
      <c r="AG52" s="365"/>
      <c r="AH52" s="365"/>
      <c r="AI52" s="365"/>
      <c r="AJ52" s="365"/>
      <c r="AK52" s="365"/>
      <c r="AL52" s="365"/>
      <c r="AM52" s="365"/>
      <c r="AN52" s="365"/>
      <c r="AO52" s="365"/>
      <c r="AP52" s="365"/>
      <c r="AQ52" s="365"/>
      <c r="AR52" s="365"/>
      <c r="AS52" s="365"/>
      <c r="AT52" s="365"/>
      <c r="AU52" s="365"/>
    </row>
    <row r="53" spans="1:47" ht="16.5">
      <c r="A53" s="2465" t="s">
        <v>120</v>
      </c>
      <c r="B53" s="2464" t="s">
        <v>121</v>
      </c>
      <c r="C53" s="2454"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18">
        <v>5000000000</v>
      </c>
      <c r="T53" s="418">
        <v>-11600000000</v>
      </c>
      <c r="U53" s="419">
        <v>-16500000000</v>
      </c>
      <c r="V53" s="418">
        <v>300000000</v>
      </c>
      <c r="W53" s="418">
        <v>-15000000000</v>
      </c>
      <c r="X53" s="418">
        <v>-2500000000</v>
      </c>
      <c r="Y53" s="418">
        <v>200000000</v>
      </c>
      <c r="Z53" s="418">
        <v>-2300000000</v>
      </c>
      <c r="AA53" s="418">
        <v>-8700000000</v>
      </c>
      <c r="AB53" s="365"/>
      <c r="AC53" s="365"/>
      <c r="AD53" s="365"/>
      <c r="AE53" s="365"/>
      <c r="AF53" s="365"/>
      <c r="AG53" s="365"/>
      <c r="AH53" s="365"/>
      <c r="AI53" s="365"/>
      <c r="AJ53" s="365"/>
      <c r="AK53" s="365"/>
      <c r="AL53" s="365"/>
      <c r="AM53" s="365"/>
      <c r="AN53" s="365"/>
      <c r="AO53" s="365"/>
      <c r="AP53" s="365"/>
      <c r="AQ53" s="365"/>
      <c r="AR53" s="365"/>
      <c r="AS53" s="365"/>
      <c r="AT53" s="365"/>
      <c r="AU53" s="365"/>
    </row>
    <row r="54" spans="1:47" ht="16.5">
      <c r="A54" s="2466" t="s">
        <v>122</v>
      </c>
      <c r="B54" s="2464" t="s">
        <v>123</v>
      </c>
      <c r="C54" s="2464"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458">
        <v>5000000000</v>
      </c>
      <c r="T54" s="2458">
        <v>-11600000000</v>
      </c>
      <c r="U54" s="2459">
        <v>-16500000000</v>
      </c>
      <c r="V54" s="2458">
        <v>300000000</v>
      </c>
      <c r="W54" s="2458">
        <v>-15000000000</v>
      </c>
      <c r="X54" s="2458">
        <v>-7900000000</v>
      </c>
      <c r="Y54" s="2458">
        <v>-7700000000</v>
      </c>
      <c r="Z54" s="2458">
        <v>-9600000000</v>
      </c>
      <c r="AA54" s="2458">
        <v>-10100000000</v>
      </c>
      <c r="AB54" s="365"/>
      <c r="AC54" s="365"/>
      <c r="AD54" s="365"/>
      <c r="AE54" s="365"/>
      <c r="AF54" s="365"/>
      <c r="AG54" s="365"/>
      <c r="AH54" s="365"/>
      <c r="AI54" s="365"/>
      <c r="AJ54" s="365"/>
      <c r="AK54" s="365"/>
      <c r="AL54" s="365"/>
      <c r="AM54" s="365"/>
      <c r="AN54" s="365"/>
      <c r="AO54" s="365"/>
      <c r="AP54" s="365"/>
      <c r="AQ54" s="365"/>
      <c r="AR54" s="365"/>
      <c r="AS54" s="365"/>
      <c r="AT54" s="365"/>
      <c r="AU54" s="365"/>
    </row>
    <row r="55" spans="1:47" ht="16.5">
      <c r="A55" s="2448" t="s">
        <v>125</v>
      </c>
      <c r="B55" s="2463" t="s">
        <v>126</v>
      </c>
      <c r="C55" s="2464"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18">
        <v>2700000000</v>
      </c>
      <c r="T55" s="418">
        <v>-4500000000</v>
      </c>
      <c r="U55" s="419">
        <v>-8900000000</v>
      </c>
      <c r="V55" s="419">
        <v>8400000000</v>
      </c>
      <c r="W55" s="419">
        <v>-7800000000</v>
      </c>
      <c r="X55" s="419">
        <v>-7300000000</v>
      </c>
      <c r="Y55" s="419">
        <v>-7200000000</v>
      </c>
      <c r="Z55" s="419">
        <v>-9200000000</v>
      </c>
      <c r="AA55" s="419">
        <v>-9700000000</v>
      </c>
      <c r="AB55" s="365"/>
      <c r="AC55" s="365"/>
      <c r="AD55" s="365"/>
      <c r="AE55" s="365"/>
      <c r="AF55" s="365"/>
      <c r="AG55" s="365"/>
      <c r="AH55" s="365"/>
      <c r="AI55" s="365"/>
      <c r="AJ55" s="365"/>
      <c r="AK55" s="365"/>
      <c r="AL55" s="365"/>
      <c r="AM55" s="365"/>
      <c r="AN55" s="365"/>
      <c r="AO55" s="365"/>
      <c r="AP55" s="365"/>
      <c r="AQ55" s="365"/>
      <c r="AR55" s="365"/>
      <c r="AS55" s="365"/>
      <c r="AT55" s="365"/>
      <c r="AU55" s="365"/>
    </row>
    <row r="56" spans="1:47">
      <c r="A56" s="2448" t="s">
        <v>76</v>
      </c>
      <c r="B56" s="2463" t="s">
        <v>128</v>
      </c>
      <c r="C56" s="2464"/>
      <c r="D56" s="41"/>
      <c r="E56" s="41"/>
      <c r="F56" s="41"/>
      <c r="G56" s="159"/>
      <c r="H56" s="159"/>
      <c r="I56" s="159"/>
      <c r="J56" s="159"/>
      <c r="K56" s="159"/>
      <c r="L56" s="159"/>
      <c r="M56" s="135">
        <v>3800000000</v>
      </c>
      <c r="N56" s="135">
        <v>-16500000000</v>
      </c>
      <c r="O56" s="159"/>
      <c r="P56" s="159"/>
      <c r="Q56" s="159"/>
      <c r="R56" s="159"/>
      <c r="S56" s="419"/>
      <c r="T56" s="214"/>
      <c r="U56" s="419"/>
      <c r="V56" s="419"/>
      <c r="W56" s="419"/>
      <c r="X56" s="419"/>
      <c r="Y56" s="2467"/>
      <c r="Z56" s="2467"/>
      <c r="AA56" s="2467"/>
      <c r="AB56" s="365"/>
      <c r="AC56" s="365"/>
      <c r="AD56" s="365"/>
      <c r="AE56" s="365"/>
      <c r="AF56" s="365"/>
      <c r="AG56" s="365"/>
      <c r="AH56" s="365"/>
      <c r="AI56" s="365"/>
      <c r="AJ56" s="365"/>
      <c r="AK56" s="365"/>
      <c r="AL56" s="365"/>
      <c r="AM56" s="365"/>
      <c r="AN56" s="365"/>
      <c r="AO56" s="365"/>
      <c r="AP56" s="365"/>
      <c r="AQ56" s="365"/>
      <c r="AR56" s="365"/>
      <c r="AS56" s="365"/>
      <c r="AT56" s="365"/>
      <c r="AU56" s="365"/>
    </row>
    <row r="57" spans="1:47">
      <c r="A57" s="2448" t="s">
        <v>76</v>
      </c>
      <c r="B57" s="2463" t="s">
        <v>129</v>
      </c>
      <c r="C57" s="2464"/>
      <c r="D57" s="41"/>
      <c r="E57" s="41"/>
      <c r="F57" s="41"/>
      <c r="G57" s="159"/>
      <c r="H57" s="159"/>
      <c r="I57" s="159"/>
      <c r="J57" s="159"/>
      <c r="K57" s="159"/>
      <c r="L57" s="159"/>
      <c r="M57" s="135">
        <v>-500000000</v>
      </c>
      <c r="N57" s="135">
        <v>-2300000000</v>
      </c>
      <c r="O57" s="159"/>
      <c r="P57" s="159"/>
      <c r="Q57" s="159"/>
      <c r="R57" s="159"/>
      <c r="S57" s="419"/>
      <c r="T57" s="214"/>
      <c r="U57" s="419"/>
      <c r="V57" s="419"/>
      <c r="W57" s="419"/>
      <c r="X57" s="419"/>
      <c r="Y57" s="2467"/>
      <c r="Z57" s="2467"/>
      <c r="AA57" s="2467"/>
      <c r="AB57" s="365"/>
      <c r="AC57" s="365"/>
      <c r="AD57" s="365"/>
      <c r="AE57" s="365"/>
      <c r="AF57" s="365"/>
      <c r="AG57" s="365"/>
      <c r="AH57" s="365"/>
      <c r="AI57" s="365"/>
      <c r="AJ57" s="365"/>
      <c r="AK57" s="365"/>
      <c r="AL57" s="365"/>
      <c r="AM57" s="365"/>
      <c r="AN57" s="365"/>
      <c r="AO57" s="365"/>
      <c r="AP57" s="365"/>
      <c r="AQ57" s="365"/>
      <c r="AR57" s="365"/>
      <c r="AS57" s="365"/>
      <c r="AT57" s="365"/>
      <c r="AU57" s="365"/>
    </row>
    <row r="58" spans="1:47" ht="16.5">
      <c r="A58" s="2448" t="s">
        <v>130</v>
      </c>
      <c r="B58" s="2463" t="s">
        <v>131</v>
      </c>
      <c r="C58" s="2464"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18">
        <v>2300000000</v>
      </c>
      <c r="T58" s="418">
        <v>-7100000000</v>
      </c>
      <c r="U58" s="419">
        <v>-7700000000</v>
      </c>
      <c r="V58" s="419">
        <v>-8100000000</v>
      </c>
      <c r="W58" s="419">
        <v>-7200000000</v>
      </c>
      <c r="X58" s="419">
        <v>-600000000</v>
      </c>
      <c r="Y58" s="419">
        <v>-500000000</v>
      </c>
      <c r="Z58" s="419">
        <v>-400000000</v>
      </c>
      <c r="AA58" s="419">
        <v>-300000000</v>
      </c>
      <c r="AB58" s="365"/>
      <c r="AC58" s="365"/>
      <c r="AD58" s="365"/>
      <c r="AE58" s="365"/>
      <c r="AF58" s="365"/>
      <c r="AG58" s="365"/>
      <c r="AH58" s="365"/>
      <c r="AI58" s="365"/>
      <c r="AJ58" s="365"/>
      <c r="AK58" s="365"/>
      <c r="AL58" s="365"/>
      <c r="AM58" s="365"/>
      <c r="AN58" s="365"/>
      <c r="AO58" s="365"/>
      <c r="AP58" s="365"/>
      <c r="AQ58" s="365"/>
      <c r="AR58" s="365"/>
      <c r="AS58" s="365"/>
      <c r="AT58" s="365"/>
      <c r="AU58" s="365"/>
    </row>
    <row r="59" spans="1:47" ht="16.5">
      <c r="A59" s="2463" t="s">
        <v>76</v>
      </c>
      <c r="B59" s="2463" t="s">
        <v>132</v>
      </c>
      <c r="C59" s="2464"/>
      <c r="D59" s="41"/>
      <c r="E59" s="41"/>
      <c r="F59" s="41"/>
      <c r="G59" s="159"/>
      <c r="H59" s="159"/>
      <c r="I59" s="159"/>
      <c r="J59" s="159"/>
      <c r="K59" s="159"/>
      <c r="L59" s="159"/>
      <c r="M59" s="159"/>
      <c r="N59" s="159"/>
      <c r="O59" s="159">
        <v>900000000</v>
      </c>
      <c r="P59" s="159">
        <v>700000000</v>
      </c>
      <c r="Q59" s="159"/>
      <c r="R59" s="159"/>
      <c r="S59" s="418">
        <v>1700000000</v>
      </c>
      <c r="T59" s="418">
        <v>-1800000000</v>
      </c>
      <c r="U59" s="418"/>
      <c r="V59" s="418"/>
      <c r="W59" s="418"/>
      <c r="X59" s="418"/>
      <c r="Y59" s="418"/>
      <c r="Z59" s="418"/>
      <c r="AA59" s="418"/>
      <c r="AB59" s="365"/>
      <c r="AC59" s="365"/>
      <c r="AD59" s="365"/>
      <c r="AE59" s="365"/>
      <c r="AF59" s="365"/>
      <c r="AG59" s="365"/>
      <c r="AH59" s="365"/>
      <c r="AI59" s="365"/>
      <c r="AJ59" s="365"/>
      <c r="AK59" s="365"/>
      <c r="AL59" s="365"/>
      <c r="AM59" s="365"/>
      <c r="AN59" s="365"/>
      <c r="AO59" s="365"/>
      <c r="AP59" s="365"/>
      <c r="AQ59" s="365"/>
      <c r="AR59" s="365"/>
      <c r="AS59" s="365"/>
      <c r="AT59" s="365"/>
      <c r="AU59" s="365"/>
    </row>
    <row r="60" spans="1:47" ht="16.5">
      <c r="A60" s="2463" t="s">
        <v>76</v>
      </c>
      <c r="B60" s="2463" t="s">
        <v>133</v>
      </c>
      <c r="C60" s="2464"/>
      <c r="D60" s="41"/>
      <c r="E60" s="41"/>
      <c r="F60" s="41"/>
      <c r="G60" s="159"/>
      <c r="H60" s="159"/>
      <c r="I60" s="159"/>
      <c r="J60" s="159"/>
      <c r="K60" s="159"/>
      <c r="L60" s="159"/>
      <c r="M60" s="159"/>
      <c r="N60" s="159"/>
      <c r="O60" s="159">
        <v>34600000000</v>
      </c>
      <c r="P60" s="159">
        <v>-4400000000</v>
      </c>
      <c r="Q60" s="159"/>
      <c r="R60" s="159"/>
      <c r="S60" s="418">
        <v>600000000</v>
      </c>
      <c r="T60" s="418">
        <v>-5300000000</v>
      </c>
      <c r="U60" s="418"/>
      <c r="V60" s="418"/>
      <c r="W60" s="418"/>
      <c r="X60" s="418"/>
      <c r="Y60" s="418"/>
      <c r="Z60" s="418"/>
      <c r="AA60" s="418"/>
      <c r="AB60" s="365"/>
      <c r="AC60" s="365"/>
      <c r="AD60" s="365"/>
      <c r="AE60" s="365"/>
      <c r="AF60" s="365"/>
      <c r="AG60" s="365"/>
      <c r="AH60" s="365"/>
      <c r="AI60" s="365"/>
      <c r="AJ60" s="365"/>
      <c r="AK60" s="365"/>
      <c r="AL60" s="365"/>
      <c r="AM60" s="365"/>
      <c r="AN60" s="365"/>
      <c r="AO60" s="365"/>
      <c r="AP60" s="365"/>
      <c r="AQ60" s="365"/>
      <c r="AR60" s="365"/>
      <c r="AS60" s="365"/>
      <c r="AT60" s="365"/>
      <c r="AU60" s="365"/>
    </row>
    <row r="61" spans="1:47" ht="16.5">
      <c r="A61" s="2448" t="s">
        <v>7050</v>
      </c>
      <c r="B61" s="2463" t="s">
        <v>134</v>
      </c>
      <c r="C61" s="2464" t="s">
        <v>124</v>
      </c>
      <c r="D61" s="41"/>
      <c r="E61" s="41"/>
      <c r="F61" s="41"/>
      <c r="G61" s="159"/>
      <c r="H61" s="159"/>
      <c r="I61" s="159"/>
      <c r="J61" s="159"/>
      <c r="K61" s="159"/>
      <c r="L61" s="159"/>
      <c r="M61" s="159"/>
      <c r="N61" s="159"/>
      <c r="O61" s="159">
        <v>0</v>
      </c>
      <c r="P61" s="159">
        <v>0</v>
      </c>
      <c r="Q61" s="159"/>
      <c r="R61" s="159"/>
      <c r="S61" s="418">
        <v>0</v>
      </c>
      <c r="T61" s="418">
        <v>0</v>
      </c>
      <c r="U61" s="418">
        <v>0</v>
      </c>
      <c r="V61" s="418">
        <v>0</v>
      </c>
      <c r="W61" s="418">
        <v>0</v>
      </c>
      <c r="X61" s="419">
        <v>5400000000</v>
      </c>
      <c r="Y61" s="419">
        <v>7900000000</v>
      </c>
      <c r="Z61" s="418">
        <v>7400000000</v>
      </c>
      <c r="AA61" s="418">
        <v>1400000000</v>
      </c>
      <c r="AB61" s="365"/>
      <c r="AC61" s="365"/>
      <c r="AD61" s="365"/>
      <c r="AE61" s="365"/>
      <c r="AF61" s="365"/>
      <c r="AG61" s="365"/>
      <c r="AH61" s="365"/>
      <c r="AI61" s="365"/>
      <c r="AJ61" s="365"/>
      <c r="AK61" s="365"/>
      <c r="AL61" s="365"/>
      <c r="AM61" s="365"/>
      <c r="AN61" s="365"/>
      <c r="AO61" s="365"/>
      <c r="AP61" s="365"/>
      <c r="AQ61" s="365"/>
      <c r="AR61" s="365"/>
      <c r="AS61" s="365"/>
      <c r="AT61" s="365"/>
      <c r="AU61" s="365"/>
    </row>
    <row r="62" spans="1:47" ht="16.5">
      <c r="A62" s="2448"/>
      <c r="B62" s="2463"/>
      <c r="C62" s="2464"/>
      <c r="D62" s="41"/>
      <c r="E62" s="41"/>
      <c r="F62" s="41"/>
      <c r="G62" s="159"/>
      <c r="H62" s="159"/>
      <c r="I62" s="159"/>
      <c r="J62" s="159"/>
      <c r="K62" s="159"/>
      <c r="L62" s="159"/>
      <c r="M62" s="159"/>
      <c r="N62" s="159"/>
      <c r="O62" s="159"/>
      <c r="P62" s="159"/>
      <c r="Q62" s="159"/>
      <c r="R62" s="159"/>
      <c r="S62" s="418"/>
      <c r="T62" s="418"/>
      <c r="U62" s="418"/>
      <c r="V62" s="418"/>
      <c r="W62" s="418"/>
      <c r="X62" s="418"/>
      <c r="Y62" s="418"/>
      <c r="Z62" s="418"/>
      <c r="AA62" s="418"/>
      <c r="AB62" s="365"/>
      <c r="AC62" s="365"/>
      <c r="AD62" s="365"/>
      <c r="AE62" s="365"/>
      <c r="AF62" s="365"/>
      <c r="AG62" s="365"/>
      <c r="AH62" s="365"/>
      <c r="AI62" s="365"/>
      <c r="AJ62" s="365"/>
      <c r="AK62" s="365"/>
      <c r="AL62" s="365"/>
      <c r="AM62" s="365"/>
      <c r="AN62" s="365"/>
      <c r="AO62" s="365"/>
      <c r="AP62" s="365"/>
      <c r="AQ62" s="365"/>
      <c r="AR62" s="365"/>
      <c r="AS62" s="365"/>
      <c r="AT62" s="365"/>
      <c r="AU62" s="365"/>
    </row>
    <row r="63" spans="1:47" ht="16.5">
      <c r="B63" s="644" t="s">
        <v>135</v>
      </c>
      <c r="C63" s="686"/>
      <c r="D63" s="687"/>
      <c r="E63" s="687"/>
      <c r="F63" s="687"/>
      <c r="G63" s="688"/>
      <c r="H63" s="688"/>
      <c r="I63" s="688"/>
      <c r="J63" s="688"/>
      <c r="K63" s="688"/>
      <c r="L63" s="688"/>
      <c r="M63" s="688"/>
      <c r="N63" s="688"/>
      <c r="O63" s="688"/>
      <c r="P63" s="688"/>
      <c r="Q63" s="688"/>
      <c r="R63" s="688"/>
      <c r="S63" s="418">
        <v>0</v>
      </c>
      <c r="T63" s="418">
        <v>0</v>
      </c>
      <c r="U63" s="418"/>
      <c r="V63" s="418"/>
      <c r="W63" s="418"/>
      <c r="X63" s="418"/>
      <c r="Y63" s="418"/>
      <c r="Z63" s="418"/>
      <c r="AA63" s="418"/>
      <c r="AB63" s="365"/>
      <c r="AC63" s="365"/>
      <c r="AD63" s="365"/>
      <c r="AE63" s="365"/>
      <c r="AF63" s="365"/>
      <c r="AG63" s="365"/>
      <c r="AH63" s="365"/>
      <c r="AI63" s="365"/>
      <c r="AJ63" s="365"/>
      <c r="AK63" s="365"/>
      <c r="AL63" s="365"/>
      <c r="AM63" s="365"/>
      <c r="AN63" s="365"/>
      <c r="AO63" s="365"/>
      <c r="AP63" s="365"/>
      <c r="AQ63" s="365"/>
      <c r="AR63" s="365"/>
      <c r="AS63" s="365"/>
      <c r="AT63" s="365"/>
      <c r="AU63" s="365"/>
    </row>
    <row r="64" spans="1:47" ht="16.5">
      <c r="B64" s="644" t="s">
        <v>136</v>
      </c>
      <c r="C64" s="686"/>
      <c r="D64" s="687"/>
      <c r="E64" s="687"/>
      <c r="F64" s="687"/>
      <c r="G64" s="688"/>
      <c r="H64" s="688"/>
      <c r="I64" s="688"/>
      <c r="J64" s="688"/>
      <c r="K64" s="688"/>
      <c r="L64" s="688"/>
      <c r="M64" s="688"/>
      <c r="N64" s="688"/>
      <c r="O64" s="688"/>
      <c r="P64" s="688"/>
      <c r="Q64" s="688"/>
      <c r="R64" s="688"/>
      <c r="S64" s="418">
        <v>28300000000</v>
      </c>
      <c r="T64" s="418">
        <v>23000000000</v>
      </c>
      <c r="U64" s="418"/>
      <c r="V64" s="418"/>
      <c r="W64" s="418"/>
      <c r="X64" s="418"/>
      <c r="Y64" s="418"/>
      <c r="Z64" s="418"/>
      <c r="AA64" s="418"/>
      <c r="AB64" s="365"/>
      <c r="AC64" s="365"/>
      <c r="AD64" s="365"/>
      <c r="AE64" s="365"/>
      <c r="AF64" s="365"/>
      <c r="AG64" s="365"/>
      <c r="AH64" s="365"/>
      <c r="AI64" s="365"/>
      <c r="AJ64" s="365"/>
      <c r="AK64" s="365"/>
      <c r="AL64" s="365"/>
      <c r="AM64" s="365"/>
      <c r="AN64" s="365"/>
      <c r="AO64" s="365"/>
      <c r="AP64" s="365"/>
      <c r="AQ64" s="365"/>
      <c r="AR64" s="365"/>
      <c r="AS64" s="365"/>
      <c r="AT64" s="365"/>
      <c r="AU64" s="365"/>
    </row>
    <row r="65" spans="2:47" ht="16.5">
      <c r="B65" s="644" t="s">
        <v>137</v>
      </c>
      <c r="C65" s="686"/>
      <c r="D65" s="687"/>
      <c r="E65" s="687"/>
      <c r="F65" s="687"/>
      <c r="G65" s="688"/>
      <c r="H65" s="688"/>
      <c r="I65" s="688"/>
      <c r="J65" s="688"/>
      <c r="K65" s="688"/>
      <c r="L65" s="688"/>
      <c r="M65" s="688"/>
      <c r="N65" s="688"/>
      <c r="O65" s="688"/>
      <c r="P65" s="688"/>
      <c r="Q65" s="688"/>
      <c r="R65" s="688"/>
      <c r="S65" s="418">
        <v>32900000000</v>
      </c>
      <c r="T65" s="418">
        <v>38600000000</v>
      </c>
      <c r="U65" s="418">
        <v>42100000000</v>
      </c>
      <c r="V65" s="419">
        <v>41000000000</v>
      </c>
      <c r="W65" s="418">
        <v>0</v>
      </c>
      <c r="X65" s="418">
        <v>0</v>
      </c>
      <c r="Y65" s="418">
        <v>0</v>
      </c>
      <c r="Z65" s="418">
        <v>0</v>
      </c>
      <c r="AA65" s="418">
        <v>0</v>
      </c>
      <c r="AB65" s="365"/>
      <c r="AC65" s="365"/>
      <c r="AD65" s="365"/>
      <c r="AE65" s="365"/>
      <c r="AF65" s="365"/>
      <c r="AG65" s="365"/>
      <c r="AH65" s="365"/>
      <c r="AI65" s="365"/>
      <c r="AJ65" s="365"/>
      <c r="AK65" s="365"/>
      <c r="AL65" s="365"/>
      <c r="AM65" s="365"/>
      <c r="AN65" s="365"/>
      <c r="AO65" s="365"/>
      <c r="AP65" s="365"/>
      <c r="AQ65" s="365"/>
      <c r="AR65" s="365"/>
      <c r="AS65" s="365"/>
      <c r="AT65" s="365"/>
      <c r="AU65" s="365"/>
    </row>
    <row r="66" spans="2:47">
      <c r="S66" s="214"/>
      <c r="T66" s="214"/>
      <c r="U66" s="214"/>
      <c r="V66" s="214"/>
      <c r="W66" s="214"/>
      <c r="X66" s="214"/>
      <c r="Y66" s="2461"/>
      <c r="Z66" s="2461"/>
      <c r="AA66" s="2461"/>
      <c r="AB66" s="365"/>
      <c r="AC66" s="365"/>
      <c r="AD66" s="365"/>
      <c r="AE66" s="365"/>
      <c r="AF66" s="365"/>
      <c r="AG66" s="365"/>
      <c r="AH66" s="365"/>
      <c r="AI66" s="365"/>
      <c r="AJ66" s="365"/>
      <c r="AK66" s="365"/>
      <c r="AL66" s="365"/>
      <c r="AM66" s="365"/>
      <c r="AN66" s="365"/>
      <c r="AO66" s="365"/>
      <c r="AP66" s="365"/>
      <c r="AQ66" s="365"/>
      <c r="AR66" s="365"/>
      <c r="AS66" s="365"/>
      <c r="AT66" s="365"/>
      <c r="AU66" s="365"/>
    </row>
    <row r="67" spans="2:47">
      <c r="S67" s="214"/>
      <c r="T67" s="214"/>
      <c r="U67" s="214"/>
      <c r="V67" s="214"/>
      <c r="W67" s="214"/>
      <c r="X67" s="214"/>
      <c r="Y67" s="2461"/>
      <c r="Z67" s="2461"/>
      <c r="AA67" s="2461"/>
      <c r="AB67" s="365"/>
      <c r="AC67" s="365"/>
      <c r="AD67" s="365"/>
      <c r="AE67" s="365"/>
      <c r="AF67" s="365"/>
      <c r="AG67" s="365"/>
      <c r="AH67" s="365"/>
      <c r="AI67" s="365"/>
      <c r="AJ67" s="365"/>
      <c r="AK67" s="365"/>
      <c r="AL67" s="365"/>
      <c r="AM67" s="365"/>
      <c r="AN67" s="365"/>
      <c r="AO67" s="365"/>
      <c r="AP67" s="365"/>
      <c r="AQ67" s="365"/>
      <c r="AR67" s="365"/>
      <c r="AS67" s="365"/>
      <c r="AT67" s="365"/>
      <c r="AU67" s="365"/>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5"/>
      <c r="AC68" s="365"/>
      <c r="AD68" s="365"/>
      <c r="AE68" s="365"/>
      <c r="AF68" s="365"/>
      <c r="AG68" s="365"/>
      <c r="AH68" s="365"/>
      <c r="AI68" s="365"/>
      <c r="AJ68" s="365"/>
      <c r="AK68" s="365"/>
      <c r="AL68" s="365"/>
      <c r="AM68" s="365"/>
      <c r="AN68" s="365"/>
      <c r="AO68" s="365"/>
      <c r="AP68" s="365"/>
      <c r="AQ68" s="365"/>
      <c r="AR68" s="365"/>
      <c r="AS68" s="365"/>
      <c r="AT68" s="365"/>
      <c r="AU68" s="365"/>
    </row>
    <row r="69" spans="2:47">
      <c r="S69" s="214"/>
      <c r="T69" s="214"/>
      <c r="U69" s="214"/>
      <c r="V69" s="214"/>
      <c r="W69" s="214"/>
      <c r="X69" s="214"/>
      <c r="Y69" s="2461"/>
      <c r="Z69" s="2461"/>
      <c r="AA69" s="2461"/>
      <c r="AB69" s="365"/>
      <c r="AC69" s="365"/>
      <c r="AD69" s="365"/>
      <c r="AE69" s="365"/>
      <c r="AF69" s="365"/>
      <c r="AG69" s="365"/>
      <c r="AH69" s="365"/>
      <c r="AI69" s="365"/>
      <c r="AJ69" s="365"/>
      <c r="AK69" s="365"/>
      <c r="AL69" s="365"/>
      <c r="AM69" s="365"/>
      <c r="AN69" s="365"/>
      <c r="AO69" s="365"/>
      <c r="AP69" s="365"/>
      <c r="AQ69" s="365"/>
      <c r="AR69" s="365"/>
      <c r="AS69" s="365"/>
      <c r="AT69" s="365"/>
      <c r="AU69" s="365"/>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462">
        <f>S6-S7-S14</f>
        <v>100000000</v>
      </c>
      <c r="T70" s="2462">
        <f t="shared" ref="T70:Z70" si="4">T6-T7-T14</f>
        <v>0</v>
      </c>
      <c r="U70" s="2462">
        <f t="shared" si="4"/>
        <v>0</v>
      </c>
      <c r="V70" s="2468">
        <f t="shared" si="4"/>
        <v>0</v>
      </c>
      <c r="W70" s="2468">
        <f t="shared" si="4"/>
        <v>-100000000</v>
      </c>
      <c r="X70" s="2468">
        <f t="shared" si="4"/>
        <v>0</v>
      </c>
      <c r="Y70" s="2468">
        <f t="shared" si="4"/>
        <v>0</v>
      </c>
      <c r="Z70" s="2468">
        <f t="shared" si="4"/>
        <v>0</v>
      </c>
      <c r="AA70" s="2468">
        <f t="shared" ref="AA70" si="5">AA6-AA7-AA14</f>
        <v>0</v>
      </c>
      <c r="AB70" s="365"/>
      <c r="AC70" s="365"/>
      <c r="AD70" s="365"/>
      <c r="AE70" s="365"/>
      <c r="AF70" s="365"/>
      <c r="AG70" s="365"/>
      <c r="AH70" s="365"/>
      <c r="AI70" s="365"/>
      <c r="AJ70" s="365"/>
      <c r="AK70" s="365"/>
      <c r="AL70" s="365"/>
      <c r="AM70" s="365"/>
      <c r="AN70" s="365"/>
      <c r="AO70" s="365"/>
      <c r="AP70" s="365"/>
      <c r="AQ70" s="365"/>
      <c r="AR70" s="365"/>
      <c r="AS70" s="365"/>
      <c r="AT70" s="365"/>
      <c r="AU70" s="365"/>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462">
        <f>S7-S8-S13</f>
        <v>0</v>
      </c>
      <c r="T71" s="2462">
        <f t="shared" ref="T71:Z71" si="7">T7-T8-T13</f>
        <v>0</v>
      </c>
      <c r="U71" s="2462">
        <f t="shared" si="7"/>
        <v>0</v>
      </c>
      <c r="V71" s="2468">
        <f t="shared" si="7"/>
        <v>0</v>
      </c>
      <c r="W71" s="2468">
        <f t="shared" si="7"/>
        <v>0</v>
      </c>
      <c r="X71" s="2468">
        <f t="shared" si="7"/>
        <v>0</v>
      </c>
      <c r="Y71" s="2468">
        <f t="shared" si="7"/>
        <v>0</v>
      </c>
      <c r="Z71" s="2468">
        <f t="shared" si="7"/>
        <v>0</v>
      </c>
      <c r="AA71" s="2468">
        <f t="shared" ref="AA71" si="8">AA7-AA8-AA13</f>
        <v>0</v>
      </c>
      <c r="AB71" s="365"/>
      <c r="AC71" s="365"/>
      <c r="AD71" s="365"/>
      <c r="AE71" s="365"/>
      <c r="AF71" s="365"/>
      <c r="AG71" s="365"/>
      <c r="AH71" s="365"/>
      <c r="AI71" s="365"/>
      <c r="AJ71" s="365"/>
      <c r="AK71" s="365"/>
      <c r="AL71" s="365"/>
      <c r="AM71" s="365"/>
      <c r="AN71" s="365"/>
      <c r="AO71" s="365"/>
      <c r="AP71" s="365"/>
      <c r="AQ71" s="365"/>
      <c r="AR71" s="365"/>
      <c r="AS71" s="365"/>
      <c r="AT71" s="365"/>
      <c r="AU71" s="365"/>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462">
        <f>S8-S9-S10-S11-S12</f>
        <v>0</v>
      </c>
      <c r="T72" s="2462">
        <f t="shared" ref="T72:Z72" si="10">T8-T9-T10-T11-T12</f>
        <v>0</v>
      </c>
      <c r="U72" s="2462">
        <f t="shared" si="10"/>
        <v>100000000.00000381</v>
      </c>
      <c r="V72" s="2468">
        <f t="shared" si="10"/>
        <v>114500000000</v>
      </c>
      <c r="W72" s="2468">
        <f t="shared" si="10"/>
        <v>126900000000</v>
      </c>
      <c r="X72" s="2468">
        <f t="shared" si="10"/>
        <v>140200000000</v>
      </c>
      <c r="Y72" s="2468">
        <f t="shared" si="10"/>
        <v>168800000000</v>
      </c>
      <c r="Z72" s="2468">
        <f t="shared" si="10"/>
        <v>208900000000</v>
      </c>
      <c r="AA72" s="2468">
        <f t="shared" ref="AA72" si="11">AA8-AA9-AA10-AA11-AA12</f>
        <v>234800000000</v>
      </c>
      <c r="AB72" s="365"/>
      <c r="AC72" s="365"/>
      <c r="AD72" s="365"/>
      <c r="AE72" s="365"/>
      <c r="AF72" s="365"/>
      <c r="AG72" s="365"/>
      <c r="AH72" s="365"/>
      <c r="AI72" s="365"/>
      <c r="AJ72" s="365"/>
      <c r="AK72" s="365"/>
      <c r="AL72" s="365"/>
      <c r="AM72" s="365"/>
      <c r="AN72" s="365"/>
      <c r="AO72" s="365"/>
      <c r="AP72" s="365"/>
      <c r="AQ72" s="365"/>
      <c r="AR72" s="365"/>
      <c r="AS72" s="365"/>
      <c r="AT72" s="365"/>
      <c r="AU72" s="365"/>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462">
        <f>S14-S15-S21</f>
        <v>0</v>
      </c>
      <c r="T73" s="2462">
        <f t="shared" ref="T73:Z73" si="13">T14-T15-T21</f>
        <v>0</v>
      </c>
      <c r="U73" s="2462">
        <f t="shared" si="13"/>
        <v>0</v>
      </c>
      <c r="V73" s="2468">
        <f t="shared" si="13"/>
        <v>0</v>
      </c>
      <c r="W73" s="2468">
        <f t="shared" si="13"/>
        <v>0</v>
      </c>
      <c r="X73" s="2468">
        <f t="shared" si="13"/>
        <v>0</v>
      </c>
      <c r="Y73" s="2468">
        <f t="shared" si="13"/>
        <v>0</v>
      </c>
      <c r="Z73" s="2468">
        <f t="shared" si="13"/>
        <v>0</v>
      </c>
      <c r="AA73" s="2468">
        <f t="shared" ref="AA73" si="14">AA14-AA15-AA21</f>
        <v>0</v>
      </c>
      <c r="AB73" s="365"/>
      <c r="AC73" s="365"/>
      <c r="AD73" s="365"/>
      <c r="AE73" s="365"/>
      <c r="AF73" s="365"/>
      <c r="AG73" s="365"/>
      <c r="AH73" s="365"/>
      <c r="AI73" s="365"/>
      <c r="AJ73" s="365"/>
      <c r="AK73" s="365"/>
      <c r="AL73" s="365"/>
      <c r="AM73" s="365"/>
      <c r="AN73" s="365"/>
      <c r="AO73" s="365"/>
      <c r="AP73" s="365"/>
      <c r="AQ73" s="365"/>
      <c r="AR73" s="365"/>
      <c r="AS73" s="365"/>
      <c r="AT73" s="365"/>
      <c r="AU73" s="365"/>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462">
        <f>S15-S16-S17-S18-S19-S20</f>
        <v>-100000000</v>
      </c>
      <c r="T74" s="2462">
        <f t="shared" ref="T74:Z74" si="16">T15-T16-T17-T18-T19-T20</f>
        <v>-100000000</v>
      </c>
      <c r="U74" s="2462">
        <f t="shared" si="16"/>
        <v>0</v>
      </c>
      <c r="V74" s="2468">
        <f t="shared" si="16"/>
        <v>117800000000</v>
      </c>
      <c r="W74" s="2468">
        <f t="shared" si="16"/>
        <v>144600000000</v>
      </c>
      <c r="X74" s="2468">
        <f t="shared" si="16"/>
        <v>159700000000</v>
      </c>
      <c r="Y74" s="2468">
        <f t="shared" si="16"/>
        <v>168200000000</v>
      </c>
      <c r="Z74" s="2468">
        <f t="shared" si="16"/>
        <v>179900000000</v>
      </c>
      <c r="AA74" s="2468">
        <f t="shared" ref="AA74" si="17">AA15-AA16-AA17-AA18-AA19-AA20</f>
        <v>191100000000</v>
      </c>
      <c r="AB74" s="365"/>
      <c r="AC74" s="365"/>
      <c r="AD74" s="365"/>
      <c r="AE74" s="365"/>
      <c r="AF74" s="365"/>
      <c r="AG74" s="365"/>
      <c r="AH74" s="365"/>
      <c r="AI74" s="365"/>
      <c r="AJ74" s="365"/>
      <c r="AK74" s="365"/>
      <c r="AL74" s="365"/>
      <c r="AM74" s="365"/>
      <c r="AN74" s="365"/>
      <c r="AO74" s="365"/>
      <c r="AP74" s="365"/>
      <c r="AQ74" s="365"/>
      <c r="AR74" s="365"/>
      <c r="AS74" s="365"/>
      <c r="AT74" s="365"/>
      <c r="AU74" s="365"/>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1936">
        <f>S22-S32-S23</f>
        <v>0</v>
      </c>
      <c r="T75" s="1936">
        <f t="shared" ref="T75:Z75" si="19">T22-T32-T23</f>
        <v>0</v>
      </c>
      <c r="U75" s="1936">
        <f t="shared" si="19"/>
        <v>0</v>
      </c>
      <c r="V75" s="419">
        <f t="shared" si="19"/>
        <v>0</v>
      </c>
      <c r="W75" s="419">
        <f t="shared" si="19"/>
        <v>-100000000</v>
      </c>
      <c r="X75" s="419">
        <f t="shared" si="19"/>
        <v>0</v>
      </c>
      <c r="Y75" s="419">
        <f t="shared" si="19"/>
        <v>0</v>
      </c>
      <c r="Z75" s="419">
        <f t="shared" si="19"/>
        <v>0</v>
      </c>
      <c r="AA75" s="419">
        <f t="shared" ref="AA75" si="20">AA22-AA32-AA23</f>
        <v>0</v>
      </c>
      <c r="AB75" s="365"/>
      <c r="AC75" s="365"/>
      <c r="AD75" s="365"/>
      <c r="AE75" s="365"/>
      <c r="AF75" s="365"/>
      <c r="AG75" s="365"/>
      <c r="AH75" s="365"/>
      <c r="AI75" s="365"/>
      <c r="AJ75" s="365"/>
      <c r="AK75" s="365"/>
      <c r="AL75" s="365"/>
      <c r="AM75" s="365"/>
      <c r="AN75" s="365"/>
      <c r="AO75" s="365"/>
      <c r="AP75" s="365"/>
      <c r="AQ75" s="365"/>
      <c r="AR75" s="365"/>
      <c r="AS75" s="365"/>
      <c r="AT75" s="365"/>
      <c r="AU75" s="365"/>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1936">
        <f>S23-S25-S27-S28-S29-S30-S31</f>
        <v>-100000000</v>
      </c>
      <c r="T76" s="1936">
        <f t="shared" ref="T76:Z76" si="22">T23-T25-T27-T28-T29-T30-T31</f>
        <v>0</v>
      </c>
      <c r="U76" s="1936">
        <f t="shared" si="22"/>
        <v>-100000000</v>
      </c>
      <c r="V76" s="419">
        <f>V23-V25-V27-V28-V29-V30-V31</f>
        <v>256899999999.99997</v>
      </c>
      <c r="W76" s="419">
        <f t="shared" si="22"/>
        <v>289600000000</v>
      </c>
      <c r="X76" s="419">
        <f t="shared" si="22"/>
        <v>337900000000</v>
      </c>
      <c r="Y76" s="419">
        <f t="shared" si="22"/>
        <v>384000000000</v>
      </c>
      <c r="Z76" s="419">
        <f t="shared" si="22"/>
        <v>441600000000</v>
      </c>
      <c r="AA76" s="419">
        <f t="shared" ref="AA76" si="23">AA23-AA25-AA27-AA28-AA29-AA30-AA31</f>
        <v>502100000000</v>
      </c>
      <c r="AB76" s="365"/>
      <c r="AC76" s="365"/>
      <c r="AD76" s="365"/>
      <c r="AE76" s="365"/>
      <c r="AF76" s="365"/>
      <c r="AG76" s="365"/>
      <c r="AH76" s="365"/>
      <c r="AI76" s="365"/>
      <c r="AJ76" s="365"/>
      <c r="AK76" s="365"/>
      <c r="AL76" s="365"/>
      <c r="AM76" s="365"/>
      <c r="AN76" s="365"/>
      <c r="AO76" s="365"/>
      <c r="AP76" s="365"/>
      <c r="AQ76" s="365"/>
      <c r="AR76" s="365"/>
      <c r="AS76" s="365"/>
      <c r="AT76" s="365"/>
      <c r="AU76" s="365"/>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0">
        <f>S32-S33-S35-S36-S37-S38-S40-S41-S39-S42</f>
        <v>0</v>
      </c>
      <c r="T77" s="320">
        <f t="shared" ref="T77:Z77" si="25">T32-T33-T35-T36-T37-T38-T40-T41-T39-T42</f>
        <v>0</v>
      </c>
      <c r="U77" s="320">
        <f t="shared" si="25"/>
        <v>0</v>
      </c>
      <c r="V77" s="2469">
        <f>V32-V33-V35-V36-V37-V38-V40-V41-V39-V42</f>
        <v>104200000000</v>
      </c>
      <c r="W77" s="2469">
        <f t="shared" si="25"/>
        <v>116000000000</v>
      </c>
      <c r="X77" s="2469">
        <f t="shared" si="25"/>
        <v>141300000000</v>
      </c>
      <c r="Y77" s="2469">
        <f t="shared" si="25"/>
        <v>171000000000</v>
      </c>
      <c r="Z77" s="2469">
        <f t="shared" si="25"/>
        <v>187600000000</v>
      </c>
      <c r="AA77" s="2469">
        <f t="shared" ref="AA77" si="26">AA32-AA33-AA35-AA36-AA37-AA38-AA40-AA41-AA39-AA42</f>
        <v>206800000000</v>
      </c>
      <c r="AB77" s="365"/>
      <c r="AC77" s="365"/>
      <c r="AD77" s="365"/>
      <c r="AE77" s="365"/>
      <c r="AF77" s="365"/>
      <c r="AG77" s="365"/>
      <c r="AH77" s="365"/>
      <c r="AI77" s="365"/>
      <c r="AJ77" s="365"/>
      <c r="AK77" s="365"/>
      <c r="AL77" s="365"/>
      <c r="AM77" s="365"/>
      <c r="AN77" s="365"/>
      <c r="AO77" s="365"/>
      <c r="AP77" s="365"/>
      <c r="AQ77" s="365"/>
      <c r="AR77" s="365"/>
      <c r="AS77" s="365"/>
      <c r="AT77" s="365"/>
      <c r="AU77" s="365"/>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1936">
        <f>S50-S52-S53</f>
        <v>100000000</v>
      </c>
      <c r="T78" s="1936">
        <f>T50-T51-T52-T53</f>
        <v>100000000</v>
      </c>
      <c r="U78" s="1936">
        <f t="shared" ref="U78:Z78" si="28">U50-U51-U52-U53</f>
        <v>0</v>
      </c>
      <c r="V78" s="419">
        <f t="shared" si="28"/>
        <v>100000000</v>
      </c>
      <c r="W78" s="419">
        <f t="shared" si="28"/>
        <v>0</v>
      </c>
      <c r="X78" s="419">
        <f t="shared" si="28"/>
        <v>0</v>
      </c>
      <c r="Y78" s="419">
        <f t="shared" si="28"/>
        <v>0</v>
      </c>
      <c r="Z78" s="419">
        <f t="shared" si="28"/>
        <v>0</v>
      </c>
      <c r="AA78" s="419">
        <f t="shared" ref="AA78" si="29">AA50-AA51-AA52-AA53</f>
        <v>0</v>
      </c>
      <c r="AB78" s="365"/>
      <c r="AC78" s="365"/>
      <c r="AD78" s="365"/>
      <c r="AE78" s="365"/>
      <c r="AF78" s="365"/>
      <c r="AG78" s="365"/>
      <c r="AH78" s="365"/>
      <c r="AI78" s="365"/>
      <c r="AJ78" s="365"/>
      <c r="AK78" s="365"/>
      <c r="AL78" s="365"/>
      <c r="AM78" s="365"/>
      <c r="AN78" s="365"/>
      <c r="AO78" s="365"/>
      <c r="AP78" s="365"/>
      <c r="AQ78" s="365"/>
      <c r="AR78" s="365"/>
      <c r="AS78" s="365"/>
      <c r="AT78" s="365"/>
      <c r="AU78" s="365"/>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1936">
        <f>S53-S54</f>
        <v>0</v>
      </c>
      <c r="T79" s="1936">
        <f t="shared" ref="T79:Z79" si="31">T53-T54</f>
        <v>0</v>
      </c>
      <c r="U79" s="1936">
        <f t="shared" si="31"/>
        <v>0</v>
      </c>
      <c r="V79" s="419">
        <f t="shared" si="31"/>
        <v>0</v>
      </c>
      <c r="W79" s="419">
        <f t="shared" si="31"/>
        <v>0</v>
      </c>
      <c r="X79" s="419">
        <f t="shared" si="31"/>
        <v>5400000000</v>
      </c>
      <c r="Y79" s="419">
        <f t="shared" si="31"/>
        <v>7900000000</v>
      </c>
      <c r="Z79" s="419">
        <f t="shared" si="31"/>
        <v>7300000000</v>
      </c>
      <c r="AA79" s="419">
        <f t="shared" ref="AA79" si="32">AA53-AA54</f>
        <v>1400000000</v>
      </c>
      <c r="AB79" s="365"/>
      <c r="AC79" s="365"/>
      <c r="AD79" s="365"/>
      <c r="AE79" s="365"/>
      <c r="AF79" s="365"/>
      <c r="AG79" s="365"/>
      <c r="AH79" s="365"/>
      <c r="AI79" s="365"/>
      <c r="AJ79" s="365"/>
      <c r="AK79" s="365"/>
      <c r="AL79" s="365"/>
      <c r="AM79" s="365"/>
      <c r="AN79" s="365"/>
      <c r="AO79" s="365"/>
      <c r="AP79" s="365"/>
      <c r="AQ79" s="365"/>
      <c r="AR79" s="365"/>
      <c r="AS79" s="365"/>
      <c r="AT79" s="365"/>
      <c r="AU79" s="365"/>
    </row>
    <row r="80" spans="2:47">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470">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21" activePane="bottomRight" state="frozen"/>
      <selection pane="topRight" activeCell="R7" sqref="R7"/>
      <selection pane="bottomLeft" activeCell="R7" sqref="R7"/>
      <selection pane="bottomRight" activeCell="N29" sqref="N29"/>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34" bestFit="1" customWidth="1"/>
    <col min="26" max="26" width="21.28515625" bestFit="1" customWidth="1"/>
    <col min="27" max="28" width="14.42578125" bestFit="1" customWidth="1"/>
  </cols>
  <sheetData>
    <row r="1" spans="1:28">
      <c r="A1" s="369" t="s">
        <v>154</v>
      </c>
      <c r="B1" s="82" t="s">
        <v>155</v>
      </c>
      <c r="C1" s="82"/>
      <c r="D1" s="27"/>
      <c r="E1" s="27"/>
      <c r="F1" s="27"/>
      <c r="G1" s="27"/>
      <c r="H1" s="27"/>
      <c r="I1" s="27"/>
      <c r="J1" s="27"/>
      <c r="K1" s="27"/>
      <c r="L1" s="27"/>
      <c r="M1" s="27"/>
      <c r="N1" s="27"/>
      <c r="O1" s="28"/>
      <c r="P1" s="28"/>
      <c r="Q1" s="28"/>
      <c r="R1" s="29"/>
      <c r="S1" s="28"/>
      <c r="T1" s="28"/>
      <c r="U1" s="28"/>
      <c r="V1" s="28"/>
      <c r="W1" s="28"/>
      <c r="X1" s="537"/>
      <c r="Y1" s="537"/>
    </row>
    <row r="2" spans="1:28">
      <c r="B2" s="30" t="s">
        <v>156</v>
      </c>
      <c r="C2" s="30"/>
      <c r="D2" s="28"/>
      <c r="E2" s="28"/>
      <c r="F2" s="28"/>
      <c r="G2" s="28"/>
      <c r="H2" s="28"/>
      <c r="I2" s="28"/>
      <c r="J2" s="28"/>
      <c r="K2" s="28"/>
      <c r="L2" s="28"/>
      <c r="M2" s="28"/>
      <c r="N2" s="28"/>
      <c r="O2" s="28"/>
      <c r="P2" s="28"/>
      <c r="Q2" s="28"/>
      <c r="R2" s="31"/>
      <c r="S2" s="32"/>
      <c r="T2" s="33"/>
      <c r="U2" s="28"/>
      <c r="V2" s="28"/>
      <c r="W2" s="28"/>
      <c r="X2" s="537"/>
      <c r="Y2" s="537"/>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37">
        <v>2020</v>
      </c>
      <c r="Y3" s="537">
        <v>2021</v>
      </c>
      <c r="Z3" s="537">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37" t="s">
        <v>25</v>
      </c>
      <c r="Y4" s="537" t="s">
        <v>26</v>
      </c>
      <c r="Z4" s="537" t="s">
        <v>27</v>
      </c>
      <c r="AA4" s="535"/>
      <c r="AB4" s="535"/>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37" t="s">
        <v>32</v>
      </c>
      <c r="Y5" s="537" t="s">
        <v>32</v>
      </c>
      <c r="Z5" s="537" t="s">
        <v>32</v>
      </c>
    </row>
    <row r="6" spans="1:28" s="9" customFormat="1" ht="15.75" customHeight="1">
      <c r="A6" s="18" t="s">
        <v>33</v>
      </c>
      <c r="B6" s="422" t="s">
        <v>158</v>
      </c>
      <c r="C6" s="55" t="s">
        <v>35</v>
      </c>
      <c r="D6" s="423">
        <v>126101000000</v>
      </c>
      <c r="E6" s="423">
        <v>139151000000</v>
      </c>
      <c r="F6" s="292">
        <v>154600000000</v>
      </c>
      <c r="G6" s="433">
        <f>G7+G26</f>
        <v>166600000000</v>
      </c>
      <c r="H6" s="433">
        <f>H7+H26</f>
        <v>184200000000</v>
      </c>
      <c r="I6" s="433">
        <f>I7+I26</f>
        <v>203800000000</v>
      </c>
      <c r="J6" s="292">
        <v>226300000000</v>
      </c>
      <c r="K6" s="292">
        <f>K7+K26</f>
        <v>248100000000</v>
      </c>
      <c r="L6" s="423">
        <v>290900000000</v>
      </c>
      <c r="M6" s="324">
        <v>298500000000</v>
      </c>
      <c r="N6" s="324">
        <v>320700000000</v>
      </c>
      <c r="O6" s="423">
        <v>330400000000</v>
      </c>
      <c r="P6" s="423">
        <v>330400000000</v>
      </c>
      <c r="Q6" s="662">
        <v>323700000000</v>
      </c>
      <c r="R6" s="662">
        <v>366600000000</v>
      </c>
      <c r="S6" s="662">
        <v>377500000000</v>
      </c>
      <c r="T6" s="662">
        <v>403100000000</v>
      </c>
      <c r="U6" s="662">
        <v>440800000000</v>
      </c>
      <c r="V6" s="662">
        <v>465300000000</v>
      </c>
      <c r="W6" s="662">
        <v>492500000000</v>
      </c>
      <c r="X6" s="663">
        <v>524100000000</v>
      </c>
      <c r="Y6" s="663">
        <v>553700000000</v>
      </c>
      <c r="Z6" s="663">
        <v>585000000000</v>
      </c>
    </row>
    <row r="7" spans="1:28" ht="16.5">
      <c r="A7" s="139" t="s">
        <v>36</v>
      </c>
      <c r="B7" s="424" t="s">
        <v>159</v>
      </c>
      <c r="C7" s="345" t="s">
        <v>38</v>
      </c>
      <c r="D7" s="425">
        <f>D6-D26</f>
        <v>120588000000</v>
      </c>
      <c r="E7" s="425">
        <f t="shared" ref="E7:Z7" si="0">E6-E26</f>
        <v>135481000000</v>
      </c>
      <c r="F7" s="425">
        <f t="shared" si="0"/>
        <v>150500000000</v>
      </c>
      <c r="G7" s="433">
        <f>G8+G22</f>
        <v>164000000000</v>
      </c>
      <c r="H7" s="433">
        <f>H8+H22</f>
        <v>181600000000</v>
      </c>
      <c r="I7" s="433">
        <f>I8+I22</f>
        <v>197600000000</v>
      </c>
      <c r="J7" s="433">
        <f t="shared" si="0"/>
        <v>221500000000</v>
      </c>
      <c r="K7" s="433">
        <f>K8+K22</f>
        <v>246800000000</v>
      </c>
      <c r="L7" s="433">
        <f t="shared" si="0"/>
        <v>286700000000</v>
      </c>
      <c r="M7" s="433">
        <f t="shared" si="0"/>
        <v>294100000000</v>
      </c>
      <c r="N7" s="433">
        <f t="shared" si="0"/>
        <v>316100000000</v>
      </c>
      <c r="O7" s="433">
        <f t="shared" si="0"/>
        <v>326600000000</v>
      </c>
      <c r="P7" s="433">
        <f t="shared" si="0"/>
        <v>324800000000</v>
      </c>
      <c r="Q7" s="664">
        <f t="shared" si="0"/>
        <v>318000000000</v>
      </c>
      <c r="R7" s="664">
        <f t="shared" si="0"/>
        <v>356500000000</v>
      </c>
      <c r="S7" s="664">
        <f t="shared" si="0"/>
        <v>366300000000</v>
      </c>
      <c r="T7" s="664">
        <f t="shared" si="0"/>
        <v>388500000000</v>
      </c>
      <c r="U7" s="664">
        <f t="shared" si="0"/>
        <v>427000000000</v>
      </c>
      <c r="V7" s="664">
        <f t="shared" si="0"/>
        <v>448700000000</v>
      </c>
      <c r="W7" s="664">
        <f t="shared" si="0"/>
        <v>474900000000</v>
      </c>
      <c r="X7" s="664">
        <f t="shared" si="0"/>
        <v>505300000000</v>
      </c>
      <c r="Y7" s="664">
        <f t="shared" si="0"/>
        <v>535500000000</v>
      </c>
      <c r="Z7" s="664">
        <f t="shared" si="0"/>
        <v>565600000000</v>
      </c>
    </row>
    <row r="8" spans="1:28">
      <c r="A8" s="426" t="s">
        <v>39</v>
      </c>
      <c r="B8" s="426" t="s">
        <v>160</v>
      </c>
      <c r="C8" s="58" t="s">
        <v>41</v>
      </c>
      <c r="D8" s="425">
        <v>104098000000</v>
      </c>
      <c r="E8" s="425">
        <v>116171000000</v>
      </c>
      <c r="F8" s="21">
        <v>128900000000</v>
      </c>
      <c r="G8" s="433">
        <f>G9+G10+G11+G13+G14+G15+G16+G18+G19</f>
        <v>144800000000</v>
      </c>
      <c r="H8" s="433">
        <f>H9+H10+H11+H13+H14+H15+H16+H18+H19</f>
        <v>165600000000</v>
      </c>
      <c r="I8" s="433">
        <f>I9+I10+I11+I13+I14+I15+I16+I18+I19</f>
        <v>183400000000</v>
      </c>
      <c r="J8" s="21">
        <f>J9+J10+J11+J13+J15+J16+J18+J19</f>
        <v>205600000000</v>
      </c>
      <c r="K8" s="21">
        <f>K9+K10+K11+K13+K15+K16+K18+K19</f>
        <v>228000000000</v>
      </c>
      <c r="L8" s="425">
        <v>264100000000.00003</v>
      </c>
      <c r="M8" s="273">
        <v>270800000000</v>
      </c>
      <c r="N8" s="273">
        <v>288600000000</v>
      </c>
      <c r="O8" s="425">
        <v>303900000000</v>
      </c>
      <c r="P8" s="425">
        <v>300900000000</v>
      </c>
      <c r="Q8" s="665">
        <v>296400000000</v>
      </c>
      <c r="R8" s="665">
        <v>335800000000</v>
      </c>
      <c r="S8" s="665">
        <v>340600000000</v>
      </c>
      <c r="T8" s="665">
        <v>366000000000</v>
      </c>
      <c r="U8" s="665">
        <v>404200000000</v>
      </c>
      <c r="V8" s="665">
        <v>425000000000</v>
      </c>
      <c r="W8" s="665">
        <v>449500000000</v>
      </c>
      <c r="X8" s="666">
        <v>478300000000</v>
      </c>
      <c r="Y8" s="666">
        <v>506700000000</v>
      </c>
      <c r="Z8" s="666">
        <v>534700000000.00006</v>
      </c>
    </row>
    <row r="9" spans="1:28">
      <c r="A9" s="427" t="s">
        <v>161</v>
      </c>
      <c r="B9" s="427" t="s">
        <v>162</v>
      </c>
      <c r="C9" s="27" t="s">
        <v>44</v>
      </c>
      <c r="D9" s="425">
        <v>38107000000</v>
      </c>
      <c r="E9" s="425">
        <v>41148000000</v>
      </c>
      <c r="F9" s="298">
        <v>46100000000</v>
      </c>
      <c r="G9" s="425">
        <v>50600000000</v>
      </c>
      <c r="H9" s="425">
        <v>58200000000</v>
      </c>
      <c r="I9" s="425">
        <v>64500000000</v>
      </c>
      <c r="J9" s="21">
        <v>74300000000</v>
      </c>
      <c r="K9" s="21">
        <v>87800000000</v>
      </c>
      <c r="L9" s="425">
        <v>107100000000</v>
      </c>
      <c r="M9" s="273">
        <v>110100000000</v>
      </c>
      <c r="N9" s="273">
        <v>114000000000</v>
      </c>
      <c r="O9" s="425">
        <v>119200000000</v>
      </c>
      <c r="P9" s="425">
        <v>116500000000</v>
      </c>
      <c r="Q9" s="665">
        <v>108500000000</v>
      </c>
      <c r="R9" s="665">
        <v>123700000000</v>
      </c>
      <c r="S9" s="665">
        <v>124800000000</v>
      </c>
      <c r="T9" s="665">
        <v>128100000000</v>
      </c>
      <c r="U9" s="665">
        <v>140300000000</v>
      </c>
      <c r="V9" s="665">
        <v>145500000000</v>
      </c>
      <c r="W9" s="665">
        <v>154100000000</v>
      </c>
      <c r="X9" s="666">
        <v>163700000000</v>
      </c>
      <c r="Y9" s="666">
        <v>174100000000</v>
      </c>
      <c r="Z9" s="666">
        <v>184900000000</v>
      </c>
    </row>
    <row r="10" spans="1:28">
      <c r="A10" s="428" t="s">
        <v>163</v>
      </c>
      <c r="B10" s="428" t="s">
        <v>164</v>
      </c>
      <c r="C10" s="27" t="s">
        <v>44</v>
      </c>
      <c r="D10" s="425">
        <v>8115000000</v>
      </c>
      <c r="E10" s="425">
        <v>10248000000</v>
      </c>
      <c r="F10" s="298">
        <v>12200000000</v>
      </c>
      <c r="G10" s="425">
        <v>13100000000</v>
      </c>
      <c r="H10" s="425">
        <v>16300000000</v>
      </c>
      <c r="I10" s="425">
        <v>19200000000</v>
      </c>
      <c r="J10" s="21">
        <v>22300000000</v>
      </c>
      <c r="K10" s="21">
        <v>21100000000</v>
      </c>
      <c r="L10" s="425">
        <v>18100000000</v>
      </c>
      <c r="M10" s="273">
        <v>17100000000.000002</v>
      </c>
      <c r="N10" s="273">
        <v>17600000000</v>
      </c>
      <c r="O10" s="425">
        <v>19700000000</v>
      </c>
      <c r="P10" s="425">
        <v>16899999999.999998</v>
      </c>
      <c r="Q10" s="665">
        <v>15100000000</v>
      </c>
      <c r="R10" s="665">
        <v>21500000000</v>
      </c>
      <c r="S10" s="665">
        <v>24200000000</v>
      </c>
      <c r="T10" s="665">
        <v>28500000000</v>
      </c>
      <c r="U10" s="665">
        <v>30500000000</v>
      </c>
      <c r="V10" s="665">
        <v>32500000000</v>
      </c>
      <c r="W10" s="665">
        <v>34900000000</v>
      </c>
      <c r="X10" s="666">
        <v>37500000000</v>
      </c>
      <c r="Y10" s="666">
        <v>40500000000</v>
      </c>
      <c r="Z10" s="666">
        <v>43600000000</v>
      </c>
    </row>
    <row r="11" spans="1:28">
      <c r="A11" s="428" t="s">
        <v>165</v>
      </c>
      <c r="B11" s="428" t="s">
        <v>166</v>
      </c>
      <c r="C11" s="27" t="s">
        <v>44</v>
      </c>
      <c r="D11" s="425">
        <v>9153000000</v>
      </c>
      <c r="E11" s="425">
        <v>9544000000</v>
      </c>
      <c r="F11" s="298">
        <v>9300000000</v>
      </c>
      <c r="G11" s="425">
        <v>12300000000</v>
      </c>
      <c r="H11" s="425">
        <v>15800000000</v>
      </c>
      <c r="I11" s="425">
        <v>18500000000</v>
      </c>
      <c r="J11" s="21">
        <v>23000000000</v>
      </c>
      <c r="K11" s="21">
        <v>28700000000</v>
      </c>
      <c r="L11" s="425">
        <v>32500000000</v>
      </c>
      <c r="M11" s="273">
        <v>33500000000</v>
      </c>
      <c r="N11" s="273">
        <v>38800000000</v>
      </c>
      <c r="O11" s="425">
        <v>40400000000</v>
      </c>
      <c r="P11" s="425">
        <v>36400000000</v>
      </c>
      <c r="Q11" s="665">
        <v>38200000000</v>
      </c>
      <c r="R11" s="665">
        <v>40900000000</v>
      </c>
      <c r="S11" s="665">
        <v>39000000000</v>
      </c>
      <c r="T11" s="665">
        <v>41900000000</v>
      </c>
      <c r="U11" s="665">
        <v>47000000000</v>
      </c>
      <c r="V11" s="665">
        <v>49900000000</v>
      </c>
      <c r="W11" s="665">
        <v>51900000000</v>
      </c>
      <c r="X11" s="666">
        <v>54000000000</v>
      </c>
      <c r="Y11" s="666">
        <v>56200000000</v>
      </c>
      <c r="Z11" s="666">
        <v>57600000000</v>
      </c>
    </row>
    <row r="12" spans="1:28">
      <c r="A12" s="429" t="s">
        <v>167</v>
      </c>
      <c r="B12" s="429" t="s">
        <v>168</v>
      </c>
      <c r="C12" s="34" t="s">
        <v>169</v>
      </c>
      <c r="D12" s="425">
        <v>1641000000</v>
      </c>
      <c r="E12" s="425">
        <v>1974000000</v>
      </c>
      <c r="F12" s="298">
        <v>2500000000</v>
      </c>
      <c r="G12" s="425">
        <v>2900000000</v>
      </c>
      <c r="H12" s="425">
        <v>4099999999.9999995</v>
      </c>
      <c r="I12" s="425">
        <v>3800000000</v>
      </c>
      <c r="J12" s="21">
        <v>2600000000</v>
      </c>
      <c r="K12" s="21">
        <v>2200000000</v>
      </c>
      <c r="L12" s="425">
        <v>2600000000</v>
      </c>
      <c r="M12" s="273"/>
      <c r="N12" s="273"/>
      <c r="O12" s="425"/>
      <c r="P12" s="425"/>
      <c r="Q12" s="665"/>
      <c r="R12" s="665"/>
      <c r="S12" s="665"/>
      <c r="T12" s="665"/>
      <c r="U12" s="665"/>
      <c r="V12" s="665"/>
      <c r="W12" s="665"/>
      <c r="X12" s="666"/>
      <c r="Y12" s="666"/>
      <c r="Z12" s="666"/>
    </row>
    <row r="13" spans="1:28" ht="18.75" customHeight="1">
      <c r="A13" s="428" t="s">
        <v>170</v>
      </c>
      <c r="B13" s="428" t="s">
        <v>171</v>
      </c>
      <c r="C13" s="27" t="s">
        <v>44</v>
      </c>
      <c r="D13" s="425">
        <v>4590000000</v>
      </c>
      <c r="E13" s="425">
        <v>6300000000</v>
      </c>
      <c r="F13" s="298">
        <v>6100000000</v>
      </c>
      <c r="G13" s="425">
        <v>6400000000</v>
      </c>
      <c r="H13" s="425">
        <v>6900000000</v>
      </c>
      <c r="I13" s="425">
        <v>7400000000</v>
      </c>
      <c r="J13" s="21">
        <v>8600000000</v>
      </c>
      <c r="K13" s="21">
        <v>14800000000</v>
      </c>
      <c r="L13" s="425">
        <v>24400000000</v>
      </c>
      <c r="M13" s="273">
        <v>26800000000</v>
      </c>
      <c r="N13" s="273">
        <v>27100000000</v>
      </c>
      <c r="O13" s="425">
        <v>28000000000</v>
      </c>
      <c r="P13" s="425">
        <v>28000000000</v>
      </c>
      <c r="Q13" s="665">
        <v>29600000000</v>
      </c>
      <c r="R13" s="665">
        <v>28900000000</v>
      </c>
      <c r="S13" s="665">
        <v>29700000000</v>
      </c>
      <c r="T13" s="665">
        <v>31400000000</v>
      </c>
      <c r="U13" s="665">
        <v>36300000000</v>
      </c>
      <c r="V13" s="665">
        <v>36800000000</v>
      </c>
      <c r="W13" s="665">
        <v>39100000000</v>
      </c>
      <c r="X13" s="666">
        <v>41600000000</v>
      </c>
      <c r="Y13" s="666">
        <v>44300000000</v>
      </c>
      <c r="Z13" s="666">
        <v>47200000000</v>
      </c>
    </row>
    <row r="14" spans="1:28" ht="18.75" customHeight="1">
      <c r="A14" s="428" t="s">
        <v>172</v>
      </c>
      <c r="B14" s="428" t="s">
        <v>173</v>
      </c>
      <c r="C14" s="27" t="s">
        <v>44</v>
      </c>
      <c r="D14" s="430">
        <v>7576000000</v>
      </c>
      <c r="E14" s="430">
        <v>9621000000</v>
      </c>
      <c r="F14" s="298">
        <v>9600000000</v>
      </c>
      <c r="G14" s="425"/>
      <c r="H14" s="425"/>
      <c r="I14" s="425"/>
      <c r="J14" s="425"/>
      <c r="K14" s="425"/>
      <c r="L14" s="425"/>
      <c r="M14" s="273"/>
      <c r="N14" s="273"/>
      <c r="O14" s="425"/>
      <c r="P14" s="425"/>
      <c r="Q14" s="665"/>
      <c r="R14" s="665"/>
      <c r="S14" s="665"/>
      <c r="T14" s="665"/>
      <c r="U14" s="665"/>
      <c r="V14" s="665"/>
      <c r="W14" s="665"/>
      <c r="X14" s="666"/>
      <c r="Y14" s="666"/>
      <c r="Z14" s="666"/>
    </row>
    <row r="15" spans="1:28">
      <c r="A15" s="428" t="s">
        <v>174</v>
      </c>
      <c r="B15" s="428" t="s">
        <v>175</v>
      </c>
      <c r="C15" s="27" t="s">
        <v>44</v>
      </c>
      <c r="D15" s="430">
        <v>13548000000</v>
      </c>
      <c r="E15" s="430">
        <v>12794000000</v>
      </c>
      <c r="F15" s="298">
        <v>13400000000</v>
      </c>
      <c r="G15" s="425">
        <v>13900000000</v>
      </c>
      <c r="H15" s="425">
        <v>13900000000</v>
      </c>
      <c r="I15" s="425">
        <v>13600000000</v>
      </c>
      <c r="J15" s="21">
        <v>14000000000</v>
      </c>
      <c r="K15" s="21">
        <v>9800000000</v>
      </c>
      <c r="L15" s="425">
        <v>8700000000</v>
      </c>
      <c r="M15" s="273">
        <v>7900000000</v>
      </c>
      <c r="N15" s="273">
        <v>7300000000</v>
      </c>
      <c r="O15" s="425">
        <v>6900000000</v>
      </c>
      <c r="P15" s="425">
        <v>6100000000</v>
      </c>
      <c r="Q15" s="665">
        <v>5800000000</v>
      </c>
      <c r="R15" s="665">
        <v>5900000000</v>
      </c>
      <c r="S15" s="665">
        <v>5800000000</v>
      </c>
      <c r="T15" s="665">
        <v>6100000000</v>
      </c>
      <c r="U15" s="665">
        <v>6500000000</v>
      </c>
      <c r="V15" s="665">
        <v>6800000000</v>
      </c>
      <c r="W15" s="665">
        <v>7200000000</v>
      </c>
      <c r="X15" s="666">
        <v>7700000000</v>
      </c>
      <c r="Y15" s="666">
        <v>8199999999.999999</v>
      </c>
      <c r="Z15" s="666">
        <v>8800000000</v>
      </c>
    </row>
    <row r="16" spans="1:28">
      <c r="A16" s="428" t="s">
        <v>49</v>
      </c>
      <c r="B16" s="428" t="s">
        <v>176</v>
      </c>
      <c r="C16" s="27" t="s">
        <v>44</v>
      </c>
      <c r="D16" s="21"/>
      <c r="E16" s="21"/>
      <c r="F16" s="298">
        <v>1300000000</v>
      </c>
      <c r="G16" s="425">
        <v>12500000000</v>
      </c>
      <c r="H16" s="425">
        <v>12100000000</v>
      </c>
      <c r="I16" s="425">
        <v>12700000000</v>
      </c>
      <c r="J16" s="21">
        <v>13000000000</v>
      </c>
      <c r="K16" s="21">
        <v>14500000000</v>
      </c>
      <c r="L16" s="425">
        <v>14400000000</v>
      </c>
      <c r="M16" s="273">
        <v>13400000000</v>
      </c>
      <c r="N16" s="273">
        <v>18300000000</v>
      </c>
      <c r="O16" s="425">
        <v>21400000000</v>
      </c>
      <c r="P16" s="425">
        <v>28700000000</v>
      </c>
      <c r="Q16" s="665">
        <v>28500000000</v>
      </c>
      <c r="R16" s="665">
        <v>32600000000</v>
      </c>
      <c r="S16" s="665">
        <v>33700000000.000004</v>
      </c>
      <c r="T16" s="665">
        <v>35800000000</v>
      </c>
      <c r="U16" s="665">
        <v>38200000000</v>
      </c>
      <c r="V16" s="665">
        <v>39300000000</v>
      </c>
      <c r="W16" s="665">
        <v>40600000000</v>
      </c>
      <c r="X16" s="666">
        <v>42000000000</v>
      </c>
      <c r="Y16" s="666">
        <v>43600000000</v>
      </c>
      <c r="Z16" s="666">
        <v>45200000000</v>
      </c>
      <c r="AA16" s="535"/>
    </row>
    <row r="17" spans="1:26">
      <c r="A17" s="428" t="s">
        <v>177</v>
      </c>
      <c r="B17" s="428" t="s">
        <v>178</v>
      </c>
      <c r="C17" s="34" t="s">
        <v>169</v>
      </c>
      <c r="D17" s="425">
        <v>1315000000</v>
      </c>
      <c r="E17" s="425">
        <v>2036000000</v>
      </c>
      <c r="F17" s="298">
        <v>2700000000</v>
      </c>
      <c r="G17" s="425">
        <v>4500000000</v>
      </c>
      <c r="H17" s="425">
        <v>5000000000</v>
      </c>
      <c r="I17" s="425">
        <v>7500000000</v>
      </c>
      <c r="J17" s="21">
        <v>8500000000</v>
      </c>
      <c r="K17" s="21">
        <v>7100000000</v>
      </c>
      <c r="L17" s="425">
        <v>8700000000</v>
      </c>
      <c r="M17" s="273"/>
      <c r="N17" s="273"/>
      <c r="O17" s="425"/>
      <c r="P17" s="425"/>
      <c r="Q17" s="665"/>
      <c r="R17" s="665"/>
      <c r="S17" s="665"/>
      <c r="T17" s="665"/>
      <c r="U17" s="665"/>
      <c r="V17" s="665"/>
      <c r="W17" s="665"/>
      <c r="X17" s="666"/>
      <c r="Y17" s="666"/>
      <c r="Z17" s="666"/>
    </row>
    <row r="18" spans="1:26">
      <c r="A18" s="428" t="s">
        <v>179</v>
      </c>
      <c r="B18" s="428" t="s">
        <v>180</v>
      </c>
      <c r="C18" s="27" t="s">
        <v>44</v>
      </c>
      <c r="D18" s="358">
        <f t="shared" ref="D18:K18" si="1">D17+D12</f>
        <v>2956000000</v>
      </c>
      <c r="E18" s="358">
        <f t="shared" si="1"/>
        <v>4010000000</v>
      </c>
      <c r="F18" s="358">
        <f t="shared" si="1"/>
        <v>5200000000</v>
      </c>
      <c r="G18" s="358">
        <f t="shared" si="1"/>
        <v>7400000000</v>
      </c>
      <c r="H18" s="358">
        <f t="shared" si="1"/>
        <v>9100000000</v>
      </c>
      <c r="I18" s="358">
        <f t="shared" si="1"/>
        <v>11300000000</v>
      </c>
      <c r="J18" s="358">
        <f t="shared" si="1"/>
        <v>11100000000</v>
      </c>
      <c r="K18" s="358">
        <f t="shared" si="1"/>
        <v>9300000000</v>
      </c>
      <c r="L18" s="358">
        <f>L17+L12</f>
        <v>11300000000</v>
      </c>
      <c r="M18" s="273">
        <v>12100000000</v>
      </c>
      <c r="N18" s="273">
        <v>11900000000</v>
      </c>
      <c r="O18" s="425">
        <v>11800000000</v>
      </c>
      <c r="P18" s="425">
        <v>10900000000</v>
      </c>
      <c r="Q18" s="665">
        <v>10800000000</v>
      </c>
      <c r="R18" s="665">
        <v>12400000000</v>
      </c>
      <c r="S18" s="665">
        <v>11700000000</v>
      </c>
      <c r="T18" s="665">
        <v>15000000000</v>
      </c>
      <c r="U18" s="665">
        <v>17700000000</v>
      </c>
      <c r="V18" s="665">
        <v>20600000000</v>
      </c>
      <c r="W18" s="665">
        <v>23700000000</v>
      </c>
      <c r="X18" s="666">
        <v>28600000000</v>
      </c>
      <c r="Y18" s="666">
        <v>30600000000</v>
      </c>
      <c r="Z18" s="666">
        <v>32700000000.000004</v>
      </c>
    </row>
    <row r="19" spans="1:26">
      <c r="A19" s="428" t="s">
        <v>181</v>
      </c>
      <c r="B19" s="428" t="s">
        <v>182</v>
      </c>
      <c r="C19" s="27" t="s">
        <v>44</v>
      </c>
      <c r="D19" s="425">
        <v>20053000000</v>
      </c>
      <c r="E19" s="425">
        <v>22506000000</v>
      </c>
      <c r="F19" s="298">
        <v>25600000000</v>
      </c>
      <c r="G19" s="425">
        <v>28600000000</v>
      </c>
      <c r="H19" s="425">
        <v>33299999999.999996</v>
      </c>
      <c r="I19" s="425">
        <v>36200000000</v>
      </c>
      <c r="J19" s="21">
        <v>39300000000</v>
      </c>
      <c r="K19" s="21">
        <v>42000000000</v>
      </c>
      <c r="L19" s="425">
        <v>47600000000</v>
      </c>
      <c r="M19" s="273">
        <v>49800000000</v>
      </c>
      <c r="N19" s="273">
        <v>53600000000</v>
      </c>
      <c r="O19" s="425">
        <v>56600000000</v>
      </c>
      <c r="P19" s="425">
        <v>57400000000</v>
      </c>
      <c r="Q19" s="665">
        <v>60000000000</v>
      </c>
      <c r="R19" s="665">
        <v>69900000000</v>
      </c>
      <c r="S19" s="665">
        <v>71700000000</v>
      </c>
      <c r="T19" s="665">
        <v>79200000000</v>
      </c>
      <c r="U19" s="665">
        <v>87700000000</v>
      </c>
      <c r="V19" s="665">
        <v>93600000000</v>
      </c>
      <c r="W19" s="665">
        <v>98100000000</v>
      </c>
      <c r="X19" s="666">
        <v>103100000000</v>
      </c>
      <c r="Y19" s="666">
        <v>109200000000</v>
      </c>
      <c r="Z19" s="666">
        <v>114700000000</v>
      </c>
    </row>
    <row r="20" spans="1:26">
      <c r="A20" s="428" t="s">
        <v>183</v>
      </c>
      <c r="B20" s="428" t="s">
        <v>184</v>
      </c>
      <c r="C20" s="424" t="s">
        <v>185</v>
      </c>
      <c r="D20" s="425">
        <v>18523000000</v>
      </c>
      <c r="E20" s="425">
        <v>20710000000</v>
      </c>
      <c r="F20" s="298"/>
      <c r="G20" s="425"/>
      <c r="H20" s="425"/>
      <c r="I20" s="425"/>
      <c r="J20" s="425"/>
      <c r="K20" s="425"/>
      <c r="L20" s="425"/>
      <c r="M20" s="273"/>
      <c r="N20" s="273"/>
      <c r="O20" s="425"/>
      <c r="P20" s="425"/>
      <c r="Q20" s="665"/>
      <c r="R20" s="665"/>
      <c r="S20" s="665"/>
      <c r="T20" s="665"/>
      <c r="U20" s="665"/>
      <c r="V20" s="665"/>
      <c r="W20" s="665"/>
      <c r="X20" s="666"/>
      <c r="Y20" s="666"/>
      <c r="Z20" s="666"/>
    </row>
    <row r="21" spans="1:26">
      <c r="A21" s="428" t="s">
        <v>186</v>
      </c>
      <c r="B21" s="428" t="s">
        <v>187</v>
      </c>
      <c r="C21" s="424" t="s">
        <v>185</v>
      </c>
      <c r="D21" s="425">
        <v>1530000000</v>
      </c>
      <c r="E21" s="425">
        <v>1796000000</v>
      </c>
      <c r="F21" s="298"/>
      <c r="G21" s="425"/>
      <c r="H21" s="425"/>
      <c r="I21" s="425"/>
      <c r="J21" s="425"/>
      <c r="K21" s="425"/>
      <c r="L21" s="425"/>
      <c r="M21" s="273"/>
      <c r="N21" s="273"/>
      <c r="O21" s="425"/>
      <c r="P21" s="425"/>
      <c r="Q21" s="665"/>
      <c r="R21" s="665"/>
      <c r="S21" s="665"/>
      <c r="T21" s="665"/>
      <c r="U21" s="665"/>
      <c r="V21" s="665"/>
      <c r="W21" s="665"/>
      <c r="X21" s="666"/>
      <c r="Y21" s="666"/>
      <c r="Z21" s="666"/>
    </row>
    <row r="22" spans="1:26">
      <c r="A22" s="426" t="s">
        <v>188</v>
      </c>
      <c r="B22" s="426" t="s">
        <v>189</v>
      </c>
      <c r="C22" s="58" t="s">
        <v>41</v>
      </c>
      <c r="D22" s="425">
        <v>16490000000</v>
      </c>
      <c r="E22" s="425">
        <v>19310000000</v>
      </c>
      <c r="F22" s="298">
        <v>21500000000</v>
      </c>
      <c r="G22" s="425">
        <v>19200000000</v>
      </c>
      <c r="H22" s="425">
        <v>16000000000</v>
      </c>
      <c r="I22" s="425">
        <v>14200000000</v>
      </c>
      <c r="J22" s="21">
        <v>16000000000</v>
      </c>
      <c r="K22" s="21">
        <v>18800000000</v>
      </c>
      <c r="L22" s="425">
        <v>22600000000</v>
      </c>
      <c r="M22" s="273">
        <v>23200000000</v>
      </c>
      <c r="N22" s="273">
        <v>27500000000</v>
      </c>
      <c r="O22" s="425">
        <v>22700000000</v>
      </c>
      <c r="P22" s="425">
        <v>24000000000</v>
      </c>
      <c r="Q22" s="665">
        <v>21600000000</v>
      </c>
      <c r="R22" s="665">
        <v>20700000000</v>
      </c>
      <c r="S22" s="665">
        <v>25700000000</v>
      </c>
      <c r="T22" s="665">
        <v>22500000000</v>
      </c>
      <c r="U22" s="665">
        <v>22900000000</v>
      </c>
      <c r="V22" s="665">
        <v>23800000000</v>
      </c>
      <c r="W22" s="665">
        <v>25300000000</v>
      </c>
      <c r="X22" s="666">
        <v>27000000000</v>
      </c>
      <c r="Y22" s="666">
        <v>28900000000</v>
      </c>
      <c r="Z22" s="666">
        <v>30800000000</v>
      </c>
    </row>
    <row r="23" spans="1:26">
      <c r="A23" s="428" t="s">
        <v>190</v>
      </c>
      <c r="B23" s="428" t="s">
        <v>191</v>
      </c>
      <c r="C23" s="345" t="s">
        <v>192</v>
      </c>
      <c r="D23" s="425">
        <v>10225000000</v>
      </c>
      <c r="E23" s="425">
        <v>10912000000</v>
      </c>
      <c r="F23" s="298"/>
      <c r="G23" s="425"/>
      <c r="H23" s="425"/>
      <c r="I23" s="425"/>
      <c r="J23" s="425"/>
      <c r="K23" s="425"/>
      <c r="L23" s="425"/>
      <c r="M23" s="273"/>
      <c r="N23" s="273"/>
      <c r="O23" s="425"/>
      <c r="P23" s="425"/>
      <c r="Q23" s="665"/>
      <c r="R23" s="665"/>
      <c r="S23" s="665"/>
      <c r="T23" s="665"/>
      <c r="U23" s="665"/>
      <c r="V23" s="665"/>
      <c r="W23" s="665"/>
      <c r="X23" s="666"/>
      <c r="Y23" s="666"/>
      <c r="Z23" s="666"/>
    </row>
    <row r="24" spans="1:26">
      <c r="A24" s="428" t="s">
        <v>193</v>
      </c>
      <c r="B24" s="428" t="s">
        <v>194</v>
      </c>
      <c r="C24" s="345" t="s">
        <v>192</v>
      </c>
      <c r="D24" s="425">
        <v>4841000000</v>
      </c>
      <c r="E24" s="425">
        <v>4383000000</v>
      </c>
      <c r="F24" s="298"/>
      <c r="G24" s="425"/>
      <c r="H24" s="425"/>
      <c r="I24" s="425"/>
      <c r="J24" s="425"/>
      <c r="K24" s="425"/>
      <c r="L24" s="425"/>
      <c r="M24" s="273"/>
      <c r="N24" s="273"/>
      <c r="O24" s="425"/>
      <c r="P24" s="425"/>
      <c r="Q24" s="665"/>
      <c r="R24" s="665"/>
      <c r="S24" s="665"/>
      <c r="T24" s="665"/>
      <c r="U24" s="665"/>
      <c r="V24" s="665"/>
      <c r="W24" s="665"/>
      <c r="X24" s="666"/>
      <c r="Y24" s="666"/>
      <c r="Z24" s="666"/>
    </row>
    <row r="25" spans="1:26">
      <c r="A25" s="431" t="s">
        <v>50</v>
      </c>
      <c r="B25" s="431" t="s">
        <v>50</v>
      </c>
      <c r="C25" s="345" t="s">
        <v>192</v>
      </c>
      <c r="D25" s="425">
        <v>1424000000</v>
      </c>
      <c r="E25" s="425">
        <v>4015000000</v>
      </c>
      <c r="F25" s="298"/>
      <c r="G25" s="425"/>
      <c r="H25" s="425"/>
      <c r="I25" s="425"/>
      <c r="J25" s="425"/>
      <c r="K25" s="425"/>
      <c r="L25" s="425"/>
      <c r="M25" s="273"/>
      <c r="N25" s="273"/>
      <c r="O25" s="425"/>
      <c r="P25" s="425"/>
      <c r="Q25" s="665"/>
      <c r="R25" s="665"/>
      <c r="S25" s="665"/>
      <c r="T25" s="665"/>
      <c r="U25" s="665"/>
      <c r="V25" s="665"/>
      <c r="W25" s="665"/>
      <c r="X25" s="666"/>
      <c r="Y25" s="666"/>
      <c r="Z25" s="666"/>
    </row>
    <row r="26" spans="1:26" s="9" customFormat="1">
      <c r="A26" s="432" t="s">
        <v>53</v>
      </c>
      <c r="B26" s="432" t="s">
        <v>53</v>
      </c>
      <c r="C26" s="355" t="s">
        <v>38</v>
      </c>
      <c r="D26" s="423">
        <v>5513000000</v>
      </c>
      <c r="E26" s="423">
        <v>3670000000</v>
      </c>
      <c r="F26" s="168">
        <v>4099999999.9999995</v>
      </c>
      <c r="G26" s="423">
        <v>2600000000</v>
      </c>
      <c r="H26" s="423">
        <v>2600000000</v>
      </c>
      <c r="I26" s="423">
        <v>6200000000</v>
      </c>
      <c r="J26" s="292">
        <v>4800000000</v>
      </c>
      <c r="K26" s="292">
        <v>1300000000</v>
      </c>
      <c r="L26" s="423">
        <v>4200000000</v>
      </c>
      <c r="M26" s="324">
        <v>4400000000</v>
      </c>
      <c r="N26" s="324">
        <v>4600000000</v>
      </c>
      <c r="O26" s="423">
        <v>3800000000</v>
      </c>
      <c r="P26" s="423">
        <v>5600000000</v>
      </c>
      <c r="Q26" s="662">
        <v>5700000000</v>
      </c>
      <c r="R26" s="662">
        <v>10100000000</v>
      </c>
      <c r="S26" s="662">
        <v>11200000000</v>
      </c>
      <c r="T26" s="662">
        <v>14600000000</v>
      </c>
      <c r="U26" s="662">
        <v>13800000000</v>
      </c>
      <c r="V26" s="662">
        <v>16600000000.000002</v>
      </c>
      <c r="W26" s="662">
        <v>17600000000</v>
      </c>
      <c r="X26" s="663">
        <v>18800000000</v>
      </c>
      <c r="Y26" s="663">
        <v>18200000000</v>
      </c>
      <c r="Z26" s="663">
        <v>19400000000</v>
      </c>
    </row>
    <row r="27" spans="1:26">
      <c r="A27" s="427" t="s">
        <v>195</v>
      </c>
      <c r="B27" s="427" t="s">
        <v>196</v>
      </c>
      <c r="C27" s="34" t="s">
        <v>57</v>
      </c>
      <c r="D27" s="21"/>
      <c r="E27" s="21"/>
      <c r="F27" s="298"/>
      <c r="G27" s="425">
        <v>200000000</v>
      </c>
      <c r="H27" s="425">
        <v>200000000</v>
      </c>
      <c r="I27" s="425">
        <v>400000000</v>
      </c>
      <c r="J27" s="21">
        <v>1600000000</v>
      </c>
      <c r="K27" s="425"/>
      <c r="L27" s="425"/>
      <c r="M27" s="273"/>
      <c r="N27" s="273"/>
      <c r="O27" s="425"/>
      <c r="P27" s="425"/>
      <c r="Q27" s="665"/>
      <c r="R27" s="665"/>
      <c r="S27" s="665"/>
      <c r="T27" s="665"/>
      <c r="U27" s="665"/>
      <c r="V27" s="665"/>
      <c r="W27" s="665"/>
      <c r="X27" s="666"/>
      <c r="Y27" s="666"/>
      <c r="Z27" s="666"/>
    </row>
    <row r="28" spans="1:26">
      <c r="A28" s="427" t="s">
        <v>197</v>
      </c>
      <c r="B28" s="427" t="s">
        <v>197</v>
      </c>
      <c r="C28" s="34" t="s">
        <v>57</v>
      </c>
      <c r="D28" s="21"/>
      <c r="E28" s="21"/>
      <c r="F28" s="298"/>
      <c r="G28" s="433">
        <f>G26-G27</f>
        <v>2400000000</v>
      </c>
      <c r="H28" s="433">
        <f>H26-H27</f>
        <v>2400000000</v>
      </c>
      <c r="I28" s="433">
        <f>I26-I27</f>
        <v>5800000000</v>
      </c>
      <c r="J28" s="433">
        <f>J26-J27</f>
        <v>3200000000</v>
      </c>
      <c r="K28" s="425"/>
      <c r="L28" s="425"/>
      <c r="M28" s="273"/>
      <c r="N28" s="273"/>
      <c r="O28" s="425"/>
      <c r="P28" s="425"/>
      <c r="Q28" s="665"/>
      <c r="R28" s="665"/>
      <c r="S28" s="665"/>
      <c r="T28" s="665"/>
      <c r="U28" s="665"/>
      <c r="V28" s="665"/>
      <c r="W28" s="665"/>
      <c r="X28" s="666"/>
      <c r="Y28" s="666"/>
      <c r="Z28" s="666"/>
    </row>
    <row r="29" spans="1:26" s="9" customFormat="1">
      <c r="A29" s="9" t="s">
        <v>198</v>
      </c>
      <c r="B29" s="422" t="s">
        <v>199</v>
      </c>
      <c r="C29" s="55" t="s">
        <v>35</v>
      </c>
      <c r="D29" s="433">
        <f>D30+D52+D56+D57+D58</f>
        <v>177092000000</v>
      </c>
      <c r="E29" s="433">
        <f>E30+E52+E56+E57+E58</f>
        <v>195155000000</v>
      </c>
      <c r="F29" s="168">
        <f>F30+F52+F56</f>
        <v>196600000000</v>
      </c>
      <c r="G29" s="168">
        <f>G30+G52+G56</f>
        <v>201100000000</v>
      </c>
      <c r="H29" s="168">
        <f>H30+H52+H56</f>
        <v>224100000000</v>
      </c>
      <c r="I29" s="423">
        <v>234200000000</v>
      </c>
      <c r="J29" s="292">
        <v>255300000000</v>
      </c>
      <c r="K29" s="358">
        <f>K30+K52+K56+K57+K58</f>
        <v>279900000000</v>
      </c>
      <c r="L29" s="358">
        <f>L30+L52+L56+L57+L58</f>
        <v>349400000000</v>
      </c>
      <c r="M29" s="324">
        <v>375700000000</v>
      </c>
      <c r="N29" s="324">
        <f>N30+N52+N56+N57</f>
        <v>364300000000</v>
      </c>
      <c r="O29" s="423">
        <v>376200000000</v>
      </c>
      <c r="P29" s="423">
        <v>376200000000</v>
      </c>
      <c r="Q29" s="662">
        <v>394100000000</v>
      </c>
      <c r="R29" s="662">
        <f>R30+R52+R56+R58+R57</f>
        <v>448300000000</v>
      </c>
      <c r="S29" s="662">
        <f t="shared" ref="S29:T29" si="2">S30+S52+S56+S58+S57</f>
        <v>443400000000</v>
      </c>
      <c r="T29" s="662">
        <f t="shared" si="2"/>
        <v>436200000000</v>
      </c>
      <c r="U29" s="662">
        <v>471600000000</v>
      </c>
      <c r="V29" s="662">
        <f>V30+V52+V56+V57</f>
        <v>497500000000</v>
      </c>
      <c r="W29" s="662">
        <f t="shared" ref="W29:Z29" si="3">W30+W52+W56+W57</f>
        <v>525500000000</v>
      </c>
      <c r="X29" s="662">
        <f t="shared" si="3"/>
        <v>555600000000</v>
      </c>
      <c r="Y29" s="662">
        <f t="shared" si="3"/>
        <v>590300000000</v>
      </c>
      <c r="Z29" s="662">
        <f t="shared" si="3"/>
        <v>628500000000</v>
      </c>
    </row>
    <row r="30" spans="1:26">
      <c r="A30" s="58" t="s">
        <v>73</v>
      </c>
      <c r="B30" s="424" t="s">
        <v>200</v>
      </c>
      <c r="C30" s="58" t="s">
        <v>201</v>
      </c>
      <c r="D30" s="433">
        <f>D31+D34+D37+D38+D42+D45+D46+D49+D51</f>
        <v>142030000000</v>
      </c>
      <c r="E30" s="433">
        <f>E31+E34+E37+E38+E42+E45+E46+E49+E51</f>
        <v>152060000000</v>
      </c>
      <c r="F30" s="298">
        <v>154600000000</v>
      </c>
      <c r="G30" s="425">
        <f>G31+G34+G37+G38+G42+G45+G46+G51</f>
        <v>169600000000</v>
      </c>
      <c r="H30" s="425">
        <f>H31+H34+H37+H38+H42+H45+H46+H51</f>
        <v>184100000000</v>
      </c>
      <c r="I30" s="425">
        <v>194000000000</v>
      </c>
      <c r="J30" s="21">
        <v>204900000000</v>
      </c>
      <c r="K30" s="358">
        <f>K31+K34+K37+K38+K42+K45+K46+K49+K51</f>
        <v>219900000000</v>
      </c>
      <c r="L30" s="358">
        <f>L31+L34+L37+L38+L42+L45+L46+L49+L51</f>
        <v>250600000000</v>
      </c>
      <c r="M30" s="273">
        <v>283400000000</v>
      </c>
      <c r="N30" s="273">
        <v>300900000000</v>
      </c>
      <c r="O30" s="425">
        <v>305600000000</v>
      </c>
      <c r="P30" s="425">
        <v>314600000000</v>
      </c>
      <c r="Q30" s="665">
        <v>328600000000</v>
      </c>
      <c r="R30" s="665">
        <v>348100000000</v>
      </c>
      <c r="S30" s="665">
        <v>355900000000</v>
      </c>
      <c r="T30" s="665">
        <v>370600000000</v>
      </c>
      <c r="U30" s="665">
        <v>393800000000</v>
      </c>
      <c r="V30" s="665">
        <v>408700000000</v>
      </c>
      <c r="W30" s="665">
        <v>434400000000</v>
      </c>
      <c r="X30" s="666">
        <v>460100000000</v>
      </c>
      <c r="Y30" s="666">
        <v>492100000000</v>
      </c>
      <c r="Z30" s="666">
        <v>523799999999.99994</v>
      </c>
    </row>
    <row r="31" spans="1:26">
      <c r="A31" s="426" t="s">
        <v>202</v>
      </c>
      <c r="B31" s="426" t="s">
        <v>203</v>
      </c>
      <c r="C31" s="58" t="s">
        <v>204</v>
      </c>
      <c r="D31" s="425">
        <v>35140000000</v>
      </c>
      <c r="E31" s="425">
        <v>41210000000</v>
      </c>
      <c r="F31" s="298">
        <v>41900000000</v>
      </c>
      <c r="G31" s="425">
        <v>44700000000</v>
      </c>
      <c r="H31" s="425">
        <v>49000000000</v>
      </c>
      <c r="I31" s="425">
        <v>53700000000</v>
      </c>
      <c r="J31" s="21">
        <v>56700000000</v>
      </c>
      <c r="K31" s="21">
        <v>59100000000</v>
      </c>
      <c r="L31" s="425">
        <v>66599999999.999992</v>
      </c>
      <c r="M31" s="273">
        <v>62400000000</v>
      </c>
      <c r="N31" s="273">
        <v>65800000000</v>
      </c>
      <c r="O31" s="425">
        <v>67400000000.000008</v>
      </c>
      <c r="P31" s="425">
        <v>69400000000</v>
      </c>
      <c r="Q31" s="665">
        <v>70700000000</v>
      </c>
      <c r="R31" s="665">
        <v>71400000000</v>
      </c>
      <c r="S31" s="665">
        <v>72500000000</v>
      </c>
      <c r="T31" s="665">
        <v>67500000000</v>
      </c>
      <c r="U31" s="665">
        <v>74300000000</v>
      </c>
      <c r="V31" s="665">
        <v>77800000000</v>
      </c>
      <c r="W31" s="665">
        <v>80600000000</v>
      </c>
      <c r="X31" s="666">
        <v>83400000000</v>
      </c>
      <c r="Y31" s="666">
        <v>89000000000</v>
      </c>
      <c r="Z31" s="666">
        <v>91700000000</v>
      </c>
    </row>
    <row r="32" spans="1:26">
      <c r="A32" s="428" t="s">
        <v>205</v>
      </c>
      <c r="B32" s="428" t="s">
        <v>206</v>
      </c>
      <c r="C32" s="34" t="s">
        <v>207</v>
      </c>
      <c r="D32" s="425">
        <v>27720000000</v>
      </c>
      <c r="E32" s="425">
        <v>32942000000</v>
      </c>
      <c r="F32" s="298"/>
      <c r="G32" s="425"/>
      <c r="H32" s="425"/>
      <c r="I32" s="425"/>
      <c r="J32" s="425"/>
      <c r="K32" s="425"/>
      <c r="L32" s="425"/>
      <c r="M32" s="273"/>
      <c r="N32" s="273"/>
      <c r="O32" s="425"/>
      <c r="P32" s="425"/>
      <c r="Q32" s="665"/>
      <c r="R32" s="665"/>
      <c r="S32" s="665"/>
      <c r="T32" s="665"/>
      <c r="U32" s="665"/>
      <c r="V32" s="665"/>
      <c r="W32" s="665"/>
      <c r="X32" s="666"/>
      <c r="Y32" s="666"/>
      <c r="Z32" s="666"/>
    </row>
    <row r="33" spans="1:26">
      <c r="A33" s="428" t="s">
        <v>181</v>
      </c>
      <c r="B33" s="428" t="s">
        <v>208</v>
      </c>
      <c r="C33" s="34" t="s">
        <v>207</v>
      </c>
      <c r="D33" s="425">
        <v>7420000000</v>
      </c>
      <c r="E33" s="425">
        <v>8268000000</v>
      </c>
      <c r="F33" s="298"/>
      <c r="G33" s="425"/>
      <c r="H33" s="425"/>
      <c r="I33" s="425"/>
      <c r="J33" s="425"/>
      <c r="K33" s="425"/>
      <c r="L33" s="425"/>
      <c r="M33" s="273"/>
      <c r="N33" s="273"/>
      <c r="O33" s="425"/>
      <c r="P33" s="425"/>
      <c r="Q33" s="665"/>
      <c r="R33" s="665"/>
      <c r="S33" s="665"/>
      <c r="T33" s="665"/>
      <c r="U33" s="665"/>
      <c r="V33" s="665"/>
      <c r="W33" s="665"/>
      <c r="X33" s="666"/>
      <c r="Y33" s="666"/>
      <c r="Z33" s="666"/>
    </row>
    <row r="34" spans="1:26">
      <c r="A34" s="434" t="s">
        <v>91</v>
      </c>
      <c r="B34" s="434" t="s">
        <v>91</v>
      </c>
      <c r="C34" s="58" t="s">
        <v>204</v>
      </c>
      <c r="D34" s="425">
        <v>30597000000</v>
      </c>
      <c r="E34" s="425">
        <v>25505000000</v>
      </c>
      <c r="F34" s="298">
        <v>24800000000</v>
      </c>
      <c r="G34" s="425">
        <v>29800000000</v>
      </c>
      <c r="H34" s="425">
        <v>28400000000</v>
      </c>
      <c r="I34" s="425">
        <v>26000000000</v>
      </c>
      <c r="J34" s="21">
        <v>25000000000</v>
      </c>
      <c r="K34" s="21">
        <v>25600000000</v>
      </c>
      <c r="L34" s="425">
        <v>31300000000</v>
      </c>
      <c r="M34" s="273">
        <v>36300000000</v>
      </c>
      <c r="N34" s="273">
        <v>41600000000</v>
      </c>
      <c r="O34" s="425">
        <v>41100000000</v>
      </c>
      <c r="P34" s="425">
        <v>41500000000</v>
      </c>
      <c r="Q34" s="665">
        <v>43300000000</v>
      </c>
      <c r="R34" s="665">
        <v>40100000000</v>
      </c>
      <c r="S34" s="665">
        <v>38600000000</v>
      </c>
      <c r="T34" s="665">
        <v>36300000000</v>
      </c>
      <c r="U34" s="665">
        <v>32500000000</v>
      </c>
      <c r="V34" s="665">
        <v>37100000000</v>
      </c>
      <c r="W34" s="665">
        <v>43000000000</v>
      </c>
      <c r="X34" s="666">
        <v>47600000000</v>
      </c>
      <c r="Y34" s="666">
        <v>53500000000</v>
      </c>
      <c r="Z34" s="666">
        <v>59900000000</v>
      </c>
    </row>
    <row r="35" spans="1:26">
      <c r="A35" s="427" t="s">
        <v>209</v>
      </c>
      <c r="B35" s="427" t="s">
        <v>210</v>
      </c>
      <c r="C35" s="34" t="s">
        <v>211</v>
      </c>
      <c r="D35" s="425">
        <v>28272000000</v>
      </c>
      <c r="E35" s="425">
        <v>24429000000</v>
      </c>
      <c r="F35" s="298">
        <v>22500000000</v>
      </c>
      <c r="G35" s="425">
        <v>28200000000</v>
      </c>
      <c r="H35" s="425">
        <v>26700000000</v>
      </c>
      <c r="I35" s="425">
        <v>24200000000</v>
      </c>
      <c r="J35" s="21">
        <v>23000000000</v>
      </c>
      <c r="K35" s="21">
        <v>23500000000</v>
      </c>
      <c r="L35" s="425">
        <v>28400000000</v>
      </c>
      <c r="M35" s="273"/>
      <c r="N35" s="273"/>
      <c r="O35" s="425"/>
      <c r="P35" s="425"/>
      <c r="Q35" s="665"/>
      <c r="R35" s="665"/>
      <c r="S35" s="665"/>
      <c r="T35" s="665"/>
      <c r="U35" s="665"/>
      <c r="V35" s="665"/>
      <c r="W35" s="665"/>
      <c r="X35" s="666"/>
      <c r="Y35" s="666"/>
      <c r="Z35" s="666"/>
    </row>
    <row r="36" spans="1:26">
      <c r="A36" s="427" t="s">
        <v>212</v>
      </c>
      <c r="B36" s="427" t="s">
        <v>212</v>
      </c>
      <c r="C36" s="34" t="s">
        <v>211</v>
      </c>
      <c r="D36" s="425">
        <v>2325000000</v>
      </c>
      <c r="E36" s="425">
        <v>1076000000</v>
      </c>
      <c r="F36" s="298">
        <v>2300000000</v>
      </c>
      <c r="G36" s="425">
        <f>G34-G35</f>
        <v>1600000000</v>
      </c>
      <c r="H36" s="425">
        <f t="shared" ref="H36:L36" si="4">H34-H35</f>
        <v>1700000000</v>
      </c>
      <c r="I36" s="425">
        <f t="shared" si="4"/>
        <v>1800000000</v>
      </c>
      <c r="J36" s="425">
        <f t="shared" si="4"/>
        <v>2000000000</v>
      </c>
      <c r="K36" s="425">
        <f t="shared" si="4"/>
        <v>2100000000</v>
      </c>
      <c r="L36" s="425">
        <f t="shared" si="4"/>
        <v>2900000000</v>
      </c>
      <c r="M36" s="273"/>
      <c r="N36" s="273"/>
      <c r="O36" s="425"/>
      <c r="P36" s="425"/>
      <c r="Q36" s="665"/>
      <c r="R36" s="665"/>
      <c r="S36" s="665"/>
      <c r="T36" s="665"/>
      <c r="U36" s="665"/>
      <c r="V36" s="665"/>
      <c r="W36" s="665"/>
      <c r="X36" s="666"/>
      <c r="Y36" s="666"/>
      <c r="Z36" s="666"/>
    </row>
    <row r="37" spans="1:26">
      <c r="A37" s="426" t="s">
        <v>213</v>
      </c>
      <c r="B37" s="426" t="s">
        <v>214</v>
      </c>
      <c r="C37" s="58" t="s">
        <v>204</v>
      </c>
      <c r="D37" s="425">
        <v>23422000000</v>
      </c>
      <c r="E37" s="425">
        <v>23237000000</v>
      </c>
      <c r="F37" s="298">
        <v>20500000000</v>
      </c>
      <c r="G37" s="425">
        <v>22200000000</v>
      </c>
      <c r="H37" s="425">
        <v>24000000000</v>
      </c>
      <c r="I37" s="425">
        <v>24500000000</v>
      </c>
      <c r="J37" s="21">
        <v>25800000000</v>
      </c>
      <c r="K37" s="21">
        <v>25200000000</v>
      </c>
      <c r="L37" s="425">
        <v>29000000000</v>
      </c>
      <c r="M37" s="273">
        <v>32100000000</v>
      </c>
      <c r="N37" s="273">
        <v>34299999999.999996</v>
      </c>
      <c r="O37" s="425">
        <v>33000000000</v>
      </c>
      <c r="P37" s="425">
        <v>33500000000</v>
      </c>
      <c r="Q37" s="665">
        <v>32400000000</v>
      </c>
      <c r="R37" s="665">
        <v>31300000000</v>
      </c>
      <c r="S37" s="665">
        <v>42400000000</v>
      </c>
      <c r="T37" s="665">
        <v>44300000000</v>
      </c>
      <c r="U37" s="665">
        <v>44300000000</v>
      </c>
      <c r="V37" s="665">
        <v>45200000000</v>
      </c>
      <c r="W37" s="665">
        <v>47100000000</v>
      </c>
      <c r="X37" s="666">
        <v>47500000000</v>
      </c>
      <c r="Y37" s="666">
        <v>51700000000</v>
      </c>
      <c r="Z37" s="666">
        <v>55200000000</v>
      </c>
    </row>
    <row r="38" spans="1:26">
      <c r="A38" s="434" t="s">
        <v>215</v>
      </c>
      <c r="B38" s="434" t="s">
        <v>215</v>
      </c>
      <c r="C38" s="58" t="s">
        <v>204</v>
      </c>
      <c r="D38" s="425">
        <v>5247000000</v>
      </c>
      <c r="E38" s="425">
        <v>7811000000</v>
      </c>
      <c r="F38" s="298">
        <v>6200000000</v>
      </c>
      <c r="G38" s="425">
        <v>5100000000</v>
      </c>
      <c r="H38" s="425">
        <v>5100000000</v>
      </c>
      <c r="I38" s="425">
        <v>3700000000</v>
      </c>
      <c r="J38" s="21">
        <v>3800000000</v>
      </c>
      <c r="K38" s="21">
        <v>3500000000</v>
      </c>
      <c r="L38" s="425">
        <v>2600000000</v>
      </c>
      <c r="M38" s="273">
        <v>2000000000</v>
      </c>
      <c r="N38" s="273">
        <v>3500000000</v>
      </c>
      <c r="O38" s="425">
        <v>3300000000</v>
      </c>
      <c r="P38" s="425">
        <v>1900000000</v>
      </c>
      <c r="Q38" s="665">
        <v>1600000000</v>
      </c>
      <c r="R38" s="665">
        <v>8400000000</v>
      </c>
      <c r="S38" s="665">
        <v>6800000000</v>
      </c>
      <c r="T38" s="665">
        <v>3800000000</v>
      </c>
      <c r="U38" s="665">
        <v>6900000000</v>
      </c>
      <c r="V38" s="665">
        <v>7300000000</v>
      </c>
      <c r="W38" s="665">
        <v>6600000000</v>
      </c>
      <c r="X38" s="666">
        <v>4800000000</v>
      </c>
      <c r="Y38" s="666">
        <v>4500000000</v>
      </c>
      <c r="Z38" s="666">
        <v>4700000000</v>
      </c>
    </row>
    <row r="39" spans="1:26">
      <c r="A39" s="428" t="s">
        <v>216</v>
      </c>
      <c r="B39" s="428" t="s">
        <v>217</v>
      </c>
      <c r="C39" s="34" t="s">
        <v>218</v>
      </c>
      <c r="D39" s="21"/>
      <c r="E39" s="21"/>
      <c r="F39" s="21"/>
      <c r="G39" s="21"/>
      <c r="H39" s="21"/>
      <c r="I39" s="21"/>
      <c r="J39" s="21"/>
      <c r="K39" s="21"/>
      <c r="L39" s="21"/>
      <c r="M39" s="273"/>
      <c r="N39" s="273"/>
      <c r="O39" s="425"/>
      <c r="P39" s="425"/>
      <c r="Q39" s="665">
        <v>0</v>
      </c>
      <c r="R39" s="665">
        <v>6700000000</v>
      </c>
      <c r="S39" s="665">
        <v>4600000000</v>
      </c>
      <c r="T39" s="665">
        <v>0</v>
      </c>
      <c r="U39" s="665">
        <v>4000000000</v>
      </c>
      <c r="V39" s="665">
        <v>4600000000</v>
      </c>
      <c r="W39" s="665">
        <v>4000000000</v>
      </c>
      <c r="X39" s="666">
        <v>2200000000</v>
      </c>
      <c r="Y39" s="666">
        <v>1500000000</v>
      </c>
      <c r="Z39" s="666">
        <v>1500000000</v>
      </c>
    </row>
    <row r="40" spans="1:26">
      <c r="A40" s="428" t="s">
        <v>219</v>
      </c>
      <c r="B40" s="428" t="s">
        <v>220</v>
      </c>
      <c r="C40" s="34" t="s">
        <v>218</v>
      </c>
      <c r="D40" s="21"/>
      <c r="E40" s="21"/>
      <c r="F40" s="21"/>
      <c r="G40" s="21"/>
      <c r="H40" s="21"/>
      <c r="I40" s="21"/>
      <c r="J40" s="21"/>
      <c r="K40" s="21"/>
      <c r="L40" s="21"/>
      <c r="M40" s="273"/>
      <c r="N40" s="273"/>
      <c r="O40" s="425"/>
      <c r="P40" s="425"/>
      <c r="Q40" s="665">
        <v>0</v>
      </c>
      <c r="R40" s="665">
        <v>100000000</v>
      </c>
      <c r="S40" s="665">
        <v>500000000</v>
      </c>
      <c r="T40" s="665">
        <v>2000000000</v>
      </c>
      <c r="U40" s="665">
        <v>600000000</v>
      </c>
      <c r="V40" s="665">
        <v>500000000</v>
      </c>
      <c r="W40" s="665">
        <v>600000000</v>
      </c>
      <c r="X40" s="666">
        <v>600000000</v>
      </c>
      <c r="Y40" s="666">
        <v>600000000</v>
      </c>
      <c r="Z40" s="666">
        <v>600000000</v>
      </c>
    </row>
    <row r="41" spans="1:26">
      <c r="A41" s="427" t="s">
        <v>50</v>
      </c>
      <c r="B41" s="427" t="s">
        <v>50</v>
      </c>
      <c r="C41" s="34" t="s">
        <v>218</v>
      </c>
      <c r="D41" s="21"/>
      <c r="E41" s="21"/>
      <c r="F41" s="21"/>
      <c r="G41" s="425"/>
      <c r="H41" s="425"/>
      <c r="I41" s="425"/>
      <c r="J41" s="425"/>
      <c r="K41" s="425"/>
      <c r="L41" s="425"/>
      <c r="M41" s="273"/>
      <c r="N41" s="273"/>
      <c r="O41" s="425"/>
      <c r="P41" s="425"/>
      <c r="Q41" s="665">
        <v>0</v>
      </c>
      <c r="R41" s="665">
        <v>1600000000</v>
      </c>
      <c r="S41" s="665">
        <v>1700000000</v>
      </c>
      <c r="T41" s="665">
        <v>1700000000</v>
      </c>
      <c r="U41" s="665">
        <v>2300000000</v>
      </c>
      <c r="V41" s="665">
        <v>2100000000</v>
      </c>
      <c r="W41" s="665">
        <v>2100000000</v>
      </c>
      <c r="X41" s="666">
        <v>2100000000</v>
      </c>
      <c r="Y41" s="666">
        <v>2400000000</v>
      </c>
      <c r="Z41" s="666">
        <v>2600000000</v>
      </c>
    </row>
    <row r="42" spans="1:26">
      <c r="A42" s="426" t="s">
        <v>221</v>
      </c>
      <c r="B42" s="426" t="s">
        <v>222</v>
      </c>
      <c r="C42" s="58" t="s">
        <v>204</v>
      </c>
      <c r="D42" s="425">
        <v>31375000000</v>
      </c>
      <c r="E42" s="425">
        <v>36073000000</v>
      </c>
      <c r="F42" s="21">
        <v>40200000000</v>
      </c>
      <c r="G42" s="425">
        <v>44800000000</v>
      </c>
      <c r="H42" s="425">
        <v>50200000000</v>
      </c>
      <c r="I42" s="425">
        <v>55900000000</v>
      </c>
      <c r="J42" s="21">
        <v>60000000000</v>
      </c>
      <c r="K42" s="21">
        <v>69900000000</v>
      </c>
      <c r="L42" s="21">
        <v>76200000000</v>
      </c>
      <c r="M42" s="273">
        <v>96700000000</v>
      </c>
      <c r="N42" s="273">
        <v>106200000000</v>
      </c>
      <c r="O42" s="425">
        <v>113900000000</v>
      </c>
      <c r="P42" s="425">
        <v>120300000000</v>
      </c>
      <c r="Q42" s="665">
        <v>127600000000</v>
      </c>
      <c r="R42" s="665">
        <v>138500000000</v>
      </c>
      <c r="S42" s="665">
        <v>141200000000</v>
      </c>
      <c r="T42" s="665">
        <v>152600000000</v>
      </c>
      <c r="U42" s="665">
        <v>161500000000</v>
      </c>
      <c r="V42" s="665">
        <v>170400000000</v>
      </c>
      <c r="W42" s="665">
        <v>181400000000</v>
      </c>
      <c r="X42" s="666">
        <v>193500000000</v>
      </c>
      <c r="Y42" s="666">
        <v>206000000000</v>
      </c>
      <c r="Z42" s="666">
        <v>219200000000</v>
      </c>
    </row>
    <row r="43" spans="1:26">
      <c r="A43" s="428" t="s">
        <v>183</v>
      </c>
      <c r="B43" s="428" t="s">
        <v>184</v>
      </c>
      <c r="C43" s="34" t="s">
        <v>223</v>
      </c>
      <c r="D43" s="425">
        <v>28948000000</v>
      </c>
      <c r="E43" s="425">
        <v>33104000000</v>
      </c>
      <c r="F43" s="21"/>
      <c r="G43" s="425"/>
      <c r="H43" s="425"/>
      <c r="I43" s="425"/>
      <c r="J43" s="425"/>
      <c r="K43" s="425"/>
      <c r="L43" s="425"/>
      <c r="M43" s="273"/>
      <c r="N43" s="273"/>
      <c r="O43" s="425"/>
      <c r="P43" s="425"/>
      <c r="Q43" s="665"/>
      <c r="R43" s="665"/>
      <c r="S43" s="665"/>
      <c r="T43" s="665"/>
      <c r="U43" s="665"/>
      <c r="V43" s="665"/>
      <c r="W43" s="665"/>
      <c r="X43" s="666"/>
      <c r="Y43" s="666"/>
      <c r="Z43" s="666"/>
    </row>
    <row r="44" spans="1:26">
      <c r="A44" s="428" t="s">
        <v>186</v>
      </c>
      <c r="B44" s="428" t="s">
        <v>187</v>
      </c>
      <c r="C44" s="34" t="s">
        <v>223</v>
      </c>
      <c r="D44" s="425">
        <v>2427000000</v>
      </c>
      <c r="E44" s="425">
        <v>2969000000</v>
      </c>
      <c r="F44" s="21"/>
      <c r="G44" s="425"/>
      <c r="H44" s="425"/>
      <c r="I44" s="425"/>
      <c r="J44" s="425"/>
      <c r="K44" s="425"/>
      <c r="L44" s="425"/>
      <c r="M44" s="273"/>
      <c r="N44" s="273"/>
      <c r="O44" s="425"/>
      <c r="P44" s="425"/>
      <c r="Q44" s="665"/>
      <c r="R44" s="665"/>
      <c r="S44" s="665"/>
      <c r="T44" s="665"/>
      <c r="U44" s="665"/>
      <c r="V44" s="665"/>
      <c r="W44" s="665"/>
      <c r="X44" s="666"/>
      <c r="Y44" s="666"/>
      <c r="Z44" s="666"/>
    </row>
    <row r="45" spans="1:26">
      <c r="A45" s="426" t="s">
        <v>224</v>
      </c>
      <c r="B45" s="426" t="s">
        <v>225</v>
      </c>
      <c r="C45" s="58" t="s">
        <v>204</v>
      </c>
      <c r="D45" s="425">
        <v>7669000000</v>
      </c>
      <c r="E45" s="425">
        <v>9404000000</v>
      </c>
      <c r="F45" s="21">
        <v>12200000000</v>
      </c>
      <c r="G45" s="425">
        <v>14200000000</v>
      </c>
      <c r="H45" s="425">
        <v>15900000000</v>
      </c>
      <c r="I45" s="425">
        <v>20000000000</v>
      </c>
      <c r="J45" s="21">
        <v>22700000000</v>
      </c>
      <c r="K45" s="21">
        <v>21300000000</v>
      </c>
      <c r="L45" s="21">
        <v>27100000000</v>
      </c>
      <c r="M45" s="273">
        <v>33600000000</v>
      </c>
      <c r="N45" s="273">
        <v>30800000000</v>
      </c>
      <c r="O45" s="425">
        <v>28100000000</v>
      </c>
      <c r="P45" s="425">
        <v>27300000000</v>
      </c>
      <c r="Q45" s="665">
        <v>29800000000</v>
      </c>
      <c r="R45" s="665">
        <v>32900000000</v>
      </c>
      <c r="S45" s="665">
        <v>34100000000</v>
      </c>
      <c r="T45" s="665">
        <v>41700000000</v>
      </c>
      <c r="U45" s="665">
        <v>51100000000</v>
      </c>
      <c r="V45" s="665">
        <v>47700000000</v>
      </c>
      <c r="W45" s="665">
        <v>51800000000</v>
      </c>
      <c r="X45" s="666">
        <v>58200000000</v>
      </c>
      <c r="Y45" s="666">
        <v>61700000000</v>
      </c>
      <c r="Z45" s="666">
        <v>65900000000.000008</v>
      </c>
    </row>
    <row r="46" spans="1:26">
      <c r="A46" s="426" t="s">
        <v>226</v>
      </c>
      <c r="B46" s="426" t="s">
        <v>227</v>
      </c>
      <c r="C46" s="58" t="s">
        <v>204</v>
      </c>
      <c r="D46" s="425">
        <v>8580000000</v>
      </c>
      <c r="E46" s="425">
        <v>8820000000</v>
      </c>
      <c r="F46" s="21">
        <v>8700000000</v>
      </c>
      <c r="G46" s="425">
        <v>8800000000</v>
      </c>
      <c r="H46" s="425">
        <v>11500000000</v>
      </c>
      <c r="I46" s="425">
        <v>10200000000</v>
      </c>
      <c r="J46" s="21">
        <v>10800000000</v>
      </c>
      <c r="K46" s="21">
        <v>14800000000</v>
      </c>
      <c r="L46" s="21">
        <v>17800000000</v>
      </c>
      <c r="M46" s="273">
        <v>20400000000</v>
      </c>
      <c r="N46" s="273">
        <v>18700000000</v>
      </c>
      <c r="O46" s="425">
        <v>18700000000</v>
      </c>
      <c r="P46" s="425">
        <v>20700000000</v>
      </c>
      <c r="Q46" s="665">
        <v>23200000000</v>
      </c>
      <c r="R46" s="665">
        <v>25500000000</v>
      </c>
      <c r="S46" s="665">
        <v>20200000000</v>
      </c>
      <c r="T46" s="665">
        <v>24500000000</v>
      </c>
      <c r="U46" s="665">
        <v>23100000000</v>
      </c>
      <c r="V46" s="665">
        <v>23300000000</v>
      </c>
      <c r="W46" s="665">
        <v>23800000000</v>
      </c>
      <c r="X46" s="666">
        <v>25200000000</v>
      </c>
      <c r="Y46" s="666">
        <v>25700000000</v>
      </c>
      <c r="Z46" s="666">
        <v>27200000000</v>
      </c>
    </row>
    <row r="47" spans="1:26">
      <c r="A47" s="428" t="s">
        <v>228</v>
      </c>
      <c r="B47" s="428" t="s">
        <v>229</v>
      </c>
      <c r="C47" s="424" t="s">
        <v>230</v>
      </c>
      <c r="D47" s="430">
        <v>1919000000</v>
      </c>
      <c r="E47" s="430">
        <v>1881000000</v>
      </c>
      <c r="F47" s="21"/>
      <c r="G47" s="425"/>
      <c r="H47" s="425"/>
      <c r="I47" s="425"/>
      <c r="J47" s="425"/>
      <c r="K47" s="425"/>
      <c r="L47" s="425"/>
      <c r="M47" s="273"/>
      <c r="N47" s="273"/>
      <c r="O47" s="425"/>
      <c r="P47" s="425"/>
      <c r="Q47" s="665"/>
      <c r="R47" s="665"/>
      <c r="S47" s="665"/>
      <c r="T47" s="665"/>
      <c r="U47" s="665"/>
      <c r="V47" s="665"/>
      <c r="W47" s="665"/>
      <c r="X47" s="666"/>
      <c r="Y47" s="666"/>
      <c r="Z47" s="666"/>
    </row>
    <row r="48" spans="1:26">
      <c r="A48" s="428" t="s">
        <v>231</v>
      </c>
      <c r="B48" s="428" t="s">
        <v>232</v>
      </c>
      <c r="C48" s="424" t="s">
        <v>230</v>
      </c>
      <c r="D48" s="430">
        <v>6661000000</v>
      </c>
      <c r="E48" s="430">
        <v>6939000000</v>
      </c>
      <c r="F48" s="21"/>
      <c r="G48" s="425"/>
      <c r="H48" s="425"/>
      <c r="I48" s="425"/>
      <c r="J48" s="425"/>
      <c r="K48" s="425"/>
      <c r="L48" s="425"/>
      <c r="M48" s="273"/>
      <c r="N48" s="273"/>
      <c r="O48" s="425"/>
      <c r="P48" s="425"/>
      <c r="Q48" s="665"/>
      <c r="R48" s="665"/>
      <c r="S48" s="665"/>
      <c r="T48" s="665"/>
      <c r="U48" s="665"/>
      <c r="V48" s="665"/>
      <c r="W48" s="665"/>
      <c r="X48" s="666"/>
      <c r="Y48" s="666"/>
      <c r="Z48" s="666"/>
    </row>
    <row r="49" spans="1:26">
      <c r="A49" s="435" t="s">
        <v>233</v>
      </c>
      <c r="B49" s="435" t="s">
        <v>234</v>
      </c>
      <c r="C49" s="58" t="s">
        <v>204</v>
      </c>
      <c r="D49" s="21"/>
      <c r="E49" s="21"/>
      <c r="F49" s="21"/>
      <c r="G49" s="425"/>
      <c r="H49" s="425"/>
      <c r="I49" s="425"/>
      <c r="J49" s="21">
        <v>0</v>
      </c>
      <c r="K49" s="21">
        <v>500000000</v>
      </c>
      <c r="L49" s="425"/>
      <c r="M49" s="273"/>
      <c r="N49" s="273"/>
      <c r="O49" s="425"/>
      <c r="P49" s="425"/>
      <c r="Q49" s="665"/>
      <c r="R49" s="665"/>
      <c r="S49" s="665"/>
      <c r="T49" s="665"/>
      <c r="U49" s="665"/>
      <c r="V49" s="665"/>
      <c r="W49" s="665"/>
      <c r="X49" s="666"/>
      <c r="Y49" s="666"/>
      <c r="Z49" s="666"/>
    </row>
    <row r="50" spans="1:26">
      <c r="A50" t="s">
        <v>76</v>
      </c>
      <c r="B50" s="428" t="s">
        <v>235</v>
      </c>
      <c r="C50" s="34"/>
      <c r="D50" s="21"/>
      <c r="E50" s="21"/>
      <c r="F50" s="21"/>
      <c r="G50" s="425"/>
      <c r="H50" s="425"/>
      <c r="I50" s="425"/>
      <c r="J50" s="425"/>
      <c r="K50" s="425"/>
      <c r="L50" s="425"/>
      <c r="M50" s="273"/>
      <c r="N50" s="273"/>
      <c r="O50" s="425"/>
      <c r="P50" s="425"/>
      <c r="Q50" s="665"/>
      <c r="R50" s="665"/>
      <c r="S50" s="665"/>
      <c r="T50" s="665"/>
      <c r="U50" s="665"/>
      <c r="V50" s="665"/>
      <c r="W50" s="665"/>
      <c r="X50" s="666"/>
      <c r="Y50" s="666"/>
      <c r="Z50" s="666"/>
    </row>
    <row r="51" spans="1:26">
      <c r="A51" s="426" t="s">
        <v>236</v>
      </c>
      <c r="B51" s="426" t="s">
        <v>236</v>
      </c>
      <c r="C51" s="58" t="s">
        <v>204</v>
      </c>
      <c r="D51" s="21"/>
      <c r="E51" s="21"/>
      <c r="F51" s="21">
        <v>0</v>
      </c>
      <c r="G51" s="2726">
        <v>0</v>
      </c>
      <c r="H51" s="2726">
        <v>0</v>
      </c>
      <c r="I51" s="425">
        <v>0</v>
      </c>
      <c r="J51" s="425"/>
      <c r="K51" s="425"/>
      <c r="L51" s="425"/>
      <c r="M51" s="273"/>
      <c r="N51" s="273"/>
      <c r="O51" s="425"/>
      <c r="P51" s="425"/>
      <c r="Q51" s="665">
        <v>0</v>
      </c>
      <c r="R51" s="665">
        <v>0</v>
      </c>
      <c r="S51" s="665">
        <v>0</v>
      </c>
      <c r="T51" s="665">
        <v>0</v>
      </c>
      <c r="U51" s="665">
        <v>0</v>
      </c>
      <c r="V51" s="665">
        <v>0</v>
      </c>
      <c r="W51" s="665">
        <v>0</v>
      </c>
      <c r="X51" s="666">
        <v>0</v>
      </c>
      <c r="Y51" s="666">
        <v>0</v>
      </c>
      <c r="Z51" s="666">
        <v>0</v>
      </c>
    </row>
    <row r="52" spans="1:26">
      <c r="A52" s="424" t="s">
        <v>237</v>
      </c>
      <c r="B52" s="424" t="s">
        <v>238</v>
      </c>
      <c r="C52" s="58" t="s">
        <v>201</v>
      </c>
      <c r="D52" s="425">
        <v>35062000000</v>
      </c>
      <c r="E52" s="425">
        <v>43095000000</v>
      </c>
      <c r="F52" s="21">
        <v>42000000000</v>
      </c>
      <c r="G52" s="425">
        <v>31500000000</v>
      </c>
      <c r="H52" s="425">
        <v>38600000000</v>
      </c>
      <c r="I52" s="425">
        <v>38400000000</v>
      </c>
      <c r="J52" s="21">
        <v>50400000000</v>
      </c>
      <c r="K52" s="21">
        <v>57000000000</v>
      </c>
      <c r="L52" s="21">
        <v>93800000000</v>
      </c>
      <c r="M52" s="273">
        <v>90400000000</v>
      </c>
      <c r="N52" s="273">
        <v>63400000000</v>
      </c>
      <c r="O52" s="425">
        <v>70600000000</v>
      </c>
      <c r="P52" s="425">
        <v>61700000000</v>
      </c>
      <c r="Q52" s="665">
        <v>65500000000</v>
      </c>
      <c r="R52" s="665">
        <v>60500000000</v>
      </c>
      <c r="S52" s="665">
        <v>62600000000</v>
      </c>
      <c r="T52" s="665">
        <v>58200000000</v>
      </c>
      <c r="U52" s="665">
        <v>71100000000</v>
      </c>
      <c r="V52" s="665">
        <v>86100000000</v>
      </c>
      <c r="W52" s="665">
        <v>87800000000</v>
      </c>
      <c r="X52" s="666">
        <v>92200000000</v>
      </c>
      <c r="Y52" s="666">
        <v>94900000000</v>
      </c>
      <c r="Z52" s="666">
        <v>101400000000</v>
      </c>
    </row>
    <row r="53" spans="1:26">
      <c r="A53" s="426" t="s">
        <v>239</v>
      </c>
      <c r="B53" s="426" t="s">
        <v>240</v>
      </c>
      <c r="C53" s="58" t="s">
        <v>241</v>
      </c>
      <c r="D53" s="425">
        <v>15663000000</v>
      </c>
      <c r="E53" s="425">
        <v>23955000000</v>
      </c>
      <c r="F53" s="21">
        <v>19000000000</v>
      </c>
      <c r="G53" s="425">
        <v>18300000000</v>
      </c>
      <c r="H53" s="425">
        <v>27600000000</v>
      </c>
      <c r="I53" s="425">
        <v>24300000000</v>
      </c>
      <c r="J53" s="21">
        <v>38200000000</v>
      </c>
      <c r="K53" s="425"/>
      <c r="L53" s="425"/>
      <c r="M53" s="273"/>
      <c r="N53" s="273"/>
      <c r="O53" s="425">
        <v>41100000000</v>
      </c>
      <c r="P53" s="425">
        <v>27400000000</v>
      </c>
      <c r="Q53" s="665">
        <v>36700000000</v>
      </c>
      <c r="R53" s="665">
        <v>33799999999.999996</v>
      </c>
      <c r="S53" s="665">
        <v>37700000000</v>
      </c>
      <c r="T53" s="665">
        <v>37900000000</v>
      </c>
      <c r="U53" s="665">
        <v>34299999999.999996</v>
      </c>
      <c r="V53" s="665">
        <v>30500000000</v>
      </c>
      <c r="W53" s="665">
        <v>23900000000</v>
      </c>
      <c r="X53" s="666">
        <v>36900000000</v>
      </c>
      <c r="Y53" s="666">
        <v>35000000000</v>
      </c>
      <c r="Z53" s="666">
        <v>40500000000</v>
      </c>
    </row>
    <row r="54" spans="1:26">
      <c r="A54" s="426" t="s">
        <v>242</v>
      </c>
      <c r="B54" s="426" t="s">
        <v>243</v>
      </c>
      <c r="C54" s="58" t="s">
        <v>241</v>
      </c>
      <c r="D54" s="425">
        <v>16327000000</v>
      </c>
      <c r="E54" s="425">
        <v>19140000000</v>
      </c>
      <c r="F54" s="21">
        <v>23000000000</v>
      </c>
      <c r="G54" s="425">
        <v>13200000000</v>
      </c>
      <c r="H54" s="425">
        <v>11000000000</v>
      </c>
      <c r="I54" s="425">
        <v>14100000000</v>
      </c>
      <c r="J54" s="21">
        <v>12100000000</v>
      </c>
      <c r="K54" s="425"/>
      <c r="L54" s="425"/>
      <c r="M54" s="273"/>
      <c r="N54" s="273"/>
      <c r="O54" s="425">
        <v>27900000000</v>
      </c>
      <c r="P54" s="425">
        <v>34299999999.999996</v>
      </c>
      <c r="Q54" s="665">
        <v>28800000000</v>
      </c>
      <c r="R54" s="665">
        <v>26800000000</v>
      </c>
      <c r="S54" s="665">
        <v>24900000000</v>
      </c>
      <c r="T54" s="665">
        <v>20400000000</v>
      </c>
      <c r="U54" s="665">
        <v>36900000000</v>
      </c>
      <c r="V54" s="665">
        <v>55600000000</v>
      </c>
      <c r="W54" s="665">
        <v>64000000000</v>
      </c>
      <c r="X54" s="666">
        <v>55400000000</v>
      </c>
      <c r="Y54" s="666">
        <v>59900000000</v>
      </c>
      <c r="Z54" s="666">
        <v>60900000000</v>
      </c>
    </row>
    <row r="55" spans="1:26">
      <c r="A55" s="434" t="s">
        <v>50</v>
      </c>
      <c r="B55" s="434" t="s">
        <v>50</v>
      </c>
      <c r="C55" s="58" t="s">
        <v>241</v>
      </c>
      <c r="D55" s="436">
        <f>D52-D53-D54</f>
        <v>3072000000</v>
      </c>
      <c r="E55" s="21"/>
      <c r="F55" s="21"/>
      <c r="G55" s="21"/>
      <c r="H55" s="21"/>
      <c r="I55" s="21"/>
      <c r="J55" s="21"/>
      <c r="K55" s="425"/>
      <c r="L55" s="425"/>
      <c r="M55" s="273"/>
      <c r="N55" s="273"/>
      <c r="O55" s="425">
        <v>1600000000</v>
      </c>
      <c r="P55" s="425">
        <v>0</v>
      </c>
      <c r="Q55" s="665"/>
      <c r="R55" s="665"/>
      <c r="S55" s="665"/>
      <c r="T55" s="665"/>
      <c r="U55" s="665"/>
      <c r="V55" s="665"/>
      <c r="W55" s="665"/>
      <c r="X55" s="666"/>
      <c r="Y55" s="666"/>
      <c r="Z55" s="666"/>
    </row>
    <row r="56" spans="1:26">
      <c r="A56" s="424" t="s">
        <v>244</v>
      </c>
      <c r="B56" s="424" t="s">
        <v>245</v>
      </c>
      <c r="C56" s="58" t="s">
        <v>201</v>
      </c>
      <c r="D56" s="21"/>
      <c r="E56" s="21"/>
      <c r="F56" s="2724">
        <v>0</v>
      </c>
      <c r="G56" s="2725">
        <v>0</v>
      </c>
      <c r="H56" s="425">
        <v>1400000000</v>
      </c>
      <c r="I56" s="425">
        <v>1900000000</v>
      </c>
      <c r="J56" s="21">
        <v>0</v>
      </c>
      <c r="K56" s="21">
        <v>3000000000</v>
      </c>
      <c r="L56" s="21">
        <v>5000000000</v>
      </c>
      <c r="M56" s="273">
        <v>1800000000</v>
      </c>
      <c r="N56" s="273">
        <v>0</v>
      </c>
      <c r="O56" s="425">
        <v>0</v>
      </c>
      <c r="P56" s="425">
        <v>0</v>
      </c>
      <c r="Q56" s="665">
        <v>0</v>
      </c>
      <c r="R56" s="665">
        <v>5900000000</v>
      </c>
      <c r="S56" s="665">
        <v>7300000000</v>
      </c>
      <c r="T56" s="665">
        <v>7400000000</v>
      </c>
      <c r="U56" s="665">
        <v>4000000000</v>
      </c>
      <c r="V56" s="2723">
        <v>0</v>
      </c>
      <c r="W56" s="2723">
        <v>0</v>
      </c>
      <c r="X56" s="2722">
        <v>0</v>
      </c>
      <c r="Y56" s="2722">
        <v>0</v>
      </c>
      <c r="Z56" s="2722">
        <v>0</v>
      </c>
    </row>
    <row r="57" spans="1:26">
      <c r="A57" s="424" t="s">
        <v>246</v>
      </c>
      <c r="B57" s="424" t="s">
        <v>247</v>
      </c>
      <c r="C57" s="58" t="s">
        <v>201</v>
      </c>
      <c r="D57" s="21"/>
      <c r="E57" s="21"/>
      <c r="F57" s="21"/>
      <c r="G57" s="21"/>
      <c r="H57" s="21"/>
      <c r="I57" s="21"/>
      <c r="J57" s="21"/>
      <c r="K57" s="425"/>
      <c r="L57" s="21">
        <v>0</v>
      </c>
      <c r="M57" s="273">
        <v>0</v>
      </c>
      <c r="N57" s="273">
        <v>0</v>
      </c>
      <c r="O57" s="425">
        <v>0</v>
      </c>
      <c r="P57" s="425">
        <v>0</v>
      </c>
      <c r="Q57" s="665">
        <v>0</v>
      </c>
      <c r="R57" s="665">
        <v>0</v>
      </c>
      <c r="S57" s="665">
        <v>0</v>
      </c>
      <c r="T57" s="665">
        <v>0</v>
      </c>
      <c r="U57" s="665">
        <v>2700000000</v>
      </c>
      <c r="V57" s="665">
        <v>2700000000</v>
      </c>
      <c r="W57" s="665">
        <v>3300000000</v>
      </c>
      <c r="X57" s="666">
        <v>3300000000</v>
      </c>
      <c r="Y57" s="666">
        <v>3300000000</v>
      </c>
      <c r="Z57" s="666">
        <v>3300000000</v>
      </c>
    </row>
    <row r="58" spans="1:26">
      <c r="A58" s="424" t="s">
        <v>248</v>
      </c>
      <c r="B58" s="424" t="s">
        <v>249</v>
      </c>
      <c r="C58" s="58" t="s">
        <v>201</v>
      </c>
      <c r="D58" s="21"/>
      <c r="E58" s="21"/>
      <c r="F58" s="21"/>
      <c r="G58" s="21"/>
      <c r="H58" s="21"/>
      <c r="I58" s="21"/>
      <c r="J58" s="21"/>
      <c r="K58" s="425"/>
      <c r="L58" s="425"/>
      <c r="M58" s="273"/>
      <c r="N58" s="273"/>
      <c r="O58" s="425"/>
      <c r="P58" s="425"/>
      <c r="Q58" s="665">
        <v>0</v>
      </c>
      <c r="R58" s="665">
        <v>33799999999.999996</v>
      </c>
      <c r="S58" s="665">
        <v>17600000000</v>
      </c>
      <c r="T58" s="665">
        <v>0</v>
      </c>
      <c r="U58" s="665">
        <v>0</v>
      </c>
      <c r="V58" s="665">
        <v>0</v>
      </c>
      <c r="W58" s="665">
        <v>0</v>
      </c>
      <c r="X58" s="666">
        <v>0</v>
      </c>
      <c r="Y58" s="666">
        <v>0</v>
      </c>
      <c r="Z58" s="666">
        <v>0</v>
      </c>
    </row>
    <row r="59" spans="1:26">
      <c r="A59" t="s">
        <v>76</v>
      </c>
      <c r="B59" s="424" t="s">
        <v>250</v>
      </c>
      <c r="C59" s="34"/>
      <c r="D59" s="21"/>
      <c r="E59" s="21"/>
      <c r="F59" s="21"/>
      <c r="G59" s="21"/>
      <c r="H59" s="21"/>
      <c r="I59" s="21"/>
      <c r="J59" s="21"/>
      <c r="K59" s="425"/>
      <c r="L59" s="425"/>
      <c r="M59" s="273"/>
      <c r="N59" s="273"/>
      <c r="O59" s="425"/>
      <c r="P59" s="425"/>
      <c r="Q59" s="665"/>
      <c r="R59" s="665"/>
      <c r="S59" s="665"/>
      <c r="T59" s="665"/>
      <c r="U59" s="665"/>
      <c r="V59" s="665"/>
      <c r="W59" s="665"/>
      <c r="X59" s="666"/>
      <c r="Y59" s="666"/>
      <c r="Z59" s="666"/>
    </row>
    <row r="60" spans="1:26">
      <c r="A60" t="s">
        <v>76</v>
      </c>
      <c r="B60" s="424" t="s">
        <v>251</v>
      </c>
      <c r="C60" s="34"/>
      <c r="D60" s="425">
        <v>-43323000000</v>
      </c>
      <c r="E60" s="425">
        <v>-46600000000</v>
      </c>
      <c r="F60" s="21">
        <v>-41400000000</v>
      </c>
      <c r="G60" s="425">
        <v>-30900000000</v>
      </c>
      <c r="H60" s="425">
        <v>-39200000000</v>
      </c>
      <c r="I60" s="425">
        <v>-30100000000</v>
      </c>
      <c r="J60" s="21">
        <v>-28900000000</v>
      </c>
      <c r="K60" s="21">
        <v>-37400000000</v>
      </c>
      <c r="L60" s="21">
        <v>-60900000000</v>
      </c>
      <c r="M60" s="273">
        <v>-77200000000</v>
      </c>
      <c r="N60" s="273">
        <v>-38000000000</v>
      </c>
      <c r="O60" s="425">
        <v>-45700000000</v>
      </c>
      <c r="P60" s="425">
        <v>-45900000000</v>
      </c>
      <c r="Q60" s="665">
        <v>-70400000000</v>
      </c>
      <c r="R60" s="665">
        <v>-82100000000</v>
      </c>
      <c r="S60" s="665">
        <v>-65500000000</v>
      </c>
      <c r="T60" s="665">
        <v>-33299999999.999996</v>
      </c>
      <c r="U60" s="665">
        <v>-30800000000</v>
      </c>
      <c r="V60" s="665">
        <v>-31200000000</v>
      </c>
      <c r="W60" s="665">
        <v>-32100000000</v>
      </c>
      <c r="X60" s="666">
        <v>-30500000000</v>
      </c>
      <c r="Y60" s="666">
        <v>-35600000000</v>
      </c>
      <c r="Z60" s="666">
        <v>-42500000000</v>
      </c>
    </row>
    <row r="61" spans="1:26" s="9" customFormat="1">
      <c r="A61" s="55" t="s">
        <v>115</v>
      </c>
      <c r="B61" s="437" t="s">
        <v>115</v>
      </c>
      <c r="C61" s="55" t="s">
        <v>35</v>
      </c>
      <c r="D61" s="423">
        <v>43322000000</v>
      </c>
      <c r="E61" s="423">
        <v>46600000000</v>
      </c>
      <c r="F61" s="292">
        <v>41400000000</v>
      </c>
      <c r="G61" s="423">
        <v>30900000000</v>
      </c>
      <c r="H61" s="423">
        <v>39200000000</v>
      </c>
      <c r="I61" s="423">
        <v>30100000000</v>
      </c>
      <c r="J61" s="292">
        <v>28900000000</v>
      </c>
      <c r="K61" s="292">
        <v>37400000000</v>
      </c>
      <c r="L61" s="292">
        <f>L62+L70+L76</f>
        <v>59900000000</v>
      </c>
      <c r="M61" s="324">
        <v>77200000000</v>
      </c>
      <c r="N61" s="324">
        <v>38000000000</v>
      </c>
      <c r="O61" s="423">
        <v>45700000000</v>
      </c>
      <c r="P61" s="423">
        <v>45900000000</v>
      </c>
      <c r="Q61" s="662">
        <v>70400000000</v>
      </c>
      <c r="R61" s="662">
        <v>82100000000</v>
      </c>
      <c r="S61" s="662">
        <v>65500000000</v>
      </c>
      <c r="T61" s="662">
        <v>33299999999.999996</v>
      </c>
      <c r="U61" s="662">
        <f>U62+U70</f>
        <v>28700000000</v>
      </c>
      <c r="V61" s="662">
        <f t="shared" ref="V61:Z61" si="5">V62+V70</f>
        <v>29100000000</v>
      </c>
      <c r="W61" s="662">
        <f t="shared" si="5"/>
        <v>37600000000</v>
      </c>
      <c r="X61" s="662">
        <f t="shared" si="5"/>
        <v>16200000000</v>
      </c>
      <c r="Y61" s="662">
        <f t="shared" si="5"/>
        <v>40300000000</v>
      </c>
      <c r="Z61" s="662">
        <f t="shared" si="5"/>
        <v>37400000000</v>
      </c>
    </row>
    <row r="62" spans="1:26">
      <c r="A62" s="58" t="s">
        <v>120</v>
      </c>
      <c r="B62" s="434" t="s">
        <v>209</v>
      </c>
      <c r="C62" s="58" t="s">
        <v>252</v>
      </c>
      <c r="D62" s="425">
        <v>25986000000</v>
      </c>
      <c r="E62" s="425">
        <v>31102000000</v>
      </c>
      <c r="F62" s="21">
        <v>20800000000</v>
      </c>
      <c r="G62" s="425">
        <v>20900000000</v>
      </c>
      <c r="H62" s="425">
        <v>31900000000</v>
      </c>
      <c r="I62" s="425">
        <v>23300000000</v>
      </c>
      <c r="J62" s="21">
        <v>23500000000</v>
      </c>
      <c r="K62" s="21">
        <v>32100000000</v>
      </c>
      <c r="L62" s="21">
        <f>L63+L64</f>
        <v>20900000000</v>
      </c>
      <c r="M62" s="273">
        <v>78000000000</v>
      </c>
      <c r="N62" s="273">
        <v>-5500000000</v>
      </c>
      <c r="O62" s="425">
        <v>26100000000</v>
      </c>
      <c r="P62" s="425">
        <v>26500000000</v>
      </c>
      <c r="Q62" s="665">
        <v>59600000000</v>
      </c>
      <c r="R62" s="665">
        <v>47500000000</v>
      </c>
      <c r="S62" s="665">
        <v>-18000000000</v>
      </c>
      <c r="T62" s="665">
        <v>13900000000</v>
      </c>
      <c r="U62" s="665">
        <f>U63+U64+U68+U69</f>
        <v>-28500000000</v>
      </c>
      <c r="V62" s="665">
        <f t="shared" ref="V62:Z62" si="6">V63+V64+V68+V69</f>
        <v>-62100000000</v>
      </c>
      <c r="W62" s="665">
        <f t="shared" si="6"/>
        <v>20200000000</v>
      </c>
      <c r="X62" s="665">
        <f t="shared" si="6"/>
        <v>-22200000000</v>
      </c>
      <c r="Y62" s="665">
        <f t="shared" si="6"/>
        <v>35600000000</v>
      </c>
      <c r="Z62" s="665">
        <f t="shared" si="6"/>
        <v>34800000000</v>
      </c>
    </row>
    <row r="63" spans="1:26">
      <c r="A63" s="428" t="s">
        <v>253</v>
      </c>
      <c r="B63" s="428" t="s">
        <v>254</v>
      </c>
      <c r="C63" s="58" t="s">
        <v>124</v>
      </c>
      <c r="D63" s="425">
        <v>8975000000</v>
      </c>
      <c r="E63" s="425">
        <v>12683000000</v>
      </c>
      <c r="F63" s="21">
        <v>500000000</v>
      </c>
      <c r="G63" s="425">
        <v>900000000</v>
      </c>
      <c r="H63" s="425">
        <v>14400000000</v>
      </c>
      <c r="I63" s="425">
        <v>900000000</v>
      </c>
      <c r="J63" s="21">
        <v>2800000000</v>
      </c>
      <c r="K63" s="21">
        <v>15100000000</v>
      </c>
      <c r="L63" s="21">
        <v>5500000000</v>
      </c>
      <c r="M63" s="273">
        <v>30700000000</v>
      </c>
      <c r="N63" s="273">
        <v>4500000000</v>
      </c>
      <c r="O63" s="425">
        <v>400000000</v>
      </c>
      <c r="P63" s="425">
        <v>1200000000</v>
      </c>
      <c r="Q63" s="665">
        <v>16700000000</v>
      </c>
      <c r="R63" s="665">
        <v>0</v>
      </c>
      <c r="S63" s="665">
        <v>900000000</v>
      </c>
      <c r="T63" s="665">
        <v>2800000000</v>
      </c>
      <c r="U63" s="665">
        <v>400000000</v>
      </c>
      <c r="V63" s="665">
        <v>0</v>
      </c>
      <c r="W63" s="665">
        <v>0</v>
      </c>
      <c r="X63" s="666">
        <v>0</v>
      </c>
      <c r="Y63" s="666">
        <v>0</v>
      </c>
      <c r="Z63" s="666">
        <v>0</v>
      </c>
    </row>
    <row r="64" spans="1:26">
      <c r="A64" s="428" t="s">
        <v>255</v>
      </c>
      <c r="B64" s="428" t="s">
        <v>256</v>
      </c>
      <c r="C64" s="58" t="s">
        <v>124</v>
      </c>
      <c r="D64" s="425">
        <v>17012000000</v>
      </c>
      <c r="E64" s="425">
        <v>18419000000</v>
      </c>
      <c r="F64" s="21">
        <v>20400000000</v>
      </c>
      <c r="G64" s="425">
        <v>20000000000</v>
      </c>
      <c r="H64" s="425">
        <v>17600000000</v>
      </c>
      <c r="I64" s="425">
        <v>22400000000</v>
      </c>
      <c r="J64" s="21">
        <v>20700000000</v>
      </c>
      <c r="K64" s="21">
        <v>17000000000</v>
      </c>
      <c r="L64" s="21">
        <v>15400000000</v>
      </c>
      <c r="M64" s="273">
        <v>45100000000</v>
      </c>
      <c r="N64" s="273">
        <v>-11400000000</v>
      </c>
      <c r="O64" s="425">
        <v>28200000000</v>
      </c>
      <c r="P64" s="425">
        <v>24800000000</v>
      </c>
      <c r="Q64" s="665">
        <v>46300000000</v>
      </c>
      <c r="R64" s="665">
        <v>45000000000</v>
      </c>
      <c r="S64" s="665">
        <v>-12600000000</v>
      </c>
      <c r="T64" s="665">
        <v>10600000000</v>
      </c>
      <c r="U64" s="665">
        <v>-8800000000</v>
      </c>
      <c r="V64" s="665">
        <v>-14000000000</v>
      </c>
      <c r="W64" s="665">
        <v>9000000000</v>
      </c>
      <c r="X64" s="666">
        <v>6400000000</v>
      </c>
      <c r="Y64" s="666">
        <v>26200000000</v>
      </c>
      <c r="Z64" s="666">
        <v>44800000000</v>
      </c>
    </row>
    <row r="65" spans="1:26">
      <c r="A65" s="651" t="s">
        <v>257</v>
      </c>
      <c r="B65" s="651" t="s">
        <v>257</v>
      </c>
      <c r="C65" s="633"/>
      <c r="D65" s="652"/>
      <c r="E65" s="652"/>
      <c r="F65" s="653"/>
      <c r="G65" s="652"/>
      <c r="H65" s="652"/>
      <c r="I65" s="652"/>
      <c r="J65" s="653"/>
      <c r="K65" s="653"/>
      <c r="L65" s="653"/>
      <c r="M65" s="654"/>
      <c r="N65" s="654"/>
      <c r="O65" s="652"/>
      <c r="P65" s="652"/>
      <c r="Q65" s="667">
        <v>454000000000</v>
      </c>
      <c r="R65" s="667">
        <v>462600000000</v>
      </c>
      <c r="S65" s="667">
        <v>445500000000</v>
      </c>
      <c r="T65" s="667">
        <v>372100000000</v>
      </c>
      <c r="U65" s="667">
        <v>332100000000</v>
      </c>
      <c r="V65" s="667">
        <v>331000000000</v>
      </c>
      <c r="W65" s="667">
        <v>360900000000</v>
      </c>
      <c r="X65" s="668">
        <v>302800000000</v>
      </c>
      <c r="Y65" s="668">
        <v>369000000000</v>
      </c>
      <c r="Z65" s="668">
        <v>428600000000</v>
      </c>
    </row>
    <row r="66" spans="1:26">
      <c r="A66" s="651" t="s">
        <v>258</v>
      </c>
      <c r="B66" s="651" t="s">
        <v>258</v>
      </c>
      <c r="C66" s="633"/>
      <c r="D66" s="652"/>
      <c r="E66" s="652"/>
      <c r="F66" s="653"/>
      <c r="G66" s="652"/>
      <c r="H66" s="652"/>
      <c r="I66" s="652"/>
      <c r="J66" s="653"/>
      <c r="K66" s="653"/>
      <c r="L66" s="653"/>
      <c r="M66" s="654"/>
      <c r="N66" s="654"/>
      <c r="O66" s="652"/>
      <c r="P66" s="652"/>
      <c r="Q66" s="667">
        <v>407700000000</v>
      </c>
      <c r="R66" s="667">
        <v>417700000000</v>
      </c>
      <c r="S66" s="667">
        <v>458200000000</v>
      </c>
      <c r="T66" s="667">
        <v>361500000000</v>
      </c>
      <c r="U66" s="667">
        <v>340900000000</v>
      </c>
      <c r="V66" s="667">
        <v>345100000000</v>
      </c>
      <c r="W66" s="667">
        <v>351900000000</v>
      </c>
      <c r="X66" s="668">
        <v>296400000000</v>
      </c>
      <c r="Y66" s="668">
        <v>342800000000</v>
      </c>
      <c r="Z66" s="668">
        <v>383800000000</v>
      </c>
    </row>
    <row r="67" spans="1:26">
      <c r="A67" t="s">
        <v>76</v>
      </c>
      <c r="B67" s="428" t="s">
        <v>259</v>
      </c>
      <c r="C67" s="34"/>
      <c r="D67" s="21"/>
      <c r="E67" s="21"/>
      <c r="F67" s="21"/>
      <c r="G67" s="21"/>
      <c r="H67" s="21"/>
      <c r="I67" s="21"/>
      <c r="J67" s="21"/>
      <c r="K67" s="21"/>
      <c r="L67" s="21"/>
      <c r="M67" s="273"/>
      <c r="N67" s="273"/>
      <c r="O67" s="425"/>
      <c r="P67" s="425"/>
      <c r="Q67" s="665"/>
      <c r="R67" s="665"/>
      <c r="S67" s="665"/>
      <c r="T67" s="665"/>
      <c r="U67" s="665"/>
      <c r="V67" s="665"/>
      <c r="W67" s="665"/>
      <c r="X67" s="666"/>
      <c r="Y67" s="666"/>
      <c r="Z67" s="666"/>
    </row>
    <row r="68" spans="1:26">
      <c r="A68" s="651" t="s">
        <v>260</v>
      </c>
      <c r="B68" s="651" t="s">
        <v>260</v>
      </c>
      <c r="C68" s="633" t="s">
        <v>124</v>
      </c>
      <c r="D68" s="21"/>
      <c r="E68" s="21"/>
      <c r="F68" s="21"/>
      <c r="G68" s="21"/>
      <c r="H68" s="21"/>
      <c r="I68" s="21"/>
      <c r="J68" s="21"/>
      <c r="K68" s="21"/>
      <c r="L68" s="21"/>
      <c r="M68" s="273"/>
      <c r="N68" s="273"/>
      <c r="O68" s="425"/>
      <c r="P68" s="425"/>
      <c r="Q68" s="665"/>
      <c r="R68" s="665">
        <v>1500000000</v>
      </c>
      <c r="S68" s="665">
        <v>6900000000</v>
      </c>
      <c r="T68" s="665">
        <v>-4300000000</v>
      </c>
      <c r="U68" s="665">
        <v>-2100000000</v>
      </c>
      <c r="V68" s="665">
        <v>-32200000000.000004</v>
      </c>
      <c r="W68" s="665">
        <v>5600000000</v>
      </c>
      <c r="X68" s="666">
        <v>-14300000000</v>
      </c>
      <c r="Y68" s="666">
        <v>4700000000</v>
      </c>
      <c r="Z68" s="666">
        <v>-5000000000</v>
      </c>
    </row>
    <row r="69" spans="1:26">
      <c r="A69" s="427" t="s">
        <v>50</v>
      </c>
      <c r="B69" s="427" t="s">
        <v>50</v>
      </c>
      <c r="C69" s="58" t="s">
        <v>124</v>
      </c>
      <c r="D69" s="21"/>
      <c r="E69" s="21"/>
      <c r="F69" s="21"/>
      <c r="G69" s="21"/>
      <c r="H69" s="21"/>
      <c r="I69" s="21"/>
      <c r="J69" s="21"/>
      <c r="K69" s="21"/>
      <c r="L69" s="21"/>
      <c r="M69" s="273">
        <v>2200000000</v>
      </c>
      <c r="N69" s="273">
        <v>1500000000</v>
      </c>
      <c r="O69" s="425">
        <v>-2500000000</v>
      </c>
      <c r="P69" s="425">
        <v>500000000</v>
      </c>
      <c r="Q69" s="665">
        <v>-3400000000</v>
      </c>
      <c r="R69" s="665">
        <v>1000000000</v>
      </c>
      <c r="S69" s="665">
        <v>-13100000000</v>
      </c>
      <c r="T69" s="665">
        <v>4800000000</v>
      </c>
      <c r="U69" s="665">
        <v>-18000000000</v>
      </c>
      <c r="V69" s="665">
        <v>-15900000000</v>
      </c>
      <c r="W69" s="665">
        <v>5600000000</v>
      </c>
      <c r="X69" s="666">
        <v>-14300000000</v>
      </c>
      <c r="Y69" s="666">
        <v>4700000000</v>
      </c>
      <c r="Z69" s="666">
        <v>-5000000000</v>
      </c>
    </row>
    <row r="70" spans="1:26">
      <c r="A70" s="58" t="s">
        <v>261</v>
      </c>
      <c r="B70" s="427" t="s">
        <v>212</v>
      </c>
      <c r="C70" s="58" t="s">
        <v>252</v>
      </c>
      <c r="D70" s="425">
        <v>17336000000</v>
      </c>
      <c r="E70" s="425">
        <v>15498000000</v>
      </c>
      <c r="F70" s="21">
        <v>20600000000</v>
      </c>
      <c r="G70" s="425">
        <v>10000000000</v>
      </c>
      <c r="H70" s="425">
        <v>7300000000</v>
      </c>
      <c r="I70" s="425">
        <v>6800000000</v>
      </c>
      <c r="J70" s="21">
        <v>5400000000</v>
      </c>
      <c r="K70" s="21">
        <v>5300000000</v>
      </c>
      <c r="L70" s="21">
        <v>39000000000</v>
      </c>
      <c r="M70" s="273">
        <v>4700000000</v>
      </c>
      <c r="N70" s="273">
        <v>47600000000</v>
      </c>
      <c r="O70" s="425">
        <v>19700000000</v>
      </c>
      <c r="P70" s="425">
        <v>19400000000</v>
      </c>
      <c r="Q70" s="665">
        <v>10800000000</v>
      </c>
      <c r="R70" s="665">
        <v>34299999999.999996</v>
      </c>
      <c r="S70" s="665">
        <v>71000000000</v>
      </c>
      <c r="T70" s="665">
        <v>19500000000</v>
      </c>
      <c r="U70" s="665">
        <v>57200000000</v>
      </c>
      <c r="V70" s="665">
        <v>91200000000</v>
      </c>
      <c r="W70" s="665">
        <v>17400000000</v>
      </c>
      <c r="X70" s="666">
        <v>38400000000</v>
      </c>
      <c r="Y70" s="666">
        <v>4700000000</v>
      </c>
      <c r="Z70" s="666">
        <v>2600000000</v>
      </c>
    </row>
    <row r="71" spans="1:26">
      <c r="A71" s="655" t="s">
        <v>257</v>
      </c>
      <c r="B71" s="656" t="s">
        <v>257</v>
      </c>
      <c r="C71" s="633"/>
      <c r="D71" s="652"/>
      <c r="E71" s="652"/>
      <c r="F71" s="653"/>
      <c r="G71" s="652"/>
      <c r="H71" s="652"/>
      <c r="I71" s="652"/>
      <c r="J71" s="653"/>
      <c r="K71" s="653"/>
      <c r="L71" s="653"/>
      <c r="M71" s="654"/>
      <c r="N71" s="654"/>
      <c r="O71" s="652"/>
      <c r="P71" s="652"/>
      <c r="Q71" s="667">
        <v>22400000000</v>
      </c>
      <c r="R71" s="667">
        <v>53900000000</v>
      </c>
      <c r="S71" s="667">
        <v>135699999999.99998</v>
      </c>
      <c r="T71" s="667">
        <v>41900000000</v>
      </c>
      <c r="U71" s="667">
        <v>85200000000</v>
      </c>
      <c r="V71" s="667">
        <v>124000000000</v>
      </c>
      <c r="W71" s="667">
        <v>54000000000</v>
      </c>
      <c r="X71" s="668">
        <v>139900000000</v>
      </c>
      <c r="Y71" s="668">
        <v>48800000000</v>
      </c>
      <c r="Z71" s="668">
        <v>50200000000</v>
      </c>
    </row>
    <row r="72" spans="1:26">
      <c r="A72" s="655" t="s">
        <v>258</v>
      </c>
      <c r="B72" s="656" t="s">
        <v>258</v>
      </c>
      <c r="C72" s="633"/>
      <c r="D72" s="652"/>
      <c r="E72" s="652"/>
      <c r="F72" s="653"/>
      <c r="G72" s="652"/>
      <c r="H72" s="652"/>
      <c r="I72" s="652"/>
      <c r="J72" s="653"/>
      <c r="K72" s="653"/>
      <c r="L72" s="653"/>
      <c r="M72" s="654"/>
      <c r="N72" s="654"/>
      <c r="O72" s="652"/>
      <c r="P72" s="652"/>
      <c r="Q72" s="667">
        <v>12800000000</v>
      </c>
      <c r="R72" s="667">
        <v>17800000000</v>
      </c>
      <c r="S72" s="667">
        <v>61700000000</v>
      </c>
      <c r="T72" s="667">
        <v>22000000000</v>
      </c>
      <c r="U72" s="667">
        <v>28000000000</v>
      </c>
      <c r="V72" s="667">
        <v>32799999999.999996</v>
      </c>
      <c r="W72" s="667">
        <v>36500000000</v>
      </c>
      <c r="X72" s="668">
        <v>101500000000</v>
      </c>
      <c r="Y72" s="668">
        <v>44100000000</v>
      </c>
      <c r="Z72" s="668">
        <v>47600000000</v>
      </c>
    </row>
    <row r="73" spans="1:26">
      <c r="A73" s="428" t="s">
        <v>262</v>
      </c>
      <c r="B73" s="428" t="s">
        <v>263</v>
      </c>
      <c r="C73" s="58" t="s">
        <v>264</v>
      </c>
      <c r="D73" s="425">
        <v>5316000000</v>
      </c>
      <c r="E73" s="425">
        <v>846000000</v>
      </c>
      <c r="F73" s="21"/>
      <c r="G73" s="425"/>
      <c r="H73" s="425"/>
      <c r="I73" s="425"/>
      <c r="J73" s="425"/>
      <c r="K73" s="425"/>
      <c r="L73" s="425"/>
      <c r="M73" s="273"/>
      <c r="N73" s="273"/>
      <c r="O73" s="425"/>
      <c r="P73" s="425"/>
      <c r="Q73" s="665"/>
      <c r="R73" s="665"/>
      <c r="S73" s="665"/>
      <c r="T73" s="665"/>
      <c r="U73" s="665"/>
      <c r="V73" s="665"/>
      <c r="W73" s="665"/>
      <c r="X73" s="666"/>
      <c r="Y73" s="666"/>
      <c r="Z73" s="650"/>
    </row>
    <row r="74" spans="1:26">
      <c r="A74" s="428" t="s">
        <v>265</v>
      </c>
      <c r="B74" s="428" t="s">
        <v>266</v>
      </c>
      <c r="C74" s="58" t="s">
        <v>264</v>
      </c>
      <c r="D74" s="425">
        <v>13019000000</v>
      </c>
      <c r="E74" s="425">
        <v>15470000000</v>
      </c>
      <c r="F74" s="21"/>
      <c r="G74" s="425"/>
      <c r="H74" s="425"/>
      <c r="I74" s="425"/>
      <c r="J74" s="425"/>
      <c r="K74" s="425"/>
      <c r="L74" s="425"/>
      <c r="M74" s="273"/>
      <c r="N74" s="273"/>
      <c r="O74" s="425"/>
      <c r="P74" s="425"/>
      <c r="Q74" s="665"/>
      <c r="R74" s="665"/>
      <c r="S74" s="665"/>
      <c r="T74" s="665"/>
      <c r="U74" s="665"/>
      <c r="V74" s="665"/>
      <c r="W74" s="665"/>
      <c r="X74" s="666"/>
      <c r="Y74" s="666"/>
      <c r="Z74" s="650"/>
    </row>
    <row r="75" spans="1:26">
      <c r="A75" s="428" t="s">
        <v>267</v>
      </c>
      <c r="B75" s="428" t="s">
        <v>268</v>
      </c>
      <c r="C75" s="58" t="s">
        <v>264</v>
      </c>
      <c r="D75" s="425">
        <v>-999000000</v>
      </c>
      <c r="E75" s="425">
        <v>-818000000</v>
      </c>
      <c r="F75" s="21"/>
      <c r="G75" s="425"/>
      <c r="H75" s="425"/>
      <c r="I75" s="425"/>
      <c r="J75" s="425"/>
      <c r="K75" s="425"/>
      <c r="L75" s="425"/>
      <c r="M75" s="273"/>
      <c r="N75" s="273"/>
      <c r="O75" s="425"/>
      <c r="P75" s="425"/>
      <c r="Q75" s="665"/>
      <c r="R75" s="665"/>
      <c r="S75" s="665"/>
      <c r="T75" s="665"/>
      <c r="U75" s="665"/>
      <c r="V75" s="665"/>
      <c r="W75" s="665"/>
      <c r="X75" s="666"/>
      <c r="Y75" s="666"/>
      <c r="Z75" s="650"/>
    </row>
    <row r="76" spans="1:26">
      <c r="A76" t="s">
        <v>7168</v>
      </c>
      <c r="B76" s="426" t="s">
        <v>269</v>
      </c>
      <c r="C76" s="58" t="s">
        <v>252</v>
      </c>
      <c r="D76" s="21"/>
      <c r="E76" s="21"/>
      <c r="F76" s="21"/>
      <c r="G76" s="425"/>
      <c r="H76" s="425"/>
      <c r="I76" s="425"/>
      <c r="J76" s="425"/>
      <c r="K76" s="425"/>
      <c r="L76" s="425"/>
      <c r="M76" s="273">
        <v>-5500000000</v>
      </c>
      <c r="N76" s="273">
        <v>-4099999999.9999995</v>
      </c>
      <c r="O76" s="425">
        <v>0</v>
      </c>
      <c r="P76" s="425">
        <v>0</v>
      </c>
      <c r="Q76" s="425">
        <v>0</v>
      </c>
      <c r="R76" s="536">
        <v>300000000</v>
      </c>
      <c r="S76" s="425">
        <v>12500000000</v>
      </c>
      <c r="T76" s="425">
        <v>-100000000</v>
      </c>
      <c r="U76" s="425">
        <v>0</v>
      </c>
      <c r="V76" s="425">
        <v>0</v>
      </c>
      <c r="W76" s="425">
        <v>0</v>
      </c>
      <c r="X76" s="538">
        <v>0</v>
      </c>
      <c r="Y76" s="538">
        <v>0</v>
      </c>
      <c r="Z76">
        <v>0</v>
      </c>
    </row>
    <row r="77" spans="1:26">
      <c r="B77" s="424" t="s">
        <v>270</v>
      </c>
      <c r="C77" s="34"/>
      <c r="D77" s="21"/>
      <c r="E77" s="21"/>
      <c r="F77" s="21"/>
      <c r="G77" s="425"/>
      <c r="H77" s="425"/>
      <c r="I77" s="425"/>
      <c r="J77" s="425"/>
      <c r="K77" s="425"/>
      <c r="L77" s="425"/>
      <c r="M77" s="273"/>
      <c r="N77" s="273"/>
      <c r="O77" s="425"/>
      <c r="P77" s="425"/>
      <c r="Q77" s="425"/>
      <c r="R77" s="425"/>
      <c r="S77" s="425">
        <v>0</v>
      </c>
      <c r="T77" s="425">
        <v>0</v>
      </c>
      <c r="U77" s="425">
        <v>0</v>
      </c>
      <c r="V77" s="425">
        <v>0</v>
      </c>
      <c r="W77" s="425">
        <v>0</v>
      </c>
      <c r="X77" s="538">
        <v>0</v>
      </c>
      <c r="Y77" s="538">
        <v>0</v>
      </c>
    </row>
    <row r="78" spans="1:26">
      <c r="B78" s="424" t="s">
        <v>271</v>
      </c>
      <c r="C78" s="34"/>
      <c r="D78" s="21"/>
      <c r="E78" s="21"/>
      <c r="F78" s="21"/>
      <c r="G78" s="425"/>
      <c r="H78" s="425"/>
      <c r="I78" s="425"/>
      <c r="J78" s="425"/>
      <c r="K78" s="425"/>
      <c r="L78" s="425"/>
      <c r="M78" s="273"/>
      <c r="N78" s="273"/>
      <c r="O78" s="425"/>
      <c r="P78" s="425"/>
      <c r="Q78" s="425"/>
      <c r="R78" s="425"/>
      <c r="S78" s="425">
        <v>0</v>
      </c>
      <c r="T78" s="425">
        <v>0</v>
      </c>
      <c r="U78" s="425"/>
      <c r="V78" s="425"/>
      <c r="W78" s="425"/>
      <c r="X78" s="537"/>
      <c r="Y78" s="537"/>
    </row>
    <row r="79" spans="1:26">
      <c r="B79" s="424" t="s">
        <v>272</v>
      </c>
      <c r="C79" s="34"/>
      <c r="D79" s="21"/>
      <c r="E79" s="21"/>
      <c r="F79" s="21"/>
      <c r="G79" s="425"/>
      <c r="H79" s="425"/>
      <c r="I79" s="425"/>
      <c r="J79" s="425"/>
      <c r="K79" s="425"/>
      <c r="L79" s="425"/>
      <c r="M79" s="273"/>
      <c r="N79" s="273"/>
      <c r="O79" s="425"/>
      <c r="P79" s="425"/>
      <c r="Q79" s="425"/>
      <c r="R79" s="425"/>
      <c r="S79" s="425">
        <v>0</v>
      </c>
      <c r="T79" s="425">
        <v>0</v>
      </c>
      <c r="U79" s="425"/>
      <c r="V79" s="425"/>
      <c r="W79" s="425"/>
      <c r="X79" s="537"/>
      <c r="Y79" s="537"/>
    </row>
    <row r="80" spans="1:26">
      <c r="B80" s="438" t="s">
        <v>273</v>
      </c>
      <c r="C80" s="34"/>
      <c r="D80" s="21"/>
      <c r="E80" s="21"/>
      <c r="F80" s="21"/>
      <c r="G80" s="425"/>
      <c r="H80" s="425"/>
      <c r="I80" s="425"/>
      <c r="J80" s="425"/>
      <c r="K80" s="425"/>
      <c r="L80" s="425"/>
      <c r="M80" s="273"/>
      <c r="N80" s="273"/>
      <c r="O80" s="425"/>
      <c r="P80" s="425"/>
      <c r="Q80" s="425"/>
      <c r="R80" s="425"/>
      <c r="S80" s="425">
        <v>0</v>
      </c>
      <c r="T80" s="425">
        <v>0</v>
      </c>
      <c r="U80" s="425"/>
      <c r="V80" s="425"/>
      <c r="W80" s="425"/>
      <c r="X80" s="537"/>
      <c r="Y80" s="537"/>
    </row>
    <row r="81" spans="1:26">
      <c r="B81" s="438"/>
      <c r="C81" s="34"/>
      <c r="D81" s="21"/>
      <c r="E81" s="21"/>
      <c r="F81" s="21"/>
      <c r="G81" s="425"/>
      <c r="H81" s="425"/>
      <c r="I81" s="425"/>
      <c r="J81" s="425"/>
      <c r="K81" s="425"/>
      <c r="L81" s="425"/>
      <c r="M81" s="273"/>
      <c r="N81" s="273"/>
      <c r="O81" s="425"/>
      <c r="P81" s="425"/>
      <c r="Q81" s="425"/>
      <c r="R81" s="425"/>
      <c r="S81" s="425"/>
      <c r="T81" s="425"/>
      <c r="U81" s="425"/>
      <c r="V81" s="425"/>
      <c r="W81" s="425"/>
      <c r="X81" s="537"/>
      <c r="Y81" s="537"/>
    </row>
    <row r="82" spans="1:26">
      <c r="A82" s="644" t="s">
        <v>274</v>
      </c>
      <c r="B82" s="669" t="s">
        <v>274</v>
      </c>
      <c r="C82" s="670"/>
      <c r="D82" s="646"/>
      <c r="E82" s="646"/>
      <c r="F82" s="646"/>
      <c r="G82" s="671"/>
      <c r="H82" s="671"/>
      <c r="I82" s="671"/>
      <c r="J82" s="671"/>
      <c r="K82" s="671"/>
      <c r="L82" s="671"/>
      <c r="M82" s="672"/>
      <c r="N82" s="672"/>
      <c r="O82" s="671"/>
      <c r="P82" s="671"/>
      <c r="Q82" s="671">
        <v>0</v>
      </c>
      <c r="R82" s="671">
        <v>0</v>
      </c>
      <c r="S82" s="671">
        <v>0</v>
      </c>
      <c r="T82" s="671">
        <v>0</v>
      </c>
      <c r="U82" s="671">
        <v>0</v>
      </c>
      <c r="V82" s="671">
        <v>0</v>
      </c>
      <c r="W82" s="671">
        <v>0</v>
      </c>
      <c r="X82" s="673">
        <v>0</v>
      </c>
      <c r="Y82" s="673">
        <v>0</v>
      </c>
      <c r="Z82" s="644">
        <v>0</v>
      </c>
    </row>
    <row r="83" spans="1:26">
      <c r="A83" s="644" t="s">
        <v>275</v>
      </c>
      <c r="B83" s="669" t="s">
        <v>275</v>
      </c>
      <c r="C83" s="670"/>
      <c r="D83" s="646"/>
      <c r="E83" s="646"/>
      <c r="F83" s="646"/>
      <c r="G83" s="671"/>
      <c r="H83" s="671"/>
      <c r="I83" s="671"/>
      <c r="J83" s="671"/>
      <c r="K83" s="671"/>
      <c r="L83" s="671"/>
      <c r="M83" s="672"/>
      <c r="N83" s="672"/>
      <c r="O83" s="671"/>
      <c r="P83" s="671"/>
      <c r="Q83" s="671">
        <v>-27100000000</v>
      </c>
      <c r="R83" s="671">
        <v>-42000000000</v>
      </c>
      <c r="S83" s="671">
        <v>-26900000000</v>
      </c>
      <c r="T83" s="671">
        <v>2900000000</v>
      </c>
      <c r="U83" s="671">
        <v>1700000000</v>
      </c>
      <c r="V83" s="671">
        <v>5900000000</v>
      </c>
      <c r="W83" s="671">
        <v>11000000000</v>
      </c>
      <c r="X83" s="673">
        <v>17100000000.000002</v>
      </c>
      <c r="Y83" s="673">
        <v>17900000000</v>
      </c>
      <c r="Z83" s="644">
        <v>17400000000</v>
      </c>
    </row>
    <row r="84" spans="1:26">
      <c r="A84" s="644" t="s">
        <v>276</v>
      </c>
      <c r="B84" s="669" t="s">
        <v>276</v>
      </c>
      <c r="C84" s="670"/>
      <c r="D84" s="646"/>
      <c r="E84" s="646"/>
      <c r="F84" s="646"/>
      <c r="G84" s="671"/>
      <c r="H84" s="671"/>
      <c r="I84" s="671"/>
      <c r="J84" s="671"/>
      <c r="K84" s="671"/>
      <c r="L84" s="671"/>
      <c r="M84" s="672"/>
      <c r="N84" s="672"/>
      <c r="O84" s="671"/>
      <c r="P84" s="671"/>
      <c r="Q84" s="671">
        <v>-23600000000</v>
      </c>
      <c r="R84" s="671">
        <v>-1600000000</v>
      </c>
      <c r="S84" s="671">
        <v>-6200000000</v>
      </c>
      <c r="T84" s="671">
        <v>8000000000</v>
      </c>
      <c r="U84" s="671">
        <v>7800000000</v>
      </c>
      <c r="V84" s="671">
        <v>8300000000.000001</v>
      </c>
      <c r="W84" s="671">
        <v>12300000000</v>
      </c>
      <c r="X84" s="673">
        <v>17300000000</v>
      </c>
      <c r="Y84" s="673">
        <v>17400000000</v>
      </c>
      <c r="Z84" s="644">
        <v>16200000000</v>
      </c>
    </row>
    <row r="85" spans="1:26">
      <c r="A85" s="644" t="s">
        <v>277</v>
      </c>
      <c r="B85" s="669" t="s">
        <v>277</v>
      </c>
      <c r="C85" s="670"/>
      <c r="D85" s="646"/>
      <c r="E85" s="646"/>
      <c r="F85" s="646"/>
      <c r="G85" s="671"/>
      <c r="H85" s="671"/>
      <c r="I85" s="671"/>
      <c r="J85" s="671"/>
      <c r="K85" s="671"/>
      <c r="L85" s="671"/>
      <c r="M85" s="672"/>
      <c r="N85" s="672"/>
      <c r="O85" s="671"/>
      <c r="P85" s="671"/>
      <c r="Q85" s="671">
        <v>950300000000</v>
      </c>
      <c r="R85" s="671">
        <v>1004500000000</v>
      </c>
      <c r="S85" s="671">
        <v>1057300000000</v>
      </c>
      <c r="T85" s="671">
        <v>1079700000000</v>
      </c>
      <c r="U85" s="671">
        <v>1117000000000</v>
      </c>
      <c r="V85" s="671">
        <v>1182000000000</v>
      </c>
      <c r="W85" s="671">
        <v>1211300000000</v>
      </c>
      <c r="X85" s="673">
        <v>1255400000000</v>
      </c>
      <c r="Y85" s="673">
        <v>1287700000000</v>
      </c>
      <c r="Z85" s="644">
        <v>1338000000000</v>
      </c>
    </row>
    <row r="86" spans="1:26">
      <c r="A86" s="644" t="s">
        <v>278</v>
      </c>
      <c r="B86" s="669" t="s">
        <v>278</v>
      </c>
      <c r="C86" s="670"/>
      <c r="D86" s="646"/>
      <c r="E86" s="646"/>
      <c r="F86" s="646"/>
      <c r="G86" s="671"/>
      <c r="H86" s="671"/>
      <c r="I86" s="671"/>
      <c r="J86" s="671"/>
      <c r="K86" s="671"/>
      <c r="L86" s="671"/>
      <c r="M86" s="672"/>
      <c r="N86" s="672"/>
      <c r="O86" s="671"/>
      <c r="P86" s="671"/>
      <c r="Q86" s="671">
        <v>265700000000</v>
      </c>
      <c r="R86" s="671">
        <v>286600000000</v>
      </c>
      <c r="S86" s="671">
        <v>254300000000</v>
      </c>
      <c r="T86" s="671">
        <v>239700000000</v>
      </c>
      <c r="U86" s="671">
        <v>232500000000</v>
      </c>
      <c r="V86" s="671">
        <v>221800000000</v>
      </c>
      <c r="W86" s="671">
        <v>231000000000</v>
      </c>
      <c r="X86" s="673">
        <v>184700000000</v>
      </c>
      <c r="Y86" s="673">
        <v>214000000000</v>
      </c>
      <c r="Z86" s="644">
        <v>235700000000</v>
      </c>
    </row>
    <row r="87" spans="1:26">
      <c r="A87" s="644" t="s">
        <v>209</v>
      </c>
      <c r="B87" s="669" t="s">
        <v>209</v>
      </c>
      <c r="C87" s="670"/>
      <c r="D87" s="646"/>
      <c r="E87" s="646"/>
      <c r="F87" s="646"/>
      <c r="G87" s="671"/>
      <c r="H87" s="671"/>
      <c r="I87" s="671"/>
      <c r="J87" s="671"/>
      <c r="K87" s="671"/>
      <c r="L87" s="671"/>
      <c r="M87" s="672"/>
      <c r="N87" s="672"/>
      <c r="O87" s="671"/>
      <c r="P87" s="671"/>
      <c r="Q87" s="671">
        <v>586400000000</v>
      </c>
      <c r="R87" s="671">
        <v>592100000000</v>
      </c>
      <c r="S87" s="671">
        <v>566400000000</v>
      </c>
      <c r="T87" s="671">
        <v>575100000000</v>
      </c>
      <c r="U87" s="671">
        <v>551700000000</v>
      </c>
      <c r="V87" s="671">
        <v>522000000000</v>
      </c>
      <c r="W87" s="671">
        <v>529000000000</v>
      </c>
      <c r="X87" s="673">
        <v>533400000000</v>
      </c>
      <c r="Y87" s="673">
        <v>557500000000</v>
      </c>
      <c r="Z87" s="644">
        <v>601900000000</v>
      </c>
    </row>
    <row r="88" spans="1:26">
      <c r="A88" s="644" t="s">
        <v>279</v>
      </c>
      <c r="B88" s="669" t="s">
        <v>279</v>
      </c>
      <c r="C88" s="670"/>
      <c r="D88" s="646"/>
      <c r="E88" s="646"/>
      <c r="F88" s="646"/>
      <c r="G88" s="671"/>
      <c r="H88" s="671"/>
      <c r="I88" s="671"/>
      <c r="J88" s="671"/>
      <c r="K88" s="671"/>
      <c r="L88" s="671"/>
      <c r="M88" s="672"/>
      <c r="N88" s="672"/>
      <c r="O88" s="671"/>
      <c r="P88" s="671"/>
      <c r="Q88" s="671">
        <v>65200000000</v>
      </c>
      <c r="R88" s="671">
        <v>26600000000</v>
      </c>
      <c r="S88" s="671">
        <v>14100000000</v>
      </c>
      <c r="T88" s="671">
        <v>13100000000</v>
      </c>
      <c r="U88" s="671">
        <v>14400000000</v>
      </c>
      <c r="V88" s="671">
        <v>12400000000</v>
      </c>
      <c r="W88" s="671">
        <v>10400000000</v>
      </c>
      <c r="X88" s="673">
        <v>8400000000</v>
      </c>
      <c r="Y88" s="673">
        <v>6400000000</v>
      </c>
      <c r="Z88" s="644">
        <v>6000000000</v>
      </c>
    </row>
    <row r="89" spans="1:26">
      <c r="A89" s="644" t="s">
        <v>280</v>
      </c>
      <c r="B89" s="669" t="s">
        <v>280</v>
      </c>
      <c r="C89" s="670"/>
      <c r="D89" s="646"/>
      <c r="E89" s="646"/>
      <c r="F89" s="646"/>
      <c r="G89" s="671"/>
      <c r="H89" s="671"/>
      <c r="I89" s="671"/>
      <c r="J89" s="671"/>
      <c r="K89" s="671"/>
      <c r="L89" s="671"/>
      <c r="M89" s="672"/>
      <c r="N89" s="672"/>
      <c r="O89" s="671"/>
      <c r="P89" s="671"/>
      <c r="Q89" s="671">
        <v>363900000000</v>
      </c>
      <c r="R89" s="671">
        <v>412400000000</v>
      </c>
      <c r="S89" s="671">
        <v>490900000000</v>
      </c>
      <c r="T89" s="671">
        <v>504600000000</v>
      </c>
      <c r="U89" s="671">
        <v>565300000000</v>
      </c>
      <c r="V89" s="671">
        <v>660100000000</v>
      </c>
      <c r="W89" s="671">
        <v>682300000000</v>
      </c>
      <c r="X89" s="673">
        <v>722000000000</v>
      </c>
      <c r="Y89" s="673">
        <v>730200000000</v>
      </c>
      <c r="Z89" s="644">
        <v>736100000000</v>
      </c>
    </row>
    <row r="90" spans="1:26">
      <c r="A90" s="644" t="s">
        <v>281</v>
      </c>
      <c r="B90" s="669" t="s">
        <v>281</v>
      </c>
      <c r="C90" s="670"/>
      <c r="D90" s="646"/>
      <c r="E90" s="646"/>
      <c r="F90" s="646"/>
      <c r="G90" s="671"/>
      <c r="H90" s="671"/>
      <c r="I90" s="671"/>
      <c r="J90" s="671"/>
      <c r="K90" s="671"/>
      <c r="L90" s="671"/>
      <c r="M90" s="672"/>
      <c r="N90" s="672"/>
      <c r="O90" s="671"/>
      <c r="P90" s="671"/>
      <c r="Q90" s="671">
        <v>332500000000</v>
      </c>
      <c r="R90" s="671">
        <v>383900000000</v>
      </c>
      <c r="S90" s="671">
        <v>465300000000</v>
      </c>
      <c r="T90" s="671">
        <v>481400000000</v>
      </c>
      <c r="U90" s="671">
        <v>525900000000</v>
      </c>
      <c r="V90" s="671">
        <v>608200000000</v>
      </c>
      <c r="W90" s="671">
        <v>632100000000</v>
      </c>
      <c r="X90" s="673">
        <v>674900000000</v>
      </c>
      <c r="Y90" s="673">
        <v>686500000000</v>
      </c>
      <c r="Z90" s="644">
        <v>695700000000</v>
      </c>
    </row>
    <row r="91" spans="1:26">
      <c r="A91" s="644" t="s">
        <v>282</v>
      </c>
      <c r="B91" s="669" t="s">
        <v>282</v>
      </c>
      <c r="C91" s="670"/>
      <c r="D91" s="646"/>
      <c r="E91" s="646"/>
      <c r="F91" s="646"/>
      <c r="G91" s="671"/>
      <c r="H91" s="671"/>
      <c r="I91" s="671"/>
      <c r="J91" s="671"/>
      <c r="K91" s="671"/>
      <c r="L91" s="671"/>
      <c r="M91" s="672"/>
      <c r="N91" s="672"/>
      <c r="O91" s="671"/>
      <c r="P91" s="671"/>
      <c r="Q91" s="671">
        <v>31400000000</v>
      </c>
      <c r="R91" s="671">
        <v>28500000000</v>
      </c>
      <c r="S91" s="671">
        <v>25600000000</v>
      </c>
      <c r="T91" s="671">
        <v>23200000000</v>
      </c>
      <c r="U91" s="671">
        <v>39400000000</v>
      </c>
      <c r="V91" s="671">
        <v>51800000000</v>
      </c>
      <c r="W91" s="671">
        <v>50200000000</v>
      </c>
      <c r="X91" s="673">
        <v>47200000000</v>
      </c>
      <c r="Y91" s="673">
        <v>43600000000</v>
      </c>
      <c r="Z91" s="644">
        <v>40400000000</v>
      </c>
    </row>
    <row r="92" spans="1:26">
      <c r="A92" s="644" t="s">
        <v>283</v>
      </c>
      <c r="B92" s="669" t="s">
        <v>283</v>
      </c>
      <c r="C92" s="670"/>
      <c r="D92" s="646"/>
      <c r="E92" s="646"/>
      <c r="F92" s="646"/>
      <c r="G92" s="671"/>
      <c r="H92" s="671"/>
      <c r="I92" s="671"/>
      <c r="J92" s="671"/>
      <c r="K92" s="671"/>
      <c r="L92" s="671"/>
      <c r="M92" s="672"/>
      <c r="N92" s="672"/>
      <c r="O92" s="671"/>
      <c r="P92" s="671"/>
      <c r="Q92" s="671">
        <v>950300000000</v>
      </c>
      <c r="R92" s="671">
        <v>1004500000000</v>
      </c>
      <c r="S92" s="671">
        <v>1057300000000</v>
      </c>
      <c r="T92" s="671">
        <v>1079700000000</v>
      </c>
      <c r="U92" s="671">
        <v>1117000000000</v>
      </c>
      <c r="V92" s="671">
        <v>1216500000000</v>
      </c>
      <c r="W92" s="671">
        <v>1280700000000</v>
      </c>
      <c r="X92" s="673">
        <v>1359800000000</v>
      </c>
      <c r="Y92" s="673">
        <v>1427500000000</v>
      </c>
      <c r="Z92" s="644">
        <v>1478500000000</v>
      </c>
    </row>
    <row r="93" spans="1:26">
      <c r="B93" s="438"/>
      <c r="C93" s="34"/>
      <c r="D93" s="21"/>
      <c r="E93" s="21"/>
      <c r="F93" s="21"/>
      <c r="G93" s="425"/>
      <c r="H93" s="425"/>
      <c r="I93" s="425"/>
      <c r="J93" s="425"/>
      <c r="K93" s="425"/>
      <c r="L93" s="425"/>
      <c r="M93" s="273"/>
      <c r="N93" s="273"/>
      <c r="O93" s="425"/>
      <c r="P93" s="425"/>
      <c r="Q93" s="425"/>
      <c r="R93" s="425"/>
      <c r="S93" s="425"/>
      <c r="T93" s="425"/>
      <c r="U93" s="425"/>
      <c r="V93" s="425"/>
      <c r="W93" s="425"/>
      <c r="X93" s="537"/>
      <c r="Y93" s="537"/>
    </row>
    <row r="94" spans="1:26">
      <c r="B94" s="438"/>
      <c r="C94" s="34"/>
      <c r="D94" s="21"/>
      <c r="E94" s="21"/>
      <c r="F94" s="21"/>
      <c r="G94" s="425"/>
      <c r="H94" s="425"/>
      <c r="I94" s="425"/>
      <c r="J94" s="425"/>
      <c r="K94" s="425"/>
      <c r="L94" s="425"/>
      <c r="M94" s="273"/>
      <c r="N94" s="273"/>
      <c r="O94" s="425"/>
      <c r="P94" s="425"/>
      <c r="Q94" s="425"/>
      <c r="R94" s="425"/>
      <c r="S94" s="425"/>
      <c r="T94" s="425"/>
      <c r="U94" s="425"/>
      <c r="V94" s="425"/>
      <c r="W94" s="425"/>
      <c r="X94" s="537"/>
      <c r="Y94" s="537"/>
    </row>
    <row r="95" spans="1:26">
      <c r="B95" s="424"/>
      <c r="C95" s="34"/>
      <c r="D95" s="21"/>
      <c r="E95" s="21"/>
      <c r="F95" s="21"/>
      <c r="G95" s="425"/>
      <c r="H95" s="425"/>
      <c r="I95" s="425"/>
      <c r="J95" s="425"/>
      <c r="K95" s="425"/>
      <c r="L95" s="425"/>
      <c r="M95" s="273"/>
      <c r="N95" s="273"/>
      <c r="O95" s="425"/>
      <c r="P95" s="425"/>
      <c r="Q95" s="425"/>
      <c r="R95" s="425"/>
      <c r="S95" s="425"/>
      <c r="T95" s="425"/>
      <c r="U95" s="425"/>
      <c r="V95" s="425"/>
      <c r="W95" s="425"/>
      <c r="X95" s="537"/>
      <c r="Y95" s="537"/>
    </row>
    <row r="96" spans="1:26">
      <c r="B96" s="424"/>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24"/>
      <c r="C97" s="34"/>
      <c r="G97" s="439"/>
      <c r="H97" s="439"/>
      <c r="I97" s="439"/>
      <c r="J97" s="439"/>
      <c r="K97" s="439"/>
      <c r="L97" s="439"/>
      <c r="M97" s="101"/>
      <c r="N97" s="101"/>
      <c r="O97" s="424"/>
      <c r="P97" s="424"/>
      <c r="Q97" s="424"/>
      <c r="R97" s="424"/>
      <c r="S97" s="424"/>
      <c r="T97" s="424"/>
      <c r="U97" s="424"/>
      <c r="V97" s="424"/>
      <c r="W97" s="424"/>
      <c r="X97" s="537"/>
      <c r="Y97" s="537"/>
      <c r="Z97" s="537"/>
    </row>
    <row r="98" spans="2:26">
      <c r="B98" s="424" t="s">
        <v>284</v>
      </c>
      <c r="C98" s="34"/>
      <c r="D98" s="21">
        <f>D6-D7-D26</f>
        <v>0</v>
      </c>
      <c r="E98" s="21">
        <f t="shared" ref="E98:W98" si="7">E6-E7-E26</f>
        <v>0</v>
      </c>
      <c r="F98" s="21">
        <f t="shared" si="7"/>
        <v>0</v>
      </c>
      <c r="G98" s="21">
        <f t="shared" si="7"/>
        <v>0</v>
      </c>
      <c r="H98" s="21">
        <f t="shared" si="7"/>
        <v>0</v>
      </c>
      <c r="I98" s="21">
        <f t="shared" si="7"/>
        <v>0</v>
      </c>
      <c r="J98" s="21">
        <f t="shared" si="7"/>
        <v>0</v>
      </c>
      <c r="K98" s="21">
        <f t="shared" si="7"/>
        <v>0</v>
      </c>
      <c r="L98" s="21">
        <f t="shared" si="7"/>
        <v>0</v>
      </c>
      <c r="M98" s="21">
        <f t="shared" si="7"/>
        <v>0</v>
      </c>
      <c r="N98" s="21">
        <f t="shared" si="7"/>
        <v>0</v>
      </c>
      <c r="O98" s="21">
        <f t="shared" si="7"/>
        <v>0</v>
      </c>
      <c r="P98" s="21">
        <f t="shared" si="7"/>
        <v>0</v>
      </c>
      <c r="Q98" s="21">
        <f t="shared" si="7"/>
        <v>0</v>
      </c>
      <c r="R98" s="21">
        <f t="shared" si="7"/>
        <v>0</v>
      </c>
      <c r="S98" s="21">
        <f t="shared" si="7"/>
        <v>0</v>
      </c>
      <c r="T98" s="21">
        <f t="shared" si="7"/>
        <v>0</v>
      </c>
      <c r="U98" s="21">
        <f t="shared" si="7"/>
        <v>0</v>
      </c>
      <c r="V98" s="21">
        <f t="shared" si="7"/>
        <v>0</v>
      </c>
      <c r="W98" s="21">
        <f t="shared" si="7"/>
        <v>0</v>
      </c>
      <c r="X98" s="21">
        <f>X6-X7-X26</f>
        <v>0</v>
      </c>
      <c r="Y98" s="21">
        <f>Y6-Y7-Y26</f>
        <v>0</v>
      </c>
      <c r="Z98" s="21">
        <f>Z6-Z7-Z26</f>
        <v>0</v>
      </c>
    </row>
    <row r="99" spans="2:26">
      <c r="B99" s="424" t="s">
        <v>141</v>
      </c>
      <c r="C99" s="34"/>
      <c r="D99" s="21">
        <f>D7-D8-D22</f>
        <v>0</v>
      </c>
      <c r="E99" s="21">
        <f t="shared" ref="E99:W99" si="8">E7-E8-E22</f>
        <v>0</v>
      </c>
      <c r="F99" s="21">
        <f t="shared" si="8"/>
        <v>100000000</v>
      </c>
      <c r="G99" s="21">
        <f t="shared" si="8"/>
        <v>0</v>
      </c>
      <c r="H99" s="21">
        <f t="shared" si="8"/>
        <v>0</v>
      </c>
      <c r="I99" s="21">
        <f t="shared" si="8"/>
        <v>0</v>
      </c>
      <c r="J99" s="21">
        <f t="shared" si="8"/>
        <v>-100000000</v>
      </c>
      <c r="K99" s="21">
        <f t="shared" si="8"/>
        <v>0</v>
      </c>
      <c r="L99" s="21">
        <f t="shared" si="8"/>
        <v>-3.0517578125E-5</v>
      </c>
      <c r="M99" s="21">
        <f t="shared" si="8"/>
        <v>100000000</v>
      </c>
      <c r="N99" s="21">
        <f t="shared" si="8"/>
        <v>0</v>
      </c>
      <c r="O99" s="21">
        <f t="shared" si="8"/>
        <v>0</v>
      </c>
      <c r="P99" s="21">
        <f t="shared" si="8"/>
        <v>-100000000</v>
      </c>
      <c r="Q99" s="21">
        <f t="shared" si="8"/>
        <v>0</v>
      </c>
      <c r="R99" s="21">
        <f t="shared" si="8"/>
        <v>0</v>
      </c>
      <c r="S99" s="21">
        <f t="shared" si="8"/>
        <v>0</v>
      </c>
      <c r="T99" s="21">
        <f t="shared" si="8"/>
        <v>0</v>
      </c>
      <c r="U99" s="21">
        <f t="shared" si="8"/>
        <v>-100000000</v>
      </c>
      <c r="V99" s="21">
        <f t="shared" si="8"/>
        <v>-100000000</v>
      </c>
      <c r="W99" s="21">
        <f t="shared" si="8"/>
        <v>100000000</v>
      </c>
      <c r="X99" s="21">
        <f>X7-X8-X22</f>
        <v>0</v>
      </c>
      <c r="Y99" s="21">
        <f>Y7-Y8-Y22</f>
        <v>-100000000</v>
      </c>
      <c r="Z99" s="21">
        <f>Z7-Z8-Z22</f>
        <v>99999999.999938965</v>
      </c>
    </row>
    <row r="100" spans="2:26">
      <c r="B100" s="424" t="s">
        <v>285</v>
      </c>
      <c r="C100" s="34"/>
      <c r="D100" s="21">
        <f>D8-D9-D10-D11-D13-D14-D15-D16-D18-D19</f>
        <v>0</v>
      </c>
      <c r="E100" s="21">
        <f t="shared" ref="E100:W100" si="9">E8-E9-E10-E11-E13-E14-E15-E16-E18-E19</f>
        <v>0</v>
      </c>
      <c r="F100" s="21">
        <f t="shared" si="9"/>
        <v>100000000</v>
      </c>
      <c r="G100" s="192">
        <f>G8-G9-G10-G11-G13-G14-G15-G16-G18-G19</f>
        <v>0</v>
      </c>
      <c r="H100" s="192">
        <f t="shared" si="9"/>
        <v>0</v>
      </c>
      <c r="I100" s="192">
        <f t="shared" si="9"/>
        <v>0</v>
      </c>
      <c r="J100" s="21">
        <f t="shared" si="9"/>
        <v>0</v>
      </c>
      <c r="K100" s="21">
        <f t="shared" si="9"/>
        <v>0</v>
      </c>
      <c r="L100" s="21">
        <f t="shared" si="9"/>
        <v>0</v>
      </c>
      <c r="M100" s="21">
        <f t="shared" si="9"/>
        <v>100000000</v>
      </c>
      <c r="N100" s="21">
        <f t="shared" si="9"/>
        <v>0</v>
      </c>
      <c r="O100" s="21">
        <f t="shared" si="9"/>
        <v>-100000000</v>
      </c>
      <c r="P100" s="21">
        <f t="shared" si="9"/>
        <v>0</v>
      </c>
      <c r="Q100" s="21">
        <f t="shared" si="9"/>
        <v>-100000000</v>
      </c>
      <c r="R100" s="21">
        <f t="shared" si="9"/>
        <v>0</v>
      </c>
      <c r="S100" s="21">
        <f t="shared" si="9"/>
        <v>0</v>
      </c>
      <c r="T100" s="21">
        <f t="shared" si="9"/>
        <v>0</v>
      </c>
      <c r="U100" s="21">
        <f t="shared" si="9"/>
        <v>0</v>
      </c>
      <c r="V100" s="21">
        <f t="shared" si="9"/>
        <v>0</v>
      </c>
      <c r="W100" s="21">
        <f t="shared" si="9"/>
        <v>-100000000</v>
      </c>
      <c r="X100" s="21">
        <f>X8-X9-X10-X11-X13-X14-X15-X16-X18-X19</f>
        <v>100000000</v>
      </c>
      <c r="Y100" s="21">
        <f>Y8-Y9-Y10-Y11-Y13-Y14-Y15-Y16-Y18-Y19</f>
        <v>0</v>
      </c>
      <c r="Z100" s="21">
        <f>Z8-Z9-Z10-Z11-Z13-Z14-Z15-Z16-Z18-Z19</f>
        <v>0</v>
      </c>
    </row>
    <row r="101" spans="2:26">
      <c r="B101" s="424" t="s">
        <v>286</v>
      </c>
      <c r="D101" s="21">
        <f>D18-D12-D17</f>
        <v>0</v>
      </c>
      <c r="E101" s="21">
        <f t="shared" ref="E101:W101" si="10">E18-E12-E17</f>
        <v>0</v>
      </c>
      <c r="F101" s="21">
        <f t="shared" si="10"/>
        <v>0</v>
      </c>
      <c r="G101" s="21">
        <f t="shared" si="10"/>
        <v>0</v>
      </c>
      <c r="H101" s="21">
        <f t="shared" si="10"/>
        <v>0</v>
      </c>
      <c r="I101" s="21">
        <f t="shared" si="10"/>
        <v>0</v>
      </c>
      <c r="J101" s="21">
        <f t="shared" si="10"/>
        <v>0</v>
      </c>
      <c r="K101" s="21">
        <f t="shared" si="10"/>
        <v>0</v>
      </c>
      <c r="L101" s="21">
        <f t="shared" si="10"/>
        <v>0</v>
      </c>
      <c r="M101" s="131">
        <f>M18-M12-M17</f>
        <v>12100000000</v>
      </c>
      <c r="N101" s="131">
        <f t="shared" si="10"/>
        <v>11900000000</v>
      </c>
      <c r="O101" s="131">
        <f t="shared" si="10"/>
        <v>11800000000</v>
      </c>
      <c r="P101" s="131">
        <f t="shared" si="10"/>
        <v>10900000000</v>
      </c>
      <c r="Q101" s="131">
        <f t="shared" si="10"/>
        <v>10800000000</v>
      </c>
      <c r="R101" s="131">
        <f t="shared" si="10"/>
        <v>12400000000</v>
      </c>
      <c r="S101" s="131">
        <f t="shared" si="10"/>
        <v>11700000000</v>
      </c>
      <c r="T101" s="131">
        <f t="shared" si="10"/>
        <v>15000000000</v>
      </c>
      <c r="U101" s="131">
        <f t="shared" si="10"/>
        <v>17700000000</v>
      </c>
      <c r="V101" s="131">
        <f t="shared" si="10"/>
        <v>20600000000</v>
      </c>
      <c r="W101" s="131">
        <f t="shared" si="10"/>
        <v>23700000000</v>
      </c>
      <c r="X101" s="131">
        <f>X18-X12-X17</f>
        <v>28600000000</v>
      </c>
      <c r="Y101" s="131">
        <f>Y18-Y12-Y17</f>
        <v>30600000000</v>
      </c>
      <c r="Z101" s="131">
        <f>Z18-Z12-Z17</f>
        <v>32700000000.000004</v>
      </c>
    </row>
    <row r="102" spans="2:26">
      <c r="B102" s="424" t="s">
        <v>287</v>
      </c>
      <c r="D102" s="21">
        <f>D19-D20-D21</f>
        <v>0</v>
      </c>
      <c r="E102" s="21">
        <f t="shared" ref="E102:W102" si="11">E19-E20-E21</f>
        <v>0</v>
      </c>
      <c r="F102" s="131">
        <f t="shared" si="11"/>
        <v>25600000000</v>
      </c>
      <c r="G102" s="131">
        <f t="shared" si="11"/>
        <v>28600000000</v>
      </c>
      <c r="H102" s="131">
        <f t="shared" si="11"/>
        <v>33299999999.999996</v>
      </c>
      <c r="I102" s="131">
        <f t="shared" si="11"/>
        <v>36200000000</v>
      </c>
      <c r="J102" s="131">
        <f t="shared" si="11"/>
        <v>39300000000</v>
      </c>
      <c r="K102" s="131">
        <f t="shared" si="11"/>
        <v>42000000000</v>
      </c>
      <c r="L102" s="131">
        <f t="shared" si="11"/>
        <v>47600000000</v>
      </c>
      <c r="M102" s="131">
        <f t="shared" si="11"/>
        <v>49800000000</v>
      </c>
      <c r="N102" s="131">
        <f t="shared" si="11"/>
        <v>53600000000</v>
      </c>
      <c r="O102" s="131">
        <f t="shared" si="11"/>
        <v>56600000000</v>
      </c>
      <c r="P102" s="131">
        <f t="shared" si="11"/>
        <v>57400000000</v>
      </c>
      <c r="Q102" s="131">
        <f t="shared" si="11"/>
        <v>60000000000</v>
      </c>
      <c r="R102" s="131">
        <f t="shared" si="11"/>
        <v>69900000000</v>
      </c>
      <c r="S102" s="131">
        <f t="shared" si="11"/>
        <v>71700000000</v>
      </c>
      <c r="T102" s="131">
        <f t="shared" si="11"/>
        <v>79200000000</v>
      </c>
      <c r="U102" s="131">
        <f t="shared" si="11"/>
        <v>87700000000</v>
      </c>
      <c r="V102" s="131">
        <f t="shared" si="11"/>
        <v>93600000000</v>
      </c>
      <c r="W102" s="131">
        <f t="shared" si="11"/>
        <v>98100000000</v>
      </c>
      <c r="X102" s="131">
        <f>X19-X20-X21</f>
        <v>103100000000</v>
      </c>
      <c r="Y102" s="131">
        <f>Y19-Y20-Y21</f>
        <v>109200000000</v>
      </c>
      <c r="Z102" s="131">
        <f>Z19-Z20-Z21</f>
        <v>114700000000</v>
      </c>
    </row>
    <row r="103" spans="2:26">
      <c r="B103" s="424" t="s">
        <v>288</v>
      </c>
      <c r="D103" s="21">
        <f>D22-D24-D23-D25</f>
        <v>0</v>
      </c>
      <c r="E103" s="21">
        <f t="shared" ref="E103:W103" si="12">E22-E24-E23-E25</f>
        <v>0</v>
      </c>
      <c r="F103" s="131">
        <f>F22-F24-F23-F25</f>
        <v>21500000000</v>
      </c>
      <c r="G103" s="131">
        <f t="shared" si="12"/>
        <v>19200000000</v>
      </c>
      <c r="H103" s="131">
        <f t="shared" si="12"/>
        <v>16000000000</v>
      </c>
      <c r="I103" s="131">
        <f t="shared" si="12"/>
        <v>14200000000</v>
      </c>
      <c r="J103" s="131">
        <f t="shared" si="12"/>
        <v>16000000000</v>
      </c>
      <c r="K103" s="131">
        <f t="shared" si="12"/>
        <v>18800000000</v>
      </c>
      <c r="L103" s="131">
        <f t="shared" si="12"/>
        <v>22600000000</v>
      </c>
      <c r="M103" s="131">
        <f t="shared" si="12"/>
        <v>23200000000</v>
      </c>
      <c r="N103" s="131">
        <f t="shared" si="12"/>
        <v>27500000000</v>
      </c>
      <c r="O103" s="131">
        <f t="shared" si="12"/>
        <v>22700000000</v>
      </c>
      <c r="P103" s="131">
        <f t="shared" si="12"/>
        <v>24000000000</v>
      </c>
      <c r="Q103" s="131">
        <f t="shared" si="12"/>
        <v>21600000000</v>
      </c>
      <c r="R103" s="131">
        <f t="shared" si="12"/>
        <v>20700000000</v>
      </c>
      <c r="S103" s="131">
        <f t="shared" si="12"/>
        <v>25700000000</v>
      </c>
      <c r="T103" s="131">
        <f t="shared" si="12"/>
        <v>22500000000</v>
      </c>
      <c r="U103" s="131">
        <f t="shared" si="12"/>
        <v>22900000000</v>
      </c>
      <c r="V103" s="131">
        <f t="shared" si="12"/>
        <v>23800000000</v>
      </c>
      <c r="W103" s="131">
        <f t="shared" si="12"/>
        <v>25300000000</v>
      </c>
      <c r="X103" s="131">
        <f>X22-X24-X23-X25</f>
        <v>27000000000</v>
      </c>
      <c r="Y103" s="131">
        <f>Y22-Y24-Y23-Y25</f>
        <v>28900000000</v>
      </c>
      <c r="Z103" s="131">
        <f>Z22-Z24-Z23-Z25</f>
        <v>30800000000</v>
      </c>
    </row>
    <row r="104" spans="2:26">
      <c r="B104" s="424" t="s">
        <v>143</v>
      </c>
      <c r="D104" s="131">
        <f>D26-D27-D28</f>
        <v>5513000000</v>
      </c>
      <c r="E104" s="131">
        <f t="shared" ref="E104:W104" si="13">E26-E27-E28</f>
        <v>3670000000</v>
      </c>
      <c r="F104" s="131">
        <f t="shared" si="13"/>
        <v>4099999999.9999995</v>
      </c>
      <c r="G104" s="21">
        <f t="shared" si="13"/>
        <v>0</v>
      </c>
      <c r="H104" s="21">
        <f t="shared" si="13"/>
        <v>0</v>
      </c>
      <c r="I104" s="21">
        <f t="shared" si="13"/>
        <v>0</v>
      </c>
      <c r="J104" s="21">
        <f t="shared" si="13"/>
        <v>0</v>
      </c>
      <c r="K104" s="131">
        <f t="shared" si="13"/>
        <v>1300000000</v>
      </c>
      <c r="L104" s="131">
        <f t="shared" si="13"/>
        <v>4200000000</v>
      </c>
      <c r="M104" s="131">
        <f t="shared" si="13"/>
        <v>4400000000</v>
      </c>
      <c r="N104" s="131">
        <f t="shared" si="13"/>
        <v>4600000000</v>
      </c>
      <c r="O104" s="131">
        <f t="shared" si="13"/>
        <v>3800000000</v>
      </c>
      <c r="P104" s="131">
        <f t="shared" si="13"/>
        <v>5600000000</v>
      </c>
      <c r="Q104" s="131">
        <f t="shared" si="13"/>
        <v>5700000000</v>
      </c>
      <c r="R104" s="131">
        <f t="shared" si="13"/>
        <v>10100000000</v>
      </c>
      <c r="S104" s="131">
        <f t="shared" si="13"/>
        <v>11200000000</v>
      </c>
      <c r="T104" s="131">
        <f t="shared" si="13"/>
        <v>14600000000</v>
      </c>
      <c r="U104" s="131">
        <f t="shared" si="13"/>
        <v>13800000000</v>
      </c>
      <c r="V104" s="131">
        <f t="shared" si="13"/>
        <v>16600000000.000002</v>
      </c>
      <c r="W104" s="131">
        <f t="shared" si="13"/>
        <v>17600000000</v>
      </c>
      <c r="X104" s="131">
        <f>X26-X27-X28</f>
        <v>18800000000</v>
      </c>
      <c r="Y104" s="131">
        <f>Y26-Y27-Y28</f>
        <v>18200000000</v>
      </c>
      <c r="Z104" s="131">
        <f>Z26-Z27-Z28</f>
        <v>19400000000</v>
      </c>
    </row>
    <row r="105" spans="2:26">
      <c r="B105" s="424" t="s">
        <v>145</v>
      </c>
      <c r="D105" s="21">
        <f>D29-D30-D52-D56-D57-D58</f>
        <v>0</v>
      </c>
      <c r="E105" s="21">
        <f t="shared" ref="E105:Q105" si="14">E29-E30-E52-E56-E57-E58</f>
        <v>0</v>
      </c>
      <c r="F105" s="21">
        <f t="shared" si="14"/>
        <v>0</v>
      </c>
      <c r="G105" s="21">
        <f t="shared" si="14"/>
        <v>0</v>
      </c>
      <c r="H105" s="21">
        <f t="shared" si="14"/>
        <v>0</v>
      </c>
      <c r="I105" s="21">
        <f t="shared" si="14"/>
        <v>-100000000</v>
      </c>
      <c r="J105" s="21">
        <f t="shared" si="14"/>
        <v>0</v>
      </c>
      <c r="K105" s="21">
        <f>K29-K30-K52-K56-K57-K58</f>
        <v>0</v>
      </c>
      <c r="L105" s="21">
        <f t="shared" si="14"/>
        <v>0</v>
      </c>
      <c r="M105" s="21">
        <f t="shared" si="14"/>
        <v>100000000</v>
      </c>
      <c r="N105" s="21">
        <f t="shared" si="14"/>
        <v>0</v>
      </c>
      <c r="O105" s="21">
        <f t="shared" si="14"/>
        <v>0</v>
      </c>
      <c r="P105" s="21">
        <f t="shared" si="14"/>
        <v>-100000000</v>
      </c>
      <c r="Q105" s="21">
        <f t="shared" si="14"/>
        <v>0</v>
      </c>
      <c r="R105" s="21">
        <f>R29-R30-R52-R56-R57-R58</f>
        <v>0</v>
      </c>
      <c r="S105" s="21">
        <f t="shared" ref="S105:W105" si="15">S29-S30-S52-S56-S57-S58</f>
        <v>0</v>
      </c>
      <c r="T105" s="21">
        <f t="shared" si="15"/>
        <v>0</v>
      </c>
      <c r="U105" s="21">
        <f t="shared" si="15"/>
        <v>0</v>
      </c>
      <c r="V105" s="21">
        <f t="shared" si="15"/>
        <v>0</v>
      </c>
      <c r="W105" s="21">
        <f t="shared" si="15"/>
        <v>0</v>
      </c>
      <c r="X105" s="21">
        <f>X29-X30-X52-X56-X57-X58</f>
        <v>0</v>
      </c>
      <c r="Y105" s="21">
        <f>Y29-Y30-Y52-Y56-Y57-Y58</f>
        <v>0</v>
      </c>
      <c r="Z105" s="21">
        <f>Z29-Z30-Z52-Z56-Z57-Z58</f>
        <v>6.103515625E-5</v>
      </c>
    </row>
    <row r="106" spans="2:26">
      <c r="B106" s="424" t="s">
        <v>289</v>
      </c>
      <c r="D106" s="192">
        <f>D30-D31-D34-D37-D38-D42-D45-D46-D49-D51</f>
        <v>0</v>
      </c>
      <c r="E106" s="192">
        <f>E30-E31-E34-E37-E38-E42-E45-E46-E49-E51</f>
        <v>0</v>
      </c>
      <c r="F106" s="21">
        <f t="shared" ref="F106:V106" si="16">F30-F31-F34-F37-F38-F42-F45-F46-F49-F51</f>
        <v>100000000</v>
      </c>
      <c r="G106" s="21">
        <f t="shared" si="16"/>
        <v>0</v>
      </c>
      <c r="H106" s="21">
        <f t="shared" si="16"/>
        <v>0</v>
      </c>
      <c r="I106" s="21">
        <f t="shared" si="16"/>
        <v>0</v>
      </c>
      <c r="J106" s="21">
        <f t="shared" si="16"/>
        <v>100000000</v>
      </c>
      <c r="K106" s="192">
        <f>K30-K31-K34-K37-K38-K42-K45-K46-K49-K51</f>
        <v>0</v>
      </c>
      <c r="L106" s="192">
        <f>L30-L31-L34-L37-L38-L42-L45-L46-L49-L51</f>
        <v>0</v>
      </c>
      <c r="M106" s="21">
        <f t="shared" si="16"/>
        <v>-100000000</v>
      </c>
      <c r="N106" s="21">
        <f t="shared" si="16"/>
        <v>0</v>
      </c>
      <c r="O106" s="21">
        <f t="shared" si="16"/>
        <v>100000000</v>
      </c>
      <c r="P106" s="21">
        <f t="shared" si="16"/>
        <v>0</v>
      </c>
      <c r="Q106" s="21">
        <f t="shared" si="16"/>
        <v>0</v>
      </c>
      <c r="R106" s="21">
        <f t="shared" si="16"/>
        <v>0</v>
      </c>
      <c r="S106" s="21">
        <f t="shared" si="16"/>
        <v>100000000</v>
      </c>
      <c r="T106" s="21">
        <f t="shared" si="16"/>
        <v>-100000000</v>
      </c>
      <c r="U106" s="21">
        <f t="shared" si="16"/>
        <v>100000000</v>
      </c>
      <c r="V106" s="21">
        <f t="shared" si="16"/>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24" t="s">
        <v>290</v>
      </c>
      <c r="D107" s="21">
        <f>D31-D32-D33</f>
        <v>0</v>
      </c>
      <c r="E107" s="21">
        <f t="shared" ref="E107:V107" si="17">E31-E32-E33</f>
        <v>0</v>
      </c>
      <c r="F107" s="131">
        <f t="shared" si="17"/>
        <v>41900000000</v>
      </c>
      <c r="G107" s="131">
        <f t="shared" si="17"/>
        <v>44700000000</v>
      </c>
      <c r="H107" s="131">
        <f t="shared" si="17"/>
        <v>49000000000</v>
      </c>
      <c r="I107" s="131">
        <f t="shared" si="17"/>
        <v>53700000000</v>
      </c>
      <c r="J107" s="131">
        <f t="shared" si="17"/>
        <v>56700000000</v>
      </c>
      <c r="K107" s="131">
        <f t="shared" si="17"/>
        <v>59100000000</v>
      </c>
      <c r="L107" s="131">
        <f t="shared" si="17"/>
        <v>66599999999.999992</v>
      </c>
      <c r="M107" s="131">
        <f t="shared" si="17"/>
        <v>62400000000</v>
      </c>
      <c r="N107" s="131">
        <f t="shared" si="17"/>
        <v>65800000000</v>
      </c>
      <c r="O107" s="131">
        <f t="shared" si="17"/>
        <v>67400000000.000008</v>
      </c>
      <c r="P107" s="131">
        <f t="shared" si="17"/>
        <v>69400000000</v>
      </c>
      <c r="Q107" s="131">
        <f t="shared" si="17"/>
        <v>70700000000</v>
      </c>
      <c r="R107" s="131">
        <f t="shared" si="17"/>
        <v>71400000000</v>
      </c>
      <c r="S107" s="131">
        <f t="shared" si="17"/>
        <v>72500000000</v>
      </c>
      <c r="T107" s="131">
        <f t="shared" si="17"/>
        <v>67500000000</v>
      </c>
      <c r="U107" s="131">
        <f t="shared" si="17"/>
        <v>74300000000</v>
      </c>
      <c r="V107" s="131">
        <f t="shared" si="17"/>
        <v>77800000000</v>
      </c>
      <c r="W107" s="131">
        <f>W31-W32-W33</f>
        <v>80600000000</v>
      </c>
      <c r="X107" s="131">
        <f>X31-X32-X33</f>
        <v>83400000000</v>
      </c>
      <c r="Y107" s="131">
        <f>Y31-Y32-Y33</f>
        <v>89000000000</v>
      </c>
      <c r="Z107" s="131">
        <f>Z31-Z32-Z33</f>
        <v>91700000000</v>
      </c>
    </row>
    <row r="108" spans="2:26">
      <c r="B108" s="424" t="s">
        <v>291</v>
      </c>
      <c r="D108" s="21">
        <f>D34-D35-D36</f>
        <v>0</v>
      </c>
      <c r="E108" s="21">
        <f t="shared" ref="E108:W108" si="18">E34-E35-E36</f>
        <v>0</v>
      </c>
      <c r="F108" s="21">
        <f t="shared" si="18"/>
        <v>0</v>
      </c>
      <c r="G108" s="131">
        <f t="shared" si="18"/>
        <v>0</v>
      </c>
      <c r="H108" s="131">
        <f t="shared" si="18"/>
        <v>0</v>
      </c>
      <c r="I108" s="131">
        <f t="shared" si="18"/>
        <v>0</v>
      </c>
      <c r="J108" s="131">
        <f t="shared" si="18"/>
        <v>0</v>
      </c>
      <c r="K108" s="131">
        <f t="shared" si="18"/>
        <v>0</v>
      </c>
      <c r="L108" s="131">
        <f t="shared" si="18"/>
        <v>0</v>
      </c>
      <c r="M108" s="131">
        <f t="shared" si="18"/>
        <v>36300000000</v>
      </c>
      <c r="N108" s="131">
        <f t="shared" si="18"/>
        <v>41600000000</v>
      </c>
      <c r="O108" s="131">
        <f t="shared" si="18"/>
        <v>41100000000</v>
      </c>
      <c r="P108" s="131">
        <f t="shared" si="18"/>
        <v>41500000000</v>
      </c>
      <c r="Q108" s="131">
        <f t="shared" si="18"/>
        <v>43300000000</v>
      </c>
      <c r="R108" s="131">
        <f t="shared" si="18"/>
        <v>40100000000</v>
      </c>
      <c r="S108" s="131">
        <f t="shared" si="18"/>
        <v>38600000000</v>
      </c>
      <c r="T108" s="131">
        <f t="shared" si="18"/>
        <v>36300000000</v>
      </c>
      <c r="U108" s="131">
        <f t="shared" si="18"/>
        <v>32500000000</v>
      </c>
      <c r="V108" s="131">
        <f t="shared" si="18"/>
        <v>37100000000</v>
      </c>
      <c r="W108" s="131">
        <f t="shared" si="18"/>
        <v>43000000000</v>
      </c>
      <c r="X108" s="131">
        <f>X34-X35-X36</f>
        <v>47600000000</v>
      </c>
      <c r="Y108" s="131">
        <f>Y34-Y35-Y36</f>
        <v>53500000000</v>
      </c>
      <c r="Z108" s="131">
        <f>Z34-Z35-Z36</f>
        <v>59900000000</v>
      </c>
    </row>
    <row r="109" spans="2:26">
      <c r="B109" s="424" t="s">
        <v>292</v>
      </c>
      <c r="D109" s="131">
        <f>D38-D39-D40-D41</f>
        <v>5247000000</v>
      </c>
      <c r="E109" s="131">
        <f t="shared" ref="E109:W109" si="19">E38-E39-E40-E41</f>
        <v>7811000000</v>
      </c>
      <c r="F109" s="131">
        <f t="shared" si="19"/>
        <v>6200000000</v>
      </c>
      <c r="G109" s="131">
        <f t="shared" si="19"/>
        <v>5100000000</v>
      </c>
      <c r="H109" s="131">
        <f t="shared" si="19"/>
        <v>5100000000</v>
      </c>
      <c r="I109" s="131">
        <f t="shared" si="19"/>
        <v>3700000000</v>
      </c>
      <c r="J109" s="131">
        <f t="shared" si="19"/>
        <v>3800000000</v>
      </c>
      <c r="K109" s="131">
        <f t="shared" si="19"/>
        <v>3500000000</v>
      </c>
      <c r="L109" s="131">
        <f t="shared" si="19"/>
        <v>2600000000</v>
      </c>
      <c r="M109" s="131">
        <f t="shared" si="19"/>
        <v>2000000000</v>
      </c>
      <c r="N109" s="131">
        <f t="shared" si="19"/>
        <v>3500000000</v>
      </c>
      <c r="O109" s="131">
        <f t="shared" si="19"/>
        <v>3300000000</v>
      </c>
      <c r="P109" s="131">
        <f t="shared" si="19"/>
        <v>1900000000</v>
      </c>
      <c r="Q109" s="131">
        <f>Q38-Q39-Q40-Q41</f>
        <v>1600000000</v>
      </c>
      <c r="R109" s="21">
        <f t="shared" si="19"/>
        <v>0</v>
      </c>
      <c r="S109" s="21">
        <f t="shared" si="19"/>
        <v>0</v>
      </c>
      <c r="T109" s="21">
        <f t="shared" si="19"/>
        <v>100000000</v>
      </c>
      <c r="U109" s="21">
        <f t="shared" si="19"/>
        <v>0</v>
      </c>
      <c r="V109" s="21">
        <f t="shared" si="19"/>
        <v>100000000</v>
      </c>
      <c r="W109" s="21">
        <f t="shared" si="19"/>
        <v>-100000000</v>
      </c>
      <c r="X109" s="21">
        <f>X38-X39-X40-X41</f>
        <v>-100000000</v>
      </c>
      <c r="Y109" s="21">
        <f>Y38-Y39-Y40-Y41</f>
        <v>0</v>
      </c>
      <c r="Z109" s="21">
        <f>Z38-Z39-Z40-Z41</f>
        <v>0</v>
      </c>
    </row>
    <row r="110" spans="2:26">
      <c r="B110" s="424" t="s">
        <v>293</v>
      </c>
      <c r="D110" s="21">
        <f>D42-D43-D44</f>
        <v>0</v>
      </c>
      <c r="E110" s="21">
        <f>E42-E43-E44</f>
        <v>0</v>
      </c>
      <c r="F110" s="131">
        <f>F42-F43-F44</f>
        <v>40200000000</v>
      </c>
      <c r="G110" s="131">
        <f t="shared" ref="G110:W110" si="20">G42-G43-G44</f>
        <v>44800000000</v>
      </c>
      <c r="H110" s="131">
        <f t="shared" si="20"/>
        <v>50200000000</v>
      </c>
      <c r="I110" s="131">
        <f t="shared" si="20"/>
        <v>55900000000</v>
      </c>
      <c r="J110" s="131">
        <f t="shared" si="20"/>
        <v>60000000000</v>
      </c>
      <c r="K110" s="131">
        <f t="shared" si="20"/>
        <v>69900000000</v>
      </c>
      <c r="L110" s="131">
        <f t="shared" si="20"/>
        <v>76200000000</v>
      </c>
      <c r="M110" s="131">
        <f t="shared" si="20"/>
        <v>96700000000</v>
      </c>
      <c r="N110" s="131">
        <f t="shared" si="20"/>
        <v>106200000000</v>
      </c>
      <c r="O110" s="131">
        <f t="shared" si="20"/>
        <v>113900000000</v>
      </c>
      <c r="P110" s="131">
        <f t="shared" si="20"/>
        <v>120300000000</v>
      </c>
      <c r="Q110" s="131">
        <f t="shared" si="20"/>
        <v>127600000000</v>
      </c>
      <c r="R110" s="131">
        <f t="shared" si="20"/>
        <v>138500000000</v>
      </c>
      <c r="S110" s="131">
        <f t="shared" si="20"/>
        <v>141200000000</v>
      </c>
      <c r="T110" s="131">
        <f t="shared" si="20"/>
        <v>152600000000</v>
      </c>
      <c r="U110" s="131">
        <f t="shared" si="20"/>
        <v>161500000000</v>
      </c>
      <c r="V110" s="131">
        <f t="shared" si="20"/>
        <v>170400000000</v>
      </c>
      <c r="W110" s="131">
        <f t="shared" si="20"/>
        <v>181400000000</v>
      </c>
      <c r="X110" s="131">
        <f>X42-X43-X44</f>
        <v>193500000000</v>
      </c>
      <c r="Y110" s="131">
        <f>Y42-Y43-Y44</f>
        <v>206000000000</v>
      </c>
      <c r="Z110" s="131">
        <f>Z42-Z43-Z44</f>
        <v>219200000000</v>
      </c>
    </row>
    <row r="111" spans="2:26">
      <c r="B111" s="424" t="s">
        <v>294</v>
      </c>
      <c r="D111" s="21">
        <f>D46-D47-D48</f>
        <v>0</v>
      </c>
      <c r="E111" s="21">
        <f t="shared" ref="E111:W111" si="21">E46-E47-E48</f>
        <v>0</v>
      </c>
      <c r="F111" s="131">
        <f t="shared" si="21"/>
        <v>8700000000</v>
      </c>
      <c r="G111" s="131">
        <f t="shared" si="21"/>
        <v>8800000000</v>
      </c>
      <c r="H111" s="131">
        <f t="shared" si="21"/>
        <v>11500000000</v>
      </c>
      <c r="I111" s="131">
        <f t="shared" si="21"/>
        <v>10200000000</v>
      </c>
      <c r="J111" s="131">
        <f t="shared" si="21"/>
        <v>10800000000</v>
      </c>
      <c r="K111" s="131">
        <f t="shared" si="21"/>
        <v>14800000000</v>
      </c>
      <c r="L111" s="131">
        <f t="shared" si="21"/>
        <v>17800000000</v>
      </c>
      <c r="M111" s="131">
        <f t="shared" si="21"/>
        <v>20400000000</v>
      </c>
      <c r="N111" s="131">
        <f t="shared" si="21"/>
        <v>18700000000</v>
      </c>
      <c r="O111" s="131">
        <f t="shared" si="21"/>
        <v>18700000000</v>
      </c>
      <c r="P111" s="131">
        <f t="shared" si="21"/>
        <v>20700000000</v>
      </c>
      <c r="Q111" s="131">
        <f t="shared" si="21"/>
        <v>23200000000</v>
      </c>
      <c r="R111" s="131">
        <f t="shared" si="21"/>
        <v>25500000000</v>
      </c>
      <c r="S111" s="131">
        <f t="shared" si="21"/>
        <v>20200000000</v>
      </c>
      <c r="T111" s="131">
        <f t="shared" si="21"/>
        <v>24500000000</v>
      </c>
      <c r="U111" s="131">
        <f t="shared" si="21"/>
        <v>23100000000</v>
      </c>
      <c r="V111" s="131">
        <f t="shared" si="21"/>
        <v>23300000000</v>
      </c>
      <c r="W111" s="131">
        <f t="shared" si="21"/>
        <v>23800000000</v>
      </c>
      <c r="X111" s="131">
        <f>X46-X47-X48</f>
        <v>25200000000</v>
      </c>
      <c r="Y111" s="131">
        <f>Y46-Y47-Y48</f>
        <v>25700000000</v>
      </c>
      <c r="Z111" s="131">
        <f>Z46-Z47-Z48</f>
        <v>27200000000</v>
      </c>
    </row>
    <row r="112" spans="2:26">
      <c r="B112" s="424" t="s">
        <v>295</v>
      </c>
      <c r="D112" s="21">
        <f>D52-D53-D54-D55</f>
        <v>0</v>
      </c>
      <c r="E112" s="21">
        <f t="shared" ref="E112:W112" si="22">E52-E53-E54-E55</f>
        <v>0</v>
      </c>
      <c r="F112" s="21">
        <f t="shared" si="22"/>
        <v>0</v>
      </c>
      <c r="G112" s="21">
        <f t="shared" si="22"/>
        <v>0</v>
      </c>
      <c r="H112" s="21">
        <f t="shared" si="22"/>
        <v>0</v>
      </c>
      <c r="I112" s="21">
        <f t="shared" si="22"/>
        <v>0</v>
      </c>
      <c r="J112" s="21">
        <f t="shared" si="22"/>
        <v>100000000</v>
      </c>
      <c r="K112" s="131">
        <f>K52-K53-K54-K55</f>
        <v>57000000000</v>
      </c>
      <c r="L112" s="131">
        <f t="shared" si="22"/>
        <v>93800000000</v>
      </c>
      <c r="M112" s="131">
        <f t="shared" si="22"/>
        <v>90400000000</v>
      </c>
      <c r="N112" s="131">
        <f t="shared" si="22"/>
        <v>63400000000</v>
      </c>
      <c r="O112" s="21">
        <f t="shared" si="22"/>
        <v>0</v>
      </c>
      <c r="P112" s="21">
        <f t="shared" si="22"/>
        <v>3.814697265625E-6</v>
      </c>
      <c r="Q112" s="21">
        <f t="shared" si="22"/>
        <v>0</v>
      </c>
      <c r="R112" s="21">
        <f t="shared" si="22"/>
        <v>-99999999.999996185</v>
      </c>
      <c r="S112" s="21">
        <f t="shared" si="22"/>
        <v>0</v>
      </c>
      <c r="T112" s="21">
        <f t="shared" si="22"/>
        <v>-100000000</v>
      </c>
      <c r="U112" s="21">
        <f t="shared" si="22"/>
        <v>-100000000</v>
      </c>
      <c r="V112" s="21">
        <f t="shared" si="22"/>
        <v>0</v>
      </c>
      <c r="W112" s="21">
        <f t="shared" si="22"/>
        <v>-100000000</v>
      </c>
      <c r="X112" s="21">
        <f>X52-X53-X54-X55</f>
        <v>-100000000</v>
      </c>
      <c r="Y112" s="21">
        <f>Y52-Y53-Y54-Y55</f>
        <v>0</v>
      </c>
      <c r="Z112" s="21">
        <f>Z52-Z53-Z54-Z55</f>
        <v>0</v>
      </c>
    </row>
    <row r="113" spans="2:26">
      <c r="B113" s="424" t="s">
        <v>296</v>
      </c>
      <c r="D113" s="21">
        <f>D61-D62-D70-D76</f>
        <v>0</v>
      </c>
      <c r="E113" s="21">
        <f t="shared" ref="E113:W113" si="23">E61-E62-E70-E76</f>
        <v>0</v>
      </c>
      <c r="F113" s="21">
        <f t="shared" si="23"/>
        <v>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-100000000</v>
      </c>
      <c r="P113" s="21">
        <f t="shared" si="23"/>
        <v>0</v>
      </c>
      <c r="Q113" s="21">
        <f t="shared" si="23"/>
        <v>0</v>
      </c>
      <c r="R113" s="21">
        <f t="shared" si="23"/>
        <v>3.814697265625E-6</v>
      </c>
      <c r="S113" s="21">
        <f t="shared" si="23"/>
        <v>0</v>
      </c>
      <c r="T113" s="21">
        <f t="shared" si="23"/>
        <v>-3.814697265625E-6</v>
      </c>
      <c r="U113" s="21">
        <f t="shared" si="23"/>
        <v>0</v>
      </c>
      <c r="V113" s="21">
        <f t="shared" si="23"/>
        <v>0</v>
      </c>
      <c r="W113" s="21">
        <f t="shared" si="23"/>
        <v>0</v>
      </c>
      <c r="X113" s="21">
        <f>X61-X62-X70-X76</f>
        <v>0</v>
      </c>
      <c r="Y113" s="21">
        <f>Y61-Y62-Y70-Y76</f>
        <v>0</v>
      </c>
      <c r="Z113" s="21">
        <f>Z61-Z62-Z70-Z76</f>
        <v>0</v>
      </c>
    </row>
    <row r="114" spans="2:26">
      <c r="B114" s="424" t="s">
        <v>297</v>
      </c>
      <c r="D114" s="21">
        <f>D62-D63-D64-D69</f>
        <v>-1000000</v>
      </c>
      <c r="E114" s="21">
        <f t="shared" ref="E114:P114" si="24">E62-E63-E64-E69</f>
        <v>0</v>
      </c>
      <c r="F114" s="21">
        <f t="shared" si="24"/>
        <v>-100000000</v>
      </c>
      <c r="G114" s="21">
        <f t="shared" si="24"/>
        <v>0</v>
      </c>
      <c r="H114" s="21">
        <f t="shared" si="24"/>
        <v>-100000000</v>
      </c>
      <c r="I114" s="21">
        <f t="shared" si="24"/>
        <v>0</v>
      </c>
      <c r="J114" s="21">
        <f t="shared" si="24"/>
        <v>0</v>
      </c>
      <c r="K114" s="21">
        <f t="shared" si="24"/>
        <v>0</v>
      </c>
      <c r="L114" s="21">
        <f t="shared" si="24"/>
        <v>0</v>
      </c>
      <c r="M114" s="21">
        <f t="shared" si="24"/>
        <v>0</v>
      </c>
      <c r="N114" s="21">
        <f t="shared" si="24"/>
        <v>-100000000</v>
      </c>
      <c r="O114" s="21">
        <f t="shared" si="24"/>
        <v>0</v>
      </c>
      <c r="P114" s="21">
        <f t="shared" si="24"/>
        <v>0</v>
      </c>
      <c r="Q114" s="21">
        <f>Q62-Q63-Q64-Q69-Q68</f>
        <v>0</v>
      </c>
      <c r="R114" s="21">
        <f>R62-R63-R64-R69-R68</f>
        <v>0</v>
      </c>
      <c r="S114" s="21">
        <f t="shared" ref="S114" si="25">S62-S63-S64-S69-S68</f>
        <v>-100000000</v>
      </c>
      <c r="T114" s="21">
        <f>T62-T63-T64-T69-T68</f>
        <v>0</v>
      </c>
      <c r="U114" s="21">
        <f>U62-U63-U64-U69-U68</f>
        <v>0</v>
      </c>
      <c r="V114" s="21">
        <f>V62-V63-V64-V69-V68</f>
        <v>0</v>
      </c>
      <c r="W114" s="21">
        <f t="shared" ref="W114:Z114" si="26">W62-W63-W64-W69-W68</f>
        <v>0</v>
      </c>
      <c r="X114" s="21">
        <f t="shared" si="26"/>
        <v>0</v>
      </c>
      <c r="Y114" s="21">
        <f t="shared" si="26"/>
        <v>0</v>
      </c>
      <c r="Z114" s="21">
        <f t="shared" si="26"/>
        <v>0</v>
      </c>
    </row>
    <row r="115" spans="2:26">
      <c r="B115" s="424" t="s">
        <v>298</v>
      </c>
      <c r="D115" s="21">
        <f>D70-D73-D75-D74</f>
        <v>0</v>
      </c>
      <c r="E115" s="21">
        <f t="shared" ref="E115:W115" si="27">E70-E73-E75-E74</f>
        <v>0</v>
      </c>
      <c r="F115" s="131">
        <f t="shared" si="27"/>
        <v>20600000000</v>
      </c>
      <c r="G115" s="131">
        <f t="shared" si="27"/>
        <v>10000000000</v>
      </c>
      <c r="H115" s="131">
        <f t="shared" si="27"/>
        <v>7300000000</v>
      </c>
      <c r="I115" s="131">
        <f t="shared" si="27"/>
        <v>6800000000</v>
      </c>
      <c r="J115" s="131">
        <f t="shared" si="27"/>
        <v>5400000000</v>
      </c>
      <c r="K115" s="131">
        <f t="shared" si="27"/>
        <v>5300000000</v>
      </c>
      <c r="L115" s="131">
        <f t="shared" si="27"/>
        <v>39000000000</v>
      </c>
      <c r="M115" s="131">
        <f>M70-M73-M75-M74</f>
        <v>4700000000</v>
      </c>
      <c r="N115" s="131">
        <f t="shared" si="27"/>
        <v>47600000000</v>
      </c>
      <c r="O115" s="131">
        <f t="shared" si="27"/>
        <v>19700000000</v>
      </c>
      <c r="P115" s="131">
        <f t="shared" si="27"/>
        <v>19400000000</v>
      </c>
      <c r="Q115" s="131">
        <f t="shared" si="27"/>
        <v>10800000000</v>
      </c>
      <c r="R115" s="131">
        <f t="shared" si="27"/>
        <v>34299999999.999996</v>
      </c>
      <c r="S115" s="131">
        <f t="shared" si="27"/>
        <v>71000000000</v>
      </c>
      <c r="T115" s="131">
        <f t="shared" si="27"/>
        <v>19500000000</v>
      </c>
      <c r="U115" s="131">
        <f t="shared" si="27"/>
        <v>57200000000</v>
      </c>
      <c r="V115" s="131">
        <f t="shared" si="27"/>
        <v>91200000000</v>
      </c>
      <c r="W115" s="131">
        <f t="shared" si="27"/>
        <v>17400000000</v>
      </c>
      <c r="X115" s="131">
        <f>X70-X73-X75-X74</f>
        <v>38400000000</v>
      </c>
      <c r="Y115" s="131">
        <f>Y70-Y73-Y75-Y74</f>
        <v>4700000000</v>
      </c>
      <c r="Z115" s="131">
        <f>Z70-Z73-Z75-Z74</f>
        <v>2600000000</v>
      </c>
    </row>
    <row r="117" spans="2:26" ht="16.5" thickBot="1"/>
    <row r="118" spans="2:26" ht="16.5" thickBot="1">
      <c r="B118" s="424"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39">
        <v>1401000000000</v>
      </c>
      <c r="S118" s="539">
        <v>1454000000000</v>
      </c>
      <c r="T118" s="539">
        <v>1532000000000</v>
      </c>
      <c r="U118" s="539">
        <v>1632000000000</v>
      </c>
      <c r="V118" s="539">
        <v>1749000000000</v>
      </c>
      <c r="W118" s="539">
        <v>1879000000000</v>
      </c>
      <c r="X118" s="539">
        <v>2019000000000</v>
      </c>
      <c r="Y118" s="539">
        <v>2167000000000</v>
      </c>
    </row>
    <row r="119" spans="2:26">
      <c r="B119" s="424" t="s">
        <v>151</v>
      </c>
      <c r="D119">
        <f t="shared" ref="D119:Y119" si="28">(D6/D118)*100</f>
        <v>24.109107664188222</v>
      </c>
      <c r="E119">
        <f t="shared" si="28"/>
        <v>23.852998702365056</v>
      </c>
      <c r="F119">
        <f t="shared" si="28"/>
        <v>24.826926134274167</v>
      </c>
      <c r="G119">
        <f t="shared" si="28"/>
        <v>24.002374304493028</v>
      </c>
      <c r="H119">
        <f t="shared" si="28"/>
        <v>24.526578449100025</v>
      </c>
      <c r="I119">
        <f t="shared" si="28"/>
        <v>25.012365043072077</v>
      </c>
      <c r="J119">
        <f t="shared" si="28"/>
        <v>25.651517950961733</v>
      </c>
      <c r="K119">
        <f t="shared" si="28"/>
        <v>25.638905825333012</v>
      </c>
      <c r="L119">
        <f t="shared" si="28"/>
        <v>26.918336300611845</v>
      </c>
      <c r="M119">
        <f t="shared" si="28"/>
        <v>26.094117153407183</v>
      </c>
      <c r="N119">
        <f t="shared" si="28"/>
        <v>25.870309645100008</v>
      </c>
      <c r="O119">
        <f t="shared" si="28"/>
        <v>25.403191083664456</v>
      </c>
      <c r="P119">
        <f t="shared" si="28"/>
        <v>24.740020127474001</v>
      </c>
      <c r="Q119">
        <f t="shared" si="28"/>
        <v>23.718073655719373</v>
      </c>
      <c r="R119">
        <f t="shared" si="28"/>
        <v>26.167023554603851</v>
      </c>
      <c r="S119">
        <f t="shared" si="28"/>
        <v>25.962861072902339</v>
      </c>
      <c r="T119">
        <f t="shared" si="28"/>
        <v>26.312010443864231</v>
      </c>
      <c r="U119">
        <f t="shared" si="28"/>
        <v>27.009803921568626</v>
      </c>
      <c r="V119">
        <f t="shared" si="28"/>
        <v>26.60377358490566</v>
      </c>
      <c r="W119">
        <f t="shared" si="28"/>
        <v>26.210750399148488</v>
      </c>
      <c r="X119">
        <f t="shared" si="28"/>
        <v>25.95839524517088</v>
      </c>
      <c r="Y119">
        <f t="shared" si="28"/>
        <v>25.55145362251961</v>
      </c>
    </row>
    <row r="120" spans="2:26">
      <c r="B120" s="424" t="s">
        <v>152</v>
      </c>
      <c r="D120">
        <f t="shared" ref="D120:Y120" si="29">(D29/D118)*100</f>
        <v>33.858019321547175</v>
      </c>
      <c r="E120">
        <f t="shared" si="29"/>
        <v>33.45309743918515</v>
      </c>
      <c r="F120">
        <f t="shared" si="29"/>
        <v>31.571627930131314</v>
      </c>
      <c r="G120">
        <f t="shared" si="29"/>
        <v>28.972853977392244</v>
      </c>
      <c r="H120">
        <f t="shared" si="29"/>
        <v>29.839338927488139</v>
      </c>
      <c r="I120">
        <f t="shared" si="29"/>
        <v>28.743355707004319</v>
      </c>
      <c r="J120">
        <f t="shared" si="29"/>
        <v>28.938720869997926</v>
      </c>
      <c r="K120">
        <f t="shared" si="29"/>
        <v>28.925150102824311</v>
      </c>
      <c r="L120">
        <f t="shared" si="29"/>
        <v>32.33161465601161</v>
      </c>
      <c r="M120">
        <f t="shared" si="29"/>
        <v>32.842746447353697</v>
      </c>
      <c r="N120">
        <f t="shared" si="29"/>
        <v>29.387445599344975</v>
      </c>
      <c r="O120">
        <f t="shared" si="29"/>
        <v>28.924577741145789</v>
      </c>
      <c r="P120">
        <f t="shared" si="29"/>
        <v>28.169478123352665</v>
      </c>
      <c r="Q120">
        <f t="shared" si="29"/>
        <v>28.876406634905795</v>
      </c>
      <c r="R120">
        <f t="shared" si="29"/>
        <v>31.998572448251249</v>
      </c>
      <c r="S120">
        <f t="shared" si="29"/>
        <v>30.495185694635492</v>
      </c>
      <c r="T120">
        <f t="shared" si="29"/>
        <v>28.472584856396864</v>
      </c>
      <c r="U120">
        <f t="shared" si="29"/>
        <v>28.897058823529409</v>
      </c>
      <c r="V120">
        <f t="shared" si="29"/>
        <v>28.444825614636937</v>
      </c>
      <c r="W120">
        <f t="shared" si="29"/>
        <v>27.96700372538584</v>
      </c>
      <c r="X120">
        <f t="shared" si="29"/>
        <v>27.518573551263003</v>
      </c>
      <c r="Y120">
        <f t="shared" si="29"/>
        <v>27.240424550069221</v>
      </c>
    </row>
    <row r="121" spans="2:26">
      <c r="B121" s="424" t="s">
        <v>300</v>
      </c>
      <c r="D121" t="b">
        <f>IF(D56&lt;0,(D56/D29)*100)</f>
        <v>0</v>
      </c>
      <c r="E121" t="b">
        <f t="shared" ref="E121:W121" si="30">IF(E56&lt;0,(E56/E29)*100)</f>
        <v>0</v>
      </c>
      <c r="F121" t="b">
        <f t="shared" si="30"/>
        <v>0</v>
      </c>
      <c r="G121" t="b">
        <f t="shared" si="30"/>
        <v>0</v>
      </c>
      <c r="H121" t="b">
        <f t="shared" si="30"/>
        <v>0</v>
      </c>
      <c r="I121" t="b">
        <f t="shared" si="30"/>
        <v>0</v>
      </c>
      <c r="J121" t="b">
        <f t="shared" si="30"/>
        <v>0</v>
      </c>
      <c r="K121" t="b">
        <f t="shared" si="30"/>
        <v>0</v>
      </c>
      <c r="L121" t="b">
        <f t="shared" si="30"/>
        <v>0</v>
      </c>
      <c r="M121" t="b">
        <f t="shared" si="30"/>
        <v>0</v>
      </c>
      <c r="N121" t="b">
        <f t="shared" si="30"/>
        <v>0</v>
      </c>
      <c r="O121" t="b">
        <f t="shared" si="30"/>
        <v>0</v>
      </c>
      <c r="P121" t="b">
        <f t="shared" si="30"/>
        <v>0</v>
      </c>
      <c r="Q121" t="b">
        <f t="shared" si="30"/>
        <v>0</v>
      </c>
      <c r="R121" t="b">
        <f t="shared" si="30"/>
        <v>0</v>
      </c>
      <c r="S121" t="b">
        <f t="shared" si="30"/>
        <v>0</v>
      </c>
      <c r="T121" t="b">
        <f t="shared" si="30"/>
        <v>0</v>
      </c>
      <c r="U121" t="b">
        <f t="shared" si="30"/>
        <v>0</v>
      </c>
      <c r="V121" t="b">
        <f t="shared" si="30"/>
        <v>0</v>
      </c>
      <c r="W121" t="b">
        <f t="shared" si="30"/>
        <v>0</v>
      </c>
      <c r="X121" t="b">
        <f>IF(X56&lt;0,(X56/X29)*100)</f>
        <v>0</v>
      </c>
      <c r="Y121" t="b">
        <f>IF(Y56&lt;0,(Y56/Y29)*100)</f>
        <v>0</v>
      </c>
    </row>
    <row r="123" spans="2:26" ht="15">
      <c r="Q123" s="539"/>
      <c r="R123" s="540"/>
      <c r="S123" s="540"/>
      <c r="T123" s="540"/>
      <c r="U123" s="540"/>
      <c r="V123" s="541"/>
      <c r="W123" s="541"/>
      <c r="X123" s="541"/>
      <c r="Y123" s="541"/>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H6" activePane="bottomRight" state="frozen"/>
      <selection pane="topRight" activeCell="D1" sqref="D1"/>
      <selection pane="bottomLeft" activeCell="A6" sqref="A6"/>
      <selection pane="bottomRight" activeCell="Q25" sqref="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69" t="s">
        <v>301</v>
      </c>
      <c r="B1" s="82" t="s">
        <v>302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8">
      <c r="B2" s="30" t="s">
        <v>303</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5"/>
      <c r="AC3" s="365"/>
      <c r="AD3" s="365"/>
      <c r="AE3" s="365"/>
      <c r="AF3" s="365"/>
      <c r="AG3" s="365"/>
      <c r="AH3" s="365"/>
      <c r="AI3" s="365"/>
      <c r="AJ3" s="365"/>
      <c r="AK3" s="365"/>
      <c r="AL3" s="365"/>
      <c r="AM3" s="365"/>
      <c r="AN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7093</v>
      </c>
      <c r="AB4" s="365"/>
      <c r="AC4" s="365"/>
      <c r="AD4" s="365"/>
      <c r="AE4" s="365"/>
      <c r="AF4" s="365"/>
      <c r="AG4" s="365"/>
      <c r="AH4" s="365"/>
      <c r="AI4" s="365"/>
      <c r="AJ4" s="365"/>
      <c r="AK4" s="365"/>
      <c r="AL4" s="365"/>
      <c r="AM4" s="365"/>
      <c r="AN4" s="365"/>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5"/>
      <c r="AC5" s="365"/>
      <c r="AD5" s="365"/>
      <c r="AE5" s="365"/>
      <c r="AF5" s="365"/>
      <c r="AG5" s="365"/>
      <c r="AH5" s="365"/>
      <c r="AI5" s="365"/>
      <c r="AJ5" s="365"/>
      <c r="AK5" s="365"/>
      <c r="AL5" s="365"/>
      <c r="AM5" s="365"/>
      <c r="AN5" s="365"/>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6">
        <v>3676000000000</v>
      </c>
      <c r="N6" s="366">
        <v>4393000000000</v>
      </c>
      <c r="O6" s="366">
        <v>5790000000000</v>
      </c>
      <c r="P6" s="304">
        <v>6395000000000</v>
      </c>
      <c r="Q6" s="304">
        <v>5958000000000</v>
      </c>
      <c r="R6" s="304">
        <v>5738000000000</v>
      </c>
      <c r="S6" s="304">
        <v>5105000000000</v>
      </c>
      <c r="T6" s="304">
        <f>T7+T23</f>
        <v>5012000000000</v>
      </c>
      <c r="U6" s="304">
        <f t="shared" ref="U6:AA6" si="0">U7+U23</f>
        <v>6182000000000</v>
      </c>
      <c r="V6" s="304">
        <f t="shared" si="0"/>
        <v>6505000000000</v>
      </c>
      <c r="W6" s="304">
        <f t="shared" si="0"/>
        <v>6433000000000</v>
      </c>
      <c r="X6" s="304">
        <f t="shared" si="0"/>
        <v>6552000000000</v>
      </c>
      <c r="Y6" s="304">
        <f t="shared" si="0"/>
        <v>6923000000000</v>
      </c>
      <c r="Z6" s="304">
        <f t="shared" si="0"/>
        <v>7461000000000</v>
      </c>
      <c r="AA6" s="304">
        <f t="shared" si="0"/>
        <v>8117000000000</v>
      </c>
      <c r="AB6" s="365"/>
      <c r="AC6" s="365"/>
      <c r="AD6" s="365"/>
      <c r="AE6" s="365"/>
      <c r="AF6" s="365"/>
      <c r="AG6" s="365"/>
      <c r="AH6" s="365"/>
      <c r="AI6" s="365"/>
      <c r="AJ6" s="365"/>
      <c r="AK6" s="365"/>
      <c r="AL6" s="365"/>
      <c r="AM6" s="365"/>
      <c r="AN6" s="365"/>
      <c r="AO6" s="2463"/>
      <c r="AP6" s="2463"/>
      <c r="AQ6" s="2463"/>
      <c r="AR6" s="2463"/>
      <c r="AS6" s="2463"/>
      <c r="AT6" s="2463"/>
      <c r="AU6" s="2463"/>
      <c r="AV6" s="2463"/>
    </row>
    <row r="7" spans="1:48" ht="16.5">
      <c r="A7" s="139" t="s">
        <v>36</v>
      </c>
      <c r="B7" s="90" t="s">
        <v>36</v>
      </c>
      <c r="C7" s="345" t="s">
        <v>38</v>
      </c>
      <c r="D7" s="210">
        <f>D8+D12</f>
        <v>1578100000000</v>
      </c>
      <c r="E7" s="293">
        <f>E8+E12</f>
        <v>1463500000000</v>
      </c>
      <c r="F7" s="293">
        <f t="shared" ref="F7:S7" si="1">F8+F12</f>
        <v>1603300000000</v>
      </c>
      <c r="G7" s="293">
        <f t="shared" si="1"/>
        <v>1944600000000</v>
      </c>
      <c r="H7" s="293">
        <f t="shared" si="1"/>
        <v>2214800000000</v>
      </c>
      <c r="I7" s="293">
        <f t="shared" si="1"/>
        <v>3082700000000</v>
      </c>
      <c r="J7" s="293">
        <f t="shared" si="1"/>
        <v>3639800000000</v>
      </c>
      <c r="K7" s="293">
        <f t="shared" si="1"/>
        <v>3687700000000</v>
      </c>
      <c r="L7" s="293">
        <f t="shared" si="1"/>
        <v>5191000000000</v>
      </c>
      <c r="M7" s="293">
        <f t="shared" si="1"/>
        <v>3676000000000</v>
      </c>
      <c r="N7" s="293">
        <f t="shared" si="1"/>
        <v>4393000000000</v>
      </c>
      <c r="O7" s="293">
        <f t="shared" si="1"/>
        <v>5790000000000</v>
      </c>
      <c r="P7" s="293">
        <f t="shared" si="1"/>
        <v>6395000000000</v>
      </c>
      <c r="Q7" s="293">
        <f t="shared" si="1"/>
        <v>5957000000000</v>
      </c>
      <c r="R7" s="293">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5"/>
      <c r="AC7" s="365"/>
      <c r="AD7" s="365"/>
      <c r="AE7" s="365"/>
      <c r="AF7" s="365"/>
      <c r="AG7" s="365"/>
      <c r="AH7" s="365"/>
      <c r="AI7" s="365"/>
      <c r="AJ7" s="365"/>
      <c r="AK7" s="365"/>
      <c r="AL7" s="365"/>
      <c r="AM7" s="365"/>
      <c r="AN7" s="365"/>
      <c r="AO7" s="2463"/>
      <c r="AP7" s="2463"/>
      <c r="AQ7" s="2463"/>
      <c r="AR7" s="2463"/>
      <c r="AS7" s="2463"/>
      <c r="AT7" s="2463"/>
      <c r="AU7" s="2463"/>
      <c r="AV7" s="2463"/>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6">
        <v>2413000000000</v>
      </c>
      <c r="N8" s="366">
        <v>2905000000000</v>
      </c>
      <c r="O8" s="366">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5"/>
      <c r="AC8" s="365"/>
      <c r="AD8" s="365"/>
      <c r="AE8" s="365"/>
      <c r="AF8" s="365"/>
      <c r="AG8" s="365"/>
      <c r="AH8" s="365"/>
      <c r="AI8" s="365"/>
      <c r="AJ8" s="365"/>
      <c r="AK8" s="365"/>
      <c r="AL8" s="365"/>
      <c r="AM8" s="365"/>
      <c r="AN8" s="365"/>
      <c r="AO8" s="2463"/>
      <c r="AP8" s="2463"/>
      <c r="AQ8" s="2463"/>
      <c r="AR8" s="2463"/>
      <c r="AS8" s="2463"/>
      <c r="AT8" s="2463"/>
      <c r="AU8" s="2463"/>
      <c r="AV8" s="2463"/>
    </row>
    <row r="9" spans="1:48" ht="16.5">
      <c r="A9" s="64" t="s">
        <v>307</v>
      </c>
      <c r="B9" s="64" t="s">
        <v>308</v>
      </c>
      <c r="C9" s="27" t="s">
        <v>309</v>
      </c>
      <c r="D9" s="125"/>
      <c r="E9" s="125"/>
      <c r="F9" s="125"/>
      <c r="G9" s="125"/>
      <c r="H9" s="125"/>
      <c r="I9" s="125"/>
      <c r="J9" s="125"/>
      <c r="K9" s="125"/>
      <c r="L9" s="210">
        <v>2288000000000</v>
      </c>
      <c r="M9" s="366"/>
      <c r="N9" s="366"/>
      <c r="O9" s="366"/>
      <c r="P9" s="142"/>
      <c r="Q9" s="142"/>
      <c r="R9" s="142"/>
      <c r="S9" s="142"/>
      <c r="T9" s="142"/>
      <c r="U9" s="142"/>
      <c r="V9" s="142"/>
      <c r="W9" s="142"/>
      <c r="X9" s="142"/>
      <c r="Y9" s="142"/>
      <c r="Z9" s="142"/>
      <c r="AA9" s="142"/>
      <c r="AB9" s="365"/>
      <c r="AC9" s="365"/>
      <c r="AD9" s="365"/>
      <c r="AE9" s="365"/>
      <c r="AF9" s="365"/>
      <c r="AG9" s="365"/>
      <c r="AH9" s="365"/>
      <c r="AI9" s="365"/>
      <c r="AJ9" s="365"/>
      <c r="AK9" s="365"/>
      <c r="AL9" s="365"/>
      <c r="AM9" s="365"/>
      <c r="AN9" s="365"/>
      <c r="AO9" s="2463"/>
      <c r="AP9" s="2463"/>
      <c r="AQ9" s="2463"/>
      <c r="AR9" s="2463"/>
      <c r="AS9" s="2463"/>
      <c r="AT9" s="2463"/>
      <c r="AU9" s="2463"/>
      <c r="AV9" s="2463"/>
    </row>
    <row r="10" spans="1:48" ht="16.5">
      <c r="A10" s="64" t="s">
        <v>310</v>
      </c>
      <c r="B10" s="64" t="s">
        <v>311</v>
      </c>
      <c r="C10" s="27" t="s">
        <v>309</v>
      </c>
      <c r="D10" s="125"/>
      <c r="E10" s="125"/>
      <c r="F10" s="125"/>
      <c r="G10" s="125"/>
      <c r="H10" s="125"/>
      <c r="I10" s="125"/>
      <c r="J10" s="125"/>
      <c r="K10" s="125"/>
      <c r="L10" s="210">
        <v>85000000000</v>
      </c>
      <c r="M10" s="366"/>
      <c r="N10" s="366"/>
      <c r="O10" s="366"/>
      <c r="P10" s="142"/>
      <c r="Q10" s="142"/>
      <c r="R10" s="142"/>
      <c r="S10" s="142"/>
      <c r="T10" s="142"/>
      <c r="U10" s="142"/>
      <c r="V10" s="142"/>
      <c r="W10" s="142"/>
      <c r="X10" s="142"/>
      <c r="Y10" s="142"/>
      <c r="Z10" s="142"/>
      <c r="AA10" s="142"/>
      <c r="AB10" s="365"/>
      <c r="AC10" s="365"/>
      <c r="AD10" s="365"/>
      <c r="AE10" s="365"/>
      <c r="AF10" s="365"/>
      <c r="AG10" s="365"/>
      <c r="AH10" s="365"/>
      <c r="AI10" s="365"/>
      <c r="AJ10" s="365"/>
      <c r="AK10" s="365"/>
      <c r="AL10" s="365"/>
      <c r="AM10" s="365"/>
      <c r="AN10" s="365"/>
      <c r="AO10" s="2463"/>
      <c r="AP10" s="2463"/>
      <c r="AQ10" s="2463"/>
      <c r="AR10" s="2463"/>
      <c r="AS10" s="2463"/>
      <c r="AT10" s="2463"/>
      <c r="AU10" s="2463"/>
      <c r="AV10" s="2463"/>
    </row>
    <row r="11" spans="1:48" ht="16.5">
      <c r="A11" s="88" t="s">
        <v>312</v>
      </c>
      <c r="B11" s="88" t="s">
        <v>312</v>
      </c>
      <c r="C11" s="27" t="s">
        <v>309</v>
      </c>
      <c r="D11" s="125"/>
      <c r="E11" s="125"/>
      <c r="F11" s="125"/>
      <c r="G11" s="125"/>
      <c r="H11" s="125"/>
      <c r="I11" s="125"/>
      <c r="J11" s="125"/>
      <c r="K11" s="125"/>
      <c r="L11" s="210">
        <f>L8-L9-L10</f>
        <v>1716000000000</v>
      </c>
      <c r="M11" s="366"/>
      <c r="N11" s="366"/>
      <c r="O11" s="366"/>
      <c r="P11" s="142"/>
      <c r="Q11" s="142"/>
      <c r="R11" s="142"/>
      <c r="S11" s="142"/>
      <c r="T11" s="142"/>
      <c r="U11" s="142"/>
      <c r="V11" s="142"/>
      <c r="W11" s="142"/>
      <c r="X11" s="142"/>
      <c r="Y11" s="142"/>
      <c r="Z11" s="142"/>
      <c r="AA11" s="142"/>
      <c r="AB11" s="365"/>
      <c r="AC11" s="365"/>
      <c r="AD11" s="365"/>
      <c r="AE11" s="365"/>
      <c r="AF11" s="365"/>
      <c r="AG11" s="365"/>
      <c r="AH11" s="365"/>
      <c r="AI11" s="365"/>
      <c r="AJ11" s="365"/>
      <c r="AK11" s="365"/>
      <c r="AL11" s="365"/>
      <c r="AM11" s="365"/>
      <c r="AN11" s="365"/>
      <c r="AO11" s="2463"/>
      <c r="AP11" s="2463"/>
      <c r="AQ11" s="2463"/>
      <c r="AR11" s="2463"/>
      <c r="AS11" s="2463"/>
      <c r="AT11" s="2463"/>
      <c r="AU11" s="2463"/>
      <c r="AV11" s="2463"/>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6">
        <v>1263000000000</v>
      </c>
      <c r="N12" s="366">
        <v>1488000000000</v>
      </c>
      <c r="O12" s="366">
        <v>1810000000000</v>
      </c>
      <c r="P12" s="142">
        <v>2211000000000</v>
      </c>
      <c r="Q12" s="649">
        <v>2279000000000</v>
      </c>
      <c r="R12" s="649">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5"/>
      <c r="AC12" s="365"/>
      <c r="AD12" s="365"/>
      <c r="AE12" s="365"/>
      <c r="AF12" s="365"/>
      <c r="AG12" s="365"/>
      <c r="AH12" s="365"/>
      <c r="AI12" s="365"/>
      <c r="AJ12" s="365"/>
      <c r="AK12" s="365"/>
      <c r="AL12" s="365"/>
      <c r="AM12" s="365"/>
      <c r="AN12" s="365"/>
      <c r="AO12" s="2463"/>
      <c r="AP12" s="2463"/>
      <c r="AQ12" s="2463"/>
      <c r="AR12" s="2463"/>
      <c r="AS12" s="2463"/>
      <c r="AT12" s="2463"/>
      <c r="AU12" s="2463"/>
      <c r="AV12" s="2463"/>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6">
        <v>1147000000000</v>
      </c>
      <c r="N13" s="366">
        <v>1298000000000</v>
      </c>
      <c r="O13" s="366">
        <v>1527000000000</v>
      </c>
      <c r="P13" s="142">
        <v>1965000000000</v>
      </c>
      <c r="Q13" s="649">
        <v>2031000000000</v>
      </c>
      <c r="R13" s="649">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5"/>
      <c r="AC13" s="365"/>
      <c r="AD13" s="365"/>
      <c r="AE13" s="365"/>
      <c r="AF13" s="365"/>
      <c r="AG13" s="365"/>
      <c r="AH13" s="365"/>
      <c r="AI13" s="365"/>
      <c r="AJ13" s="365"/>
      <c r="AK13" s="365"/>
      <c r="AL13" s="365"/>
      <c r="AM13" s="365"/>
      <c r="AN13" s="365"/>
      <c r="AO13" s="2463"/>
      <c r="AP13" s="2463"/>
      <c r="AQ13" s="2463"/>
      <c r="AR13" s="2463"/>
      <c r="AS13" s="2463"/>
      <c r="AT13" s="2463"/>
      <c r="AU13" s="2463"/>
      <c r="AV13" s="2463"/>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6">
        <v>462000000000</v>
      </c>
      <c r="N14" s="366">
        <v>562000000000</v>
      </c>
      <c r="O14" s="366">
        <v>685000000000</v>
      </c>
      <c r="P14" s="142">
        <v>886000000000</v>
      </c>
      <c r="Q14" s="649">
        <v>823000000000</v>
      </c>
      <c r="R14" s="649">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5"/>
      <c r="AC14" s="365"/>
      <c r="AD14" s="365"/>
      <c r="AE14" s="365"/>
      <c r="AF14" s="365"/>
      <c r="AG14" s="365"/>
      <c r="AH14" s="365"/>
      <c r="AI14" s="365"/>
      <c r="AJ14" s="365"/>
      <c r="AK14" s="365"/>
      <c r="AL14" s="365"/>
      <c r="AM14" s="365"/>
      <c r="AN14" s="365"/>
      <c r="AO14" s="2463"/>
      <c r="AP14" s="2463"/>
      <c r="AQ14" s="2463"/>
      <c r="AR14" s="2463"/>
      <c r="AS14" s="2463"/>
      <c r="AT14" s="2463"/>
      <c r="AU14" s="2463"/>
      <c r="AV14" s="2463"/>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6">
        <v>478000000000</v>
      </c>
      <c r="N15" s="366">
        <v>515000000000</v>
      </c>
      <c r="O15" s="366">
        <v>573000000000</v>
      </c>
      <c r="P15" s="142">
        <v>685000000000</v>
      </c>
      <c r="Q15" s="649">
        <v>742000000000</v>
      </c>
      <c r="R15" s="649">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5"/>
      <c r="AC15" s="365"/>
      <c r="AD15" s="365"/>
      <c r="AE15" s="365"/>
      <c r="AF15" s="365"/>
      <c r="AG15" s="365"/>
      <c r="AH15" s="365"/>
      <c r="AI15" s="365"/>
      <c r="AJ15" s="365"/>
      <c r="AK15" s="365"/>
      <c r="AL15" s="365"/>
      <c r="AM15" s="365"/>
      <c r="AN15" s="365"/>
      <c r="AO15" s="2463"/>
      <c r="AP15" s="2463"/>
      <c r="AQ15" s="2463"/>
      <c r="AR15" s="2463"/>
      <c r="AS15" s="2463"/>
      <c r="AT15" s="2463"/>
      <c r="AU15" s="2463"/>
      <c r="AV15" s="2463"/>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6">
        <v>170000000000</v>
      </c>
      <c r="N16" s="366">
        <v>182000000000</v>
      </c>
      <c r="O16" s="366">
        <v>222000000000</v>
      </c>
      <c r="P16" s="142">
        <v>338000000000</v>
      </c>
      <c r="Q16" s="649">
        <v>404000000000</v>
      </c>
      <c r="R16" s="649">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5"/>
      <c r="AC16" s="365"/>
      <c r="AD16" s="365"/>
      <c r="AE16" s="365"/>
      <c r="AF16" s="365"/>
      <c r="AG16" s="365"/>
      <c r="AH16" s="365"/>
      <c r="AI16" s="365"/>
      <c r="AJ16" s="365"/>
      <c r="AK16" s="365"/>
      <c r="AL16" s="365"/>
      <c r="AM16" s="365"/>
      <c r="AN16" s="365"/>
      <c r="AO16" s="2463"/>
      <c r="AP16" s="2463"/>
      <c r="AQ16" s="2463"/>
      <c r="AR16" s="2463"/>
      <c r="AS16" s="2463"/>
      <c r="AT16" s="2463"/>
      <c r="AU16" s="2463"/>
      <c r="AV16" s="2463"/>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6">
        <v>36000000000</v>
      </c>
      <c r="N17" s="366">
        <v>40000000000</v>
      </c>
      <c r="O17" s="366">
        <v>47000000000</v>
      </c>
      <c r="P17" s="142">
        <v>56000000000</v>
      </c>
      <c r="Q17" s="649">
        <v>63000000000</v>
      </c>
      <c r="R17" s="649">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5"/>
      <c r="AC17" s="365"/>
      <c r="AD17" s="365"/>
      <c r="AE17" s="365"/>
      <c r="AF17" s="365"/>
      <c r="AG17" s="365"/>
      <c r="AH17" s="365"/>
      <c r="AI17" s="365"/>
      <c r="AJ17" s="365"/>
      <c r="AK17" s="365"/>
      <c r="AL17" s="365"/>
      <c r="AM17" s="365"/>
      <c r="AN17" s="365"/>
      <c r="AO17" s="2463"/>
      <c r="AP17" s="2463"/>
      <c r="AQ17" s="2463"/>
      <c r="AR17" s="2463"/>
      <c r="AS17" s="2463"/>
      <c r="AT17" s="2463"/>
      <c r="AU17" s="2463"/>
      <c r="AV17" s="2463"/>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6">
        <v>117000000000</v>
      </c>
      <c r="N18" s="366">
        <v>190000000000</v>
      </c>
      <c r="O18" s="366">
        <v>283000000000</v>
      </c>
      <c r="P18" s="142">
        <v>246000000000</v>
      </c>
      <c r="Q18" s="649">
        <v>248000000000</v>
      </c>
      <c r="R18" s="649">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5"/>
      <c r="AC18" s="365"/>
      <c r="AD18" s="365"/>
      <c r="AE18" s="365"/>
      <c r="AF18" s="365"/>
      <c r="AG18" s="365"/>
      <c r="AH18" s="365"/>
      <c r="AI18" s="365"/>
      <c r="AJ18" s="365"/>
      <c r="AK18" s="365"/>
      <c r="AL18" s="365"/>
      <c r="AM18" s="365"/>
      <c r="AN18" s="365"/>
      <c r="AO18" s="2463"/>
      <c r="AP18" s="2463"/>
      <c r="AQ18" s="2463"/>
      <c r="AR18" s="2463"/>
      <c r="AS18" s="2463"/>
      <c r="AT18" s="2463"/>
      <c r="AU18" s="2463"/>
      <c r="AV18" s="2463"/>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6">
        <v>68000000000</v>
      </c>
      <c r="N19" s="366">
        <v>64000000000</v>
      </c>
      <c r="O19" s="366">
        <v>79000000000</v>
      </c>
      <c r="P19" s="142">
        <v>78000000000</v>
      </c>
      <c r="Q19" s="649">
        <v>84000000000</v>
      </c>
      <c r="R19" s="649">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5"/>
      <c r="AC19" s="365"/>
      <c r="AD19" s="365"/>
      <c r="AE19" s="365"/>
      <c r="AF19" s="365"/>
      <c r="AG19" s="365"/>
      <c r="AH19" s="365"/>
      <c r="AI19" s="365"/>
      <c r="AJ19" s="365"/>
      <c r="AK19" s="365"/>
      <c r="AL19" s="365"/>
      <c r="AM19" s="365"/>
      <c r="AN19" s="365"/>
      <c r="AO19" s="2463"/>
      <c r="AP19" s="2463"/>
      <c r="AQ19" s="2463"/>
      <c r="AR19" s="2463"/>
      <c r="AS19" s="2463"/>
      <c r="AT19" s="2463"/>
      <c r="AU19" s="2463"/>
      <c r="AV19" s="2463"/>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6">
        <v>48000000000</v>
      </c>
      <c r="N20" s="366">
        <v>121000000000</v>
      </c>
      <c r="O20" s="366">
        <v>137000000000</v>
      </c>
      <c r="P20" s="142">
        <v>115000000000</v>
      </c>
      <c r="Q20" s="649">
        <v>112000000000</v>
      </c>
      <c r="R20" s="649">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5"/>
      <c r="AC20" s="365"/>
      <c r="AD20" s="365"/>
      <c r="AE20" s="365"/>
      <c r="AF20" s="365"/>
      <c r="AG20" s="365"/>
      <c r="AH20" s="365"/>
      <c r="AI20" s="365"/>
      <c r="AJ20" s="365"/>
      <c r="AK20" s="365"/>
      <c r="AL20" s="365"/>
      <c r="AM20" s="365"/>
      <c r="AN20" s="365"/>
      <c r="AO20" s="2463"/>
      <c r="AP20" s="2463"/>
      <c r="AQ20" s="2463"/>
      <c r="AR20" s="2463"/>
      <c r="AS20" s="2463"/>
      <c r="AT20" s="2463"/>
      <c r="AU20" s="2463"/>
      <c r="AV20" s="2463"/>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6"/>
      <c r="N21" s="366"/>
      <c r="O21" s="366"/>
      <c r="P21" s="142"/>
      <c r="Q21" s="649"/>
      <c r="R21" s="649"/>
      <c r="S21" s="142"/>
      <c r="T21" s="142"/>
      <c r="U21" s="142"/>
      <c r="V21" s="142"/>
      <c r="W21" s="142"/>
      <c r="X21" s="142"/>
      <c r="Y21" s="142"/>
      <c r="Z21" s="142"/>
      <c r="AA21" s="142"/>
      <c r="AB21" s="365"/>
      <c r="AC21" s="365"/>
      <c r="AD21" s="365"/>
      <c r="AE21" s="365"/>
      <c r="AF21" s="365"/>
      <c r="AG21" s="365"/>
      <c r="AH21" s="365"/>
      <c r="AI21" s="365"/>
      <c r="AJ21" s="365"/>
      <c r="AK21" s="365"/>
      <c r="AL21" s="365"/>
      <c r="AM21" s="365"/>
      <c r="AN21" s="365"/>
      <c r="AO21" s="2463"/>
      <c r="AP21" s="2463"/>
      <c r="AQ21" s="2463"/>
      <c r="AR21" s="2463"/>
      <c r="AS21" s="2463"/>
      <c r="AT21" s="2463"/>
      <c r="AU21" s="2463"/>
      <c r="AV21" s="2463"/>
    </row>
    <row r="22" spans="1:48" ht="16.5">
      <c r="A22" s="138" t="s">
        <v>50</v>
      </c>
      <c r="B22" s="138" t="s">
        <v>50</v>
      </c>
      <c r="C22" s="27" t="s">
        <v>326</v>
      </c>
      <c r="D22" s="125"/>
      <c r="E22" s="125"/>
      <c r="F22" s="125"/>
      <c r="G22" s="125"/>
      <c r="H22" s="125"/>
      <c r="I22" s="125"/>
      <c r="J22" s="125"/>
      <c r="K22" s="125"/>
      <c r="L22" s="210">
        <v>0</v>
      </c>
      <c r="M22" s="366">
        <v>1000000000</v>
      </c>
      <c r="N22" s="366">
        <v>4000000000</v>
      </c>
      <c r="O22" s="366">
        <v>67000000000</v>
      </c>
      <c r="P22" s="142">
        <v>53000000000</v>
      </c>
      <c r="Q22" s="649">
        <v>53000000000</v>
      </c>
      <c r="R22" s="649">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5"/>
      <c r="AC22" s="365"/>
      <c r="AD22" s="365"/>
      <c r="AE22" s="365"/>
      <c r="AF22" s="365"/>
      <c r="AG22" s="365"/>
      <c r="AH22" s="365"/>
      <c r="AI22" s="365"/>
      <c r="AJ22" s="365"/>
      <c r="AK22" s="365"/>
      <c r="AL22" s="365"/>
      <c r="AM22" s="365"/>
      <c r="AN22" s="365"/>
      <c r="AO22" s="2463"/>
      <c r="AP22" s="2463"/>
      <c r="AQ22" s="2463"/>
      <c r="AR22" s="2463"/>
      <c r="AS22" s="2463"/>
      <c r="AT22" s="2463"/>
      <c r="AU22" s="2463"/>
      <c r="AV22" s="2463"/>
    </row>
    <row r="23" spans="1:48" ht="16.5">
      <c r="A23" s="139" t="s">
        <v>53</v>
      </c>
      <c r="B23" s="139" t="s">
        <v>53</v>
      </c>
      <c r="C23" s="345" t="s">
        <v>38</v>
      </c>
      <c r="D23" s="210">
        <v>0</v>
      </c>
      <c r="E23" s="178">
        <v>15600000000</v>
      </c>
      <c r="F23" s="178">
        <v>0</v>
      </c>
      <c r="G23" s="178">
        <v>2900000000</v>
      </c>
      <c r="H23" s="178">
        <v>400000000</v>
      </c>
      <c r="I23" s="178">
        <v>0</v>
      </c>
      <c r="J23" s="178">
        <v>100000000</v>
      </c>
      <c r="K23" s="178">
        <v>200000000</v>
      </c>
      <c r="L23" s="125">
        <v>0</v>
      </c>
      <c r="M23" s="366">
        <v>0</v>
      </c>
      <c r="N23" s="366">
        <v>0</v>
      </c>
      <c r="O23" s="366">
        <v>0</v>
      </c>
      <c r="P23" s="142">
        <v>0</v>
      </c>
      <c r="Q23" s="649">
        <v>0</v>
      </c>
      <c r="R23" s="649">
        <v>0</v>
      </c>
      <c r="S23" s="142">
        <v>0</v>
      </c>
      <c r="T23" s="142">
        <v>0</v>
      </c>
      <c r="U23" s="142">
        <v>0</v>
      </c>
      <c r="V23" s="142">
        <v>0</v>
      </c>
      <c r="W23" s="142">
        <v>0</v>
      </c>
      <c r="X23" s="142">
        <v>0</v>
      </c>
      <c r="Y23" s="142">
        <v>0</v>
      </c>
      <c r="Z23" s="142">
        <v>0</v>
      </c>
      <c r="AA23" s="142">
        <v>0</v>
      </c>
      <c r="AB23" s="365"/>
      <c r="AC23" s="365"/>
      <c r="AD23" s="365"/>
      <c r="AE23" s="365"/>
      <c r="AF23" s="365"/>
      <c r="AG23" s="365"/>
      <c r="AH23" s="365"/>
      <c r="AI23" s="365"/>
      <c r="AJ23" s="365"/>
      <c r="AK23" s="365"/>
      <c r="AL23" s="365"/>
      <c r="AM23" s="365"/>
      <c r="AN23" s="365"/>
      <c r="AO23" s="2463"/>
      <c r="AP23" s="2463"/>
      <c r="AQ23" s="2463"/>
      <c r="AR23" s="2463"/>
      <c r="AS23" s="2463"/>
      <c r="AT23" s="2463"/>
      <c r="AU23" s="2463"/>
      <c r="AV23" s="2463"/>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6">
        <v>4221000000000</v>
      </c>
      <c r="N24" s="366">
        <v>4440000000000</v>
      </c>
      <c r="O24" s="366">
        <v>5853000000000</v>
      </c>
      <c r="P24" s="304">
        <v>7058000000000</v>
      </c>
      <c r="Q24" s="2623">
        <f>Q25+Q31</f>
        <v>6025000000000</v>
      </c>
      <c r="R24" s="2623">
        <v>6996000000000</v>
      </c>
      <c r="S24" s="2623">
        <v>7656000000000</v>
      </c>
      <c r="T24" s="2623">
        <f>T25+T31</f>
        <v>7299000000000</v>
      </c>
      <c r="U24" s="2623">
        <f t="shared" ref="U24:AA24" si="6">U25+U31</f>
        <v>7389000000000</v>
      </c>
      <c r="V24" s="2623">
        <f t="shared" si="6"/>
        <v>8274000000000</v>
      </c>
      <c r="W24" s="2623">
        <f t="shared" si="6"/>
        <v>7419000000000</v>
      </c>
      <c r="X24" s="2623">
        <f t="shared" si="6"/>
        <v>7225000000000</v>
      </c>
      <c r="Y24" s="2623">
        <f t="shared" si="6"/>
        <v>7333000000000</v>
      </c>
      <c r="Z24" s="2623">
        <f t="shared" si="6"/>
        <v>7463000000000</v>
      </c>
      <c r="AA24" s="2623">
        <f t="shared" si="6"/>
        <v>8115000000000</v>
      </c>
      <c r="AB24" s="365"/>
      <c r="AC24" s="365"/>
      <c r="AD24" s="365"/>
      <c r="AE24" s="365"/>
      <c r="AF24" s="365"/>
      <c r="AG24" s="365"/>
      <c r="AH24" s="365"/>
      <c r="AI24" s="365"/>
      <c r="AJ24" s="365"/>
      <c r="AK24" s="365"/>
      <c r="AL24" s="365"/>
      <c r="AM24" s="365"/>
      <c r="AN24" s="365"/>
      <c r="AO24" s="2463"/>
      <c r="AP24" s="2463"/>
      <c r="AQ24" s="2463"/>
      <c r="AR24" s="2463"/>
      <c r="AS24" s="2463"/>
      <c r="AT24" s="2463"/>
      <c r="AU24" s="2463"/>
      <c r="AV24" s="2463"/>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6">
        <v>2275000000000</v>
      </c>
      <c r="N25" s="366">
        <v>2632000000000</v>
      </c>
      <c r="O25" s="366">
        <v>3879000000000</v>
      </c>
      <c r="P25" s="142">
        <v>4783000000000</v>
      </c>
      <c r="Q25" s="649">
        <v>4132000000000</v>
      </c>
      <c r="R25" s="649">
        <v>4494000000000</v>
      </c>
      <c r="S25" s="649">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5"/>
      <c r="AC25" s="365"/>
      <c r="AD25" s="365"/>
      <c r="AE25" s="365"/>
      <c r="AF25" s="365"/>
      <c r="AG25" s="365"/>
      <c r="AH25" s="365"/>
      <c r="AI25" s="365"/>
      <c r="AJ25" s="365"/>
      <c r="AK25" s="365"/>
      <c r="AL25" s="365"/>
      <c r="AM25" s="365"/>
      <c r="AN25" s="365"/>
      <c r="AO25" s="2463"/>
      <c r="AP25" s="2463"/>
      <c r="AQ25" s="2463"/>
      <c r="AR25" s="2463"/>
      <c r="AS25" s="2463"/>
      <c r="AT25" s="2463"/>
      <c r="AU25" s="2463"/>
      <c r="AV25" s="2463"/>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6">
        <v>880000000000</v>
      </c>
      <c r="N26" s="366">
        <v>1193000000000</v>
      </c>
      <c r="O26" s="366">
        <v>1740000000000</v>
      </c>
      <c r="P26" s="142">
        <v>1980000000000</v>
      </c>
      <c r="Q26" s="649">
        <v>1792000000000</v>
      </c>
      <c r="R26" s="649">
        <v>1941000000000</v>
      </c>
      <c r="S26" s="649">
        <v>2127000000000</v>
      </c>
      <c r="T26" s="142">
        <v>2219000000000</v>
      </c>
      <c r="U26" s="142">
        <v>2193000000000</v>
      </c>
      <c r="V26" s="142">
        <v>2198000000000</v>
      </c>
      <c r="W26" s="142">
        <v>2198000000000</v>
      </c>
      <c r="X26" s="142">
        <v>2199000000000</v>
      </c>
      <c r="Y26" s="142">
        <v>2320000000000</v>
      </c>
      <c r="Z26" s="142">
        <v>2492000000000</v>
      </c>
      <c r="AA26" s="142">
        <v>2700000000000</v>
      </c>
      <c r="AB26" s="365"/>
      <c r="AC26" s="365"/>
      <c r="AD26" s="365"/>
      <c r="AE26" s="365"/>
      <c r="AF26" s="365"/>
      <c r="AG26" s="365"/>
      <c r="AH26" s="365"/>
      <c r="AI26" s="365"/>
      <c r="AJ26" s="365"/>
      <c r="AK26" s="365"/>
      <c r="AL26" s="365"/>
      <c r="AM26" s="365"/>
      <c r="AN26" s="365"/>
      <c r="AO26" s="2463"/>
      <c r="AP26" s="2463"/>
      <c r="AQ26" s="2463"/>
      <c r="AR26" s="2463"/>
      <c r="AS26" s="2463"/>
      <c r="AT26" s="2463"/>
      <c r="AU26" s="2463"/>
      <c r="AV26" s="2463"/>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6">
        <v>131000000000</v>
      </c>
      <c r="N27" s="366">
        <v>151000000000</v>
      </c>
      <c r="O27" s="366">
        <v>163000000000</v>
      </c>
      <c r="P27" s="142">
        <v>185000000000</v>
      </c>
      <c r="Q27" s="649">
        <v>226000000000</v>
      </c>
      <c r="R27" s="649">
        <v>218000000000</v>
      </c>
      <c r="S27" s="649">
        <v>223000000000</v>
      </c>
      <c r="T27" s="142">
        <v>226000000000</v>
      </c>
      <c r="U27" s="142">
        <v>216000000000</v>
      </c>
      <c r="V27" s="142">
        <v>224000000000</v>
      </c>
      <c r="W27" s="142">
        <v>232000000000</v>
      </c>
      <c r="X27" s="142">
        <v>249000000000</v>
      </c>
      <c r="Y27" s="142">
        <v>271000000000</v>
      </c>
      <c r="Z27" s="142">
        <v>301000000000</v>
      </c>
      <c r="AA27" s="142">
        <v>343000000000</v>
      </c>
      <c r="AB27" s="365"/>
      <c r="AC27" s="365"/>
      <c r="AD27" s="365"/>
      <c r="AE27" s="365"/>
      <c r="AF27" s="365"/>
      <c r="AG27" s="365"/>
      <c r="AH27" s="365"/>
      <c r="AI27" s="365"/>
      <c r="AJ27" s="365"/>
      <c r="AK27" s="365"/>
      <c r="AL27" s="365"/>
      <c r="AM27" s="365"/>
      <c r="AN27" s="365"/>
      <c r="AO27" s="2463"/>
      <c r="AP27" s="2463"/>
      <c r="AQ27" s="2463"/>
      <c r="AR27" s="2463"/>
      <c r="AS27" s="2463"/>
      <c r="AT27" s="2463"/>
      <c r="AU27" s="2463"/>
      <c r="AV27" s="2463"/>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6">
        <v>113000000000</v>
      </c>
      <c r="N28" s="366">
        <v>122000000000</v>
      </c>
      <c r="O28" s="366">
        <v>130000000000</v>
      </c>
      <c r="P28" s="142">
        <v>135000000000</v>
      </c>
      <c r="Q28" s="649">
        <v>149000000000</v>
      </c>
      <c r="R28" s="649">
        <v>162000000000</v>
      </c>
      <c r="S28" s="649">
        <v>180000000000</v>
      </c>
      <c r="T28" s="142">
        <v>186000000000</v>
      </c>
      <c r="U28" s="142">
        <v>120000000000</v>
      </c>
      <c r="V28" s="142">
        <v>112000000000</v>
      </c>
      <c r="W28" s="142">
        <v>105000000000</v>
      </c>
      <c r="X28" s="142">
        <v>117000000000</v>
      </c>
      <c r="Y28" s="142">
        <v>133000000000</v>
      </c>
      <c r="Z28" s="142">
        <v>154000000000</v>
      </c>
      <c r="AA28" s="142">
        <v>181000000000</v>
      </c>
      <c r="AB28" s="365"/>
      <c r="AC28" s="365"/>
      <c r="AD28" s="365"/>
      <c r="AE28" s="365"/>
      <c r="AF28" s="365"/>
      <c r="AG28" s="365"/>
      <c r="AH28" s="365"/>
      <c r="AI28" s="365"/>
      <c r="AJ28" s="365"/>
      <c r="AK28" s="365"/>
      <c r="AL28" s="365"/>
      <c r="AO28" s="2463"/>
      <c r="AP28" s="2463"/>
      <c r="AQ28" s="2463"/>
      <c r="AR28" s="2463"/>
      <c r="AS28" s="2463"/>
      <c r="AT28" s="2463"/>
      <c r="AU28" s="2463"/>
      <c r="AV28" s="2463"/>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6">
        <v>1114000000000</v>
      </c>
      <c r="N29" s="366">
        <v>1130000000000</v>
      </c>
      <c r="O29" s="366">
        <v>1808000000000</v>
      </c>
      <c r="P29" s="142">
        <v>2441000000000</v>
      </c>
      <c r="Q29" s="649">
        <v>1920000000000</v>
      </c>
      <c r="R29" s="649">
        <v>2136000000000</v>
      </c>
      <c r="S29" s="649">
        <v>2044000000000</v>
      </c>
      <c r="T29" s="142">
        <v>1909000000000</v>
      </c>
      <c r="U29" s="142">
        <v>2075000000000</v>
      </c>
      <c r="V29" s="142">
        <v>2467000000000</v>
      </c>
      <c r="W29" s="142">
        <v>1995000000000</v>
      </c>
      <c r="X29" s="142">
        <v>1939000000000</v>
      </c>
      <c r="Y29" s="142">
        <v>2040000000000</v>
      </c>
      <c r="Z29" s="142">
        <v>2107000000000</v>
      </c>
      <c r="AA29" s="142">
        <v>2223000000000</v>
      </c>
      <c r="AB29" s="365"/>
      <c r="AC29" s="365"/>
      <c r="AD29" s="365"/>
      <c r="AE29" s="365"/>
      <c r="AF29" s="365"/>
      <c r="AG29" s="365"/>
      <c r="AH29" s="365"/>
      <c r="AI29" s="365"/>
      <c r="AJ29" s="365"/>
      <c r="AK29" s="365"/>
      <c r="AL29" s="365"/>
      <c r="AM29" s="365"/>
      <c r="AN29" s="365"/>
      <c r="AO29" s="2463"/>
      <c r="AP29" s="2463"/>
      <c r="AQ29" s="2463"/>
      <c r="AR29" s="2463"/>
      <c r="AS29" s="2463"/>
      <c r="AT29" s="2463"/>
      <c r="AU29" s="2463"/>
      <c r="AV29" s="2463"/>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6">
        <v>37000000000</v>
      </c>
      <c r="N30" s="366">
        <v>36000000000</v>
      </c>
      <c r="O30" s="366">
        <v>38000000000</v>
      </c>
      <c r="P30" s="142">
        <v>42000000000</v>
      </c>
      <c r="Q30" s="649">
        <v>44000000000</v>
      </c>
      <c r="R30" s="649">
        <v>38000000000</v>
      </c>
      <c r="S30" s="649">
        <v>43000000000</v>
      </c>
      <c r="T30" s="142">
        <v>47000000000</v>
      </c>
      <c r="U30" s="142">
        <v>154000000000</v>
      </c>
      <c r="V30" s="142">
        <v>84000000000</v>
      </c>
      <c r="W30" s="142">
        <v>116000000000</v>
      </c>
      <c r="X30" s="142">
        <v>151000000000</v>
      </c>
      <c r="Y30" s="142">
        <v>151000000000</v>
      </c>
      <c r="Z30" s="142">
        <v>159000000000</v>
      </c>
      <c r="AA30" s="142">
        <v>174000000000</v>
      </c>
      <c r="AB30" s="365"/>
      <c r="AC30" s="365"/>
      <c r="AD30" s="365"/>
      <c r="AE30" s="365"/>
      <c r="AF30" s="365"/>
      <c r="AG30" s="365"/>
      <c r="AH30" s="365"/>
      <c r="AI30" s="365"/>
      <c r="AJ30" s="365"/>
      <c r="AK30" s="365"/>
      <c r="AL30" s="365"/>
      <c r="AM30" s="365"/>
      <c r="AN30" s="365"/>
      <c r="AO30" s="2463"/>
      <c r="AP30" s="2463"/>
      <c r="AQ30" s="2463"/>
      <c r="AR30" s="2463"/>
      <c r="AS30" s="2463"/>
      <c r="AT30" s="2463"/>
      <c r="AU30" s="2463"/>
      <c r="AV30" s="2463"/>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6">
        <v>1946000000000</v>
      </c>
      <c r="N31" s="366">
        <v>1808000000000</v>
      </c>
      <c r="O31" s="366">
        <v>1974000000000</v>
      </c>
      <c r="P31" s="142">
        <v>2276000000000</v>
      </c>
      <c r="Q31" s="649">
        <v>1893000000000</v>
      </c>
      <c r="R31" s="649">
        <v>2501000000000</v>
      </c>
      <c r="S31" s="649">
        <v>3039000000000</v>
      </c>
      <c r="T31" s="142">
        <v>2712000000000</v>
      </c>
      <c r="U31" s="142">
        <v>2631000000000</v>
      </c>
      <c r="V31" s="142">
        <v>3189000000000</v>
      </c>
      <c r="W31" s="142">
        <v>2773000000000</v>
      </c>
      <c r="X31" s="142">
        <v>2570000000000</v>
      </c>
      <c r="Y31" s="142">
        <v>2418000000000</v>
      </c>
      <c r="Z31" s="142">
        <v>2250000000000</v>
      </c>
      <c r="AA31" s="142">
        <v>2494000000000</v>
      </c>
      <c r="AB31" s="365"/>
      <c r="AC31" s="365"/>
      <c r="AD31" s="365"/>
      <c r="AE31" s="365"/>
      <c r="AF31" s="365"/>
      <c r="AG31" s="365"/>
      <c r="AH31" s="365"/>
      <c r="AI31" s="365"/>
      <c r="AJ31" s="365"/>
      <c r="AK31" s="365"/>
      <c r="AL31" s="365"/>
      <c r="AM31" s="365"/>
      <c r="AN31" s="365"/>
      <c r="AO31" s="2463"/>
      <c r="AP31" s="2463"/>
      <c r="AQ31" s="2463"/>
      <c r="AR31" s="2463"/>
      <c r="AS31" s="2463"/>
      <c r="AT31" s="2463"/>
      <c r="AU31" s="2463"/>
      <c r="AV31" s="2463"/>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6">
        <v>-545000000000</v>
      </c>
      <c r="N32" s="366">
        <v>-47000000000</v>
      </c>
      <c r="O32" s="366">
        <v>-63000000000</v>
      </c>
      <c r="P32" s="142">
        <v>-663000000000</v>
      </c>
      <c r="Q32" s="649">
        <v>-67000000000</v>
      </c>
      <c r="R32" s="649">
        <v>-1258000000000</v>
      </c>
      <c r="S32" s="649">
        <v>-2552000000000</v>
      </c>
      <c r="T32" s="142"/>
      <c r="U32" s="142"/>
      <c r="V32" s="142"/>
      <c r="W32" s="142"/>
      <c r="X32" s="142"/>
      <c r="Y32" s="142"/>
      <c r="Z32" s="142"/>
      <c r="AA32" s="142"/>
      <c r="AB32" s="365"/>
      <c r="AC32" s="365"/>
      <c r="AD32" s="365"/>
      <c r="AE32" s="365"/>
      <c r="AF32" s="365"/>
      <c r="AG32" s="365"/>
      <c r="AH32" s="365"/>
      <c r="AI32" s="365"/>
      <c r="AJ32" s="365"/>
      <c r="AK32" s="365"/>
      <c r="AL32" s="365"/>
      <c r="AM32" s="365"/>
      <c r="AN32" s="365"/>
      <c r="AO32" s="2463"/>
      <c r="AP32" s="2463"/>
      <c r="AQ32" s="2463"/>
      <c r="AR32" s="2463"/>
      <c r="AS32" s="2463"/>
      <c r="AT32" s="2463"/>
      <c r="AU32" s="2463"/>
      <c r="AV32" s="2463"/>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6"/>
      <c r="N33" s="366"/>
      <c r="O33" s="366"/>
      <c r="P33" s="142"/>
      <c r="Q33" s="649"/>
      <c r="R33" s="649"/>
      <c r="S33" s="649"/>
      <c r="T33" s="142"/>
      <c r="U33" s="142"/>
      <c r="V33" s="142"/>
      <c r="W33" s="142"/>
      <c r="X33" s="142"/>
      <c r="Y33" s="142"/>
      <c r="Z33" s="142"/>
      <c r="AA33" s="142"/>
      <c r="AB33" s="365"/>
      <c r="AC33" s="365"/>
      <c r="AD33" s="365"/>
      <c r="AE33" s="365"/>
      <c r="AF33" s="365"/>
      <c r="AG33" s="365"/>
      <c r="AH33" s="365"/>
      <c r="AI33" s="365"/>
      <c r="AJ33" s="365"/>
      <c r="AK33" s="365"/>
      <c r="AL33" s="365"/>
      <c r="AM33" s="365"/>
      <c r="AN33" s="365"/>
      <c r="AO33" s="2463"/>
      <c r="AP33" s="2463"/>
      <c r="AQ33" s="2463"/>
      <c r="AR33" s="2463"/>
      <c r="AS33" s="2463"/>
      <c r="AT33" s="2463"/>
      <c r="AU33" s="2463"/>
      <c r="AV33" s="2463"/>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6"/>
      <c r="N34" s="366"/>
      <c r="O34" s="366"/>
      <c r="P34" s="142"/>
      <c r="Q34" s="649"/>
      <c r="R34" s="649"/>
      <c r="S34" s="649"/>
      <c r="T34" s="649"/>
      <c r="U34" s="649"/>
      <c r="V34" s="649"/>
      <c r="W34" s="649"/>
      <c r="X34" s="649"/>
      <c r="Y34" s="649"/>
      <c r="Z34" s="649"/>
      <c r="AA34" s="649"/>
      <c r="AB34" s="365"/>
      <c r="AC34" s="365"/>
      <c r="AD34" s="365"/>
      <c r="AE34" s="365"/>
      <c r="AF34" s="365"/>
      <c r="AG34" s="365"/>
      <c r="AH34" s="365"/>
      <c r="AI34" s="365"/>
      <c r="AJ34" s="365"/>
      <c r="AK34" s="365"/>
      <c r="AL34" s="365"/>
      <c r="AM34" s="365"/>
      <c r="AN34" s="365"/>
      <c r="AO34" s="2463"/>
      <c r="AP34" s="2463"/>
      <c r="AQ34" s="2463"/>
      <c r="AR34" s="2463"/>
      <c r="AS34" s="2463"/>
      <c r="AT34" s="2463"/>
      <c r="AU34" s="2463"/>
      <c r="AV34" s="2463"/>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6">
        <v>-688000000000</v>
      </c>
      <c r="N35" s="366">
        <v>-151000000000</v>
      </c>
      <c r="O35" s="366">
        <v>-168000000000</v>
      </c>
      <c r="P35" s="142">
        <v>-804000000000</v>
      </c>
      <c r="Q35" s="649">
        <v>-144000000000</v>
      </c>
      <c r="R35" s="649">
        <v>-1376000000000</v>
      </c>
      <c r="S35" s="649">
        <v>-2620000000000</v>
      </c>
      <c r="T35" s="649"/>
      <c r="U35" s="649"/>
      <c r="V35" s="649"/>
      <c r="W35" s="649"/>
      <c r="X35" s="649"/>
      <c r="Y35" s="649"/>
      <c r="Z35" s="649"/>
      <c r="AA35" s="649"/>
      <c r="AB35" s="365"/>
      <c r="AC35" s="365"/>
      <c r="AD35" s="365"/>
      <c r="AE35" s="365"/>
      <c r="AF35" s="365"/>
      <c r="AG35" s="365"/>
      <c r="AH35" s="365"/>
      <c r="AI35" s="365"/>
      <c r="AJ35" s="365"/>
      <c r="AK35" s="365"/>
      <c r="AL35" s="365"/>
      <c r="AM35" s="365"/>
      <c r="AN35" s="365"/>
      <c r="AO35" s="2463"/>
      <c r="AP35" s="2463"/>
      <c r="AQ35" s="2463"/>
      <c r="AR35" s="2463"/>
      <c r="AS35" s="2463"/>
      <c r="AT35" s="2463"/>
      <c r="AU35" s="2463"/>
      <c r="AV35" s="2463"/>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6">
        <v>-650000000000</v>
      </c>
      <c r="N36" s="366">
        <v>-115000000000</v>
      </c>
      <c r="O36" s="366">
        <v>-131000000000</v>
      </c>
      <c r="P36" s="142">
        <v>-762000000000</v>
      </c>
      <c r="Q36" s="649">
        <v>-100000000000</v>
      </c>
      <c r="R36" s="649">
        <v>-1338000000000</v>
      </c>
      <c r="S36" s="649">
        <v>-2578000000000</v>
      </c>
      <c r="T36" s="649"/>
      <c r="U36" s="649"/>
      <c r="V36" s="649"/>
      <c r="W36" s="649"/>
      <c r="X36" s="649"/>
      <c r="Y36" s="649"/>
      <c r="Z36" s="649"/>
      <c r="AA36" s="649"/>
      <c r="AB36" s="365"/>
      <c r="AC36" s="365"/>
      <c r="AD36" s="365"/>
      <c r="AE36" s="365"/>
      <c r="AF36" s="365"/>
      <c r="AG36" s="365"/>
      <c r="AH36" s="365"/>
      <c r="AI36" s="365"/>
      <c r="AJ36" s="365"/>
      <c r="AK36" s="365"/>
      <c r="AL36" s="365"/>
      <c r="AM36" s="365"/>
      <c r="AN36" s="365"/>
      <c r="AO36" s="2463"/>
      <c r="AP36" s="2463"/>
      <c r="AQ36" s="2463"/>
      <c r="AR36" s="2463"/>
      <c r="AS36" s="2463"/>
      <c r="AT36" s="2463"/>
      <c r="AU36" s="2463"/>
      <c r="AV36" s="2463"/>
    </row>
    <row r="37" spans="1:48" ht="16.5">
      <c r="A37" t="s">
        <v>76</v>
      </c>
      <c r="B37" s="90" t="s">
        <v>348</v>
      </c>
      <c r="C37" s="34"/>
      <c r="D37" s="125"/>
      <c r="E37" s="125"/>
      <c r="F37" s="125"/>
      <c r="G37" s="125"/>
      <c r="H37" s="125"/>
      <c r="I37" s="125"/>
      <c r="J37" s="125"/>
      <c r="K37" s="125"/>
      <c r="L37" s="210">
        <v>-3244000000000</v>
      </c>
      <c r="M37" s="366">
        <v>-3100000000000</v>
      </c>
      <c r="N37" s="366">
        <v>-3056000000000</v>
      </c>
      <c r="O37" s="366">
        <v>-4148000000000</v>
      </c>
      <c r="P37" s="142">
        <v>-4988000000000</v>
      </c>
      <c r="Q37" s="649">
        <v>-3822000000000</v>
      </c>
      <c r="R37" s="649">
        <v>-4764000000000</v>
      </c>
      <c r="S37" s="649">
        <v>-4995000000000</v>
      </c>
      <c r="T37" s="649"/>
      <c r="U37" s="649"/>
      <c r="V37" s="649"/>
      <c r="W37" s="649"/>
      <c r="X37" s="649"/>
      <c r="Y37" s="649"/>
      <c r="Z37" s="649"/>
      <c r="AA37" s="649"/>
      <c r="AB37" s="365"/>
      <c r="AC37" s="365"/>
      <c r="AD37" s="365"/>
      <c r="AE37" s="365"/>
      <c r="AF37" s="365"/>
      <c r="AG37" s="365"/>
      <c r="AH37" s="365"/>
      <c r="AI37" s="365"/>
      <c r="AJ37" s="365"/>
      <c r="AK37" s="365"/>
      <c r="AL37" s="365"/>
      <c r="AM37" s="365"/>
      <c r="AN37" s="365"/>
      <c r="AO37" s="2463"/>
      <c r="AP37" s="2463"/>
      <c r="AQ37" s="2463"/>
      <c r="AR37" s="2463"/>
      <c r="AS37" s="2463"/>
      <c r="AT37" s="2463"/>
      <c r="AU37" s="2463"/>
      <c r="AV37" s="2463"/>
    </row>
    <row r="38" spans="1:48" s="9" customFormat="1" ht="16.5">
      <c r="A38" s="148" t="s">
        <v>115</v>
      </c>
      <c r="B38" s="148" t="s">
        <v>115</v>
      </c>
      <c r="C38" s="18" t="s">
        <v>35</v>
      </c>
      <c r="D38" s="295">
        <v>398800000000</v>
      </c>
      <c r="E38" s="295">
        <v>144600000000</v>
      </c>
      <c r="F38" s="295">
        <v>10500000000</v>
      </c>
      <c r="G38" s="263">
        <v>-410600000000</v>
      </c>
      <c r="H38" s="263">
        <v>-421500000000</v>
      </c>
      <c r="I38" s="295">
        <v>-896400000000</v>
      </c>
      <c r="J38" s="263">
        <v>-1149300000000</v>
      </c>
      <c r="K38" s="263">
        <v>-413400000000</v>
      </c>
      <c r="L38" s="296">
        <v>-844000000000</v>
      </c>
      <c r="M38" s="387">
        <v>679000000000</v>
      </c>
      <c r="N38" s="387">
        <v>220000000000</v>
      </c>
      <c r="O38" s="367">
        <f>O39+O42</f>
        <v>217000000000</v>
      </c>
      <c r="P38" s="304">
        <v>804000000000</v>
      </c>
      <c r="Q38" s="2623">
        <f t="shared" ref="Q38:S38" si="8">Q39+Q42</f>
        <v>144000000000</v>
      </c>
      <c r="R38" s="2623">
        <f t="shared" si="8"/>
        <v>1376000000000</v>
      </c>
      <c r="S38" s="2623">
        <f t="shared" si="8"/>
        <v>2620000000000</v>
      </c>
      <c r="T38" s="2623">
        <f>T39+T42</f>
        <v>2344000000000</v>
      </c>
      <c r="U38" s="2623">
        <f t="shared" ref="U38:Z38" si="9">U39+U42</f>
        <v>1662000000000</v>
      </c>
      <c r="V38" s="2623">
        <f t="shared" si="9"/>
        <v>1909000000000</v>
      </c>
      <c r="W38" s="2623">
        <f t="shared" si="9"/>
        <v>1302000000000</v>
      </c>
      <c r="X38" s="2623">
        <f t="shared" si="9"/>
        <v>730000000000</v>
      </c>
      <c r="Y38" s="2623">
        <f t="shared" si="9"/>
        <v>442000000000</v>
      </c>
      <c r="Z38" s="2623">
        <f t="shared" si="9"/>
        <v>15000000000</v>
      </c>
      <c r="AA38" s="2623">
        <f>AA39+AA42</f>
        <v>6000000000</v>
      </c>
      <c r="AB38" s="365"/>
      <c r="AC38" s="365"/>
      <c r="AD38" s="365"/>
      <c r="AE38" s="365"/>
      <c r="AF38" s="365"/>
      <c r="AG38" s="365"/>
      <c r="AH38" s="365"/>
      <c r="AI38" s="365"/>
      <c r="AJ38" s="365"/>
      <c r="AK38" s="365"/>
      <c r="AL38" s="365"/>
      <c r="AM38" s="365"/>
      <c r="AN38" s="365"/>
      <c r="AO38" s="2463"/>
      <c r="AP38" s="2463"/>
      <c r="AQ38" s="2463"/>
      <c r="AR38" s="2463"/>
      <c r="AS38" s="2463"/>
      <c r="AT38" s="2463"/>
      <c r="AU38" s="2463"/>
      <c r="AV38" s="2463"/>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6">
        <v>701000000000</v>
      </c>
      <c r="N39" s="366">
        <v>235000000000</v>
      </c>
      <c r="O39" s="366">
        <v>235000000000</v>
      </c>
      <c r="P39" s="142">
        <v>806000000000</v>
      </c>
      <c r="Q39" s="649">
        <v>146000000000</v>
      </c>
      <c r="R39" s="649">
        <v>1378000000000</v>
      </c>
      <c r="S39" s="649">
        <v>2623000000000</v>
      </c>
      <c r="T39" s="2624">
        <f>T40+T41</f>
        <v>2243000000000</v>
      </c>
      <c r="U39" s="2624">
        <f t="shared" ref="U39:AA39" si="10">U40+U41</f>
        <v>1665000000000</v>
      </c>
      <c r="V39" s="2624">
        <f t="shared" si="10"/>
        <v>1922000000000</v>
      </c>
      <c r="W39" s="2624">
        <f t="shared" si="10"/>
        <v>1314000000000</v>
      </c>
      <c r="X39" s="2624">
        <f t="shared" si="10"/>
        <v>740000000000</v>
      </c>
      <c r="Y39" s="2624">
        <f t="shared" si="10"/>
        <v>455000000000</v>
      </c>
      <c r="Z39" s="2624">
        <f t="shared" si="10"/>
        <v>31000000000</v>
      </c>
      <c r="AA39" s="2624">
        <f t="shared" si="10"/>
        <v>21000000000</v>
      </c>
      <c r="AB39" s="365"/>
      <c r="AC39" s="365"/>
      <c r="AD39" s="365"/>
      <c r="AE39" s="365"/>
      <c r="AF39" s="365"/>
      <c r="AG39" s="365"/>
      <c r="AH39" s="365"/>
      <c r="AI39" s="365"/>
      <c r="AJ39" s="365"/>
      <c r="AK39" s="365"/>
      <c r="AL39" s="365"/>
      <c r="AM39" s="365"/>
      <c r="AN39" s="365"/>
      <c r="AO39" s="2463"/>
      <c r="AP39" s="2463"/>
      <c r="AQ39" s="2463"/>
      <c r="AR39" s="2463"/>
      <c r="AS39" s="2463"/>
      <c r="AT39" s="2463"/>
      <c r="AU39" s="2463"/>
      <c r="AV39" s="2463"/>
    </row>
    <row r="40" spans="1:48" ht="16.5">
      <c r="A40" s="138" t="s">
        <v>349</v>
      </c>
      <c r="B40" s="138" t="s">
        <v>349</v>
      </c>
      <c r="C40" s="58" t="s">
        <v>124</v>
      </c>
      <c r="D40" s="125"/>
      <c r="E40" s="125"/>
      <c r="F40" s="125"/>
      <c r="G40" s="125"/>
      <c r="H40" s="125"/>
      <c r="I40" s="125"/>
      <c r="J40" s="125"/>
      <c r="K40" s="125"/>
      <c r="L40" s="210">
        <v>-978000000000</v>
      </c>
      <c r="M40" s="366">
        <v>46000000000</v>
      </c>
      <c r="N40" s="366">
        <v>-439000000000</v>
      </c>
      <c r="O40" s="366">
        <v>-493000000000</v>
      </c>
      <c r="P40" s="142">
        <v>-107000000000</v>
      </c>
      <c r="Q40" s="649">
        <v>-95000000000</v>
      </c>
      <c r="R40" s="649">
        <v>1174000000000</v>
      </c>
      <c r="S40" s="649">
        <v>2487000000000</v>
      </c>
      <c r="T40" s="2625">
        <v>2178000000000</v>
      </c>
      <c r="U40" s="2625">
        <v>1389000000000</v>
      </c>
      <c r="V40" s="2625">
        <v>2674000000000</v>
      </c>
      <c r="W40" s="2625">
        <v>1314000000000</v>
      </c>
      <c r="X40" s="2625">
        <v>740000000000</v>
      </c>
      <c r="Y40" s="2625">
        <v>455000000000</v>
      </c>
      <c r="Z40" s="2625">
        <v>31000000000</v>
      </c>
      <c r="AA40" s="2625">
        <v>21000000000</v>
      </c>
      <c r="AB40" s="365"/>
      <c r="AC40" s="365"/>
      <c r="AD40" s="365"/>
      <c r="AE40" s="365"/>
      <c r="AF40" s="365"/>
      <c r="AG40" s="365"/>
      <c r="AH40" s="365"/>
      <c r="AI40" s="365"/>
      <c r="AJ40" s="365"/>
      <c r="AK40" s="365"/>
      <c r="AL40" s="365"/>
      <c r="AM40" s="365"/>
      <c r="AN40" s="365"/>
      <c r="AO40" s="2463"/>
      <c r="AP40" s="2463"/>
      <c r="AQ40" s="2463"/>
      <c r="AR40" s="2463"/>
      <c r="AS40" s="2463"/>
      <c r="AT40" s="2463"/>
      <c r="AU40" s="2463"/>
      <c r="AV40" s="2463"/>
    </row>
    <row r="41" spans="1:48" ht="16.5">
      <c r="A41" s="138" t="s">
        <v>350</v>
      </c>
      <c r="B41" s="138" t="s">
        <v>350</v>
      </c>
      <c r="C41" s="58" t="s">
        <v>124</v>
      </c>
      <c r="D41" s="125"/>
      <c r="E41" s="125"/>
      <c r="F41" s="125"/>
      <c r="G41" s="125"/>
      <c r="H41" s="125"/>
      <c r="I41" s="125"/>
      <c r="J41" s="125"/>
      <c r="K41" s="125"/>
      <c r="L41" s="210">
        <v>157000000000</v>
      </c>
      <c r="M41" s="366">
        <v>655000000000</v>
      </c>
      <c r="N41" s="366">
        <v>674000000000</v>
      </c>
      <c r="O41" s="366">
        <v>728000000000</v>
      </c>
      <c r="P41" s="142">
        <v>914000000000</v>
      </c>
      <c r="Q41" s="649">
        <v>241000000000</v>
      </c>
      <c r="R41" s="649">
        <v>204000000000</v>
      </c>
      <c r="S41" s="649">
        <v>137000000000</v>
      </c>
      <c r="T41" s="2626">
        <v>65000000000</v>
      </c>
      <c r="U41" s="2625">
        <v>276000000000</v>
      </c>
      <c r="V41" s="2625">
        <v>-752000000000</v>
      </c>
      <c r="W41" s="2625">
        <v>0</v>
      </c>
      <c r="X41" s="2625">
        <v>0</v>
      </c>
      <c r="Y41" s="2624">
        <v>0</v>
      </c>
      <c r="Z41" s="2624">
        <v>0</v>
      </c>
      <c r="AA41" s="2624">
        <v>0</v>
      </c>
      <c r="AB41" s="365"/>
      <c r="AC41" s="365"/>
      <c r="AD41" s="365"/>
      <c r="AE41" s="365"/>
      <c r="AF41" s="365"/>
      <c r="AG41" s="365"/>
      <c r="AH41" s="365"/>
      <c r="AI41" s="365"/>
      <c r="AO41" s="2463"/>
      <c r="AP41" s="2463"/>
      <c r="AQ41" s="2463"/>
      <c r="AR41" s="2463"/>
      <c r="AS41" s="2463"/>
      <c r="AT41" s="2463"/>
      <c r="AU41" s="2463"/>
      <c r="AV41" s="2463"/>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6">
        <v>-22000000000</v>
      </c>
      <c r="N42" s="366">
        <v>-15000000000</v>
      </c>
      <c r="O42" s="366">
        <v>-18000000000</v>
      </c>
      <c r="P42" s="142">
        <v>-3000000000</v>
      </c>
      <c r="Q42" s="649">
        <v>-2000000000</v>
      </c>
      <c r="R42" s="649">
        <v>-2000000000</v>
      </c>
      <c r="S42" s="649">
        <v>-3000000000</v>
      </c>
      <c r="T42" s="2625">
        <v>101000000000</v>
      </c>
      <c r="U42" s="2625">
        <v>-3000000000</v>
      </c>
      <c r="V42" s="2624">
        <v>-13000000000</v>
      </c>
      <c r="W42" s="2625">
        <v>-12000000000</v>
      </c>
      <c r="X42" s="2624">
        <v>-10000000000</v>
      </c>
      <c r="Y42" s="2624">
        <v>-13000000000</v>
      </c>
      <c r="Z42" s="2624">
        <v>-16000000000</v>
      </c>
      <c r="AA42" s="2624">
        <v>-15000000000</v>
      </c>
      <c r="AB42" s="365"/>
      <c r="AC42" s="365"/>
      <c r="AD42" s="365"/>
      <c r="AE42" s="365"/>
      <c r="AF42" s="365"/>
      <c r="AG42" s="365"/>
      <c r="AH42" s="365"/>
      <c r="AI42" s="365"/>
      <c r="AO42" s="2463"/>
      <c r="AP42" s="2463"/>
      <c r="AQ42" s="2463"/>
      <c r="AR42" s="2463"/>
      <c r="AS42" s="2463"/>
      <c r="AT42" s="2463"/>
      <c r="AU42" s="2463"/>
      <c r="AV42" s="2463"/>
    </row>
    <row r="43" spans="1:48">
      <c r="C43" s="34"/>
      <c r="T43" s="21"/>
      <c r="U43" s="21"/>
      <c r="V43" s="21"/>
      <c r="W43" s="21"/>
      <c r="X43" s="389"/>
      <c r="Y43" s="21"/>
      <c r="Z43" s="21"/>
      <c r="AA43" s="21"/>
      <c r="AO43" s="2463"/>
      <c r="AP43" s="2463"/>
      <c r="AQ43" s="2463"/>
      <c r="AR43" s="2463"/>
      <c r="AS43" s="2463"/>
      <c r="AT43" s="2463"/>
      <c r="AU43" s="2463"/>
      <c r="AV43" s="2463"/>
    </row>
    <row r="44" spans="1:48">
      <c r="C44" s="34"/>
      <c r="T44" s="21"/>
      <c r="U44" s="21"/>
      <c r="V44" s="21"/>
      <c r="W44" s="21"/>
      <c r="X44" s="389"/>
      <c r="Y44" s="21"/>
      <c r="Z44" s="21"/>
      <c r="AO44" s="2463"/>
      <c r="AP44" s="2463"/>
      <c r="AQ44" s="2463"/>
      <c r="AR44" s="2463"/>
      <c r="AS44" s="2463"/>
      <c r="AT44" s="2463"/>
      <c r="AU44" s="2463"/>
      <c r="AV44" s="2463"/>
    </row>
    <row r="45" spans="1:48" ht="16.5">
      <c r="A45" s="650" t="s">
        <v>351</v>
      </c>
      <c r="B45" s="650" t="s">
        <v>351</v>
      </c>
      <c r="C45" s="34"/>
      <c r="Q45" s="649">
        <v>0</v>
      </c>
      <c r="R45" s="649">
        <v>0</v>
      </c>
      <c r="S45" s="649">
        <v>0</v>
      </c>
      <c r="T45" s="2624">
        <v>0</v>
      </c>
      <c r="U45" s="2624">
        <v>0</v>
      </c>
      <c r="V45" s="2624">
        <v>0</v>
      </c>
      <c r="W45" s="2624">
        <v>0</v>
      </c>
      <c r="X45" s="2624">
        <v>0</v>
      </c>
      <c r="Y45" s="2624">
        <v>0</v>
      </c>
      <c r="Z45" s="2624">
        <v>0</v>
      </c>
      <c r="AO45" s="2463"/>
      <c r="AP45" s="2463"/>
      <c r="AQ45" s="2463"/>
      <c r="AR45" s="2463"/>
      <c r="AS45" s="2463"/>
      <c r="AT45" s="2463"/>
      <c r="AU45" s="2463"/>
      <c r="AV45" s="2463"/>
    </row>
    <row r="46" spans="1:48" ht="16.5">
      <c r="A46" s="650" t="s">
        <v>352</v>
      </c>
      <c r="B46" s="650" t="s">
        <v>352</v>
      </c>
      <c r="C46" s="34"/>
      <c r="Q46" s="649">
        <v>0</v>
      </c>
      <c r="R46" s="649">
        <v>0</v>
      </c>
      <c r="S46" s="649">
        <v>0</v>
      </c>
      <c r="T46" s="2624">
        <v>0</v>
      </c>
      <c r="U46" s="2624">
        <v>0</v>
      </c>
      <c r="V46" s="2624">
        <v>0</v>
      </c>
      <c r="W46" s="2624">
        <v>0</v>
      </c>
      <c r="X46" s="2624">
        <v>0</v>
      </c>
      <c r="Y46" s="2624">
        <v>0</v>
      </c>
      <c r="Z46" s="2624">
        <v>0</v>
      </c>
      <c r="AO46" s="2463"/>
      <c r="AP46" s="2463"/>
      <c r="AQ46" s="2463"/>
      <c r="AR46" s="2463"/>
      <c r="AS46" s="2463"/>
      <c r="AT46" s="2463"/>
      <c r="AU46" s="2463"/>
      <c r="AV46" s="2463"/>
    </row>
    <row r="47" spans="1:48" ht="16.5">
      <c r="A47" s="650" t="s">
        <v>353</v>
      </c>
      <c r="B47" s="650" t="s">
        <v>353</v>
      </c>
      <c r="C47" s="34"/>
      <c r="Q47" s="649">
        <v>5564000000000</v>
      </c>
      <c r="R47" s="649">
        <v>4408000000000</v>
      </c>
      <c r="S47" s="649">
        <v>2074000000000</v>
      </c>
      <c r="T47" s="2624">
        <v>7.84E+20</v>
      </c>
      <c r="U47" s="2624">
        <v>8.2E+19</v>
      </c>
      <c r="V47" s="2624">
        <v>0</v>
      </c>
      <c r="W47" s="2624">
        <v>0</v>
      </c>
      <c r="X47" s="2624">
        <v>0</v>
      </c>
      <c r="Y47" s="2624">
        <v>0</v>
      </c>
      <c r="Z47" s="2624">
        <v>1.05E+20</v>
      </c>
      <c r="AO47" s="2463"/>
      <c r="AP47" s="2463"/>
      <c r="AQ47" s="2463"/>
      <c r="AR47" s="2463"/>
      <c r="AS47" s="2463"/>
      <c r="AT47" s="2463"/>
      <c r="AU47" s="2463"/>
      <c r="AV47" s="2463"/>
    </row>
    <row r="48" spans="1:48" ht="16.5">
      <c r="A48" s="650" t="s">
        <v>354</v>
      </c>
      <c r="B48" s="650" t="s">
        <v>354</v>
      </c>
      <c r="C48" s="34"/>
      <c r="Q48" s="649">
        <v>33.4</v>
      </c>
      <c r="R48" s="649">
        <v>25.6</v>
      </c>
      <c r="S48" s="649">
        <v>12.5</v>
      </c>
      <c r="T48" s="2624">
        <v>4600000000</v>
      </c>
      <c r="U48" s="2624">
        <v>400000000</v>
      </c>
      <c r="V48" s="2624">
        <v>0</v>
      </c>
      <c r="W48" s="2624">
        <v>0</v>
      </c>
      <c r="X48" s="2624">
        <v>0</v>
      </c>
      <c r="Y48" s="2624">
        <v>0</v>
      </c>
      <c r="Z48" s="2624">
        <v>400000000</v>
      </c>
      <c r="AO48" s="2463"/>
      <c r="AP48" s="2463"/>
      <c r="AQ48" s="2463"/>
      <c r="AR48" s="2463"/>
      <c r="AS48" s="2463"/>
      <c r="AT48" s="2463"/>
      <c r="AU48" s="2463"/>
      <c r="AV48" s="2463"/>
    </row>
    <row r="49" spans="1:27" ht="16.5">
      <c r="A49" s="650" t="s">
        <v>355</v>
      </c>
      <c r="B49" s="650" t="s">
        <v>355</v>
      </c>
      <c r="C49" s="34"/>
      <c r="Q49" s="649">
        <v>7.7</v>
      </c>
      <c r="R49" s="649">
        <v>7.7</v>
      </c>
      <c r="S49" s="649">
        <v>8.8000000000000007</v>
      </c>
      <c r="T49" s="2624">
        <v>21000000000</v>
      </c>
      <c r="U49" s="2624">
        <v>18300000000</v>
      </c>
      <c r="V49" s="2624">
        <v>19300000000</v>
      </c>
      <c r="W49" s="2624">
        <v>19600000000</v>
      </c>
      <c r="X49" s="2624">
        <v>18100000000</v>
      </c>
      <c r="Y49" s="2624">
        <v>16300000000</v>
      </c>
      <c r="Z49" s="2624">
        <v>14600000000</v>
      </c>
    </row>
    <row r="50" spans="1:27" ht="16.5">
      <c r="A50" s="650" t="s">
        <v>356</v>
      </c>
      <c r="B50" s="650" t="s">
        <v>356</v>
      </c>
      <c r="C50" s="34"/>
      <c r="Q50" s="649">
        <v>25.7</v>
      </c>
      <c r="R50" s="649">
        <v>17.899999999999999</v>
      </c>
      <c r="S50" s="649">
        <v>3.7</v>
      </c>
      <c r="T50" s="2624">
        <v>-16399999999.999998</v>
      </c>
      <c r="U50" s="2624">
        <v>-17900000000</v>
      </c>
      <c r="V50" s="2624">
        <v>-19300000000</v>
      </c>
      <c r="W50" s="2624">
        <v>-19600000000</v>
      </c>
      <c r="X50" s="2624">
        <v>-18100000000</v>
      </c>
      <c r="Y50" s="2624">
        <v>-16300000000</v>
      </c>
      <c r="Z50" s="2624">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49">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35.731060462291723</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L45" activePane="bottomRight" state="frozen"/>
      <selection pane="topRight" activeCell="C1" sqref="C1"/>
      <selection pane="bottomLeft" activeCell="A6" sqref="A6"/>
      <selection pane="bottomRight" activeCell="X33" sqref="X33"/>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1" width="24.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30" t="s">
        <v>367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15" customFormat="1">
      <c r="A6" s="95" t="s">
        <v>33</v>
      </c>
      <c r="B6" s="95" t="s">
        <v>34</v>
      </c>
      <c r="C6" s="15" t="s">
        <v>35</v>
      </c>
      <c r="D6" s="216"/>
      <c r="E6" s="216"/>
      <c r="F6" s="216"/>
      <c r="G6" s="216"/>
      <c r="H6" s="216"/>
      <c r="I6" s="216"/>
      <c r="J6" s="216">
        <f t="shared" ref="J6:M6" si="0">J7+J13</f>
        <v>1684900000000</v>
      </c>
      <c r="K6" s="216">
        <f t="shared" si="0"/>
        <v>2124700000000.0002</v>
      </c>
      <c r="L6" s="216">
        <f t="shared" si="0"/>
        <v>3217000000000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ht="16.5">
      <c r="A7" s="43" t="s">
        <v>370</v>
      </c>
      <c r="B7" s="139" t="s">
        <v>36</v>
      </c>
      <c r="C7" s="11" t="s">
        <v>38</v>
      </c>
      <c r="D7" s="105"/>
      <c r="E7" s="105"/>
      <c r="F7" s="45"/>
      <c r="G7" s="45"/>
      <c r="H7" s="45"/>
      <c r="I7" s="45"/>
      <c r="J7" s="106">
        <v>1684900000000</v>
      </c>
      <c r="K7" s="106">
        <f>K8+K12</f>
        <v>2122400000000.0002</v>
      </c>
      <c r="L7" s="106">
        <f>L8+L12</f>
        <v>3215000000000</v>
      </c>
      <c r="M7" s="288">
        <v>2070000000000</v>
      </c>
      <c r="N7" s="288">
        <f>N6-N13</f>
        <v>3293000000000</v>
      </c>
      <c r="O7" s="288">
        <f t="shared" ref="O7:W7" si="1">O6-O13</f>
        <v>4774000000000</v>
      </c>
      <c r="P7" s="288">
        <f t="shared" si="1"/>
        <v>5052000000000</v>
      </c>
      <c r="Q7" s="288">
        <f t="shared" si="1"/>
        <v>4847000000000</v>
      </c>
      <c r="R7" s="288">
        <f t="shared" si="1"/>
        <v>4401000000000</v>
      </c>
      <c r="S7" s="288">
        <f t="shared" si="1"/>
        <v>3366000000000</v>
      </c>
      <c r="T7" s="288">
        <f t="shared" si="1"/>
        <v>2898000000000</v>
      </c>
      <c r="U7" s="142">
        <f t="shared" si="1"/>
        <v>3266000000000</v>
      </c>
      <c r="V7" s="142">
        <f t="shared" si="1"/>
        <v>5284000000000</v>
      </c>
      <c r="W7" s="142">
        <f t="shared" si="1"/>
        <v>6226000000000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ht="16.5">
      <c r="A8" s="20" t="s">
        <v>39</v>
      </c>
      <c r="B8" s="139" t="s">
        <v>371</v>
      </c>
      <c r="C8" s="11" t="s">
        <v>41</v>
      </c>
      <c r="D8" s="113"/>
      <c r="E8" s="113"/>
      <c r="F8" s="113"/>
      <c r="G8" s="113"/>
      <c r="H8" s="113"/>
      <c r="I8" s="113"/>
      <c r="J8" s="106">
        <v>1577900000000</v>
      </c>
      <c r="K8" s="106">
        <v>2052800000000.0002</v>
      </c>
      <c r="L8" s="106">
        <v>3070000000000</v>
      </c>
      <c r="M8" s="288">
        <v>1988000000000</v>
      </c>
      <c r="N8" s="288">
        <v>3094000000000</v>
      </c>
      <c r="O8" s="288">
        <v>4528000000000</v>
      </c>
      <c r="P8" s="288">
        <v>4826000000000</v>
      </c>
      <c r="Q8" s="288">
        <v>4602000000000</v>
      </c>
      <c r="R8" s="288">
        <v>4098000000000</v>
      </c>
      <c r="S8" s="288">
        <v>3042000000000</v>
      </c>
      <c r="T8" s="288">
        <v>2599000000000</v>
      </c>
      <c r="U8" s="125">
        <v>2933000000000</v>
      </c>
      <c r="V8" s="125">
        <v>5019000000000</v>
      </c>
      <c r="W8" s="125">
        <v>5904000000000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ht="16.5">
      <c r="A9" s="152" t="s">
        <v>372</v>
      </c>
      <c r="B9" s="152" t="s">
        <v>372</v>
      </c>
      <c r="C9" t="s">
        <v>44</v>
      </c>
      <c r="D9" s="105"/>
      <c r="E9" s="105"/>
      <c r="F9" s="45"/>
      <c r="G9" s="45"/>
      <c r="H9" s="45"/>
      <c r="I9" s="45"/>
      <c r="J9" s="106">
        <v>1350600000000</v>
      </c>
      <c r="K9" s="106">
        <v>1722000000000</v>
      </c>
      <c r="L9" s="106">
        <v>2602000000000</v>
      </c>
      <c r="M9" s="288">
        <v>1449000000000</v>
      </c>
      <c r="N9" s="288">
        <v>2500000000000</v>
      </c>
      <c r="O9" s="288">
        <v>3817000000000</v>
      </c>
      <c r="P9" s="288">
        <v>4103000000000</v>
      </c>
      <c r="Q9" s="288">
        <v>3630000000000</v>
      </c>
      <c r="R9" s="288">
        <v>2970000000000</v>
      </c>
      <c r="S9" s="288">
        <v>1898000000000</v>
      </c>
      <c r="T9" s="288">
        <v>1373000000000</v>
      </c>
      <c r="U9" s="125">
        <v>1739000000000</v>
      </c>
      <c r="V9" s="125">
        <v>3401000000000</v>
      </c>
      <c r="W9" s="125">
        <v>3700000000000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ht="16.5">
      <c r="A10" s="152" t="s">
        <v>373</v>
      </c>
      <c r="B10" s="152" t="s">
        <v>374</v>
      </c>
      <c r="C10" t="s">
        <v>44</v>
      </c>
      <c r="D10" s="105"/>
      <c r="E10" s="105"/>
      <c r="F10" s="45"/>
      <c r="G10" s="45"/>
      <c r="H10" s="45"/>
      <c r="I10" s="45"/>
      <c r="J10" s="106">
        <v>227300000000</v>
      </c>
      <c r="K10" s="106">
        <v>330800000000</v>
      </c>
      <c r="L10" s="106">
        <v>468000000000</v>
      </c>
      <c r="M10" s="288">
        <v>539000000000</v>
      </c>
      <c r="N10" s="288">
        <v>594000000000</v>
      </c>
      <c r="O10" s="288">
        <v>711000000000</v>
      </c>
      <c r="P10" s="288">
        <v>723000000000</v>
      </c>
      <c r="Q10" s="288">
        <v>972000000000</v>
      </c>
      <c r="R10" s="288">
        <v>1128000000000</v>
      </c>
      <c r="S10" s="288">
        <v>1144000000000</v>
      </c>
      <c r="T10" s="288">
        <v>1227000000000</v>
      </c>
      <c r="U10" s="125">
        <v>1194000000000</v>
      </c>
      <c r="V10" s="125">
        <v>1618000000000</v>
      </c>
      <c r="W10" s="125">
        <v>2205000000000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ht="16.5">
      <c r="A11" s="100" t="s">
        <v>375</v>
      </c>
      <c r="B11" s="100" t="s">
        <v>375</v>
      </c>
      <c r="C11" s="11" t="s">
        <v>41</v>
      </c>
      <c r="D11" s="113"/>
      <c r="E11" s="113"/>
      <c r="F11" s="113"/>
      <c r="G11" s="113"/>
      <c r="H11" s="113"/>
      <c r="I11" s="113"/>
      <c r="J11" s="113"/>
      <c r="K11" s="113"/>
      <c r="L11" s="113"/>
      <c r="M11" s="288">
        <v>16000000000</v>
      </c>
      <c r="N11" s="288">
        <v>76000000000</v>
      </c>
      <c r="O11" s="288">
        <v>90000000000</v>
      </c>
      <c r="P11" s="288">
        <v>107000000000</v>
      </c>
      <c r="Q11" s="288">
        <v>121000000000</v>
      </c>
      <c r="R11" s="288">
        <v>87000000000</v>
      </c>
      <c r="S11" s="288">
        <v>151000000000</v>
      </c>
      <c r="T11" s="288">
        <v>159000000000</v>
      </c>
      <c r="U11" s="125">
        <v>166000000000</v>
      </c>
      <c r="V11" s="125">
        <v>173000000000</v>
      </c>
      <c r="W11" s="125">
        <v>210000000000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ht="16.5">
      <c r="A12" s="20" t="s">
        <v>51</v>
      </c>
      <c r="B12" s="90" t="s">
        <v>376</v>
      </c>
      <c r="C12" s="11" t="s">
        <v>41</v>
      </c>
      <c r="D12" s="113"/>
      <c r="E12" s="113"/>
      <c r="F12" s="113"/>
      <c r="G12" s="113"/>
      <c r="H12" s="113"/>
      <c r="I12" s="113"/>
      <c r="J12" s="106">
        <v>107000000000</v>
      </c>
      <c r="K12" s="106">
        <v>69600000000</v>
      </c>
      <c r="L12" s="106">
        <v>145000000000</v>
      </c>
      <c r="M12" s="477"/>
      <c r="N12" s="477"/>
      <c r="O12" s="477"/>
      <c r="P12" s="477"/>
      <c r="Q12" s="477"/>
      <c r="R12" s="477"/>
      <c r="S12" s="477"/>
      <c r="T12" s="21"/>
      <c r="U12" s="125"/>
      <c r="V12" s="125"/>
      <c r="W12" s="12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s="9" customFormat="1" ht="16.5">
      <c r="A13" s="170" t="s">
        <v>53</v>
      </c>
      <c r="B13" s="148" t="s">
        <v>53</v>
      </c>
      <c r="C13" s="137" t="s">
        <v>38</v>
      </c>
      <c r="D13" s="119"/>
      <c r="E13" s="119"/>
      <c r="F13" s="218"/>
      <c r="G13" s="218"/>
      <c r="H13" s="218"/>
      <c r="I13" s="218"/>
      <c r="J13" s="219">
        <v>0</v>
      </c>
      <c r="K13" s="219">
        <v>2300000000</v>
      </c>
      <c r="L13" s="219">
        <v>2000000000</v>
      </c>
      <c r="M13" s="295">
        <v>2000000000</v>
      </c>
      <c r="N13" s="295">
        <v>2000000000</v>
      </c>
      <c r="O13" s="295">
        <v>2000000000</v>
      </c>
      <c r="P13" s="295">
        <v>2000000000</v>
      </c>
      <c r="Q13" s="295">
        <v>2000000000</v>
      </c>
      <c r="R13" s="295">
        <v>2000000000</v>
      </c>
      <c r="S13" s="295">
        <v>1000000000</v>
      </c>
      <c r="T13" s="295">
        <v>2000000000</v>
      </c>
      <c r="U13" s="295">
        <v>5000000000</v>
      </c>
      <c r="V13" s="295">
        <v>0</v>
      </c>
      <c r="W13" s="295">
        <v>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ht="16.5">
      <c r="A14" s="86" t="s">
        <v>377</v>
      </c>
      <c r="B14" s="90" t="s">
        <v>378</v>
      </c>
      <c r="C14" s="11" t="s">
        <v>41</v>
      </c>
      <c r="D14" s="113"/>
      <c r="E14" s="113"/>
      <c r="F14" s="113"/>
      <c r="G14" s="113"/>
      <c r="H14" s="113"/>
      <c r="I14" s="113"/>
      <c r="J14" s="113"/>
      <c r="K14" s="113"/>
      <c r="L14" s="113"/>
      <c r="M14" s="288">
        <v>63000000000</v>
      </c>
      <c r="N14" s="288">
        <v>123000000000</v>
      </c>
      <c r="O14" s="288">
        <v>156000000000</v>
      </c>
      <c r="P14" s="288">
        <v>120000000000</v>
      </c>
      <c r="Q14" s="288">
        <v>124000000000</v>
      </c>
      <c r="R14" s="288">
        <v>216000000000</v>
      </c>
      <c r="S14" s="288">
        <v>173000000000</v>
      </c>
      <c r="T14" s="288">
        <v>140000000000</v>
      </c>
      <c r="U14" s="125">
        <v>168000000000</v>
      </c>
      <c r="V14" s="125">
        <v>92000000000</v>
      </c>
      <c r="W14" s="125">
        <v>112000000000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s="9" customFormat="1">
      <c r="A15" s="9" t="s">
        <v>71</v>
      </c>
      <c r="B15" s="37" t="s">
        <v>379</v>
      </c>
      <c r="C15" s="18" t="s">
        <v>35</v>
      </c>
      <c r="D15" s="119"/>
      <c r="E15" s="119"/>
      <c r="F15" s="218"/>
      <c r="G15" s="218"/>
      <c r="H15" s="218"/>
      <c r="I15" s="218"/>
      <c r="J15" s="219">
        <v>1146700000000</v>
      </c>
      <c r="K15" s="219">
        <v>1597300000000</v>
      </c>
      <c r="L15" s="220">
        <v>2654000000000</v>
      </c>
      <c r="M15" s="295">
        <v>2510000000000</v>
      </c>
      <c r="N15" s="295">
        <f>N18+N31+N35</f>
        <v>3036000000000</v>
      </c>
      <c r="O15" s="295">
        <f t="shared" ref="O15:W15" si="2">O18+O31+O35</f>
        <v>4024000000000</v>
      </c>
      <c r="P15" s="295">
        <f t="shared" si="2"/>
        <v>4549000000000</v>
      </c>
      <c r="Q15" s="295">
        <f t="shared" si="2"/>
        <v>4925000000000</v>
      </c>
      <c r="R15" s="295">
        <f t="shared" si="2"/>
        <v>5235000000000</v>
      </c>
      <c r="S15" s="295">
        <f t="shared" si="2"/>
        <v>3856000000000</v>
      </c>
      <c r="T15" s="295">
        <f t="shared" si="2"/>
        <v>3787000000000</v>
      </c>
      <c r="U15" s="295">
        <f t="shared" si="2"/>
        <v>4501000000000</v>
      </c>
      <c r="V15" s="295">
        <f t="shared" si="2"/>
        <v>5878000000000</v>
      </c>
      <c r="W15" s="295">
        <f t="shared" si="2"/>
        <v>7050000000000</v>
      </c>
      <c r="Y15" s="365"/>
      <c r="Z15" s="365"/>
      <c r="AA15" s="365"/>
      <c r="AB15" s="365"/>
      <c r="AC15" s="464"/>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ht="16.5">
      <c r="A16" t="s">
        <v>76</v>
      </c>
      <c r="B16" s="90" t="s">
        <v>380</v>
      </c>
      <c r="C16" s="90"/>
      <c r="D16" s="113"/>
      <c r="E16" s="113"/>
      <c r="F16" s="113"/>
      <c r="G16" s="113"/>
      <c r="H16" s="113"/>
      <c r="I16" s="113"/>
      <c r="J16" s="113"/>
      <c r="K16" s="113"/>
      <c r="L16" s="113"/>
      <c r="M16" s="477"/>
      <c r="N16" s="477"/>
      <c r="O16" s="477"/>
      <c r="P16" s="477"/>
      <c r="Q16" s="477"/>
      <c r="R16" s="477"/>
      <c r="S16" s="477"/>
      <c r="T16" s="21"/>
      <c r="U16" s="125"/>
      <c r="V16" s="125"/>
      <c r="W16" s="12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ht="16.5">
      <c r="A17" t="s">
        <v>76</v>
      </c>
      <c r="B17" s="90" t="s">
        <v>381</v>
      </c>
      <c r="C17" s="90"/>
      <c r="D17" s="105"/>
      <c r="E17" s="105"/>
      <c r="F17" s="45"/>
      <c r="G17" s="45"/>
      <c r="H17" s="45"/>
      <c r="I17" s="45"/>
      <c r="J17" s="106">
        <v>1146700000000</v>
      </c>
      <c r="K17" s="106">
        <v>1597300000000</v>
      </c>
      <c r="L17" s="113">
        <v>2654000000000</v>
      </c>
      <c r="M17" s="477"/>
      <c r="N17" s="477"/>
      <c r="O17" s="477"/>
      <c r="P17" s="477"/>
      <c r="Q17" s="477"/>
      <c r="R17" s="477"/>
      <c r="S17" s="477"/>
      <c r="T17" s="21"/>
      <c r="U17" s="125"/>
      <c r="V17" s="125"/>
      <c r="W17" s="12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ht="16.5">
      <c r="A18" s="203" t="s">
        <v>73</v>
      </c>
      <c r="B18" s="139" t="s">
        <v>382</v>
      </c>
      <c r="C18" s="11" t="s">
        <v>75</v>
      </c>
      <c r="D18" s="105"/>
      <c r="E18" s="105"/>
      <c r="F18" s="45"/>
      <c r="G18" s="45"/>
      <c r="H18" s="45"/>
      <c r="I18" s="45"/>
      <c r="J18" s="106">
        <v>823800000000</v>
      </c>
      <c r="K18" s="106">
        <v>1049300000000</v>
      </c>
      <c r="L18" s="113">
        <v>1761000000000</v>
      </c>
      <c r="M18" s="288">
        <v>1767000000000</v>
      </c>
      <c r="N18" s="288">
        <f>N19+N20+N26+N29+N30</f>
        <v>2168000000000</v>
      </c>
      <c r="O18" s="288">
        <v>2935000000000</v>
      </c>
      <c r="P18" s="288">
        <v>3193000000000</v>
      </c>
      <c r="Q18" s="288">
        <v>3440000000000</v>
      </c>
      <c r="R18" s="288">
        <v>3667000000000</v>
      </c>
      <c r="S18" s="288">
        <v>3038000000000</v>
      </c>
      <c r="T18" s="288">
        <v>3003000000000</v>
      </c>
      <c r="U18" s="125">
        <v>3356000000000</v>
      </c>
      <c r="V18" s="125">
        <v>4715000000000</v>
      </c>
      <c r="W18" s="125">
        <v>5350000000000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ht="16.5">
      <c r="A19" s="20" t="s">
        <v>79</v>
      </c>
      <c r="B19" s="99" t="s">
        <v>383</v>
      </c>
      <c r="C19" s="11" t="s">
        <v>81</v>
      </c>
      <c r="D19" s="105"/>
      <c r="E19" s="105"/>
      <c r="F19" s="45"/>
      <c r="G19" s="45"/>
      <c r="H19" s="45"/>
      <c r="I19" s="45"/>
      <c r="J19" s="106">
        <v>310200000000</v>
      </c>
      <c r="K19" s="106">
        <v>364500000000</v>
      </c>
      <c r="L19" s="113">
        <v>543000000000</v>
      </c>
      <c r="M19" s="288">
        <v>665000000000</v>
      </c>
      <c r="N19" s="288">
        <v>714000000000</v>
      </c>
      <c r="O19" s="288">
        <v>877000000000</v>
      </c>
      <c r="P19" s="288">
        <v>1031000000000</v>
      </c>
      <c r="Q19" s="288">
        <v>1155000000000</v>
      </c>
      <c r="R19" s="288">
        <v>1319000000000</v>
      </c>
      <c r="S19" s="288">
        <v>1390000000000</v>
      </c>
      <c r="T19" s="288">
        <v>1397000000000</v>
      </c>
      <c r="U19" s="125">
        <v>1505000000000</v>
      </c>
      <c r="V19" s="125">
        <v>1690000000000</v>
      </c>
      <c r="W19" s="125">
        <v>1894000000000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ht="16.5">
      <c r="A20" s="20" t="s">
        <v>83</v>
      </c>
      <c r="B20" s="99" t="s">
        <v>384</v>
      </c>
      <c r="C20" s="11" t="s">
        <v>81</v>
      </c>
      <c r="D20" s="105"/>
      <c r="E20" s="105"/>
      <c r="F20" s="45"/>
      <c r="G20" s="45"/>
      <c r="H20" s="45"/>
      <c r="I20" s="45"/>
      <c r="J20" s="106">
        <v>274500000000</v>
      </c>
      <c r="K20" s="106">
        <v>320700000000</v>
      </c>
      <c r="L20" s="113">
        <v>539000000000</v>
      </c>
      <c r="M20" s="288">
        <v>383000000000</v>
      </c>
      <c r="N20" s="288">
        <v>625000000000</v>
      </c>
      <c r="O20" s="288">
        <v>1037000000000</v>
      </c>
      <c r="P20" s="288">
        <v>1305000000000</v>
      </c>
      <c r="Q20" s="288">
        <v>1231000000000</v>
      </c>
      <c r="R20" s="288">
        <v>1248000000000</v>
      </c>
      <c r="S20" s="288">
        <v>787000000000</v>
      </c>
      <c r="T20" s="288">
        <v>624000000000</v>
      </c>
      <c r="U20" s="125">
        <v>773000000000</v>
      </c>
      <c r="V20" s="125">
        <v>998000000000</v>
      </c>
      <c r="W20" s="125">
        <v>1147000000000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ht="16.5">
      <c r="A21" s="138" t="s">
        <v>372</v>
      </c>
      <c r="B21" s="138" t="s">
        <v>372</v>
      </c>
      <c r="C21" s="139" t="s">
        <v>385</v>
      </c>
      <c r="D21" s="113"/>
      <c r="E21" s="113"/>
      <c r="F21" s="113"/>
      <c r="G21" s="113"/>
      <c r="H21" s="113"/>
      <c r="I21" s="113"/>
      <c r="J21" s="113"/>
      <c r="K21" s="113"/>
      <c r="L21" s="113"/>
      <c r="M21" s="477">
        <v>0</v>
      </c>
      <c r="N21" s="477"/>
      <c r="O21" s="477"/>
      <c r="P21" s="477"/>
      <c r="Q21" s="477"/>
      <c r="R21" s="477"/>
      <c r="S21" s="477"/>
      <c r="T21" s="21"/>
      <c r="U21" s="125"/>
      <c r="V21" s="125"/>
      <c r="W21" s="12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ht="16.5">
      <c r="A22" s="138" t="s">
        <v>373</v>
      </c>
      <c r="B22" s="138" t="s">
        <v>374</v>
      </c>
      <c r="C22" s="139" t="s">
        <v>385</v>
      </c>
      <c r="D22" s="113"/>
      <c r="E22" s="113"/>
      <c r="F22" s="113"/>
      <c r="G22" s="113"/>
      <c r="H22" s="113"/>
      <c r="I22" s="113"/>
      <c r="J22" s="113"/>
      <c r="K22" s="113"/>
      <c r="L22" s="113"/>
      <c r="M22" s="477">
        <v>383000000000</v>
      </c>
      <c r="N22" s="477"/>
      <c r="O22" s="477"/>
      <c r="P22" s="477"/>
      <c r="Q22" s="477"/>
      <c r="R22" s="477"/>
      <c r="S22" s="477"/>
      <c r="T22" s="21"/>
      <c r="U22" s="125"/>
      <c r="V22" s="125"/>
      <c r="W22" s="12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ht="16.5">
      <c r="A23" s="20" t="s">
        <v>85</v>
      </c>
      <c r="B23" s="99" t="s">
        <v>386</v>
      </c>
      <c r="C23" s="11" t="s">
        <v>81</v>
      </c>
      <c r="D23" s="105"/>
      <c r="E23" s="105"/>
      <c r="F23" s="45"/>
      <c r="G23" s="45"/>
      <c r="H23" s="45"/>
      <c r="I23" s="45"/>
      <c r="J23" s="106">
        <v>185400000000</v>
      </c>
      <c r="K23" s="106">
        <v>313100000000</v>
      </c>
      <c r="L23" s="106">
        <v>585000000000</v>
      </c>
      <c r="M23" s="477"/>
      <c r="N23" s="477"/>
      <c r="O23" s="477"/>
      <c r="P23" s="477"/>
      <c r="Q23" s="477"/>
      <c r="R23" s="477"/>
      <c r="S23" s="477"/>
      <c r="T23" s="21"/>
      <c r="U23" s="125"/>
      <c r="V23" s="125"/>
      <c r="W23" s="12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ht="16.5">
      <c r="A24" s="126" t="s">
        <v>215</v>
      </c>
      <c r="B24" s="100" t="s">
        <v>387</v>
      </c>
      <c r="C24" s="90" t="s">
        <v>388</v>
      </c>
      <c r="D24" s="113"/>
      <c r="E24" s="113"/>
      <c r="F24" s="113"/>
      <c r="G24" s="113"/>
      <c r="H24" s="113"/>
      <c r="I24" s="113"/>
      <c r="J24" s="106">
        <v>127100000000</v>
      </c>
      <c r="K24" s="106">
        <v>221100000000</v>
      </c>
      <c r="L24" s="106">
        <v>443000000000</v>
      </c>
      <c r="M24" s="477"/>
      <c r="N24" s="477"/>
      <c r="O24" s="477"/>
      <c r="P24" s="477"/>
      <c r="Q24" s="477"/>
      <c r="R24" s="477"/>
      <c r="S24" s="477"/>
      <c r="T24" s="21"/>
      <c r="U24" s="125"/>
      <c r="V24" s="125"/>
      <c r="W24" s="12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77"/>
      <c r="N25" s="477"/>
      <c r="O25" s="477"/>
      <c r="P25" s="477"/>
      <c r="Q25" s="477"/>
      <c r="R25" s="477"/>
      <c r="S25" s="477"/>
      <c r="T25" s="21"/>
      <c r="U25" s="125"/>
      <c r="V25" s="125"/>
      <c r="W25" s="12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ht="16.5">
      <c r="A26" s="20" t="s">
        <v>90</v>
      </c>
      <c r="B26" s="152" t="s">
        <v>91</v>
      </c>
      <c r="C26" s="11" t="s">
        <v>81</v>
      </c>
      <c r="D26" s="105"/>
      <c r="E26" s="105"/>
      <c r="F26" s="45"/>
      <c r="G26" s="45"/>
      <c r="H26" s="45"/>
      <c r="I26" s="45"/>
      <c r="J26" s="45">
        <v>53600000000</v>
      </c>
      <c r="K26" s="106">
        <v>51000000000</v>
      </c>
      <c r="L26" s="106">
        <v>94000000000</v>
      </c>
      <c r="M26" s="288">
        <v>103000000000</v>
      </c>
      <c r="N26" s="288">
        <v>90000000000</v>
      </c>
      <c r="O26" s="288">
        <v>95000000000</v>
      </c>
      <c r="P26" s="288">
        <v>105000000000</v>
      </c>
      <c r="Q26" s="288">
        <v>99000000000</v>
      </c>
      <c r="R26" s="288">
        <v>149000000000</v>
      </c>
      <c r="S26" s="288">
        <v>248000000000</v>
      </c>
      <c r="T26" s="288">
        <v>470000000000</v>
      </c>
      <c r="U26" s="125">
        <v>678000000000</v>
      </c>
      <c r="V26" s="125">
        <v>1320000000000</v>
      </c>
      <c r="W26" s="125">
        <v>1561000000000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ht="16.5">
      <c r="A27" s="41" t="s">
        <v>209</v>
      </c>
      <c r="B27" s="138" t="s">
        <v>209</v>
      </c>
      <c r="C27" t="s">
        <v>211</v>
      </c>
      <c r="D27" s="113"/>
      <c r="E27" s="113"/>
      <c r="F27" s="113"/>
      <c r="G27" s="113"/>
      <c r="H27" s="113"/>
      <c r="I27" s="113"/>
      <c r="J27" s="106">
        <v>9700000000</v>
      </c>
      <c r="K27" s="106">
        <v>16300000000</v>
      </c>
      <c r="L27" s="106">
        <v>60000000000</v>
      </c>
      <c r="M27" s="288">
        <v>24000000000</v>
      </c>
      <c r="N27" s="288">
        <v>27000000000</v>
      </c>
      <c r="O27" s="288">
        <v>56000000000</v>
      </c>
      <c r="P27" s="288">
        <v>68000000000</v>
      </c>
      <c r="Q27" s="288">
        <v>59000000000</v>
      </c>
      <c r="R27" s="288">
        <v>88000000000</v>
      </c>
      <c r="S27" s="288">
        <v>143000000000</v>
      </c>
      <c r="T27" s="288">
        <v>243000000000</v>
      </c>
      <c r="U27" s="125">
        <v>382000000000</v>
      </c>
      <c r="V27" s="125">
        <v>742000000000</v>
      </c>
      <c r="W27" s="125">
        <v>925000000000</v>
      </c>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ht="16.5">
      <c r="A28" s="221" t="s">
        <v>280</v>
      </c>
      <c r="B28" s="138" t="s">
        <v>212</v>
      </c>
      <c r="C28" t="s">
        <v>211</v>
      </c>
      <c r="D28" s="113"/>
      <c r="E28" s="113"/>
      <c r="F28" s="113"/>
      <c r="G28" s="113"/>
      <c r="H28" s="113"/>
      <c r="I28" s="113"/>
      <c r="J28" s="106">
        <v>44000000000</v>
      </c>
      <c r="K28" s="106">
        <v>34700000000</v>
      </c>
      <c r="L28" s="106">
        <v>34000000000</v>
      </c>
      <c r="M28" s="288">
        <v>79000000000</v>
      </c>
      <c r="N28" s="288">
        <v>63000000000</v>
      </c>
      <c r="O28" s="288">
        <v>38000000000</v>
      </c>
      <c r="P28" s="288">
        <v>37000000000</v>
      </c>
      <c r="Q28" s="288">
        <v>40000000000</v>
      </c>
      <c r="R28" s="288">
        <v>62000000000</v>
      </c>
      <c r="S28" s="288">
        <v>106000000000</v>
      </c>
      <c r="T28" s="288">
        <v>228000000000</v>
      </c>
      <c r="U28" s="125">
        <v>296000000000</v>
      </c>
      <c r="V28" s="125">
        <v>577000000000</v>
      </c>
      <c r="W28" s="125">
        <v>636000000000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ht="16.5">
      <c r="A29" s="13" t="s">
        <v>390</v>
      </c>
      <c r="B29" s="152" t="s">
        <v>215</v>
      </c>
      <c r="C29" s="11" t="s">
        <v>81</v>
      </c>
      <c r="D29" s="113"/>
      <c r="E29" s="113"/>
      <c r="F29" s="113"/>
      <c r="G29" s="113"/>
      <c r="H29" s="113"/>
      <c r="I29" s="113"/>
      <c r="J29" s="113"/>
      <c r="K29" s="113"/>
      <c r="L29" s="113"/>
      <c r="M29" s="288">
        <v>308000000000</v>
      </c>
      <c r="N29" s="288">
        <v>507000000000</v>
      </c>
      <c r="O29" s="288">
        <v>766000000000</v>
      </c>
      <c r="P29" s="288">
        <v>548000000000</v>
      </c>
      <c r="Q29" s="288">
        <v>710000000000</v>
      </c>
      <c r="R29" s="288">
        <v>668000000000</v>
      </c>
      <c r="S29" s="288">
        <v>278000000000</v>
      </c>
      <c r="T29" s="288">
        <v>161000000000</v>
      </c>
      <c r="U29" s="125">
        <v>89000000000</v>
      </c>
      <c r="V29" s="125">
        <v>225000000000</v>
      </c>
      <c r="W29" s="125">
        <v>172000000000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ht="16.5">
      <c r="A30" s="20" t="s">
        <v>391</v>
      </c>
      <c r="B30" s="99" t="s">
        <v>392</v>
      </c>
      <c r="C30" s="11" t="s">
        <v>81</v>
      </c>
      <c r="D30" s="113"/>
      <c r="E30" s="113"/>
      <c r="F30" s="113"/>
      <c r="G30" s="113"/>
      <c r="H30" s="113"/>
      <c r="I30" s="113"/>
      <c r="J30" s="113"/>
      <c r="K30" s="113"/>
      <c r="L30" s="113"/>
      <c r="M30" s="288">
        <v>307000000000</v>
      </c>
      <c r="N30" s="288">
        <v>232000000000</v>
      </c>
      <c r="O30" s="288">
        <v>159000000000</v>
      </c>
      <c r="P30" s="288">
        <v>203000000000</v>
      </c>
      <c r="Q30" s="288">
        <v>245000000000</v>
      </c>
      <c r="R30" s="288">
        <v>282000000000</v>
      </c>
      <c r="S30" s="2419">
        <f>S18-S19-S20-S26-S29</f>
        <v>335000000000</v>
      </c>
      <c r="T30" s="288">
        <v>351000000000</v>
      </c>
      <c r="U30" s="125">
        <v>311000000000</v>
      </c>
      <c r="V30" s="125">
        <v>483000000000</v>
      </c>
      <c r="W30" s="125">
        <v>577000000000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ht="16.5">
      <c r="A31" s="203" t="s">
        <v>237</v>
      </c>
      <c r="B31" s="90" t="s">
        <v>393</v>
      </c>
      <c r="C31" s="11" t="s">
        <v>75</v>
      </c>
      <c r="D31" s="105"/>
      <c r="E31" s="105"/>
      <c r="F31" s="45"/>
      <c r="G31" s="45"/>
      <c r="H31" s="45"/>
      <c r="I31" s="45"/>
      <c r="J31" s="106">
        <v>322900000000</v>
      </c>
      <c r="K31" s="106">
        <v>548000000000</v>
      </c>
      <c r="L31" s="106">
        <v>893000000000</v>
      </c>
      <c r="M31" s="288">
        <v>743000000000</v>
      </c>
      <c r="N31" s="288">
        <v>868000000000</v>
      </c>
      <c r="O31" s="288">
        <v>993000000000</v>
      </c>
      <c r="P31" s="288">
        <v>1356000000000</v>
      </c>
      <c r="Q31" s="288">
        <v>1449000000000</v>
      </c>
      <c r="R31" s="288">
        <v>1555000000000</v>
      </c>
      <c r="S31" s="288">
        <v>736000000000</v>
      </c>
      <c r="T31" s="288">
        <v>645000000000</v>
      </c>
      <c r="U31" s="125">
        <v>1145000000000</v>
      </c>
      <c r="V31" s="125">
        <v>1163000000000</v>
      </c>
      <c r="W31" s="125">
        <v>1700000000000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ht="16.5">
      <c r="A32" s="20" t="s">
        <v>239</v>
      </c>
      <c r="B32" s="99" t="s">
        <v>394</v>
      </c>
      <c r="C32" s="11" t="s">
        <v>95</v>
      </c>
      <c r="D32" s="113"/>
      <c r="E32" s="113"/>
      <c r="F32" s="113"/>
      <c r="G32" s="113"/>
      <c r="H32" s="113"/>
      <c r="I32" s="113"/>
      <c r="J32" s="113"/>
      <c r="K32" s="113"/>
      <c r="L32" s="106">
        <v>698000000000</v>
      </c>
      <c r="M32" s="288">
        <v>518000000000</v>
      </c>
      <c r="N32" s="288"/>
      <c r="O32" s="288"/>
      <c r="P32" s="288"/>
      <c r="Q32" s="288"/>
      <c r="R32" s="288"/>
      <c r="S32" s="288"/>
      <c r="T32" s="288"/>
      <c r="U32" s="125"/>
      <c r="V32" s="125"/>
      <c r="W32" s="12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ht="16.5">
      <c r="A33" s="20" t="s">
        <v>395</v>
      </c>
      <c r="B33" s="99" t="s">
        <v>396</v>
      </c>
      <c r="C33" s="11" t="s">
        <v>95</v>
      </c>
      <c r="D33" s="113"/>
      <c r="E33" s="113"/>
      <c r="F33" s="113"/>
      <c r="G33" s="113"/>
      <c r="H33" s="113"/>
      <c r="I33" s="113"/>
      <c r="J33" s="113"/>
      <c r="K33" s="113"/>
      <c r="L33" s="106">
        <v>195000000000</v>
      </c>
      <c r="M33" s="288">
        <v>226000000000</v>
      </c>
      <c r="N33" s="288"/>
      <c r="O33" s="288"/>
      <c r="P33" s="288"/>
      <c r="Q33" s="288"/>
      <c r="R33" s="288"/>
      <c r="S33" s="288"/>
      <c r="T33" s="288"/>
      <c r="U33" s="125"/>
      <c r="V33" s="125"/>
      <c r="W33" s="12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ht="16.5">
      <c r="A34" s="99" t="s">
        <v>397</v>
      </c>
      <c r="B34" s="99" t="s">
        <v>397</v>
      </c>
      <c r="C34" s="11" t="s">
        <v>95</v>
      </c>
      <c r="D34" s="113"/>
      <c r="E34" s="113"/>
      <c r="F34" s="113"/>
      <c r="G34" s="113"/>
      <c r="H34" s="113"/>
      <c r="I34" s="113"/>
      <c r="J34" s="113"/>
      <c r="K34" s="113"/>
      <c r="L34" s="106"/>
      <c r="M34" s="477"/>
      <c r="N34" s="477"/>
      <c r="O34" s="477"/>
      <c r="P34" s="477"/>
      <c r="Q34" s="477"/>
      <c r="R34" s="477"/>
      <c r="S34" s="477"/>
      <c r="T34" s="21"/>
      <c r="U34" s="125"/>
      <c r="V34" s="125"/>
      <c r="W34" s="12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20" t="s">
        <v>398</v>
      </c>
      <c r="B35" s="90" t="s">
        <v>399</v>
      </c>
      <c r="C35" s="11" t="s">
        <v>75</v>
      </c>
      <c r="D35" s="113"/>
      <c r="E35" s="113"/>
      <c r="F35" s="113"/>
      <c r="G35" s="113"/>
      <c r="H35" s="113"/>
      <c r="I35" s="113"/>
      <c r="J35" s="113">
        <f t="shared" ref="J35:M35" si="3">J36+J37+J38</f>
        <v>0</v>
      </c>
      <c r="K35" s="113">
        <f t="shared" si="3"/>
        <v>0</v>
      </c>
      <c r="L35" s="113">
        <f t="shared" si="3"/>
        <v>0</v>
      </c>
      <c r="M35" s="149">
        <f t="shared" si="3"/>
        <v>0</v>
      </c>
      <c r="N35" s="149">
        <v>0</v>
      </c>
      <c r="O35" s="149">
        <v>96000000000</v>
      </c>
      <c r="P35" s="149">
        <v>0</v>
      </c>
      <c r="Q35" s="149">
        <v>36000000000</v>
      </c>
      <c r="R35" s="149">
        <v>13000000000</v>
      </c>
      <c r="S35" s="149">
        <v>82000000000</v>
      </c>
      <c r="T35" s="21">
        <v>139000000000</v>
      </c>
      <c r="U35" s="125">
        <v>0</v>
      </c>
      <c r="V35" s="125">
        <v>0</v>
      </c>
      <c r="W35" s="125">
        <v>0</v>
      </c>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c r="B36" s="64" t="s">
        <v>400</v>
      </c>
      <c r="C36" s="58"/>
      <c r="D36" s="105"/>
      <c r="E36" s="105"/>
      <c r="F36" s="45"/>
      <c r="G36" s="45"/>
      <c r="H36" s="45"/>
      <c r="I36" s="45"/>
      <c r="J36" s="113"/>
      <c r="K36" s="113"/>
      <c r="L36" s="113"/>
      <c r="M36" s="149"/>
      <c r="N36" s="149"/>
      <c r="O36" s="149"/>
      <c r="P36" s="149"/>
      <c r="Q36" s="149"/>
      <c r="R36" s="149"/>
      <c r="S36" s="149"/>
      <c r="T36" s="21"/>
      <c r="U36" s="125"/>
      <c r="V36" s="125"/>
      <c r="W36" s="12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4"/>
      <c r="B37" s="64" t="s">
        <v>402</v>
      </c>
      <c r="C37" s="58"/>
      <c r="D37" s="105"/>
      <c r="E37" s="105"/>
      <c r="F37" s="45"/>
      <c r="G37" s="45"/>
      <c r="H37" s="45"/>
      <c r="I37" s="45"/>
      <c r="J37" s="113"/>
      <c r="K37" s="113"/>
      <c r="L37" s="113"/>
      <c r="M37" s="149"/>
      <c r="N37" s="149"/>
      <c r="O37" s="149"/>
      <c r="P37" s="149"/>
      <c r="Q37" s="149"/>
      <c r="R37" s="149"/>
      <c r="S37" s="149"/>
      <c r="T37" s="21"/>
      <c r="U37" s="125"/>
      <c r="V37" s="125"/>
      <c r="W37" s="12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4"/>
      <c r="B38" s="64" t="s">
        <v>403</v>
      </c>
      <c r="C38" s="58"/>
      <c r="D38" s="105"/>
      <c r="E38" s="105"/>
      <c r="F38" s="45"/>
      <c r="G38" s="45"/>
      <c r="H38" s="45"/>
      <c r="I38" s="45"/>
      <c r="J38" s="113"/>
      <c r="K38" s="113"/>
      <c r="L38" s="113"/>
      <c r="M38" s="149"/>
      <c r="N38" s="2727">
        <v>0</v>
      </c>
      <c r="O38" s="149">
        <v>96000000000</v>
      </c>
      <c r="P38" s="2727">
        <v>0</v>
      </c>
      <c r="Q38" s="149">
        <v>36000000000</v>
      </c>
      <c r="R38" s="149">
        <v>13000000000</v>
      </c>
      <c r="S38" s="149">
        <v>82000000000</v>
      </c>
      <c r="T38" s="21">
        <v>139000000000</v>
      </c>
      <c r="U38" s="395">
        <v>0</v>
      </c>
      <c r="V38" s="125">
        <v>0</v>
      </c>
      <c r="W38" s="125">
        <v>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t="s">
        <v>76</v>
      </c>
      <c r="B39" s="90" t="s">
        <v>404</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t="s">
        <v>76</v>
      </c>
      <c r="B40" s="90" t="s">
        <v>405</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t="s">
        <v>76</v>
      </c>
      <c r="B41" s="90" t="s">
        <v>406</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t="s">
        <v>76</v>
      </c>
      <c r="B42" s="90" t="s">
        <v>407</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t="s">
        <v>76</v>
      </c>
      <c r="B43" s="90" t="s">
        <v>408</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t="s">
        <v>76</v>
      </c>
      <c r="B44" s="90" t="s">
        <v>409</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t="s">
        <v>76</v>
      </c>
      <c r="B45" s="90" t="s">
        <v>410</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s="9" customFormat="1">
      <c r="A46" s="18" t="s">
        <v>115</v>
      </c>
      <c r="B46" s="18" t="s">
        <v>115</v>
      </c>
      <c r="C46" s="18" t="s">
        <v>35</v>
      </c>
      <c r="D46" s="119"/>
      <c r="E46" s="119"/>
      <c r="F46" s="218"/>
      <c r="G46" s="218"/>
      <c r="H46" s="218"/>
      <c r="I46" s="218"/>
      <c r="J46" s="219">
        <v>-239600000000</v>
      </c>
      <c r="K46" s="219">
        <v>-664300000000</v>
      </c>
      <c r="L46" s="219">
        <v>-908000000000</v>
      </c>
      <c r="M46" s="295">
        <f>M48+M57</f>
        <v>483000000000</v>
      </c>
      <c r="N46" s="295">
        <f>N48+N57</f>
        <v>-367000000000</v>
      </c>
      <c r="O46" s="295">
        <f t="shared" ref="O46:W46" si="4">O48+O57</f>
        <v>-752000000000</v>
      </c>
      <c r="P46" s="295">
        <f t="shared" si="4"/>
        <v>-602000000000</v>
      </c>
      <c r="Q46" s="295">
        <f t="shared" si="4"/>
        <v>76000000000</v>
      </c>
      <c r="R46" s="295">
        <f t="shared" si="4"/>
        <v>834000000000</v>
      </c>
      <c r="S46" s="295">
        <f t="shared" si="4"/>
        <v>490000000000</v>
      </c>
      <c r="T46" s="295">
        <f t="shared" si="4"/>
        <v>888000000000</v>
      </c>
      <c r="U46" s="295">
        <f t="shared" si="4"/>
        <v>1198000000000</v>
      </c>
      <c r="V46" s="295">
        <f t="shared" si="4"/>
        <v>595000000000</v>
      </c>
      <c r="W46" s="295">
        <f t="shared" si="4"/>
        <v>824000000000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90" t="s">
        <v>411</v>
      </c>
      <c r="B47" s="90" t="s">
        <v>412</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ht="16.5">
      <c r="A48" s="43" t="s">
        <v>117</v>
      </c>
      <c r="B48" s="90" t="s">
        <v>413</v>
      </c>
      <c r="C48" s="11" t="s">
        <v>119</v>
      </c>
      <c r="D48" s="105"/>
      <c r="E48" s="105"/>
      <c r="F48" s="45"/>
      <c r="G48" s="45"/>
      <c r="H48" s="45"/>
      <c r="I48" s="45"/>
      <c r="J48" s="106">
        <v>-33400000000</v>
      </c>
      <c r="K48" s="106">
        <v>38000000000</v>
      </c>
      <c r="L48" s="106">
        <v>5000000000</v>
      </c>
      <c r="M48" s="141">
        <f>M85+M88+M74</f>
        <v>59000000000</v>
      </c>
      <c r="N48" s="141">
        <f t="shared" ref="N48:W48" si="5">N85+N88+N74</f>
        <v>3000000000</v>
      </c>
      <c r="O48" s="141">
        <f t="shared" si="5"/>
        <v>-94000000000</v>
      </c>
      <c r="P48" s="141">
        <f t="shared" si="5"/>
        <v>-143000000000</v>
      </c>
      <c r="Q48" s="141">
        <f t="shared" si="5"/>
        <v>183000000000</v>
      </c>
      <c r="R48" s="141">
        <f t="shared" si="5"/>
        <v>438000000000</v>
      </c>
      <c r="S48" s="141">
        <f t="shared" si="5"/>
        <v>810000000000</v>
      </c>
      <c r="T48" s="141">
        <f t="shared" si="5"/>
        <v>1209000000000</v>
      </c>
      <c r="U48" s="141">
        <f t="shared" si="5"/>
        <v>581000000000</v>
      </c>
      <c r="V48" s="141">
        <f t="shared" si="5"/>
        <v>744000000000</v>
      </c>
      <c r="W48" s="141">
        <f t="shared" si="5"/>
        <v>377000000000</v>
      </c>
      <c r="X48" s="47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86" t="s">
        <v>76</v>
      </c>
      <c r="B49" s="99" t="s">
        <v>414</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ht="16.5">
      <c r="A50" s="103" t="s">
        <v>415</v>
      </c>
      <c r="B50" s="103" t="s">
        <v>415</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ht="16.5">
      <c r="A51" s="99" t="s">
        <v>416</v>
      </c>
      <c r="B51" s="99" t="s">
        <v>417</v>
      </c>
      <c r="C51" s="58" t="s">
        <v>264</v>
      </c>
      <c r="D51" s="113"/>
      <c r="E51" s="107"/>
      <c r="G51" s="113"/>
      <c r="H51" s="113"/>
      <c r="I51" s="113"/>
      <c r="J51" s="113"/>
      <c r="K51" s="113"/>
      <c r="L51" s="113"/>
      <c r="M51" s="141"/>
      <c r="N51" s="141"/>
      <c r="O51" s="141"/>
      <c r="P51" s="141"/>
      <c r="Q51" s="141"/>
      <c r="R51" s="141"/>
      <c r="S51" s="141"/>
      <c r="T51" s="125"/>
      <c r="U51" s="125"/>
      <c r="V51" s="125"/>
      <c r="W51" s="12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ht="16.5">
      <c r="A52" s="20" t="s">
        <v>258</v>
      </c>
      <c r="B52" s="103" t="s">
        <v>418</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ht="16.5">
      <c r="A53" s="86" t="s">
        <v>419</v>
      </c>
      <c r="B53" s="99" t="s">
        <v>420</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ht="16.5">
      <c r="A54" s="99" t="s">
        <v>421</v>
      </c>
      <c r="B54" s="179" t="s">
        <v>421</v>
      </c>
      <c r="C54" s="58" t="s">
        <v>264</v>
      </c>
      <c r="D54" s="113"/>
      <c r="E54" s="113"/>
      <c r="F54" s="113"/>
      <c r="G54" s="113"/>
      <c r="H54" s="113"/>
      <c r="I54" s="113"/>
      <c r="J54" s="113"/>
      <c r="K54" s="113"/>
      <c r="L54" s="217"/>
      <c r="M54" s="141"/>
      <c r="N54" s="141"/>
      <c r="O54" s="141"/>
      <c r="P54" s="141"/>
      <c r="Q54" s="141"/>
      <c r="R54" s="141"/>
      <c r="S54" s="141"/>
      <c r="T54" s="141"/>
      <c r="U54" s="125"/>
      <c r="V54" s="125"/>
      <c r="W54" s="12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t="s">
        <v>76</v>
      </c>
      <c r="B55" s="90" t="s">
        <v>422</v>
      </c>
      <c r="C55" s="90"/>
      <c r="D55" s="113"/>
      <c r="E55" s="113"/>
      <c r="F55" s="113"/>
      <c r="G55" s="113"/>
      <c r="H55" s="113"/>
      <c r="I55" s="113"/>
      <c r="J55" s="113"/>
      <c r="K55" s="113"/>
      <c r="L55" s="106">
        <v>0</v>
      </c>
      <c r="M55" s="115"/>
      <c r="N55" s="115"/>
      <c r="O55" s="115"/>
      <c r="P55" s="115"/>
      <c r="Q55" s="115"/>
      <c r="R55" s="115"/>
      <c r="S55" s="115"/>
      <c r="T55" s="125"/>
      <c r="U55" s="125"/>
      <c r="V55" s="125"/>
      <c r="W55" s="12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t="s">
        <v>76</v>
      </c>
      <c r="B56" s="58" t="s">
        <v>423</v>
      </c>
      <c r="C56" s="58"/>
      <c r="D56" s="105"/>
      <c r="E56" s="105"/>
      <c r="F56" s="45"/>
      <c r="G56" s="45"/>
      <c r="H56" s="45"/>
      <c r="I56" s="45"/>
      <c r="J56" s="113"/>
      <c r="K56" s="113"/>
      <c r="L56" s="113"/>
      <c r="M56" s="115"/>
      <c r="N56" s="115"/>
      <c r="O56" s="115"/>
      <c r="P56" s="115"/>
      <c r="Q56" s="115"/>
      <c r="R56" s="115"/>
      <c r="S56" s="115"/>
      <c r="T56" s="125"/>
      <c r="U56" s="125"/>
      <c r="V56" s="125"/>
      <c r="W56" s="12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ht="16.5">
      <c r="A57" s="43" t="s">
        <v>120</v>
      </c>
      <c r="B57" s="90" t="s">
        <v>424</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6">O70+O78</f>
        <v>-658000000000</v>
      </c>
      <c r="P57" s="141">
        <f t="shared" si="6"/>
        <v>-459000000000</v>
      </c>
      <c r="Q57" s="141">
        <f t="shared" si="6"/>
        <v>-107000000000</v>
      </c>
      <c r="R57" s="141">
        <f t="shared" si="6"/>
        <v>396000000000</v>
      </c>
      <c r="S57" s="141">
        <f t="shared" si="6"/>
        <v>-320000000000</v>
      </c>
      <c r="T57" s="141">
        <f t="shared" si="6"/>
        <v>-321000000000</v>
      </c>
      <c r="U57" s="141">
        <f t="shared" si="6"/>
        <v>617000000000</v>
      </c>
      <c r="V57" s="141">
        <f t="shared" si="6"/>
        <v>-149000000000</v>
      </c>
      <c r="W57" s="141">
        <f t="shared" si="6"/>
        <v>447000000000</v>
      </c>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ht="16.5">
      <c r="A58" s="20" t="s">
        <v>122</v>
      </c>
      <c r="B58" s="99" t="s">
        <v>425</v>
      </c>
      <c r="C58" s="90" t="s">
        <v>124</v>
      </c>
      <c r="D58" s="113"/>
      <c r="E58" s="107"/>
      <c r="F58" s="113"/>
      <c r="G58" s="113"/>
      <c r="H58" s="113"/>
      <c r="I58" s="113"/>
      <c r="J58" s="106">
        <v>-336700000000</v>
      </c>
      <c r="K58" s="106">
        <v>55900000000</v>
      </c>
      <c r="L58" s="106">
        <v>152000000000</v>
      </c>
      <c r="M58" s="141"/>
      <c r="N58" s="477"/>
      <c r="O58" s="477"/>
      <c r="P58" s="477"/>
      <c r="Q58" s="477"/>
      <c r="R58" s="477"/>
      <c r="S58" s="477"/>
      <c r="T58" s="21"/>
      <c r="U58" s="125"/>
      <c r="V58" s="125"/>
      <c r="W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t="s">
        <v>76</v>
      </c>
      <c r="B59" s="100" t="s">
        <v>426</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t="s">
        <v>76</v>
      </c>
      <c r="B60" s="100" t="s">
        <v>427</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ht="16.5">
      <c r="A61" s="20" t="s">
        <v>428</v>
      </c>
      <c r="B61" s="99" t="s">
        <v>429</v>
      </c>
      <c r="C61" s="90" t="s">
        <v>124</v>
      </c>
      <c r="D61" s="113"/>
      <c r="E61" s="107"/>
      <c r="F61" s="113"/>
      <c r="G61" s="113"/>
      <c r="H61" s="113"/>
      <c r="I61" s="113"/>
      <c r="J61" s="106">
        <v>124000000000</v>
      </c>
      <c r="K61" s="106">
        <v>-758200000000</v>
      </c>
      <c r="L61" s="106">
        <v>-1065000000000</v>
      </c>
      <c r="M61" s="141"/>
      <c r="N61" s="477"/>
      <c r="O61" s="477"/>
      <c r="P61" s="477"/>
      <c r="Q61" s="477"/>
      <c r="R61" s="477"/>
      <c r="S61" s="477"/>
      <c r="T61" s="21"/>
      <c r="U61" s="125"/>
      <c r="V61" s="125"/>
      <c r="W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9" t="s">
        <v>430</v>
      </c>
      <c r="B62" s="179" t="s">
        <v>430</v>
      </c>
      <c r="C62" s="90" t="s">
        <v>124</v>
      </c>
      <c r="D62" s="113"/>
      <c r="E62" s="107"/>
      <c r="F62" s="113"/>
      <c r="G62" s="113"/>
      <c r="H62" s="113"/>
      <c r="I62" s="113"/>
      <c r="J62" s="106">
        <f>J57-J58-J61</f>
        <v>-74500000000</v>
      </c>
      <c r="K62" s="106">
        <f t="shared" ref="K62:L62" si="7">K57-K58-K61</f>
        <v>0</v>
      </c>
      <c r="L62" s="106">
        <f t="shared" si="7"/>
        <v>0</v>
      </c>
      <c r="M62" s="164"/>
      <c r="N62" s="202"/>
      <c r="O62" s="202"/>
      <c r="P62" s="202"/>
      <c r="Q62" s="202"/>
      <c r="R62" s="202"/>
      <c r="S62" s="202"/>
      <c r="T62" s="202"/>
      <c r="U62" s="125"/>
      <c r="V62" s="125"/>
      <c r="W62" s="12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9" t="s">
        <v>431</v>
      </c>
      <c r="B63" s="179" t="s">
        <v>431</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ht="16.5">
      <c r="B64" s="90" t="s">
        <v>432</v>
      </c>
      <c r="C64" s="90"/>
      <c r="D64" s="113"/>
      <c r="E64" s="107"/>
      <c r="F64" s="113"/>
      <c r="G64" s="113"/>
      <c r="H64" s="113"/>
      <c r="I64" s="113"/>
      <c r="J64" s="113"/>
      <c r="K64" s="113"/>
      <c r="L64" s="106">
        <v>0</v>
      </c>
      <c r="M64" s="141"/>
      <c r="N64" s="477"/>
      <c r="O64" s="477"/>
      <c r="P64" s="477"/>
      <c r="Q64" s="477"/>
      <c r="R64" s="477"/>
      <c r="S64" s="477"/>
      <c r="T64" s="21"/>
      <c r="U64" s="125"/>
      <c r="V64" s="125"/>
      <c r="W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B65" s="90" t="s">
        <v>433</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B66" s="90" t="s">
        <v>434</v>
      </c>
      <c r="C66" s="90"/>
      <c r="D66" s="113"/>
      <c r="E66" s="107"/>
      <c r="F66" s="113"/>
      <c r="G66" s="113"/>
      <c r="H66" s="113"/>
      <c r="I66" s="113"/>
      <c r="J66" s="113"/>
      <c r="K66" s="113"/>
      <c r="L66" s="106">
        <v>0</v>
      </c>
      <c r="M66" s="115"/>
      <c r="N66" s="149"/>
      <c r="O66" s="149"/>
      <c r="P66" s="149"/>
      <c r="Q66" s="149"/>
      <c r="R66" s="149"/>
      <c r="S66" s="149"/>
      <c r="T66" s="21"/>
      <c r="U66" s="125"/>
      <c r="V66" s="125"/>
      <c r="W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ht="16.5">
      <c r="B67" s="90" t="s">
        <v>435</v>
      </c>
      <c r="C67" s="90"/>
      <c r="D67" s="113"/>
      <c r="E67" s="107"/>
      <c r="F67" s="113"/>
      <c r="G67" s="113"/>
      <c r="H67" s="113"/>
      <c r="I67" s="113"/>
      <c r="J67" s="113"/>
      <c r="K67" s="113"/>
      <c r="L67" s="113"/>
      <c r="M67" s="142">
        <v>-440000000000</v>
      </c>
      <c r="N67" s="288"/>
      <c r="O67" s="288"/>
      <c r="P67" s="288"/>
      <c r="Q67" s="288"/>
      <c r="R67" s="288"/>
      <c r="S67" s="288"/>
      <c r="T67" s="288"/>
      <c r="U67" s="21"/>
      <c r="V67" s="21"/>
      <c r="W67" s="21"/>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ht="16.5">
      <c r="B68" s="90" t="s">
        <v>436</v>
      </c>
      <c r="C68" s="90"/>
      <c r="D68" s="113"/>
      <c r="E68" s="107"/>
      <c r="F68" s="113"/>
      <c r="G68" s="113"/>
      <c r="H68" s="113"/>
      <c r="I68" s="113"/>
      <c r="J68" s="113"/>
      <c r="K68" s="113"/>
      <c r="L68" s="106">
        <v>-1065000000000</v>
      </c>
      <c r="M68" s="142">
        <v>43000000000</v>
      </c>
      <c r="N68" s="288"/>
      <c r="O68" s="288"/>
      <c r="P68" s="288"/>
      <c r="Q68" s="288"/>
      <c r="R68" s="288"/>
      <c r="S68" s="288"/>
      <c r="T68" s="288"/>
      <c r="U68" s="288"/>
      <c r="V68" s="288"/>
      <c r="W68" s="288"/>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ht="16.5">
      <c r="B69" s="90" t="s">
        <v>437</v>
      </c>
      <c r="C69" s="90"/>
      <c r="D69" s="113"/>
      <c r="E69" s="107"/>
      <c r="F69" s="113"/>
      <c r="G69" s="113"/>
      <c r="H69" s="113"/>
      <c r="I69" s="113"/>
      <c r="J69" s="113"/>
      <c r="K69" s="113"/>
      <c r="L69" s="113"/>
      <c r="M69" s="288">
        <f>M70+M75</f>
        <v>132000000000</v>
      </c>
      <c r="N69" s="288">
        <f>N70+N75</f>
        <v>-79000000000</v>
      </c>
      <c r="O69" s="288">
        <f t="shared" ref="O69:W69" si="8">O70+O75</f>
        <v>-739000000000</v>
      </c>
      <c r="P69" s="288">
        <f t="shared" si="8"/>
        <v>-593000000000</v>
      </c>
      <c r="Q69" s="288">
        <f t="shared" si="8"/>
        <v>-95000000000</v>
      </c>
      <c r="R69" s="288">
        <f t="shared" si="8"/>
        <v>-316000000000</v>
      </c>
      <c r="S69" s="288">
        <f t="shared" si="8"/>
        <v>-1458000000000</v>
      </c>
      <c r="T69" s="288">
        <f t="shared" si="8"/>
        <v>-1925000000000</v>
      </c>
      <c r="U69" s="288">
        <f t="shared" si="8"/>
        <v>-502000000000</v>
      </c>
      <c r="V69" s="288">
        <f t="shared" si="8"/>
        <v>399000000000</v>
      </c>
      <c r="W69" s="288">
        <f t="shared" si="8"/>
        <v>250000000000</v>
      </c>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ht="16.5">
      <c r="B70" s="139" t="s">
        <v>209</v>
      </c>
      <c r="C70" s="139"/>
      <c r="D70" s="113"/>
      <c r="E70" s="107"/>
      <c r="F70" s="113"/>
      <c r="G70" s="113"/>
      <c r="H70" s="113"/>
      <c r="I70" s="113"/>
      <c r="J70" s="113"/>
      <c r="K70" s="113"/>
      <c r="L70" s="113"/>
      <c r="M70" s="288">
        <f>M71+M72+M73</f>
        <v>148000000000</v>
      </c>
      <c r="N70" s="288">
        <f>N71+N72+N73</f>
        <v>-66000000000</v>
      </c>
      <c r="O70" s="288">
        <f t="shared" ref="O70:W70" si="9">O71+O72+O73</f>
        <v>-594000000000</v>
      </c>
      <c r="P70" s="288">
        <f t="shared" si="9"/>
        <v>-232000000000</v>
      </c>
      <c r="Q70" s="288">
        <f t="shared" si="9"/>
        <v>-95000000000</v>
      </c>
      <c r="R70" s="288">
        <f t="shared" si="9"/>
        <v>-316000000000</v>
      </c>
      <c r="S70" s="288">
        <f t="shared" si="9"/>
        <v>-1435000000000</v>
      </c>
      <c r="T70" s="288">
        <f t="shared" si="9"/>
        <v>-1793000000000</v>
      </c>
      <c r="U70" s="288">
        <f t="shared" si="9"/>
        <v>-442000000000</v>
      </c>
      <c r="V70" s="288">
        <f t="shared" si="9"/>
        <v>399000000000</v>
      </c>
      <c r="W70" s="288">
        <f t="shared" si="9"/>
        <v>250000000000</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ht="16.5">
      <c r="A71" s="90" t="s">
        <v>438</v>
      </c>
      <c r="B71" s="90" t="s">
        <v>438</v>
      </c>
      <c r="C71" s="90" t="s">
        <v>124</v>
      </c>
      <c r="D71" s="113"/>
      <c r="E71" s="107"/>
      <c r="F71" s="113"/>
      <c r="G71" s="113"/>
      <c r="H71" s="113"/>
      <c r="I71" s="113"/>
      <c r="J71" s="113"/>
      <c r="K71" s="113"/>
      <c r="L71" s="113"/>
      <c r="M71" s="142">
        <v>524000000000</v>
      </c>
      <c r="N71" s="288">
        <v>-364000000000</v>
      </c>
      <c r="O71" s="288">
        <v>-714000000000</v>
      </c>
      <c r="P71" s="288">
        <v>-477000000000</v>
      </c>
      <c r="Q71" s="288">
        <v>21000000000</v>
      </c>
      <c r="R71" s="288">
        <v>175000000000</v>
      </c>
      <c r="S71" s="288">
        <v>-771000000000</v>
      </c>
      <c r="T71" s="288">
        <v>-422000000000</v>
      </c>
      <c r="U71" s="21">
        <v>694000000000</v>
      </c>
      <c r="V71" s="21">
        <v>634000000000</v>
      </c>
      <c r="W71" s="21">
        <v>250000000000</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ht="16.5">
      <c r="A72" s="90" t="s">
        <v>439</v>
      </c>
      <c r="B72" s="90" t="s">
        <v>439</v>
      </c>
      <c r="C72" s="90" t="s">
        <v>124</v>
      </c>
      <c r="D72" s="113"/>
      <c r="E72" s="107"/>
      <c r="F72" s="113"/>
      <c r="G72" s="113"/>
      <c r="H72" s="113"/>
      <c r="I72" s="113"/>
      <c r="J72" s="113"/>
      <c r="K72" s="113"/>
      <c r="L72" s="113"/>
      <c r="M72" s="142">
        <v>0</v>
      </c>
      <c r="N72" s="288">
        <v>1000000000</v>
      </c>
      <c r="O72" s="288">
        <v>0</v>
      </c>
      <c r="P72" s="288">
        <v>-8000000000</v>
      </c>
      <c r="Q72" s="288">
        <v>0</v>
      </c>
      <c r="R72" s="288">
        <v>-514000000000</v>
      </c>
      <c r="S72" s="288">
        <v>-317000000000</v>
      </c>
      <c r="T72" s="288">
        <v>-1076000000000</v>
      </c>
      <c r="U72" s="21">
        <v>-1180000000000</v>
      </c>
      <c r="V72" s="21">
        <v>-235000000000</v>
      </c>
      <c r="W72" s="21">
        <v>0</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ht="16.5">
      <c r="A73" s="90" t="s">
        <v>440</v>
      </c>
      <c r="B73" s="90" t="s">
        <v>440</v>
      </c>
      <c r="C73" s="90" t="s">
        <v>124</v>
      </c>
      <c r="D73" s="113"/>
      <c r="E73" s="107"/>
      <c r="F73" s="113"/>
      <c r="G73" s="113"/>
      <c r="H73" s="113"/>
      <c r="I73" s="113"/>
      <c r="J73" s="113"/>
      <c r="K73" s="113"/>
      <c r="L73" s="113"/>
      <c r="M73" s="142">
        <v>-376000000000</v>
      </c>
      <c r="N73" s="288">
        <v>297000000000</v>
      </c>
      <c r="O73" s="288">
        <v>120000000000</v>
      </c>
      <c r="P73" s="288">
        <v>253000000000</v>
      </c>
      <c r="Q73" s="288">
        <v>-116000000000</v>
      </c>
      <c r="R73" s="288">
        <v>23000000000</v>
      </c>
      <c r="S73" s="288">
        <v>-347000000000</v>
      </c>
      <c r="T73" s="288">
        <v>-295000000000</v>
      </c>
      <c r="U73" s="21">
        <v>44000000000</v>
      </c>
      <c r="V73" s="21">
        <v>0</v>
      </c>
      <c r="W73" s="21">
        <v>0</v>
      </c>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ht="16.5">
      <c r="B74" s="139" t="s">
        <v>212</v>
      </c>
      <c r="C74" s="58" t="s">
        <v>264</v>
      </c>
      <c r="D74" s="113"/>
      <c r="E74" s="107"/>
      <c r="F74" s="113"/>
      <c r="G74" s="113"/>
      <c r="H74" s="113"/>
      <c r="I74" s="113"/>
      <c r="J74" s="113"/>
      <c r="K74" s="113"/>
      <c r="L74" s="113"/>
      <c r="M74" s="288">
        <f>M75</f>
        <v>-16000000000</v>
      </c>
      <c r="N74" s="288">
        <f>N75</f>
        <v>-13000000000</v>
      </c>
      <c r="O74" s="288">
        <f t="shared" ref="O74:W74" si="10">O75</f>
        <v>-145000000000</v>
      </c>
      <c r="P74" s="288">
        <f t="shared" si="10"/>
        <v>-361000000000</v>
      </c>
      <c r="Q74" s="288">
        <f t="shared" si="10"/>
        <v>0</v>
      </c>
      <c r="R74" s="288">
        <f t="shared" si="10"/>
        <v>0</v>
      </c>
      <c r="S74" s="288">
        <f t="shared" si="10"/>
        <v>-23000000000</v>
      </c>
      <c r="T74" s="288">
        <f t="shared" si="10"/>
        <v>-132000000000</v>
      </c>
      <c r="U74" s="288">
        <f t="shared" si="10"/>
        <v>-60000000000</v>
      </c>
      <c r="V74" s="288">
        <f t="shared" si="10"/>
        <v>0</v>
      </c>
      <c r="W74" s="288">
        <f t="shared" si="10"/>
        <v>0</v>
      </c>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ht="16.5">
      <c r="B75" s="90" t="s">
        <v>441</v>
      </c>
      <c r="C75" s="90"/>
      <c r="D75" s="113"/>
      <c r="E75" s="107"/>
      <c r="F75" s="113"/>
      <c r="G75" s="113"/>
      <c r="H75" s="113"/>
      <c r="I75" s="113"/>
      <c r="J75" s="113"/>
      <c r="K75" s="113"/>
      <c r="L75" s="113"/>
      <c r="M75" s="142">
        <v>-16000000000</v>
      </c>
      <c r="N75" s="288">
        <v>-13000000000</v>
      </c>
      <c r="O75" s="288">
        <v>-145000000000</v>
      </c>
      <c r="P75" s="288">
        <v>-361000000000</v>
      </c>
      <c r="Q75" s="288">
        <v>0</v>
      </c>
      <c r="R75" s="288">
        <v>0</v>
      </c>
      <c r="S75" s="288">
        <v>-23000000000</v>
      </c>
      <c r="T75" s="288">
        <v>-132000000000</v>
      </c>
      <c r="U75" s="21">
        <v>-60000000000</v>
      </c>
      <c r="V75" s="21">
        <v>0</v>
      </c>
      <c r="W75" s="21">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ht="16.5">
      <c r="B76" s="90"/>
      <c r="C76" s="90"/>
      <c r="D76" s="113"/>
      <c r="E76" s="107"/>
      <c r="F76" s="113"/>
      <c r="G76" s="113"/>
      <c r="H76" s="113"/>
      <c r="I76" s="113"/>
      <c r="J76" s="113"/>
      <c r="K76" s="113"/>
      <c r="L76" s="113"/>
      <c r="M76" s="142"/>
      <c r="N76" s="288"/>
      <c r="O76" s="288"/>
      <c r="P76" s="288"/>
      <c r="Q76" s="288"/>
      <c r="R76" s="288"/>
      <c r="S76" s="288"/>
      <c r="T76" s="288"/>
      <c r="U76" s="21"/>
      <c r="V76" s="21"/>
      <c r="W76" s="21"/>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ht="16.5">
      <c r="B77" s="90" t="s">
        <v>442</v>
      </c>
      <c r="C77" s="90"/>
      <c r="D77" s="113"/>
      <c r="E77" s="107"/>
      <c r="F77" s="113"/>
      <c r="G77" s="113"/>
      <c r="H77" s="113"/>
      <c r="I77" s="113"/>
      <c r="J77" s="113"/>
      <c r="K77" s="113"/>
      <c r="L77" s="113"/>
      <c r="M77" s="142">
        <v>350000000000</v>
      </c>
      <c r="N77" s="288">
        <v>-288000000000</v>
      </c>
      <c r="O77" s="288">
        <v>-13000000000</v>
      </c>
      <c r="P77" s="288">
        <v>-9000000000</v>
      </c>
      <c r="Q77" s="288">
        <v>171000000000</v>
      </c>
      <c r="R77" s="288">
        <v>1149000000000</v>
      </c>
      <c r="S77" s="288">
        <v>1948000000000</v>
      </c>
      <c r="T77" s="288">
        <v>2812000000000</v>
      </c>
      <c r="U77" s="21">
        <v>1700000000000</v>
      </c>
      <c r="V77" s="21">
        <v>196000000000</v>
      </c>
      <c r="W77" s="21">
        <v>574000000000</v>
      </c>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ht="16.5">
      <c r="B78" s="139" t="s">
        <v>209</v>
      </c>
      <c r="C78" s="139"/>
      <c r="D78" s="113"/>
      <c r="E78" s="107"/>
      <c r="F78" s="113"/>
      <c r="G78" s="113"/>
      <c r="H78" s="113"/>
      <c r="I78" s="113"/>
      <c r="J78" s="113"/>
      <c r="K78" s="113"/>
      <c r="L78" s="113"/>
      <c r="M78" s="142">
        <v>276000000000</v>
      </c>
      <c r="N78" s="288">
        <v>-304000000000</v>
      </c>
      <c r="O78" s="288">
        <v>-64000000000</v>
      </c>
      <c r="P78" s="288">
        <v>-227000000000</v>
      </c>
      <c r="Q78" s="288">
        <v>-12000000000</v>
      </c>
      <c r="R78" s="288">
        <v>712000000000</v>
      </c>
      <c r="S78" s="288">
        <v>1115000000000</v>
      </c>
      <c r="T78" s="288">
        <v>1472000000000</v>
      </c>
      <c r="U78" s="21">
        <v>1059000000000</v>
      </c>
      <c r="V78" s="21">
        <v>-548000000000</v>
      </c>
      <c r="W78" s="21">
        <v>197000000000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ht="16.5">
      <c r="A79" s="90" t="s">
        <v>443</v>
      </c>
      <c r="B79" s="90" t="s">
        <v>443</v>
      </c>
      <c r="C79" s="90" t="s">
        <v>124</v>
      </c>
      <c r="D79" s="113"/>
      <c r="E79" s="107"/>
      <c r="F79" s="113"/>
      <c r="G79" s="113"/>
      <c r="H79" s="113"/>
      <c r="I79" s="113"/>
      <c r="J79" s="113"/>
      <c r="K79" s="113"/>
      <c r="L79" s="113"/>
      <c r="M79" s="142">
        <v>-89000000000</v>
      </c>
      <c r="N79" s="288">
        <v>-78000000000</v>
      </c>
      <c r="O79" s="288">
        <v>-187000000000</v>
      </c>
      <c r="P79" s="288">
        <v>-415000000000</v>
      </c>
      <c r="Q79" s="288">
        <v>-539000000000</v>
      </c>
      <c r="R79" s="288">
        <v>-17000000000</v>
      </c>
      <c r="S79" s="288">
        <v>726000000000</v>
      </c>
      <c r="T79" s="288">
        <v>1477000000000</v>
      </c>
      <c r="U79" s="21">
        <v>930000000000</v>
      </c>
      <c r="V79" s="21">
        <v>785000000000</v>
      </c>
      <c r="W79" s="21">
        <v>197000000000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ht="16.5">
      <c r="A80" s="139" t="s">
        <v>444</v>
      </c>
      <c r="B80" s="139" t="s">
        <v>444</v>
      </c>
      <c r="C80" s="90" t="s">
        <v>124</v>
      </c>
      <c r="D80" s="113"/>
      <c r="E80" s="107"/>
      <c r="F80" s="113"/>
      <c r="G80" s="113"/>
      <c r="H80" s="113"/>
      <c r="I80" s="113"/>
      <c r="J80" s="113"/>
      <c r="K80" s="113"/>
      <c r="L80" s="113"/>
      <c r="M80" s="142">
        <v>28000000000</v>
      </c>
      <c r="N80" s="288">
        <v>-68000000000</v>
      </c>
      <c r="O80" s="288">
        <v>-61000000000</v>
      </c>
      <c r="P80" s="288">
        <v>-68000000000</v>
      </c>
      <c r="Q80" s="288">
        <v>15000000000</v>
      </c>
      <c r="R80" s="288">
        <v>234000000000</v>
      </c>
      <c r="S80" s="288">
        <v>-96000000000</v>
      </c>
      <c r="T80" s="288">
        <v>5000000000</v>
      </c>
      <c r="U80" s="21">
        <v>-1000000000</v>
      </c>
      <c r="V80" s="21"/>
      <c r="W80" s="21"/>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row>
    <row r="81" spans="1:49" ht="16.5">
      <c r="A81" s="90" t="s">
        <v>417</v>
      </c>
      <c r="B81" s="90" t="s">
        <v>417</v>
      </c>
      <c r="C81" s="90" t="s">
        <v>124</v>
      </c>
      <c r="D81" s="113"/>
      <c r="E81" s="107"/>
      <c r="F81" s="113"/>
      <c r="G81" s="113"/>
      <c r="H81" s="113"/>
      <c r="I81" s="113"/>
      <c r="J81" s="113"/>
      <c r="K81" s="113"/>
      <c r="L81" s="113"/>
      <c r="M81" s="142">
        <v>337000000000</v>
      </c>
      <c r="N81" s="288">
        <v>-158000000000</v>
      </c>
      <c r="O81" s="288">
        <v>184000000000</v>
      </c>
      <c r="P81" s="288">
        <v>256000000000</v>
      </c>
      <c r="Q81" s="288">
        <v>512000000000</v>
      </c>
      <c r="R81" s="288">
        <v>494000000000</v>
      </c>
      <c r="S81" s="288">
        <v>485000000000</v>
      </c>
      <c r="T81" s="288">
        <v>-10000000000</v>
      </c>
      <c r="U81" s="21">
        <v>130000000000</v>
      </c>
      <c r="V81" s="21">
        <v>-1333000000000</v>
      </c>
      <c r="W81" s="21">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row>
    <row r="82" spans="1:49" ht="16.5">
      <c r="B82" s="90" t="s">
        <v>445</v>
      </c>
      <c r="C82" s="90"/>
      <c r="D82" s="113"/>
      <c r="E82" s="107"/>
      <c r="F82" s="113"/>
      <c r="G82" s="113"/>
      <c r="H82" s="113"/>
      <c r="I82" s="113"/>
      <c r="J82" s="113"/>
      <c r="K82" s="113"/>
      <c r="L82" s="113"/>
      <c r="M82" s="142"/>
      <c r="N82" s="288"/>
      <c r="O82" s="288"/>
      <c r="P82" s="288"/>
      <c r="Q82" s="288"/>
      <c r="R82" s="288"/>
      <c r="S82" s="288"/>
      <c r="T82" s="288"/>
      <c r="U82" s="21"/>
      <c r="V82" s="21"/>
      <c r="W82" s="21"/>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row>
    <row r="83" spans="1:49" ht="16.5">
      <c r="B83" s="90" t="s">
        <v>446</v>
      </c>
      <c r="C83" s="90"/>
      <c r="D83" s="113"/>
      <c r="E83" s="107"/>
      <c r="F83" s="113"/>
      <c r="G83" s="113"/>
      <c r="H83" s="113"/>
      <c r="I83" s="113"/>
      <c r="J83" s="113"/>
      <c r="K83" s="113"/>
      <c r="L83" s="113"/>
      <c r="M83" s="142"/>
      <c r="N83" s="288"/>
      <c r="O83" s="288"/>
      <c r="P83" s="288"/>
      <c r="Q83" s="288"/>
      <c r="R83" s="288"/>
      <c r="S83" s="288"/>
      <c r="T83" s="288"/>
      <c r="U83" s="21"/>
      <c r="V83" s="21"/>
      <c r="W83" s="21"/>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row>
    <row r="84" spans="1:49" ht="16.5">
      <c r="B84" s="139" t="s">
        <v>212</v>
      </c>
      <c r="C84" s="139"/>
      <c r="D84" s="113"/>
      <c r="E84" s="107"/>
      <c r="F84" s="113"/>
      <c r="G84" s="113"/>
      <c r="H84" s="113"/>
      <c r="I84" s="113"/>
      <c r="J84" s="113"/>
      <c r="K84" s="113"/>
      <c r="L84" s="113"/>
      <c r="M84" s="142">
        <v>74000000000</v>
      </c>
      <c r="N84" s="288">
        <v>16000000000</v>
      </c>
      <c r="O84" s="288">
        <v>51000000000</v>
      </c>
      <c r="P84" s="288">
        <v>218000000000</v>
      </c>
      <c r="Q84" s="288">
        <v>183000000000</v>
      </c>
      <c r="R84" s="288">
        <v>438000000000</v>
      </c>
      <c r="S84" s="288">
        <v>833000000000</v>
      </c>
      <c r="T84" s="288">
        <v>1341000000000</v>
      </c>
      <c r="U84" s="21">
        <v>641000000000</v>
      </c>
      <c r="V84" s="21">
        <v>744000000000</v>
      </c>
      <c r="W84" s="21">
        <v>377000000000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row>
    <row r="85" spans="1:49" ht="16.5">
      <c r="A85" s="90" t="s">
        <v>443</v>
      </c>
      <c r="B85" s="90" t="s">
        <v>443</v>
      </c>
      <c r="C85" s="58" t="s">
        <v>264</v>
      </c>
      <c r="D85" s="113"/>
      <c r="E85" s="107"/>
      <c r="F85" s="113"/>
      <c r="G85" s="113"/>
      <c r="H85" s="113"/>
      <c r="I85" s="113"/>
      <c r="J85" s="113"/>
      <c r="K85" s="113"/>
      <c r="L85" s="113"/>
      <c r="M85" s="142">
        <v>111000000000</v>
      </c>
      <c r="N85" s="288">
        <v>16000000000</v>
      </c>
      <c r="O85" s="288">
        <v>51000000000</v>
      </c>
      <c r="P85" s="288">
        <v>218000000000</v>
      </c>
      <c r="Q85" s="288">
        <v>183000000000</v>
      </c>
      <c r="R85" s="288">
        <v>438000000000</v>
      </c>
      <c r="S85" s="288">
        <v>833000000000</v>
      </c>
      <c r="T85" s="288">
        <v>1341000000000</v>
      </c>
      <c r="U85" s="21">
        <v>641000000000</v>
      </c>
      <c r="V85" s="21">
        <v>744000000000</v>
      </c>
      <c r="W85" s="21">
        <v>377000000000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row>
    <row r="86" spans="1:49" ht="16.5">
      <c r="A86" s="139" t="s">
        <v>415</v>
      </c>
      <c r="B86" s="139" t="s">
        <v>415</v>
      </c>
      <c r="C86" s="58" t="s">
        <v>7046</v>
      </c>
      <c r="D86" s="113"/>
      <c r="E86" s="107"/>
      <c r="F86" s="113"/>
      <c r="G86" s="113"/>
      <c r="H86" s="113"/>
      <c r="I86" s="113"/>
      <c r="J86" s="113"/>
      <c r="K86" s="113"/>
      <c r="L86" s="113"/>
      <c r="M86" s="142">
        <v>380000000000</v>
      </c>
      <c r="N86" s="288">
        <v>154000000000</v>
      </c>
      <c r="O86" s="288">
        <v>186000000000</v>
      </c>
      <c r="P86" s="288">
        <v>384000000000</v>
      </c>
      <c r="Q86" s="288">
        <v>380000000000</v>
      </c>
      <c r="R86" s="288">
        <v>732000000000</v>
      </c>
      <c r="S86" s="288">
        <v>1130000000000</v>
      </c>
      <c r="T86" s="288">
        <v>1733000000000</v>
      </c>
      <c r="U86" s="21">
        <v>1223000000000</v>
      </c>
      <c r="V86" s="21">
        <v>2198000000000</v>
      </c>
      <c r="W86" s="21">
        <v>1933000000000</v>
      </c>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row>
    <row r="87" spans="1:49" ht="16.5">
      <c r="A87" s="139" t="s">
        <v>418</v>
      </c>
      <c r="B87" s="139" t="s">
        <v>418</v>
      </c>
      <c r="C87" s="58" t="s">
        <v>7046</v>
      </c>
      <c r="D87" s="113"/>
      <c r="E87" s="107"/>
      <c r="F87" s="113"/>
      <c r="G87" s="113"/>
      <c r="H87" s="113"/>
      <c r="I87" s="113"/>
      <c r="J87" s="113"/>
      <c r="K87" s="113"/>
      <c r="L87" s="113"/>
      <c r="M87" s="142">
        <v>-269000000000</v>
      </c>
      <c r="N87" s="288">
        <v>-138000000000</v>
      </c>
      <c r="O87" s="288">
        <v>-135000000000</v>
      </c>
      <c r="P87" s="288">
        <v>-166000000000</v>
      </c>
      <c r="Q87" s="288">
        <v>-197000000000</v>
      </c>
      <c r="R87" s="288">
        <v>-294000000000</v>
      </c>
      <c r="S87" s="288">
        <v>-297000000000</v>
      </c>
      <c r="T87" s="288">
        <v>-392000000000</v>
      </c>
      <c r="U87" s="21">
        <v>-582000000000</v>
      </c>
      <c r="V87" s="21">
        <v>-1454000000000</v>
      </c>
      <c r="W87" s="21">
        <v>-1556000000000</v>
      </c>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row>
    <row r="88" spans="1:49" ht="16.5">
      <c r="A88" s="90" t="s">
        <v>417</v>
      </c>
      <c r="B88" s="90" t="s">
        <v>417</v>
      </c>
      <c r="C88" s="58" t="s">
        <v>264</v>
      </c>
      <c r="D88" s="113"/>
      <c r="E88" s="107"/>
      <c r="F88" s="113"/>
      <c r="G88" s="113"/>
      <c r="H88" s="113"/>
      <c r="I88" s="113"/>
      <c r="J88" s="113"/>
      <c r="K88" s="113"/>
      <c r="L88" s="113"/>
      <c r="M88" s="142">
        <v>-36000000000</v>
      </c>
      <c r="N88" s="288">
        <v>0</v>
      </c>
      <c r="O88" s="288">
        <v>0</v>
      </c>
      <c r="P88" s="288">
        <v>0</v>
      </c>
      <c r="Q88" s="288">
        <v>0</v>
      </c>
      <c r="R88" s="288">
        <v>0</v>
      </c>
      <c r="S88" s="288">
        <v>0</v>
      </c>
      <c r="T88" s="288">
        <v>0</v>
      </c>
      <c r="U88" s="21">
        <v>0</v>
      </c>
      <c r="V88" s="21">
        <v>0</v>
      </c>
      <c r="W88" s="21">
        <v>0</v>
      </c>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row>
    <row r="89" spans="1:4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row>
    <row r="90" spans="1:49">
      <c r="D90" s="90"/>
      <c r="E90" s="90"/>
      <c r="J90" t="s">
        <v>138</v>
      </c>
      <c r="K90" t="s">
        <v>138</v>
      </c>
      <c r="L90" t="s">
        <v>139</v>
      </c>
      <c r="M90" t="s">
        <v>447</v>
      </c>
      <c r="N90" t="s">
        <v>447</v>
      </c>
      <c r="O90" t="s">
        <v>447</v>
      </c>
      <c r="P90" t="s">
        <v>447</v>
      </c>
      <c r="Q90" t="s">
        <v>447</v>
      </c>
      <c r="R90" t="s">
        <v>447</v>
      </c>
      <c r="S90" t="s">
        <v>447</v>
      </c>
      <c r="T90" t="s">
        <v>447</v>
      </c>
      <c r="U90" t="s">
        <v>447</v>
      </c>
      <c r="V90" t="s">
        <v>447</v>
      </c>
      <c r="W90" t="s">
        <v>447</v>
      </c>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row>
    <row r="91" spans="1:49">
      <c r="N91" t="s">
        <v>448</v>
      </c>
      <c r="O91" t="s">
        <v>448</v>
      </c>
      <c r="P91" t="s">
        <v>448</v>
      </c>
      <c r="Q91" t="s">
        <v>448</v>
      </c>
      <c r="R91" t="s">
        <v>448</v>
      </c>
      <c r="S91" t="s">
        <v>448</v>
      </c>
      <c r="T91" t="s">
        <v>448</v>
      </c>
      <c r="U91" t="s">
        <v>448</v>
      </c>
      <c r="V91" t="s">
        <v>448</v>
      </c>
      <c r="W91" t="s">
        <v>448</v>
      </c>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row>
    <row r="92" spans="1:49">
      <c r="B92" t="s">
        <v>449</v>
      </c>
      <c r="J92" s="51">
        <f t="shared" ref="J92:T92" si="11">J6-J7-J13</f>
        <v>0</v>
      </c>
      <c r="K92" s="51">
        <f t="shared" si="11"/>
        <v>0</v>
      </c>
      <c r="L92" s="51">
        <f t="shared" si="11"/>
        <v>0</v>
      </c>
      <c r="M92" s="51">
        <f t="shared" si="11"/>
        <v>0</v>
      </c>
      <c r="N92" s="51">
        <f t="shared" si="11"/>
        <v>0</v>
      </c>
      <c r="O92" s="51">
        <f t="shared" si="11"/>
        <v>0</v>
      </c>
      <c r="P92" s="51">
        <f t="shared" si="11"/>
        <v>0</v>
      </c>
      <c r="Q92" s="51">
        <f t="shared" si="11"/>
        <v>0</v>
      </c>
      <c r="R92" s="51">
        <f t="shared" si="11"/>
        <v>0</v>
      </c>
      <c r="S92" s="51">
        <f t="shared" si="11"/>
        <v>0</v>
      </c>
      <c r="T92" s="51">
        <f t="shared" si="11"/>
        <v>0</v>
      </c>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row>
    <row r="93" spans="1:49">
      <c r="B93" t="s">
        <v>450</v>
      </c>
      <c r="D93" s="130"/>
      <c r="E93" s="130"/>
      <c r="F93" s="130"/>
      <c r="G93" s="130"/>
      <c r="H93" s="130"/>
      <c r="I93" s="130"/>
      <c r="J93" s="130">
        <f>J7-J8-J13-J12</f>
        <v>0</v>
      </c>
      <c r="K93" s="130">
        <f>K7-K8-K13-K12</f>
        <v>-2300000000</v>
      </c>
      <c r="L93" s="130">
        <f>L7-L8-L13-L12</f>
        <v>-2000000000</v>
      </c>
      <c r="M93" s="130">
        <f>M7-M8-M11-M13-M14</f>
        <v>1000000000</v>
      </c>
      <c r="N93" s="130">
        <f t="shared" ref="N93:W93" si="12">N7-N8-N11-N14</f>
        <v>0</v>
      </c>
      <c r="O93" s="130">
        <f t="shared" si="12"/>
        <v>0</v>
      </c>
      <c r="P93" s="130">
        <f t="shared" si="12"/>
        <v>-1000000000</v>
      </c>
      <c r="Q93" s="130">
        <f t="shared" si="12"/>
        <v>0</v>
      </c>
      <c r="R93" s="130">
        <f t="shared" si="12"/>
        <v>0</v>
      </c>
      <c r="S93" s="130">
        <f t="shared" si="12"/>
        <v>0</v>
      </c>
      <c r="T93" s="130">
        <f t="shared" si="12"/>
        <v>0</v>
      </c>
      <c r="U93" s="130">
        <f t="shared" si="12"/>
        <v>-1000000000</v>
      </c>
      <c r="V93" s="130">
        <f t="shared" si="12"/>
        <v>0</v>
      </c>
      <c r="W93" s="130">
        <f t="shared" si="12"/>
        <v>0</v>
      </c>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row>
    <row r="94" spans="1:49">
      <c r="B94" t="s">
        <v>451</v>
      </c>
      <c r="D94" s="130"/>
      <c r="E94" s="130"/>
      <c r="F94" s="130"/>
      <c r="G94" s="130"/>
      <c r="H94" s="130"/>
      <c r="I94" s="130"/>
      <c r="J94" s="130">
        <f t="shared" ref="J94:W94" si="13">J8-J9-J10</f>
        <v>0</v>
      </c>
      <c r="K94" s="130">
        <f t="shared" si="13"/>
        <v>0</v>
      </c>
      <c r="L94" s="130">
        <f t="shared" si="13"/>
        <v>0</v>
      </c>
      <c r="M94" s="130">
        <f t="shared" si="13"/>
        <v>0</v>
      </c>
      <c r="N94" s="130">
        <f t="shared" si="13"/>
        <v>0</v>
      </c>
      <c r="O94" s="130">
        <f t="shared" si="13"/>
        <v>0</v>
      </c>
      <c r="P94" s="130">
        <f t="shared" si="13"/>
        <v>0</v>
      </c>
      <c r="Q94" s="130">
        <f t="shared" si="13"/>
        <v>0</v>
      </c>
      <c r="R94" s="130">
        <f t="shared" si="13"/>
        <v>0</v>
      </c>
      <c r="S94" s="130">
        <f t="shared" si="13"/>
        <v>0</v>
      </c>
      <c r="T94" s="130">
        <f t="shared" si="13"/>
        <v>-1000000000</v>
      </c>
      <c r="U94" s="130">
        <f t="shared" si="13"/>
        <v>0</v>
      </c>
      <c r="V94" s="130">
        <f t="shared" si="13"/>
        <v>0</v>
      </c>
      <c r="W94" s="130">
        <f t="shared" si="13"/>
        <v>-1000000000</v>
      </c>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row>
    <row r="95" spans="1:49">
      <c r="B95" t="s">
        <v>452</v>
      </c>
      <c r="D95" s="130"/>
      <c r="E95" s="130"/>
      <c r="F95" s="130"/>
      <c r="G95" s="130"/>
      <c r="H95" s="130"/>
      <c r="I95" s="130"/>
      <c r="J95" s="130">
        <f t="shared" ref="J95:W95" si="14">J15-J18-J31-J35</f>
        <v>0</v>
      </c>
      <c r="K95" s="130">
        <f t="shared" si="14"/>
        <v>0</v>
      </c>
      <c r="L95" s="130">
        <f t="shared" si="14"/>
        <v>0</v>
      </c>
      <c r="M95" s="130">
        <f t="shared" si="14"/>
        <v>0</v>
      </c>
      <c r="N95" s="130">
        <f t="shared" si="14"/>
        <v>0</v>
      </c>
      <c r="O95" s="130">
        <f t="shared" si="14"/>
        <v>0</v>
      </c>
      <c r="P95" s="130">
        <f t="shared" si="14"/>
        <v>0</v>
      </c>
      <c r="Q95" s="130">
        <f t="shared" si="14"/>
        <v>0</v>
      </c>
      <c r="R95" s="130">
        <f t="shared" si="14"/>
        <v>0</v>
      </c>
      <c r="S95" s="130">
        <f t="shared" si="14"/>
        <v>0</v>
      </c>
      <c r="T95" s="130">
        <f t="shared" si="14"/>
        <v>0</v>
      </c>
      <c r="U95" s="130">
        <f t="shared" si="14"/>
        <v>0</v>
      </c>
      <c r="V95" s="130">
        <f t="shared" si="14"/>
        <v>0</v>
      </c>
      <c r="W95" s="130">
        <f t="shared" si="14"/>
        <v>0</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row>
    <row r="96" spans="1:49">
      <c r="B96" t="s">
        <v>453</v>
      </c>
      <c r="D96" s="130"/>
      <c r="E96" s="130"/>
      <c r="F96" s="130"/>
      <c r="G96" s="130"/>
      <c r="H96" s="130"/>
      <c r="I96" s="130"/>
      <c r="J96" s="130">
        <f t="shared" ref="J96:W96" si="15">J18-J19-J23-J26-J29-J30-J20</f>
        <v>100000000</v>
      </c>
      <c r="K96" s="130">
        <f t="shared" si="15"/>
        <v>0</v>
      </c>
      <c r="L96" s="130">
        <f t="shared" si="15"/>
        <v>0</v>
      </c>
      <c r="M96" s="130">
        <f t="shared" si="15"/>
        <v>1000000000</v>
      </c>
      <c r="N96" s="130">
        <f t="shared" si="15"/>
        <v>0</v>
      </c>
      <c r="O96" s="130">
        <f t="shared" si="15"/>
        <v>1000000000</v>
      </c>
      <c r="P96" s="130">
        <f t="shared" si="15"/>
        <v>1000000000</v>
      </c>
      <c r="Q96" s="130">
        <f t="shared" si="15"/>
        <v>0</v>
      </c>
      <c r="R96" s="130">
        <f t="shared" si="15"/>
        <v>1000000000</v>
      </c>
      <c r="S96" s="130">
        <f t="shared" si="15"/>
        <v>0</v>
      </c>
      <c r="T96" s="130">
        <f t="shared" si="15"/>
        <v>0</v>
      </c>
      <c r="U96" s="130">
        <f t="shared" si="15"/>
        <v>0</v>
      </c>
      <c r="V96" s="130">
        <f t="shared" si="15"/>
        <v>-1000000000</v>
      </c>
      <c r="W96" s="130">
        <f t="shared" si="15"/>
        <v>-1000000000</v>
      </c>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row>
    <row r="97" spans="2:49">
      <c r="B97" t="s">
        <v>454</v>
      </c>
      <c r="D97" s="130"/>
      <c r="E97" s="130"/>
      <c r="F97" s="130"/>
      <c r="G97" s="130"/>
      <c r="H97" s="130"/>
      <c r="I97" s="130"/>
      <c r="J97" s="223">
        <f t="shared" ref="J97:W97" si="16">J20-J21-J22</f>
        <v>274500000000</v>
      </c>
      <c r="K97" s="223">
        <f t="shared" si="16"/>
        <v>320700000000</v>
      </c>
      <c r="L97" s="223">
        <f t="shared" si="16"/>
        <v>539000000000</v>
      </c>
      <c r="M97" s="267">
        <f t="shared" si="16"/>
        <v>0</v>
      </c>
      <c r="N97" s="791">
        <f t="shared" si="16"/>
        <v>625000000000</v>
      </c>
      <c r="O97" s="791">
        <f t="shared" si="16"/>
        <v>1037000000000</v>
      </c>
      <c r="P97" s="791">
        <f t="shared" si="16"/>
        <v>1305000000000</v>
      </c>
      <c r="Q97" s="791">
        <f t="shared" si="16"/>
        <v>1231000000000</v>
      </c>
      <c r="R97" s="791">
        <f t="shared" si="16"/>
        <v>1248000000000</v>
      </c>
      <c r="S97" s="791">
        <f t="shared" si="16"/>
        <v>787000000000</v>
      </c>
      <c r="T97" s="791">
        <f t="shared" si="16"/>
        <v>624000000000</v>
      </c>
      <c r="U97" s="791">
        <f t="shared" si="16"/>
        <v>773000000000</v>
      </c>
      <c r="V97" s="791">
        <f t="shared" si="16"/>
        <v>998000000000</v>
      </c>
      <c r="W97" s="791">
        <f t="shared" si="16"/>
        <v>1147000000000</v>
      </c>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row>
    <row r="98" spans="2:49">
      <c r="B98" t="s">
        <v>455</v>
      </c>
      <c r="D98" s="130"/>
      <c r="E98" s="130"/>
      <c r="F98" s="130"/>
      <c r="G98" s="130"/>
      <c r="H98" s="130"/>
      <c r="I98" s="130"/>
      <c r="J98" s="130">
        <f t="shared" ref="J98:W98" si="17">J23-J24-J25</f>
        <v>0</v>
      </c>
      <c r="K98" s="130">
        <f t="shared" si="17"/>
        <v>0</v>
      </c>
      <c r="L98" s="130">
        <f t="shared" si="17"/>
        <v>0</v>
      </c>
      <c r="M98" s="267">
        <f t="shared" si="17"/>
        <v>0</v>
      </c>
      <c r="N98" s="267">
        <f t="shared" si="17"/>
        <v>0</v>
      </c>
      <c r="O98" s="267">
        <f t="shared" si="17"/>
        <v>0</v>
      </c>
      <c r="P98" s="267">
        <f t="shared" si="17"/>
        <v>0</v>
      </c>
      <c r="Q98" s="267">
        <f t="shared" si="17"/>
        <v>0</v>
      </c>
      <c r="R98" s="267">
        <f t="shared" si="17"/>
        <v>0</v>
      </c>
      <c r="S98" s="267">
        <f t="shared" si="17"/>
        <v>0</v>
      </c>
      <c r="T98" s="267">
        <f t="shared" si="17"/>
        <v>0</v>
      </c>
      <c r="U98" s="267">
        <f t="shared" si="17"/>
        <v>0</v>
      </c>
      <c r="V98" s="267">
        <f t="shared" si="17"/>
        <v>0</v>
      </c>
      <c r="W98" s="267">
        <f t="shared" si="17"/>
        <v>0</v>
      </c>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row>
    <row r="99" spans="2:49">
      <c r="B99" t="s">
        <v>291</v>
      </c>
      <c r="D99" s="130"/>
      <c r="E99" s="130"/>
      <c r="F99" s="130"/>
      <c r="G99" s="130"/>
      <c r="H99" s="130"/>
      <c r="I99" s="130"/>
      <c r="J99" s="130">
        <f t="shared" ref="J99:W99" si="18">J26-J27-J28</f>
        <v>-100000000</v>
      </c>
      <c r="K99" s="130">
        <f t="shared" si="18"/>
        <v>0</v>
      </c>
      <c r="L99" s="130">
        <f t="shared" si="18"/>
        <v>0</v>
      </c>
      <c r="M99" s="267">
        <f t="shared" si="18"/>
        <v>0</v>
      </c>
      <c r="N99" s="267">
        <f t="shared" si="18"/>
        <v>0</v>
      </c>
      <c r="O99" s="267">
        <f t="shared" si="18"/>
        <v>1000000000</v>
      </c>
      <c r="P99" s="267">
        <f t="shared" si="18"/>
        <v>0</v>
      </c>
      <c r="Q99" s="267">
        <f t="shared" si="18"/>
        <v>0</v>
      </c>
      <c r="R99" s="267">
        <f t="shared" si="18"/>
        <v>-1000000000</v>
      </c>
      <c r="S99" s="267">
        <f t="shared" si="18"/>
        <v>-1000000000</v>
      </c>
      <c r="T99" s="267">
        <f t="shared" si="18"/>
        <v>-1000000000</v>
      </c>
      <c r="U99" s="267">
        <f t="shared" si="18"/>
        <v>0</v>
      </c>
      <c r="V99" s="267">
        <f t="shared" si="18"/>
        <v>1000000000</v>
      </c>
      <c r="W99" s="267">
        <f t="shared" si="18"/>
        <v>0</v>
      </c>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row>
    <row r="100" spans="2:49">
      <c r="B100" t="s">
        <v>456</v>
      </c>
      <c r="D100" s="224"/>
      <c r="E100" s="224"/>
      <c r="F100" s="224"/>
      <c r="G100" s="224"/>
      <c r="H100" s="224"/>
      <c r="I100" s="224"/>
      <c r="J100" s="225">
        <f t="shared" ref="J100:W100" si="19">J31-J32-J33</f>
        <v>322900000000</v>
      </c>
      <c r="K100" s="225">
        <f t="shared" si="19"/>
        <v>548000000000</v>
      </c>
      <c r="L100" s="224">
        <f t="shared" si="19"/>
        <v>0</v>
      </c>
      <c r="M100" s="267">
        <f t="shared" si="19"/>
        <v>-1000000000</v>
      </c>
      <c r="N100" s="791">
        <f t="shared" si="19"/>
        <v>868000000000</v>
      </c>
      <c r="O100" s="791">
        <f t="shared" si="19"/>
        <v>993000000000</v>
      </c>
      <c r="P100" s="791">
        <f t="shared" si="19"/>
        <v>1356000000000</v>
      </c>
      <c r="Q100" s="791">
        <f t="shared" si="19"/>
        <v>1449000000000</v>
      </c>
      <c r="R100" s="791">
        <f t="shared" si="19"/>
        <v>1555000000000</v>
      </c>
      <c r="S100" s="791">
        <f t="shared" si="19"/>
        <v>736000000000</v>
      </c>
      <c r="T100" s="791">
        <f t="shared" si="19"/>
        <v>645000000000</v>
      </c>
      <c r="U100" s="791">
        <f t="shared" si="19"/>
        <v>1145000000000</v>
      </c>
      <c r="V100" s="791">
        <f t="shared" si="19"/>
        <v>1163000000000</v>
      </c>
      <c r="W100" s="791">
        <f t="shared" si="19"/>
        <v>1700000000000</v>
      </c>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row>
    <row r="101" spans="2:49">
      <c r="B101" t="s">
        <v>457</v>
      </c>
      <c r="D101" s="224"/>
      <c r="E101" s="224"/>
      <c r="F101" s="224"/>
      <c r="G101" s="224"/>
      <c r="H101" s="224"/>
      <c r="I101" s="224"/>
      <c r="J101" s="224">
        <f>J46-J47-J48-J57-J63</f>
        <v>0</v>
      </c>
      <c r="K101" s="224">
        <f t="shared" ref="K101:W101" si="20">K46-K47-K48-K57</f>
        <v>0</v>
      </c>
      <c r="L101" s="224">
        <f t="shared" si="20"/>
        <v>0</v>
      </c>
      <c r="M101" s="267">
        <f t="shared" si="20"/>
        <v>0</v>
      </c>
      <c r="N101" s="267">
        <f t="shared" si="20"/>
        <v>0</v>
      </c>
      <c r="O101" s="267">
        <f t="shared" si="20"/>
        <v>0</v>
      </c>
      <c r="P101" s="267">
        <f t="shared" si="20"/>
        <v>0</v>
      </c>
      <c r="Q101" s="267">
        <f t="shared" si="20"/>
        <v>0</v>
      </c>
      <c r="R101" s="267">
        <f t="shared" si="20"/>
        <v>0</v>
      </c>
      <c r="S101" s="267">
        <f t="shared" si="20"/>
        <v>0</v>
      </c>
      <c r="T101" s="267">
        <f t="shared" si="20"/>
        <v>0</v>
      </c>
      <c r="U101" s="267">
        <f t="shared" si="20"/>
        <v>0</v>
      </c>
      <c r="V101" s="267">
        <f t="shared" si="20"/>
        <v>0</v>
      </c>
      <c r="W101" s="267">
        <f t="shared" si="20"/>
        <v>0</v>
      </c>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row>
    <row r="102" spans="2:49">
      <c r="B102" t="s">
        <v>458</v>
      </c>
      <c r="D102" s="51"/>
      <c r="E102" s="51"/>
      <c r="F102" s="51"/>
      <c r="G102" s="51"/>
      <c r="H102" s="51"/>
      <c r="I102" s="51"/>
      <c r="J102" s="51">
        <f t="shared" ref="J102:W102" si="21">J48-J50-J51-J52-J53-J54</f>
        <v>0</v>
      </c>
      <c r="K102" s="51">
        <f t="shared" si="21"/>
        <v>0</v>
      </c>
      <c r="L102" s="51">
        <f t="shared" si="21"/>
        <v>-1000000000</v>
      </c>
      <c r="M102" s="51">
        <f t="shared" si="21"/>
        <v>59000000000</v>
      </c>
      <c r="N102" s="790">
        <f t="shared" si="21"/>
        <v>3000000000</v>
      </c>
      <c r="O102" s="790">
        <f t="shared" si="21"/>
        <v>-94000000000</v>
      </c>
      <c r="P102" s="790">
        <f t="shared" si="21"/>
        <v>-143000000000</v>
      </c>
      <c r="Q102" s="790">
        <f t="shared" si="21"/>
        <v>183000000000</v>
      </c>
      <c r="R102" s="790">
        <f t="shared" si="21"/>
        <v>438000000000</v>
      </c>
      <c r="S102" s="790">
        <f t="shared" si="21"/>
        <v>810000000000</v>
      </c>
      <c r="T102" s="790">
        <f t="shared" si="21"/>
        <v>1209000000000</v>
      </c>
      <c r="U102" s="790">
        <f t="shared" si="21"/>
        <v>581000000000</v>
      </c>
      <c r="V102" s="790">
        <f t="shared" si="21"/>
        <v>744000000000</v>
      </c>
      <c r="W102" s="790">
        <f t="shared" si="21"/>
        <v>377000000000</v>
      </c>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row>
    <row r="103" spans="2:49">
      <c r="B103" t="s">
        <v>362</v>
      </c>
      <c r="J103" s="51">
        <f t="shared" ref="J103:W103" si="22">J57-J58-J61-J62</f>
        <v>0</v>
      </c>
      <c r="K103" s="51">
        <f t="shared" si="22"/>
        <v>0</v>
      </c>
      <c r="L103" s="51">
        <f t="shared" si="22"/>
        <v>0</v>
      </c>
      <c r="M103" s="51">
        <f t="shared" si="22"/>
        <v>424000000000</v>
      </c>
      <c r="N103" s="790">
        <f t="shared" si="22"/>
        <v>-370000000000</v>
      </c>
      <c r="O103" s="790">
        <f t="shared" si="22"/>
        <v>-658000000000</v>
      </c>
      <c r="P103" s="790">
        <f t="shared" si="22"/>
        <v>-459000000000</v>
      </c>
      <c r="Q103" s="790">
        <f t="shared" si="22"/>
        <v>-107000000000</v>
      </c>
      <c r="R103" s="790">
        <f t="shared" si="22"/>
        <v>396000000000</v>
      </c>
      <c r="S103" s="790">
        <f t="shared" si="22"/>
        <v>-320000000000</v>
      </c>
      <c r="T103" s="790">
        <f t="shared" si="22"/>
        <v>-321000000000</v>
      </c>
      <c r="U103" s="790">
        <f t="shared" si="22"/>
        <v>617000000000</v>
      </c>
      <c r="V103" s="790">
        <f t="shared" si="22"/>
        <v>-149000000000</v>
      </c>
      <c r="W103" s="790">
        <f t="shared" si="22"/>
        <v>447000000000</v>
      </c>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row>
    <row r="104" spans="2:49">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row>
    <row r="105" spans="2:49">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7">
        <v>15602563000000</v>
      </c>
      <c r="U106" s="267">
        <v>20608300000000</v>
      </c>
      <c r="V106" s="267">
        <v>29190167000000</v>
      </c>
      <c r="W106" s="267">
        <v>34455916000000</v>
      </c>
      <c r="X106" s="267">
        <v>39729099000000</v>
      </c>
      <c r="Y106" s="2418">
        <v>45182875000000</v>
      </c>
      <c r="Z106" s="2418">
        <v>50917712000000</v>
      </c>
      <c r="AA106" s="2418">
        <v>56946655000000</v>
      </c>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row>
    <row r="107" spans="2:49">
      <c r="B107" t="s">
        <v>151</v>
      </c>
      <c r="J107" s="243">
        <f t="shared" ref="J107:AA107" si="23">(J6/J106)*100</f>
        <v>50.167617426733813</v>
      </c>
      <c r="K107" s="243">
        <f t="shared" si="23"/>
        <v>45.822540152143695</v>
      </c>
      <c r="L107" s="243">
        <f t="shared" si="23"/>
        <v>50.932813017521397</v>
      </c>
      <c r="M107" s="243">
        <f t="shared" si="23"/>
        <v>34.598638263054852</v>
      </c>
      <c r="N107" s="243">
        <f t="shared" si="23"/>
        <v>43.443161248752901</v>
      </c>
      <c r="O107" s="243">
        <f t="shared" si="23"/>
        <v>48.83386649090837</v>
      </c>
      <c r="P107" s="243">
        <f t="shared" si="23"/>
        <v>46.469221817989236</v>
      </c>
      <c r="Q107" s="243">
        <f t="shared" si="23"/>
        <v>40.219492759952168</v>
      </c>
      <c r="R107" s="243">
        <f t="shared" si="23"/>
        <v>35.343086409070182</v>
      </c>
      <c r="S107" s="243">
        <f t="shared" si="23"/>
        <v>27.327826374558416</v>
      </c>
      <c r="T107" s="243">
        <f t="shared" si="23"/>
        <v>18.586689891910709</v>
      </c>
      <c r="U107" s="243">
        <f t="shared" si="23"/>
        <v>15.872245648597897</v>
      </c>
      <c r="V107" s="243">
        <f t="shared" si="23"/>
        <v>18.101986192816234</v>
      </c>
      <c r="W107" s="243">
        <f t="shared" si="23"/>
        <v>18.069465922775059</v>
      </c>
      <c r="X107" s="243">
        <f t="shared" si="23"/>
        <v>0</v>
      </c>
      <c r="Y107" s="243">
        <f t="shared" si="23"/>
        <v>0</v>
      </c>
      <c r="Z107" s="243">
        <f t="shared" si="23"/>
        <v>0</v>
      </c>
      <c r="AA107" s="243">
        <f t="shared" si="23"/>
        <v>0</v>
      </c>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row>
    <row r="108" spans="2:49">
      <c r="B108" t="s">
        <v>152</v>
      </c>
      <c r="J108" s="243">
        <f t="shared" ref="J108:AA108" si="24">(J15/J106)*100</f>
        <v>34.142801889272754</v>
      </c>
      <c r="K108" s="243">
        <f t="shared" si="24"/>
        <v>34.448319002691726</v>
      </c>
      <c r="L108" s="243">
        <f t="shared" si="24"/>
        <v>42.019174929593341</v>
      </c>
      <c r="M108" s="243">
        <f t="shared" si="24"/>
        <v>41.912443069627251</v>
      </c>
      <c r="N108" s="243">
        <f t="shared" si="24"/>
        <v>40.0283573751787</v>
      </c>
      <c r="O108" s="243">
        <f t="shared" si="24"/>
        <v>41.144781984802201</v>
      </c>
      <c r="P108" s="243">
        <f t="shared" si="24"/>
        <v>41.825977453508713</v>
      </c>
      <c r="Q108" s="243">
        <f t="shared" si="24"/>
        <v>40.849866331772411</v>
      </c>
      <c r="R108" s="243">
        <f t="shared" si="24"/>
        <v>42.021589223593544</v>
      </c>
      <c r="S108" s="243">
        <f t="shared" si="24"/>
        <v>31.296732551320837</v>
      </c>
      <c r="T108" s="243">
        <f t="shared" si="24"/>
        <v>24.271653317470982</v>
      </c>
      <c r="U108" s="243">
        <f t="shared" si="24"/>
        <v>21.840714663509363</v>
      </c>
      <c r="V108" s="243">
        <f t="shared" si="24"/>
        <v>20.136918024484064</v>
      </c>
      <c r="W108" s="243">
        <f t="shared" si="24"/>
        <v>20.460927522576966</v>
      </c>
      <c r="X108" s="243">
        <f t="shared" si="24"/>
        <v>0</v>
      </c>
      <c r="Y108" s="243">
        <f t="shared" si="24"/>
        <v>0</v>
      </c>
      <c r="Z108" s="243">
        <f t="shared" si="24"/>
        <v>0</v>
      </c>
      <c r="AA108" s="243">
        <f t="shared" si="24"/>
        <v>0</v>
      </c>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row>
    <row r="109" spans="2:49">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D16" activePane="bottomRight" state="frozen"/>
      <selection pane="topRight" activeCell="R7" sqref="R7"/>
      <selection pane="bottomLeft" activeCell="R7" sqref="R7"/>
      <selection pane="bottomRight" activeCell="H38" sqref="H38:H41"/>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7">
      <c r="A1" s="369" t="s">
        <v>459</v>
      </c>
      <c r="B1" s="82" t="s">
        <v>460</v>
      </c>
      <c r="C1" s="82"/>
      <c r="D1" s="27"/>
      <c r="E1" s="27"/>
      <c r="F1" s="27"/>
      <c r="G1" s="27"/>
      <c r="H1" s="27"/>
      <c r="I1" s="27"/>
      <c r="J1" s="27"/>
      <c r="K1" s="27"/>
      <c r="L1" s="27"/>
      <c r="M1" s="27"/>
      <c r="N1" s="27"/>
      <c r="O1" s="28"/>
      <c r="P1" s="28"/>
      <c r="Q1" s="28"/>
      <c r="R1" s="29"/>
      <c r="S1" s="28"/>
      <c r="T1" s="28"/>
      <c r="U1" s="28"/>
      <c r="V1" s="28"/>
      <c r="W1" s="28"/>
      <c r="X1" s="2"/>
    </row>
    <row r="2" spans="1:27">
      <c r="B2" s="30" t="s">
        <v>461</v>
      </c>
      <c r="C2" s="30"/>
      <c r="D2" s="28"/>
      <c r="E2" s="28"/>
      <c r="F2" s="28"/>
      <c r="G2" s="28"/>
      <c r="H2" s="28"/>
      <c r="I2" s="28"/>
      <c r="J2" s="28"/>
      <c r="K2" s="28"/>
      <c r="L2" s="28"/>
      <c r="M2" s="28"/>
      <c r="N2" s="28"/>
      <c r="O2" s="28"/>
      <c r="P2" s="28"/>
      <c r="Q2" s="28"/>
      <c r="R2" s="31"/>
      <c r="S2" s="32"/>
      <c r="T2" s="33"/>
      <c r="U2" s="28"/>
      <c r="V2" s="28"/>
      <c r="W2" s="28"/>
      <c r="X2" s="2"/>
      <c r="Y2" s="2463"/>
      <c r="Z2" s="2463"/>
      <c r="AA2" s="2463"/>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463"/>
      <c r="Z3" s="2463"/>
      <c r="AA3" s="2463"/>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463"/>
      <c r="Z4" s="2463"/>
      <c r="AA4" s="2463"/>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30</v>
      </c>
      <c r="U5" s="28" t="s">
        <v>32</v>
      </c>
      <c r="V5" s="28" t="s">
        <v>32</v>
      </c>
      <c r="W5" s="28" t="s">
        <v>32</v>
      </c>
      <c r="X5" s="2" t="s">
        <v>32</v>
      </c>
      <c r="Y5" s="2463"/>
      <c r="Z5" s="2463"/>
      <c r="AA5" s="2463"/>
    </row>
    <row r="6" spans="1:27" s="9" customFormat="1">
      <c r="A6" s="18" t="s">
        <v>33</v>
      </c>
      <c r="B6" s="18" t="s">
        <v>462</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R6" si="2">Q8+Q13</f>
        <v>604000000</v>
      </c>
      <c r="R6" s="168">
        <f t="shared" si="2"/>
        <v>685000000</v>
      </c>
      <c r="S6" s="168">
        <v>870000000</v>
      </c>
      <c r="T6" s="168">
        <v>951000000</v>
      </c>
      <c r="U6" s="168">
        <v>817000000</v>
      </c>
      <c r="V6" s="168"/>
      <c r="W6" s="168"/>
      <c r="X6" s="168"/>
      <c r="Y6" s="2463"/>
      <c r="Z6" s="2463"/>
      <c r="AA6" s="2463"/>
    </row>
    <row r="7" spans="1:27">
      <c r="A7" t="s">
        <v>76</v>
      </c>
      <c r="B7" s="90" t="s">
        <v>462</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1">
        <v>605000000</v>
      </c>
      <c r="R7" s="311">
        <v>686000000</v>
      </c>
      <c r="S7" s="311"/>
      <c r="T7" s="311"/>
      <c r="U7" s="311"/>
      <c r="V7" s="311"/>
      <c r="W7" s="311"/>
      <c r="X7" s="311"/>
      <c r="Y7" s="2602"/>
      <c r="Z7" s="2463"/>
      <c r="AA7" s="2463"/>
    </row>
    <row r="8" spans="1:27">
      <c r="A8" s="90" t="s">
        <v>36</v>
      </c>
      <c r="B8" s="90" t="s">
        <v>36</v>
      </c>
      <c r="C8" s="345"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 si="4">(R9+R12)</f>
        <v>680000000</v>
      </c>
      <c r="S8" s="125">
        <f>S6</f>
        <v>870000000</v>
      </c>
      <c r="T8" s="125">
        <f t="shared" ref="T8:U8" si="5">T6</f>
        <v>951000000</v>
      </c>
      <c r="U8" s="125">
        <f t="shared" si="5"/>
        <v>817000000</v>
      </c>
      <c r="V8" s="125"/>
      <c r="W8" s="125"/>
      <c r="X8" s="125"/>
      <c r="Y8" s="2602"/>
      <c r="Z8" s="2463"/>
      <c r="AA8" s="2463"/>
    </row>
    <row r="9" spans="1:27">
      <c r="A9" s="90" t="s">
        <v>463</v>
      </c>
      <c r="B9" s="90" t="s">
        <v>464</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c r="T9" s="178"/>
      <c r="U9" s="178"/>
      <c r="V9" s="178"/>
      <c r="W9" s="178"/>
      <c r="X9" s="178"/>
      <c r="Y9" s="2463"/>
      <c r="Z9" s="2463"/>
      <c r="AA9" s="2463"/>
    </row>
    <row r="10" spans="1:27">
      <c r="A10" s="99" t="s">
        <v>39</v>
      </c>
      <c r="B10" s="99" t="s">
        <v>465</v>
      </c>
      <c r="C10" s="34" t="s">
        <v>466</v>
      </c>
      <c r="D10" s="298">
        <v>284000000</v>
      </c>
      <c r="E10" s="298">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c r="T10" s="178"/>
      <c r="U10" s="178"/>
      <c r="V10" s="178"/>
      <c r="W10" s="178"/>
      <c r="X10" s="178"/>
      <c r="Y10" s="2463"/>
      <c r="Z10" s="2463"/>
      <c r="AA10" s="2463"/>
    </row>
    <row r="11" spans="1:27">
      <c r="A11" s="99" t="s">
        <v>188</v>
      </c>
      <c r="B11" s="99" t="s">
        <v>467</v>
      </c>
      <c r="C11" s="34" t="s">
        <v>466</v>
      </c>
      <c r="D11" s="319">
        <f>D9-D10</f>
        <v>42000000</v>
      </c>
      <c r="E11" s="319">
        <f t="shared" ref="E11:L11" si="6">E9-E10</f>
        <v>39300000</v>
      </c>
      <c r="F11" s="319">
        <f t="shared" si="6"/>
        <v>39700000</v>
      </c>
      <c r="G11" s="319">
        <f t="shared" si="6"/>
        <v>44500000</v>
      </c>
      <c r="H11" s="319">
        <f t="shared" si="6"/>
        <v>45100000</v>
      </c>
      <c r="I11" s="319">
        <f t="shared" si="6"/>
        <v>38000000</v>
      </c>
      <c r="J11" s="319">
        <f t="shared" si="6"/>
        <v>35000000</v>
      </c>
      <c r="K11" s="319">
        <f t="shared" si="6"/>
        <v>40000000</v>
      </c>
      <c r="L11" s="319">
        <f t="shared" si="6"/>
        <v>45000000</v>
      </c>
      <c r="M11" s="178">
        <v>30000000</v>
      </c>
      <c r="N11" s="178">
        <v>63000000</v>
      </c>
      <c r="O11" s="178">
        <v>45000000</v>
      </c>
      <c r="P11" s="178">
        <v>46000000</v>
      </c>
      <c r="Q11" s="178">
        <v>39000000</v>
      </c>
      <c r="R11" s="178">
        <v>38000000</v>
      </c>
      <c r="S11" s="178"/>
      <c r="T11" s="178"/>
      <c r="U11" s="178"/>
      <c r="V11" s="178"/>
      <c r="W11" s="178"/>
      <c r="X11" s="178"/>
      <c r="Y11" s="2463"/>
      <c r="Z11" s="2463"/>
      <c r="AA11" s="2463"/>
    </row>
    <row r="12" spans="1:27">
      <c r="A12" s="90" t="s">
        <v>468</v>
      </c>
      <c r="B12" s="90" t="s">
        <v>469</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c r="T12" s="178"/>
      <c r="U12" s="178"/>
      <c r="V12" s="178"/>
      <c r="W12" s="178"/>
      <c r="X12" s="178"/>
      <c r="Y12" s="2463"/>
      <c r="Z12" s="2463"/>
      <c r="AA12" s="2463"/>
    </row>
    <row r="13" spans="1:27" s="9" customFormat="1">
      <c r="A13" s="18" t="s">
        <v>53</v>
      </c>
      <c r="B13" s="18" t="s">
        <v>470</v>
      </c>
      <c r="C13" s="345" t="s">
        <v>38</v>
      </c>
      <c r="D13" s="319">
        <f>D14+D15</f>
        <v>72000000</v>
      </c>
      <c r="E13" s="319">
        <f>E14+E15</f>
        <v>10200000</v>
      </c>
      <c r="F13" s="319">
        <f>F14+F15</f>
        <v>24500000</v>
      </c>
      <c r="G13" s="319">
        <f>G14+G15</f>
        <v>3200000</v>
      </c>
      <c r="H13" s="319">
        <f>H14+H15</f>
        <v>5400000</v>
      </c>
      <c r="I13" s="263">
        <v>21000000</v>
      </c>
      <c r="J13" s="263">
        <v>75000000</v>
      </c>
      <c r="K13" s="263">
        <v>20000000</v>
      </c>
      <c r="L13" s="263">
        <v>30000000</v>
      </c>
      <c r="M13" s="263">
        <v>0</v>
      </c>
      <c r="N13" s="263">
        <v>45000000</v>
      </c>
      <c r="O13" s="263">
        <v>23000000</v>
      </c>
      <c r="P13" s="263">
        <v>1000000</v>
      </c>
      <c r="Q13" s="178">
        <v>0</v>
      </c>
      <c r="R13" s="178">
        <v>5000000</v>
      </c>
      <c r="S13" s="178">
        <v>0</v>
      </c>
      <c r="T13" s="178">
        <v>0</v>
      </c>
      <c r="U13" s="178">
        <v>0</v>
      </c>
      <c r="V13" s="178"/>
      <c r="W13" s="178"/>
      <c r="X13" s="178"/>
      <c r="Y13" s="2463"/>
      <c r="Z13" s="2463"/>
      <c r="AA13" s="2463"/>
    </row>
    <row r="14" spans="1:27">
      <c r="A14" s="99" t="s">
        <v>471</v>
      </c>
      <c r="B14" s="99" t="s">
        <v>472</v>
      </c>
      <c r="C14" s="34" t="s">
        <v>57</v>
      </c>
      <c r="D14" s="125"/>
      <c r="E14" s="125"/>
      <c r="F14" s="125"/>
      <c r="G14" s="125"/>
      <c r="H14" s="125"/>
      <c r="I14" s="125"/>
      <c r="J14" s="125"/>
      <c r="K14" s="125"/>
      <c r="L14" s="125"/>
      <c r="M14" s="178">
        <v>0</v>
      </c>
      <c r="N14" s="178">
        <v>32000000</v>
      </c>
      <c r="O14" s="178">
        <v>0</v>
      </c>
      <c r="P14" s="178">
        <v>0</v>
      </c>
      <c r="Q14" s="178">
        <v>0</v>
      </c>
      <c r="R14" s="178">
        <v>0</v>
      </c>
      <c r="S14" s="178"/>
      <c r="T14" s="178"/>
      <c r="U14" s="178"/>
      <c r="V14" s="178"/>
      <c r="W14" s="178"/>
      <c r="X14" s="178"/>
      <c r="Y14" s="2463"/>
      <c r="Z14" s="2463"/>
      <c r="AA14" s="2463"/>
    </row>
    <row r="15" spans="1:27">
      <c r="A15" s="99" t="s">
        <v>473</v>
      </c>
      <c r="B15" s="99" t="s">
        <v>474</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c r="T15" s="178"/>
      <c r="U15" s="178"/>
      <c r="V15" s="178"/>
      <c r="W15" s="178"/>
      <c r="X15" s="178"/>
      <c r="Y15" s="2463"/>
      <c r="Z15" s="2463"/>
      <c r="AA15" s="2463"/>
    </row>
    <row r="16" spans="1:27" s="9" customFormat="1">
      <c r="A16" s="18" t="s">
        <v>198</v>
      </c>
      <c r="B16" s="18" t="s">
        <v>475</v>
      </c>
      <c r="C16" s="55" t="s">
        <v>35</v>
      </c>
      <c r="D16" s="295">
        <v>489000000</v>
      </c>
      <c r="E16" s="295">
        <v>606100000</v>
      </c>
      <c r="F16" s="263">
        <v>645600000</v>
      </c>
      <c r="G16" s="263">
        <v>614300000</v>
      </c>
      <c r="H16" s="263">
        <v>612400000</v>
      </c>
      <c r="I16" s="263">
        <v>665000000</v>
      </c>
      <c r="J16" s="263">
        <v>916000000</v>
      </c>
      <c r="K16" s="263">
        <v>957000000</v>
      </c>
      <c r="L16" s="263">
        <v>976000000</v>
      </c>
      <c r="M16" s="263">
        <v>1203000000</v>
      </c>
      <c r="N16" s="328">
        <f>N17+N27</f>
        <v>701000000</v>
      </c>
      <c r="O16" s="328">
        <f>O17+O27</f>
        <v>716000000</v>
      </c>
      <c r="P16" s="263">
        <v>1050000000</v>
      </c>
      <c r="Q16" s="311">
        <v>741000000</v>
      </c>
      <c r="R16" s="311">
        <v>710000000</v>
      </c>
      <c r="S16" s="311">
        <v>964000000</v>
      </c>
      <c r="T16" s="311">
        <v>956000000</v>
      </c>
      <c r="U16" s="311">
        <v>965000000</v>
      </c>
      <c r="V16" s="311"/>
      <c r="W16" s="311"/>
      <c r="X16" s="311"/>
      <c r="Y16" s="2463"/>
      <c r="Z16" s="2463"/>
      <c r="AA16" s="2463"/>
    </row>
    <row r="17" spans="1:27">
      <c r="A17" s="90" t="s">
        <v>476</v>
      </c>
      <c r="B17" s="90" t="s">
        <v>476</v>
      </c>
      <c r="C17" s="58" t="s">
        <v>201</v>
      </c>
      <c r="D17" s="125">
        <v>451000000</v>
      </c>
      <c r="E17" s="125">
        <v>515299999.99999994</v>
      </c>
      <c r="F17" s="178">
        <v>546000000</v>
      </c>
      <c r="G17" s="178">
        <v>533100000</v>
      </c>
      <c r="H17" s="178">
        <v>557200000</v>
      </c>
      <c r="I17" s="125">
        <f>I18-I27+I29</f>
        <v>571000000</v>
      </c>
      <c r="J17" s="125">
        <f>J18-J27+J29</f>
        <v>693000000</v>
      </c>
      <c r="K17" s="125">
        <f t="shared" ref="K17:P17" si="7">K18-K27+K29</f>
        <v>756000000</v>
      </c>
      <c r="L17" s="125">
        <f t="shared" si="7"/>
        <v>766000000</v>
      </c>
      <c r="M17" s="125">
        <f t="shared" si="7"/>
        <v>916000000</v>
      </c>
      <c r="N17" s="319">
        <f>N20+N21+N22+N29+N23</f>
        <v>636000000</v>
      </c>
      <c r="O17" s="319">
        <f>O20+O21+O22+O29+O23</f>
        <v>677000000</v>
      </c>
      <c r="P17" s="125">
        <f t="shared" si="7"/>
        <v>1006000000</v>
      </c>
      <c r="Q17" s="125">
        <f>(Q18-Q27+Q29)</f>
        <v>699000000</v>
      </c>
      <c r="R17" s="125">
        <f t="shared" ref="R17" si="8">(R18-R27+R29)</f>
        <v>672000000</v>
      </c>
      <c r="S17" s="125"/>
      <c r="T17" s="125"/>
      <c r="U17" s="125"/>
      <c r="V17" s="125"/>
      <c r="W17" s="125"/>
      <c r="X17" s="125"/>
      <c r="Y17" s="2463"/>
      <c r="Z17" s="2463"/>
      <c r="AA17" s="2463"/>
    </row>
    <row r="18" spans="1:27">
      <c r="A18" t="s">
        <v>76</v>
      </c>
      <c r="B18" s="90" t="s">
        <v>477</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c r="T18" s="178"/>
      <c r="U18" s="178"/>
      <c r="V18" s="178"/>
      <c r="W18" s="178"/>
      <c r="X18" s="178"/>
      <c r="Y18" s="2463"/>
      <c r="Z18" s="2463"/>
      <c r="AA18" s="2463"/>
    </row>
    <row r="19" spans="1:27">
      <c r="A19" t="s">
        <v>76</v>
      </c>
      <c r="B19" s="90" t="s">
        <v>478</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c r="T19" s="178"/>
      <c r="U19" s="178"/>
      <c r="V19" s="178"/>
      <c r="W19" s="178"/>
      <c r="X19" s="178"/>
      <c r="Y19" s="2463"/>
      <c r="Z19" s="2463"/>
      <c r="AA19" s="2463"/>
    </row>
    <row r="20" spans="1:27">
      <c r="A20" s="99" t="s">
        <v>79</v>
      </c>
      <c r="B20" s="99" t="s">
        <v>479</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c r="T20" s="178"/>
      <c r="U20" s="178"/>
      <c r="V20" s="178"/>
      <c r="W20" s="178"/>
      <c r="X20" s="178"/>
      <c r="Y20" s="2463"/>
      <c r="Z20" s="2463"/>
      <c r="AA20" s="2713"/>
    </row>
    <row r="21" spans="1:27">
      <c r="A21" s="99" t="s">
        <v>480</v>
      </c>
      <c r="B21" s="99" t="s">
        <v>481</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c r="T21" s="178"/>
      <c r="U21" s="178"/>
      <c r="V21" s="178"/>
      <c r="W21" s="178"/>
      <c r="X21" s="178"/>
      <c r="Y21" s="2463"/>
      <c r="Z21" s="2463"/>
      <c r="AA21" s="2463"/>
    </row>
    <row r="22" spans="1:27">
      <c r="A22" s="99" t="s">
        <v>482</v>
      </c>
      <c r="B22" s="99" t="s">
        <v>483</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c r="T22" s="178"/>
      <c r="U22" s="178"/>
      <c r="V22" s="178"/>
      <c r="W22" s="178"/>
      <c r="X22" s="178"/>
      <c r="Y22" s="2463"/>
      <c r="Z22" s="2463"/>
      <c r="AA22" s="2463"/>
    </row>
    <row r="23" spans="1:27">
      <c r="A23" s="99" t="s">
        <v>484</v>
      </c>
      <c r="B23" s="99" t="s">
        <v>485</v>
      </c>
      <c r="C23" s="58" t="s">
        <v>204</v>
      </c>
      <c r="D23" s="125">
        <v>23000000</v>
      </c>
      <c r="E23" s="125">
        <v>21500000</v>
      </c>
      <c r="F23" s="178">
        <v>33500000</v>
      </c>
      <c r="G23" s="178">
        <v>50800000</v>
      </c>
      <c r="H23" s="178">
        <v>56000000</v>
      </c>
      <c r="I23" s="328">
        <f>I24+I25</f>
        <v>80000000</v>
      </c>
      <c r="J23" s="328">
        <f t="shared" ref="J23:R23" si="9">J24+J25</f>
        <v>149000000</v>
      </c>
      <c r="K23" s="328">
        <f t="shared" si="9"/>
        <v>155000000</v>
      </c>
      <c r="L23" s="328">
        <f t="shared" si="9"/>
        <v>148000000</v>
      </c>
      <c r="M23" s="328">
        <f t="shared" si="9"/>
        <v>184000000</v>
      </c>
      <c r="N23" s="328">
        <f t="shared" si="9"/>
        <v>169000000</v>
      </c>
      <c r="O23" s="328">
        <f t="shared" si="9"/>
        <v>226000000</v>
      </c>
      <c r="P23" s="328">
        <f t="shared" si="9"/>
        <v>509000000</v>
      </c>
      <c r="Q23" s="328">
        <f t="shared" si="9"/>
        <v>172000000</v>
      </c>
      <c r="R23" s="328">
        <f t="shared" si="9"/>
        <v>131000000</v>
      </c>
      <c r="S23" s="2690"/>
      <c r="T23" s="2690"/>
      <c r="U23" s="2690"/>
      <c r="V23" s="2690"/>
      <c r="W23" s="2690"/>
      <c r="X23" s="2690"/>
      <c r="Y23" s="2463"/>
      <c r="Z23" s="2463"/>
      <c r="AA23" s="2463"/>
    </row>
    <row r="24" spans="1:27">
      <c r="A24" s="103" t="s">
        <v>87</v>
      </c>
      <c r="B24" s="103" t="s">
        <v>87</v>
      </c>
      <c r="C24" s="34" t="s">
        <v>486</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c r="T24" s="178"/>
      <c r="U24" s="178"/>
      <c r="V24" s="178"/>
      <c r="W24" s="178"/>
      <c r="X24" s="178"/>
      <c r="Y24" s="2463"/>
      <c r="Z24" s="2463"/>
      <c r="AA24" s="2463"/>
    </row>
    <row r="25" spans="1:27">
      <c r="A25" s="99" t="s">
        <v>487</v>
      </c>
      <c r="B25" s="99" t="s">
        <v>488</v>
      </c>
      <c r="C25" s="34" t="s">
        <v>486</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c r="T25" s="178"/>
      <c r="U25" s="178"/>
      <c r="V25" s="178"/>
      <c r="W25" s="178"/>
      <c r="X25" s="178"/>
      <c r="Y25" s="2463"/>
      <c r="Z25" s="2463"/>
      <c r="AA25" s="2463"/>
    </row>
    <row r="26" spans="1:27">
      <c r="A26" t="s">
        <v>76</v>
      </c>
      <c r="B26" s="100" t="s">
        <v>489</v>
      </c>
      <c r="C26" s="34"/>
      <c r="D26" s="125"/>
      <c r="E26" s="125"/>
      <c r="F26" s="125"/>
      <c r="G26" s="125"/>
      <c r="H26" s="125"/>
      <c r="I26" s="125"/>
      <c r="J26" s="125"/>
      <c r="K26" s="125"/>
      <c r="L26" s="125"/>
      <c r="M26" s="178" t="s">
        <v>78</v>
      </c>
      <c r="N26" s="178" t="s">
        <v>78</v>
      </c>
      <c r="O26" s="178">
        <v>41000000</v>
      </c>
      <c r="P26" s="178">
        <v>340000000</v>
      </c>
      <c r="Q26" s="178">
        <v>0</v>
      </c>
      <c r="R26" s="178">
        <v>0</v>
      </c>
      <c r="S26" s="178"/>
      <c r="T26" s="178"/>
      <c r="U26" s="178"/>
      <c r="V26" s="178"/>
      <c r="W26" s="178"/>
      <c r="X26" s="178"/>
      <c r="Y26" s="2463"/>
      <c r="Z26" s="2463"/>
      <c r="AA26" s="2463"/>
    </row>
    <row r="27" spans="1:27">
      <c r="A27" s="90" t="s">
        <v>237</v>
      </c>
      <c r="B27" s="90" t="s">
        <v>490</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c r="T27" s="178"/>
      <c r="U27" s="178"/>
      <c r="V27" s="178"/>
      <c r="W27" s="178"/>
      <c r="X27" s="178"/>
      <c r="Y27" s="2463"/>
      <c r="Z27" s="2463"/>
      <c r="AA27" s="2463"/>
    </row>
    <row r="28" spans="1:27">
      <c r="A28" t="s">
        <v>76</v>
      </c>
      <c r="B28" s="90" t="s">
        <v>491</v>
      </c>
      <c r="C28" s="34"/>
      <c r="D28" s="125"/>
      <c r="E28" s="125"/>
      <c r="F28" s="125"/>
      <c r="G28" s="125"/>
      <c r="H28" s="125"/>
      <c r="I28" s="125"/>
      <c r="J28" s="125"/>
      <c r="K28" s="125"/>
      <c r="L28" s="125"/>
      <c r="M28" s="178">
        <v>2000000</v>
      </c>
      <c r="N28" s="178">
        <v>-3000000</v>
      </c>
      <c r="O28" s="178">
        <v>18000000</v>
      </c>
      <c r="P28" s="178">
        <v>0</v>
      </c>
      <c r="Q28" s="178">
        <v>0</v>
      </c>
      <c r="R28" s="178">
        <v>0</v>
      </c>
      <c r="S28" s="178"/>
      <c r="T28" s="178"/>
      <c r="U28" s="178"/>
      <c r="V28" s="178"/>
      <c r="W28" s="298"/>
      <c r="X28" s="389"/>
      <c r="Y28" s="2463"/>
      <c r="Z28" s="2463"/>
      <c r="AA28" s="2463"/>
    </row>
    <row r="29" spans="1:27">
      <c r="A29" s="90" t="s">
        <v>492</v>
      </c>
      <c r="B29" s="90" t="s">
        <v>493</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c r="T29" s="178"/>
      <c r="U29" s="178"/>
      <c r="V29" s="178"/>
      <c r="W29" s="178"/>
      <c r="X29" s="178"/>
      <c r="Y29" s="2463"/>
      <c r="Z29" s="2463"/>
      <c r="AA29" s="2463"/>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c r="T30" s="178"/>
      <c r="U30" s="178"/>
      <c r="V30" s="178"/>
      <c r="W30" s="178"/>
      <c r="X30" s="178"/>
      <c r="Y30" s="2463"/>
      <c r="Z30" s="2463"/>
      <c r="AA30" s="2463"/>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c r="T31" s="178"/>
      <c r="U31" s="178"/>
      <c r="V31" s="178"/>
      <c r="W31" s="178"/>
      <c r="X31" s="178"/>
      <c r="Y31" s="2463"/>
      <c r="Z31" s="2463"/>
      <c r="AA31" s="2463"/>
    </row>
    <row r="32" spans="1:27">
      <c r="A32" t="s">
        <v>76</v>
      </c>
      <c r="B32" s="90" t="s">
        <v>494</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1">
        <v>-52000000</v>
      </c>
      <c r="R32" s="311">
        <v>75000000</v>
      </c>
      <c r="S32" s="311"/>
      <c r="T32" s="311"/>
      <c r="U32" s="311"/>
      <c r="V32" s="311"/>
      <c r="W32" s="311"/>
      <c r="X32" s="311"/>
      <c r="Y32" s="2463"/>
      <c r="Z32" s="2463"/>
      <c r="AA32" s="2463"/>
    </row>
    <row r="33" spans="1:27">
      <c r="A33" t="s">
        <v>76</v>
      </c>
      <c r="B33" s="90" t="s">
        <v>495</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1">
        <v>-136000000</v>
      </c>
      <c r="R33" s="311">
        <v>-24000000</v>
      </c>
      <c r="S33" s="311"/>
      <c r="T33" s="311"/>
      <c r="U33" s="311"/>
      <c r="V33" s="311"/>
      <c r="W33" s="311"/>
      <c r="X33" s="311"/>
      <c r="Y33" s="2463"/>
      <c r="Z33" s="2463"/>
      <c r="AA33" s="2463"/>
    </row>
    <row r="34" spans="1:27" s="9" customFormat="1">
      <c r="A34" s="440" t="s">
        <v>115</v>
      </c>
      <c r="B34" s="440" t="s">
        <v>115</v>
      </c>
      <c r="C34" s="55" t="s">
        <v>35</v>
      </c>
      <c r="D34" s="263">
        <f t="shared" ref="D34:I34" si="10">D35+D43+D53+D58+D61</f>
        <v>91000000</v>
      </c>
      <c r="E34" s="263">
        <f t="shared" si="10"/>
        <v>173500000</v>
      </c>
      <c r="F34" s="263">
        <f t="shared" si="10"/>
        <v>275400000</v>
      </c>
      <c r="G34" s="263">
        <f>G35+G43+G53+G58+G61</f>
        <v>288800000</v>
      </c>
      <c r="H34" s="263">
        <f t="shared" si="10"/>
        <v>200600000</v>
      </c>
      <c r="I34" s="263">
        <f t="shared" si="10"/>
        <v>133000000</v>
      </c>
      <c r="J34" s="263">
        <v>233000000</v>
      </c>
      <c r="K34" s="263">
        <v>200000000</v>
      </c>
      <c r="L34" s="263">
        <v>198000000</v>
      </c>
      <c r="M34" s="263">
        <v>594000000</v>
      </c>
      <c r="N34" s="263">
        <v>8000000</v>
      </c>
      <c r="O34" s="263">
        <v>110000000</v>
      </c>
      <c r="P34" s="263">
        <v>380000000</v>
      </c>
      <c r="Q34" s="310">
        <v>136000000</v>
      </c>
      <c r="R34" s="310">
        <v>24000000</v>
      </c>
      <c r="S34" s="310">
        <f>S16-S6</f>
        <v>94000000</v>
      </c>
      <c r="T34" s="310">
        <f t="shared" ref="T34:U34" si="11">T16-T6</f>
        <v>5000000</v>
      </c>
      <c r="U34" s="310">
        <f t="shared" si="11"/>
        <v>148000000</v>
      </c>
      <c r="V34" s="310"/>
      <c r="W34" s="310"/>
      <c r="X34" s="310"/>
      <c r="Y34" s="2463"/>
      <c r="Z34" s="2463"/>
      <c r="AA34" s="2463"/>
    </row>
    <row r="35" spans="1:27">
      <c r="A35" s="89" t="s">
        <v>261</v>
      </c>
      <c r="B35" s="89" t="s">
        <v>261</v>
      </c>
      <c r="C35" s="58" t="s">
        <v>252</v>
      </c>
      <c r="D35" s="125">
        <f>D37+D41+D42</f>
        <v>-1000000</v>
      </c>
      <c r="E35" s="125">
        <f>E37+E41+E42</f>
        <v>-35200000</v>
      </c>
      <c r="F35" s="125">
        <f t="shared" ref="F35:R35" si="12">F37+F41+F42</f>
        <v>114600000</v>
      </c>
      <c r="G35" s="125">
        <f>G37+G41+G42</f>
        <v>129600000</v>
      </c>
      <c r="H35" s="125">
        <f t="shared" si="12"/>
        <v>-33000000</v>
      </c>
      <c r="I35" s="125">
        <f t="shared" si="12"/>
        <v>-376000000</v>
      </c>
      <c r="J35" s="125">
        <f t="shared" si="12"/>
        <v>-38000000</v>
      </c>
      <c r="K35" s="125">
        <f t="shared" si="12"/>
        <v>14000000</v>
      </c>
      <c r="L35" s="125">
        <f t="shared" si="12"/>
        <v>-39000000</v>
      </c>
      <c r="M35" s="125">
        <f t="shared" si="12"/>
        <v>140000000</v>
      </c>
      <c r="N35" s="125">
        <f t="shared" si="12"/>
        <v>76000000</v>
      </c>
      <c r="O35" s="125">
        <f t="shared" si="12"/>
        <v>81000000</v>
      </c>
      <c r="P35" s="125">
        <f t="shared" si="12"/>
        <v>198000000</v>
      </c>
      <c r="Q35" s="125">
        <f t="shared" si="12"/>
        <v>95000000</v>
      </c>
      <c r="R35" s="125">
        <f t="shared" si="12"/>
        <v>-54000000</v>
      </c>
      <c r="S35" s="125"/>
      <c r="T35" s="125"/>
      <c r="U35" s="125"/>
      <c r="V35" s="125"/>
      <c r="W35" s="125"/>
      <c r="X35" s="125"/>
      <c r="Y35" s="2463"/>
      <c r="Z35" s="2463"/>
      <c r="AA35" s="2463"/>
    </row>
    <row r="36" spans="1:27">
      <c r="A36" t="s">
        <v>76</v>
      </c>
      <c r="B36" s="90" t="s">
        <v>409</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c r="T36" s="178"/>
      <c r="U36" s="178"/>
      <c r="V36" s="178"/>
      <c r="W36" s="178"/>
      <c r="X36" s="178"/>
      <c r="Y36" s="2463"/>
      <c r="Z36" s="2463"/>
      <c r="AA36" s="2463"/>
    </row>
    <row r="37" spans="1:27">
      <c r="A37" s="99" t="s">
        <v>496</v>
      </c>
      <c r="B37" s="99" t="s">
        <v>497</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 si="13">R38+R40</f>
        <v>-54000000</v>
      </c>
      <c r="S37" s="178"/>
      <c r="T37" s="178"/>
      <c r="U37" s="178"/>
      <c r="V37" s="178"/>
      <c r="W37" s="178"/>
      <c r="X37" s="178"/>
      <c r="Y37" s="2463"/>
      <c r="Z37" s="2463"/>
      <c r="AA37" s="2463"/>
    </row>
    <row r="38" spans="1:27">
      <c r="A38" s="126" t="s">
        <v>498</v>
      </c>
      <c r="B38" s="126" t="s">
        <v>498</v>
      </c>
      <c r="C38" t="s">
        <v>499</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c r="T38" s="178"/>
      <c r="U38" s="178"/>
      <c r="V38" s="178"/>
      <c r="W38" s="178"/>
      <c r="X38" s="178"/>
      <c r="Y38" s="2463"/>
      <c r="Z38" s="2463"/>
      <c r="AA38" s="2463"/>
    </row>
    <row r="39" spans="1:27">
      <c r="A39" t="s">
        <v>76</v>
      </c>
      <c r="B39" s="100" t="s">
        <v>500</v>
      </c>
      <c r="C39" s="34"/>
      <c r="D39" s="125"/>
      <c r="E39" s="125"/>
      <c r="F39" s="125"/>
      <c r="G39" s="125"/>
      <c r="H39" s="125"/>
      <c r="I39" s="178"/>
      <c r="J39" s="178"/>
      <c r="K39" s="178"/>
      <c r="L39" s="178"/>
      <c r="M39" s="178"/>
      <c r="N39" s="178">
        <v>85000000</v>
      </c>
      <c r="O39" s="178">
        <v>28000000</v>
      </c>
      <c r="P39" s="178">
        <v>84000000</v>
      </c>
      <c r="Q39" s="178">
        <v>96000000</v>
      </c>
      <c r="R39" s="178">
        <v>0</v>
      </c>
      <c r="S39" s="178"/>
      <c r="T39" s="178"/>
      <c r="U39" s="178"/>
      <c r="V39" s="178"/>
      <c r="W39" s="178"/>
      <c r="X39" s="178"/>
      <c r="Y39" s="2463"/>
      <c r="Z39" s="2463"/>
      <c r="AA39" s="2463"/>
    </row>
    <row r="40" spans="1:27">
      <c r="A40" s="126" t="s">
        <v>258</v>
      </c>
      <c r="B40" s="126" t="s">
        <v>258</v>
      </c>
      <c r="C40" t="s">
        <v>499</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c r="T40" s="178"/>
      <c r="U40" s="178"/>
      <c r="V40" s="178"/>
      <c r="W40" s="178"/>
      <c r="X40" s="178"/>
      <c r="Y40" s="2463"/>
      <c r="Z40" s="2463"/>
      <c r="AA40" s="2463"/>
    </row>
    <row r="41" spans="1:27">
      <c r="A41" s="99" t="s">
        <v>501</v>
      </c>
      <c r="B41" s="99" t="s">
        <v>501</v>
      </c>
      <c r="C41" s="58" t="s">
        <v>264</v>
      </c>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c r="Y41" s="2463"/>
      <c r="Z41" s="2463"/>
      <c r="AA41" s="2463"/>
    </row>
    <row r="42" spans="1:27">
      <c r="A42" s="99" t="s">
        <v>502</v>
      </c>
      <c r="B42" s="99" t="s">
        <v>503</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8"/>
      <c r="X42" s="389"/>
      <c r="Y42" s="2463"/>
      <c r="Z42" s="2463"/>
      <c r="AA42" s="2463"/>
    </row>
    <row r="43" spans="1:27">
      <c r="A43" s="89" t="s">
        <v>120</v>
      </c>
      <c r="B43" s="89" t="s">
        <v>120</v>
      </c>
      <c r="C43" s="58" t="s">
        <v>252</v>
      </c>
      <c r="D43" s="125">
        <f>D44-D45</f>
        <v>43000000</v>
      </c>
      <c r="E43" s="125">
        <f t="shared" ref="E43:R43" si="14">E44-E45</f>
        <v>-66200000</v>
      </c>
      <c r="F43" s="125">
        <f t="shared" si="14"/>
        <v>2400000</v>
      </c>
      <c r="G43" s="125">
        <f t="shared" si="14"/>
        <v>-26600000</v>
      </c>
      <c r="H43" s="319">
        <f>H46+H47+H49+H50+H51</f>
        <v>38500000</v>
      </c>
      <c r="I43" s="125">
        <f t="shared" si="14"/>
        <v>262000000</v>
      </c>
      <c r="J43" s="125">
        <f t="shared" si="14"/>
        <v>196000000</v>
      </c>
      <c r="K43" s="125">
        <f t="shared" si="14"/>
        <v>71000000</v>
      </c>
      <c r="L43" s="125">
        <f t="shared" si="14"/>
        <v>246000000</v>
      </c>
      <c r="M43" s="125">
        <f t="shared" si="14"/>
        <v>93000000</v>
      </c>
      <c r="N43" s="125">
        <f t="shared" si="14"/>
        <v>479000000</v>
      </c>
      <c r="O43" s="125">
        <f t="shared" si="14"/>
        <v>116000000</v>
      </c>
      <c r="P43" s="125">
        <f t="shared" si="14"/>
        <v>422000000</v>
      </c>
      <c r="Q43" s="125">
        <f t="shared" si="14"/>
        <v>-13000000</v>
      </c>
      <c r="R43" s="125">
        <f t="shared" si="14"/>
        <v>28000000</v>
      </c>
      <c r="S43" s="125"/>
      <c r="T43" s="125"/>
      <c r="U43" s="125"/>
      <c r="V43" s="125"/>
      <c r="W43" s="125"/>
      <c r="X43" s="125"/>
      <c r="Y43" s="2463"/>
      <c r="Z43" s="2463"/>
      <c r="AA43" s="2463"/>
    </row>
    <row r="44" spans="1:27">
      <c r="A44" t="s">
        <v>76</v>
      </c>
      <c r="B44" s="90" t="s">
        <v>406</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c r="T44" s="178"/>
      <c r="U44" s="178"/>
      <c r="V44" s="178"/>
      <c r="W44" s="178"/>
      <c r="X44" s="178"/>
      <c r="Y44" s="2463"/>
      <c r="Z44" s="2463"/>
      <c r="AA44" s="2463"/>
    </row>
    <row r="45" spans="1:27">
      <c r="A45" t="s">
        <v>76</v>
      </c>
      <c r="B45" s="99" t="s">
        <v>504</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8"/>
      <c r="X45" s="389"/>
      <c r="Y45" s="2463"/>
      <c r="Z45" s="2463"/>
      <c r="AA45" s="2463"/>
    </row>
    <row r="46" spans="1:27">
      <c r="A46" s="103" t="s">
        <v>505</v>
      </c>
      <c r="B46" s="103" t="s">
        <v>506</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c r="T46" s="178"/>
      <c r="U46" s="178"/>
      <c r="V46" s="178"/>
      <c r="W46" s="178"/>
      <c r="X46" s="178"/>
      <c r="Y46" s="2463"/>
      <c r="Z46" s="2463"/>
      <c r="AA46" s="2463"/>
    </row>
    <row r="47" spans="1:27">
      <c r="A47" s="99" t="s">
        <v>507</v>
      </c>
      <c r="B47" s="99" t="s">
        <v>508</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c r="T47" s="178"/>
      <c r="U47" s="178"/>
      <c r="V47" s="178"/>
      <c r="W47" s="178"/>
      <c r="X47" s="178"/>
      <c r="Y47" s="2463"/>
      <c r="Z47" s="2463"/>
      <c r="AA47" s="2463"/>
    </row>
    <row r="48" spans="1:27">
      <c r="A48" t="s">
        <v>76</v>
      </c>
      <c r="B48" s="100" t="s">
        <v>509</v>
      </c>
      <c r="C48" s="34"/>
      <c r="D48" s="125"/>
      <c r="E48" s="125"/>
      <c r="F48" s="125"/>
      <c r="G48" s="125"/>
      <c r="H48" s="125"/>
      <c r="I48" s="125"/>
      <c r="J48" s="125"/>
      <c r="K48" s="125"/>
      <c r="L48" s="125"/>
      <c r="M48" s="178">
        <v>0</v>
      </c>
      <c r="N48" s="178">
        <v>0</v>
      </c>
      <c r="O48" s="178">
        <v>41000000</v>
      </c>
      <c r="P48" s="178">
        <v>340000000</v>
      </c>
      <c r="Q48" s="178">
        <v>0</v>
      </c>
      <c r="R48" s="178">
        <v>0</v>
      </c>
      <c r="S48" s="178"/>
      <c r="T48" s="178"/>
      <c r="U48" s="178"/>
      <c r="V48" s="178"/>
      <c r="W48" s="298"/>
      <c r="X48" s="389"/>
    </row>
    <row r="49" spans="1:24">
      <c r="A49" s="100" t="s">
        <v>510</v>
      </c>
      <c r="B49" s="100" t="s">
        <v>511</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8"/>
      <c r="X49" s="389"/>
    </row>
    <row r="50" spans="1:24">
      <c r="A50" s="99" t="s">
        <v>502</v>
      </c>
      <c r="B50" s="99" t="s">
        <v>503</v>
      </c>
      <c r="C50" s="58" t="s">
        <v>124</v>
      </c>
      <c r="D50" s="125"/>
      <c r="E50" s="125"/>
      <c r="F50" s="178"/>
      <c r="G50" s="178"/>
      <c r="H50" s="178">
        <v>42400000</v>
      </c>
      <c r="I50" s="178"/>
      <c r="J50" s="178"/>
      <c r="K50" s="178"/>
      <c r="L50" s="178"/>
      <c r="M50" s="178"/>
      <c r="N50" s="178">
        <v>504000000</v>
      </c>
      <c r="O50" s="178">
        <v>14000000</v>
      </c>
      <c r="P50" s="178">
        <v>0</v>
      </c>
      <c r="Q50" s="178">
        <v>0</v>
      </c>
      <c r="R50" s="178">
        <v>0</v>
      </c>
      <c r="S50" s="178"/>
      <c r="T50" s="178"/>
      <c r="U50" s="178"/>
      <c r="V50" s="178"/>
      <c r="W50" s="298"/>
      <c r="X50" s="389"/>
    </row>
    <row r="51" spans="1:24">
      <c r="A51" s="99" t="s">
        <v>512</v>
      </c>
      <c r="B51" s="99" t="s">
        <v>512</v>
      </c>
      <c r="C51" s="58" t="s">
        <v>124</v>
      </c>
      <c r="D51" s="125"/>
      <c r="E51" s="125"/>
      <c r="F51" s="178"/>
      <c r="G51" s="178"/>
      <c r="H51" s="178"/>
      <c r="I51" s="178"/>
      <c r="J51" s="178"/>
      <c r="K51" s="178"/>
      <c r="L51" s="178"/>
      <c r="M51" s="178"/>
      <c r="N51" s="178"/>
      <c r="O51" s="178"/>
      <c r="P51" s="178"/>
      <c r="Q51" s="178"/>
      <c r="R51" s="178">
        <f>R43-R46-R47</f>
        <v>77000000</v>
      </c>
      <c r="S51" s="178"/>
      <c r="T51" s="178"/>
      <c r="U51" s="178"/>
      <c r="V51" s="178"/>
      <c r="W51" s="178"/>
      <c r="X51" s="178"/>
    </row>
    <row r="52" spans="1:24">
      <c r="A52" t="s">
        <v>76</v>
      </c>
      <c r="B52" s="99" t="s">
        <v>513</v>
      </c>
      <c r="C52" s="34"/>
      <c r="D52" s="125"/>
      <c r="E52" s="125"/>
      <c r="F52" s="125"/>
      <c r="G52" s="125"/>
      <c r="H52" s="125"/>
      <c r="I52" s="178">
        <v>0</v>
      </c>
      <c r="J52" s="178">
        <v>0</v>
      </c>
      <c r="K52" s="178">
        <v>0</v>
      </c>
      <c r="L52" s="178">
        <v>0</v>
      </c>
      <c r="M52" s="178"/>
      <c r="N52" s="178"/>
      <c r="O52" s="178"/>
      <c r="P52" s="178"/>
      <c r="Q52" s="178"/>
      <c r="R52" s="178"/>
      <c r="S52" s="178"/>
      <c r="T52" s="178"/>
      <c r="U52" s="178"/>
      <c r="V52" s="178"/>
      <c r="W52" s="298"/>
      <c r="X52" s="389"/>
    </row>
    <row r="53" spans="1:24">
      <c r="A53" s="90" t="s">
        <v>514</v>
      </c>
      <c r="B53" s="90" t="s">
        <v>515</v>
      </c>
      <c r="C53" s="58" t="s">
        <v>252</v>
      </c>
      <c r="D53" s="319">
        <f>D54+D57</f>
        <v>150000000</v>
      </c>
      <c r="E53" s="319">
        <f>E54+E57</f>
        <v>142400000</v>
      </c>
      <c r="F53" s="319">
        <f>F54+F57</f>
        <v>124500000</v>
      </c>
      <c r="G53" s="319">
        <f>G54+G57</f>
        <v>223300000</v>
      </c>
      <c r="H53" s="319">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c r="T53" s="178"/>
      <c r="U53" s="178"/>
      <c r="V53" s="178"/>
      <c r="W53" s="178"/>
      <c r="X53" s="178"/>
    </row>
    <row r="54" spans="1:24">
      <c r="A54" s="117" t="s">
        <v>280</v>
      </c>
      <c r="B54" s="117" t="s">
        <v>280</v>
      </c>
      <c r="C54" s="34" t="s">
        <v>516</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c r="T54" s="178"/>
      <c r="U54" s="178"/>
      <c r="V54" s="178"/>
      <c r="W54" s="178"/>
      <c r="X54" s="178"/>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c r="T55" s="178"/>
      <c r="U55" s="178"/>
      <c r="V55" s="178"/>
      <c r="W55" s="178"/>
      <c r="X55" s="178"/>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c r="T56" s="178"/>
      <c r="U56" s="178"/>
      <c r="V56" s="178"/>
      <c r="W56" s="178"/>
      <c r="X56" s="178"/>
    </row>
    <row r="57" spans="1:24">
      <c r="A57" s="90" t="s">
        <v>517</v>
      </c>
      <c r="B57" s="90" t="s">
        <v>518</v>
      </c>
      <c r="C57" s="34" t="s">
        <v>516</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c r="T57" s="178"/>
      <c r="U57" s="178"/>
      <c r="V57" s="178"/>
      <c r="W57" s="178"/>
      <c r="X57" s="178"/>
    </row>
    <row r="58" spans="1:24">
      <c r="A58" s="90" t="s">
        <v>519</v>
      </c>
      <c r="B58" s="90" t="s">
        <v>520</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c r="T58" s="178"/>
      <c r="U58" s="178"/>
      <c r="V58" s="178"/>
      <c r="W58" s="298"/>
      <c r="X58" s="389"/>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c r="T59" s="178"/>
      <c r="U59" s="178"/>
      <c r="V59" s="178"/>
      <c r="W59" s="298"/>
      <c r="X59" s="389"/>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c r="T60" s="178"/>
      <c r="U60" s="178"/>
      <c r="V60" s="178"/>
      <c r="W60" s="298"/>
      <c r="X60" s="389"/>
    </row>
    <row r="61" spans="1:24">
      <c r="A61" s="103" t="s">
        <v>521</v>
      </c>
      <c r="B61" s="103" t="s">
        <v>521</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c r="T61" s="178"/>
      <c r="U61" s="178"/>
      <c r="V61" s="178"/>
      <c r="W61" s="178"/>
      <c r="X61" s="178"/>
    </row>
    <row r="62" spans="1:24">
      <c r="B62" s="90" t="s">
        <v>522</v>
      </c>
      <c r="C62" s="34"/>
      <c r="D62" s="125"/>
      <c r="E62" s="125"/>
      <c r="F62" s="125"/>
      <c r="G62" s="125"/>
      <c r="H62" s="125"/>
      <c r="I62" s="125"/>
      <c r="J62" s="125"/>
      <c r="K62" s="125"/>
      <c r="L62" s="125"/>
      <c r="M62" s="125"/>
      <c r="N62" s="125"/>
      <c r="O62" s="125"/>
      <c r="P62" s="125"/>
      <c r="Q62" s="178">
        <v>0</v>
      </c>
      <c r="R62" s="178">
        <v>0</v>
      </c>
      <c r="S62" s="178"/>
      <c r="T62" s="178"/>
      <c r="U62" s="178"/>
      <c r="V62" s="178"/>
      <c r="W62" s="178"/>
      <c r="X62" s="178"/>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447</v>
      </c>
      <c r="J64" t="s">
        <v>447</v>
      </c>
      <c r="K64" t="s">
        <v>447</v>
      </c>
      <c r="L64" t="s">
        <v>447</v>
      </c>
      <c r="M64" t="s">
        <v>138</v>
      </c>
      <c r="N64" t="s">
        <v>138</v>
      </c>
      <c r="O64" t="s">
        <v>138</v>
      </c>
      <c r="P64" t="s">
        <v>138</v>
      </c>
      <c r="Q64" t="s">
        <v>138</v>
      </c>
      <c r="R64" t="s">
        <v>138</v>
      </c>
      <c r="S64" t="s">
        <v>138</v>
      </c>
      <c r="T64" t="s">
        <v>138</v>
      </c>
      <c r="U64" t="s">
        <v>138</v>
      </c>
      <c r="V64" t="s">
        <v>138</v>
      </c>
      <c r="W64" t="s">
        <v>138</v>
      </c>
      <c r="X64" t="s">
        <v>138</v>
      </c>
    </row>
    <row r="66" spans="2:24">
      <c r="B66" t="s">
        <v>523</v>
      </c>
      <c r="D66" s="21">
        <f>D6-D8-D13</f>
        <v>0</v>
      </c>
      <c r="E66" s="21">
        <f t="shared" ref="E66:X66" si="15">E6-E8-E13</f>
        <v>0</v>
      </c>
      <c r="F66" s="21">
        <f t="shared" si="15"/>
        <v>0</v>
      </c>
      <c r="G66" s="21">
        <f t="shared" si="15"/>
        <v>0</v>
      </c>
      <c r="H66" s="21">
        <f t="shared" si="15"/>
        <v>0</v>
      </c>
      <c r="I66" s="21">
        <f>I6-I8-I13</f>
        <v>0</v>
      </c>
      <c r="J66" s="21">
        <f>J6-J8-J13</f>
        <v>0</v>
      </c>
      <c r="K66" s="21">
        <f t="shared" si="15"/>
        <v>0</v>
      </c>
      <c r="L66" s="21">
        <f t="shared" si="15"/>
        <v>0</v>
      </c>
      <c r="M66" s="21">
        <f t="shared" si="15"/>
        <v>0</v>
      </c>
      <c r="N66" s="21">
        <f t="shared" si="15"/>
        <v>0</v>
      </c>
      <c r="O66" s="21">
        <f t="shared" si="15"/>
        <v>0</v>
      </c>
      <c r="P66" s="21">
        <f t="shared" si="15"/>
        <v>0</v>
      </c>
      <c r="Q66" s="21">
        <f t="shared" si="15"/>
        <v>0</v>
      </c>
      <c r="R66" s="21">
        <f>R6-R8-R13</f>
        <v>0</v>
      </c>
      <c r="S66" s="21">
        <f t="shared" si="15"/>
        <v>0</v>
      </c>
      <c r="T66" s="21">
        <f t="shared" si="15"/>
        <v>0</v>
      </c>
      <c r="U66" s="21">
        <f t="shared" si="15"/>
        <v>0</v>
      </c>
      <c r="V66" s="21">
        <f t="shared" si="15"/>
        <v>0</v>
      </c>
      <c r="W66" s="21">
        <f t="shared" si="15"/>
        <v>0</v>
      </c>
      <c r="X66" s="21">
        <f t="shared" si="15"/>
        <v>0</v>
      </c>
    </row>
    <row r="67" spans="2:24">
      <c r="B67" t="s">
        <v>141</v>
      </c>
      <c r="D67" s="21">
        <f t="shared" ref="D67:X67" si="16">D8-D9-D12</f>
        <v>0</v>
      </c>
      <c r="E67" s="21">
        <f t="shared" si="16"/>
        <v>0</v>
      </c>
      <c r="F67" s="21">
        <f t="shared" si="16"/>
        <v>0</v>
      </c>
      <c r="G67" s="21">
        <f t="shared" si="16"/>
        <v>0</v>
      </c>
      <c r="H67" s="21">
        <f t="shared" si="16"/>
        <v>0</v>
      </c>
      <c r="I67" s="21">
        <f t="shared" si="16"/>
        <v>0</v>
      </c>
      <c r="J67" s="21">
        <f>J8-J9-J12</f>
        <v>0</v>
      </c>
      <c r="K67" s="21">
        <f t="shared" si="16"/>
        <v>0</v>
      </c>
      <c r="L67" s="21">
        <f t="shared" si="16"/>
        <v>0</v>
      </c>
      <c r="M67" s="21">
        <f t="shared" si="16"/>
        <v>0</v>
      </c>
      <c r="N67" s="21">
        <f t="shared" si="16"/>
        <v>0</v>
      </c>
      <c r="O67" s="21">
        <f t="shared" si="16"/>
        <v>0</v>
      </c>
      <c r="P67" s="21">
        <f t="shared" si="16"/>
        <v>0</v>
      </c>
      <c r="Q67" s="21">
        <f t="shared" si="16"/>
        <v>0</v>
      </c>
      <c r="R67" s="21">
        <f t="shared" si="16"/>
        <v>0</v>
      </c>
      <c r="S67" s="21">
        <f t="shared" si="16"/>
        <v>870000000</v>
      </c>
      <c r="T67" s="21">
        <f t="shared" si="16"/>
        <v>951000000</v>
      </c>
      <c r="U67" s="21">
        <f t="shared" si="16"/>
        <v>817000000</v>
      </c>
      <c r="V67" s="21">
        <f t="shared" si="16"/>
        <v>0</v>
      </c>
      <c r="W67" s="21">
        <f t="shared" si="16"/>
        <v>0</v>
      </c>
      <c r="X67" s="21">
        <f t="shared" si="16"/>
        <v>0</v>
      </c>
    </row>
    <row r="68" spans="2:24">
      <c r="B68" t="s">
        <v>524</v>
      </c>
      <c r="D68" s="21">
        <f>D9-D10-D11</f>
        <v>0</v>
      </c>
      <c r="E68" s="21">
        <f t="shared" ref="E68:X68" si="17">E9-E10-E11</f>
        <v>0</v>
      </c>
      <c r="F68" s="21">
        <f t="shared" si="17"/>
        <v>0</v>
      </c>
      <c r="G68" s="21">
        <f t="shared" si="17"/>
        <v>0</v>
      </c>
      <c r="H68" s="21">
        <f t="shared" si="17"/>
        <v>0</v>
      </c>
      <c r="I68" s="21">
        <f t="shared" si="17"/>
        <v>0</v>
      </c>
      <c r="J68" s="21">
        <f>J9-J10-J11</f>
        <v>0</v>
      </c>
      <c r="K68" s="21">
        <f t="shared" si="17"/>
        <v>0</v>
      </c>
      <c r="L68" s="21">
        <f t="shared" si="17"/>
        <v>0</v>
      </c>
      <c r="M68" s="21">
        <f t="shared" si="17"/>
        <v>0</v>
      </c>
      <c r="N68" s="21">
        <f t="shared" si="17"/>
        <v>0</v>
      </c>
      <c r="O68" s="21">
        <f t="shared" si="17"/>
        <v>0</v>
      </c>
      <c r="P68" s="21">
        <f t="shared" si="17"/>
        <v>0</v>
      </c>
      <c r="Q68" s="21">
        <f t="shared" si="17"/>
        <v>0</v>
      </c>
      <c r="R68" s="21">
        <f t="shared" si="17"/>
        <v>0</v>
      </c>
      <c r="S68" s="21">
        <f t="shared" si="17"/>
        <v>0</v>
      </c>
      <c r="T68" s="21">
        <f t="shared" si="17"/>
        <v>0</v>
      </c>
      <c r="U68" s="21">
        <f t="shared" si="17"/>
        <v>0</v>
      </c>
      <c r="V68" s="21">
        <f t="shared" si="17"/>
        <v>0</v>
      </c>
      <c r="W68" s="21">
        <f t="shared" si="17"/>
        <v>0</v>
      </c>
      <c r="X68" s="21">
        <f t="shared" si="17"/>
        <v>0</v>
      </c>
    </row>
    <row r="69" spans="2:24">
      <c r="B69" t="s">
        <v>143</v>
      </c>
      <c r="D69" s="21">
        <f t="shared" ref="D69:X69" si="18">D13-D14-D15</f>
        <v>0</v>
      </c>
      <c r="E69" s="21">
        <f t="shared" si="18"/>
        <v>0</v>
      </c>
      <c r="F69" s="21">
        <f t="shared" si="18"/>
        <v>0</v>
      </c>
      <c r="G69" s="21">
        <f t="shared" si="18"/>
        <v>0</v>
      </c>
      <c r="H69" s="21">
        <f t="shared" si="18"/>
        <v>0</v>
      </c>
      <c r="I69" s="131">
        <f t="shared" si="18"/>
        <v>21000000</v>
      </c>
      <c r="J69" s="131">
        <f t="shared" si="18"/>
        <v>75000000</v>
      </c>
      <c r="K69" s="131">
        <f t="shared" si="18"/>
        <v>20000000</v>
      </c>
      <c r="L69" s="131">
        <f t="shared" si="18"/>
        <v>30000000</v>
      </c>
      <c r="M69" s="21">
        <f t="shared" si="18"/>
        <v>0</v>
      </c>
      <c r="N69" s="21">
        <f t="shared" si="18"/>
        <v>0</v>
      </c>
      <c r="O69" s="21">
        <f t="shared" si="18"/>
        <v>0</v>
      </c>
      <c r="P69" s="21">
        <f t="shared" si="18"/>
        <v>0</v>
      </c>
      <c r="Q69" s="21">
        <f t="shared" si="18"/>
        <v>0</v>
      </c>
      <c r="R69" s="21">
        <f t="shared" si="18"/>
        <v>0</v>
      </c>
      <c r="S69" s="21">
        <f t="shared" si="18"/>
        <v>0</v>
      </c>
      <c r="T69" s="21">
        <f t="shared" si="18"/>
        <v>0</v>
      </c>
      <c r="U69" s="21">
        <f t="shared" si="18"/>
        <v>0</v>
      </c>
      <c r="V69" s="21">
        <f t="shared" si="18"/>
        <v>0</v>
      </c>
      <c r="W69" s="21">
        <f t="shared" si="18"/>
        <v>0</v>
      </c>
      <c r="X69" s="21">
        <f t="shared" si="18"/>
        <v>0</v>
      </c>
    </row>
    <row r="70" spans="2:24">
      <c r="B70" t="s">
        <v>145</v>
      </c>
      <c r="D70" s="21">
        <f>D16-D17-D27</f>
        <v>-1000000</v>
      </c>
      <c r="E70" s="21">
        <f t="shared" ref="E70:X70" si="19">E16-E17-E27</f>
        <v>0</v>
      </c>
      <c r="F70" s="21">
        <f t="shared" si="19"/>
        <v>-100000</v>
      </c>
      <c r="G70" s="21">
        <f t="shared" si="19"/>
        <v>0</v>
      </c>
      <c r="H70" s="21">
        <f t="shared" si="19"/>
        <v>0</v>
      </c>
      <c r="I70" s="21">
        <f t="shared" si="19"/>
        <v>0</v>
      </c>
      <c r="J70" s="21">
        <f>J16-J17-J27</f>
        <v>-1000000</v>
      </c>
      <c r="K70" s="21">
        <f t="shared" si="19"/>
        <v>0</v>
      </c>
      <c r="L70" s="21">
        <f t="shared" si="19"/>
        <v>0</v>
      </c>
      <c r="M70" s="21">
        <f t="shared" si="19"/>
        <v>0</v>
      </c>
      <c r="N70" s="21">
        <f t="shared" si="19"/>
        <v>0</v>
      </c>
      <c r="O70" s="21">
        <f t="shared" si="19"/>
        <v>0</v>
      </c>
      <c r="P70" s="21">
        <f t="shared" si="19"/>
        <v>0</v>
      </c>
      <c r="Q70" s="21">
        <f t="shared" si="19"/>
        <v>0</v>
      </c>
      <c r="R70" s="21">
        <f t="shared" si="19"/>
        <v>0</v>
      </c>
      <c r="S70" s="21">
        <f t="shared" si="19"/>
        <v>964000000</v>
      </c>
      <c r="T70" s="21">
        <f t="shared" si="19"/>
        <v>956000000</v>
      </c>
      <c r="U70" s="21">
        <f t="shared" si="19"/>
        <v>965000000</v>
      </c>
      <c r="V70" s="21">
        <f t="shared" si="19"/>
        <v>0</v>
      </c>
      <c r="W70" s="21">
        <f t="shared" si="19"/>
        <v>0</v>
      </c>
      <c r="X70" s="21">
        <f t="shared" si="19"/>
        <v>0</v>
      </c>
    </row>
    <row r="71" spans="2:24">
      <c r="B71" t="s">
        <v>525</v>
      </c>
      <c r="D71" s="21">
        <f t="shared" ref="D71:X71" si="20">D17-D20-D21-D22-D23-D29</f>
        <v>-1000000</v>
      </c>
      <c r="E71" s="21">
        <f t="shared" si="20"/>
        <v>0</v>
      </c>
      <c r="F71" s="21">
        <f t="shared" si="20"/>
        <v>0</v>
      </c>
      <c r="G71" s="21">
        <f t="shared" si="20"/>
        <v>0</v>
      </c>
      <c r="H71" s="21">
        <f t="shared" si="20"/>
        <v>0</v>
      </c>
      <c r="I71" s="21">
        <f t="shared" si="20"/>
        <v>0</v>
      </c>
      <c r="J71" s="21">
        <f>J17-J20-J21-J22-J23-J29</f>
        <v>0</v>
      </c>
      <c r="K71" s="21">
        <f t="shared" si="20"/>
        <v>-1000000</v>
      </c>
      <c r="L71" s="21">
        <f t="shared" si="20"/>
        <v>0</v>
      </c>
      <c r="M71" s="21">
        <f t="shared" si="20"/>
        <v>1000000</v>
      </c>
      <c r="N71" s="192">
        <f t="shared" si="20"/>
        <v>0</v>
      </c>
      <c r="O71" s="192">
        <f>O17-O20-O21-O22-O23-O29</f>
        <v>0</v>
      </c>
      <c r="P71" s="21">
        <f t="shared" si="20"/>
        <v>0</v>
      </c>
      <c r="Q71" s="21">
        <f t="shared" si="20"/>
        <v>0</v>
      </c>
      <c r="R71" s="21">
        <f t="shared" si="20"/>
        <v>1000000</v>
      </c>
      <c r="S71" s="21">
        <f t="shared" si="20"/>
        <v>0</v>
      </c>
      <c r="T71" s="21">
        <f t="shared" si="20"/>
        <v>0</v>
      </c>
      <c r="U71" s="21">
        <f t="shared" si="20"/>
        <v>0</v>
      </c>
      <c r="V71" s="21">
        <f t="shared" si="20"/>
        <v>0</v>
      </c>
      <c r="W71" s="21">
        <f t="shared" si="20"/>
        <v>0</v>
      </c>
      <c r="X71" s="21">
        <f t="shared" si="20"/>
        <v>0</v>
      </c>
    </row>
    <row r="72" spans="2:24">
      <c r="B72" t="s">
        <v>526</v>
      </c>
      <c r="D72" s="131">
        <f t="shared" ref="D72:X72" si="21">D23-D24-D25</f>
        <v>23000000</v>
      </c>
      <c r="E72" s="131">
        <f t="shared" si="21"/>
        <v>21500000</v>
      </c>
      <c r="F72" s="131">
        <f t="shared" si="21"/>
        <v>33500000</v>
      </c>
      <c r="G72" s="131">
        <f t="shared" si="21"/>
        <v>50800000</v>
      </c>
      <c r="H72" s="131">
        <f t="shared" si="21"/>
        <v>56000000</v>
      </c>
      <c r="I72" s="21">
        <f t="shared" si="21"/>
        <v>0</v>
      </c>
      <c r="J72" s="21">
        <f>J23-J24-J25</f>
        <v>0</v>
      </c>
      <c r="K72" s="21">
        <f t="shared" si="21"/>
        <v>0</v>
      </c>
      <c r="L72" s="21">
        <f t="shared" si="21"/>
        <v>0</v>
      </c>
      <c r="M72" s="21">
        <f t="shared" si="21"/>
        <v>0</v>
      </c>
      <c r="N72" s="21">
        <f t="shared" si="21"/>
        <v>0</v>
      </c>
      <c r="O72" s="21">
        <f t="shared" si="21"/>
        <v>0</v>
      </c>
      <c r="P72" s="21">
        <f t="shared" si="21"/>
        <v>0</v>
      </c>
      <c r="Q72" s="21">
        <f t="shared" si="21"/>
        <v>0</v>
      </c>
      <c r="R72" s="21">
        <f t="shared" si="21"/>
        <v>0</v>
      </c>
      <c r="S72" s="21">
        <f t="shared" si="21"/>
        <v>0</v>
      </c>
      <c r="T72" s="21">
        <f t="shared" si="21"/>
        <v>0</v>
      </c>
      <c r="U72" s="21">
        <f t="shared" si="21"/>
        <v>0</v>
      </c>
      <c r="V72" s="21">
        <f t="shared" si="21"/>
        <v>0</v>
      </c>
      <c r="W72" s="21">
        <f t="shared" si="21"/>
        <v>0</v>
      </c>
      <c r="X72" s="21">
        <f t="shared" si="21"/>
        <v>0</v>
      </c>
    </row>
    <row r="73" spans="2:24">
      <c r="B73" t="s">
        <v>291</v>
      </c>
      <c r="D73" s="21">
        <f t="shared" ref="D73:X73" si="22">D29-D30-D31</f>
        <v>0</v>
      </c>
      <c r="E73" s="21">
        <f t="shared" si="22"/>
        <v>0</v>
      </c>
      <c r="F73" s="21">
        <f t="shared" si="22"/>
        <v>100000</v>
      </c>
      <c r="G73" s="21">
        <f t="shared" si="22"/>
        <v>0</v>
      </c>
      <c r="H73" s="21">
        <f t="shared" si="22"/>
        <v>0</v>
      </c>
      <c r="I73" s="21">
        <f t="shared" si="22"/>
        <v>0</v>
      </c>
      <c r="J73" s="21">
        <f>J29-J30-J31</f>
        <v>1000000</v>
      </c>
      <c r="K73" s="21">
        <f t="shared" si="22"/>
        <v>0</v>
      </c>
      <c r="L73" s="21">
        <f t="shared" si="22"/>
        <v>0</v>
      </c>
      <c r="M73" s="21">
        <f t="shared" si="22"/>
        <v>0</v>
      </c>
      <c r="N73" s="21">
        <f t="shared" si="22"/>
        <v>1000000</v>
      </c>
      <c r="O73" s="21">
        <f t="shared" si="22"/>
        <v>-1000000</v>
      </c>
      <c r="P73" s="21">
        <f t="shared" si="22"/>
        <v>0</v>
      </c>
      <c r="Q73" s="21">
        <f t="shared" si="22"/>
        <v>1000000</v>
      </c>
      <c r="R73" s="21">
        <f t="shared" si="22"/>
        <v>0</v>
      </c>
      <c r="S73" s="21">
        <f t="shared" si="22"/>
        <v>0</v>
      </c>
      <c r="T73" s="21">
        <f t="shared" si="22"/>
        <v>0</v>
      </c>
      <c r="U73" s="21">
        <f t="shared" si="22"/>
        <v>0</v>
      </c>
      <c r="V73" s="21">
        <f t="shared" si="22"/>
        <v>0</v>
      </c>
      <c r="W73" s="21">
        <f t="shared" si="22"/>
        <v>0</v>
      </c>
      <c r="X73" s="21">
        <f t="shared" si="22"/>
        <v>0</v>
      </c>
    </row>
    <row r="74" spans="2:24">
      <c r="B74" t="s">
        <v>527</v>
      </c>
      <c r="D74" s="192">
        <f t="shared" ref="D74:I74" si="23">D34-D35-D43-D53-D58-D61</f>
        <v>0</v>
      </c>
      <c r="E74" s="192">
        <f t="shared" si="23"/>
        <v>0</v>
      </c>
      <c r="F74" s="192">
        <f t="shared" si="23"/>
        <v>0</v>
      </c>
      <c r="G74" s="192">
        <f t="shared" si="23"/>
        <v>0</v>
      </c>
      <c r="H74" s="192">
        <f t="shared" si="23"/>
        <v>0</v>
      </c>
      <c r="I74" s="192">
        <f t="shared" si="23"/>
        <v>0</v>
      </c>
      <c r="J74" s="21">
        <f>J34-J36-J53-J44-J58-J61</f>
        <v>-1000000</v>
      </c>
      <c r="K74" s="21">
        <f t="shared" ref="K74:X74" si="24">K34-K36-K53-K44-K58-K61</f>
        <v>0</v>
      </c>
      <c r="L74" s="21">
        <f t="shared" si="24"/>
        <v>0</v>
      </c>
      <c r="M74" s="21">
        <f t="shared" si="24"/>
        <v>0</v>
      </c>
      <c r="N74" s="21">
        <f t="shared" si="24"/>
        <v>1000000</v>
      </c>
      <c r="O74" s="21">
        <f t="shared" si="24"/>
        <v>1000000</v>
      </c>
      <c r="P74" s="21">
        <f t="shared" si="24"/>
        <v>0</v>
      </c>
      <c r="Q74" s="21">
        <f t="shared" si="24"/>
        <v>0</v>
      </c>
      <c r="R74" s="21">
        <f t="shared" si="24"/>
        <v>0</v>
      </c>
      <c r="S74" s="21">
        <f t="shared" si="24"/>
        <v>94000000</v>
      </c>
      <c r="T74" s="21">
        <f t="shared" si="24"/>
        <v>5000000</v>
      </c>
      <c r="U74" s="21">
        <f t="shared" si="24"/>
        <v>148000000</v>
      </c>
      <c r="V74" s="21">
        <f t="shared" si="24"/>
        <v>0</v>
      </c>
      <c r="W74" s="21">
        <f t="shared" si="24"/>
        <v>0</v>
      </c>
      <c r="X74" s="21">
        <f t="shared" si="24"/>
        <v>0</v>
      </c>
    </row>
    <row r="75" spans="2:24">
      <c r="B75" t="s">
        <v>528</v>
      </c>
      <c r="D75" s="21">
        <f t="shared" ref="D75:W75" si="25">D35-D37-D41-D42</f>
        <v>0</v>
      </c>
      <c r="E75" s="21">
        <f t="shared" si="25"/>
        <v>0</v>
      </c>
      <c r="F75" s="21">
        <f t="shared" si="25"/>
        <v>0</v>
      </c>
      <c r="G75" s="21">
        <f t="shared" si="25"/>
        <v>0</v>
      </c>
      <c r="H75" s="21">
        <f t="shared" si="25"/>
        <v>0</v>
      </c>
      <c r="I75" s="21">
        <f t="shared" si="25"/>
        <v>0</v>
      </c>
      <c r="J75" s="21">
        <f t="shared" si="25"/>
        <v>0</v>
      </c>
      <c r="K75" s="21">
        <f t="shared" si="25"/>
        <v>0</v>
      </c>
      <c r="L75" s="21">
        <f t="shared" si="25"/>
        <v>0</v>
      </c>
      <c r="M75" s="21">
        <f t="shared" si="25"/>
        <v>0</v>
      </c>
      <c r="N75" s="21">
        <f t="shared" si="25"/>
        <v>0</v>
      </c>
      <c r="O75" s="21">
        <f t="shared" si="25"/>
        <v>0</v>
      </c>
      <c r="P75" s="21">
        <f t="shared" si="25"/>
        <v>0</v>
      </c>
      <c r="Q75" s="21">
        <f t="shared" si="25"/>
        <v>0</v>
      </c>
      <c r="R75" s="21">
        <f t="shared" si="25"/>
        <v>0</v>
      </c>
      <c r="S75" s="21">
        <f t="shared" si="25"/>
        <v>0</v>
      </c>
      <c r="T75" s="21">
        <f t="shared" si="25"/>
        <v>0</v>
      </c>
      <c r="U75" s="21">
        <f t="shared" si="25"/>
        <v>0</v>
      </c>
      <c r="V75" s="21">
        <f t="shared" si="25"/>
        <v>0</v>
      </c>
      <c r="W75" s="21">
        <f t="shared" si="25"/>
        <v>0</v>
      </c>
      <c r="X75" s="21">
        <f>X35-X37-X41-X42</f>
        <v>0</v>
      </c>
    </row>
    <row r="76" spans="2:24">
      <c r="B76" t="s">
        <v>529</v>
      </c>
      <c r="D76" s="21">
        <f t="shared" ref="D76:X76" si="26">D37-D38-D40</f>
        <v>0</v>
      </c>
      <c r="E76" s="21">
        <f>E37-E38-E40</f>
        <v>0</v>
      </c>
      <c r="F76" s="21">
        <f t="shared" si="26"/>
        <v>0</v>
      </c>
      <c r="G76" s="21">
        <f t="shared" si="26"/>
        <v>0</v>
      </c>
      <c r="H76" s="21">
        <f t="shared" si="26"/>
        <v>0</v>
      </c>
      <c r="I76" s="21">
        <f t="shared" si="26"/>
        <v>0</v>
      </c>
      <c r="J76" s="21">
        <f t="shared" si="26"/>
        <v>0</v>
      </c>
      <c r="K76" s="21">
        <f t="shared" si="26"/>
        <v>0</v>
      </c>
      <c r="L76" s="21">
        <f t="shared" si="26"/>
        <v>0</v>
      </c>
      <c r="M76" s="21">
        <f t="shared" si="26"/>
        <v>0</v>
      </c>
      <c r="N76" s="21">
        <f t="shared" si="26"/>
        <v>0</v>
      </c>
      <c r="O76" s="21">
        <f t="shared" si="26"/>
        <v>-1000000</v>
      </c>
      <c r="P76" s="21">
        <f t="shared" si="26"/>
        <v>0</v>
      </c>
      <c r="Q76" s="21">
        <f t="shared" si="26"/>
        <v>0</v>
      </c>
      <c r="R76" s="21">
        <f t="shared" si="26"/>
        <v>0</v>
      </c>
      <c r="S76" s="21">
        <f t="shared" si="26"/>
        <v>0</v>
      </c>
      <c r="T76" s="21">
        <f t="shared" si="26"/>
        <v>0</v>
      </c>
      <c r="U76" s="21">
        <f t="shared" si="26"/>
        <v>0</v>
      </c>
      <c r="V76" s="21">
        <f t="shared" si="26"/>
        <v>0</v>
      </c>
      <c r="W76" s="21">
        <f t="shared" si="26"/>
        <v>0</v>
      </c>
      <c r="X76" s="21">
        <f t="shared" si="26"/>
        <v>0</v>
      </c>
    </row>
    <row r="77" spans="2:24">
      <c r="B77" t="s">
        <v>530</v>
      </c>
      <c r="D77" s="21">
        <f t="shared" ref="D77:M77" si="27">D43-D46-D47-D49-D51-D50</f>
        <v>0</v>
      </c>
      <c r="E77" s="21">
        <f t="shared" si="27"/>
        <v>300000</v>
      </c>
      <c r="F77" s="21">
        <f t="shared" si="27"/>
        <v>0</v>
      </c>
      <c r="G77" s="21">
        <f t="shared" si="27"/>
        <v>100000</v>
      </c>
      <c r="H77" s="21">
        <f>H43-H46-H47-H49-H51-H50</f>
        <v>0</v>
      </c>
      <c r="I77" s="21">
        <f t="shared" si="27"/>
        <v>0</v>
      </c>
      <c r="J77" s="21">
        <f t="shared" si="27"/>
        <v>0</v>
      </c>
      <c r="K77" s="21">
        <f t="shared" si="27"/>
        <v>0</v>
      </c>
      <c r="L77" s="21">
        <f t="shared" si="27"/>
        <v>0</v>
      </c>
      <c r="M77" s="21">
        <f t="shared" si="27"/>
        <v>0</v>
      </c>
      <c r="N77" s="21">
        <f>N43-N46-N47-N49-N51-N50</f>
        <v>0</v>
      </c>
      <c r="O77" s="21">
        <f t="shared" ref="O77:X77" si="28">O43-O46-O47-O49-O51-O50</f>
        <v>0</v>
      </c>
      <c r="P77" s="21">
        <f t="shared" si="28"/>
        <v>0</v>
      </c>
      <c r="Q77" s="21">
        <f t="shared" si="28"/>
        <v>1000000</v>
      </c>
      <c r="R77" s="21">
        <f t="shared" si="28"/>
        <v>0</v>
      </c>
      <c r="S77" s="21">
        <f t="shared" si="28"/>
        <v>0</v>
      </c>
      <c r="T77" s="21">
        <f t="shared" si="28"/>
        <v>0</v>
      </c>
      <c r="U77" s="21">
        <f t="shared" si="28"/>
        <v>0</v>
      </c>
      <c r="V77" s="21">
        <f t="shared" si="28"/>
        <v>0</v>
      </c>
      <c r="W77" s="21">
        <f t="shared" si="28"/>
        <v>0</v>
      </c>
      <c r="X77" s="21">
        <f t="shared" si="28"/>
        <v>0</v>
      </c>
    </row>
    <row r="78" spans="2:24">
      <c r="B78" t="s">
        <v>531</v>
      </c>
      <c r="D78" s="21">
        <f>D53-D54-D57</f>
        <v>0</v>
      </c>
      <c r="E78" s="21">
        <f t="shared" ref="E78:X78" si="29">E53-E54-E57</f>
        <v>0</v>
      </c>
      <c r="F78" s="21">
        <f t="shared" si="29"/>
        <v>0</v>
      </c>
      <c r="G78" s="21">
        <f t="shared" si="29"/>
        <v>0</v>
      </c>
      <c r="H78" s="21">
        <f t="shared" si="29"/>
        <v>0</v>
      </c>
      <c r="I78" s="21">
        <f t="shared" si="29"/>
        <v>0</v>
      </c>
      <c r="J78" s="21">
        <f t="shared" si="29"/>
        <v>0</v>
      </c>
      <c r="K78" s="21">
        <f t="shared" si="29"/>
        <v>1000000</v>
      </c>
      <c r="L78" s="21">
        <f t="shared" si="29"/>
        <v>0</v>
      </c>
      <c r="M78" s="21">
        <f t="shared" si="29"/>
        <v>-1000000</v>
      </c>
      <c r="N78" s="21">
        <f t="shared" si="29"/>
        <v>0</v>
      </c>
      <c r="O78" s="21">
        <f t="shared" si="29"/>
        <v>0</v>
      </c>
      <c r="P78" s="21">
        <f t="shared" si="29"/>
        <v>0</v>
      </c>
      <c r="Q78" s="21">
        <f t="shared" si="29"/>
        <v>0</v>
      </c>
      <c r="R78" s="21">
        <f t="shared" si="29"/>
        <v>0</v>
      </c>
      <c r="S78" s="21">
        <f t="shared" si="29"/>
        <v>0</v>
      </c>
      <c r="T78" s="21">
        <f t="shared" si="29"/>
        <v>0</v>
      </c>
      <c r="U78" s="21">
        <f t="shared" si="29"/>
        <v>0</v>
      </c>
      <c r="V78" s="21">
        <f t="shared" si="29"/>
        <v>0</v>
      </c>
      <c r="W78" s="21">
        <f t="shared" si="29"/>
        <v>0</v>
      </c>
      <c r="X78" s="21">
        <f t="shared" si="29"/>
        <v>0</v>
      </c>
    </row>
    <row r="80" spans="2:24" ht="15.75" thickBot="1">
      <c r="C80" s="21"/>
      <c r="E80" s="267"/>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67"/>
    </row>
    <row r="82" spans="2:26">
      <c r="B82" t="s">
        <v>151</v>
      </c>
      <c r="D82">
        <f>(D6/D81)*100</f>
        <v>18.809073724007561</v>
      </c>
      <c r="E82">
        <f t="shared" ref="E82:V82" si="30">(E6/E81)*100</f>
        <v>17.640019147917663</v>
      </c>
      <c r="F82">
        <f t="shared" si="30"/>
        <v>19.427780341485924</v>
      </c>
      <c r="G82">
        <f t="shared" si="30"/>
        <v>18.972663139329807</v>
      </c>
      <c r="H82">
        <f t="shared" si="30"/>
        <v>19.682605111294311</v>
      </c>
      <c r="I82">
        <f t="shared" si="30"/>
        <v>19.754920163386558</v>
      </c>
      <c r="J82">
        <f t="shared" si="30"/>
        <v>22.283849918433933</v>
      </c>
      <c r="K82">
        <f t="shared" si="30"/>
        <v>21.717897155989657</v>
      </c>
      <c r="L82">
        <f t="shared" si="30"/>
        <v>21.357888949972512</v>
      </c>
      <c r="M82">
        <f t="shared" si="30"/>
        <v>18.698188517040222</v>
      </c>
      <c r="N82">
        <f t="shared" si="30"/>
        <v>22.472276581865621</v>
      </c>
      <c r="O82">
        <f t="shared" si="30"/>
        <v>20.419534578826614</v>
      </c>
      <c r="P82">
        <f t="shared" si="30"/>
        <v>20.596372579157702</v>
      </c>
      <c r="Q82">
        <f t="shared" si="30"/>
        <v>18.630475015422579</v>
      </c>
      <c r="R82">
        <f t="shared" si="30"/>
        <v>20.423375074537866</v>
      </c>
      <c r="S82">
        <f t="shared" si="30"/>
        <v>25.144508670520231</v>
      </c>
      <c r="T82">
        <f t="shared" si="30"/>
        <v>26.519799219185725</v>
      </c>
      <c r="U82">
        <f t="shared" si="30"/>
        <v>21.763452317527971</v>
      </c>
      <c r="V82">
        <f t="shared" si="30"/>
        <v>0</v>
      </c>
      <c r="W82">
        <f>(W6/W81)*100</f>
        <v>0</v>
      </c>
      <c r="X82">
        <f>(X6/X81)*100</f>
        <v>0</v>
      </c>
    </row>
    <row r="83" spans="2:26">
      <c r="B83" t="s">
        <v>152</v>
      </c>
      <c r="D83">
        <f>(D16/D81)*100</f>
        <v>23.109640831758036</v>
      </c>
      <c r="E83">
        <f t="shared" ref="E83:V83" si="31">(E16/E81)*100</f>
        <v>29.013882240306366</v>
      </c>
      <c r="F83">
        <f t="shared" si="31"/>
        <v>29.792339640055378</v>
      </c>
      <c r="G83">
        <f t="shared" si="31"/>
        <v>27.08553791887125</v>
      </c>
      <c r="H83">
        <f t="shared" si="31"/>
        <v>25.243198680956308</v>
      </c>
      <c r="I83">
        <f t="shared" si="31"/>
        <v>24.693650204233197</v>
      </c>
      <c r="J83">
        <f t="shared" si="31"/>
        <v>29.885807504078304</v>
      </c>
      <c r="K83">
        <f t="shared" si="31"/>
        <v>27.492099971272623</v>
      </c>
      <c r="L83">
        <f t="shared" si="31"/>
        <v>26.827927432655308</v>
      </c>
      <c r="M83">
        <f t="shared" si="31"/>
        <v>36.935830518882405</v>
      </c>
      <c r="N83">
        <f t="shared" si="31"/>
        <v>22.863666014350944</v>
      </c>
      <c r="O83">
        <f t="shared" si="31"/>
        <v>23.467715503113734</v>
      </c>
      <c r="P83">
        <f t="shared" si="31"/>
        <v>32.277897325545652</v>
      </c>
      <c r="Q83">
        <f t="shared" si="31"/>
        <v>22.856261566933991</v>
      </c>
      <c r="R83">
        <f t="shared" si="31"/>
        <v>21.168753726893261</v>
      </c>
      <c r="S83">
        <f t="shared" si="31"/>
        <v>27.861271676300582</v>
      </c>
      <c r="T83">
        <f t="shared" si="31"/>
        <v>26.659230340211938</v>
      </c>
      <c r="U83">
        <f t="shared" si="31"/>
        <v>25.705913692061799</v>
      </c>
      <c r="V83">
        <f t="shared" si="31"/>
        <v>0</v>
      </c>
      <c r="W83">
        <f>(W16/W81)*100</f>
        <v>0</v>
      </c>
      <c r="X83">
        <f>(X16/X81)*100</f>
        <v>0</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V39"/>
  <sheetViews>
    <sheetView zoomScale="70" zoomScaleNormal="70" workbookViewId="0">
      <selection activeCell="B19" sqref="B19"/>
    </sheetView>
  </sheetViews>
  <sheetFormatPr defaultRowHeight="15"/>
  <cols>
    <col min="1" max="1" width="35.5703125" style="1570" bestFit="1" customWidth="1"/>
    <col min="2" max="2" width="49" style="1570" bestFit="1" customWidth="1"/>
    <col min="3" max="7" width="25.5703125" style="1570" customWidth="1"/>
    <col min="8" max="9" width="23.5703125" style="1570" bestFit="1" customWidth="1"/>
    <col min="10" max="11" width="24" bestFit="1" customWidth="1"/>
    <col min="12" max="12" width="23.5703125" bestFit="1" customWidth="1"/>
  </cols>
  <sheetData>
    <row r="1" spans="1:22">
      <c r="A1" s="2634" t="s">
        <v>532</v>
      </c>
      <c r="B1" s="1566" t="s">
        <v>7213</v>
      </c>
      <c r="C1" s="1566"/>
      <c r="D1" s="1566"/>
      <c r="E1" s="1566"/>
      <c r="F1" s="1566"/>
      <c r="G1" s="1566"/>
      <c r="H1" s="1568"/>
      <c r="I1" s="1568"/>
    </row>
    <row r="2" spans="1:22">
      <c r="B2" s="1571" t="s">
        <v>7210</v>
      </c>
      <c r="C2" s="1571"/>
      <c r="D2" s="1571"/>
      <c r="E2" s="1571"/>
      <c r="F2" s="1571"/>
      <c r="G2" s="1571"/>
      <c r="H2" s="1573"/>
      <c r="I2" s="1574"/>
    </row>
    <row r="3" spans="1:22">
      <c r="B3" s="1575" t="s">
        <v>3</v>
      </c>
      <c r="C3" s="1575"/>
      <c r="D3" s="1568">
        <v>2011</v>
      </c>
      <c r="E3" s="1568">
        <v>2012</v>
      </c>
      <c r="F3" s="1568">
        <v>2013</v>
      </c>
      <c r="G3" s="1568">
        <v>2014</v>
      </c>
      <c r="H3" s="1568">
        <v>2015</v>
      </c>
      <c r="I3" s="1568">
        <v>2016</v>
      </c>
      <c r="J3" s="1568">
        <v>2017</v>
      </c>
      <c r="K3" s="1568">
        <v>2018</v>
      </c>
      <c r="L3" s="1568">
        <v>2019</v>
      </c>
    </row>
    <row r="4" spans="1:22">
      <c r="B4" s="1575" t="s">
        <v>4</v>
      </c>
      <c r="C4" s="1575"/>
      <c r="D4" s="543" t="s">
        <v>16</v>
      </c>
      <c r="E4" s="543" t="s">
        <v>17</v>
      </c>
      <c r="F4" s="543" t="s">
        <v>18</v>
      </c>
      <c r="G4" s="796" t="s">
        <v>19</v>
      </c>
      <c r="H4" s="1568" t="s">
        <v>20</v>
      </c>
      <c r="I4" s="1568" t="s">
        <v>21</v>
      </c>
      <c r="J4" s="1568" t="s">
        <v>22</v>
      </c>
      <c r="K4" s="1568" t="s">
        <v>23</v>
      </c>
      <c r="L4" s="1568" t="s">
        <v>24</v>
      </c>
      <c r="M4" s="2463"/>
      <c r="N4" s="2463"/>
      <c r="O4" s="2463"/>
      <c r="P4" s="2463"/>
      <c r="Q4" s="2463"/>
      <c r="R4" s="2463"/>
      <c r="S4" s="2463"/>
      <c r="T4" s="2463"/>
      <c r="U4" s="2463"/>
      <c r="V4" s="2463"/>
    </row>
    <row r="5" spans="1:22">
      <c r="A5" s="1570" t="s">
        <v>28</v>
      </c>
      <c r="B5" s="1575" t="s">
        <v>29</v>
      </c>
      <c r="C5" s="1575"/>
      <c r="D5" s="2008" t="s">
        <v>30</v>
      </c>
      <c r="E5" s="2008" t="s">
        <v>30</v>
      </c>
      <c r="F5" s="2008" t="s">
        <v>30</v>
      </c>
      <c r="G5" s="2008" t="s">
        <v>30</v>
      </c>
      <c r="H5" s="2008" t="s">
        <v>30</v>
      </c>
      <c r="I5" s="2008" t="s">
        <v>30</v>
      </c>
      <c r="J5" s="2008" t="s">
        <v>30</v>
      </c>
      <c r="K5" s="2008" t="s">
        <v>32</v>
      </c>
      <c r="L5" s="2008" t="s">
        <v>32</v>
      </c>
      <c r="M5" s="2463"/>
      <c r="N5" s="2463"/>
      <c r="O5" s="2463"/>
      <c r="P5" s="2463"/>
      <c r="Q5" s="2463"/>
      <c r="R5" s="2463"/>
      <c r="S5" s="2463"/>
      <c r="T5" s="2463"/>
      <c r="U5" s="2463"/>
      <c r="V5" s="2463"/>
    </row>
    <row r="6" spans="1:22" s="848" customFormat="1">
      <c r="A6" s="2313" t="s">
        <v>33</v>
      </c>
      <c r="B6" s="2313" t="s">
        <v>449</v>
      </c>
      <c r="C6" s="2260" t="s">
        <v>35</v>
      </c>
      <c r="D6" s="2673">
        <f>D7+D11</f>
        <v>700700000000</v>
      </c>
      <c r="E6" s="2673">
        <f t="shared" ref="E6:L6" si="0">E7+E11</f>
        <v>891700000000</v>
      </c>
      <c r="F6" s="2673">
        <f t="shared" si="0"/>
        <v>1150100000000</v>
      </c>
      <c r="G6" s="2673">
        <f t="shared" si="0"/>
        <v>1584400000000</v>
      </c>
      <c r="H6" s="2673">
        <f t="shared" si="0"/>
        <v>2106600000000</v>
      </c>
      <c r="I6" s="2673">
        <f t="shared" si="0"/>
        <v>2871600000000</v>
      </c>
      <c r="J6" s="2673">
        <f t="shared" si="0"/>
        <v>3669800000000</v>
      </c>
      <c r="K6" s="2673">
        <f t="shared" si="0"/>
        <v>4633700000000</v>
      </c>
      <c r="L6" s="2673">
        <f t="shared" si="0"/>
        <v>5718000000000</v>
      </c>
      <c r="M6" s="2520"/>
      <c r="N6" s="2463"/>
      <c r="O6" s="2463"/>
      <c r="P6" s="2463"/>
      <c r="Q6" s="2463"/>
      <c r="R6" s="2463"/>
      <c r="S6" s="2463"/>
      <c r="T6" s="2463"/>
      <c r="U6" s="2463"/>
      <c r="V6" s="2463"/>
    </row>
    <row r="7" spans="1:22" ht="20.25" customHeight="1">
      <c r="A7" s="1567" t="s">
        <v>159</v>
      </c>
      <c r="B7" s="1567" t="s">
        <v>159</v>
      </c>
      <c r="C7" s="1578" t="s">
        <v>38</v>
      </c>
      <c r="D7" s="2070">
        <f>D8+D9+D10</f>
        <v>700700000000</v>
      </c>
      <c r="E7" s="2070">
        <f t="shared" ref="E7:L7" si="1">E8+E9+E10</f>
        <v>891700000000</v>
      </c>
      <c r="F7" s="2070">
        <f t="shared" si="1"/>
        <v>1150100000000</v>
      </c>
      <c r="G7" s="2070">
        <f t="shared" si="1"/>
        <v>1584400000000</v>
      </c>
      <c r="H7" s="2070">
        <f t="shared" si="1"/>
        <v>2106600000000</v>
      </c>
      <c r="I7" s="2070">
        <f t="shared" si="1"/>
        <v>2871600000000</v>
      </c>
      <c r="J7" s="2070">
        <f t="shared" si="1"/>
        <v>3669800000000</v>
      </c>
      <c r="K7" s="2070">
        <f t="shared" si="1"/>
        <v>4633700000000</v>
      </c>
      <c r="L7" s="2070">
        <f t="shared" si="1"/>
        <v>5718000000000</v>
      </c>
      <c r="M7" s="2520"/>
      <c r="N7" s="2463"/>
      <c r="O7" s="2463"/>
      <c r="P7" s="2463"/>
      <c r="Q7" s="2463"/>
      <c r="R7" s="2463"/>
      <c r="S7" s="2463"/>
      <c r="T7" s="2463"/>
      <c r="U7" s="2463"/>
      <c r="V7" s="2463"/>
    </row>
    <row r="8" spans="1:22" ht="18" customHeight="1">
      <c r="A8" t="s">
        <v>40</v>
      </c>
      <c r="B8" t="s">
        <v>40</v>
      </c>
      <c r="C8" s="1577" t="s">
        <v>41</v>
      </c>
      <c r="D8" s="125">
        <v>489200000000</v>
      </c>
      <c r="E8" s="125">
        <v>613600000000</v>
      </c>
      <c r="F8" s="125">
        <v>792100000000</v>
      </c>
      <c r="G8" s="125">
        <v>1095700000000</v>
      </c>
      <c r="H8" s="125">
        <v>1429900000000</v>
      </c>
      <c r="I8" s="125">
        <v>1952800000000</v>
      </c>
      <c r="J8" s="125">
        <v>2452000000000</v>
      </c>
      <c r="K8" s="125">
        <v>3076300000000</v>
      </c>
      <c r="L8" s="125">
        <v>3794800000000</v>
      </c>
      <c r="M8" s="2520"/>
      <c r="N8" s="2463"/>
      <c r="O8" s="2463"/>
      <c r="P8" s="2463"/>
      <c r="Q8" s="2463"/>
      <c r="R8" s="2463"/>
      <c r="S8" s="2463"/>
      <c r="T8" s="2463"/>
      <c r="U8" s="2463"/>
      <c r="V8" s="2463"/>
    </row>
    <row r="9" spans="1:22">
      <c r="A9" s="1577" t="s">
        <v>2561</v>
      </c>
      <c r="B9" t="s">
        <v>534</v>
      </c>
      <c r="C9" s="1577" t="s">
        <v>41</v>
      </c>
      <c r="D9" s="125">
        <v>167800000000</v>
      </c>
      <c r="E9" s="125">
        <v>219500000000</v>
      </c>
      <c r="F9" s="125">
        <v>287800000000</v>
      </c>
      <c r="G9" s="125">
        <v>378300000000</v>
      </c>
      <c r="H9" s="125">
        <v>529500000000</v>
      </c>
      <c r="I9" s="125">
        <v>709800000000</v>
      </c>
      <c r="J9" s="125">
        <v>919000000000</v>
      </c>
      <c r="K9" s="125">
        <v>1153200000000</v>
      </c>
      <c r="L9" s="125">
        <v>1429100000000</v>
      </c>
      <c r="M9" s="2520"/>
      <c r="N9" s="2463"/>
      <c r="O9" s="2463"/>
      <c r="P9" s="2463"/>
      <c r="Q9" s="2463"/>
      <c r="R9" s="2463"/>
      <c r="S9" s="2463"/>
      <c r="T9" s="2463"/>
      <c r="U9" s="2463"/>
      <c r="V9" s="2463"/>
    </row>
    <row r="10" spans="1:22">
      <c r="A10" s="1577" t="s">
        <v>7211</v>
      </c>
      <c r="B10" t="s">
        <v>7211</v>
      </c>
      <c r="C10" s="1577" t="s">
        <v>41</v>
      </c>
      <c r="D10" s="125">
        <v>43700000000</v>
      </c>
      <c r="E10" s="125">
        <v>58600000000</v>
      </c>
      <c r="F10" s="125">
        <v>70200000000</v>
      </c>
      <c r="G10" s="125">
        <v>110400000000</v>
      </c>
      <c r="H10" s="125">
        <v>147200000000</v>
      </c>
      <c r="I10" s="125">
        <v>209000000000</v>
      </c>
      <c r="J10" s="125">
        <v>298800000000</v>
      </c>
      <c r="K10" s="125">
        <v>404200000000</v>
      </c>
      <c r="L10" s="125">
        <v>494100000000</v>
      </c>
      <c r="M10" s="2520"/>
      <c r="N10" s="2463"/>
      <c r="O10" s="2463"/>
      <c r="P10" s="2463"/>
      <c r="Q10" s="2463"/>
      <c r="R10" s="2463"/>
      <c r="S10" s="2463"/>
      <c r="T10" s="2463"/>
      <c r="U10" s="2463"/>
      <c r="V10" s="2463"/>
    </row>
    <row r="11" spans="1:22" s="848" customFormat="1">
      <c r="A11" s="2617" t="s">
        <v>53</v>
      </c>
      <c r="B11" s="2617" t="s">
        <v>53</v>
      </c>
      <c r="C11" s="2614" t="s">
        <v>38</v>
      </c>
      <c r="D11" s="2671">
        <v>0</v>
      </c>
      <c r="E11" s="2671">
        <v>0</v>
      </c>
      <c r="F11" s="2671">
        <v>0</v>
      </c>
      <c r="G11" s="2671">
        <v>0</v>
      </c>
      <c r="H11" s="2671">
        <v>0</v>
      </c>
      <c r="I11" s="2671">
        <v>0</v>
      </c>
      <c r="J11" s="2671">
        <v>0</v>
      </c>
      <c r="K11" s="2671">
        <v>0</v>
      </c>
      <c r="L11" s="2671">
        <v>0</v>
      </c>
      <c r="M11" s="2520"/>
      <c r="N11" s="2463"/>
      <c r="O11" s="2463"/>
      <c r="P11" s="2463"/>
      <c r="Q11" s="2463"/>
      <c r="R11" s="2463"/>
      <c r="S11" s="2463"/>
      <c r="T11" s="2463"/>
      <c r="U11" s="2463"/>
      <c r="V11" s="2463"/>
    </row>
    <row r="12" spans="1:22" s="848" customFormat="1">
      <c r="A12" s="2003" t="s">
        <v>71</v>
      </c>
      <c r="B12" s="2004" t="s">
        <v>379</v>
      </c>
      <c r="C12" s="2003" t="s">
        <v>35</v>
      </c>
      <c r="D12" s="2264">
        <f>D13+D17+D18</f>
        <v>735200000000</v>
      </c>
      <c r="E12" s="2264">
        <f t="shared" ref="E12:L12" si="2">E13+E17+E18</f>
        <v>936400000000</v>
      </c>
      <c r="F12" s="2264">
        <f t="shared" si="2"/>
        <v>1238500000000</v>
      </c>
      <c r="G12" s="2264">
        <f t="shared" si="2"/>
        <v>1744600000000</v>
      </c>
      <c r="H12" s="2264">
        <f t="shared" si="2"/>
        <v>2368900000000</v>
      </c>
      <c r="I12" s="2264">
        <f t="shared" si="2"/>
        <v>3255600000000</v>
      </c>
      <c r="J12" s="2264">
        <f t="shared" si="2"/>
        <v>4114600000000</v>
      </c>
      <c r="K12" s="2264">
        <f t="shared" si="2"/>
        <v>4998700000000</v>
      </c>
      <c r="L12" s="2264">
        <f t="shared" si="2"/>
        <v>5926600000000</v>
      </c>
      <c r="M12" s="2520"/>
      <c r="N12" s="2463"/>
      <c r="O12" s="2463"/>
      <c r="P12" s="2463"/>
      <c r="Q12" s="2463"/>
      <c r="R12" s="2463"/>
      <c r="S12" s="2463"/>
      <c r="T12" s="2463"/>
      <c r="U12" s="2463"/>
      <c r="V12" s="2463"/>
    </row>
    <row r="13" spans="1:22" s="848" customFormat="1">
      <c r="A13" s="2617" t="s">
        <v>1969</v>
      </c>
      <c r="B13" s="2617" t="s">
        <v>1969</v>
      </c>
      <c r="C13" s="805" t="s">
        <v>201</v>
      </c>
      <c r="D13" s="125">
        <f>D14+D15+D16</f>
        <v>558100000000</v>
      </c>
      <c r="E13" s="125">
        <f t="shared" ref="E13:L13" si="3">E14+E15+E16</f>
        <v>714700000000</v>
      </c>
      <c r="F13" s="125">
        <f t="shared" si="3"/>
        <v>930600000000</v>
      </c>
      <c r="G13" s="125">
        <f t="shared" si="3"/>
        <v>1307000000000</v>
      </c>
      <c r="H13" s="125">
        <f t="shared" si="3"/>
        <v>1840400000000</v>
      </c>
      <c r="I13" s="125">
        <f t="shared" si="3"/>
        <v>2557600000000</v>
      </c>
      <c r="J13" s="125">
        <f t="shared" si="3"/>
        <v>3213900000000</v>
      </c>
      <c r="K13" s="125">
        <f t="shared" si="3"/>
        <v>3911800000000</v>
      </c>
      <c r="L13" s="125">
        <f t="shared" si="3"/>
        <v>4680600000000</v>
      </c>
      <c r="M13" s="2520"/>
      <c r="N13" s="2463"/>
      <c r="O13" s="2463"/>
      <c r="P13" s="2463"/>
      <c r="Q13" s="2463"/>
      <c r="R13" s="2463"/>
      <c r="S13" s="2463"/>
      <c r="T13" s="2463"/>
      <c r="U13" s="2463"/>
      <c r="V13" s="2463"/>
    </row>
    <row r="14" spans="1:22" s="848" customFormat="1">
      <c r="A14" t="s">
        <v>536</v>
      </c>
      <c r="B14" t="s">
        <v>536</v>
      </c>
      <c r="C14" s="805" t="s">
        <v>204</v>
      </c>
      <c r="D14" s="125">
        <v>227600000000</v>
      </c>
      <c r="E14" s="125">
        <v>294400000000</v>
      </c>
      <c r="F14" s="125">
        <v>378200000000</v>
      </c>
      <c r="G14" s="125">
        <v>523700000000.00006</v>
      </c>
      <c r="H14" s="125">
        <v>738700000000</v>
      </c>
      <c r="I14" s="125">
        <v>1008400000000</v>
      </c>
      <c r="J14" s="125">
        <v>1277900000000</v>
      </c>
      <c r="K14" s="125">
        <v>1527600000000</v>
      </c>
      <c r="L14" s="125">
        <v>1801600000000</v>
      </c>
      <c r="M14" s="2520"/>
      <c r="N14" s="2463"/>
      <c r="O14" s="2463"/>
      <c r="P14" s="2463"/>
      <c r="Q14" s="2463"/>
      <c r="R14" s="2463"/>
      <c r="S14" s="2463"/>
      <c r="T14" s="2463"/>
      <c r="U14" s="2463"/>
      <c r="V14" s="2463"/>
    </row>
    <row r="15" spans="1:22" s="848" customFormat="1">
      <c r="A15" t="s">
        <v>537</v>
      </c>
      <c r="B15" t="s">
        <v>537</v>
      </c>
      <c r="C15" s="805" t="s">
        <v>204</v>
      </c>
      <c r="D15" s="125">
        <v>53300000000</v>
      </c>
      <c r="E15" s="125">
        <v>64300000000</v>
      </c>
      <c r="F15" s="125">
        <v>86300000000</v>
      </c>
      <c r="G15" s="125">
        <v>120300000000</v>
      </c>
      <c r="H15" s="125">
        <v>169700000000</v>
      </c>
      <c r="I15" s="125">
        <v>205800000000</v>
      </c>
      <c r="J15" s="125">
        <v>280900000000</v>
      </c>
      <c r="K15" s="125">
        <v>313700000000</v>
      </c>
      <c r="L15" s="125">
        <v>364500000000</v>
      </c>
      <c r="M15" s="2520"/>
      <c r="N15" s="2463"/>
      <c r="O15" s="2463"/>
      <c r="P15" s="2463"/>
      <c r="Q15" s="2463"/>
      <c r="R15" s="2463"/>
      <c r="S15" s="2463"/>
      <c r="T15" s="2463"/>
      <c r="U15" s="2463"/>
      <c r="V15" s="2463"/>
    </row>
    <row r="16" spans="1:22" s="848" customFormat="1">
      <c r="A16" t="s">
        <v>7212</v>
      </c>
      <c r="B16" t="s">
        <v>7212</v>
      </c>
      <c r="C16" s="805" t="s">
        <v>204</v>
      </c>
      <c r="D16" s="125">
        <v>277200000000</v>
      </c>
      <c r="E16" s="125">
        <v>356000000000</v>
      </c>
      <c r="F16" s="125">
        <v>466100000000</v>
      </c>
      <c r="G16" s="125">
        <v>663000000000</v>
      </c>
      <c r="H16" s="125">
        <v>932000000000</v>
      </c>
      <c r="I16" s="125">
        <v>1343400000000</v>
      </c>
      <c r="J16" s="125">
        <v>1655100000000</v>
      </c>
      <c r="K16" s="125">
        <v>2070500000000</v>
      </c>
      <c r="L16" s="125">
        <v>2514500000000</v>
      </c>
      <c r="M16" s="2520"/>
      <c r="N16" s="2463"/>
      <c r="O16" s="2463"/>
      <c r="P16" s="2463"/>
      <c r="Q16" s="2463"/>
      <c r="R16" s="2463"/>
      <c r="S16" s="2463"/>
      <c r="T16" s="2463"/>
      <c r="U16" s="2463"/>
      <c r="V16" s="2463"/>
    </row>
    <row r="17" spans="1:22" s="848" customFormat="1">
      <c r="A17" t="s">
        <v>539</v>
      </c>
      <c r="B17" t="s">
        <v>539</v>
      </c>
      <c r="C17" s="805" t="s">
        <v>201</v>
      </c>
      <c r="D17" s="125">
        <v>77700000000</v>
      </c>
      <c r="E17" s="2672">
        <v>83200000000</v>
      </c>
      <c r="F17" s="2672">
        <v>121000000000</v>
      </c>
      <c r="G17" s="2672">
        <v>171600000000</v>
      </c>
      <c r="H17" s="2635">
        <v>216600000000</v>
      </c>
      <c r="I17" s="2635">
        <v>280100000000</v>
      </c>
      <c r="J17" s="2523">
        <v>373400000000</v>
      </c>
      <c r="K17" s="2523">
        <v>404400000000</v>
      </c>
      <c r="L17" s="2523">
        <v>416000000000</v>
      </c>
      <c r="M17" s="2520"/>
      <c r="N17" s="2463"/>
      <c r="O17" s="2463"/>
      <c r="P17" s="2463"/>
      <c r="Q17" s="2463"/>
      <c r="R17" s="2463"/>
      <c r="S17" s="2463"/>
      <c r="T17" s="2463"/>
      <c r="U17" s="2463"/>
      <c r="V17" s="2463"/>
    </row>
    <row r="18" spans="1:22" s="848" customFormat="1">
      <c r="A18" t="s">
        <v>50</v>
      </c>
      <c r="B18" t="s">
        <v>50</v>
      </c>
      <c r="C18" s="805" t="s">
        <v>201</v>
      </c>
      <c r="D18" s="125">
        <v>99400000000</v>
      </c>
      <c r="E18" s="125">
        <v>138500000000</v>
      </c>
      <c r="F18" s="125">
        <v>186900000000</v>
      </c>
      <c r="G18" s="125">
        <v>266000000000</v>
      </c>
      <c r="H18" s="125">
        <v>311900000000</v>
      </c>
      <c r="I18" s="125">
        <v>417900000000</v>
      </c>
      <c r="J18" s="125">
        <v>527299999999.99994</v>
      </c>
      <c r="K18" s="125">
        <v>682500000000</v>
      </c>
      <c r="L18" s="125">
        <v>830000000000</v>
      </c>
      <c r="M18" s="2520"/>
      <c r="N18" s="2463"/>
      <c r="O18" s="2463"/>
      <c r="P18" s="2463"/>
      <c r="Q18" s="2463"/>
      <c r="R18" s="2463"/>
      <c r="S18" s="2463"/>
      <c r="T18" s="2463"/>
      <c r="U18" s="2463"/>
      <c r="V18" s="2463"/>
    </row>
    <row r="19" spans="1:22" s="848" customFormat="1">
      <c r="A19" s="2004" t="s">
        <v>115</v>
      </c>
      <c r="B19" s="2004" t="s">
        <v>115</v>
      </c>
      <c r="C19" s="2004" t="s">
        <v>35</v>
      </c>
      <c r="D19" s="2007">
        <f>D12-D6</f>
        <v>34500000000</v>
      </c>
      <c r="E19" s="2007">
        <f t="shared" ref="E19:L19" si="4">E12-E6</f>
        <v>44700000000</v>
      </c>
      <c r="F19" s="2007">
        <f t="shared" si="4"/>
        <v>88400000000</v>
      </c>
      <c r="G19" s="2007">
        <f t="shared" si="4"/>
        <v>160200000000</v>
      </c>
      <c r="H19" s="2007">
        <f t="shared" si="4"/>
        <v>262300000000</v>
      </c>
      <c r="I19" s="2007">
        <f t="shared" si="4"/>
        <v>384000000000</v>
      </c>
      <c r="J19" s="2007">
        <f t="shared" si="4"/>
        <v>444800000000</v>
      </c>
      <c r="K19" s="2007">
        <f t="shared" si="4"/>
        <v>365000000000</v>
      </c>
      <c r="L19" s="2007">
        <f t="shared" si="4"/>
        <v>208600000000</v>
      </c>
      <c r="M19" s="2520"/>
      <c r="N19" s="2463"/>
      <c r="O19" s="2463"/>
      <c r="P19" s="2463"/>
      <c r="Q19" s="2463"/>
      <c r="R19" s="2463"/>
      <c r="S19" s="2463"/>
      <c r="T19" s="2463"/>
      <c r="U19" s="2463"/>
      <c r="V19" s="2463"/>
    </row>
    <row r="20" spans="1:22">
      <c r="A20" s="1576"/>
      <c r="B20" s="1577"/>
      <c r="C20" s="1578"/>
      <c r="D20" s="1578"/>
      <c r="E20" s="1578"/>
      <c r="F20" s="1578"/>
      <c r="G20" s="1578"/>
      <c r="H20" s="1592"/>
      <c r="I20" s="1592"/>
      <c r="J20" s="1592"/>
      <c r="K20" s="1592"/>
      <c r="L20" s="1592"/>
      <c r="M20" s="2520"/>
      <c r="N20" s="2463"/>
      <c r="O20" s="2463"/>
      <c r="P20" s="2463"/>
    </row>
    <row r="21" spans="1:22" ht="15.75" customHeight="1">
      <c r="A21" s="1576"/>
      <c r="B21" s="1577"/>
      <c r="C21" s="1578"/>
      <c r="D21" s="1578"/>
      <c r="E21" s="1578"/>
      <c r="F21" s="1578"/>
      <c r="G21" s="1578"/>
      <c r="H21" s="1592"/>
      <c r="I21" s="1581"/>
      <c r="J21" s="2520"/>
      <c r="K21" s="2520"/>
      <c r="L21" s="2520"/>
      <c r="M21" s="2520"/>
      <c r="N21" s="2463"/>
      <c r="O21" s="2463"/>
      <c r="P21" s="2463"/>
    </row>
    <row r="22" spans="1:22">
      <c r="B22" s="1580"/>
      <c r="J22" s="2520"/>
      <c r="K22" s="2520"/>
      <c r="L22" s="2520"/>
      <c r="M22" s="2520"/>
      <c r="N22" s="2463"/>
      <c r="O22" s="2463"/>
      <c r="P22" s="2463"/>
    </row>
    <row r="23" spans="1:22">
      <c r="A23" s="1577"/>
      <c r="B23" s="1577"/>
      <c r="D23" s="1570" t="s">
        <v>139</v>
      </c>
      <c r="E23" s="1570" t="s">
        <v>139</v>
      </c>
      <c r="F23" s="1570" t="s">
        <v>139</v>
      </c>
      <c r="G23" s="1570" t="s">
        <v>139</v>
      </c>
      <c r="H23" s="1570" t="s">
        <v>139</v>
      </c>
      <c r="I23" s="1570" t="s">
        <v>139</v>
      </c>
      <c r="J23" s="1570" t="s">
        <v>139</v>
      </c>
      <c r="K23" s="1570" t="s">
        <v>139</v>
      </c>
      <c r="L23" s="1570" t="s">
        <v>139</v>
      </c>
      <c r="M23" s="2520"/>
      <c r="N23" s="2463"/>
      <c r="O23" s="2463"/>
      <c r="P23" s="2463"/>
    </row>
    <row r="24" spans="1:22">
      <c r="A24" s="1576"/>
      <c r="J24" s="1570"/>
      <c r="K24" s="1570"/>
      <c r="L24" s="2520"/>
      <c r="M24" s="2520"/>
      <c r="N24" s="2463"/>
      <c r="O24" s="2463"/>
      <c r="P24" s="2463"/>
    </row>
    <row r="25" spans="1:22">
      <c r="J25" s="1570"/>
      <c r="K25" s="1570"/>
      <c r="L25" s="2520"/>
      <c r="M25" s="2520"/>
      <c r="N25" s="2463"/>
      <c r="O25" s="2463"/>
      <c r="P25" s="2463"/>
    </row>
    <row r="26" spans="1:22">
      <c r="A26" s="1576"/>
      <c r="B26" s="1570" t="s">
        <v>284</v>
      </c>
      <c r="D26" s="2639">
        <f t="shared" ref="D26:G26" si="5">D6-D7-D11</f>
        <v>0</v>
      </c>
      <c r="E26" s="2639">
        <f t="shared" si="5"/>
        <v>0</v>
      </c>
      <c r="F26" s="2639">
        <f t="shared" si="5"/>
        <v>0</v>
      </c>
      <c r="G26" s="2639">
        <f t="shared" si="5"/>
        <v>0</v>
      </c>
      <c r="H26" s="2639">
        <f>H6-H7-H11</f>
        <v>0</v>
      </c>
      <c r="I26" s="2639">
        <f>I6-I7-I11</f>
        <v>0</v>
      </c>
      <c r="J26" s="2639">
        <f>J6-J7-J11</f>
        <v>0</v>
      </c>
      <c r="K26" s="2639">
        <f>K6-K7-K11</f>
        <v>0</v>
      </c>
      <c r="L26" s="2639">
        <f>L6-L7-L11</f>
        <v>0</v>
      </c>
      <c r="M26" s="365"/>
    </row>
    <row r="27" spans="1:22">
      <c r="B27" s="1570" t="s">
        <v>358</v>
      </c>
      <c r="D27" s="2639" t="e">
        <f>D7-D8-D9-#REF!</f>
        <v>#REF!</v>
      </c>
      <c r="E27" s="2639" t="e">
        <f>E7-E8-E9-#REF!</f>
        <v>#REF!</v>
      </c>
      <c r="F27" s="2639" t="e">
        <f>F7-F8-F9-#REF!</f>
        <v>#REF!</v>
      </c>
      <c r="G27" s="2639" t="e">
        <f>G7-G8-G9-#REF!</f>
        <v>#REF!</v>
      </c>
      <c r="H27" s="2639" t="e">
        <f>H7-H8-H9-#REF!</f>
        <v>#REF!</v>
      </c>
      <c r="I27" s="2639" t="e">
        <f>I7-I8-I9-#REF!</f>
        <v>#REF!</v>
      </c>
      <c r="J27" s="2639" t="e">
        <f>J7-J8-J9-#REF!</f>
        <v>#REF!</v>
      </c>
      <c r="K27" s="2639" t="e">
        <f>K7-K8-K9-#REF!</f>
        <v>#REF!</v>
      </c>
      <c r="L27" s="2639" t="e">
        <f>L7-L8-L9-#REF!</f>
        <v>#REF!</v>
      </c>
      <c r="M27" s="365"/>
    </row>
    <row r="28" spans="1:22">
      <c r="B28" s="1570" t="s">
        <v>142</v>
      </c>
      <c r="D28" s="2641" t="e">
        <f>D8-#REF!-#REF!-#REF!</f>
        <v>#REF!</v>
      </c>
      <c r="E28" s="2641" t="e">
        <f>E8-#REF!-#REF!-#REF!</f>
        <v>#REF!</v>
      </c>
      <c r="F28" s="2641" t="e">
        <f>F8-#REF!-#REF!-#REF!</f>
        <v>#REF!</v>
      </c>
      <c r="G28" s="2641" t="e">
        <f>G8-#REF!-#REF!-#REF!</f>
        <v>#REF!</v>
      </c>
      <c r="H28" s="2641" t="e">
        <f>H8-#REF!-#REF!-#REF!</f>
        <v>#REF!</v>
      </c>
      <c r="I28" s="2641" t="e">
        <f>I8-#REF!-#REF!-#REF!</f>
        <v>#REF!</v>
      </c>
      <c r="J28" s="2641" t="e">
        <f>J8-#REF!-#REF!-#REF!</f>
        <v>#REF!</v>
      </c>
      <c r="K28" s="2641" t="e">
        <f>K8-#REF!-#REF!-#REF!</f>
        <v>#REF!</v>
      </c>
      <c r="L28" s="2641" t="e">
        <f>L8-#REF!-#REF!-#REF!</f>
        <v>#REF!</v>
      </c>
      <c r="M28" s="365"/>
    </row>
    <row r="29" spans="1:22">
      <c r="B29" s="1570" t="s">
        <v>145</v>
      </c>
      <c r="D29" s="2639" t="e">
        <f>D12-#REF!-#REF!</f>
        <v>#REF!</v>
      </c>
      <c r="E29" s="2639" t="e">
        <f>E12-#REF!-#REF!</f>
        <v>#REF!</v>
      </c>
      <c r="F29" s="2639" t="e">
        <f>F12-#REF!-#REF!</f>
        <v>#REF!</v>
      </c>
      <c r="G29" s="2639" t="e">
        <f>G12-#REF!-#REF!</f>
        <v>#REF!</v>
      </c>
      <c r="H29" s="2639" t="e">
        <f>H12-#REF!-#REF!</f>
        <v>#REF!</v>
      </c>
      <c r="I29" s="2639" t="e">
        <f>I12-#REF!-#REF!</f>
        <v>#REF!</v>
      </c>
      <c r="J29" s="2639" t="e">
        <f>J12-#REF!-#REF!</f>
        <v>#REF!</v>
      </c>
      <c r="K29" s="2639" t="e">
        <f>K12-#REF!-#REF!</f>
        <v>#REF!</v>
      </c>
      <c r="L29" s="2639" t="e">
        <f>L12-#REF!-#REF!</f>
        <v>#REF!</v>
      </c>
      <c r="M29" s="365"/>
    </row>
    <row r="30" spans="1:22">
      <c r="B30" s="1570" t="s">
        <v>620</v>
      </c>
      <c r="D30" s="2639" t="e">
        <f>#REF!-#REF!-#REF!-#REF!-#REF!-#REF!-#REF!-#REF!-#REF!-#REF!</f>
        <v>#REF!</v>
      </c>
      <c r="E30" s="2639" t="e">
        <f>#REF!-#REF!-#REF!-#REF!-#REF!-#REF!-#REF!-#REF!-#REF!-#REF!</f>
        <v>#REF!</v>
      </c>
      <c r="F30" s="2639" t="e">
        <f>#REF!-#REF!-#REF!-#REF!-#REF!-#REF!-#REF!-#REF!-#REF!-#REF!</f>
        <v>#REF!</v>
      </c>
      <c r="G30" s="2639" t="e">
        <f>#REF!-#REF!-#REF!-#REF!-#REF!-#REF!-#REF!-#REF!-#REF!-#REF!</f>
        <v>#REF!</v>
      </c>
      <c r="H30" s="2639" t="e">
        <f>#REF!-#REF!-#REF!-#REF!-#REF!-#REF!-#REF!-#REF!-#REF!-#REF!</f>
        <v>#REF!</v>
      </c>
      <c r="I30" s="2639" t="e">
        <f>#REF!-#REF!-#REF!-#REF!-#REF!-#REF!-#REF!-#REF!-#REF!-#REF!</f>
        <v>#REF!</v>
      </c>
      <c r="J30" s="2639" t="e">
        <f>#REF!-#REF!-#REF!-#REF!-#REF!-#REF!-#REF!-#REF!-#REF!-#REF!</f>
        <v>#REF!</v>
      </c>
      <c r="K30" s="2639" t="e">
        <f>#REF!-#REF!-#REF!-#REF!-#REF!-#REF!-#REF!-#REF!-#REF!-#REF!</f>
        <v>#REF!</v>
      </c>
      <c r="L30" s="2639" t="e">
        <f>#REF!-#REF!-#REF!-#REF!-#REF!-#REF!-#REF!-#REF!-#REF!-#REF!</f>
        <v>#REF!</v>
      </c>
      <c r="M30" s="365"/>
    </row>
    <row r="31" spans="1:22">
      <c r="B31" s="1570" t="s">
        <v>148</v>
      </c>
      <c r="D31" s="2642" t="e">
        <f>D19-#REF!-#REF!</f>
        <v>#REF!</v>
      </c>
      <c r="E31" s="2642" t="e">
        <f>E19-#REF!-#REF!</f>
        <v>#REF!</v>
      </c>
      <c r="F31" s="2642" t="e">
        <f>F19-#REF!-#REF!</f>
        <v>#REF!</v>
      </c>
      <c r="G31" s="2642" t="e">
        <f>G19-#REF!-#REF!</f>
        <v>#REF!</v>
      </c>
      <c r="H31" s="2642" t="e">
        <f>H19-#REF!-#REF!</f>
        <v>#REF!</v>
      </c>
      <c r="I31" s="2642" t="e">
        <f>I19-#REF!-#REF!</f>
        <v>#REF!</v>
      </c>
      <c r="J31" s="2642" t="e">
        <f>J19-#REF!-#REF!</f>
        <v>#REF!</v>
      </c>
      <c r="K31" s="2642" t="e">
        <f>K19-#REF!-#REF!</f>
        <v>#REF!</v>
      </c>
      <c r="L31" s="2642" t="e">
        <f>L19-#REF!-#REF!</f>
        <v>#REF!</v>
      </c>
      <c r="M31" s="365"/>
    </row>
    <row r="32" spans="1:22">
      <c r="B32" s="1570" t="s">
        <v>1171</v>
      </c>
      <c r="D32" s="2642"/>
      <c r="E32" s="2642"/>
      <c r="F32" s="2642"/>
      <c r="G32" s="2642"/>
      <c r="H32" s="2642"/>
      <c r="I32" s="2642"/>
      <c r="J32" s="2642"/>
      <c r="K32" s="2642"/>
      <c r="L32" s="2642"/>
      <c r="M32" s="365"/>
    </row>
    <row r="33" spans="2:12">
      <c r="B33" s="1570" t="s">
        <v>362</v>
      </c>
      <c r="D33" s="2059"/>
      <c r="E33" s="2059"/>
      <c r="F33" s="2059"/>
      <c r="G33" s="2059"/>
      <c r="H33" s="2059"/>
      <c r="I33" s="2059"/>
      <c r="J33" s="2059"/>
      <c r="K33" s="2059"/>
      <c r="L33" s="2059"/>
    </row>
    <row r="34" spans="2:12">
      <c r="B34" s="1570" t="s">
        <v>6863</v>
      </c>
      <c r="D34" s="2645" t="e">
        <f>#REF!-#REF!-#REF!</f>
        <v>#REF!</v>
      </c>
      <c r="E34" s="2645" t="e">
        <f>#REF!-#REF!-#REF!</f>
        <v>#REF!</v>
      </c>
      <c r="F34" s="2645" t="e">
        <f>#REF!-#REF!-#REF!</f>
        <v>#REF!</v>
      </c>
      <c r="G34" s="2645" t="e">
        <f>#REF!-#REF!-#REF!</f>
        <v>#REF!</v>
      </c>
      <c r="H34" s="2645" t="e">
        <f>#REF!-#REF!-#REF!</f>
        <v>#REF!</v>
      </c>
      <c r="I34" s="2645" t="e">
        <f>#REF!-#REF!-#REF!</f>
        <v>#REF!</v>
      </c>
      <c r="J34" s="2645" t="e">
        <f>#REF!-#REF!-#REF!</f>
        <v>#REF!</v>
      </c>
      <c r="K34" s="2645" t="e">
        <f>#REF!-#REF!-#REF!</f>
        <v>#REF!</v>
      </c>
      <c r="L34" s="2645" t="e">
        <f>#REF!-#REF!-#REF!</f>
        <v>#REF!</v>
      </c>
    </row>
    <row r="35" spans="2:12">
      <c r="H35" s="1585"/>
      <c r="I35" s="1585"/>
    </row>
    <row r="36" spans="2:12">
      <c r="H36" s="1585"/>
      <c r="I36" s="1585"/>
    </row>
    <row r="37" spans="2:12">
      <c r="B37" s="1570" t="s">
        <v>150</v>
      </c>
      <c r="H37" s="1585"/>
      <c r="I37" s="1585"/>
    </row>
    <row r="38" spans="2:12">
      <c r="B38" s="1570" t="s">
        <v>151</v>
      </c>
      <c r="H38" s="1585"/>
      <c r="I38" s="1585"/>
    </row>
    <row r="39" spans="2:12">
      <c r="B39" s="1570" t="s">
        <v>152</v>
      </c>
      <c r="H39" s="1585"/>
      <c r="I39" s="1585"/>
    </row>
  </sheetData>
  <hyperlinks>
    <hyperlink ref="A1" r:id="rId1" display="https://en.wikipedia.org/wiki/.tm" xr:uid="{DE0BE80C-83DB-48C0-B5B2-C7B9D87B6011}"/>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M6" activePane="bottomRight" state="frozen"/>
      <selection pane="topRight" activeCell="D1" sqref="D1"/>
      <selection pane="bottomLeft" activeCell="A6" sqref="A6"/>
      <selection pane="bottomRight" activeCell="C44" sqref="C44"/>
    </sheetView>
  </sheetViews>
  <sheetFormatPr defaultRowHeight="15"/>
  <cols>
    <col min="1" max="1" width="35.7109375" style="506" bestFit="1" customWidth="1"/>
    <col min="2" max="2" width="51.42578125" style="506" bestFit="1" customWidth="1"/>
    <col min="3" max="3" width="24.5703125" style="506" bestFit="1" customWidth="1"/>
    <col min="4" max="4" width="11.42578125" style="506" bestFit="1" customWidth="1"/>
    <col min="5" max="12" width="20.42578125" style="506" bestFit="1" customWidth="1"/>
    <col min="13" max="13" width="21.140625" style="506" bestFit="1" customWidth="1"/>
    <col min="14" max="14" width="29.42578125" style="506" bestFit="1" customWidth="1"/>
    <col min="15" max="15" width="21.140625" style="506" bestFit="1" customWidth="1"/>
    <col min="16" max="16" width="20.42578125" style="506" bestFit="1" customWidth="1"/>
    <col min="17" max="19" width="20.5703125" style="506" bestFit="1" customWidth="1"/>
    <col min="20" max="20" width="21.28515625" style="506" bestFit="1" customWidth="1"/>
    <col min="21" max="23" width="19.5703125" style="506" bestFit="1" customWidth="1"/>
    <col min="24" max="24" width="9" style="506" bestFit="1" customWidth="1"/>
  </cols>
  <sheetData>
    <row r="1" spans="1:66">
      <c r="A1" s="245" t="s">
        <v>545</v>
      </c>
      <c r="B1" s="82" t="s">
        <v>546</v>
      </c>
      <c r="C1" s="794"/>
      <c r="D1" s="795"/>
      <c r="E1" s="795"/>
      <c r="F1" s="795"/>
      <c r="G1" s="795"/>
      <c r="H1" s="795"/>
      <c r="I1" s="795"/>
      <c r="J1" s="795"/>
      <c r="K1" s="795"/>
      <c r="L1" s="795"/>
      <c r="M1" s="795"/>
      <c r="N1" s="795"/>
      <c r="O1" s="543"/>
      <c r="P1" s="543"/>
      <c r="Q1" s="543"/>
      <c r="R1" s="796"/>
      <c r="S1" s="543"/>
      <c r="T1" s="543"/>
      <c r="U1" s="543"/>
      <c r="V1" s="543"/>
      <c r="W1" s="543"/>
      <c r="X1" s="543"/>
    </row>
    <row r="2" spans="1:66">
      <c r="B2" s="30" t="s">
        <v>547</v>
      </c>
      <c r="C2" s="797"/>
      <c r="D2" s="543"/>
      <c r="E2" s="543"/>
      <c r="F2" s="543"/>
      <c r="G2" s="543"/>
      <c r="H2" s="543"/>
      <c r="I2" s="543"/>
      <c r="J2" s="543"/>
      <c r="K2" s="543"/>
      <c r="L2" s="543"/>
      <c r="M2" s="543"/>
      <c r="N2" s="543"/>
      <c r="O2" s="543"/>
      <c r="P2" s="543"/>
      <c r="Q2" s="543"/>
      <c r="R2" s="798"/>
      <c r="S2" s="799"/>
      <c r="T2" s="800"/>
      <c r="U2" s="543"/>
      <c r="V2" s="543"/>
      <c r="W2" s="543"/>
      <c r="X2" s="543"/>
    </row>
    <row r="3" spans="1:66">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row>
    <row r="4" spans="1:66">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row>
    <row r="5" spans="1:66">
      <c r="A5" s="506" t="s">
        <v>28</v>
      </c>
      <c r="B5" s="801" t="s">
        <v>29</v>
      </c>
      <c r="C5" s="801"/>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30</v>
      </c>
      <c r="R5" s="543" t="s">
        <v>30</v>
      </c>
      <c r="S5" s="543" t="s">
        <v>30</v>
      </c>
      <c r="T5" s="543" t="s">
        <v>368</v>
      </c>
      <c r="U5" s="543" t="s">
        <v>32</v>
      </c>
      <c r="V5" s="543" t="s">
        <v>32</v>
      </c>
      <c r="W5" s="543" t="s">
        <v>32</v>
      </c>
      <c r="X5" s="543" t="s">
        <v>32</v>
      </c>
    </row>
    <row r="6" spans="1:66" s="9" customFormat="1">
      <c r="A6" s="802" t="s">
        <v>33</v>
      </c>
      <c r="B6" s="822" t="s">
        <v>548</v>
      </c>
      <c r="C6" s="823" t="s">
        <v>35</v>
      </c>
      <c r="D6" s="823"/>
      <c r="E6" s="824">
        <v>200400000000</v>
      </c>
      <c r="F6" s="824">
        <v>256800000000</v>
      </c>
      <c r="G6" s="824">
        <v>288900000000</v>
      </c>
      <c r="H6" s="824">
        <v>293600000000</v>
      </c>
      <c r="I6" s="824">
        <v>351900000000</v>
      </c>
      <c r="J6" s="825">
        <v>477200000000</v>
      </c>
      <c r="K6" s="824">
        <v>632500000000</v>
      </c>
      <c r="L6" s="824">
        <v>730800000000</v>
      </c>
      <c r="M6" s="824">
        <v>655600000000</v>
      </c>
      <c r="N6" s="824">
        <v>734300000000</v>
      </c>
      <c r="O6" s="824">
        <v>834500000000</v>
      </c>
      <c r="P6" s="824">
        <v>892600000000</v>
      </c>
      <c r="Q6" s="830">
        <v>1011500000000</v>
      </c>
      <c r="R6" s="830">
        <v>1064599999999.9999</v>
      </c>
      <c r="S6" s="830">
        <v>1084099999999.9999</v>
      </c>
      <c r="T6" s="830">
        <v>1085200000000</v>
      </c>
      <c r="U6" s="831">
        <v>1199600000000</v>
      </c>
      <c r="V6" s="831">
        <v>1276000000000</v>
      </c>
      <c r="W6" s="831">
        <v>1404300000000</v>
      </c>
      <c r="X6" s="82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c r="BE6" s="365"/>
      <c r="BF6" s="365"/>
      <c r="BG6" s="365"/>
      <c r="BH6" s="365"/>
      <c r="BI6" s="365"/>
      <c r="BJ6" s="365"/>
      <c r="BK6" s="365"/>
      <c r="BL6" s="365"/>
      <c r="BM6" s="365"/>
      <c r="BN6" s="365"/>
    </row>
    <row r="7" spans="1:66">
      <c r="A7" s="804" t="s">
        <v>370</v>
      </c>
      <c r="B7" s="805" t="s">
        <v>549</v>
      </c>
      <c r="C7" s="806" t="s">
        <v>38</v>
      </c>
      <c r="D7" s="543"/>
      <c r="E7" s="803">
        <v>182000000000</v>
      </c>
      <c r="F7" s="803">
        <v>209300000000</v>
      </c>
      <c r="G7" s="803">
        <v>236600000000</v>
      </c>
      <c r="H7" s="803">
        <v>283800000000</v>
      </c>
      <c r="I7" s="803">
        <v>342100000000</v>
      </c>
      <c r="J7" s="803">
        <v>465100000000</v>
      </c>
      <c r="K7" s="803">
        <v>609100000000</v>
      </c>
      <c r="L7" s="803">
        <v>715600000000</v>
      </c>
      <c r="M7" s="803">
        <v>634400000000</v>
      </c>
      <c r="N7" s="803">
        <v>706100000000</v>
      </c>
      <c r="O7" s="803">
        <v>776600000000</v>
      </c>
      <c r="P7" s="803">
        <v>875700000000</v>
      </c>
      <c r="Q7" s="832">
        <v>1000700000000</v>
      </c>
      <c r="R7" s="832">
        <v>1050099999999.9999</v>
      </c>
      <c r="S7" s="832">
        <v>1056300000000</v>
      </c>
      <c r="T7" s="832">
        <v>1056900000000.0001</v>
      </c>
      <c r="U7" s="832">
        <v>1171900000000</v>
      </c>
      <c r="V7" s="832">
        <v>1252000000000</v>
      </c>
      <c r="W7" s="832">
        <v>1390800000000</v>
      </c>
      <c r="X7" s="543"/>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c r="BE7" s="365"/>
      <c r="BF7" s="365"/>
      <c r="BG7" s="365"/>
      <c r="BH7" s="365"/>
      <c r="BI7" s="365"/>
      <c r="BJ7" s="365"/>
      <c r="BK7" s="365"/>
      <c r="BL7" s="365"/>
      <c r="BM7" s="365"/>
      <c r="BN7" s="365"/>
    </row>
    <row r="8" spans="1:66">
      <c r="A8" s="506" t="s">
        <v>39</v>
      </c>
      <c r="B8" s="807" t="s">
        <v>550</v>
      </c>
      <c r="C8" s="805" t="s">
        <v>41</v>
      </c>
      <c r="D8" s="543"/>
      <c r="E8" s="803">
        <v>168500000000</v>
      </c>
      <c r="F8" s="803">
        <v>198600000000</v>
      </c>
      <c r="G8" s="803">
        <v>227400000000</v>
      </c>
      <c r="H8" s="803">
        <v>266700000000</v>
      </c>
      <c r="I8" s="803">
        <v>321500000000</v>
      </c>
      <c r="J8" s="803">
        <v>383800000000</v>
      </c>
      <c r="K8" s="803">
        <v>504300000000</v>
      </c>
      <c r="L8" s="803">
        <v>597900000000</v>
      </c>
      <c r="M8" s="803">
        <v>505900000000</v>
      </c>
      <c r="N8" s="803">
        <v>568900000000</v>
      </c>
      <c r="O8" s="803">
        <v>629600000000</v>
      </c>
      <c r="P8" s="803">
        <v>723400000000</v>
      </c>
      <c r="Q8" s="832">
        <v>956600000000</v>
      </c>
      <c r="R8" s="832">
        <v>1018400000000</v>
      </c>
      <c r="S8" s="832">
        <v>1011300000000</v>
      </c>
      <c r="T8" s="832">
        <v>1016200000000</v>
      </c>
      <c r="U8" s="832">
        <v>1110200000000</v>
      </c>
      <c r="V8" s="832">
        <v>1185200000000</v>
      </c>
      <c r="W8" s="832">
        <v>1306800000000</v>
      </c>
      <c r="X8" s="54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c r="BE8" s="365"/>
      <c r="BF8" s="365"/>
      <c r="BG8" s="365"/>
      <c r="BH8" s="365"/>
      <c r="BI8" s="365"/>
      <c r="BJ8" s="365"/>
      <c r="BK8" s="365"/>
      <c r="BL8" s="365"/>
      <c r="BM8" s="365"/>
      <c r="BN8" s="365"/>
    </row>
    <row r="9" spans="1:66">
      <c r="A9" s="808" t="s">
        <v>551</v>
      </c>
      <c r="B9" s="808" t="s">
        <v>162</v>
      </c>
      <c r="C9" s="795" t="s">
        <v>552</v>
      </c>
      <c r="D9" s="543"/>
      <c r="E9" s="809"/>
      <c r="F9" s="809"/>
      <c r="G9" s="809"/>
      <c r="H9" s="803">
        <v>117900000000</v>
      </c>
      <c r="I9" s="803">
        <v>146800000000</v>
      </c>
      <c r="J9" s="803">
        <v>165900000000</v>
      </c>
      <c r="K9" s="803">
        <v>248000000000</v>
      </c>
      <c r="L9" s="803">
        <v>296300000000</v>
      </c>
      <c r="M9" s="803">
        <v>239200000000</v>
      </c>
      <c r="N9" s="803">
        <v>278100000000</v>
      </c>
      <c r="O9" s="803">
        <v>301500000000</v>
      </c>
      <c r="P9" s="803">
        <v>340400000000</v>
      </c>
      <c r="Q9" s="832">
        <v>371700000000</v>
      </c>
      <c r="R9" s="832">
        <v>401000000000</v>
      </c>
      <c r="S9" s="832">
        <v>380100000000</v>
      </c>
      <c r="T9" s="832">
        <v>342400000000</v>
      </c>
      <c r="U9" s="832">
        <v>383400000000</v>
      </c>
      <c r="V9" s="832">
        <v>413400000000</v>
      </c>
      <c r="W9" s="832">
        <v>482600000000</v>
      </c>
      <c r="X9" s="54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c r="BE9" s="365"/>
      <c r="BF9" s="365"/>
      <c r="BG9" s="365"/>
      <c r="BH9" s="365"/>
      <c r="BI9" s="365"/>
      <c r="BJ9" s="365"/>
      <c r="BK9" s="365"/>
      <c r="BL9" s="365"/>
      <c r="BM9" s="365"/>
      <c r="BN9" s="365"/>
    </row>
    <row r="10" spans="1:66">
      <c r="A10" s="808" t="s">
        <v>553</v>
      </c>
      <c r="B10" s="808" t="s">
        <v>553</v>
      </c>
      <c r="C10" s="795" t="s">
        <v>552</v>
      </c>
      <c r="D10" s="543"/>
      <c r="E10" s="809"/>
      <c r="F10" s="809"/>
      <c r="G10" s="809"/>
      <c r="H10" s="803">
        <v>40700000000</v>
      </c>
      <c r="I10" s="803">
        <v>38600000000</v>
      </c>
      <c r="J10" s="803"/>
      <c r="K10" s="803"/>
      <c r="L10" s="803"/>
      <c r="M10" s="803"/>
      <c r="N10" s="803"/>
      <c r="O10" s="803"/>
      <c r="P10" s="803"/>
      <c r="Q10" s="832"/>
      <c r="R10" s="832"/>
      <c r="S10" s="832"/>
      <c r="T10" s="832"/>
      <c r="U10" s="832"/>
      <c r="V10" s="832"/>
      <c r="W10" s="832"/>
      <c r="X10" s="54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c r="BE10" s="365"/>
      <c r="BF10" s="365"/>
      <c r="BG10" s="365"/>
      <c r="BH10" s="365"/>
      <c r="BI10" s="365"/>
      <c r="BJ10" s="365"/>
      <c r="BK10" s="365"/>
      <c r="BL10" s="365"/>
      <c r="BM10" s="365"/>
      <c r="BN10" s="365"/>
    </row>
    <row r="11" spans="1:66">
      <c r="A11" s="808" t="s">
        <v>554</v>
      </c>
      <c r="B11" s="808" t="s">
        <v>555</v>
      </c>
      <c r="C11" s="795" t="s">
        <v>552</v>
      </c>
      <c r="D11" s="543"/>
      <c r="E11" s="809"/>
      <c r="F11" s="809"/>
      <c r="G11" s="809"/>
      <c r="H11" s="803">
        <v>50900000000</v>
      </c>
      <c r="I11" s="803">
        <v>66200000000</v>
      </c>
      <c r="J11" s="803">
        <v>88100000000</v>
      </c>
      <c r="K11" s="803">
        <v>103400000000</v>
      </c>
      <c r="L11" s="803">
        <v>113300000000</v>
      </c>
      <c r="M11" s="803">
        <v>104900000000</v>
      </c>
      <c r="N11" s="803">
        <v>99700000000</v>
      </c>
      <c r="O11" s="803">
        <v>143800000000</v>
      </c>
      <c r="P11" s="803">
        <v>164500000000</v>
      </c>
      <c r="Q11" s="832">
        <v>167600000000</v>
      </c>
      <c r="R11" s="832">
        <v>120900000000</v>
      </c>
      <c r="S11" s="832">
        <v>106800000000</v>
      </c>
      <c r="T11" s="832">
        <v>130400000000</v>
      </c>
      <c r="U11" s="832">
        <v>133300000000.00002</v>
      </c>
      <c r="V11" s="832">
        <v>136300000000.00002</v>
      </c>
      <c r="W11" s="832">
        <v>146000000000</v>
      </c>
      <c r="X11" s="54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c r="BE11" s="365"/>
      <c r="BF11" s="365"/>
      <c r="BG11" s="365"/>
      <c r="BH11" s="365"/>
      <c r="BI11" s="365"/>
      <c r="BJ11" s="365"/>
      <c r="BK11" s="365"/>
      <c r="BL11" s="365"/>
      <c r="BM11" s="365"/>
      <c r="BN11" s="365"/>
    </row>
    <row r="12" spans="1:66">
      <c r="A12" s="808" t="s">
        <v>170</v>
      </c>
      <c r="B12" s="808" t="s">
        <v>556</v>
      </c>
      <c r="C12" s="795" t="s">
        <v>552</v>
      </c>
      <c r="D12" s="543"/>
      <c r="E12" s="809"/>
      <c r="F12" s="809"/>
      <c r="G12" s="809"/>
      <c r="H12" s="803">
        <v>20400000000</v>
      </c>
      <c r="I12" s="803">
        <v>26600000000</v>
      </c>
      <c r="J12" s="803">
        <v>35500000000</v>
      </c>
      <c r="K12" s="803">
        <v>46800000000</v>
      </c>
      <c r="L12" s="803">
        <v>53700000000</v>
      </c>
      <c r="M12" s="803">
        <v>60200000000</v>
      </c>
      <c r="N12" s="803">
        <v>73900000000</v>
      </c>
      <c r="O12" s="803">
        <v>81200000000</v>
      </c>
      <c r="P12" s="803">
        <v>91700000000</v>
      </c>
      <c r="Q12" s="832">
        <v>256899999999.99997</v>
      </c>
      <c r="R12" s="832">
        <v>301100000000</v>
      </c>
      <c r="S12" s="832">
        <v>311700000000</v>
      </c>
      <c r="T12" s="832">
        <v>327500000000</v>
      </c>
      <c r="U12" s="832">
        <v>342100000000</v>
      </c>
      <c r="V12" s="832">
        <v>370800000000</v>
      </c>
      <c r="W12" s="832">
        <v>397200000000</v>
      </c>
      <c r="X12" s="54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c r="BE12" s="365"/>
      <c r="BF12" s="365"/>
      <c r="BG12" s="365"/>
      <c r="BH12" s="365"/>
      <c r="BI12" s="365"/>
      <c r="BJ12" s="365"/>
      <c r="BK12" s="365"/>
      <c r="BL12" s="365"/>
      <c r="BM12" s="365"/>
      <c r="BN12" s="365"/>
    </row>
    <row r="13" spans="1:66">
      <c r="A13" s="808" t="s">
        <v>174</v>
      </c>
      <c r="B13" s="808" t="s">
        <v>557</v>
      </c>
      <c r="C13" s="795" t="s">
        <v>552</v>
      </c>
      <c r="D13" s="543"/>
      <c r="E13" s="809"/>
      <c r="F13" s="809"/>
      <c r="G13" s="809"/>
      <c r="H13" s="803">
        <v>12500000000</v>
      </c>
      <c r="I13" s="803">
        <v>16500000000</v>
      </c>
      <c r="J13" s="803">
        <v>18300000000</v>
      </c>
      <c r="K13" s="803">
        <v>24000000000</v>
      </c>
      <c r="L13" s="803">
        <v>37300000000</v>
      </c>
      <c r="M13" s="803">
        <v>25100000000</v>
      </c>
      <c r="N13" s="803">
        <v>29400000000</v>
      </c>
      <c r="O13" s="803">
        <v>34700000000</v>
      </c>
      <c r="P13" s="803">
        <v>41300000000</v>
      </c>
      <c r="Q13" s="832">
        <v>44300000000</v>
      </c>
      <c r="R13" s="832">
        <v>48400000000</v>
      </c>
      <c r="S13" s="832">
        <v>61500000000</v>
      </c>
      <c r="T13" s="832">
        <v>55400000000</v>
      </c>
      <c r="U13" s="832">
        <v>66300000000</v>
      </c>
      <c r="V13" s="832">
        <v>70500000000</v>
      </c>
      <c r="W13" s="832">
        <v>73900000000</v>
      </c>
      <c r="X13" s="54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c r="BE13" s="365"/>
      <c r="BF13" s="365"/>
      <c r="BG13" s="365"/>
      <c r="BH13" s="365"/>
      <c r="BI13" s="365"/>
      <c r="BJ13" s="365"/>
      <c r="BK13" s="365"/>
      <c r="BL13" s="365"/>
      <c r="BM13" s="365"/>
      <c r="BN13" s="365"/>
    </row>
    <row r="14" spans="1:66">
      <c r="A14" s="808" t="s">
        <v>50</v>
      </c>
      <c r="B14" s="808" t="s">
        <v>50</v>
      </c>
      <c r="C14" s="795" t="s">
        <v>552</v>
      </c>
      <c r="D14" s="543"/>
      <c r="E14" s="809"/>
      <c r="F14" s="809"/>
      <c r="G14" s="809"/>
      <c r="H14" s="803">
        <v>24300000000</v>
      </c>
      <c r="I14" s="803">
        <v>26800000000</v>
      </c>
      <c r="J14" s="803">
        <v>76100000000</v>
      </c>
      <c r="K14" s="803">
        <v>82100000000</v>
      </c>
      <c r="L14" s="803">
        <v>97300000000</v>
      </c>
      <c r="M14" s="803">
        <v>76500000000</v>
      </c>
      <c r="N14" s="803">
        <v>87800000000</v>
      </c>
      <c r="O14" s="803">
        <v>68400000000.000008</v>
      </c>
      <c r="P14" s="803">
        <v>85600000000</v>
      </c>
      <c r="Q14" s="832">
        <v>116100000000</v>
      </c>
      <c r="R14" s="832">
        <v>147000000000</v>
      </c>
      <c r="S14" s="832">
        <v>151200000000</v>
      </c>
      <c r="T14" s="832">
        <v>160500000000</v>
      </c>
      <c r="U14" s="832">
        <v>185100000000</v>
      </c>
      <c r="V14" s="832">
        <v>194300000000</v>
      </c>
      <c r="W14" s="832">
        <v>207100000000</v>
      </c>
      <c r="X14" s="54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c r="BE14" s="365"/>
      <c r="BF14" s="365"/>
      <c r="BG14" s="365"/>
      <c r="BH14" s="365"/>
      <c r="BI14" s="365"/>
      <c r="BJ14" s="365"/>
      <c r="BK14" s="365"/>
      <c r="BL14" s="365"/>
      <c r="BM14" s="365"/>
      <c r="BN14" s="365"/>
    </row>
    <row r="15" spans="1:66">
      <c r="A15" s="807" t="s">
        <v>558</v>
      </c>
      <c r="B15" s="807" t="s">
        <v>559</v>
      </c>
      <c r="C15" s="805" t="s">
        <v>41</v>
      </c>
      <c r="D15" s="543"/>
      <c r="E15" s="809"/>
      <c r="F15" s="809"/>
      <c r="G15" s="809"/>
      <c r="H15" s="809"/>
      <c r="I15" s="809"/>
      <c r="J15" s="803">
        <v>73300000000</v>
      </c>
      <c r="K15" s="803">
        <v>85100000000</v>
      </c>
      <c r="L15" s="803">
        <v>104100000000</v>
      </c>
      <c r="M15" s="803">
        <v>102900000000</v>
      </c>
      <c r="N15" s="803">
        <v>105300000000</v>
      </c>
      <c r="O15" s="803">
        <v>123400000000</v>
      </c>
      <c r="P15" s="803">
        <v>129100000000</v>
      </c>
      <c r="Q15" s="832">
        <v>17900000000</v>
      </c>
      <c r="R15" s="832">
        <v>4800000000</v>
      </c>
      <c r="S15" s="832">
        <v>10500000000</v>
      </c>
      <c r="T15" s="832">
        <v>13400000000</v>
      </c>
      <c r="U15" s="832">
        <v>14300000000</v>
      </c>
      <c r="V15" s="832">
        <v>27800000000</v>
      </c>
      <c r="W15" s="832">
        <v>42300000000</v>
      </c>
      <c r="X15" s="54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c r="BE15" s="365"/>
      <c r="BF15" s="365"/>
      <c r="BG15" s="365"/>
      <c r="BH15" s="365"/>
      <c r="BI15" s="365"/>
      <c r="BJ15" s="365"/>
      <c r="BK15" s="365"/>
      <c r="BL15" s="365"/>
      <c r="BM15" s="365"/>
      <c r="BN15" s="365"/>
    </row>
    <row r="16" spans="1:66">
      <c r="A16" s="807" t="s">
        <v>560</v>
      </c>
      <c r="B16" s="807" t="s">
        <v>561</v>
      </c>
      <c r="C16" s="805" t="s">
        <v>41</v>
      </c>
      <c r="D16" s="543"/>
      <c r="E16" s="803">
        <v>11900000000</v>
      </c>
      <c r="F16" s="803">
        <v>8900000000</v>
      </c>
      <c r="G16" s="803">
        <v>5900000000</v>
      </c>
      <c r="H16" s="803">
        <v>8000000000</v>
      </c>
      <c r="I16" s="803">
        <v>8199999999.999999</v>
      </c>
      <c r="J16" s="803">
        <v>7900000000</v>
      </c>
      <c r="K16" s="803">
        <v>19600000000</v>
      </c>
      <c r="L16" s="803">
        <v>13600000000</v>
      </c>
      <c r="M16" s="803">
        <v>25600000000</v>
      </c>
      <c r="N16" s="803">
        <v>31800000000</v>
      </c>
      <c r="O16" s="803">
        <v>23600000000</v>
      </c>
      <c r="P16" s="803">
        <v>23200000000</v>
      </c>
      <c r="Q16" s="832">
        <v>26200000000</v>
      </c>
      <c r="R16" s="832">
        <v>26900000000</v>
      </c>
      <c r="S16" s="832">
        <v>34400000000</v>
      </c>
      <c r="T16" s="832">
        <v>27300000000</v>
      </c>
      <c r="U16" s="832">
        <v>47400000000</v>
      </c>
      <c r="V16" s="832">
        <v>39000000000</v>
      </c>
      <c r="W16" s="832">
        <v>41700000000</v>
      </c>
      <c r="X16" s="54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c r="BE16" s="365"/>
      <c r="BF16" s="365"/>
      <c r="BG16" s="365"/>
      <c r="BH16" s="365"/>
      <c r="BI16" s="365"/>
      <c r="BJ16" s="365"/>
      <c r="BK16" s="365"/>
      <c r="BL16" s="365"/>
      <c r="BM16" s="365"/>
      <c r="BN16" s="365"/>
    </row>
    <row r="17" spans="1:66">
      <c r="A17" s="807" t="s">
        <v>468</v>
      </c>
      <c r="B17" s="807" t="s">
        <v>562</v>
      </c>
      <c r="C17" s="805" t="s">
        <v>41</v>
      </c>
      <c r="D17" s="543"/>
      <c r="E17" s="803">
        <v>1600000000</v>
      </c>
      <c r="F17" s="803">
        <v>1800000000</v>
      </c>
      <c r="G17" s="803">
        <v>3200000000</v>
      </c>
      <c r="H17" s="803">
        <v>9100000000</v>
      </c>
      <c r="I17" s="803">
        <v>12400000000</v>
      </c>
      <c r="J17" s="803"/>
      <c r="K17" s="803"/>
      <c r="L17" s="803"/>
      <c r="M17" s="803"/>
      <c r="N17" s="803"/>
      <c r="O17" s="803"/>
      <c r="P17" s="803"/>
      <c r="Q17" s="832"/>
      <c r="R17" s="832"/>
      <c r="S17" s="832"/>
      <c r="T17" s="832"/>
      <c r="U17" s="832"/>
      <c r="V17" s="832"/>
      <c r="W17" s="832"/>
      <c r="X17" s="543"/>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c r="BE17" s="365"/>
      <c r="BF17" s="365"/>
      <c r="BG17" s="365"/>
      <c r="BH17" s="365"/>
      <c r="BI17" s="365"/>
      <c r="BJ17" s="365"/>
      <c r="BK17" s="365"/>
      <c r="BL17" s="365"/>
      <c r="BM17" s="365"/>
      <c r="BN17" s="365"/>
    </row>
    <row r="18" spans="1:66" s="9" customFormat="1">
      <c r="A18" s="822" t="s">
        <v>53</v>
      </c>
      <c r="B18" s="822" t="s">
        <v>53</v>
      </c>
      <c r="C18" s="826" t="s">
        <v>38</v>
      </c>
      <c r="D18" s="823"/>
      <c r="E18" s="824">
        <v>18500000000</v>
      </c>
      <c r="F18" s="824">
        <v>47500000000</v>
      </c>
      <c r="G18" s="824">
        <v>52300000000</v>
      </c>
      <c r="H18" s="824">
        <v>9700000000</v>
      </c>
      <c r="I18" s="824">
        <v>9800000000</v>
      </c>
      <c r="J18" s="824">
        <v>12100000000</v>
      </c>
      <c r="K18" s="824">
        <v>23500000000</v>
      </c>
      <c r="L18" s="824">
        <v>15100000000</v>
      </c>
      <c r="M18" s="824">
        <v>21200000000</v>
      </c>
      <c r="N18" s="824">
        <v>28200000000</v>
      </c>
      <c r="O18" s="824">
        <v>57900000000</v>
      </c>
      <c r="P18" s="824">
        <v>16899999999.999998</v>
      </c>
      <c r="Q18" s="830">
        <v>10800000000</v>
      </c>
      <c r="R18" s="830">
        <v>14500000000</v>
      </c>
      <c r="S18" s="830">
        <v>27800000000</v>
      </c>
      <c r="T18" s="830">
        <v>28300000000</v>
      </c>
      <c r="U18" s="831">
        <v>27700000000</v>
      </c>
      <c r="V18" s="831">
        <v>24000000000</v>
      </c>
      <c r="W18" s="831">
        <v>13500000000</v>
      </c>
      <c r="X18" s="823"/>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c r="BE18" s="365"/>
      <c r="BF18" s="365"/>
      <c r="BG18" s="365"/>
      <c r="BH18" s="365"/>
      <c r="BI18" s="365"/>
      <c r="BJ18" s="365"/>
      <c r="BK18" s="365"/>
      <c r="BL18" s="365"/>
      <c r="BM18" s="365"/>
      <c r="BN18" s="365"/>
    </row>
    <row r="19" spans="1:66">
      <c r="A19" s="807" t="s">
        <v>262</v>
      </c>
      <c r="B19" s="807" t="s">
        <v>563</v>
      </c>
      <c r="C19" s="806" t="s">
        <v>57</v>
      </c>
      <c r="D19" s="543"/>
      <c r="E19" s="809"/>
      <c r="F19" s="809"/>
      <c r="G19" s="809"/>
      <c r="H19" s="809"/>
      <c r="I19" s="809"/>
      <c r="J19" s="809"/>
      <c r="K19" s="809"/>
      <c r="L19" s="809"/>
      <c r="M19" s="810">
        <v>10300000000</v>
      </c>
      <c r="N19" s="803">
        <v>5400000000</v>
      </c>
      <c r="O19" s="803">
        <v>28400000000</v>
      </c>
      <c r="P19" s="803">
        <v>10500000000</v>
      </c>
      <c r="Q19" s="832"/>
      <c r="R19" s="832"/>
      <c r="S19" s="832"/>
      <c r="T19" s="832"/>
      <c r="U19" s="832"/>
      <c r="V19" s="832"/>
      <c r="W19" s="832"/>
      <c r="X19" s="543"/>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c r="BE19" s="365"/>
      <c r="BF19" s="365"/>
      <c r="BG19" s="365"/>
      <c r="BH19" s="365"/>
      <c r="BI19" s="365"/>
      <c r="BJ19" s="365"/>
      <c r="BK19" s="365"/>
      <c r="BL19" s="365"/>
      <c r="BM19" s="365"/>
      <c r="BN19" s="365"/>
    </row>
    <row r="20" spans="1:66">
      <c r="A20" s="807" t="s">
        <v>564</v>
      </c>
      <c r="B20" s="807" t="s">
        <v>565</v>
      </c>
      <c r="C20" s="806" t="s">
        <v>57</v>
      </c>
      <c r="D20" s="543"/>
      <c r="E20" s="809"/>
      <c r="F20" s="809"/>
      <c r="G20" s="809"/>
      <c r="H20" s="809"/>
      <c r="I20" s="809"/>
      <c r="J20" s="809"/>
      <c r="K20" s="809"/>
      <c r="L20" s="809"/>
      <c r="M20" s="810">
        <v>9000000000</v>
      </c>
      <c r="N20" s="803">
        <v>22800000000</v>
      </c>
      <c r="O20" s="803">
        <v>29500000000</v>
      </c>
      <c r="P20" s="803">
        <v>6400000000</v>
      </c>
      <c r="Q20" s="832"/>
      <c r="R20" s="832"/>
      <c r="S20" s="832"/>
      <c r="T20" s="832"/>
      <c r="U20" s="832"/>
      <c r="V20" s="832"/>
      <c r="W20" s="832"/>
      <c r="X20" s="543"/>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c r="BE20" s="365"/>
      <c r="BF20" s="365"/>
      <c r="BG20" s="365"/>
      <c r="BH20" s="365"/>
      <c r="BI20" s="365"/>
      <c r="BJ20" s="365"/>
      <c r="BK20" s="365"/>
      <c r="BL20" s="365"/>
      <c r="BM20" s="365"/>
      <c r="BN20" s="365"/>
    </row>
    <row r="21" spans="1:66">
      <c r="A21" s="807" t="s">
        <v>566</v>
      </c>
      <c r="B21" s="807" t="s">
        <v>566</v>
      </c>
      <c r="C21" s="806" t="s">
        <v>57</v>
      </c>
      <c r="D21" s="543"/>
      <c r="E21" s="809"/>
      <c r="F21" s="809"/>
      <c r="G21" s="809"/>
      <c r="H21" s="809"/>
      <c r="I21" s="809"/>
      <c r="J21" s="809"/>
      <c r="K21" s="809"/>
      <c r="L21" s="809"/>
      <c r="M21" s="810">
        <f>M18-M19-M20</f>
        <v>1900000000</v>
      </c>
      <c r="N21" s="803"/>
      <c r="O21" s="803"/>
      <c r="P21" s="803"/>
      <c r="Q21" s="832"/>
      <c r="R21" s="832"/>
      <c r="S21" s="832"/>
      <c r="T21" s="832"/>
      <c r="U21" s="832"/>
      <c r="V21" s="832"/>
      <c r="W21" s="832"/>
      <c r="X21" s="543"/>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c r="BE21" s="365"/>
      <c r="BF21" s="365"/>
      <c r="BG21" s="365"/>
      <c r="BH21" s="365"/>
      <c r="BI21" s="365"/>
      <c r="BJ21" s="365"/>
      <c r="BK21" s="365"/>
      <c r="BL21" s="365"/>
      <c r="BM21" s="365"/>
      <c r="BN21" s="365"/>
    </row>
    <row r="22" spans="1:66" s="9" customFormat="1">
      <c r="A22" s="827" t="s">
        <v>71</v>
      </c>
      <c r="B22" s="822" t="s">
        <v>567</v>
      </c>
      <c r="C22" s="823" t="s">
        <v>35</v>
      </c>
      <c r="D22" s="828"/>
      <c r="E22" s="829">
        <f>E24+E39+E44</f>
        <v>245500000000</v>
      </c>
      <c r="F22" s="829">
        <f t="shared" ref="F22:P22" si="0">F24+F39+F44</f>
        <v>262300000000</v>
      </c>
      <c r="G22" s="829">
        <f t="shared" si="0"/>
        <v>306800000000</v>
      </c>
      <c r="H22" s="829">
        <f t="shared" si="0"/>
        <v>326800000000</v>
      </c>
      <c r="I22" s="829">
        <f t="shared" si="0"/>
        <v>409800000000</v>
      </c>
      <c r="J22" s="829">
        <f t="shared" si="0"/>
        <v>531300000000</v>
      </c>
      <c r="K22" s="829">
        <f t="shared" si="0"/>
        <v>706100000000</v>
      </c>
      <c r="L22" s="829">
        <f t="shared" si="0"/>
        <v>793500000000</v>
      </c>
      <c r="M22" s="829">
        <f t="shared" si="0"/>
        <v>897100000000</v>
      </c>
      <c r="N22" s="829">
        <f t="shared" si="0"/>
        <v>906600000000</v>
      </c>
      <c r="O22" s="829">
        <f t="shared" si="0"/>
        <v>943100000000</v>
      </c>
      <c r="P22" s="829">
        <f t="shared" si="0"/>
        <v>956300000000</v>
      </c>
      <c r="Q22" s="833">
        <f>Q24+Q39+Q44</f>
        <v>1084100000000</v>
      </c>
      <c r="R22" s="833">
        <f t="shared" ref="R22:W22" si="1">R24+R39+R44</f>
        <v>1158400000000</v>
      </c>
      <c r="S22" s="833">
        <f t="shared" si="1"/>
        <v>1328000000000</v>
      </c>
      <c r="T22" s="833">
        <f t="shared" si="1"/>
        <v>1370600000000</v>
      </c>
      <c r="U22" s="833">
        <f t="shared" si="1"/>
        <v>1374700000000</v>
      </c>
      <c r="V22" s="833">
        <f t="shared" si="1"/>
        <v>1430000000000</v>
      </c>
      <c r="W22" s="833">
        <f t="shared" si="1"/>
        <v>1507900000000</v>
      </c>
      <c r="X22" s="828"/>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c r="BE22" s="365"/>
      <c r="BF22" s="365"/>
      <c r="BG22" s="365"/>
      <c r="BH22" s="365"/>
      <c r="BI22" s="365"/>
      <c r="BJ22" s="365"/>
      <c r="BK22" s="365"/>
      <c r="BL22" s="365"/>
      <c r="BM22" s="365"/>
      <c r="BN22" s="365"/>
    </row>
    <row r="23" spans="1:66">
      <c r="A23" s="506" t="s">
        <v>76</v>
      </c>
      <c r="B23" s="805" t="s">
        <v>567</v>
      </c>
      <c r="E23" s="803">
        <v>245400000000</v>
      </c>
      <c r="F23" s="803">
        <v>262300000000</v>
      </c>
      <c r="G23" s="803">
        <v>306700000000</v>
      </c>
      <c r="H23" s="803">
        <v>326800000000</v>
      </c>
      <c r="I23" s="803">
        <v>409800000000</v>
      </c>
      <c r="J23" s="811">
        <v>531200000000.00006</v>
      </c>
      <c r="K23" s="809">
        <v>706100000000</v>
      </c>
      <c r="L23" s="803">
        <v>793400000000</v>
      </c>
      <c r="M23" s="803">
        <v>897100000000</v>
      </c>
      <c r="N23" s="803">
        <v>906600000000</v>
      </c>
      <c r="O23" s="803">
        <v>943100000000</v>
      </c>
      <c r="P23" s="803">
        <v>956300000000</v>
      </c>
      <c r="Q23" s="832">
        <v>1084099999999.9999</v>
      </c>
      <c r="R23" s="832">
        <v>1158400000000</v>
      </c>
      <c r="S23" s="832">
        <v>1328000000000</v>
      </c>
      <c r="T23" s="832">
        <v>1370600000000</v>
      </c>
      <c r="U23" s="834">
        <v>1374700000000</v>
      </c>
      <c r="V23" s="834">
        <v>1429800000000</v>
      </c>
      <c r="W23" s="834">
        <v>1508000000000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c r="BE23" s="365"/>
      <c r="BF23" s="365"/>
      <c r="BG23" s="365"/>
      <c r="BH23" s="365"/>
      <c r="BI23" s="365"/>
      <c r="BJ23" s="365"/>
      <c r="BK23" s="365"/>
      <c r="BL23" s="365"/>
      <c r="BM23" s="365"/>
      <c r="BN23" s="365"/>
    </row>
    <row r="24" spans="1:66">
      <c r="A24" s="812" t="s">
        <v>73</v>
      </c>
      <c r="B24" s="805" t="s">
        <v>568</v>
      </c>
      <c r="C24" s="805" t="s">
        <v>201</v>
      </c>
      <c r="D24" s="543"/>
      <c r="E24" s="803">
        <v>185200000000</v>
      </c>
      <c r="F24" s="803">
        <v>188800000000</v>
      </c>
      <c r="G24" s="803">
        <v>208300000000</v>
      </c>
      <c r="H24" s="803">
        <v>253100000000</v>
      </c>
      <c r="I24" s="803">
        <v>304100000000</v>
      </c>
      <c r="J24" s="811">
        <v>442900000000</v>
      </c>
      <c r="K24" s="809">
        <v>541600000000</v>
      </c>
      <c r="L24" s="803">
        <v>652000000000</v>
      </c>
      <c r="M24" s="803">
        <v>712000000000</v>
      </c>
      <c r="N24" s="803">
        <v>727900000000</v>
      </c>
      <c r="O24" s="803">
        <v>788700000000</v>
      </c>
      <c r="P24" s="803">
        <v>852400000000</v>
      </c>
      <c r="Q24" s="832">
        <v>980600000000</v>
      </c>
      <c r="R24" s="832">
        <v>1048700000000</v>
      </c>
      <c r="S24" s="832">
        <v>1179600000000</v>
      </c>
      <c r="T24" s="832">
        <v>1209400000000</v>
      </c>
      <c r="U24" s="832">
        <v>1233700000000</v>
      </c>
      <c r="V24" s="832">
        <f>V25+V26+V27+V28+V29+V31+V35+V36+V37</f>
        <v>1279100000000</v>
      </c>
      <c r="W24" s="832">
        <v>1354700000000</v>
      </c>
      <c r="X24" s="54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c r="BE24" s="365"/>
      <c r="BF24" s="365"/>
      <c r="BG24" s="365"/>
      <c r="BH24" s="365"/>
      <c r="BI24" s="365"/>
      <c r="BJ24" s="365"/>
      <c r="BK24" s="365"/>
      <c r="BL24" s="365"/>
      <c r="BM24" s="365"/>
      <c r="BN24" s="365"/>
    </row>
    <row r="25" spans="1:66">
      <c r="A25" s="807" t="s">
        <v>536</v>
      </c>
      <c r="B25" s="807" t="s">
        <v>536</v>
      </c>
      <c r="C25" s="805" t="s">
        <v>204</v>
      </c>
      <c r="D25" s="543"/>
      <c r="E25" s="803">
        <v>25700000000</v>
      </c>
      <c r="F25" s="803">
        <v>28500000000</v>
      </c>
      <c r="G25" s="803">
        <v>35200000000</v>
      </c>
      <c r="H25" s="803">
        <v>40200000000</v>
      </c>
      <c r="I25" s="803">
        <v>44100000000</v>
      </c>
      <c r="J25" s="803">
        <v>49800000000</v>
      </c>
      <c r="K25" s="809">
        <v>61300000000</v>
      </c>
      <c r="L25" s="803">
        <v>73000000000</v>
      </c>
      <c r="M25" s="803">
        <v>184300000000</v>
      </c>
      <c r="N25" s="803">
        <v>187300000000</v>
      </c>
      <c r="O25" s="803">
        <v>190500000000</v>
      </c>
      <c r="P25" s="803">
        <v>194300000000</v>
      </c>
      <c r="Q25" s="832">
        <v>215600000000</v>
      </c>
      <c r="R25" s="832">
        <v>253400000000</v>
      </c>
      <c r="S25" s="832">
        <v>296200000000</v>
      </c>
      <c r="T25" s="832">
        <v>305700000000</v>
      </c>
      <c r="U25" s="832">
        <v>301000000000</v>
      </c>
      <c r="V25" s="832">
        <v>305900000000</v>
      </c>
      <c r="W25" s="832">
        <v>315100000000</v>
      </c>
      <c r="X25" s="54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c r="BE25" s="365"/>
      <c r="BF25" s="365"/>
      <c r="BG25" s="365"/>
      <c r="BH25" s="365"/>
      <c r="BI25" s="365"/>
      <c r="BJ25" s="365"/>
      <c r="BK25" s="365"/>
      <c r="BL25" s="365"/>
      <c r="BM25" s="365"/>
      <c r="BN25" s="365"/>
    </row>
    <row r="26" spans="1:66">
      <c r="A26" s="807" t="s">
        <v>558</v>
      </c>
      <c r="B26" s="807" t="s">
        <v>569</v>
      </c>
      <c r="C26" s="805" t="s">
        <v>204</v>
      </c>
      <c r="D26" s="543"/>
      <c r="E26" s="809"/>
      <c r="F26" s="809"/>
      <c r="G26" s="809"/>
      <c r="H26" s="809"/>
      <c r="I26" s="809"/>
      <c r="J26" s="809"/>
      <c r="K26" s="809">
        <v>21100000000</v>
      </c>
      <c r="L26" s="803">
        <v>4099999999.9999995</v>
      </c>
      <c r="M26" s="803">
        <v>4600000000</v>
      </c>
      <c r="N26" s="803">
        <v>4500000000</v>
      </c>
      <c r="O26" s="803">
        <v>4700000000</v>
      </c>
      <c r="P26" s="803">
        <v>4800000000</v>
      </c>
      <c r="Q26" s="832">
        <v>0</v>
      </c>
      <c r="R26" s="832">
        <v>0</v>
      </c>
      <c r="S26" s="832">
        <v>0</v>
      </c>
      <c r="T26" s="832">
        <v>0</v>
      </c>
      <c r="U26" s="832">
        <v>0</v>
      </c>
      <c r="V26" s="832">
        <v>0</v>
      </c>
      <c r="W26" s="832">
        <v>0</v>
      </c>
      <c r="X26" s="54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c r="BE26" s="365"/>
      <c r="BF26" s="365"/>
      <c r="BG26" s="365"/>
      <c r="BH26" s="365"/>
      <c r="BI26" s="365"/>
      <c r="BJ26" s="365"/>
      <c r="BK26" s="365"/>
      <c r="BL26" s="365"/>
      <c r="BM26" s="365"/>
      <c r="BN26" s="365"/>
    </row>
    <row r="27" spans="1:66">
      <c r="A27" s="807" t="s">
        <v>570</v>
      </c>
      <c r="B27" s="807" t="s">
        <v>571</v>
      </c>
      <c r="C27" s="805" t="s">
        <v>204</v>
      </c>
      <c r="D27" s="543"/>
      <c r="E27" s="809"/>
      <c r="F27" s="809"/>
      <c r="G27" s="809"/>
      <c r="H27" s="809"/>
      <c r="I27" s="809"/>
      <c r="J27" s="803">
        <v>20100000000</v>
      </c>
      <c r="K27" s="809"/>
      <c r="L27" s="809"/>
      <c r="M27" s="803">
        <v>0</v>
      </c>
      <c r="N27" s="803">
        <v>0</v>
      </c>
      <c r="O27" s="803">
        <v>0</v>
      </c>
      <c r="P27" s="803">
        <v>0</v>
      </c>
      <c r="Q27" s="832">
        <v>0</v>
      </c>
      <c r="R27" s="832">
        <v>9500000000</v>
      </c>
      <c r="S27" s="832">
        <v>20800000000</v>
      </c>
      <c r="T27" s="832">
        <v>25600000000</v>
      </c>
      <c r="U27" s="832">
        <v>28700000000</v>
      </c>
      <c r="V27" s="832">
        <v>55600000000</v>
      </c>
      <c r="W27" s="832">
        <v>84500000000</v>
      </c>
      <c r="X27" s="54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c r="BE27" s="365"/>
      <c r="BF27" s="365"/>
      <c r="BG27" s="365"/>
      <c r="BH27" s="365"/>
      <c r="BI27" s="365"/>
      <c r="BJ27" s="365"/>
      <c r="BK27" s="365"/>
      <c r="BL27" s="365"/>
      <c r="BM27" s="365"/>
      <c r="BN27" s="365"/>
    </row>
    <row r="28" spans="1:66">
      <c r="A28" s="807" t="s">
        <v>215</v>
      </c>
      <c r="B28" s="807" t="s">
        <v>215</v>
      </c>
      <c r="C28" s="805" t="s">
        <v>204</v>
      </c>
      <c r="D28" s="543"/>
      <c r="E28" s="803">
        <v>6500000000</v>
      </c>
      <c r="F28" s="803">
        <v>8100000000</v>
      </c>
      <c r="G28" s="803">
        <v>14700000000</v>
      </c>
      <c r="H28" s="803">
        <v>18200000000</v>
      </c>
      <c r="I28" s="803">
        <v>14900000000</v>
      </c>
      <c r="J28" s="803">
        <v>39100000000</v>
      </c>
      <c r="K28" s="809">
        <v>58900000000</v>
      </c>
      <c r="L28" s="803">
        <v>38400000000</v>
      </c>
      <c r="M28" s="803">
        <v>5400000000</v>
      </c>
      <c r="N28" s="803">
        <v>3400000000</v>
      </c>
      <c r="O28" s="803">
        <v>4300000000</v>
      </c>
      <c r="P28" s="803">
        <v>4600000000</v>
      </c>
      <c r="Q28" s="832">
        <v>4900000000</v>
      </c>
      <c r="R28" s="832">
        <v>8400000000</v>
      </c>
      <c r="S28" s="832">
        <v>19800000000</v>
      </c>
      <c r="T28" s="832">
        <v>13300000000</v>
      </c>
      <c r="U28" s="832">
        <v>6600000000</v>
      </c>
      <c r="V28" s="832">
        <v>6800000000</v>
      </c>
      <c r="W28" s="832">
        <v>7100000000</v>
      </c>
      <c r="X28" s="54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c r="BE28" s="365"/>
      <c r="BF28" s="365"/>
      <c r="BG28" s="365"/>
      <c r="BH28" s="365"/>
      <c r="BI28" s="365"/>
      <c r="BJ28" s="365"/>
      <c r="BK28" s="365"/>
      <c r="BL28" s="365"/>
      <c r="BM28" s="365"/>
      <c r="BN28" s="365"/>
    </row>
    <row r="29" spans="1:66">
      <c r="A29" s="807" t="s">
        <v>91</v>
      </c>
      <c r="B29" s="807" t="s">
        <v>91</v>
      </c>
      <c r="C29" s="805" t="s">
        <v>204</v>
      </c>
      <c r="D29" s="543"/>
      <c r="E29" s="803">
        <v>14500000000</v>
      </c>
      <c r="F29" s="803">
        <v>11000000000</v>
      </c>
      <c r="G29" s="803">
        <v>11200000000</v>
      </c>
      <c r="H29" s="803">
        <v>9800000000</v>
      </c>
      <c r="I29" s="803">
        <v>10300000000</v>
      </c>
      <c r="J29" s="803">
        <v>9000000000</v>
      </c>
      <c r="K29" s="809">
        <v>10000000000</v>
      </c>
      <c r="L29" s="803">
        <v>10400000000</v>
      </c>
      <c r="M29" s="803">
        <v>16200000000</v>
      </c>
      <c r="N29" s="803">
        <v>30200000000</v>
      </c>
      <c r="O29" s="803">
        <v>35200000000</v>
      </c>
      <c r="P29" s="803">
        <v>40200000000</v>
      </c>
      <c r="Q29" s="832">
        <v>46700000000</v>
      </c>
      <c r="R29" s="832">
        <v>61600000000</v>
      </c>
      <c r="S29" s="832">
        <v>74100000000</v>
      </c>
      <c r="T29" s="832">
        <v>98300000000</v>
      </c>
      <c r="U29" s="832">
        <v>119300000000</v>
      </c>
      <c r="V29" s="832">
        <v>114200000000</v>
      </c>
      <c r="W29" s="832">
        <v>122600000000</v>
      </c>
      <c r="X29" s="54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c r="BE29" s="365"/>
      <c r="BF29" s="365"/>
      <c r="BG29" s="365"/>
      <c r="BH29" s="365"/>
      <c r="BI29" s="365"/>
      <c r="BJ29" s="365"/>
      <c r="BK29" s="365"/>
      <c r="BL29" s="365"/>
      <c r="BM29" s="365"/>
      <c r="BN29" s="365"/>
    </row>
    <row r="30" spans="1:66">
      <c r="A30" s="807" t="s">
        <v>389</v>
      </c>
      <c r="B30" s="807" t="s">
        <v>572</v>
      </c>
      <c r="C30" s="805" t="s">
        <v>204</v>
      </c>
      <c r="D30" s="543"/>
      <c r="E30" s="803">
        <v>46800000000</v>
      </c>
      <c r="F30" s="803">
        <v>49300000000</v>
      </c>
      <c r="G30" s="803">
        <v>47600000000</v>
      </c>
      <c r="H30" s="803">
        <v>64900000000.000008</v>
      </c>
      <c r="I30" s="803">
        <v>83200000000</v>
      </c>
      <c r="J30" s="803"/>
      <c r="K30" s="809"/>
      <c r="L30" s="803"/>
      <c r="M30" s="803"/>
      <c r="N30" s="803"/>
      <c r="O30" s="803"/>
      <c r="P30" s="803"/>
      <c r="Q30" s="832"/>
      <c r="R30" s="832"/>
      <c r="S30" s="832"/>
      <c r="T30" s="832"/>
      <c r="U30" s="832"/>
      <c r="V30" s="832"/>
      <c r="W30" s="832"/>
      <c r="X30" s="54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c r="BE30" s="365"/>
      <c r="BF30" s="365"/>
      <c r="BG30" s="365"/>
      <c r="BH30" s="365"/>
      <c r="BI30" s="365"/>
      <c r="BJ30" s="365"/>
      <c r="BK30" s="365"/>
      <c r="BL30" s="365"/>
      <c r="BM30" s="365"/>
      <c r="BN30" s="365"/>
    </row>
    <row r="31" spans="1:66">
      <c r="A31" s="807" t="s">
        <v>573</v>
      </c>
      <c r="B31" s="807" t="s">
        <v>574</v>
      </c>
      <c r="C31" s="805" t="s">
        <v>204</v>
      </c>
      <c r="D31" s="543"/>
      <c r="E31" s="809"/>
      <c r="F31" s="809"/>
      <c r="G31" s="809"/>
      <c r="H31" s="809"/>
      <c r="I31" s="809"/>
      <c r="J31" s="803">
        <v>152500000000</v>
      </c>
      <c r="K31" s="809">
        <v>183700000000</v>
      </c>
      <c r="L31" s="803">
        <v>206200000000</v>
      </c>
      <c r="M31" s="803">
        <v>239900000000</v>
      </c>
      <c r="N31" s="803">
        <v>241700000000</v>
      </c>
      <c r="O31" s="803">
        <v>255100000000</v>
      </c>
      <c r="P31" s="803">
        <v>287400000000</v>
      </c>
      <c r="Q31" s="832">
        <v>294000000000</v>
      </c>
      <c r="R31" s="832">
        <v>335000000000</v>
      </c>
      <c r="S31" s="832">
        <v>368500000000</v>
      </c>
      <c r="T31" s="832">
        <v>378500000000</v>
      </c>
      <c r="U31" s="832">
        <v>385900000000</v>
      </c>
      <c r="V31" s="832">
        <v>395400000000</v>
      </c>
      <c r="W31" s="832">
        <v>400400000000</v>
      </c>
      <c r="X31" s="54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c r="BE31" s="365"/>
      <c r="BF31" s="365"/>
      <c r="BG31" s="365"/>
      <c r="BH31" s="365"/>
      <c r="BI31" s="365"/>
      <c r="BJ31" s="365"/>
      <c r="BK31" s="365"/>
      <c r="BL31" s="365"/>
      <c r="BM31" s="365"/>
      <c r="BN31" s="365"/>
    </row>
    <row r="32" spans="1:66">
      <c r="A32" s="506" t="s">
        <v>76</v>
      </c>
      <c r="B32" s="813" t="s">
        <v>575</v>
      </c>
      <c r="C32" s="801"/>
      <c r="D32" s="543"/>
      <c r="E32" s="809"/>
      <c r="F32" s="809"/>
      <c r="G32" s="809"/>
      <c r="H32" s="809"/>
      <c r="I32" s="809"/>
      <c r="J32" s="803">
        <v>71000000000</v>
      </c>
      <c r="K32" s="809">
        <v>85800000000</v>
      </c>
      <c r="L32" s="803">
        <v>153500000000</v>
      </c>
      <c r="M32" s="803">
        <v>176000000000</v>
      </c>
      <c r="N32" s="803">
        <v>176800000000</v>
      </c>
      <c r="O32" s="803">
        <v>186600000000</v>
      </c>
      <c r="P32" s="803">
        <v>197500000000</v>
      </c>
      <c r="Q32" s="832">
        <v>198400000000</v>
      </c>
      <c r="R32" s="832">
        <v>218100000000</v>
      </c>
      <c r="S32" s="832">
        <v>246800000000</v>
      </c>
      <c r="T32" s="832">
        <v>249400000000</v>
      </c>
      <c r="U32" s="832">
        <v>249700000000</v>
      </c>
      <c r="V32" s="832">
        <v>258899999999.99997</v>
      </c>
      <c r="W32" s="832">
        <v>258700000000</v>
      </c>
      <c r="X32" s="54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c r="BE32" s="365"/>
      <c r="BF32" s="365"/>
      <c r="BG32" s="365"/>
      <c r="BH32" s="365"/>
      <c r="BI32" s="365"/>
      <c r="BJ32" s="365"/>
      <c r="BK32" s="365"/>
      <c r="BL32" s="365"/>
      <c r="BM32" s="365"/>
      <c r="BN32" s="365"/>
    </row>
    <row r="33" spans="1:66">
      <c r="A33" s="506" t="s">
        <v>76</v>
      </c>
      <c r="B33" s="813" t="s">
        <v>576</v>
      </c>
      <c r="C33" s="801"/>
      <c r="D33" s="543"/>
      <c r="E33" s="809"/>
      <c r="F33" s="809"/>
      <c r="G33" s="809"/>
      <c r="H33" s="809"/>
      <c r="I33" s="809"/>
      <c r="J33" s="814">
        <f>J31-J32</f>
        <v>81500000000</v>
      </c>
      <c r="K33" s="814">
        <f>K31-K32</f>
        <v>97900000000</v>
      </c>
      <c r="L33" s="814">
        <f>L31-L32</f>
        <v>52700000000</v>
      </c>
      <c r="M33" s="803">
        <v>64000000000</v>
      </c>
      <c r="N33" s="803">
        <v>64900000000.000008</v>
      </c>
      <c r="O33" s="803">
        <v>68500000000</v>
      </c>
      <c r="P33" s="803">
        <v>89900000000</v>
      </c>
      <c r="Q33" s="832">
        <v>95600000000</v>
      </c>
      <c r="R33" s="832">
        <v>117000000000</v>
      </c>
      <c r="S33" s="832">
        <v>121700000000</v>
      </c>
      <c r="T33" s="832">
        <v>129000000000</v>
      </c>
      <c r="U33" s="832">
        <v>136300000000.00002</v>
      </c>
      <c r="V33" s="832">
        <v>136400000000</v>
      </c>
      <c r="W33" s="832">
        <v>141800000000</v>
      </c>
      <c r="X33" s="54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c r="BE33" s="365"/>
      <c r="BF33" s="365"/>
      <c r="BG33" s="365"/>
      <c r="BH33" s="365"/>
      <c r="BI33" s="365"/>
      <c r="BJ33" s="365"/>
      <c r="BK33" s="365"/>
      <c r="BL33" s="365"/>
      <c r="BM33" s="365"/>
      <c r="BN33" s="365"/>
    </row>
    <row r="34" spans="1:66">
      <c r="A34" s="506" t="s">
        <v>76</v>
      </c>
      <c r="B34" s="808" t="s">
        <v>577</v>
      </c>
      <c r="C34" s="801"/>
      <c r="D34" s="543"/>
      <c r="E34" s="809"/>
      <c r="F34" s="809"/>
      <c r="G34" s="809"/>
      <c r="H34" s="809"/>
      <c r="I34" s="809"/>
      <c r="J34" s="809"/>
      <c r="K34" s="809"/>
      <c r="L34" s="809"/>
      <c r="M34" s="803">
        <v>0</v>
      </c>
      <c r="N34" s="803">
        <v>0</v>
      </c>
      <c r="O34" s="803">
        <v>0</v>
      </c>
      <c r="P34" s="803">
        <v>12100000000</v>
      </c>
      <c r="Q34" s="832">
        <v>0</v>
      </c>
      <c r="R34" s="832">
        <v>0</v>
      </c>
      <c r="S34" s="832">
        <v>0</v>
      </c>
      <c r="T34" s="832">
        <v>0</v>
      </c>
      <c r="U34" s="832">
        <v>0</v>
      </c>
      <c r="V34" s="832">
        <v>0</v>
      </c>
      <c r="W34" s="832">
        <v>0</v>
      </c>
      <c r="X34" s="54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c r="BE34" s="365"/>
      <c r="BF34" s="365"/>
      <c r="BG34" s="365"/>
      <c r="BH34" s="365"/>
      <c r="BI34" s="365"/>
      <c r="BJ34" s="365"/>
      <c r="BK34" s="365"/>
      <c r="BL34" s="365"/>
      <c r="BM34" s="365"/>
      <c r="BN34" s="365"/>
    </row>
    <row r="35" spans="1:66">
      <c r="A35" s="807" t="s">
        <v>83</v>
      </c>
      <c r="B35" s="807" t="s">
        <v>578</v>
      </c>
      <c r="C35" s="805" t="s">
        <v>204</v>
      </c>
      <c r="D35" s="543"/>
      <c r="E35" s="803">
        <v>91600000000</v>
      </c>
      <c r="F35" s="803">
        <v>91800000000</v>
      </c>
      <c r="G35" s="803">
        <v>99600000000</v>
      </c>
      <c r="H35" s="809">
        <v>120000000000</v>
      </c>
      <c r="I35" s="809">
        <v>151500000000</v>
      </c>
      <c r="J35" s="803">
        <v>172400000000</v>
      </c>
      <c r="K35" s="809">
        <v>206700000000</v>
      </c>
      <c r="L35" s="803">
        <v>133100000000</v>
      </c>
      <c r="M35" s="803">
        <v>79000000000</v>
      </c>
      <c r="N35" s="803">
        <v>84200000000</v>
      </c>
      <c r="O35" s="803">
        <v>95400000000</v>
      </c>
      <c r="P35" s="803">
        <v>132600000000</v>
      </c>
      <c r="Q35" s="832">
        <v>140900000000</v>
      </c>
      <c r="R35" s="832">
        <v>112200000000</v>
      </c>
      <c r="S35" s="832">
        <v>125300000000</v>
      </c>
      <c r="T35" s="832">
        <v>122400000000</v>
      </c>
      <c r="U35" s="832">
        <v>129300000000.00002</v>
      </c>
      <c r="V35" s="832">
        <v>134000000000</v>
      </c>
      <c r="W35" s="832">
        <v>143500000000</v>
      </c>
      <c r="X35" s="54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c r="BE35" s="365"/>
      <c r="BF35" s="365"/>
      <c r="BG35" s="365"/>
      <c r="BH35" s="365"/>
      <c r="BI35" s="365"/>
      <c r="BJ35" s="365"/>
      <c r="BK35" s="365"/>
      <c r="BL35" s="365"/>
      <c r="BM35" s="365"/>
      <c r="BN35" s="365"/>
    </row>
    <row r="36" spans="1:66">
      <c r="A36" s="807" t="s">
        <v>53</v>
      </c>
      <c r="B36" s="807" t="s">
        <v>53</v>
      </c>
      <c r="C36" s="805" t="s">
        <v>204</v>
      </c>
      <c r="D36" s="543"/>
      <c r="E36" s="809"/>
      <c r="F36" s="809"/>
      <c r="G36" s="809"/>
      <c r="H36" s="809"/>
      <c r="I36" s="809"/>
      <c r="J36" s="809"/>
      <c r="K36" s="809"/>
      <c r="L36" s="803">
        <v>52900000000</v>
      </c>
      <c r="M36" s="803">
        <v>62000000000</v>
      </c>
      <c r="N36" s="803">
        <v>66599999999.999992</v>
      </c>
      <c r="O36" s="803">
        <v>69200000000</v>
      </c>
      <c r="P36" s="803">
        <v>71400000000</v>
      </c>
      <c r="Q36" s="832">
        <v>78200000000</v>
      </c>
      <c r="R36" s="832">
        <v>82900000000</v>
      </c>
      <c r="S36" s="832">
        <v>102200000000</v>
      </c>
      <c r="T36" s="832">
        <v>102400000000</v>
      </c>
      <c r="U36" s="832">
        <v>101100000000</v>
      </c>
      <c r="V36" s="832">
        <v>103400000000</v>
      </c>
      <c r="W36" s="832">
        <v>108500000000</v>
      </c>
      <c r="X36" s="54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c r="BE36" s="365"/>
      <c r="BF36" s="365"/>
      <c r="BG36" s="365"/>
      <c r="BH36" s="365"/>
      <c r="BI36" s="365"/>
      <c r="BJ36" s="365"/>
      <c r="BK36" s="365"/>
      <c r="BL36" s="365"/>
      <c r="BM36" s="365"/>
      <c r="BN36" s="365"/>
    </row>
    <row r="37" spans="1:66">
      <c r="A37" s="807" t="s">
        <v>579</v>
      </c>
      <c r="B37" s="807" t="s">
        <v>580</v>
      </c>
      <c r="C37" s="805" t="s">
        <v>204</v>
      </c>
      <c r="D37" s="543"/>
      <c r="E37" s="809"/>
      <c r="F37" s="809"/>
      <c r="G37" s="809"/>
      <c r="H37" s="809"/>
      <c r="I37" s="809"/>
      <c r="J37" s="809"/>
      <c r="K37" s="809"/>
      <c r="L37" s="803">
        <v>133900000000</v>
      </c>
      <c r="M37" s="803">
        <v>120500000000</v>
      </c>
      <c r="N37" s="803">
        <v>110100000000</v>
      </c>
      <c r="O37" s="803">
        <v>134300000000.00002</v>
      </c>
      <c r="P37" s="803">
        <v>117100000000</v>
      </c>
      <c r="Q37" s="832">
        <v>200300000000</v>
      </c>
      <c r="R37" s="832">
        <v>185600000000</v>
      </c>
      <c r="S37" s="832">
        <v>172800000000</v>
      </c>
      <c r="T37" s="832">
        <v>163300000000</v>
      </c>
      <c r="U37" s="832">
        <v>161800000000</v>
      </c>
      <c r="V37" s="832">
        <v>163800000000</v>
      </c>
      <c r="W37" s="832">
        <v>173100000000</v>
      </c>
      <c r="X37" s="543"/>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c r="BE37" s="365"/>
      <c r="BF37" s="365"/>
      <c r="BG37" s="365"/>
      <c r="BH37" s="365"/>
      <c r="BI37" s="365"/>
      <c r="BJ37" s="365"/>
      <c r="BK37" s="365"/>
      <c r="BL37" s="365"/>
      <c r="BM37" s="365"/>
      <c r="BN37" s="365"/>
    </row>
    <row r="38" spans="1:66">
      <c r="A38" s="807" t="s">
        <v>76</v>
      </c>
      <c r="B38" s="807" t="s">
        <v>581</v>
      </c>
      <c r="C38" s="805"/>
      <c r="D38" s="543"/>
      <c r="E38" s="803">
        <v>60300000000</v>
      </c>
      <c r="F38" s="803">
        <v>73500000000</v>
      </c>
      <c r="G38" s="803">
        <v>98400000000</v>
      </c>
      <c r="H38" s="803">
        <v>73700000000</v>
      </c>
      <c r="I38" s="803">
        <v>105700000000</v>
      </c>
      <c r="J38" s="809"/>
      <c r="K38" s="809"/>
      <c r="L38" s="803"/>
      <c r="M38" s="803"/>
      <c r="N38" s="803"/>
      <c r="O38" s="803"/>
      <c r="P38" s="803"/>
      <c r="Q38" s="832"/>
      <c r="R38" s="832"/>
      <c r="S38" s="832"/>
      <c r="T38" s="832"/>
      <c r="U38" s="832"/>
      <c r="V38" s="832"/>
      <c r="W38" s="832"/>
      <c r="X38" s="543"/>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c r="BE38" s="365"/>
      <c r="BF38" s="365"/>
      <c r="BG38" s="365"/>
      <c r="BH38" s="365"/>
      <c r="BI38" s="365"/>
      <c r="BJ38" s="365"/>
      <c r="BK38" s="365"/>
      <c r="BL38" s="365"/>
      <c r="BM38" s="365"/>
      <c r="BN38" s="365"/>
    </row>
    <row r="39" spans="1:66">
      <c r="A39" s="807" t="s">
        <v>237</v>
      </c>
      <c r="B39" s="805" t="s">
        <v>582</v>
      </c>
      <c r="C39" s="805" t="s">
        <v>201</v>
      </c>
      <c r="D39" s="543"/>
      <c r="E39" s="803">
        <v>43700000000</v>
      </c>
      <c r="F39" s="803">
        <v>64200000000</v>
      </c>
      <c r="G39" s="803">
        <v>92000000000</v>
      </c>
      <c r="H39" s="803">
        <v>62200000000</v>
      </c>
      <c r="I39" s="803">
        <v>92400000000</v>
      </c>
      <c r="J39" s="809">
        <v>88400000000</v>
      </c>
      <c r="K39" s="809">
        <v>164500000000</v>
      </c>
      <c r="L39" s="803">
        <v>141500000000</v>
      </c>
      <c r="M39" s="803">
        <v>185100000000</v>
      </c>
      <c r="N39" s="803">
        <v>178700000000</v>
      </c>
      <c r="O39" s="803">
        <v>154400000000</v>
      </c>
      <c r="P39" s="803">
        <v>103900000000</v>
      </c>
      <c r="Q39" s="832">
        <v>103500000000</v>
      </c>
      <c r="R39" s="832">
        <v>109700000000</v>
      </c>
      <c r="S39" s="832">
        <v>148400000000</v>
      </c>
      <c r="T39" s="832">
        <v>161200000000</v>
      </c>
      <c r="U39" s="832">
        <v>141000000000</v>
      </c>
      <c r="V39" s="832">
        <v>150900000000</v>
      </c>
      <c r="W39" s="832">
        <v>153200000000</v>
      </c>
      <c r="X39" s="543"/>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c r="BE39" s="365"/>
      <c r="BF39" s="365"/>
      <c r="BG39" s="365"/>
      <c r="BH39" s="365"/>
      <c r="BI39" s="365"/>
      <c r="BJ39" s="365"/>
      <c r="BK39" s="365"/>
      <c r="BL39" s="365"/>
      <c r="BM39" s="365"/>
      <c r="BN39" s="365"/>
    </row>
    <row r="40" spans="1:66">
      <c r="A40" s="807" t="s">
        <v>583</v>
      </c>
      <c r="B40" s="808" t="s">
        <v>584</v>
      </c>
      <c r="C40" s="805" t="s">
        <v>241</v>
      </c>
      <c r="D40" s="543"/>
      <c r="E40" s="803">
        <v>32000000000</v>
      </c>
      <c r="F40" s="803">
        <v>55300000000</v>
      </c>
      <c r="G40" s="803">
        <v>68500000000</v>
      </c>
      <c r="H40" s="803"/>
      <c r="I40" s="803"/>
      <c r="J40" s="809"/>
      <c r="K40" s="803"/>
      <c r="L40" s="803"/>
      <c r="M40" s="803"/>
      <c r="N40" s="803"/>
      <c r="O40" s="803"/>
      <c r="P40" s="803"/>
      <c r="Q40" s="832"/>
      <c r="R40" s="832"/>
      <c r="S40" s="832"/>
      <c r="T40" s="832"/>
      <c r="U40" s="832"/>
      <c r="V40" s="832"/>
      <c r="W40" s="832"/>
      <c r="X40" s="54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c r="BE40" s="365"/>
      <c r="BF40" s="365"/>
      <c r="BG40" s="365"/>
      <c r="BH40" s="365"/>
      <c r="BI40" s="365"/>
      <c r="BJ40" s="365"/>
      <c r="BK40" s="365"/>
      <c r="BL40" s="365"/>
      <c r="BM40" s="365"/>
      <c r="BN40" s="365"/>
    </row>
    <row r="41" spans="1:66">
      <c r="A41" s="807" t="s">
        <v>209</v>
      </c>
      <c r="B41" s="808" t="s">
        <v>585</v>
      </c>
      <c r="C41" s="805" t="s">
        <v>241</v>
      </c>
      <c r="D41" s="543"/>
      <c r="E41" s="803">
        <v>11700000000</v>
      </c>
      <c r="F41" s="803">
        <v>8900000000</v>
      </c>
      <c r="G41" s="803">
        <v>23400000000</v>
      </c>
      <c r="H41" s="803"/>
      <c r="I41" s="803"/>
      <c r="J41" s="809"/>
      <c r="K41" s="803"/>
      <c r="L41" s="803"/>
      <c r="M41" s="803"/>
      <c r="N41" s="803"/>
      <c r="O41" s="803"/>
      <c r="P41" s="803"/>
      <c r="Q41" s="832"/>
      <c r="R41" s="832"/>
      <c r="S41" s="832"/>
      <c r="T41" s="832"/>
      <c r="U41" s="832"/>
      <c r="V41" s="832"/>
      <c r="W41" s="832"/>
      <c r="X41" s="54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c r="BE41" s="365"/>
      <c r="BF41" s="365"/>
      <c r="BG41" s="365"/>
      <c r="BH41" s="365"/>
      <c r="BI41" s="365"/>
      <c r="BJ41" s="365"/>
      <c r="BK41" s="365"/>
      <c r="BL41" s="365"/>
      <c r="BM41" s="365"/>
      <c r="BN41" s="365"/>
    </row>
    <row r="42" spans="1:66">
      <c r="A42" s="506" t="s">
        <v>76</v>
      </c>
      <c r="B42" s="807" t="s">
        <v>586</v>
      </c>
      <c r="D42" s="543"/>
      <c r="E42" s="809"/>
      <c r="F42" s="809"/>
      <c r="G42" s="809"/>
      <c r="H42" s="803"/>
      <c r="I42" s="809"/>
      <c r="J42" s="809">
        <v>104200000000</v>
      </c>
      <c r="K42" s="809">
        <v>183300000000</v>
      </c>
      <c r="L42" s="803">
        <v>162600000000</v>
      </c>
      <c r="M42" s="803">
        <v>195700000000</v>
      </c>
      <c r="N42" s="803">
        <v>179200000000</v>
      </c>
      <c r="O42" s="803">
        <v>157700000000</v>
      </c>
      <c r="P42" s="803">
        <v>106600000000</v>
      </c>
      <c r="Q42" s="832">
        <v>105000000000</v>
      </c>
      <c r="R42" s="832">
        <v>111200000000</v>
      </c>
      <c r="S42" s="832">
        <v>150500000000</v>
      </c>
      <c r="T42" s="832">
        <v>166000000000</v>
      </c>
      <c r="U42" s="832">
        <v>145900000000</v>
      </c>
      <c r="V42" s="832">
        <v>150900000000</v>
      </c>
      <c r="W42" s="832">
        <v>153200000000</v>
      </c>
      <c r="X42" s="54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c r="BE42" s="365"/>
      <c r="BF42" s="365"/>
      <c r="BG42" s="365"/>
      <c r="BH42" s="365"/>
      <c r="BI42" s="365"/>
      <c r="BJ42" s="365"/>
      <c r="BK42" s="365"/>
      <c r="BL42" s="365"/>
      <c r="BM42" s="365"/>
      <c r="BN42" s="365"/>
    </row>
    <row r="43" spans="1:66">
      <c r="A43" s="506" t="s">
        <v>76</v>
      </c>
      <c r="B43" s="807" t="s">
        <v>587</v>
      </c>
      <c r="D43" s="543"/>
      <c r="E43" s="809"/>
      <c r="F43" s="809"/>
      <c r="G43" s="809"/>
      <c r="H43" s="803"/>
      <c r="I43" s="809"/>
      <c r="J43" s="809">
        <v>15900000000</v>
      </c>
      <c r="K43" s="809">
        <v>18900000000</v>
      </c>
      <c r="L43" s="803">
        <v>21100000000</v>
      </c>
      <c r="M43" s="803">
        <v>10600000000</v>
      </c>
      <c r="N43" s="803">
        <v>500000000</v>
      </c>
      <c r="O43" s="803">
        <v>3300000000</v>
      </c>
      <c r="P43" s="803">
        <v>2700000000</v>
      </c>
      <c r="Q43" s="832">
        <v>1600000000</v>
      </c>
      <c r="R43" s="832">
        <v>1600000000</v>
      </c>
      <c r="S43" s="832">
        <v>2100000000</v>
      </c>
      <c r="T43" s="832">
        <v>4800000000</v>
      </c>
      <c r="U43" s="832">
        <v>4800000000</v>
      </c>
      <c r="V43" s="832">
        <v>0</v>
      </c>
      <c r="W43" s="832">
        <v>0</v>
      </c>
      <c r="X43" s="54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c r="BE43" s="365"/>
      <c r="BF43" s="365"/>
      <c r="BG43" s="365"/>
      <c r="BH43" s="365"/>
      <c r="BI43" s="365"/>
      <c r="BJ43" s="365"/>
      <c r="BK43" s="365"/>
      <c r="BL43" s="365"/>
      <c r="BM43" s="365"/>
      <c r="BN43" s="365"/>
    </row>
    <row r="44" spans="1:66">
      <c r="A44" s="807" t="s">
        <v>588</v>
      </c>
      <c r="B44" s="807" t="s">
        <v>588</v>
      </c>
      <c r="C44" s="805" t="s">
        <v>201</v>
      </c>
      <c r="D44" s="543"/>
      <c r="E44" s="803">
        <v>16600000000.000002</v>
      </c>
      <c r="F44" s="803">
        <v>9300000000</v>
      </c>
      <c r="G44" s="803">
        <v>6500000000</v>
      </c>
      <c r="H44" s="803">
        <v>11500000000</v>
      </c>
      <c r="I44" s="803">
        <v>13300000000</v>
      </c>
      <c r="J44" s="809"/>
      <c r="K44" s="809"/>
      <c r="L44" s="803"/>
      <c r="M44" s="803">
        <v>0</v>
      </c>
      <c r="N44" s="803">
        <v>0</v>
      </c>
      <c r="O44" s="803">
        <v>0</v>
      </c>
      <c r="P44" s="803">
        <v>0</v>
      </c>
      <c r="Q44" s="832"/>
      <c r="R44" s="832"/>
      <c r="S44" s="832"/>
      <c r="T44" s="832"/>
      <c r="U44" s="832"/>
      <c r="V44" s="832"/>
      <c r="W44" s="832"/>
      <c r="X44" s="54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c r="BE44" s="365"/>
      <c r="BF44" s="365"/>
      <c r="BG44" s="365"/>
      <c r="BH44" s="365"/>
      <c r="BI44" s="365"/>
      <c r="BJ44" s="365"/>
      <c r="BK44" s="365"/>
      <c r="BL44" s="365"/>
      <c r="BM44" s="365"/>
      <c r="BN44" s="365"/>
    </row>
    <row r="45" spans="1:66">
      <c r="A45" s="506" t="s">
        <v>76</v>
      </c>
      <c r="B45" s="805" t="s">
        <v>589</v>
      </c>
      <c r="C45" s="801"/>
      <c r="D45" s="543"/>
      <c r="E45" s="809"/>
      <c r="F45" s="809"/>
      <c r="G45" s="809"/>
      <c r="H45" s="803">
        <v>-33200000000.000004</v>
      </c>
      <c r="I45" s="803">
        <v>-57900000000</v>
      </c>
      <c r="J45" s="809">
        <v>-54000000000</v>
      </c>
      <c r="K45" s="809">
        <v>-73500000000</v>
      </c>
      <c r="L45" s="803">
        <v>-62700000000</v>
      </c>
      <c r="M45" s="803">
        <v>-241500000000</v>
      </c>
      <c r="N45" s="803">
        <v>-172300000000</v>
      </c>
      <c r="O45" s="803">
        <v>-108700000000</v>
      </c>
      <c r="P45" s="803">
        <v>-63800000000</v>
      </c>
      <c r="Q45" s="832">
        <v>-72600000000</v>
      </c>
      <c r="R45" s="832">
        <v>-93800000000</v>
      </c>
      <c r="S45" s="832">
        <v>-244000000000</v>
      </c>
      <c r="T45" s="832">
        <v>-285400000000</v>
      </c>
      <c r="U45" s="832">
        <v>-175100000000</v>
      </c>
      <c r="V45" s="832">
        <v>-153800000000</v>
      </c>
      <c r="W45" s="832">
        <v>-103700000000</v>
      </c>
      <c r="X45" s="543"/>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c r="BE45" s="365"/>
      <c r="BF45" s="365"/>
      <c r="BG45" s="365"/>
      <c r="BH45" s="365"/>
      <c r="BI45" s="365"/>
      <c r="BJ45" s="365"/>
      <c r="BK45" s="365"/>
      <c r="BL45" s="365"/>
      <c r="BM45" s="365"/>
      <c r="BN45" s="365"/>
    </row>
    <row r="46" spans="1:66">
      <c r="A46" s="506" t="s">
        <v>76</v>
      </c>
      <c r="B46" s="805" t="s">
        <v>590</v>
      </c>
      <c r="C46" s="801"/>
      <c r="D46" s="543"/>
      <c r="E46" s="803">
        <v>0</v>
      </c>
      <c r="F46" s="803">
        <v>-900000000</v>
      </c>
      <c r="G46" s="803">
        <v>0</v>
      </c>
      <c r="H46" s="803">
        <v>3300000000</v>
      </c>
      <c r="I46" s="803">
        <v>-200000000</v>
      </c>
      <c r="J46" s="809">
        <v>-2600000000</v>
      </c>
      <c r="K46" s="809">
        <v>4099999999.9999995</v>
      </c>
      <c r="L46" s="803">
        <v>21000000000</v>
      </c>
      <c r="M46" s="803">
        <v>-6200000000</v>
      </c>
      <c r="N46" s="803">
        <v>13200000000</v>
      </c>
      <c r="O46" s="803">
        <v>2900000000</v>
      </c>
      <c r="P46" s="803">
        <v>2100000000</v>
      </c>
      <c r="Q46" s="832">
        <v>28600000000</v>
      </c>
      <c r="R46" s="832">
        <v>-7600000000</v>
      </c>
      <c r="S46" s="832">
        <v>0</v>
      </c>
      <c r="T46" s="832">
        <v>-10200000000</v>
      </c>
      <c r="U46" s="832">
        <v>0</v>
      </c>
      <c r="V46" s="832">
        <v>0</v>
      </c>
      <c r="W46" s="832">
        <v>0</v>
      </c>
      <c r="X46" s="54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c r="BE46" s="365"/>
      <c r="BF46" s="365"/>
      <c r="BG46" s="365"/>
      <c r="BH46" s="365"/>
      <c r="BI46" s="365"/>
      <c r="BJ46" s="365"/>
      <c r="BK46" s="365"/>
      <c r="BL46" s="365"/>
      <c r="BM46" s="365"/>
      <c r="BN46" s="365"/>
    </row>
    <row r="47" spans="1:66">
      <c r="A47" s="506" t="s">
        <v>76</v>
      </c>
      <c r="B47" s="805" t="s">
        <v>591</v>
      </c>
      <c r="C47" s="801"/>
      <c r="D47" s="543"/>
      <c r="E47" s="803">
        <v>-46500000000</v>
      </c>
      <c r="F47" s="803">
        <v>-35500000000</v>
      </c>
      <c r="G47" s="803">
        <v>-24600000000</v>
      </c>
      <c r="H47" s="803">
        <v>-29900000000</v>
      </c>
      <c r="I47" s="803">
        <v>-58000000000</v>
      </c>
      <c r="J47" s="809">
        <v>-56700000000</v>
      </c>
      <c r="K47" s="809">
        <v>-69400000000</v>
      </c>
      <c r="L47" s="803">
        <v>-41700000000</v>
      </c>
      <c r="M47" s="803">
        <v>-247700000000</v>
      </c>
      <c r="N47" s="803">
        <v>-159100000000</v>
      </c>
      <c r="O47" s="803">
        <v>-105800000000</v>
      </c>
      <c r="P47" s="803">
        <v>-61600000000</v>
      </c>
      <c r="Q47" s="832">
        <v>-43900000000</v>
      </c>
      <c r="R47" s="832">
        <v>-101400000000</v>
      </c>
      <c r="S47" s="832">
        <v>-244000000000</v>
      </c>
      <c r="T47" s="832">
        <v>-295600000000</v>
      </c>
      <c r="U47" s="832">
        <v>-175100000000</v>
      </c>
      <c r="V47" s="832">
        <v>-153800000000</v>
      </c>
      <c r="W47" s="832">
        <v>-103700000000</v>
      </c>
      <c r="X47" s="54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c r="BE47" s="365"/>
      <c r="BF47" s="365"/>
      <c r="BG47" s="365"/>
      <c r="BH47" s="365"/>
      <c r="BI47" s="365"/>
      <c r="BJ47" s="365"/>
      <c r="BK47" s="365"/>
      <c r="BL47" s="365"/>
      <c r="BM47" s="365"/>
      <c r="BN47" s="365"/>
    </row>
    <row r="48" spans="1:66" s="9" customFormat="1">
      <c r="A48" s="823" t="s">
        <v>592</v>
      </c>
      <c r="B48" s="822" t="s">
        <v>115</v>
      </c>
      <c r="C48" s="823" t="s">
        <v>35</v>
      </c>
      <c r="D48" s="823"/>
      <c r="E48" s="824">
        <v>46500000000</v>
      </c>
      <c r="F48" s="824">
        <v>35500000000</v>
      </c>
      <c r="G48" s="824">
        <v>24600000000</v>
      </c>
      <c r="H48" s="824">
        <v>29900000000</v>
      </c>
      <c r="I48" s="824">
        <v>58000000000</v>
      </c>
      <c r="J48" s="829">
        <v>56700000000</v>
      </c>
      <c r="K48" s="829">
        <v>69400000000</v>
      </c>
      <c r="L48" s="829">
        <v>41700000000</v>
      </c>
      <c r="M48" s="824">
        <v>247700000000</v>
      </c>
      <c r="N48" s="824">
        <v>159100000000</v>
      </c>
      <c r="O48" s="824">
        <v>105800000000</v>
      </c>
      <c r="P48" s="824">
        <v>61600000000</v>
      </c>
      <c r="Q48" s="830">
        <v>43900000000</v>
      </c>
      <c r="R48" s="830">
        <v>101400000000</v>
      </c>
      <c r="S48" s="830">
        <f>S49+S58+S64</f>
        <v>220900000000</v>
      </c>
      <c r="T48" s="830">
        <v>295600000000</v>
      </c>
      <c r="U48" s="831">
        <v>175100000000</v>
      </c>
      <c r="V48" s="831">
        <v>153800000000</v>
      </c>
      <c r="W48" s="831">
        <v>103700000000</v>
      </c>
      <c r="X48" s="82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c r="BE48" s="365"/>
      <c r="BF48" s="365"/>
      <c r="BG48" s="365"/>
      <c r="BH48" s="365"/>
      <c r="BI48" s="365"/>
      <c r="BJ48" s="365"/>
      <c r="BK48" s="365"/>
      <c r="BL48" s="365"/>
      <c r="BM48" s="365"/>
      <c r="BN48" s="365"/>
    </row>
    <row r="49" spans="1:66">
      <c r="A49" s="805" t="s">
        <v>120</v>
      </c>
      <c r="B49" s="815" t="s">
        <v>593</v>
      </c>
      <c r="C49" s="806" t="s">
        <v>119</v>
      </c>
      <c r="D49" s="543"/>
      <c r="E49" s="803">
        <v>14400000000</v>
      </c>
      <c r="F49" s="803">
        <v>-6300000000</v>
      </c>
      <c r="G49" s="803">
        <v>-2800000000</v>
      </c>
      <c r="H49" s="803">
        <v>-5400000000</v>
      </c>
      <c r="I49" s="803">
        <v>42500000000</v>
      </c>
      <c r="J49" s="809">
        <v>44800000000</v>
      </c>
      <c r="K49" s="809">
        <v>30600000000</v>
      </c>
      <c r="L49" s="803">
        <v>23700000000</v>
      </c>
      <c r="M49" s="803">
        <v>-108500000000</v>
      </c>
      <c r="N49" s="803">
        <v>96500000000</v>
      </c>
      <c r="O49" s="803">
        <v>62700000000</v>
      </c>
      <c r="P49" s="803">
        <v>6800000000</v>
      </c>
      <c r="Q49" s="832">
        <v>-43900000000</v>
      </c>
      <c r="R49" s="832">
        <v>75700000000</v>
      </c>
      <c r="S49" s="832">
        <f>S50+S53</f>
        <v>10600000000</v>
      </c>
      <c r="T49" s="832">
        <v>102400000000</v>
      </c>
      <c r="U49" s="832">
        <v>25400000000</v>
      </c>
      <c r="V49" s="832">
        <v>40600000000</v>
      </c>
      <c r="W49" s="832">
        <v>-63900000000</v>
      </c>
      <c r="X49" s="54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c r="BE49" s="365"/>
      <c r="BF49" s="365"/>
      <c r="BG49" s="365"/>
      <c r="BH49" s="365"/>
      <c r="BI49" s="365"/>
      <c r="BJ49" s="365"/>
      <c r="BK49" s="365"/>
      <c r="BL49" s="365"/>
      <c r="BM49" s="365"/>
      <c r="BN49" s="365"/>
    </row>
    <row r="50" spans="1:66">
      <c r="A50" s="506" t="s">
        <v>349</v>
      </c>
      <c r="B50" s="807" t="s">
        <v>594</v>
      </c>
      <c r="C50" s="805" t="s">
        <v>124</v>
      </c>
      <c r="D50" s="543"/>
      <c r="E50" s="803">
        <v>100000000</v>
      </c>
      <c r="F50" s="803">
        <v>-8400000000</v>
      </c>
      <c r="G50" s="803">
        <v>-15600000000</v>
      </c>
      <c r="H50" s="803">
        <v>-2600000000</v>
      </c>
      <c r="I50" s="803">
        <v>29500000000</v>
      </c>
      <c r="J50" s="809">
        <v>-9300000000</v>
      </c>
      <c r="K50" s="809">
        <v>-6400000000</v>
      </c>
      <c r="L50" s="803">
        <v>-9600000000</v>
      </c>
      <c r="M50" s="803">
        <v>-40000000000</v>
      </c>
      <c r="N50" s="803">
        <v>95600000000</v>
      </c>
      <c r="O50" s="803">
        <v>55100000000</v>
      </c>
      <c r="P50" s="803">
        <v>20100000000</v>
      </c>
      <c r="Q50" s="832">
        <v>-23700000000</v>
      </c>
      <c r="R50" s="832">
        <v>91600000000</v>
      </c>
      <c r="S50" s="832">
        <v>2000000000</v>
      </c>
      <c r="T50" s="832">
        <v>145100000000</v>
      </c>
      <c r="U50" s="832">
        <v>20400000000</v>
      </c>
      <c r="V50" s="832">
        <v>66300000000</v>
      </c>
      <c r="W50" s="832">
        <v>-42800000000</v>
      </c>
      <c r="X50" s="54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c r="BE50" s="365"/>
      <c r="BF50" s="365"/>
      <c r="BG50" s="365"/>
      <c r="BH50" s="365"/>
      <c r="BI50" s="365"/>
      <c r="BJ50" s="365"/>
      <c r="BK50" s="365"/>
      <c r="BL50" s="365"/>
      <c r="BM50" s="365"/>
      <c r="BN50" s="365"/>
    </row>
    <row r="51" spans="1:66">
      <c r="A51" s="506" t="s">
        <v>76</v>
      </c>
      <c r="B51" s="808" t="s">
        <v>595</v>
      </c>
      <c r="C51" s="801"/>
      <c r="D51" s="543"/>
      <c r="E51" s="803">
        <v>0</v>
      </c>
      <c r="F51" s="803">
        <v>-18000000000</v>
      </c>
      <c r="G51" s="803">
        <v>-21800000000</v>
      </c>
      <c r="H51" s="803">
        <v>-5300000000</v>
      </c>
      <c r="I51" s="803">
        <v>25800000000</v>
      </c>
      <c r="J51" s="809">
        <v>-12700000000</v>
      </c>
      <c r="K51" s="809">
        <v>-16200000000</v>
      </c>
      <c r="L51" s="803">
        <v>-33000000000</v>
      </c>
      <c r="M51" s="803">
        <v>-54400000000</v>
      </c>
      <c r="N51" s="803">
        <v>62100000000</v>
      </c>
      <c r="O51" s="803">
        <v>22400000000</v>
      </c>
      <c r="P51" s="803">
        <v>-26300000000</v>
      </c>
      <c r="Q51" s="832">
        <v>-79600000000</v>
      </c>
      <c r="R51" s="832">
        <v>76300000000</v>
      </c>
      <c r="S51" s="832">
        <v>-21700000000</v>
      </c>
      <c r="T51" s="832">
        <v>-42100000000</v>
      </c>
      <c r="U51" s="832">
        <v>-23000000000</v>
      </c>
      <c r="V51" s="832">
        <v>-9700000000</v>
      </c>
      <c r="W51" s="832">
        <v>-102600000000</v>
      </c>
      <c r="X51" s="54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c r="BE51" s="365"/>
      <c r="BF51" s="365"/>
      <c r="BG51" s="365"/>
      <c r="BH51" s="365"/>
      <c r="BI51" s="365"/>
      <c r="BJ51" s="365"/>
      <c r="BK51" s="365"/>
      <c r="BL51" s="365"/>
      <c r="BM51" s="365"/>
      <c r="BN51" s="365"/>
    </row>
    <row r="52" spans="1:66">
      <c r="A52" s="506" t="s">
        <v>76</v>
      </c>
      <c r="B52" s="808" t="s">
        <v>596</v>
      </c>
      <c r="C52" s="801"/>
      <c r="D52" s="543"/>
      <c r="E52" s="803">
        <v>100000000</v>
      </c>
      <c r="F52" s="803">
        <v>9500000000</v>
      </c>
      <c r="G52" s="803">
        <v>6200000000</v>
      </c>
      <c r="H52" s="803">
        <v>2700000000</v>
      </c>
      <c r="I52" s="803">
        <v>3700000000</v>
      </c>
      <c r="J52" s="809">
        <v>3400000000</v>
      </c>
      <c r="K52" s="809">
        <v>9900000000</v>
      </c>
      <c r="L52" s="803">
        <v>23400000000</v>
      </c>
      <c r="M52" s="803">
        <v>14400000000</v>
      </c>
      <c r="N52" s="803">
        <v>33500000000</v>
      </c>
      <c r="O52" s="803">
        <v>32700000000.000004</v>
      </c>
      <c r="P52" s="803">
        <v>46400000000</v>
      </c>
      <c r="Q52" s="832">
        <v>55900000000</v>
      </c>
      <c r="R52" s="832">
        <v>15400000000</v>
      </c>
      <c r="S52" s="832">
        <v>23700000000</v>
      </c>
      <c r="T52" s="832">
        <v>187200000000</v>
      </c>
      <c r="U52" s="832">
        <v>43400000000</v>
      </c>
      <c r="V52" s="832">
        <v>76000000000</v>
      </c>
      <c r="W52" s="832">
        <v>59700000000</v>
      </c>
      <c r="X52" s="54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c r="BE52" s="365"/>
      <c r="BF52" s="365"/>
      <c r="BG52" s="365"/>
      <c r="BH52" s="365"/>
      <c r="BI52" s="365"/>
      <c r="BJ52" s="365"/>
      <c r="BK52" s="365"/>
      <c r="BL52" s="365"/>
      <c r="BM52" s="365"/>
      <c r="BN52" s="365"/>
    </row>
    <row r="53" spans="1:66">
      <c r="A53" s="807" t="s">
        <v>350</v>
      </c>
      <c r="B53" s="807" t="s">
        <v>597</v>
      </c>
      <c r="C53" s="805" t="s">
        <v>124</v>
      </c>
      <c r="D53" s="543"/>
      <c r="E53" s="803">
        <v>14300000000</v>
      </c>
      <c r="F53" s="803">
        <v>2100000000</v>
      </c>
      <c r="G53" s="803">
        <v>12800000000</v>
      </c>
      <c r="H53" s="803">
        <v>-2700000000</v>
      </c>
      <c r="I53" s="803">
        <v>13000000000</v>
      </c>
      <c r="J53" s="809">
        <v>54100000000</v>
      </c>
      <c r="K53" s="809">
        <v>37000000000</v>
      </c>
      <c r="L53" s="803">
        <v>33400000000</v>
      </c>
      <c r="M53" s="803">
        <v>-68500000000</v>
      </c>
      <c r="N53" s="803">
        <v>900000000</v>
      </c>
      <c r="O53" s="803">
        <v>7600000000</v>
      </c>
      <c r="P53" s="803">
        <v>-13200000000</v>
      </c>
      <c r="Q53" s="832">
        <v>-20200000000</v>
      </c>
      <c r="R53" s="832">
        <v>-16000000000</v>
      </c>
      <c r="S53" s="832">
        <v>8600000000</v>
      </c>
      <c r="T53" s="832">
        <v>-42700000000</v>
      </c>
      <c r="U53" s="832">
        <v>5000000000</v>
      </c>
      <c r="V53" s="832">
        <v>-25700000000</v>
      </c>
      <c r="W53" s="832">
        <v>-21100000000</v>
      </c>
      <c r="X53" s="54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c r="BE53" s="365"/>
      <c r="BF53" s="365"/>
      <c r="BG53" s="365"/>
      <c r="BH53" s="365"/>
      <c r="BI53" s="365"/>
      <c r="BJ53" s="365"/>
      <c r="BK53" s="365"/>
      <c r="BL53" s="365"/>
      <c r="BM53" s="365"/>
      <c r="BN53" s="365"/>
    </row>
    <row r="54" spans="1:66">
      <c r="A54" s="506" t="s">
        <v>76</v>
      </c>
      <c r="B54" s="808" t="s">
        <v>598</v>
      </c>
      <c r="C54" s="801"/>
      <c r="D54" s="543"/>
      <c r="E54" s="809"/>
      <c r="F54" s="809"/>
      <c r="G54" s="809"/>
      <c r="H54" s="803">
        <v>0</v>
      </c>
      <c r="I54" s="803">
        <v>12500000000</v>
      </c>
      <c r="J54" s="809">
        <v>50000000000</v>
      </c>
      <c r="K54" s="809">
        <v>44200000000</v>
      </c>
      <c r="L54" s="803">
        <v>31600000000</v>
      </c>
      <c r="M54" s="803">
        <v>0</v>
      </c>
      <c r="N54" s="803">
        <v>0</v>
      </c>
      <c r="O54" s="803">
        <v>0</v>
      </c>
      <c r="P54" s="803">
        <v>0</v>
      </c>
      <c r="Q54" s="832">
        <v>0</v>
      </c>
      <c r="R54" s="832">
        <v>0</v>
      </c>
      <c r="S54" s="832" t="s">
        <v>599</v>
      </c>
      <c r="T54" s="832">
        <v>0</v>
      </c>
      <c r="U54" s="832">
        <v>0</v>
      </c>
      <c r="V54" s="832">
        <v>0</v>
      </c>
      <c r="W54" s="832">
        <v>0</v>
      </c>
      <c r="X54" s="543"/>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c r="BE54" s="365"/>
      <c r="BF54" s="365"/>
      <c r="BG54" s="365"/>
      <c r="BH54" s="365"/>
      <c r="BI54" s="365"/>
      <c r="BJ54" s="365"/>
      <c r="BK54" s="365"/>
      <c r="BL54" s="365"/>
      <c r="BM54" s="365"/>
      <c r="BN54" s="365"/>
    </row>
    <row r="55" spans="1:66">
      <c r="A55" s="506" t="s">
        <v>76</v>
      </c>
      <c r="B55" s="808" t="s">
        <v>600</v>
      </c>
      <c r="C55" s="801"/>
      <c r="D55" s="543"/>
      <c r="E55" s="809"/>
      <c r="F55" s="809"/>
      <c r="G55" s="809"/>
      <c r="H55" s="809"/>
      <c r="I55" s="809"/>
      <c r="J55" s="809">
        <v>4800000000</v>
      </c>
      <c r="K55" s="809">
        <v>-2800000000</v>
      </c>
      <c r="L55" s="803">
        <v>3500000000</v>
      </c>
      <c r="M55" s="803">
        <v>8700000000</v>
      </c>
      <c r="N55" s="803">
        <v>5500000000</v>
      </c>
      <c r="O55" s="803">
        <v>4300000000</v>
      </c>
      <c r="P55" s="803">
        <v>-24600000000</v>
      </c>
      <c r="Q55" s="832">
        <v>-62700000000</v>
      </c>
      <c r="R55" s="832">
        <v>7300000000</v>
      </c>
      <c r="S55" s="832">
        <v>-5100000000</v>
      </c>
      <c r="T55" s="832">
        <v>-14800000000</v>
      </c>
      <c r="U55" s="832">
        <v>-3400000000</v>
      </c>
      <c r="V55" s="832">
        <v>-6000000000</v>
      </c>
      <c r="W55" s="832">
        <v>-4700000000</v>
      </c>
      <c r="X55" s="54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c r="BE55" s="365"/>
      <c r="BF55" s="365"/>
      <c r="BG55" s="365"/>
      <c r="BH55" s="365"/>
      <c r="BI55" s="365"/>
      <c r="BJ55" s="365"/>
      <c r="BK55" s="365"/>
      <c r="BL55" s="365"/>
      <c r="BM55" s="365"/>
      <c r="BN55" s="365"/>
    </row>
    <row r="56" spans="1:66">
      <c r="A56" s="506" t="s">
        <v>76</v>
      </c>
      <c r="B56" s="808" t="s">
        <v>601</v>
      </c>
      <c r="C56" s="801"/>
      <c r="D56" s="543"/>
      <c r="E56" s="809"/>
      <c r="F56" s="809"/>
      <c r="G56" s="809"/>
      <c r="H56" s="809"/>
      <c r="I56" s="809"/>
      <c r="J56" s="809">
        <v>-100000000</v>
      </c>
      <c r="K56" s="809">
        <v>-1000000000</v>
      </c>
      <c r="L56" s="803">
        <v>-1200000000</v>
      </c>
      <c r="M56" s="803">
        <v>-3200000000</v>
      </c>
      <c r="N56" s="803">
        <v>-2000000000</v>
      </c>
      <c r="O56" s="803">
        <v>0</v>
      </c>
      <c r="P56" s="803">
        <v>0</v>
      </c>
      <c r="Q56" s="832">
        <v>63300000000</v>
      </c>
      <c r="R56" s="832">
        <v>-6500000000</v>
      </c>
      <c r="S56" s="832">
        <v>0</v>
      </c>
      <c r="T56" s="832">
        <v>0</v>
      </c>
      <c r="U56" s="832">
        <v>0</v>
      </c>
      <c r="V56" s="832">
        <v>0</v>
      </c>
      <c r="W56" s="832">
        <v>0</v>
      </c>
      <c r="X56" s="54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c r="BE56" s="365"/>
      <c r="BF56" s="365"/>
      <c r="BG56" s="365"/>
      <c r="BH56" s="365"/>
      <c r="BI56" s="365"/>
      <c r="BJ56" s="365"/>
      <c r="BK56" s="365"/>
      <c r="BL56" s="365"/>
      <c r="BM56" s="365"/>
      <c r="BN56" s="365"/>
    </row>
    <row r="57" spans="1:66">
      <c r="A57" s="506" t="s">
        <v>76</v>
      </c>
      <c r="B57" s="808" t="s">
        <v>602</v>
      </c>
      <c r="C57" s="801"/>
      <c r="D57" s="543"/>
      <c r="E57" s="809"/>
      <c r="F57" s="809"/>
      <c r="G57" s="809"/>
      <c r="H57" s="809"/>
      <c r="I57" s="809"/>
      <c r="J57" s="809">
        <v>-500000000</v>
      </c>
      <c r="K57" s="809">
        <v>-3400000000</v>
      </c>
      <c r="L57" s="803">
        <v>-500000000</v>
      </c>
      <c r="M57" s="803">
        <v>-74000000000</v>
      </c>
      <c r="N57" s="803">
        <v>-2600000000</v>
      </c>
      <c r="O57" s="803">
        <v>3400000000</v>
      </c>
      <c r="P57" s="803">
        <v>11400000000</v>
      </c>
      <c r="Q57" s="832">
        <v>-20900000000</v>
      </c>
      <c r="R57" s="832">
        <v>-16700000000</v>
      </c>
      <c r="S57" s="832">
        <v>6000000000</v>
      </c>
      <c r="T57" s="832">
        <v>-27900000000</v>
      </c>
      <c r="U57" s="832">
        <v>8400000000</v>
      </c>
      <c r="V57" s="832">
        <v>-19700000000</v>
      </c>
      <c r="W57" s="832">
        <v>-16399999999.999998</v>
      </c>
      <c r="X57" s="54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c r="BE57" s="365"/>
      <c r="BF57" s="365"/>
      <c r="BG57" s="365"/>
      <c r="BH57" s="365"/>
      <c r="BI57" s="365"/>
      <c r="BJ57" s="365"/>
      <c r="BK57" s="365"/>
      <c r="BL57" s="365"/>
      <c r="BM57" s="365"/>
      <c r="BN57" s="365"/>
    </row>
    <row r="58" spans="1:66">
      <c r="A58" s="804" t="s">
        <v>117</v>
      </c>
      <c r="B58" s="815" t="s">
        <v>603</v>
      </c>
      <c r="C58" s="806" t="s">
        <v>119</v>
      </c>
      <c r="D58" s="543"/>
      <c r="E58" s="803">
        <v>32100000000</v>
      </c>
      <c r="F58" s="803">
        <v>41800000000</v>
      </c>
      <c r="G58" s="803">
        <v>27400000000</v>
      </c>
      <c r="H58" s="803">
        <v>35300000000</v>
      </c>
      <c r="I58" s="803">
        <v>15500000000</v>
      </c>
      <c r="J58" s="809">
        <v>11800000000</v>
      </c>
      <c r="K58" s="809">
        <v>38800000000</v>
      </c>
      <c r="L58" s="803">
        <v>17900000000</v>
      </c>
      <c r="M58" s="803">
        <v>356200000000</v>
      </c>
      <c r="N58" s="803">
        <v>62500000000</v>
      </c>
      <c r="O58" s="803">
        <v>43000000000</v>
      </c>
      <c r="P58" s="803">
        <v>54800000000</v>
      </c>
      <c r="Q58" s="832">
        <v>87800000000</v>
      </c>
      <c r="R58" s="832">
        <v>25800000000</v>
      </c>
      <c r="S58" s="832">
        <v>162500000000</v>
      </c>
      <c r="T58" s="832">
        <v>145100000000</v>
      </c>
      <c r="U58" s="832">
        <v>100800000000</v>
      </c>
      <c r="V58" s="832">
        <v>113200000000</v>
      </c>
      <c r="W58" s="832">
        <v>167600000000</v>
      </c>
      <c r="X58" s="54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c r="BE58" s="365"/>
      <c r="BF58" s="365"/>
      <c r="BG58" s="365"/>
      <c r="BH58" s="365"/>
      <c r="BI58" s="365"/>
      <c r="BJ58" s="365"/>
      <c r="BK58" s="365"/>
      <c r="BL58" s="365"/>
      <c r="BM58" s="365"/>
      <c r="BN58" s="365"/>
    </row>
    <row r="59" spans="1:66">
      <c r="A59" s="506" t="s">
        <v>604</v>
      </c>
      <c r="B59" s="807" t="s">
        <v>605</v>
      </c>
      <c r="C59" s="805" t="s">
        <v>264</v>
      </c>
      <c r="D59" s="543"/>
      <c r="E59" s="803">
        <v>44300000000</v>
      </c>
      <c r="F59" s="803">
        <v>51400000000</v>
      </c>
      <c r="G59" s="803">
        <v>53000000000</v>
      </c>
      <c r="H59" s="803">
        <v>46300000000</v>
      </c>
      <c r="I59" s="803">
        <v>22700000000</v>
      </c>
      <c r="J59" s="809">
        <v>34900000000</v>
      </c>
      <c r="K59" s="809">
        <v>64500000000</v>
      </c>
      <c r="L59" s="803">
        <v>48800000000</v>
      </c>
      <c r="M59" s="803">
        <v>395600000000</v>
      </c>
      <c r="N59" s="803">
        <v>105300000000</v>
      </c>
      <c r="O59" s="803">
        <v>88900000000</v>
      </c>
      <c r="P59" s="803">
        <v>118400000000</v>
      </c>
      <c r="Q59" s="832">
        <v>373100000000</v>
      </c>
      <c r="R59" s="832">
        <v>106800000000</v>
      </c>
      <c r="S59" s="832">
        <v>345600000000</v>
      </c>
      <c r="T59" s="832">
        <v>228900000000</v>
      </c>
      <c r="U59" s="832">
        <v>185500000000</v>
      </c>
      <c r="V59" s="832">
        <v>201500000000</v>
      </c>
      <c r="W59" s="832">
        <v>260600000000.00003</v>
      </c>
      <c r="X59" s="54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c r="BE59" s="365"/>
      <c r="BF59" s="365"/>
      <c r="BG59" s="365"/>
      <c r="BH59" s="365"/>
      <c r="BI59" s="365"/>
      <c r="BJ59" s="365"/>
      <c r="BK59" s="365"/>
      <c r="BL59" s="365"/>
      <c r="BM59" s="365"/>
      <c r="BN59" s="365"/>
    </row>
    <row r="60" spans="1:66">
      <c r="A60" s="506" t="s">
        <v>606</v>
      </c>
      <c r="B60" s="807" t="s">
        <v>607</v>
      </c>
      <c r="C60" s="805" t="s">
        <v>264</v>
      </c>
      <c r="D60" s="543"/>
      <c r="E60" s="803">
        <v>-11600000000</v>
      </c>
      <c r="F60" s="803">
        <v>-13300000000</v>
      </c>
      <c r="G60" s="803">
        <v>-17300000000</v>
      </c>
      <c r="H60" s="803">
        <v>-11100000000</v>
      </c>
      <c r="I60" s="803">
        <v>-7200000000</v>
      </c>
      <c r="J60" s="809">
        <v>-7100000000</v>
      </c>
      <c r="K60" s="809">
        <v>-6000000000</v>
      </c>
      <c r="L60" s="803">
        <v>-4900000000</v>
      </c>
      <c r="M60" s="803">
        <v>-6300000000</v>
      </c>
      <c r="N60" s="803">
        <v>-9700000000</v>
      </c>
      <c r="O60" s="803">
        <v>-10800000000</v>
      </c>
      <c r="P60" s="803">
        <v>-27900000000</v>
      </c>
      <c r="Q60" s="832">
        <v>-246400000000</v>
      </c>
      <c r="R60" s="832">
        <v>-38600000000</v>
      </c>
      <c r="S60" s="832">
        <v>-118700000000</v>
      </c>
      <c r="T60" s="832">
        <v>-33700000000.000004</v>
      </c>
      <c r="U60" s="832">
        <v>-35100000000</v>
      </c>
      <c r="V60" s="832">
        <v>-35100000000</v>
      </c>
      <c r="W60" s="832">
        <v>-41300000000</v>
      </c>
      <c r="X60" s="543"/>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c r="BE60" s="365"/>
      <c r="BF60" s="365"/>
      <c r="BG60" s="365"/>
      <c r="BH60" s="365"/>
      <c r="BI60" s="365"/>
      <c r="BJ60" s="365"/>
      <c r="BK60" s="365"/>
      <c r="BL60" s="365"/>
      <c r="BM60" s="365"/>
      <c r="BN60" s="365"/>
    </row>
    <row r="61" spans="1:66">
      <c r="A61" s="506" t="s">
        <v>608</v>
      </c>
      <c r="B61" s="807" t="s">
        <v>609</v>
      </c>
      <c r="C61" s="805" t="s">
        <v>264</v>
      </c>
      <c r="D61" s="543"/>
      <c r="E61" s="803">
        <v>-600000000</v>
      </c>
      <c r="F61" s="803">
        <v>3700000000</v>
      </c>
      <c r="G61" s="803">
        <v>-10200000000</v>
      </c>
      <c r="H61" s="803"/>
      <c r="I61" s="803"/>
      <c r="J61" s="809"/>
      <c r="K61" s="803"/>
      <c r="L61" s="803"/>
      <c r="M61" s="803"/>
      <c r="N61" s="803"/>
      <c r="O61" s="803"/>
      <c r="P61" s="803"/>
      <c r="Q61" s="832"/>
      <c r="R61" s="832"/>
      <c r="S61" s="832"/>
      <c r="T61" s="832"/>
      <c r="U61" s="832"/>
      <c r="V61" s="832"/>
      <c r="W61" s="832"/>
      <c r="X61" s="543"/>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c r="BE61" s="365"/>
      <c r="BF61" s="365"/>
      <c r="BG61" s="365"/>
      <c r="BH61" s="365"/>
      <c r="BI61" s="365"/>
      <c r="BJ61" s="365"/>
      <c r="BK61" s="365"/>
      <c r="BL61" s="365"/>
      <c r="BM61" s="365"/>
      <c r="BN61" s="365"/>
    </row>
    <row r="62" spans="1:66">
      <c r="A62" s="506" t="s">
        <v>610</v>
      </c>
      <c r="B62" s="807" t="s">
        <v>611</v>
      </c>
      <c r="C62" s="805" t="s">
        <v>264</v>
      </c>
      <c r="D62" s="543"/>
      <c r="E62" s="803">
        <v>0</v>
      </c>
      <c r="F62" s="803">
        <v>0</v>
      </c>
      <c r="G62" s="803">
        <v>1900000000</v>
      </c>
      <c r="H62" s="803"/>
      <c r="I62" s="803"/>
      <c r="J62" s="809"/>
      <c r="K62" s="803"/>
      <c r="L62" s="803"/>
      <c r="M62" s="803"/>
      <c r="N62" s="803"/>
      <c r="O62" s="803"/>
      <c r="P62" s="803"/>
      <c r="Q62" s="832"/>
      <c r="R62" s="832"/>
      <c r="S62" s="832"/>
      <c r="T62" s="832"/>
      <c r="U62" s="832"/>
      <c r="V62" s="832"/>
      <c r="W62" s="832"/>
      <c r="X62" s="54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c r="BE62" s="365"/>
      <c r="BF62" s="365"/>
      <c r="BG62" s="365"/>
      <c r="BH62" s="365"/>
      <c r="BI62" s="365"/>
      <c r="BJ62" s="365"/>
      <c r="BK62" s="365"/>
      <c r="BL62" s="365"/>
      <c r="BM62" s="365"/>
      <c r="BN62" s="365"/>
    </row>
    <row r="63" spans="1:66">
      <c r="A63" s="506" t="s">
        <v>612</v>
      </c>
      <c r="B63" s="807" t="s">
        <v>602</v>
      </c>
      <c r="C63" s="805" t="s">
        <v>264</v>
      </c>
      <c r="D63" s="543"/>
      <c r="E63" s="809"/>
      <c r="F63" s="809"/>
      <c r="G63" s="809"/>
      <c r="H63" s="809"/>
      <c r="I63" s="809"/>
      <c r="J63" s="809">
        <v>-16000000000</v>
      </c>
      <c r="K63" s="809">
        <v>-19700000000</v>
      </c>
      <c r="L63" s="803">
        <v>-26000000000</v>
      </c>
      <c r="M63" s="803">
        <v>-33100000000</v>
      </c>
      <c r="N63" s="803">
        <v>-33100000000</v>
      </c>
      <c r="O63" s="803">
        <v>-35100000000</v>
      </c>
      <c r="P63" s="803">
        <v>-35600000000</v>
      </c>
      <c r="Q63" s="832">
        <v>-38900000000</v>
      </c>
      <c r="R63" s="832">
        <v>-42400000000</v>
      </c>
      <c r="S63" s="832">
        <v>-64300000000</v>
      </c>
      <c r="T63" s="832">
        <v>-50000000000</v>
      </c>
      <c r="U63" s="832">
        <v>-49600000000</v>
      </c>
      <c r="V63" s="832">
        <v>-53200000000</v>
      </c>
      <c r="W63" s="832">
        <v>-51800000000</v>
      </c>
      <c r="X63" s="54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c r="BE63" s="365"/>
      <c r="BF63" s="365"/>
      <c r="BG63" s="365"/>
      <c r="BH63" s="365"/>
      <c r="BI63" s="365"/>
      <c r="BJ63" s="365"/>
      <c r="BK63" s="365"/>
      <c r="BL63" s="365"/>
      <c r="BM63" s="365"/>
      <c r="BN63" s="365"/>
    </row>
    <row r="64" spans="1:66">
      <c r="B64" s="805" t="s">
        <v>613</v>
      </c>
      <c r="C64" s="795" t="s">
        <v>119</v>
      </c>
      <c r="D64" s="543"/>
      <c r="E64" s="809"/>
      <c r="F64" s="809"/>
      <c r="G64" s="809"/>
      <c r="H64" s="803"/>
      <c r="I64" s="809"/>
      <c r="J64" s="809"/>
      <c r="K64" s="809"/>
      <c r="L64" s="809"/>
      <c r="M64" s="803" t="s">
        <v>78</v>
      </c>
      <c r="N64" s="803" t="s">
        <v>78</v>
      </c>
      <c r="O64" s="803" t="s">
        <v>78</v>
      </c>
      <c r="P64" s="803" t="s">
        <v>78</v>
      </c>
      <c r="Q64" s="832">
        <v>0</v>
      </c>
      <c r="R64" s="832">
        <v>0</v>
      </c>
      <c r="S64" s="832">
        <v>47800000000</v>
      </c>
      <c r="T64" s="832">
        <v>48000000000</v>
      </c>
      <c r="U64" s="832">
        <v>48900000000</v>
      </c>
      <c r="V64" s="832">
        <v>0</v>
      </c>
      <c r="W64" s="832">
        <v>0</v>
      </c>
      <c r="X64" s="54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c r="BE64" s="365"/>
      <c r="BF64" s="365"/>
      <c r="BG64" s="365"/>
      <c r="BH64" s="365"/>
      <c r="BI64" s="365"/>
      <c r="BJ64" s="365"/>
      <c r="BK64" s="365"/>
      <c r="BL64" s="365"/>
      <c r="BM64" s="365"/>
      <c r="BN64" s="365"/>
    </row>
    <row r="65" spans="2:66">
      <c r="B65" s="805" t="s">
        <v>614</v>
      </c>
      <c r="C65" s="801"/>
      <c r="D65" s="543"/>
      <c r="E65" s="506">
        <f t="shared" ref="E65:S65" si="2">(E18/E6)*100</f>
        <v>9.2315369261477045</v>
      </c>
      <c r="F65" s="506">
        <f t="shared" si="2"/>
        <v>18.496884735202492</v>
      </c>
      <c r="G65" s="506">
        <f t="shared" si="2"/>
        <v>18.103149878850815</v>
      </c>
      <c r="H65" s="506">
        <f t="shared" si="2"/>
        <v>3.303814713896458</v>
      </c>
      <c r="I65" s="506">
        <f t="shared" si="2"/>
        <v>2.7848820687695368</v>
      </c>
      <c r="J65" s="506">
        <f t="shared" si="2"/>
        <v>2.5356244761106455</v>
      </c>
      <c r="K65" s="506">
        <f t="shared" si="2"/>
        <v>3.7154150197628457</v>
      </c>
      <c r="L65" s="506">
        <f t="shared" si="2"/>
        <v>2.0662287903667216</v>
      </c>
      <c r="M65" s="506">
        <f t="shared" si="2"/>
        <v>3.2336790726052471</v>
      </c>
      <c r="N65" s="506">
        <f t="shared" si="2"/>
        <v>3.8403922102682828</v>
      </c>
      <c r="O65" s="506">
        <f t="shared" si="2"/>
        <v>6.9382863990413419</v>
      </c>
      <c r="P65" s="506">
        <f t="shared" si="2"/>
        <v>1.8933452834416311</v>
      </c>
      <c r="Q65" s="834">
        <f t="shared" si="2"/>
        <v>1.0677212061295107</v>
      </c>
      <c r="R65" s="834">
        <f t="shared" si="2"/>
        <v>1.3620139019349993</v>
      </c>
      <c r="S65" s="834">
        <f t="shared" si="2"/>
        <v>2.5643390831104145</v>
      </c>
      <c r="T65" s="834">
        <f>(T18/T6)*100</f>
        <v>2.6078142277921121</v>
      </c>
      <c r="U65" s="832"/>
      <c r="V65" s="832"/>
      <c r="W65" s="832"/>
      <c r="X65" s="54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c r="BE65" s="365"/>
      <c r="BF65" s="365"/>
      <c r="BG65" s="365"/>
      <c r="BH65" s="365"/>
      <c r="BI65" s="365"/>
      <c r="BJ65" s="365"/>
      <c r="BK65" s="365"/>
      <c r="BL65" s="365"/>
      <c r="BM65" s="365"/>
      <c r="BN65" s="365"/>
    </row>
    <row r="66" spans="2:66">
      <c r="B66" s="807"/>
      <c r="C66" s="801"/>
      <c r="D66" s="543"/>
      <c r="H66" s="816"/>
      <c r="L66" s="816"/>
      <c r="M66" s="803"/>
      <c r="N66" s="803"/>
      <c r="O66" s="803"/>
      <c r="P66" s="803"/>
      <c r="Q66" s="832"/>
      <c r="R66" s="832"/>
      <c r="S66" s="832"/>
      <c r="T66" s="832"/>
      <c r="U66" s="832"/>
      <c r="V66" s="832"/>
      <c r="W66" s="832"/>
      <c r="X66" s="54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c r="BE66" s="365"/>
      <c r="BF66" s="365"/>
      <c r="BG66" s="365"/>
      <c r="BH66" s="365"/>
      <c r="BI66" s="365"/>
      <c r="BJ66" s="365"/>
      <c r="BK66" s="365"/>
      <c r="BL66" s="365"/>
      <c r="BM66" s="365"/>
      <c r="BN66" s="365"/>
    </row>
    <row r="67" spans="2:66">
      <c r="B67" s="807"/>
      <c r="C67" s="801"/>
      <c r="D67" s="543"/>
      <c r="E67" s="506" t="s">
        <v>139</v>
      </c>
      <c r="F67" s="506" t="s">
        <v>139</v>
      </c>
      <c r="G67" s="506" t="s">
        <v>139</v>
      </c>
      <c r="H67" s="506" t="s">
        <v>139</v>
      </c>
      <c r="I67" s="506" t="s">
        <v>139</v>
      </c>
      <c r="J67" s="506" t="s">
        <v>139</v>
      </c>
      <c r="K67" s="506" t="s">
        <v>139</v>
      </c>
      <c r="L67" s="506" t="s">
        <v>139</v>
      </c>
      <c r="M67" s="506" t="s">
        <v>139</v>
      </c>
      <c r="N67" s="506" t="s">
        <v>139</v>
      </c>
      <c r="O67" s="506" t="s">
        <v>139</v>
      </c>
      <c r="P67" s="506" t="s">
        <v>139</v>
      </c>
      <c r="Q67" s="834" t="s">
        <v>139</v>
      </c>
      <c r="R67" s="834" t="s">
        <v>139</v>
      </c>
      <c r="S67" s="834" t="s">
        <v>139</v>
      </c>
      <c r="T67" s="834" t="s">
        <v>139</v>
      </c>
      <c r="U67" s="834" t="s">
        <v>139</v>
      </c>
      <c r="V67" s="834" t="s">
        <v>139</v>
      </c>
      <c r="W67" s="834" t="s">
        <v>139</v>
      </c>
      <c r="X67" s="543"/>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c r="BE67" s="365"/>
      <c r="BF67" s="365"/>
      <c r="BG67" s="365"/>
      <c r="BH67" s="365"/>
      <c r="BI67" s="365"/>
      <c r="BJ67" s="365"/>
      <c r="BK67" s="365"/>
      <c r="BL67" s="365"/>
      <c r="BM67" s="365"/>
      <c r="BN67" s="365"/>
    </row>
    <row r="68" spans="2:66">
      <c r="B68" s="807"/>
      <c r="C68" s="801"/>
      <c r="D68" s="543"/>
      <c r="H68" s="816"/>
      <c r="M68" s="803"/>
      <c r="N68" s="803"/>
      <c r="O68" s="803"/>
      <c r="P68" s="803"/>
      <c r="Q68" s="832"/>
      <c r="R68" s="832"/>
      <c r="S68" s="832"/>
      <c r="T68" s="832"/>
      <c r="U68" s="832"/>
      <c r="V68" s="832"/>
      <c r="W68" s="832"/>
      <c r="X68" s="543"/>
    </row>
    <row r="69" spans="2:66">
      <c r="B69" s="506" t="s">
        <v>615</v>
      </c>
      <c r="C69" s="801"/>
      <c r="D69" s="817"/>
      <c r="E69" s="817">
        <f t="shared" ref="E69:K69" si="3">E6-E7-E18</f>
        <v>-100000000</v>
      </c>
      <c r="F69" s="817">
        <f t="shared" si="3"/>
        <v>0</v>
      </c>
      <c r="G69" s="817">
        <f t="shared" si="3"/>
        <v>0</v>
      </c>
      <c r="H69" s="817">
        <f t="shared" si="3"/>
        <v>100000000</v>
      </c>
      <c r="I69" s="817">
        <f t="shared" si="3"/>
        <v>0</v>
      </c>
      <c r="J69" s="817">
        <f t="shared" si="3"/>
        <v>0</v>
      </c>
      <c r="K69" s="817">
        <f t="shared" si="3"/>
        <v>-100000000</v>
      </c>
      <c r="L69" s="817">
        <f t="shared" ref="L69:S69" si="4">L6-L7-L18</f>
        <v>100000000</v>
      </c>
      <c r="M69" s="817">
        <f t="shared" si="4"/>
        <v>0</v>
      </c>
      <c r="N69" s="817">
        <f t="shared" si="4"/>
        <v>0</v>
      </c>
      <c r="O69" s="817">
        <f t="shared" si="4"/>
        <v>0</v>
      </c>
      <c r="P69" s="817">
        <f t="shared" si="4"/>
        <v>0</v>
      </c>
      <c r="Q69" s="834">
        <f t="shared" si="4"/>
        <v>0</v>
      </c>
      <c r="R69" s="834">
        <f t="shared" si="4"/>
        <v>0</v>
      </c>
      <c r="S69" s="834">
        <f t="shared" si="4"/>
        <v>-1.220703125E-4</v>
      </c>
      <c r="T69" s="834">
        <f>T6-T7-T18</f>
        <v>-1.220703125E-4</v>
      </c>
      <c r="U69" s="834">
        <f t="shared" ref="U69:W69" si="5">U6-U7-U18</f>
        <v>0</v>
      </c>
      <c r="V69" s="834">
        <f t="shared" si="5"/>
        <v>0</v>
      </c>
      <c r="W69" s="834">
        <f t="shared" si="5"/>
        <v>0</v>
      </c>
      <c r="X69" s="543"/>
    </row>
    <row r="70" spans="2:66">
      <c r="B70" s="506" t="s">
        <v>616</v>
      </c>
      <c r="C70" s="801"/>
      <c r="D70" s="817"/>
      <c r="E70" s="817">
        <f>E7-E8-E15-E16-E17</f>
        <v>0</v>
      </c>
      <c r="F70" s="817">
        <f>F7-F8-F15-F16-F17</f>
        <v>0</v>
      </c>
      <c r="G70" s="817">
        <f>G7-G8-G15-G16-G17</f>
        <v>100000000</v>
      </c>
      <c r="H70" s="817">
        <f>H7-H8-H15-H16-H17</f>
        <v>0</v>
      </c>
      <c r="I70" s="817">
        <f>I7-I8-I15-I16-I17</f>
        <v>0</v>
      </c>
      <c r="J70" s="817">
        <f>J7-J8-J15-J16</f>
        <v>100000000</v>
      </c>
      <c r="K70" s="817">
        <f>K7-K8-K15-K16</f>
        <v>100000000</v>
      </c>
      <c r="L70" s="817">
        <f t="shared" ref="L70:S70" si="6">L7-L8-L15-L16</f>
        <v>0</v>
      </c>
      <c r="M70" s="817">
        <f t="shared" si="6"/>
        <v>0</v>
      </c>
      <c r="N70" s="817">
        <f t="shared" si="6"/>
        <v>100000000</v>
      </c>
      <c r="O70" s="817">
        <f t="shared" si="6"/>
        <v>0</v>
      </c>
      <c r="P70" s="817">
        <f t="shared" si="6"/>
        <v>0</v>
      </c>
      <c r="Q70" s="834">
        <f t="shared" si="6"/>
        <v>0</v>
      </c>
      <c r="R70" s="834">
        <f t="shared" si="6"/>
        <v>-1.220703125E-4</v>
      </c>
      <c r="S70" s="834">
        <f t="shared" si="6"/>
        <v>100000000</v>
      </c>
      <c r="T70" s="834">
        <f>T7-T8-T15-T16</f>
        <v>1.220703125E-4</v>
      </c>
      <c r="U70" s="834">
        <f t="shared" ref="U70:W70" si="7">U7-U8-U15-U16</f>
        <v>0</v>
      </c>
      <c r="V70" s="834">
        <f t="shared" si="7"/>
        <v>0</v>
      </c>
      <c r="W70" s="834">
        <f t="shared" si="7"/>
        <v>0</v>
      </c>
      <c r="X70" s="543"/>
    </row>
    <row r="71" spans="2:66">
      <c r="B71" s="506" t="s">
        <v>617</v>
      </c>
      <c r="C71" s="801"/>
      <c r="D71" s="818"/>
      <c r="E71" s="819">
        <f>E8-E9-E11-E12-E13-E14-E10</f>
        <v>168500000000</v>
      </c>
      <c r="F71" s="819">
        <f>F8-F9-F11-F12-F13-F14-F10</f>
        <v>198600000000</v>
      </c>
      <c r="G71" s="819">
        <f>G8-G9-G11-G12-G13-G14-G10</f>
        <v>227400000000</v>
      </c>
      <c r="H71" s="818">
        <f>H8-H9-H11-H12-H13-H14-H10</f>
        <v>0</v>
      </c>
      <c r="I71" s="818">
        <f>I8-I9-I11-I12-I13-I14-I10</f>
        <v>0</v>
      </c>
      <c r="J71" s="818">
        <f>J8-J9-J11-J12-J13-J14</f>
        <v>-100000000</v>
      </c>
      <c r="K71" s="818">
        <f>K8-K9-K11-K12-K13-K14</f>
        <v>0</v>
      </c>
      <c r="L71" s="818">
        <f t="shared" ref="L71:S71" si="8">L8-L9-L11-L12-L13-L14</f>
        <v>0</v>
      </c>
      <c r="M71" s="818">
        <f t="shared" si="8"/>
        <v>0</v>
      </c>
      <c r="N71" s="818">
        <f t="shared" si="8"/>
        <v>0</v>
      </c>
      <c r="O71" s="818">
        <f t="shared" si="8"/>
        <v>0</v>
      </c>
      <c r="P71" s="818">
        <f t="shared" si="8"/>
        <v>-100000000</v>
      </c>
      <c r="Q71" s="834">
        <f t="shared" si="8"/>
        <v>0</v>
      </c>
      <c r="R71" s="834">
        <f t="shared" si="8"/>
        <v>0</v>
      </c>
      <c r="S71" s="834">
        <f t="shared" si="8"/>
        <v>0</v>
      </c>
      <c r="T71" s="834">
        <f>T8-T9-T11-T12-T13-T14</f>
        <v>0</v>
      </c>
      <c r="U71" s="834">
        <f t="shared" ref="U71:W71" si="9">U8-U9-U11-U12-U13-U14</f>
        <v>0</v>
      </c>
      <c r="V71" s="834">
        <f t="shared" si="9"/>
        <v>-100000000</v>
      </c>
      <c r="W71" s="834">
        <f t="shared" si="9"/>
        <v>0</v>
      </c>
      <c r="X71" s="543"/>
    </row>
    <row r="72" spans="2:66">
      <c r="B72" s="506" t="s">
        <v>618</v>
      </c>
      <c r="C72" s="801"/>
      <c r="D72" s="818"/>
      <c r="E72" s="819">
        <f t="shared" ref="E72:L72" si="10">E18-E19-E20-E21</f>
        <v>18500000000</v>
      </c>
      <c r="F72" s="819">
        <f t="shared" si="10"/>
        <v>47500000000</v>
      </c>
      <c r="G72" s="819">
        <f t="shared" si="10"/>
        <v>52300000000</v>
      </c>
      <c r="H72" s="819">
        <f t="shared" si="10"/>
        <v>9700000000</v>
      </c>
      <c r="I72" s="819">
        <f t="shared" si="10"/>
        <v>9800000000</v>
      </c>
      <c r="J72" s="819">
        <f t="shared" si="10"/>
        <v>12100000000</v>
      </c>
      <c r="K72" s="819">
        <f t="shared" si="10"/>
        <v>23500000000</v>
      </c>
      <c r="L72" s="819">
        <f t="shared" si="10"/>
        <v>15100000000</v>
      </c>
      <c r="M72" s="818">
        <f>M18-M19-M20-M21</f>
        <v>0</v>
      </c>
      <c r="N72" s="818">
        <f t="shared" ref="N72:T72" si="11">N18-N19-N20-N21</f>
        <v>0</v>
      </c>
      <c r="O72" s="818">
        <f t="shared" si="11"/>
        <v>0</v>
      </c>
      <c r="P72" s="818">
        <f t="shared" si="11"/>
        <v>-1.9073486328125E-6</v>
      </c>
      <c r="Q72" s="834">
        <f t="shared" si="11"/>
        <v>10800000000</v>
      </c>
      <c r="R72" s="834">
        <f t="shared" si="11"/>
        <v>14500000000</v>
      </c>
      <c r="S72" s="835">
        <f t="shared" si="11"/>
        <v>27800000000</v>
      </c>
      <c r="T72" s="835">
        <f t="shared" si="11"/>
        <v>28300000000</v>
      </c>
      <c r="U72" s="835">
        <f t="shared" ref="U72:W72" si="12">U18-U19-U20-U21</f>
        <v>27700000000</v>
      </c>
      <c r="V72" s="835">
        <f t="shared" si="12"/>
        <v>24000000000</v>
      </c>
      <c r="W72" s="835">
        <f t="shared" si="12"/>
        <v>13500000000</v>
      </c>
      <c r="X72" s="543"/>
    </row>
    <row r="73" spans="2:66">
      <c r="B73" s="506" t="s">
        <v>619</v>
      </c>
      <c r="C73" s="801"/>
      <c r="D73" s="817"/>
      <c r="E73" s="817">
        <f>E22-E24-E39-E44</f>
        <v>0</v>
      </c>
      <c r="F73" s="817">
        <f t="shared" ref="F73:T73" si="13">F22-F24-F39-F44</f>
        <v>0</v>
      </c>
      <c r="G73" s="817">
        <f t="shared" si="13"/>
        <v>0</v>
      </c>
      <c r="H73" s="817">
        <f t="shared" si="13"/>
        <v>0</v>
      </c>
      <c r="I73" s="817">
        <f t="shared" si="13"/>
        <v>0</v>
      </c>
      <c r="J73" s="817">
        <f t="shared" si="13"/>
        <v>0</v>
      </c>
      <c r="K73" s="817">
        <f t="shared" si="13"/>
        <v>0</v>
      </c>
      <c r="L73" s="817">
        <f t="shared" si="13"/>
        <v>0</v>
      </c>
      <c r="M73" s="817">
        <f t="shared" si="13"/>
        <v>0</v>
      </c>
      <c r="N73" s="817">
        <f t="shared" si="13"/>
        <v>0</v>
      </c>
      <c r="O73" s="817">
        <f t="shared" si="13"/>
        <v>0</v>
      </c>
      <c r="P73" s="817">
        <f t="shared" si="13"/>
        <v>0</v>
      </c>
      <c r="Q73" s="834">
        <f t="shared" si="13"/>
        <v>0</v>
      </c>
      <c r="R73" s="834">
        <f t="shared" si="13"/>
        <v>0</v>
      </c>
      <c r="S73" s="834">
        <f t="shared" si="13"/>
        <v>0</v>
      </c>
      <c r="T73" s="834">
        <f t="shared" si="13"/>
        <v>0</v>
      </c>
      <c r="U73" s="834">
        <f t="shared" ref="U73:W73" si="14">U22-U24-U39-U44</f>
        <v>0</v>
      </c>
      <c r="V73" s="834">
        <f t="shared" si="14"/>
        <v>0</v>
      </c>
      <c r="W73" s="834">
        <f t="shared" si="14"/>
        <v>0</v>
      </c>
      <c r="X73" s="543"/>
    </row>
    <row r="74" spans="2:66">
      <c r="B74" s="506" t="s">
        <v>620</v>
      </c>
      <c r="C74" s="801"/>
      <c r="D74" s="818"/>
      <c r="E74" s="818">
        <f>E24-E25-E26-E27-E28-E29-E35-E36-E37-E31-E30</f>
        <v>100000000</v>
      </c>
      <c r="F74" s="818">
        <f>F24-F25-F26-F27-F28-F29-F35-F36-F37-F31-F30</f>
        <v>100000000</v>
      </c>
      <c r="G74" s="818">
        <f>G24-G25-G26-G27-G28-G29-G35-G36-G37-G31-G30</f>
        <v>0</v>
      </c>
      <c r="H74" s="818">
        <f>H24-H25-H26-H27-H28-H29-H35-H36-H37-H31-H30</f>
        <v>0</v>
      </c>
      <c r="I74" s="818">
        <f>I24-I25-I26-I27-I28-I29-I35-I36-I37-I31-I30</f>
        <v>100000000</v>
      </c>
      <c r="J74" s="818">
        <f t="shared" ref="J74:T74" si="15">J24-J25-J26-J27-J28-J29-J35-J36-J37-J31</f>
        <v>0</v>
      </c>
      <c r="K74" s="818">
        <f t="shared" si="15"/>
        <v>-100000000</v>
      </c>
      <c r="L74" s="818">
        <f t="shared" si="15"/>
        <v>0</v>
      </c>
      <c r="M74" s="818">
        <f t="shared" si="15"/>
        <v>100000000</v>
      </c>
      <c r="N74" s="818">
        <f t="shared" si="15"/>
        <v>-100000000</v>
      </c>
      <c r="O74" s="818">
        <f t="shared" si="15"/>
        <v>0</v>
      </c>
      <c r="P74" s="818">
        <f t="shared" si="15"/>
        <v>0</v>
      </c>
      <c r="Q74" s="834">
        <f t="shared" si="15"/>
        <v>0</v>
      </c>
      <c r="R74" s="834">
        <f t="shared" si="15"/>
        <v>100000000</v>
      </c>
      <c r="S74" s="834">
        <f t="shared" si="15"/>
        <v>-100000000</v>
      </c>
      <c r="T74" s="834">
        <f t="shared" si="15"/>
        <v>-100000000</v>
      </c>
      <c r="U74" s="834">
        <f t="shared" ref="U74:W74" si="16">U24-U25-U26-U27-U28-U29-U35-U36-U37-U31</f>
        <v>0</v>
      </c>
      <c r="V74" s="834">
        <f>V24-V25-V26-V27-V28-V29-V35-V36-V37-V31</f>
        <v>0</v>
      </c>
      <c r="W74" s="834">
        <f t="shared" si="16"/>
        <v>-100000000</v>
      </c>
      <c r="X74" s="543"/>
    </row>
    <row r="75" spans="2:66">
      <c r="B75" s="506" t="s">
        <v>621</v>
      </c>
      <c r="C75" s="801"/>
      <c r="D75" s="818"/>
      <c r="E75" s="818">
        <f t="shared" ref="E75:L75" si="17">E31-E32-E33</f>
        <v>0</v>
      </c>
      <c r="F75" s="818">
        <f t="shared" si="17"/>
        <v>0</v>
      </c>
      <c r="G75" s="818">
        <f t="shared" si="17"/>
        <v>0</v>
      </c>
      <c r="H75" s="818">
        <f t="shared" si="17"/>
        <v>0</v>
      </c>
      <c r="I75" s="818">
        <f t="shared" si="17"/>
        <v>0</v>
      </c>
      <c r="J75" s="818">
        <f t="shared" si="17"/>
        <v>0</v>
      </c>
      <c r="K75" s="818">
        <f t="shared" si="17"/>
        <v>0</v>
      </c>
      <c r="L75" s="818">
        <f t="shared" si="17"/>
        <v>0</v>
      </c>
      <c r="M75" s="818">
        <f t="shared" ref="M75:S75" si="18">M31-M32-M33</f>
        <v>-100000000</v>
      </c>
      <c r="N75" s="818">
        <f t="shared" si="18"/>
        <v>0</v>
      </c>
      <c r="O75" s="818">
        <f t="shared" si="18"/>
        <v>0</v>
      </c>
      <c r="P75" s="818">
        <f t="shared" si="18"/>
        <v>0</v>
      </c>
      <c r="Q75" s="834">
        <f t="shared" si="18"/>
        <v>0</v>
      </c>
      <c r="R75" s="834">
        <f t="shared" si="18"/>
        <v>-100000000</v>
      </c>
      <c r="S75" s="834">
        <f t="shared" si="18"/>
        <v>0</v>
      </c>
      <c r="T75" s="834">
        <f>T31-T32-T33</f>
        <v>100000000</v>
      </c>
      <c r="U75" s="834">
        <f t="shared" ref="U75:W75" si="19">U31-U32-U33</f>
        <v>-100000000.00001526</v>
      </c>
      <c r="V75" s="834">
        <f t="shared" si="19"/>
        <v>100000000.00003052</v>
      </c>
      <c r="W75" s="834">
        <f t="shared" si="19"/>
        <v>-100000000</v>
      </c>
      <c r="X75" s="543"/>
    </row>
    <row r="76" spans="2:66">
      <c r="B76" s="506" t="s">
        <v>622</v>
      </c>
      <c r="C76" s="801"/>
      <c r="D76" s="818"/>
      <c r="E76" s="818">
        <f>E39-E40-E41</f>
        <v>0</v>
      </c>
      <c r="F76" s="818">
        <f t="shared" ref="F76:T76" si="20">F39-F40-F41</f>
        <v>0</v>
      </c>
      <c r="G76" s="818">
        <f t="shared" si="20"/>
        <v>100000000</v>
      </c>
      <c r="H76" s="819">
        <f t="shared" si="20"/>
        <v>62200000000</v>
      </c>
      <c r="I76" s="819">
        <f>I39-I40-I41</f>
        <v>92400000000</v>
      </c>
      <c r="J76" s="819">
        <f t="shared" si="20"/>
        <v>88400000000</v>
      </c>
      <c r="K76" s="819">
        <f t="shared" si="20"/>
        <v>164500000000</v>
      </c>
      <c r="L76" s="819">
        <f t="shared" si="20"/>
        <v>141500000000</v>
      </c>
      <c r="M76" s="819">
        <f t="shared" si="20"/>
        <v>185100000000</v>
      </c>
      <c r="N76" s="819">
        <f t="shared" si="20"/>
        <v>178700000000</v>
      </c>
      <c r="O76" s="819">
        <f t="shared" si="20"/>
        <v>154400000000</v>
      </c>
      <c r="P76" s="819">
        <f t="shared" si="20"/>
        <v>103900000000</v>
      </c>
      <c r="Q76" s="835">
        <f t="shared" si="20"/>
        <v>103500000000</v>
      </c>
      <c r="R76" s="835">
        <f t="shared" si="20"/>
        <v>109700000000</v>
      </c>
      <c r="S76" s="835">
        <f t="shared" si="20"/>
        <v>148400000000</v>
      </c>
      <c r="T76" s="835">
        <f t="shared" si="20"/>
        <v>161200000000</v>
      </c>
      <c r="U76" s="835">
        <f t="shared" ref="U76:W76" si="21">U39-U40-U41</f>
        <v>141000000000</v>
      </c>
      <c r="V76" s="835">
        <f t="shared" si="21"/>
        <v>150900000000</v>
      </c>
      <c r="W76" s="835">
        <f t="shared" si="21"/>
        <v>153200000000</v>
      </c>
      <c r="X76" s="543"/>
    </row>
    <row r="77" spans="2:66">
      <c r="B77" s="506" t="s">
        <v>148</v>
      </c>
      <c r="C77" s="801"/>
      <c r="D77" s="818"/>
      <c r="E77" s="818">
        <f>E48-E49-E58</f>
        <v>0</v>
      </c>
      <c r="F77" s="818">
        <f t="shared" ref="F77:R77" si="22">F48-F49-F58</f>
        <v>0</v>
      </c>
      <c r="G77" s="818">
        <f t="shared" si="22"/>
        <v>0</v>
      </c>
      <c r="H77" s="818">
        <f t="shared" si="22"/>
        <v>0</v>
      </c>
      <c r="I77" s="818">
        <f t="shared" si="22"/>
        <v>0</v>
      </c>
      <c r="J77" s="818">
        <f t="shared" si="22"/>
        <v>100000000</v>
      </c>
      <c r="K77" s="818">
        <f t="shared" si="22"/>
        <v>0</v>
      </c>
      <c r="L77" s="818">
        <f t="shared" si="22"/>
        <v>100000000</v>
      </c>
      <c r="M77" s="818">
        <f t="shared" si="22"/>
        <v>0</v>
      </c>
      <c r="N77" s="818">
        <f t="shared" si="22"/>
        <v>100000000</v>
      </c>
      <c r="O77" s="818">
        <f t="shared" si="22"/>
        <v>100000000</v>
      </c>
      <c r="P77" s="818">
        <f t="shared" si="22"/>
        <v>0</v>
      </c>
      <c r="Q77" s="834">
        <f t="shared" si="22"/>
        <v>0</v>
      </c>
      <c r="R77" s="834">
        <f t="shared" si="22"/>
        <v>-100000000</v>
      </c>
      <c r="S77" s="834">
        <f>S48-S49-S58-S64</f>
        <v>0</v>
      </c>
      <c r="T77" s="834">
        <f t="shared" ref="T77:W77" si="23">T48-T49-T58-T64</f>
        <v>100000000</v>
      </c>
      <c r="U77" s="834">
        <f t="shared" si="23"/>
        <v>0</v>
      </c>
      <c r="V77" s="834">
        <f t="shared" si="23"/>
        <v>0</v>
      </c>
      <c r="W77" s="834">
        <f t="shared" si="23"/>
        <v>0</v>
      </c>
      <c r="X77" s="543"/>
    </row>
    <row r="78" spans="2:66">
      <c r="B78" s="506" t="s">
        <v>297</v>
      </c>
      <c r="C78" s="801"/>
      <c r="D78" s="818"/>
      <c r="E78" s="818">
        <f>E49-E50-E53</f>
        <v>0</v>
      </c>
      <c r="F78" s="818">
        <f t="shared" ref="F78:R78" si="24">F49-F50-F53</f>
        <v>0</v>
      </c>
      <c r="G78" s="818">
        <f t="shared" si="24"/>
        <v>0</v>
      </c>
      <c r="H78" s="818">
        <f t="shared" si="24"/>
        <v>-100000000</v>
      </c>
      <c r="I78" s="818">
        <f t="shared" si="24"/>
        <v>0</v>
      </c>
      <c r="J78" s="818">
        <f t="shared" si="24"/>
        <v>0</v>
      </c>
      <c r="K78" s="818">
        <f t="shared" si="24"/>
        <v>0</v>
      </c>
      <c r="L78" s="818">
        <f t="shared" si="24"/>
        <v>-100000000</v>
      </c>
      <c r="M78" s="818">
        <f t="shared" si="24"/>
        <v>0</v>
      </c>
      <c r="N78" s="818">
        <f t="shared" si="24"/>
        <v>0</v>
      </c>
      <c r="O78" s="818">
        <f t="shared" si="24"/>
        <v>0</v>
      </c>
      <c r="P78" s="818">
        <f t="shared" si="24"/>
        <v>-100000000</v>
      </c>
      <c r="Q78" s="834">
        <f t="shared" si="24"/>
        <v>0</v>
      </c>
      <c r="R78" s="834">
        <f t="shared" si="24"/>
        <v>100000000</v>
      </c>
      <c r="S78" s="2647">
        <f>S49-S50-S53</f>
        <v>0</v>
      </c>
      <c r="T78" s="834">
        <f>T49-T50-T53</f>
        <v>0</v>
      </c>
      <c r="U78" s="834">
        <f t="shared" ref="U78:W78" si="25">U49-U50-U53</f>
        <v>0</v>
      </c>
      <c r="V78" s="834">
        <f t="shared" si="25"/>
        <v>0</v>
      </c>
      <c r="W78" s="834">
        <f t="shared" si="25"/>
        <v>0</v>
      </c>
      <c r="X78" s="543"/>
    </row>
    <row r="79" spans="2:66">
      <c r="B79" s="506" t="s">
        <v>528</v>
      </c>
      <c r="C79" s="801"/>
      <c r="D79" s="818"/>
      <c r="E79" s="818">
        <f>E58-E59-E60-E63-E61-E62</f>
        <v>0</v>
      </c>
      <c r="F79" s="818">
        <f>F58-F59-F60-F63-F61-F62</f>
        <v>0</v>
      </c>
      <c r="G79" s="818">
        <f>G58-G59-G60-G63-G61-G62</f>
        <v>0</v>
      </c>
      <c r="H79" s="818">
        <f>H58-H59-H60-H63-H61</f>
        <v>100000000</v>
      </c>
      <c r="I79" s="818">
        <f>I58-I59-I60-I63</f>
        <v>0</v>
      </c>
      <c r="J79" s="818">
        <f>J58-J59-J60-J63</f>
        <v>0</v>
      </c>
      <c r="K79" s="818">
        <f>K58-K59-K60-K63</f>
        <v>0</v>
      </c>
      <c r="L79" s="818">
        <f t="shared" ref="L79:S79" si="26">L58-L59-L60-L63</f>
        <v>0</v>
      </c>
      <c r="M79" s="818">
        <f t="shared" si="26"/>
        <v>0</v>
      </c>
      <c r="N79" s="818">
        <f t="shared" si="26"/>
        <v>0</v>
      </c>
      <c r="O79" s="818">
        <f t="shared" si="26"/>
        <v>0</v>
      </c>
      <c r="P79" s="818">
        <f t="shared" si="26"/>
        <v>-100000000</v>
      </c>
      <c r="Q79" s="834">
        <f t="shared" si="26"/>
        <v>0</v>
      </c>
      <c r="R79" s="834">
        <f t="shared" si="26"/>
        <v>0</v>
      </c>
      <c r="S79" s="834">
        <f t="shared" si="26"/>
        <v>-100000000</v>
      </c>
      <c r="T79" s="834">
        <f>T58-T59-T60-T63</f>
        <v>-100000000</v>
      </c>
      <c r="U79" s="834">
        <f t="shared" ref="U79:W79" si="27">U58-U59-U60-U63</f>
        <v>0</v>
      </c>
      <c r="V79" s="834">
        <f t="shared" si="27"/>
        <v>0</v>
      </c>
      <c r="W79" s="834">
        <f t="shared" si="27"/>
        <v>99999999.999969482</v>
      </c>
      <c r="X79" s="543"/>
    </row>
    <row r="80" spans="2:66">
      <c r="C80" s="801"/>
      <c r="D80" s="820"/>
      <c r="Q80" s="834"/>
      <c r="R80" s="834"/>
      <c r="S80" s="834"/>
      <c r="T80" s="834"/>
      <c r="U80" s="832"/>
      <c r="V80" s="832"/>
      <c r="W80" s="832"/>
      <c r="X80" s="543"/>
    </row>
    <row r="81" spans="2:24">
      <c r="B81" s="506" t="s">
        <v>623</v>
      </c>
      <c r="C81" s="801"/>
      <c r="D81" s="821"/>
      <c r="E81" s="821">
        <v>1175877000000</v>
      </c>
      <c r="F81" s="821">
        <v>1362472000000</v>
      </c>
      <c r="G81" s="821">
        <v>1624643000000</v>
      </c>
      <c r="H81" s="821">
        <v>1907945000000</v>
      </c>
      <c r="I81" s="821">
        <v>2242881000000</v>
      </c>
      <c r="J81" s="821">
        <v>2656190000000</v>
      </c>
      <c r="K81" s="821">
        <v>3149283000000</v>
      </c>
      <c r="L81" s="821">
        <v>3568228000000</v>
      </c>
      <c r="M81" s="821">
        <v>3141651000000</v>
      </c>
      <c r="N81" s="821">
        <v>3460203000000</v>
      </c>
      <c r="O81" s="821">
        <v>3777946000000</v>
      </c>
      <c r="P81" s="821">
        <v>4000722000000</v>
      </c>
      <c r="Q81" s="834">
        <v>4556000000000</v>
      </c>
      <c r="R81" s="834">
        <v>4829000000000</v>
      </c>
      <c r="S81" s="834">
        <v>5044000000000</v>
      </c>
      <c r="T81" s="834">
        <v>5076000000000</v>
      </c>
      <c r="U81" s="834">
        <v>5362000000000</v>
      </c>
      <c r="V81" s="834">
        <v>5710000000000</v>
      </c>
      <c r="W81" s="834">
        <v>6117000000000</v>
      </c>
      <c r="X81" s="543"/>
    </row>
    <row r="82" spans="2:24">
      <c r="B82" s="506" t="s">
        <v>151</v>
      </c>
      <c r="C82" s="801"/>
      <c r="E82" s="506">
        <f>(E6/E81)*100</f>
        <v>17.04259884324636</v>
      </c>
      <c r="F82" s="506">
        <f t="shared" ref="F82:T82" si="28">(F6/F81)*100</f>
        <v>18.848093758991009</v>
      </c>
      <c r="G82" s="506">
        <f t="shared" si="28"/>
        <v>17.782368187964988</v>
      </c>
      <c r="H82" s="506">
        <f t="shared" si="28"/>
        <v>15.388284253476908</v>
      </c>
      <c r="I82" s="506">
        <f t="shared" si="28"/>
        <v>15.689642027374614</v>
      </c>
      <c r="J82" s="506">
        <f t="shared" si="28"/>
        <v>17.965582281388002</v>
      </c>
      <c r="K82" s="506">
        <f t="shared" si="28"/>
        <v>20.083936565878645</v>
      </c>
      <c r="L82" s="506">
        <f t="shared" si="28"/>
        <v>20.480754032533795</v>
      </c>
      <c r="M82" s="506">
        <f t="shared" si="28"/>
        <v>20.868008572562644</v>
      </c>
      <c r="N82" s="506">
        <f t="shared" si="28"/>
        <v>21.221298287990617</v>
      </c>
      <c r="O82" s="506">
        <f t="shared" si="28"/>
        <v>22.088722284542978</v>
      </c>
      <c r="P82" s="817">
        <f t="shared" si="28"/>
        <v>22.310972869397077</v>
      </c>
      <c r="Q82" s="836">
        <f t="shared" si="28"/>
        <v>22.201492537313435</v>
      </c>
      <c r="R82" s="836">
        <f t="shared" si="28"/>
        <v>22.045972250983638</v>
      </c>
      <c r="S82" s="836">
        <f t="shared" si="28"/>
        <v>21.492862807295797</v>
      </c>
      <c r="T82" s="836">
        <f t="shared" si="28"/>
        <v>21.379038613081168</v>
      </c>
      <c r="U82" s="836">
        <f t="shared" ref="U82:W82" si="29">(U6/U81)*100</f>
        <v>22.372249160760909</v>
      </c>
      <c r="V82" s="836">
        <f t="shared" si="29"/>
        <v>22.34676007005254</v>
      </c>
      <c r="W82" s="836">
        <f t="shared" si="29"/>
        <v>22.957332025502698</v>
      </c>
      <c r="X82" s="543"/>
    </row>
    <row r="83" spans="2:24">
      <c r="B83" s="506" t="s">
        <v>152</v>
      </c>
      <c r="C83" s="801"/>
      <c r="E83" s="506">
        <f>(E22/E81)*100</f>
        <v>20.878034012060787</v>
      </c>
      <c r="F83" s="506">
        <f t="shared" ref="F83:T83" si="30">(F22/F81)*100</f>
        <v>19.251771779530145</v>
      </c>
      <c r="G83" s="506">
        <f t="shared" si="30"/>
        <v>18.884148702207192</v>
      </c>
      <c r="H83" s="506">
        <f t="shared" si="30"/>
        <v>17.128376342085332</v>
      </c>
      <c r="I83" s="506">
        <f t="shared" si="30"/>
        <v>18.271143230514681</v>
      </c>
      <c r="J83" s="506">
        <f t="shared" si="30"/>
        <v>20.002334170371849</v>
      </c>
      <c r="K83" s="506">
        <f t="shared" si="30"/>
        <v>22.420976457180888</v>
      </c>
      <c r="L83" s="506">
        <f t="shared" si="30"/>
        <v>22.23792874222163</v>
      </c>
      <c r="M83" s="506">
        <f t="shared" si="30"/>
        <v>28.55504955833732</v>
      </c>
      <c r="N83" s="506">
        <f t="shared" si="30"/>
        <v>26.200774925632974</v>
      </c>
      <c r="O83" s="506">
        <f t="shared" si="30"/>
        <v>24.963300163633889</v>
      </c>
      <c r="P83" s="817">
        <f t="shared" si="30"/>
        <v>23.903185475021761</v>
      </c>
      <c r="Q83" s="836">
        <f t="shared" si="30"/>
        <v>23.794995610184372</v>
      </c>
      <c r="R83" s="836">
        <f t="shared" si="30"/>
        <v>23.988403396148268</v>
      </c>
      <c r="S83" s="836">
        <f t="shared" si="30"/>
        <v>26.328310864393341</v>
      </c>
      <c r="T83" s="836">
        <f t="shared" si="30"/>
        <v>27.001576044129234</v>
      </c>
      <c r="U83" s="836">
        <f t="shared" ref="U83:W83" si="31">(U22/U81)*100</f>
        <v>25.637821708317794</v>
      </c>
      <c r="V83" s="836">
        <f t="shared" si="31"/>
        <v>25.04378283712785</v>
      </c>
      <c r="W83" s="836">
        <f t="shared" si="31"/>
        <v>24.650972699035474</v>
      </c>
      <c r="X83" s="543"/>
    </row>
    <row r="84" spans="2:24">
      <c r="C84" s="801"/>
      <c r="Q84" s="820"/>
      <c r="U84" s="543"/>
      <c r="V84" s="543"/>
      <c r="W84" s="543"/>
      <c r="X84" s="543"/>
    </row>
    <row r="85" spans="2:24">
      <c r="C85" s="801"/>
      <c r="U85" s="543"/>
      <c r="V85" s="543"/>
      <c r="W85" s="543"/>
      <c r="X85" s="543"/>
    </row>
    <row r="86" spans="2:24" ht="13.5" customHeight="1">
      <c r="B86" s="506" t="s">
        <v>153</v>
      </c>
      <c r="D86" s="506" t="b">
        <f>IF(D44&lt;0, (D44/D22)*100)</f>
        <v>0</v>
      </c>
      <c r="E86" s="506" t="b">
        <f>IF(E44&lt;0, (E44/E22)*100)</f>
        <v>0</v>
      </c>
      <c r="F86" s="506" t="b">
        <f t="shared" ref="F86:W86" si="32">IF(F44&lt;0, (F44/F22)*100)</f>
        <v>0</v>
      </c>
      <c r="G86" s="506" t="b">
        <f t="shared" si="32"/>
        <v>0</v>
      </c>
      <c r="H86" s="506" t="b">
        <f t="shared" si="32"/>
        <v>0</v>
      </c>
      <c r="I86" s="506" t="b">
        <f t="shared" si="32"/>
        <v>0</v>
      </c>
      <c r="J86" s="506" t="b">
        <f t="shared" si="32"/>
        <v>0</v>
      </c>
      <c r="K86" s="506" t="b">
        <f t="shared" si="32"/>
        <v>0</v>
      </c>
      <c r="L86" s="506" t="b">
        <f t="shared" si="32"/>
        <v>0</v>
      </c>
      <c r="M86" s="506" t="b">
        <f t="shared" si="32"/>
        <v>0</v>
      </c>
      <c r="N86" s="506" t="b">
        <f t="shared" si="32"/>
        <v>0</v>
      </c>
      <c r="O86" s="506" t="b">
        <f t="shared" si="32"/>
        <v>0</v>
      </c>
      <c r="P86" s="506" t="b">
        <f t="shared" si="32"/>
        <v>0</v>
      </c>
      <c r="Q86" s="506" t="b">
        <f t="shared" si="32"/>
        <v>0</v>
      </c>
      <c r="R86" s="506" t="b">
        <f t="shared" si="32"/>
        <v>0</v>
      </c>
      <c r="S86" s="506" t="b">
        <f t="shared" si="32"/>
        <v>0</v>
      </c>
      <c r="T86" s="506" t="b">
        <f t="shared" si="32"/>
        <v>0</v>
      </c>
      <c r="U86" s="506" t="b">
        <f t="shared" si="32"/>
        <v>0</v>
      </c>
      <c r="V86" s="506" t="b">
        <f t="shared" si="32"/>
        <v>0</v>
      </c>
      <c r="W86" s="506" t="b">
        <f t="shared" si="32"/>
        <v>0</v>
      </c>
    </row>
    <row r="87" spans="2:24">
      <c r="C87" s="801"/>
      <c r="U87" s="543"/>
      <c r="V87" s="543"/>
      <c r="W87" s="543"/>
      <c r="X87" s="543"/>
    </row>
    <row r="88" spans="2:24">
      <c r="C88" s="801"/>
      <c r="M88" s="820"/>
      <c r="U88" s="543"/>
      <c r="V88" s="837"/>
      <c r="W88" s="543"/>
      <c r="X88" s="543"/>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06" bestFit="1" customWidth="1"/>
    <col min="2" max="2" width="60.42578125" style="506" customWidth="1"/>
    <col min="3" max="3" width="20.85546875" style="506" customWidth="1"/>
    <col min="4" max="4" width="17.7109375" style="506" bestFit="1" customWidth="1"/>
    <col min="5" max="5" width="16.7109375" style="506" bestFit="1" customWidth="1"/>
    <col min="6" max="6" width="17.7109375" style="506" bestFit="1" customWidth="1"/>
    <col min="7" max="9" width="19.140625" style="506" bestFit="1" customWidth="1"/>
    <col min="10" max="11" width="19.7109375" style="506" bestFit="1" customWidth="1"/>
    <col min="12" max="17" width="20.140625" style="506" bestFit="1" customWidth="1"/>
    <col min="18" max="18" width="16.42578125" style="506" bestFit="1" customWidth="1"/>
    <col min="19" max="19" width="20.28515625" style="506" bestFit="1" customWidth="1"/>
    <col min="20" max="21" width="18.140625" style="506" bestFit="1" customWidth="1"/>
    <col min="23" max="23" width="12.42578125" bestFit="1" customWidth="1"/>
  </cols>
  <sheetData>
    <row r="1" spans="1:31">
      <c r="A1" s="842" t="s">
        <v>624</v>
      </c>
      <c r="B1" s="794" t="s">
        <v>625</v>
      </c>
      <c r="C1" s="794"/>
      <c r="D1" s="795"/>
      <c r="E1" s="795"/>
      <c r="F1" s="795"/>
      <c r="G1" s="795"/>
      <c r="H1" s="795"/>
      <c r="I1" s="795"/>
      <c r="J1" s="795"/>
      <c r="K1" s="795"/>
      <c r="L1" s="795"/>
      <c r="M1" s="795"/>
      <c r="N1" s="795"/>
      <c r="O1" s="543"/>
      <c r="P1" s="543"/>
      <c r="Q1" s="543"/>
      <c r="R1" s="796"/>
      <c r="S1" s="543"/>
      <c r="T1" s="543"/>
      <c r="U1" s="543"/>
    </row>
    <row r="2" spans="1:31">
      <c r="B2" s="797" t="s">
        <v>626</v>
      </c>
      <c r="C2" s="797"/>
      <c r="D2" s="543"/>
      <c r="E2" s="543"/>
      <c r="F2" s="543"/>
      <c r="G2" s="543"/>
      <c r="H2" s="543"/>
      <c r="I2" s="543"/>
      <c r="J2" s="543"/>
      <c r="K2" s="543"/>
      <c r="L2" s="543"/>
      <c r="M2" s="543"/>
      <c r="N2" s="543"/>
      <c r="O2" s="543"/>
      <c r="P2" s="543"/>
      <c r="Q2" s="543"/>
      <c r="R2" s="798"/>
      <c r="S2" s="799"/>
      <c r="T2" s="800"/>
      <c r="U2" s="543"/>
    </row>
    <row r="3" spans="1:31">
      <c r="B3" s="801" t="s">
        <v>3</v>
      </c>
      <c r="C3" s="801"/>
      <c r="D3" s="843">
        <v>2000</v>
      </c>
      <c r="E3" s="843">
        <v>2001</v>
      </c>
      <c r="F3" s="8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row>
    <row r="4" spans="1:31">
      <c r="B4" s="801" t="s">
        <v>4</v>
      </c>
      <c r="C4" s="801"/>
      <c r="D4" s="843" t="s">
        <v>5</v>
      </c>
      <c r="E4" s="843" t="s">
        <v>6</v>
      </c>
      <c r="F4" s="8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row>
    <row r="5" spans="1:31">
      <c r="A5" s="506" t="s">
        <v>157</v>
      </c>
      <c r="B5" s="801" t="s">
        <v>29</v>
      </c>
      <c r="C5" s="844"/>
      <c r="D5" s="843" t="s">
        <v>30</v>
      </c>
      <c r="E5" s="843" t="s">
        <v>30</v>
      </c>
      <c r="F5" s="843" t="s">
        <v>30</v>
      </c>
      <c r="G5" s="543" t="s">
        <v>30</v>
      </c>
      <c r="H5" s="543" t="s">
        <v>30</v>
      </c>
      <c r="I5" s="795" t="s">
        <v>31</v>
      </c>
      <c r="J5" s="795" t="s">
        <v>30</v>
      </c>
      <c r="K5" s="795" t="s">
        <v>30</v>
      </c>
      <c r="L5" s="795" t="s">
        <v>30</v>
      </c>
      <c r="M5" s="795" t="s">
        <v>30</v>
      </c>
      <c r="N5" s="795" t="s">
        <v>30</v>
      </c>
      <c r="O5" s="795" t="s">
        <v>30</v>
      </c>
      <c r="P5" s="795" t="s">
        <v>368</v>
      </c>
      <c r="Q5" s="795" t="s">
        <v>30</v>
      </c>
      <c r="R5" s="795" t="s">
        <v>30</v>
      </c>
      <c r="S5" s="795" t="s">
        <v>30</v>
      </c>
      <c r="T5" s="543" t="s">
        <v>32</v>
      </c>
      <c r="U5" s="543" t="s">
        <v>32</v>
      </c>
    </row>
    <row r="6" spans="1:31" s="848" customFormat="1">
      <c r="A6" s="822" t="s">
        <v>33</v>
      </c>
      <c r="B6" s="822" t="s">
        <v>548</v>
      </c>
      <c r="C6" s="822" t="s">
        <v>35</v>
      </c>
      <c r="D6" s="824"/>
      <c r="E6" s="824"/>
      <c r="F6" s="824"/>
      <c r="G6" s="824">
        <v>1912000000</v>
      </c>
      <c r="H6" s="824">
        <v>2288000000</v>
      </c>
      <c r="I6" s="824">
        <v>3143000000</v>
      </c>
      <c r="J6" s="824">
        <v>5253000000</v>
      </c>
      <c r="K6" s="824">
        <v>8007000000</v>
      </c>
      <c r="L6" s="824">
        <v>19426000000</v>
      </c>
      <c r="M6" s="824">
        <v>14368000000</v>
      </c>
      <c r="N6" s="824">
        <v>19386000000</v>
      </c>
      <c r="O6" s="824">
        <v>23292000000</v>
      </c>
      <c r="P6" s="824">
        <v>21832000000</v>
      </c>
      <c r="Q6" s="824">
        <f>Q7-Q24</f>
        <v>22783000000</v>
      </c>
      <c r="R6" s="824">
        <f>R7+R24</f>
        <v>22951000000</v>
      </c>
      <c r="S6" s="824">
        <f t="shared" ref="S6:U6" si="0">S7+S24</f>
        <v>18142000000</v>
      </c>
      <c r="T6" s="824">
        <f t="shared" si="0"/>
        <v>19134000000</v>
      </c>
      <c r="U6" s="824">
        <f t="shared" si="0"/>
        <v>22250000000</v>
      </c>
      <c r="V6" s="2463"/>
      <c r="W6" s="2463"/>
      <c r="X6" s="2463"/>
      <c r="Y6" s="2463"/>
      <c r="Z6" s="2463"/>
      <c r="AA6" s="2463"/>
      <c r="AB6" s="2463"/>
      <c r="AC6" s="2463"/>
      <c r="AD6" s="2463"/>
      <c r="AE6" s="2463"/>
    </row>
    <row r="7" spans="1:31">
      <c r="A7" s="805" t="s">
        <v>36</v>
      </c>
      <c r="B7" s="805" t="s">
        <v>549</v>
      </c>
      <c r="C7" s="806" t="s">
        <v>38</v>
      </c>
      <c r="D7" s="803"/>
      <c r="E7" s="803"/>
      <c r="F7" s="803"/>
      <c r="G7" s="803">
        <v>1906000000</v>
      </c>
      <c r="H7" s="803">
        <v>2288000000</v>
      </c>
      <c r="I7" s="803">
        <v>3132000000</v>
      </c>
      <c r="J7" s="803">
        <v>5248000000</v>
      </c>
      <c r="K7" s="803">
        <v>8007000000</v>
      </c>
      <c r="L7" s="803">
        <v>19426000000</v>
      </c>
      <c r="M7" s="803">
        <v>14368000000</v>
      </c>
      <c r="N7" s="803">
        <v>19383000000</v>
      </c>
      <c r="O7" s="803">
        <v>23285000000</v>
      </c>
      <c r="P7" s="803">
        <v>21832000000</v>
      </c>
      <c r="Q7" s="803">
        <v>22783000000</v>
      </c>
      <c r="R7" s="803">
        <f>R8+R20</f>
        <v>22951000000</v>
      </c>
      <c r="S7" s="803">
        <f t="shared" ref="S7:U7" si="1">S8+S20</f>
        <v>18142000000</v>
      </c>
      <c r="T7" s="803">
        <f t="shared" si="1"/>
        <v>19134000000</v>
      </c>
      <c r="U7" s="803">
        <f t="shared" si="1"/>
        <v>22250000000</v>
      </c>
      <c r="V7" s="2463"/>
      <c r="W7" s="2463"/>
      <c r="X7" s="2463"/>
      <c r="Y7" s="2463"/>
      <c r="Z7" s="2463"/>
      <c r="AA7" s="2463"/>
      <c r="AB7" s="2463"/>
      <c r="AC7" s="2463"/>
      <c r="AD7" s="2463"/>
      <c r="AE7" s="2463"/>
    </row>
    <row r="8" spans="1:31">
      <c r="A8" s="807" t="s">
        <v>39</v>
      </c>
      <c r="B8" s="807" t="s">
        <v>627</v>
      </c>
      <c r="C8" s="805" t="s">
        <v>41</v>
      </c>
      <c r="D8" s="803"/>
      <c r="E8" s="803"/>
      <c r="F8" s="803"/>
      <c r="G8" s="803">
        <v>1099000000</v>
      </c>
      <c r="H8" s="803">
        <v>1317000000</v>
      </c>
      <c r="I8" s="803">
        <v>1902000000</v>
      </c>
      <c r="J8" s="803">
        <v>3341000000</v>
      </c>
      <c r="K8" s="803">
        <v>5635000000</v>
      </c>
      <c r="L8" s="803">
        <v>7176000000</v>
      </c>
      <c r="M8" s="803">
        <v>5591000000</v>
      </c>
      <c r="N8" s="803">
        <v>5834000000</v>
      </c>
      <c r="O8" s="803">
        <v>7016000000</v>
      </c>
      <c r="P8" s="803">
        <v>7004000000</v>
      </c>
      <c r="Q8" s="803">
        <v>7908000000</v>
      </c>
      <c r="R8" s="803">
        <f>R9+R12+R13+R16+R17+R19</f>
        <v>8851000000</v>
      </c>
      <c r="S8" s="803">
        <f t="shared" ref="S8:U8" si="2">S9+S12+S13+S16+S17+S19</f>
        <v>8978000000</v>
      </c>
      <c r="T8" s="803">
        <f t="shared" si="2"/>
        <v>10056000000</v>
      </c>
      <c r="U8" s="803">
        <f t="shared" si="2"/>
        <v>11134000000</v>
      </c>
      <c r="V8" s="2463"/>
      <c r="W8" s="2463"/>
      <c r="X8" s="2463"/>
      <c r="Y8" s="2463"/>
      <c r="Z8" s="2463"/>
      <c r="AA8" s="2463"/>
      <c r="AB8" s="2463"/>
      <c r="AC8" s="2463"/>
      <c r="AD8" s="2463"/>
      <c r="AE8" s="2463"/>
    </row>
    <row r="9" spans="1:31">
      <c r="A9" s="808" t="s">
        <v>628</v>
      </c>
      <c r="B9" s="808" t="s">
        <v>629</v>
      </c>
      <c r="C9" s="795" t="s">
        <v>44</v>
      </c>
      <c r="D9" s="803"/>
      <c r="E9" s="803"/>
      <c r="F9" s="803"/>
      <c r="G9" s="803">
        <v>329000000</v>
      </c>
      <c r="H9" s="803">
        <v>445000000</v>
      </c>
      <c r="I9" s="803">
        <v>673000000</v>
      </c>
      <c r="J9" s="803">
        <v>1768000000</v>
      </c>
      <c r="K9" s="803">
        <v>3046000000</v>
      </c>
      <c r="L9" s="803">
        <v>3490000000</v>
      </c>
      <c r="M9" s="803">
        <v>1911000000</v>
      </c>
      <c r="N9" s="803">
        <v>2020000000</v>
      </c>
      <c r="O9" s="803">
        <v>2850000000</v>
      </c>
      <c r="P9" s="803">
        <v>3065000000</v>
      </c>
      <c r="Q9" s="803">
        <v>3235000000</v>
      </c>
      <c r="R9" s="803">
        <f>R10+R11</f>
        <v>3283000000</v>
      </c>
      <c r="S9" s="803">
        <f t="shared" ref="S9:U9" si="3">S10+S11</f>
        <v>3194000000</v>
      </c>
      <c r="T9" s="803">
        <f t="shared" si="3"/>
        <v>3523000000</v>
      </c>
      <c r="U9" s="803">
        <f t="shared" si="3"/>
        <v>3959000000</v>
      </c>
      <c r="V9" s="2463"/>
      <c r="W9" s="2463"/>
      <c r="X9" s="2463"/>
      <c r="Y9" s="2463"/>
      <c r="Z9" s="2463"/>
      <c r="AA9" s="2463"/>
      <c r="AB9" s="2463"/>
      <c r="AC9" s="2463"/>
      <c r="AD9" s="2463"/>
      <c r="AE9" s="2463"/>
    </row>
    <row r="10" spans="1:31">
      <c r="A10" s="808" t="s">
        <v>630</v>
      </c>
      <c r="B10" s="808" t="s">
        <v>631</v>
      </c>
      <c r="C10" s="506" t="s">
        <v>632</v>
      </c>
      <c r="D10" s="803"/>
      <c r="E10" s="803"/>
      <c r="F10" s="803"/>
      <c r="G10" s="803">
        <v>150000000</v>
      </c>
      <c r="H10" s="803">
        <v>222000000</v>
      </c>
      <c r="I10" s="803">
        <v>317000000</v>
      </c>
      <c r="J10" s="803">
        <v>407000000</v>
      </c>
      <c r="K10" s="803"/>
      <c r="L10" s="803"/>
      <c r="M10" s="803"/>
      <c r="N10" s="803"/>
      <c r="O10" s="803"/>
      <c r="P10" s="803"/>
      <c r="Q10" s="803">
        <v>860000000</v>
      </c>
      <c r="R10" s="125">
        <v>980000000</v>
      </c>
      <c r="S10" s="125">
        <v>983000000</v>
      </c>
      <c r="T10" s="125">
        <v>1277000000</v>
      </c>
      <c r="U10" s="125">
        <v>1379000000</v>
      </c>
      <c r="V10" s="2463"/>
      <c r="W10" s="2463"/>
      <c r="X10" s="2463"/>
      <c r="Y10" s="2463"/>
      <c r="Z10" s="2463"/>
      <c r="AA10" s="2463"/>
      <c r="AB10" s="2463"/>
      <c r="AC10" s="2463"/>
      <c r="AD10" s="2463"/>
      <c r="AE10" s="2463"/>
    </row>
    <row r="11" spans="1:31">
      <c r="A11" s="808" t="s">
        <v>633</v>
      </c>
      <c r="B11" s="808" t="s">
        <v>634</v>
      </c>
      <c r="C11" s="506" t="s">
        <v>632</v>
      </c>
      <c r="D11" s="803"/>
      <c r="E11" s="803"/>
      <c r="F11" s="803"/>
      <c r="G11" s="803">
        <v>178000000</v>
      </c>
      <c r="H11" s="803">
        <v>223000000</v>
      </c>
      <c r="I11" s="803">
        <v>355000000</v>
      </c>
      <c r="J11" s="803">
        <v>1361000000</v>
      </c>
      <c r="K11" s="803"/>
      <c r="L11" s="803"/>
      <c r="M11" s="803"/>
      <c r="N11" s="803"/>
      <c r="O11" s="803"/>
      <c r="P11" s="803"/>
      <c r="Q11" s="803">
        <v>2375000000</v>
      </c>
      <c r="R11" s="125">
        <v>2303000000</v>
      </c>
      <c r="S11" s="125">
        <v>2211000000</v>
      </c>
      <c r="T11" s="125">
        <v>2246000000</v>
      </c>
      <c r="U11" s="125">
        <v>2580000000</v>
      </c>
      <c r="V11" s="2463"/>
      <c r="W11" s="2463"/>
      <c r="X11" s="2463"/>
      <c r="Y11" s="2463"/>
      <c r="Z11" s="2463"/>
      <c r="AA11" s="2463"/>
      <c r="AB11" s="2463"/>
      <c r="AC11" s="2463"/>
      <c r="AD11" s="2463"/>
      <c r="AE11" s="2463"/>
    </row>
    <row r="12" spans="1:31">
      <c r="A12" s="808" t="s">
        <v>635</v>
      </c>
      <c r="B12" s="808" t="s">
        <v>636</v>
      </c>
      <c r="C12" s="795" t="s">
        <v>44</v>
      </c>
      <c r="D12" s="803"/>
      <c r="E12" s="803"/>
      <c r="F12" s="803"/>
      <c r="G12" s="803">
        <v>149000000</v>
      </c>
      <c r="H12" s="803">
        <v>182000000</v>
      </c>
      <c r="I12" s="803">
        <v>198000000</v>
      </c>
      <c r="J12" s="803">
        <v>294000000</v>
      </c>
      <c r="K12" s="803">
        <v>551000000</v>
      </c>
      <c r="L12" s="803">
        <v>599000000</v>
      </c>
      <c r="M12" s="803">
        <v>582000000</v>
      </c>
      <c r="N12" s="803">
        <v>697000000</v>
      </c>
      <c r="O12" s="803">
        <v>744000000</v>
      </c>
      <c r="P12" s="803">
        <v>158000000</v>
      </c>
      <c r="Q12" s="803">
        <v>380000000</v>
      </c>
      <c r="R12" s="125">
        <v>454000000</v>
      </c>
      <c r="S12" s="125">
        <v>477000000</v>
      </c>
      <c r="T12" s="125">
        <v>620000000</v>
      </c>
      <c r="U12" s="2649">
        <v>670000000</v>
      </c>
      <c r="V12" s="2463"/>
      <c r="W12" s="2463"/>
      <c r="X12" s="2463"/>
      <c r="Y12" s="2463"/>
      <c r="Z12" s="2463"/>
      <c r="AA12" s="2463"/>
      <c r="AB12" s="2463"/>
      <c r="AC12" s="2463"/>
      <c r="AD12" s="2463"/>
      <c r="AE12" s="2463"/>
    </row>
    <row r="13" spans="1:31">
      <c r="A13" s="808" t="s">
        <v>637</v>
      </c>
      <c r="B13" s="808" t="s">
        <v>638</v>
      </c>
      <c r="C13" s="795" t="s">
        <v>44</v>
      </c>
      <c r="D13" s="803"/>
      <c r="E13" s="803"/>
      <c r="F13" s="803"/>
      <c r="G13" s="803">
        <v>410000000</v>
      </c>
      <c r="H13" s="803">
        <v>453000000</v>
      </c>
      <c r="I13" s="803">
        <v>600000000</v>
      </c>
      <c r="J13" s="803">
        <v>738000000</v>
      </c>
      <c r="K13" s="803">
        <v>1179000000</v>
      </c>
      <c r="L13" s="803">
        <v>1911000000</v>
      </c>
      <c r="M13" s="803">
        <v>2013000000</v>
      </c>
      <c r="N13" s="803">
        <v>2082000000</v>
      </c>
      <c r="O13" s="803">
        <v>2223000000</v>
      </c>
      <c r="P13" s="803">
        <v>2367000000</v>
      </c>
      <c r="Q13" s="803">
        <v>2710000000</v>
      </c>
      <c r="R13" s="125">
        <v>3120000000</v>
      </c>
      <c r="S13" s="125">
        <v>3455000000</v>
      </c>
      <c r="T13" s="125">
        <v>3811000000</v>
      </c>
      <c r="U13" s="21">
        <v>4188000000</v>
      </c>
      <c r="V13" s="2463"/>
      <c r="W13" s="2463"/>
      <c r="X13" s="2463"/>
      <c r="Y13" s="2463"/>
      <c r="Z13" s="2463"/>
      <c r="AA13" s="2463"/>
      <c r="AB13" s="2463"/>
      <c r="AC13" s="2463"/>
      <c r="AD13" s="2463"/>
      <c r="AE13" s="2463"/>
    </row>
    <row r="14" spans="1:31">
      <c r="A14" s="808" t="s">
        <v>209</v>
      </c>
      <c r="B14" s="808" t="s">
        <v>209</v>
      </c>
      <c r="C14" s="795" t="s">
        <v>639</v>
      </c>
      <c r="D14" s="809"/>
      <c r="E14" s="809"/>
      <c r="F14" s="809"/>
      <c r="G14" s="803">
        <v>266000000</v>
      </c>
      <c r="H14" s="803">
        <v>281000000</v>
      </c>
      <c r="I14" s="803">
        <v>346000000</v>
      </c>
      <c r="J14" s="803">
        <v>386000000</v>
      </c>
      <c r="K14" s="803"/>
      <c r="L14" s="803"/>
      <c r="M14" s="803"/>
      <c r="N14" s="803"/>
      <c r="O14" s="803"/>
      <c r="P14" s="803"/>
      <c r="Q14" s="803"/>
      <c r="R14" s="803"/>
      <c r="S14" s="803"/>
      <c r="T14" s="2649"/>
      <c r="U14" s="2649"/>
      <c r="V14" s="2463"/>
      <c r="W14" s="2463"/>
      <c r="X14" s="2463"/>
      <c r="Y14" s="2463"/>
      <c r="Z14" s="2463"/>
      <c r="AA14" s="2463"/>
      <c r="AB14" s="2463"/>
      <c r="AC14" s="2463"/>
      <c r="AD14" s="2463"/>
      <c r="AE14" s="2463"/>
    </row>
    <row r="15" spans="1:31">
      <c r="A15" s="808" t="s">
        <v>640</v>
      </c>
      <c r="B15" s="808" t="s">
        <v>640</v>
      </c>
      <c r="C15" s="795" t="s">
        <v>639</v>
      </c>
      <c r="D15" s="809"/>
      <c r="E15" s="809"/>
      <c r="F15" s="809"/>
      <c r="G15" s="803">
        <v>144000000</v>
      </c>
      <c r="H15" s="803">
        <v>171000000</v>
      </c>
      <c r="I15" s="803">
        <v>254000000</v>
      </c>
      <c r="J15" s="803">
        <v>351000000</v>
      </c>
      <c r="K15" s="803"/>
      <c r="L15" s="803"/>
      <c r="M15" s="803"/>
      <c r="N15" s="803"/>
      <c r="O15" s="803"/>
      <c r="P15" s="803"/>
      <c r="Q15" s="803"/>
      <c r="R15" s="803"/>
      <c r="S15" s="803"/>
      <c r="T15" s="2649"/>
      <c r="U15" s="2649"/>
      <c r="V15" s="2463"/>
      <c r="W15" s="2463"/>
      <c r="X15" s="2463"/>
      <c r="Y15" s="2463"/>
      <c r="Z15" s="2463"/>
      <c r="AA15" s="2463"/>
      <c r="AB15" s="2463"/>
      <c r="AC15" s="2463"/>
      <c r="AD15" s="2463"/>
      <c r="AE15" s="2463"/>
    </row>
    <row r="16" spans="1:31">
      <c r="A16" s="808" t="s">
        <v>641</v>
      </c>
      <c r="B16" s="808" t="s">
        <v>642</v>
      </c>
      <c r="C16" s="795" t="s">
        <v>44</v>
      </c>
      <c r="D16" s="803"/>
      <c r="E16" s="803"/>
      <c r="F16" s="803"/>
      <c r="G16" s="803">
        <v>67000000</v>
      </c>
      <c r="H16" s="803">
        <v>72000000</v>
      </c>
      <c r="I16" s="803">
        <v>141000000</v>
      </c>
      <c r="J16" s="803">
        <v>187000000</v>
      </c>
      <c r="K16" s="803">
        <v>403000000</v>
      </c>
      <c r="L16" s="803">
        <v>487000000</v>
      </c>
      <c r="M16" s="803">
        <v>485000000</v>
      </c>
      <c r="N16" s="803">
        <v>515000000</v>
      </c>
      <c r="O16" s="803">
        <v>480000000</v>
      </c>
      <c r="P16" s="803">
        <v>531000000</v>
      </c>
      <c r="Q16" s="803">
        <v>593000000</v>
      </c>
      <c r="R16" s="125">
        <v>797000000</v>
      </c>
      <c r="S16" s="125">
        <v>648000000</v>
      </c>
      <c r="T16" s="125">
        <v>679000000</v>
      </c>
      <c r="U16" s="2649">
        <v>740000000</v>
      </c>
      <c r="V16" s="2463"/>
      <c r="W16" s="2463"/>
      <c r="X16" s="2463"/>
      <c r="Y16" s="2463"/>
      <c r="Z16" s="2463"/>
      <c r="AA16" s="2463"/>
      <c r="AB16" s="2463"/>
      <c r="AC16" s="2463"/>
      <c r="AD16" s="2463"/>
      <c r="AE16" s="2463"/>
    </row>
    <row r="17" spans="1:31">
      <c r="A17" s="808" t="s">
        <v>643</v>
      </c>
      <c r="B17" s="808" t="s">
        <v>644</v>
      </c>
      <c r="C17" s="795" t="s">
        <v>44</v>
      </c>
      <c r="D17" s="803"/>
      <c r="E17" s="803"/>
      <c r="F17" s="803"/>
      <c r="G17" s="803">
        <v>93000000</v>
      </c>
      <c r="H17" s="803">
        <v>101000000</v>
      </c>
      <c r="I17" s="803">
        <v>205000000</v>
      </c>
      <c r="J17" s="803">
        <v>239000000</v>
      </c>
      <c r="K17" s="803">
        <v>288000000</v>
      </c>
      <c r="L17" s="803">
        <v>450000000</v>
      </c>
      <c r="M17" s="803">
        <v>421000000</v>
      </c>
      <c r="N17" s="803">
        <v>292000000</v>
      </c>
      <c r="O17" s="803">
        <v>440000000</v>
      </c>
      <c r="P17" s="803">
        <v>590000000</v>
      </c>
      <c r="Q17" s="803">
        <v>670000000</v>
      </c>
      <c r="R17" s="125">
        <v>828000000</v>
      </c>
      <c r="S17" s="803">
        <v>759000000</v>
      </c>
      <c r="T17" s="2649">
        <v>819000000</v>
      </c>
      <c r="U17" s="2649">
        <v>925000000</v>
      </c>
      <c r="V17" s="2463"/>
      <c r="W17" s="2463"/>
      <c r="X17" s="2463"/>
      <c r="Y17" s="2463"/>
      <c r="Z17" s="2463"/>
      <c r="AA17" s="2463"/>
      <c r="AB17" s="2463"/>
      <c r="AC17" s="2463"/>
      <c r="AD17" s="2463"/>
      <c r="AE17" s="2463"/>
    </row>
    <row r="18" spans="1:31">
      <c r="A18" s="506" t="s">
        <v>76</v>
      </c>
      <c r="B18" s="808" t="s">
        <v>645</v>
      </c>
      <c r="D18" s="809"/>
      <c r="E18" s="809"/>
      <c r="F18" s="809"/>
      <c r="G18" s="803">
        <v>25000000</v>
      </c>
      <c r="H18" s="803"/>
      <c r="I18" s="803"/>
      <c r="J18" s="803"/>
      <c r="K18" s="803"/>
      <c r="L18" s="803"/>
      <c r="M18" s="803"/>
      <c r="N18" s="803"/>
      <c r="O18" s="803"/>
      <c r="P18" s="803"/>
      <c r="Q18" s="803"/>
      <c r="R18" s="803"/>
      <c r="S18" s="803"/>
      <c r="T18" s="2649"/>
      <c r="U18" s="2649"/>
      <c r="V18" s="2463"/>
      <c r="W18" s="2463"/>
      <c r="X18" s="2463"/>
      <c r="Y18" s="2463"/>
      <c r="Z18" s="2463"/>
      <c r="AA18" s="2463"/>
      <c r="AB18" s="2463"/>
      <c r="AC18" s="2463"/>
      <c r="AD18" s="2463"/>
      <c r="AE18" s="2463"/>
    </row>
    <row r="19" spans="1:31">
      <c r="A19" s="808" t="s">
        <v>49</v>
      </c>
      <c r="B19" s="808" t="s">
        <v>646</v>
      </c>
      <c r="C19" s="795" t="s">
        <v>44</v>
      </c>
      <c r="D19" s="803"/>
      <c r="E19" s="803"/>
      <c r="F19" s="803"/>
      <c r="G19" s="803">
        <v>52000000</v>
      </c>
      <c r="H19" s="803">
        <v>64000000</v>
      </c>
      <c r="I19" s="803">
        <v>85000000</v>
      </c>
      <c r="J19" s="803">
        <v>115000000</v>
      </c>
      <c r="K19" s="803">
        <v>167000000</v>
      </c>
      <c r="L19" s="803">
        <v>240000000</v>
      </c>
      <c r="M19" s="803">
        <v>179000000</v>
      </c>
      <c r="N19" s="803">
        <v>227000000</v>
      </c>
      <c r="O19" s="803">
        <v>280000000</v>
      </c>
      <c r="P19" s="803">
        <v>293000000</v>
      </c>
      <c r="Q19" s="803">
        <v>320000000</v>
      </c>
      <c r="R19" s="125">
        <v>369000000</v>
      </c>
      <c r="S19" s="803">
        <v>445000000</v>
      </c>
      <c r="T19" s="2649">
        <v>604000000</v>
      </c>
      <c r="U19" s="2649">
        <v>652000000</v>
      </c>
      <c r="V19" s="2463"/>
      <c r="W19" s="2463"/>
      <c r="X19" s="2463"/>
      <c r="Y19" s="2463"/>
      <c r="Z19" s="2463"/>
      <c r="AA19" s="2463"/>
      <c r="AB19" s="2463"/>
      <c r="AC19" s="2463"/>
      <c r="AD19" s="2463"/>
      <c r="AE19" s="2463"/>
    </row>
    <row r="20" spans="1:31">
      <c r="A20" s="807" t="s">
        <v>647</v>
      </c>
      <c r="B20" s="807" t="s">
        <v>648</v>
      </c>
      <c r="C20" s="805" t="s">
        <v>41</v>
      </c>
      <c r="D20" s="803"/>
      <c r="E20" s="803"/>
      <c r="F20" s="803"/>
      <c r="G20" s="803">
        <v>413000000</v>
      </c>
      <c r="H20" s="803">
        <v>592000000</v>
      </c>
      <c r="I20" s="803">
        <v>938000000</v>
      </c>
      <c r="J20" s="803">
        <v>1499000000</v>
      </c>
      <c r="K20" s="803">
        <v>2209000000</v>
      </c>
      <c r="L20" s="803">
        <v>12250000000</v>
      </c>
      <c r="M20" s="803">
        <v>8777000000</v>
      </c>
      <c r="N20" s="803">
        <v>13549000000</v>
      </c>
      <c r="O20" s="803">
        <v>16269000000</v>
      </c>
      <c r="P20" s="803">
        <v>14828000000</v>
      </c>
      <c r="Q20" s="803">
        <v>14875000000</v>
      </c>
      <c r="R20" s="125">
        <v>14100000000</v>
      </c>
      <c r="S20" s="125">
        <v>9164000000</v>
      </c>
      <c r="T20" s="125">
        <v>9078000000</v>
      </c>
      <c r="U20" s="125">
        <v>11116000000</v>
      </c>
      <c r="V20" s="2463"/>
      <c r="W20" s="2463"/>
      <c r="X20" s="2463"/>
      <c r="Y20" s="2463"/>
      <c r="Z20" s="2463"/>
      <c r="AA20" s="2463"/>
      <c r="AB20" s="2463"/>
      <c r="AC20" s="2463"/>
      <c r="AD20" s="2463"/>
      <c r="AE20" s="2463"/>
    </row>
    <row r="21" spans="1:31">
      <c r="A21" s="849" t="s">
        <v>649</v>
      </c>
      <c r="B21" s="849" t="s">
        <v>649</v>
      </c>
      <c r="C21" s="806" t="s">
        <v>192</v>
      </c>
      <c r="D21" s="803"/>
      <c r="E21" s="803"/>
      <c r="F21" s="803"/>
      <c r="G21" s="803">
        <f t="shared" ref="G21:Q21" si="4">G20-G22</f>
        <v>171000000</v>
      </c>
      <c r="H21" s="803">
        <f t="shared" si="4"/>
        <v>289000000</v>
      </c>
      <c r="I21" s="803">
        <f t="shared" si="4"/>
        <v>342000000</v>
      </c>
      <c r="J21" s="803">
        <f t="shared" si="4"/>
        <v>515000000</v>
      </c>
      <c r="K21" s="803">
        <f t="shared" si="4"/>
        <v>338000000</v>
      </c>
      <c r="L21" s="803">
        <f t="shared" si="4"/>
        <v>385000000</v>
      </c>
      <c r="M21" s="803">
        <f t="shared" si="4"/>
        <v>503000000</v>
      </c>
      <c r="N21" s="803">
        <f t="shared" si="4"/>
        <v>462000000</v>
      </c>
      <c r="O21" s="803">
        <f t="shared" si="4"/>
        <v>748000000</v>
      </c>
      <c r="P21" s="803">
        <f t="shared" si="4"/>
        <v>645000000</v>
      </c>
      <c r="Q21" s="803">
        <f t="shared" si="4"/>
        <v>747000000</v>
      </c>
      <c r="R21" s="803">
        <f>R20-R22</f>
        <v>967000000</v>
      </c>
      <c r="S21" s="803">
        <f t="shared" ref="S21:U21" si="5">S20-S22</f>
        <v>1034000000</v>
      </c>
      <c r="T21" s="803">
        <f t="shared" si="5"/>
        <v>1152000000</v>
      </c>
      <c r="U21" s="803">
        <f t="shared" si="5"/>
        <v>1235000000</v>
      </c>
      <c r="V21" s="2463"/>
      <c r="W21" s="2463"/>
      <c r="X21" s="2463"/>
      <c r="Y21" s="2463"/>
      <c r="Z21" s="2463"/>
      <c r="AA21" s="2463"/>
      <c r="AB21" s="2463"/>
      <c r="AC21" s="2463"/>
      <c r="AD21" s="2463"/>
      <c r="AE21" s="2463"/>
    </row>
    <row r="22" spans="1:31">
      <c r="A22" s="808" t="s">
        <v>650</v>
      </c>
      <c r="B22" s="808" t="s">
        <v>651</v>
      </c>
      <c r="C22" s="806" t="s">
        <v>192</v>
      </c>
      <c r="D22" s="803"/>
      <c r="E22" s="803"/>
      <c r="F22" s="803"/>
      <c r="G22" s="803">
        <v>242000000</v>
      </c>
      <c r="H22" s="803">
        <v>303000000</v>
      </c>
      <c r="I22" s="803">
        <v>596000000</v>
      </c>
      <c r="J22" s="803">
        <v>984000000</v>
      </c>
      <c r="K22" s="803">
        <v>1871000000</v>
      </c>
      <c r="L22" s="803">
        <v>11865000000</v>
      </c>
      <c r="M22" s="803">
        <v>8274000000</v>
      </c>
      <c r="N22" s="803">
        <v>13087000000</v>
      </c>
      <c r="O22" s="803">
        <v>15521000000</v>
      </c>
      <c r="P22" s="803">
        <v>14183000000</v>
      </c>
      <c r="Q22" s="803">
        <v>14128000000</v>
      </c>
      <c r="R22" s="125">
        <v>13133000000</v>
      </c>
      <c r="S22" s="125">
        <v>8130000000</v>
      </c>
      <c r="T22" s="125">
        <v>7926000000</v>
      </c>
      <c r="U22" s="125">
        <v>9881000000</v>
      </c>
      <c r="V22" s="2463"/>
      <c r="W22" s="2463"/>
      <c r="X22" s="2463"/>
      <c r="Y22" s="2463"/>
      <c r="Z22" s="2463"/>
      <c r="AA22" s="2463"/>
      <c r="AB22" s="2463"/>
      <c r="AC22" s="2463"/>
      <c r="AD22" s="2463"/>
      <c r="AE22" s="2463"/>
    </row>
    <row r="23" spans="1:31">
      <c r="A23" s="807" t="s">
        <v>652</v>
      </c>
      <c r="B23" s="807" t="s">
        <v>653</v>
      </c>
      <c r="C23" s="805" t="s">
        <v>41</v>
      </c>
      <c r="D23" s="809"/>
      <c r="E23" s="809"/>
      <c r="F23" s="809"/>
      <c r="G23" s="803">
        <v>394000000</v>
      </c>
      <c r="H23" s="803">
        <v>379000000</v>
      </c>
      <c r="I23" s="803">
        <v>292000000</v>
      </c>
      <c r="J23" s="803">
        <v>408000000</v>
      </c>
      <c r="K23" s="803">
        <v>163000000</v>
      </c>
      <c r="L23" s="803"/>
      <c r="M23" s="803"/>
      <c r="N23" s="803"/>
      <c r="O23" s="803"/>
      <c r="P23" s="803"/>
      <c r="Q23" s="803">
        <v>0</v>
      </c>
      <c r="R23" s="803"/>
      <c r="S23" s="803"/>
      <c r="T23" s="2649"/>
      <c r="U23" s="2649"/>
      <c r="V23" s="2463"/>
      <c r="W23" s="2463"/>
      <c r="X23" s="2463"/>
      <c r="Y23" s="2463"/>
      <c r="Z23" s="2463"/>
      <c r="AA23" s="2463"/>
      <c r="AB23" s="2463"/>
      <c r="AC23" s="2463"/>
      <c r="AD23" s="2463"/>
      <c r="AE23" s="2463"/>
    </row>
    <row r="24" spans="1:31">
      <c r="A24" s="805" t="s">
        <v>53</v>
      </c>
      <c r="B24" s="805" t="s">
        <v>654</v>
      </c>
      <c r="C24" s="806" t="s">
        <v>38</v>
      </c>
      <c r="D24" s="803"/>
      <c r="E24" s="803"/>
      <c r="F24" s="803"/>
      <c r="G24" s="803">
        <v>6000000</v>
      </c>
      <c r="H24" s="803">
        <v>0</v>
      </c>
      <c r="I24" s="803">
        <v>11000000</v>
      </c>
      <c r="J24" s="803">
        <v>5000000</v>
      </c>
      <c r="K24" s="803">
        <v>0</v>
      </c>
      <c r="L24" s="803">
        <v>0</v>
      </c>
      <c r="M24" s="803">
        <v>0</v>
      </c>
      <c r="N24" s="803">
        <v>3000000</v>
      </c>
      <c r="O24" s="803">
        <v>7000000</v>
      </c>
      <c r="P24" s="803">
        <v>0</v>
      </c>
      <c r="Q24" s="803">
        <v>0</v>
      </c>
      <c r="R24" s="803">
        <v>0</v>
      </c>
      <c r="S24" s="803">
        <v>0</v>
      </c>
      <c r="T24" s="803">
        <v>0</v>
      </c>
      <c r="U24" s="803">
        <v>0</v>
      </c>
      <c r="V24" s="2463"/>
      <c r="W24" s="2463"/>
      <c r="X24" s="2463"/>
      <c r="Y24" s="2463"/>
      <c r="Z24" s="2463"/>
      <c r="AA24" s="2463"/>
      <c r="AB24" s="2463"/>
      <c r="AC24" s="2463"/>
      <c r="AD24" s="2463"/>
      <c r="AE24" s="2463"/>
    </row>
    <row r="25" spans="1:31" s="848" customFormat="1">
      <c r="A25" s="822" t="s">
        <v>198</v>
      </c>
      <c r="B25" s="822" t="s">
        <v>567</v>
      </c>
      <c r="C25" s="822" t="s">
        <v>35</v>
      </c>
      <c r="D25" s="824"/>
      <c r="E25" s="824"/>
      <c r="F25" s="824"/>
      <c r="G25" s="824">
        <f>G26+G46</f>
        <v>2036000000</v>
      </c>
      <c r="H25" s="824">
        <v>2207000000</v>
      </c>
      <c r="I25" s="824">
        <v>2839000000</v>
      </c>
      <c r="J25" s="824">
        <v>5134000000</v>
      </c>
      <c r="K25" s="824">
        <v>7356000000</v>
      </c>
      <c r="L25" s="824">
        <v>11829000000</v>
      </c>
      <c r="M25" s="824">
        <v>12028000000</v>
      </c>
      <c r="N25" s="824">
        <v>13450000000</v>
      </c>
      <c r="O25" s="824">
        <v>17368000000</v>
      </c>
      <c r="P25" s="824">
        <v>19782000000</v>
      </c>
      <c r="Q25" s="824">
        <f>Q46+Q26</f>
        <v>22218000000</v>
      </c>
      <c r="R25" s="824">
        <f>R26+R46</f>
        <v>21068000000</v>
      </c>
      <c r="S25" s="824">
        <f t="shared" ref="S25:U25" si="6">S26+S46</f>
        <v>22019000000</v>
      </c>
      <c r="T25" s="824">
        <f t="shared" si="6"/>
        <v>24818000000</v>
      </c>
      <c r="U25" s="824">
        <f t="shared" si="6"/>
        <v>24789000000</v>
      </c>
      <c r="V25" s="2463"/>
      <c r="W25" s="2463"/>
      <c r="X25" s="2463"/>
      <c r="Y25" s="2463"/>
      <c r="Z25" s="2463"/>
      <c r="AA25" s="2463"/>
      <c r="AB25" s="2463"/>
      <c r="AC25" s="2463"/>
      <c r="AD25" s="2463"/>
      <c r="AE25" s="2463"/>
    </row>
    <row r="26" spans="1:31">
      <c r="A26" s="805" t="s">
        <v>655</v>
      </c>
      <c r="B26" s="805" t="s">
        <v>656</v>
      </c>
      <c r="C26" s="805" t="s">
        <v>201</v>
      </c>
      <c r="D26" s="803"/>
      <c r="E26" s="803"/>
      <c r="F26" s="803"/>
      <c r="G26" s="803">
        <f>G28+G29+G34+G39+G40+G41+G42+G43</f>
        <v>1608000000</v>
      </c>
      <c r="H26" s="803">
        <v>1858000000</v>
      </c>
      <c r="I26" s="803">
        <v>2281000000</v>
      </c>
      <c r="J26" s="803">
        <v>3442000000</v>
      </c>
      <c r="K26" s="803">
        <v>4595000000</v>
      </c>
      <c r="L26" s="803">
        <v>6816000000</v>
      </c>
      <c r="M26" s="803">
        <v>7649000000</v>
      </c>
      <c r="N26" s="803">
        <v>8157000000</v>
      </c>
      <c r="O26" s="803">
        <v>9160000000</v>
      </c>
      <c r="P26" s="803">
        <v>11108000000</v>
      </c>
      <c r="Q26" s="803">
        <v>10505000000</v>
      </c>
      <c r="R26" s="803">
        <f>R28+R29+R30+R33+R39+R41+R43</f>
        <v>12053000000</v>
      </c>
      <c r="S26" s="803">
        <f t="shared" ref="S26:U26" si="7">S28+S29+S30+S33+S39+S41+S43</f>
        <v>13139000000</v>
      </c>
      <c r="T26" s="803">
        <f t="shared" si="7"/>
        <v>14642000000</v>
      </c>
      <c r="U26" s="803">
        <f t="shared" si="7"/>
        <v>15899000000</v>
      </c>
      <c r="V26" s="2463"/>
      <c r="W26" s="2463"/>
      <c r="X26" s="2463"/>
      <c r="Y26" s="2463"/>
      <c r="Z26" s="2463"/>
      <c r="AA26" s="2463"/>
      <c r="AB26" s="2463"/>
      <c r="AC26" s="2463"/>
      <c r="AD26" s="2463"/>
      <c r="AE26" s="2463"/>
    </row>
    <row r="27" spans="1:31">
      <c r="A27" s="506" t="s">
        <v>76</v>
      </c>
      <c r="B27" s="805" t="s">
        <v>657</v>
      </c>
      <c r="D27" s="803"/>
      <c r="E27" s="803"/>
      <c r="F27" s="803"/>
      <c r="G27" s="803">
        <v>1199000000</v>
      </c>
      <c r="H27" s="803">
        <v>1459000000</v>
      </c>
      <c r="I27" s="803">
        <v>1973000000</v>
      </c>
      <c r="J27" s="803">
        <v>3021000000</v>
      </c>
      <c r="K27" s="803">
        <v>4565000000</v>
      </c>
      <c r="L27" s="803"/>
      <c r="M27" s="803"/>
      <c r="N27" s="803"/>
      <c r="O27" s="803"/>
      <c r="P27" s="803"/>
      <c r="Q27" s="803"/>
      <c r="R27" s="803"/>
      <c r="S27" s="803"/>
      <c r="T27" s="2649"/>
      <c r="U27" s="2649"/>
      <c r="V27" s="2463"/>
      <c r="W27" s="2463"/>
      <c r="X27" s="2463"/>
      <c r="Y27" s="2463"/>
      <c r="Z27" s="2463"/>
      <c r="AA27" s="2463"/>
      <c r="AB27" s="2463"/>
      <c r="AC27" s="2463"/>
      <c r="AD27" s="2463"/>
      <c r="AE27" s="2463"/>
    </row>
    <row r="28" spans="1:31">
      <c r="A28" s="808" t="s">
        <v>79</v>
      </c>
      <c r="B28" s="808" t="s">
        <v>658</v>
      </c>
      <c r="C28" s="805" t="s">
        <v>204</v>
      </c>
      <c r="D28" s="803"/>
      <c r="E28" s="803"/>
      <c r="F28" s="803"/>
      <c r="G28" s="803">
        <v>316000000</v>
      </c>
      <c r="H28" s="803">
        <v>423000000</v>
      </c>
      <c r="I28" s="803">
        <v>580000000</v>
      </c>
      <c r="J28" s="803">
        <v>745000000</v>
      </c>
      <c r="K28" s="803">
        <v>1086000000</v>
      </c>
      <c r="L28" s="803"/>
      <c r="M28" s="803"/>
      <c r="N28" s="803"/>
      <c r="O28" s="803"/>
      <c r="P28" s="803"/>
      <c r="Q28" s="803">
        <v>2105000000</v>
      </c>
      <c r="R28" s="125">
        <v>3167000000</v>
      </c>
      <c r="S28" s="125">
        <v>3324000000</v>
      </c>
      <c r="T28" s="125">
        <v>3833000000</v>
      </c>
      <c r="U28" s="125">
        <v>4159000000</v>
      </c>
      <c r="V28" s="2463"/>
      <c r="W28" s="2463"/>
      <c r="X28" s="2463"/>
      <c r="Y28" s="2463"/>
      <c r="Z28" s="2463"/>
      <c r="AA28" s="2463"/>
      <c r="AB28" s="2463"/>
      <c r="AC28" s="2463"/>
      <c r="AD28" s="2463"/>
      <c r="AE28" s="2463"/>
    </row>
    <row r="29" spans="1:31">
      <c r="A29" s="808" t="s">
        <v>83</v>
      </c>
      <c r="B29" s="808" t="s">
        <v>578</v>
      </c>
      <c r="C29" s="805" t="s">
        <v>204</v>
      </c>
      <c r="D29" s="803"/>
      <c r="E29" s="803"/>
      <c r="F29" s="803"/>
      <c r="G29" s="803">
        <v>402000000</v>
      </c>
      <c r="H29" s="803">
        <v>496000000</v>
      </c>
      <c r="I29" s="803">
        <v>716000000</v>
      </c>
      <c r="J29" s="803">
        <v>1285000000</v>
      </c>
      <c r="K29" s="803">
        <v>1770000000</v>
      </c>
      <c r="L29" s="803"/>
      <c r="M29" s="803"/>
      <c r="N29" s="803"/>
      <c r="O29" s="803"/>
      <c r="P29" s="803"/>
      <c r="Q29" s="803">
        <v>4596000000</v>
      </c>
      <c r="R29" s="125">
        <v>5369000000</v>
      </c>
      <c r="S29" s="125">
        <v>6057000000</v>
      </c>
      <c r="T29" s="125">
        <v>6217000000</v>
      </c>
      <c r="U29" s="125">
        <v>6664000000</v>
      </c>
      <c r="V29" s="2463"/>
      <c r="W29" s="2463"/>
      <c r="X29" s="2463"/>
      <c r="Y29" s="2463"/>
      <c r="Z29" s="2463"/>
      <c r="AA29" s="2463"/>
      <c r="AB29" s="2463"/>
      <c r="AC29" s="2463"/>
      <c r="AD29" s="2463"/>
      <c r="AE29" s="2463"/>
    </row>
    <row r="30" spans="1:31">
      <c r="A30" s="808" t="s">
        <v>3108</v>
      </c>
      <c r="B30" s="808" t="s">
        <v>3108</v>
      </c>
      <c r="C30" s="805" t="s">
        <v>204</v>
      </c>
      <c r="D30" s="803"/>
      <c r="E30" s="803"/>
      <c r="F30" s="803"/>
      <c r="G30" s="803"/>
      <c r="H30" s="803"/>
      <c r="I30" s="803"/>
      <c r="J30" s="803"/>
      <c r="K30" s="803"/>
      <c r="L30" s="803"/>
      <c r="M30" s="803"/>
      <c r="N30" s="803"/>
      <c r="O30" s="803"/>
      <c r="P30" s="803"/>
      <c r="Q30" s="803">
        <v>1907000000</v>
      </c>
      <c r="R30" s="125">
        <v>2200000000</v>
      </c>
      <c r="S30" s="125">
        <v>2339000000</v>
      </c>
      <c r="T30" s="125">
        <v>2933000000</v>
      </c>
      <c r="U30" s="125">
        <v>3281000000</v>
      </c>
      <c r="V30" s="2463"/>
      <c r="W30" s="2463"/>
      <c r="X30" s="2463"/>
      <c r="Y30" s="2463"/>
      <c r="Z30" s="2463"/>
      <c r="AA30" s="2463"/>
      <c r="AB30" s="2463"/>
      <c r="AC30" s="2463"/>
      <c r="AD30" s="2463"/>
      <c r="AE30" s="2463"/>
    </row>
    <row r="31" spans="1:31">
      <c r="A31" s="808" t="s">
        <v>7163</v>
      </c>
      <c r="B31" s="808" t="s">
        <v>7166</v>
      </c>
      <c r="C31" s="805" t="s">
        <v>7167</v>
      </c>
      <c r="D31" s="803"/>
      <c r="E31" s="803"/>
      <c r="F31" s="803"/>
      <c r="G31" s="803"/>
      <c r="H31" s="803"/>
      <c r="I31" s="803"/>
      <c r="J31" s="803"/>
      <c r="K31" s="803"/>
      <c r="L31" s="803"/>
      <c r="M31" s="803"/>
      <c r="N31" s="803"/>
      <c r="O31" s="803"/>
      <c r="P31" s="803"/>
      <c r="Q31" s="803">
        <v>1077000000</v>
      </c>
      <c r="R31" s="125">
        <v>1142000000</v>
      </c>
      <c r="S31" s="125">
        <v>1100000000</v>
      </c>
      <c r="T31" s="125">
        <v>1246000000</v>
      </c>
      <c r="U31" s="125">
        <v>1374000000</v>
      </c>
      <c r="V31" s="2463"/>
      <c r="W31" s="2463"/>
      <c r="X31" s="2463"/>
      <c r="Y31" s="2463"/>
      <c r="Z31" s="2463"/>
      <c r="AA31" s="2463"/>
      <c r="AB31" s="2463"/>
      <c r="AC31" s="2463"/>
      <c r="AD31" s="2463"/>
      <c r="AE31" s="2463"/>
    </row>
    <row r="32" spans="1:31">
      <c r="A32" s="808" t="s">
        <v>50</v>
      </c>
      <c r="B32" s="808" t="s">
        <v>922</v>
      </c>
      <c r="C32" s="805" t="s">
        <v>7167</v>
      </c>
      <c r="D32" s="803"/>
      <c r="E32" s="803"/>
      <c r="F32" s="803"/>
      <c r="G32" s="803"/>
      <c r="H32" s="803"/>
      <c r="I32" s="803"/>
      <c r="J32" s="803"/>
      <c r="K32" s="803"/>
      <c r="L32" s="803"/>
      <c r="M32" s="803"/>
      <c r="N32" s="803"/>
      <c r="O32" s="803"/>
      <c r="P32" s="803"/>
      <c r="Q32" s="803">
        <f>Q30-Q31</f>
        <v>830000000</v>
      </c>
      <c r="R32" s="803">
        <f t="shared" ref="R32:U32" si="8">R30-R31</f>
        <v>1058000000</v>
      </c>
      <c r="S32" s="803">
        <f t="shared" si="8"/>
        <v>1239000000</v>
      </c>
      <c r="T32" s="803">
        <f t="shared" si="8"/>
        <v>1687000000</v>
      </c>
      <c r="U32" s="803">
        <f t="shared" si="8"/>
        <v>1907000000</v>
      </c>
      <c r="V32" s="2463"/>
      <c r="W32" s="2463"/>
      <c r="X32" s="2463"/>
      <c r="Y32" s="2463"/>
      <c r="Z32" s="2463"/>
      <c r="AA32" s="2463"/>
      <c r="AB32" s="2463"/>
      <c r="AC32" s="2463"/>
      <c r="AD32" s="2463"/>
      <c r="AE32" s="2463"/>
    </row>
    <row r="33" spans="1:31">
      <c r="A33" s="808" t="s">
        <v>53</v>
      </c>
      <c r="B33" s="808" t="s">
        <v>53</v>
      </c>
      <c r="C33" s="805" t="s">
        <v>204</v>
      </c>
      <c r="D33" s="803"/>
      <c r="E33" s="803"/>
      <c r="F33" s="803"/>
      <c r="G33" s="803"/>
      <c r="H33" s="803"/>
      <c r="I33" s="803"/>
      <c r="J33" s="803"/>
      <c r="K33" s="803"/>
      <c r="L33" s="803"/>
      <c r="M33" s="803"/>
      <c r="N33" s="803"/>
      <c r="O33" s="803"/>
      <c r="P33" s="803"/>
      <c r="Q33" s="803">
        <v>158000000</v>
      </c>
      <c r="R33" s="125">
        <v>148000000</v>
      </c>
      <c r="S33" s="803">
        <v>122000000</v>
      </c>
      <c r="T33" s="2649">
        <v>137000000</v>
      </c>
      <c r="U33" s="2649">
        <v>115000000</v>
      </c>
      <c r="V33" s="2463"/>
      <c r="W33" s="2463"/>
      <c r="X33" s="2463"/>
      <c r="Y33" s="2463"/>
      <c r="Z33" s="2463"/>
      <c r="AA33" s="2463"/>
      <c r="AB33" s="2463"/>
      <c r="AC33" s="2463"/>
      <c r="AD33" s="2463"/>
      <c r="AE33" s="2463"/>
    </row>
    <row r="34" spans="1:31">
      <c r="A34" s="808" t="s">
        <v>389</v>
      </c>
      <c r="B34" s="808" t="s">
        <v>389</v>
      </c>
      <c r="C34" s="805" t="s">
        <v>204</v>
      </c>
      <c r="D34" s="803"/>
      <c r="E34" s="803"/>
      <c r="F34" s="803"/>
      <c r="G34" s="803">
        <v>438000000</v>
      </c>
      <c r="H34" s="803">
        <v>503000000</v>
      </c>
      <c r="I34" s="803">
        <v>640000000</v>
      </c>
      <c r="J34" s="803">
        <v>884000000</v>
      </c>
      <c r="K34" s="803">
        <v>1297000000</v>
      </c>
      <c r="L34" s="803"/>
      <c r="M34" s="803"/>
      <c r="N34" s="803"/>
      <c r="O34" s="803"/>
      <c r="P34" s="803"/>
      <c r="Q34" s="803"/>
      <c r="R34" s="803"/>
      <c r="S34" s="803"/>
      <c r="T34" s="2649"/>
      <c r="U34" s="2649"/>
      <c r="V34" s="2463"/>
      <c r="W34" s="2463"/>
      <c r="X34" s="2463"/>
      <c r="Y34" s="2463"/>
      <c r="Z34" s="2463"/>
      <c r="AA34" s="2463"/>
      <c r="AB34" s="2463"/>
      <c r="AC34" s="2463"/>
      <c r="AD34" s="2463"/>
      <c r="AE34" s="2463"/>
    </row>
    <row r="35" spans="1:31">
      <c r="A35" s="808" t="s">
        <v>659</v>
      </c>
      <c r="B35" s="808" t="s">
        <v>660</v>
      </c>
      <c r="C35" s="805" t="s">
        <v>486</v>
      </c>
      <c r="D35" s="803"/>
      <c r="E35" s="803"/>
      <c r="F35" s="803"/>
      <c r="G35" s="803">
        <v>371000000</v>
      </c>
      <c r="H35" s="803">
        <v>404000000</v>
      </c>
      <c r="I35" s="803">
        <v>495000000</v>
      </c>
      <c r="J35" s="803">
        <v>566000000</v>
      </c>
      <c r="K35" s="803">
        <v>1038000000</v>
      </c>
      <c r="L35" s="803"/>
      <c r="M35" s="803"/>
      <c r="N35" s="803"/>
      <c r="O35" s="803"/>
      <c r="P35" s="803"/>
      <c r="Q35" s="803"/>
      <c r="R35" s="803"/>
      <c r="S35" s="803"/>
      <c r="T35" s="2649"/>
      <c r="U35" s="2649"/>
      <c r="V35" s="2463"/>
      <c r="W35" s="2463"/>
      <c r="X35" s="2463"/>
      <c r="Y35" s="2463"/>
      <c r="Z35" s="2463"/>
      <c r="AA35" s="2463"/>
      <c r="AB35" s="2463"/>
      <c r="AC35" s="2463"/>
      <c r="AD35" s="2463"/>
      <c r="AE35" s="2463"/>
    </row>
    <row r="36" spans="1:31">
      <c r="A36" s="849" t="s">
        <v>487</v>
      </c>
      <c r="B36" s="849" t="s">
        <v>661</v>
      </c>
      <c r="C36" s="805" t="s">
        <v>486</v>
      </c>
      <c r="D36" s="803"/>
      <c r="E36" s="803"/>
      <c r="F36" s="803"/>
      <c r="G36" s="803">
        <f>G34-G35</f>
        <v>67000000</v>
      </c>
      <c r="H36" s="803">
        <f>H34-H35</f>
        <v>99000000</v>
      </c>
      <c r="I36" s="803">
        <f>I34-I35</f>
        <v>145000000</v>
      </c>
      <c r="J36" s="803">
        <f>J34-J35</f>
        <v>318000000</v>
      </c>
      <c r="K36" s="803">
        <f>K34-K35</f>
        <v>259000000</v>
      </c>
      <c r="L36" s="803"/>
      <c r="M36" s="803"/>
      <c r="N36" s="803"/>
      <c r="O36" s="803"/>
      <c r="P36" s="803"/>
      <c r="Q36" s="803"/>
      <c r="R36" s="803"/>
      <c r="S36" s="803"/>
      <c r="T36" s="803"/>
      <c r="U36" s="803"/>
      <c r="V36" s="2463"/>
      <c r="W36" s="2463"/>
      <c r="X36" s="2463"/>
      <c r="Y36" s="2463"/>
      <c r="Z36" s="2463"/>
      <c r="AA36" s="2463"/>
      <c r="AB36" s="2463"/>
      <c r="AC36" s="2463"/>
      <c r="AD36" s="2463"/>
      <c r="AE36" s="2463"/>
    </row>
    <row r="37" spans="1:31">
      <c r="A37" s="808" t="s">
        <v>662</v>
      </c>
      <c r="B37" s="808" t="s">
        <v>663</v>
      </c>
      <c r="C37" s="805" t="s">
        <v>486</v>
      </c>
      <c r="D37" s="803"/>
      <c r="E37" s="803"/>
      <c r="F37" s="803"/>
      <c r="G37" s="803"/>
      <c r="H37" s="803"/>
      <c r="I37" s="803"/>
      <c r="J37" s="803"/>
      <c r="K37" s="803"/>
      <c r="L37" s="803"/>
      <c r="M37" s="803"/>
      <c r="N37" s="803"/>
      <c r="O37" s="803"/>
      <c r="P37" s="803"/>
      <c r="Q37" s="803"/>
      <c r="R37" s="803"/>
      <c r="S37" s="803"/>
      <c r="T37" s="2649"/>
      <c r="U37" s="2649"/>
      <c r="V37" s="2463"/>
      <c r="W37" s="2463"/>
      <c r="X37" s="2463"/>
      <c r="Y37" s="2463"/>
      <c r="Z37" s="2463"/>
      <c r="AA37" s="2463"/>
      <c r="AB37" s="2463"/>
      <c r="AC37" s="2463"/>
      <c r="AD37" s="2463"/>
      <c r="AE37" s="2463"/>
    </row>
    <row r="38" spans="1:31">
      <c r="A38" s="808" t="s">
        <v>664</v>
      </c>
      <c r="B38" s="808" t="s">
        <v>665</v>
      </c>
      <c r="C38" s="805" t="s">
        <v>486</v>
      </c>
      <c r="D38" s="803"/>
      <c r="E38" s="803"/>
      <c r="F38" s="803"/>
      <c r="G38" s="803"/>
      <c r="H38" s="803"/>
      <c r="I38" s="803"/>
      <c r="J38" s="803"/>
      <c r="K38" s="803"/>
      <c r="L38" s="803"/>
      <c r="M38" s="803"/>
      <c r="N38" s="803"/>
      <c r="O38" s="803"/>
      <c r="P38" s="803"/>
      <c r="Q38" s="803"/>
      <c r="R38" s="803"/>
      <c r="S38" s="803"/>
      <c r="T38" s="2649"/>
      <c r="U38" s="2649"/>
      <c r="V38" s="2463"/>
      <c r="W38" s="2463"/>
      <c r="X38" s="2463"/>
      <c r="Y38" s="2463"/>
      <c r="Z38" s="2463"/>
      <c r="AA38" s="2463"/>
      <c r="AB38" s="2463"/>
      <c r="AC38" s="2463"/>
      <c r="AD38" s="2463"/>
      <c r="AE38" s="2463"/>
    </row>
    <row r="39" spans="1:31">
      <c r="A39" s="808" t="s">
        <v>215</v>
      </c>
      <c r="B39" s="808" t="s">
        <v>215</v>
      </c>
      <c r="C39" s="805" t="s">
        <v>204</v>
      </c>
      <c r="D39" s="803"/>
      <c r="E39" s="803"/>
      <c r="F39" s="803"/>
      <c r="G39" s="803">
        <v>32000000</v>
      </c>
      <c r="H39" s="803">
        <v>27000000</v>
      </c>
      <c r="I39" s="803">
        <v>28000000</v>
      </c>
      <c r="J39" s="803">
        <v>41000000</v>
      </c>
      <c r="K39" s="803">
        <v>324000000</v>
      </c>
      <c r="L39" s="803"/>
      <c r="M39" s="803"/>
      <c r="N39" s="803"/>
      <c r="O39" s="803"/>
      <c r="P39" s="803"/>
      <c r="Q39" s="803">
        <v>1567000000</v>
      </c>
      <c r="R39" s="125">
        <v>988000000</v>
      </c>
      <c r="S39" s="125">
        <v>1018000000</v>
      </c>
      <c r="T39" s="125">
        <v>965000000</v>
      </c>
      <c r="U39" s="2649">
        <v>1094000000</v>
      </c>
      <c r="V39" s="2463"/>
      <c r="W39" s="2463"/>
      <c r="X39" s="2463"/>
      <c r="Y39" s="2463"/>
      <c r="Z39" s="2463"/>
      <c r="AA39" s="2463"/>
      <c r="AB39" s="2463"/>
      <c r="AC39" s="2463"/>
      <c r="AD39" s="2463"/>
      <c r="AE39" s="2463"/>
    </row>
    <row r="40" spans="1:31">
      <c r="A40" s="808" t="s">
        <v>666</v>
      </c>
      <c r="B40" s="808" t="s">
        <v>667</v>
      </c>
      <c r="C40" s="805" t="s">
        <v>204</v>
      </c>
      <c r="D40" s="803"/>
      <c r="E40" s="803"/>
      <c r="F40" s="803"/>
      <c r="G40" s="803">
        <v>1000000</v>
      </c>
      <c r="H40" s="803">
        <v>1000000</v>
      </c>
      <c r="I40" s="803">
        <v>2000000</v>
      </c>
      <c r="J40" s="803">
        <v>1000000</v>
      </c>
      <c r="K40" s="803">
        <v>4000000</v>
      </c>
      <c r="L40" s="803"/>
      <c r="M40" s="803"/>
      <c r="N40" s="803"/>
      <c r="O40" s="803"/>
      <c r="P40" s="803"/>
      <c r="Q40" s="803"/>
      <c r="R40" s="803"/>
      <c r="S40" s="803"/>
      <c r="T40" s="2649"/>
      <c r="U40" s="2649"/>
      <c r="V40" s="2463"/>
      <c r="W40" s="2463"/>
      <c r="X40" s="2463"/>
      <c r="Y40" s="2463"/>
      <c r="Z40" s="2463"/>
      <c r="AA40" s="2463"/>
      <c r="AB40" s="2463"/>
      <c r="AC40" s="2463"/>
      <c r="AD40" s="2463"/>
      <c r="AE40" s="2463"/>
    </row>
    <row r="41" spans="1:31">
      <c r="A41" s="808" t="s">
        <v>50</v>
      </c>
      <c r="B41" s="808" t="s">
        <v>50</v>
      </c>
      <c r="C41" s="805" t="s">
        <v>204</v>
      </c>
      <c r="D41" s="803"/>
      <c r="E41" s="803"/>
      <c r="F41" s="803"/>
      <c r="G41" s="803">
        <v>9000000</v>
      </c>
      <c r="H41" s="803">
        <v>9000000</v>
      </c>
      <c r="I41" s="803">
        <v>7000000</v>
      </c>
      <c r="J41" s="803">
        <v>66000000</v>
      </c>
      <c r="K41" s="803">
        <v>83000000</v>
      </c>
      <c r="L41" s="803"/>
      <c r="M41" s="803"/>
      <c r="N41" s="803"/>
      <c r="O41" s="803"/>
      <c r="P41" s="803"/>
      <c r="Q41" s="803">
        <v>47000000</v>
      </c>
      <c r="R41" s="125">
        <v>93000000</v>
      </c>
      <c r="S41" s="803">
        <v>80000000</v>
      </c>
      <c r="T41" s="2649">
        <v>183000000</v>
      </c>
      <c r="U41" s="2649">
        <v>181000000</v>
      </c>
      <c r="V41" s="2463"/>
      <c r="W41" s="2463"/>
      <c r="X41" s="2463"/>
      <c r="Y41" s="2463"/>
      <c r="Z41" s="2463"/>
      <c r="AA41" s="2463"/>
      <c r="AB41" s="2463"/>
      <c r="AC41" s="2463"/>
      <c r="AD41" s="2463"/>
      <c r="AE41" s="2463"/>
    </row>
    <row r="42" spans="1:31">
      <c r="A42" s="808" t="s">
        <v>668</v>
      </c>
      <c r="B42" s="808" t="s">
        <v>669</v>
      </c>
      <c r="C42" s="805" t="s">
        <v>204</v>
      </c>
      <c r="D42" s="803"/>
      <c r="E42" s="803"/>
      <c r="F42" s="803"/>
      <c r="G42" s="803">
        <v>394000000</v>
      </c>
      <c r="H42" s="803">
        <v>379000000</v>
      </c>
      <c r="I42" s="803">
        <v>292000000</v>
      </c>
      <c r="J42" s="803">
        <v>408000000</v>
      </c>
      <c r="K42" s="803"/>
      <c r="L42" s="803"/>
      <c r="M42" s="803"/>
      <c r="N42" s="803"/>
      <c r="O42" s="803"/>
      <c r="P42" s="803"/>
      <c r="Q42" s="803"/>
      <c r="R42" s="803"/>
      <c r="S42" s="803"/>
      <c r="T42" s="2649"/>
      <c r="U42" s="2649"/>
      <c r="V42" s="2463"/>
      <c r="W42" s="2463"/>
      <c r="X42" s="2463"/>
      <c r="Y42" s="2463"/>
      <c r="Z42" s="2463"/>
      <c r="AA42" s="2463"/>
      <c r="AB42" s="2463"/>
      <c r="AC42" s="2463"/>
      <c r="AD42" s="2463"/>
      <c r="AE42" s="2463"/>
    </row>
    <row r="43" spans="1:31">
      <c r="A43" s="808" t="s">
        <v>91</v>
      </c>
      <c r="B43" s="808" t="s">
        <v>91</v>
      </c>
      <c r="C43" s="805" t="s">
        <v>204</v>
      </c>
      <c r="D43" s="803"/>
      <c r="E43" s="803"/>
      <c r="F43" s="803"/>
      <c r="G43" s="803">
        <v>16000000</v>
      </c>
      <c r="H43" s="803">
        <v>19000000</v>
      </c>
      <c r="I43" s="803">
        <v>16000000</v>
      </c>
      <c r="J43" s="803">
        <v>13000000</v>
      </c>
      <c r="K43" s="803">
        <v>30000000</v>
      </c>
      <c r="L43" s="803"/>
      <c r="M43" s="803"/>
      <c r="N43" s="803"/>
      <c r="O43" s="803"/>
      <c r="P43" s="803"/>
      <c r="Q43" s="803">
        <v>124000000</v>
      </c>
      <c r="R43" s="125">
        <v>88000000</v>
      </c>
      <c r="S43" s="125">
        <v>199000000</v>
      </c>
      <c r="T43" s="125">
        <v>374000000</v>
      </c>
      <c r="U43" s="2649">
        <v>405000000</v>
      </c>
      <c r="V43" s="2463"/>
      <c r="W43" s="2463"/>
      <c r="X43" s="2463"/>
      <c r="Y43" s="2463"/>
      <c r="Z43" s="2463"/>
      <c r="AA43" s="2463"/>
      <c r="AB43" s="2463"/>
      <c r="AC43" s="2463"/>
      <c r="AD43" s="2463"/>
      <c r="AE43" s="2463"/>
    </row>
    <row r="44" spans="1:31">
      <c r="A44" s="808" t="s">
        <v>670</v>
      </c>
      <c r="B44" s="808" t="s">
        <v>671</v>
      </c>
      <c r="C44" s="805" t="s">
        <v>211</v>
      </c>
      <c r="D44" s="803"/>
      <c r="E44" s="803"/>
      <c r="F44" s="803"/>
      <c r="G44" s="803"/>
      <c r="H44" s="803"/>
      <c r="I44" s="803"/>
      <c r="J44" s="803"/>
      <c r="K44" s="803"/>
      <c r="L44" s="803"/>
      <c r="M44" s="803"/>
      <c r="N44" s="803"/>
      <c r="O44" s="803"/>
      <c r="P44" s="803"/>
      <c r="Q44" s="803"/>
      <c r="R44" s="803"/>
      <c r="S44" s="803"/>
      <c r="T44" s="2649"/>
      <c r="U44" s="2649"/>
      <c r="V44" s="2463"/>
      <c r="W44" s="2463"/>
      <c r="X44" s="2463"/>
      <c r="Y44" s="2463"/>
      <c r="Z44" s="2463"/>
      <c r="AA44" s="2463"/>
      <c r="AB44" s="2463"/>
      <c r="AC44" s="2463"/>
      <c r="AD44" s="2463"/>
      <c r="AE44" s="2463"/>
    </row>
    <row r="45" spans="1:31">
      <c r="A45" s="808" t="s">
        <v>672</v>
      </c>
      <c r="B45" s="808" t="s">
        <v>673</v>
      </c>
      <c r="C45" s="805" t="s">
        <v>211</v>
      </c>
      <c r="D45" s="803"/>
      <c r="E45" s="803"/>
      <c r="F45" s="803"/>
      <c r="G45" s="803"/>
      <c r="H45" s="803"/>
      <c r="I45" s="803"/>
      <c r="J45" s="803"/>
      <c r="K45" s="803"/>
      <c r="L45" s="803"/>
      <c r="M45" s="803"/>
      <c r="N45" s="803"/>
      <c r="O45" s="803"/>
      <c r="P45" s="803"/>
      <c r="Q45" s="803"/>
      <c r="R45" s="803"/>
      <c r="S45" s="803"/>
      <c r="T45" s="2649"/>
      <c r="U45" s="2649"/>
      <c r="V45" s="2463"/>
      <c r="W45" s="2463"/>
      <c r="X45" s="2463"/>
      <c r="Y45" s="2463"/>
      <c r="Z45" s="2463"/>
      <c r="AA45" s="2463"/>
      <c r="AB45" s="2463"/>
      <c r="AC45" s="2463"/>
      <c r="AD45" s="2463"/>
      <c r="AE45" s="2463"/>
    </row>
    <row r="46" spans="1:31">
      <c r="A46" s="805" t="s">
        <v>904</v>
      </c>
      <c r="B46" s="805" t="s">
        <v>676</v>
      </c>
      <c r="C46" s="805" t="s">
        <v>201</v>
      </c>
      <c r="D46" s="803"/>
      <c r="E46" s="803"/>
      <c r="F46" s="803"/>
      <c r="G46" s="803">
        <v>428000000</v>
      </c>
      <c r="H46" s="803">
        <v>349000000</v>
      </c>
      <c r="I46" s="803">
        <v>558000000</v>
      </c>
      <c r="J46" s="803">
        <v>1692000000</v>
      </c>
      <c r="K46" s="803">
        <v>2761000000</v>
      </c>
      <c r="L46" s="803">
        <v>5014000000</v>
      </c>
      <c r="M46" s="803">
        <v>4379000000</v>
      </c>
      <c r="N46" s="803">
        <v>5293000000</v>
      </c>
      <c r="O46" s="803">
        <v>8209000000</v>
      </c>
      <c r="P46" s="803">
        <v>8674000000</v>
      </c>
      <c r="Q46" s="803">
        <v>11713000000</v>
      </c>
      <c r="R46" s="125">
        <v>9015000000</v>
      </c>
      <c r="S46" s="125">
        <v>8880000000</v>
      </c>
      <c r="T46" s="125">
        <v>10176000000</v>
      </c>
      <c r="U46" s="125">
        <v>8890000000</v>
      </c>
      <c r="V46" s="2463"/>
      <c r="W46" s="2463"/>
      <c r="X46" s="2463"/>
      <c r="Y46" s="2463"/>
      <c r="Z46" s="2463"/>
      <c r="AA46" s="2463"/>
      <c r="AB46" s="2463"/>
      <c r="AC46" s="2463"/>
      <c r="AD46" s="2463"/>
      <c r="AE46" s="2463"/>
    </row>
    <row r="47" spans="1:31">
      <c r="A47" s="807" t="s">
        <v>677</v>
      </c>
      <c r="B47" s="807" t="s">
        <v>678</v>
      </c>
      <c r="C47" s="805" t="s">
        <v>241</v>
      </c>
      <c r="D47" s="803"/>
      <c r="E47" s="803"/>
      <c r="F47" s="803"/>
      <c r="G47" s="803">
        <v>304000000</v>
      </c>
      <c r="H47" s="803">
        <v>244000000</v>
      </c>
      <c r="I47" s="803">
        <v>438000000</v>
      </c>
      <c r="J47" s="803">
        <v>1427000000</v>
      </c>
      <c r="K47" s="803">
        <v>2613000000</v>
      </c>
      <c r="L47" s="803">
        <v>4914000000</v>
      </c>
      <c r="M47" s="803">
        <v>4093000000</v>
      </c>
      <c r="N47" s="803">
        <v>4768000000</v>
      </c>
      <c r="O47" s="803">
        <v>7442000000</v>
      </c>
      <c r="P47" s="803">
        <v>7697000000</v>
      </c>
      <c r="R47" s="2650"/>
      <c r="S47" s="2650"/>
      <c r="T47" s="2650"/>
      <c r="U47" s="2650"/>
      <c r="V47" s="2463"/>
      <c r="W47" s="2463"/>
      <c r="X47" s="2463"/>
      <c r="Y47" s="2463"/>
      <c r="Z47" s="2463"/>
      <c r="AA47" s="2463"/>
      <c r="AB47" s="2463"/>
      <c r="AC47" s="2463"/>
      <c r="AD47" s="2463"/>
      <c r="AE47" s="2463"/>
    </row>
    <row r="48" spans="1:31">
      <c r="A48" s="506" t="s">
        <v>76</v>
      </c>
      <c r="B48" s="808" t="s">
        <v>679</v>
      </c>
      <c r="D48" s="809"/>
      <c r="E48" s="809"/>
      <c r="F48" s="809"/>
      <c r="G48" s="803">
        <v>189000000</v>
      </c>
      <c r="H48" s="803"/>
      <c r="I48" s="803"/>
      <c r="J48" s="803"/>
      <c r="K48" s="803"/>
      <c r="L48" s="803"/>
      <c r="M48" s="803"/>
      <c r="N48" s="803"/>
      <c r="O48" s="803"/>
      <c r="P48" s="803"/>
      <c r="R48" s="2650"/>
      <c r="S48" s="2650"/>
      <c r="T48" s="2650"/>
      <c r="U48" s="2650"/>
      <c r="V48" s="2463"/>
      <c r="W48" s="2463"/>
      <c r="X48" s="2463"/>
      <c r="Y48" s="2463"/>
      <c r="Z48" s="2463"/>
      <c r="AA48" s="2463"/>
      <c r="AB48" s="2463"/>
      <c r="AC48" s="2463"/>
      <c r="AD48" s="2463"/>
      <c r="AE48" s="2463"/>
    </row>
    <row r="49" spans="1:31">
      <c r="A49" s="807" t="s">
        <v>680</v>
      </c>
      <c r="B49" s="807" t="s">
        <v>681</v>
      </c>
      <c r="C49" s="805" t="s">
        <v>241</v>
      </c>
      <c r="D49" s="803"/>
      <c r="E49" s="803"/>
      <c r="F49" s="803"/>
      <c r="G49" s="803">
        <v>124000000</v>
      </c>
      <c r="H49" s="803">
        <v>105000000</v>
      </c>
      <c r="I49" s="803">
        <v>120000000</v>
      </c>
      <c r="J49" s="803">
        <v>265000000</v>
      </c>
      <c r="K49" s="803">
        <v>148000000</v>
      </c>
      <c r="L49" s="803">
        <v>100000000</v>
      </c>
      <c r="M49" s="803">
        <v>286000000</v>
      </c>
      <c r="N49" s="803">
        <v>525000000</v>
      </c>
      <c r="O49" s="803">
        <v>767000000</v>
      </c>
      <c r="P49" s="803">
        <v>977000000</v>
      </c>
      <c r="Q49" s="803"/>
      <c r="R49" s="803"/>
      <c r="S49" s="803"/>
      <c r="T49" s="2649"/>
      <c r="U49" s="2649"/>
      <c r="V49" s="2463"/>
      <c r="W49" s="2463"/>
      <c r="X49" s="2463"/>
      <c r="Y49" s="2463"/>
      <c r="Z49" s="2463"/>
      <c r="AA49" s="2463"/>
      <c r="AB49" s="2463"/>
      <c r="AC49" s="2463"/>
      <c r="AD49" s="2463"/>
      <c r="AE49" s="2463"/>
    </row>
    <row r="50" spans="1:31">
      <c r="A50" s="807"/>
      <c r="B50" s="805" t="s">
        <v>542</v>
      </c>
      <c r="C50" s="805"/>
      <c r="D50" s="803"/>
      <c r="E50" s="803"/>
      <c r="F50" s="803"/>
      <c r="G50" s="803"/>
      <c r="H50" s="803"/>
      <c r="I50" s="803"/>
      <c r="J50" s="803"/>
      <c r="K50" s="803"/>
      <c r="L50" s="803"/>
      <c r="M50" s="803"/>
      <c r="N50" s="803"/>
      <c r="O50" s="803"/>
      <c r="P50" s="803"/>
      <c r="Q50" s="803">
        <v>564000000</v>
      </c>
      <c r="R50" s="803"/>
      <c r="S50" s="803"/>
      <c r="T50" s="2649"/>
      <c r="U50" s="2649"/>
      <c r="V50" s="2463"/>
      <c r="W50" s="2463"/>
      <c r="X50" s="2463"/>
      <c r="Y50" s="2463"/>
      <c r="Z50" s="2463"/>
      <c r="AA50" s="2463"/>
      <c r="AB50" s="2463"/>
      <c r="AC50" s="2463"/>
      <c r="AD50" s="2463"/>
      <c r="AE50" s="2463"/>
    </row>
    <row r="51" spans="1:31">
      <c r="A51" s="807"/>
      <c r="B51" s="805" t="s">
        <v>521</v>
      </c>
      <c r="C51" s="805"/>
      <c r="D51" s="803"/>
      <c r="E51" s="803"/>
      <c r="F51" s="803"/>
      <c r="G51" s="803"/>
      <c r="H51" s="803"/>
      <c r="I51" s="803"/>
      <c r="J51" s="803"/>
      <c r="K51" s="803"/>
      <c r="L51" s="803"/>
      <c r="M51" s="803"/>
      <c r="N51" s="803"/>
      <c r="O51" s="803"/>
      <c r="P51" s="803"/>
      <c r="Q51" s="803">
        <v>0</v>
      </c>
      <c r="R51" s="803"/>
      <c r="S51" s="803"/>
      <c r="T51" s="2649"/>
      <c r="U51" s="2649"/>
      <c r="V51" s="2463"/>
      <c r="W51" s="2463"/>
      <c r="X51" s="2463"/>
      <c r="Y51" s="2463"/>
      <c r="Z51" s="2463"/>
      <c r="AA51" s="2463"/>
      <c r="AB51" s="2463"/>
      <c r="AC51" s="2463"/>
      <c r="AD51" s="2463"/>
      <c r="AE51" s="2463"/>
    </row>
    <row r="52" spans="1:31">
      <c r="A52" s="506" t="s">
        <v>76</v>
      </c>
      <c r="B52" s="805" t="s">
        <v>590</v>
      </c>
      <c r="D52" s="803"/>
      <c r="E52" s="803"/>
      <c r="F52" s="803"/>
      <c r="G52" s="803">
        <v>-70000000</v>
      </c>
      <c r="H52" s="803">
        <v>-8000000</v>
      </c>
      <c r="I52" s="803">
        <v>-17000000</v>
      </c>
      <c r="J52" s="803">
        <v>155000000</v>
      </c>
      <c r="K52" s="803">
        <v>-100000000</v>
      </c>
      <c r="L52" s="803">
        <v>-131000000</v>
      </c>
      <c r="M52" s="803">
        <v>-142000000</v>
      </c>
      <c r="N52" s="803">
        <v>-277000000</v>
      </c>
      <c r="O52" s="803">
        <v>-1043000000</v>
      </c>
      <c r="P52" s="803">
        <v>-581000000</v>
      </c>
      <c r="Q52" s="803"/>
      <c r="R52" s="803"/>
      <c r="S52" s="803"/>
      <c r="T52" s="2649"/>
      <c r="U52" s="2649"/>
      <c r="V52" s="2463"/>
      <c r="W52" s="2463"/>
      <c r="X52" s="2463"/>
      <c r="Y52" s="2463"/>
      <c r="Z52" s="2463"/>
      <c r="AA52" s="2463"/>
      <c r="AB52" s="2463"/>
      <c r="AC52" s="2463"/>
      <c r="AD52" s="2463"/>
      <c r="AE52" s="2463"/>
    </row>
    <row r="53" spans="1:31">
      <c r="A53" s="506" t="s">
        <v>76</v>
      </c>
      <c r="B53" s="805" t="s">
        <v>682</v>
      </c>
      <c r="D53" s="803"/>
      <c r="E53" s="803"/>
      <c r="F53" s="803"/>
      <c r="G53" s="809"/>
      <c r="H53" s="803">
        <v>-755000000</v>
      </c>
      <c r="I53" s="803">
        <v>321000000</v>
      </c>
      <c r="J53" s="803">
        <v>-36000000</v>
      </c>
      <c r="K53" s="803">
        <v>751000000</v>
      </c>
      <c r="L53" s="803">
        <v>7727000000</v>
      </c>
      <c r="M53" s="803">
        <v>2482000000</v>
      </c>
      <c r="N53" s="803">
        <v>6213000000</v>
      </c>
      <c r="O53" s="803">
        <v>6967000000</v>
      </c>
      <c r="P53" s="803">
        <v>2630000000</v>
      </c>
      <c r="R53" s="820"/>
      <c r="S53" s="820"/>
      <c r="T53" s="820"/>
      <c r="U53" s="820"/>
      <c r="V53" s="2463"/>
      <c r="W53" s="2463"/>
      <c r="X53" s="2463"/>
      <c r="Y53" s="2463"/>
      <c r="Z53" s="2463"/>
      <c r="AA53" s="2463"/>
      <c r="AB53" s="2463"/>
      <c r="AC53" s="2463"/>
      <c r="AD53" s="2463"/>
      <c r="AE53" s="2463"/>
    </row>
    <row r="54" spans="1:31">
      <c r="A54" s="506" t="s">
        <v>76</v>
      </c>
      <c r="B54" s="805" t="s">
        <v>683</v>
      </c>
      <c r="D54" s="803"/>
      <c r="E54" s="803"/>
      <c r="F54" s="803"/>
      <c r="G54" s="809"/>
      <c r="H54" s="803"/>
      <c r="I54" s="803"/>
      <c r="J54" s="803"/>
      <c r="K54" s="803"/>
      <c r="L54" s="803"/>
      <c r="M54" s="803"/>
      <c r="N54" s="803"/>
      <c r="O54" s="803"/>
      <c r="P54" s="803"/>
      <c r="Q54" s="803"/>
      <c r="R54" s="803"/>
      <c r="S54" s="803"/>
      <c r="T54" s="2649"/>
      <c r="U54" s="2649"/>
      <c r="V54" s="2463"/>
      <c r="W54" s="2463"/>
      <c r="X54" s="2463"/>
      <c r="Y54" s="2463"/>
      <c r="Z54" s="2463"/>
      <c r="AA54" s="2463"/>
      <c r="AB54" s="2463"/>
      <c r="AC54" s="2463"/>
      <c r="AD54" s="2463"/>
      <c r="AE54" s="2463"/>
    </row>
    <row r="55" spans="1:31">
      <c r="A55" s="506" t="s">
        <v>76</v>
      </c>
      <c r="B55" s="805" t="s">
        <v>684</v>
      </c>
      <c r="D55" s="803"/>
      <c r="E55" s="803"/>
      <c r="F55" s="803"/>
      <c r="G55" s="809"/>
      <c r="H55" s="803">
        <v>90000000</v>
      </c>
      <c r="I55" s="803">
        <v>441000000</v>
      </c>
      <c r="J55" s="803">
        <v>229000000</v>
      </c>
      <c r="K55" s="803"/>
      <c r="L55" s="803"/>
      <c r="M55" s="803"/>
      <c r="N55" s="803"/>
      <c r="O55" s="803"/>
      <c r="P55" s="803"/>
      <c r="Q55" s="803"/>
      <c r="R55" s="803"/>
      <c r="S55" s="803"/>
      <c r="T55" s="2649"/>
      <c r="U55" s="2649"/>
      <c r="V55" s="2463"/>
      <c r="W55" s="2463"/>
      <c r="X55" s="2463"/>
      <c r="Y55" s="2463"/>
      <c r="Z55" s="2463"/>
      <c r="AA55" s="2463"/>
      <c r="AB55" s="2463"/>
      <c r="AC55" s="2463"/>
      <c r="AD55" s="2463"/>
      <c r="AE55" s="2463"/>
    </row>
    <row r="56" spans="1:31">
      <c r="A56" s="506" t="s">
        <v>76</v>
      </c>
      <c r="B56" s="805" t="s">
        <v>685</v>
      </c>
      <c r="D56" s="803"/>
      <c r="E56" s="803"/>
      <c r="F56" s="803"/>
      <c r="G56" s="809"/>
      <c r="H56" s="803"/>
      <c r="I56" s="803"/>
      <c r="J56" s="803"/>
      <c r="K56" s="803"/>
      <c r="L56" s="803"/>
      <c r="M56" s="803"/>
      <c r="N56" s="803"/>
      <c r="O56" s="803"/>
      <c r="P56" s="803"/>
      <c r="Q56" s="803"/>
      <c r="R56" s="803"/>
      <c r="S56" s="803"/>
      <c r="T56" s="2649"/>
      <c r="U56" s="2649"/>
      <c r="V56" s="2463"/>
      <c r="W56" s="2463"/>
      <c r="X56" s="2463"/>
      <c r="Y56" s="2463"/>
      <c r="Z56" s="2463"/>
      <c r="AA56" s="2463"/>
      <c r="AB56" s="2463"/>
      <c r="AC56" s="2463"/>
      <c r="AD56" s="2463"/>
      <c r="AE56" s="2463"/>
    </row>
    <row r="57" spans="1:31">
      <c r="A57" s="506" t="s">
        <v>76</v>
      </c>
      <c r="B57" s="805" t="s">
        <v>686</v>
      </c>
      <c r="D57" s="809"/>
      <c r="E57" s="809"/>
      <c r="F57" s="809"/>
      <c r="G57" s="803">
        <v>-849000000</v>
      </c>
      <c r="H57" s="803">
        <v>195000000</v>
      </c>
      <c r="I57" s="803">
        <v>-884000000</v>
      </c>
      <c r="J57" s="803">
        <v>-2690000000</v>
      </c>
      <c r="K57" s="803">
        <v>-3525000000</v>
      </c>
      <c r="L57" s="803">
        <v>-6840000000</v>
      </c>
      <c r="M57" s="803">
        <v>-6942000000</v>
      </c>
      <c r="N57" s="803">
        <v>-8070000000</v>
      </c>
      <c r="O57" s="803">
        <v>-10245000000</v>
      </c>
      <c r="P57" s="803">
        <v>-13504000000</v>
      </c>
      <c r="Q57" s="803">
        <v>-15818000000</v>
      </c>
      <c r="R57" s="803"/>
      <c r="S57" s="803"/>
      <c r="T57" s="2649"/>
      <c r="U57" s="2649"/>
      <c r="V57" s="2463"/>
      <c r="W57" s="2463"/>
      <c r="X57" s="2463"/>
      <c r="Y57" s="2463"/>
      <c r="Z57" s="2463"/>
      <c r="AA57" s="2463"/>
      <c r="AB57" s="2463"/>
      <c r="AC57" s="2463"/>
      <c r="AD57" s="2463"/>
      <c r="AE57" s="2463"/>
    </row>
    <row r="58" spans="1:31" s="848" customFormat="1">
      <c r="A58" s="822" t="s">
        <v>115</v>
      </c>
      <c r="B58" s="822" t="s">
        <v>115</v>
      </c>
      <c r="C58" s="822" t="s">
        <v>35</v>
      </c>
      <c r="D58" s="824"/>
      <c r="E58" s="824"/>
      <c r="F58" s="824"/>
      <c r="G58" s="824">
        <v>56000000</v>
      </c>
      <c r="H58" s="824">
        <v>-90000000</v>
      </c>
      <c r="I58" s="824">
        <v>-321000000</v>
      </c>
      <c r="J58" s="824">
        <v>36000000</v>
      </c>
      <c r="K58" s="829">
        <v>-751000000</v>
      </c>
      <c r="L58" s="829">
        <v>-7727000000</v>
      </c>
      <c r="M58" s="824">
        <v>-2482000000</v>
      </c>
      <c r="N58" s="824">
        <v>-6213000000</v>
      </c>
      <c r="O58" s="824">
        <v>-6967000000</v>
      </c>
      <c r="P58" s="824">
        <v>-2630000000</v>
      </c>
      <c r="Q58" s="824">
        <f>Q60+Q61</f>
        <v>-564000000</v>
      </c>
      <c r="R58" s="824">
        <v>-1883000000</v>
      </c>
      <c r="S58" s="824">
        <v>3675000000</v>
      </c>
      <c r="T58" s="824">
        <v>5452000000</v>
      </c>
      <c r="U58" s="824">
        <v>2341000000</v>
      </c>
      <c r="V58" s="2463"/>
      <c r="W58" s="2463"/>
      <c r="X58" s="2463"/>
      <c r="Y58" s="2463"/>
      <c r="Z58" s="2463"/>
      <c r="AA58" s="2463"/>
      <c r="AB58" s="2463"/>
      <c r="AC58" s="2463"/>
      <c r="AD58" s="2463"/>
      <c r="AE58" s="2463"/>
    </row>
    <row r="59" spans="1:31">
      <c r="A59" s="805" t="s">
        <v>120</v>
      </c>
      <c r="B59" s="805" t="s">
        <v>687</v>
      </c>
      <c r="C59" s="805" t="s">
        <v>252</v>
      </c>
      <c r="D59" s="803"/>
      <c r="E59" s="803"/>
      <c r="F59" s="803"/>
      <c r="G59" s="803">
        <v>-151000000</v>
      </c>
      <c r="H59" s="803">
        <v>-212000000</v>
      </c>
      <c r="I59" s="803">
        <v>-436000000</v>
      </c>
      <c r="J59" s="803">
        <v>-223000000</v>
      </c>
      <c r="K59" s="803">
        <v>-876000000</v>
      </c>
      <c r="L59" s="809">
        <v>-7752000000</v>
      </c>
      <c r="M59" s="803">
        <v>-2705000000</v>
      </c>
      <c r="N59" s="803">
        <v>-6686000000</v>
      </c>
      <c r="O59" s="803">
        <v>-7654000000</v>
      </c>
      <c r="P59" s="803">
        <v>-3502000000</v>
      </c>
      <c r="R59" s="820"/>
      <c r="S59" s="820"/>
      <c r="T59" s="820"/>
      <c r="U59" s="820"/>
      <c r="V59" s="2463"/>
      <c r="W59" s="2463"/>
      <c r="X59" s="2463"/>
      <c r="Y59" s="2463"/>
      <c r="Z59" s="2463"/>
      <c r="AA59" s="2463"/>
      <c r="AB59" s="2463"/>
      <c r="AC59" s="2463"/>
      <c r="AD59" s="2463"/>
      <c r="AE59" s="2463"/>
    </row>
    <row r="60" spans="1:31">
      <c r="A60" s="805" t="s">
        <v>688</v>
      </c>
      <c r="B60" s="805" t="s">
        <v>688</v>
      </c>
      <c r="C60" s="805" t="s">
        <v>252</v>
      </c>
      <c r="D60" s="803"/>
      <c r="E60" s="803"/>
      <c r="F60" s="803"/>
      <c r="G60" s="803"/>
      <c r="H60" s="803"/>
      <c r="I60" s="803"/>
      <c r="J60" s="803"/>
      <c r="K60" s="803"/>
      <c r="L60" s="809"/>
      <c r="M60" s="803"/>
      <c r="N60" s="803"/>
      <c r="O60" s="803"/>
      <c r="P60" s="803"/>
      <c r="Q60" s="803">
        <v>-271000000</v>
      </c>
      <c r="R60" s="21">
        <v>-1806000000</v>
      </c>
      <c r="S60" s="21">
        <v>-740000000</v>
      </c>
      <c r="T60" s="21">
        <v>1507000000</v>
      </c>
      <c r="U60" s="21">
        <v>-274000000</v>
      </c>
      <c r="V60" s="2463"/>
      <c r="W60" s="2463"/>
      <c r="X60" s="2463"/>
      <c r="Y60" s="2463"/>
      <c r="Z60" s="2463"/>
      <c r="AA60" s="2463"/>
      <c r="AB60" s="2463"/>
      <c r="AC60" s="2463"/>
      <c r="AD60" s="2463"/>
      <c r="AE60" s="2463"/>
    </row>
    <row r="61" spans="1:31">
      <c r="A61" s="805" t="s">
        <v>689</v>
      </c>
      <c r="B61" s="805" t="s">
        <v>689</v>
      </c>
      <c r="C61" s="805" t="s">
        <v>252</v>
      </c>
      <c r="D61" s="803"/>
      <c r="E61" s="803"/>
      <c r="F61" s="803"/>
      <c r="G61" s="803"/>
      <c r="H61" s="803"/>
      <c r="I61" s="803"/>
      <c r="J61" s="803"/>
      <c r="K61" s="803"/>
      <c r="L61" s="809"/>
      <c r="M61" s="803"/>
      <c r="N61" s="803"/>
      <c r="O61" s="803"/>
      <c r="P61" s="803"/>
      <c r="Q61" s="803">
        <v>-293000000</v>
      </c>
      <c r="R61" s="21">
        <v>-77000000</v>
      </c>
      <c r="S61" s="21">
        <v>4415000000</v>
      </c>
      <c r="T61" s="21">
        <v>3945000000</v>
      </c>
      <c r="U61" s="21">
        <v>2615000000</v>
      </c>
      <c r="V61" s="2463"/>
      <c r="W61" s="2463"/>
      <c r="X61" s="2463"/>
      <c r="Y61" s="2463"/>
      <c r="Z61" s="2463"/>
      <c r="AA61" s="2463"/>
      <c r="AB61" s="2463"/>
      <c r="AC61" s="2463"/>
      <c r="AD61" s="2463"/>
      <c r="AE61" s="2463"/>
    </row>
    <row r="62" spans="1:31">
      <c r="A62" s="805"/>
      <c r="B62" s="805" t="s">
        <v>690</v>
      </c>
      <c r="C62" s="805"/>
      <c r="D62" s="803"/>
      <c r="E62" s="803"/>
      <c r="F62" s="803"/>
      <c r="G62" s="803"/>
      <c r="H62" s="803"/>
      <c r="I62" s="803"/>
      <c r="J62" s="803"/>
      <c r="K62" s="803"/>
      <c r="L62" s="809"/>
      <c r="M62" s="803"/>
      <c r="N62" s="803"/>
      <c r="O62" s="803"/>
      <c r="P62" s="803"/>
      <c r="Q62" s="803">
        <v>-19000000</v>
      </c>
      <c r="R62" s="803"/>
      <c r="S62" s="803"/>
      <c r="T62" s="2649"/>
      <c r="U62" s="2649"/>
      <c r="V62" s="2463"/>
      <c r="W62" s="2463"/>
      <c r="X62" s="2463"/>
      <c r="Y62" s="2463"/>
      <c r="Z62" s="2463"/>
      <c r="AA62" s="2463"/>
      <c r="AB62" s="2463"/>
      <c r="AC62" s="2463"/>
      <c r="AD62" s="2463"/>
      <c r="AE62" s="2463"/>
    </row>
    <row r="63" spans="1:31">
      <c r="A63" s="805"/>
      <c r="B63" s="805" t="s">
        <v>691</v>
      </c>
      <c r="C63" s="805"/>
      <c r="D63" s="803"/>
      <c r="E63" s="803"/>
      <c r="F63" s="803"/>
      <c r="G63" s="803"/>
      <c r="H63" s="803"/>
      <c r="I63" s="803"/>
      <c r="J63" s="803"/>
      <c r="K63" s="803"/>
      <c r="L63" s="809"/>
      <c r="M63" s="803"/>
      <c r="N63" s="803"/>
      <c r="O63" s="803"/>
      <c r="P63" s="803"/>
      <c r="Q63" s="803">
        <v>-14000000</v>
      </c>
      <c r="R63" s="803"/>
      <c r="S63" s="803"/>
      <c r="T63" s="2649"/>
      <c r="U63" s="2649"/>
      <c r="V63" s="2463"/>
      <c r="W63" s="2463"/>
      <c r="X63" s="2463"/>
      <c r="Y63" s="2463"/>
      <c r="Z63" s="2463"/>
      <c r="AA63" s="2463"/>
      <c r="AB63" s="2463"/>
      <c r="AC63" s="2463"/>
      <c r="AD63" s="2463"/>
      <c r="AE63" s="2463"/>
    </row>
    <row r="64" spans="1:31">
      <c r="A64" s="805"/>
      <c r="B64" s="805" t="s">
        <v>692</v>
      </c>
      <c r="C64" s="805"/>
      <c r="D64" s="803"/>
      <c r="E64" s="803"/>
      <c r="F64" s="803"/>
      <c r="G64" s="803"/>
      <c r="H64" s="803"/>
      <c r="I64" s="803"/>
      <c r="J64" s="803"/>
      <c r="K64" s="803"/>
      <c r="L64" s="809"/>
      <c r="M64" s="803"/>
      <c r="N64" s="803"/>
      <c r="O64" s="803"/>
      <c r="P64" s="803"/>
      <c r="Q64" s="803">
        <v>-1446000000</v>
      </c>
      <c r="R64" s="803"/>
      <c r="S64" s="803"/>
      <c r="T64" s="2649"/>
      <c r="U64" s="2649"/>
      <c r="V64" s="2463"/>
      <c r="W64" s="2463"/>
      <c r="X64" s="2463"/>
      <c r="Y64" s="2463"/>
      <c r="Z64" s="2463"/>
      <c r="AA64" s="2463"/>
      <c r="AB64" s="2463"/>
      <c r="AC64" s="2463"/>
      <c r="AD64" s="2463"/>
      <c r="AE64" s="2463"/>
    </row>
    <row r="65" spans="1:31">
      <c r="A65" s="805"/>
      <c r="B65" s="805" t="s">
        <v>693</v>
      </c>
      <c r="C65" s="805"/>
      <c r="D65" s="803"/>
      <c r="E65" s="803"/>
      <c r="F65" s="803"/>
      <c r="G65" s="803"/>
      <c r="H65" s="803"/>
      <c r="I65" s="803"/>
      <c r="J65" s="803"/>
      <c r="K65" s="803"/>
      <c r="L65" s="809"/>
      <c r="M65" s="803"/>
      <c r="N65" s="803"/>
      <c r="O65" s="803"/>
      <c r="P65" s="803"/>
      <c r="Q65" s="803">
        <v>-40000000</v>
      </c>
      <c r="R65" s="803"/>
      <c r="S65" s="803"/>
      <c r="T65" s="2649"/>
      <c r="U65" s="2649"/>
      <c r="V65" s="2463"/>
      <c r="W65" s="2463"/>
      <c r="X65" s="2463"/>
      <c r="Y65" s="2463"/>
      <c r="Z65" s="2463"/>
      <c r="AA65" s="2463"/>
      <c r="AB65" s="2463"/>
      <c r="AC65" s="2463"/>
      <c r="AD65" s="2463"/>
      <c r="AE65" s="2463"/>
    </row>
    <row r="66" spans="1:31">
      <c r="A66" s="805"/>
      <c r="B66" s="805" t="s">
        <v>694</v>
      </c>
      <c r="C66" s="805"/>
      <c r="D66" s="803"/>
      <c r="E66" s="803"/>
      <c r="F66" s="803"/>
      <c r="G66" s="803"/>
      <c r="H66" s="803"/>
      <c r="I66" s="803"/>
      <c r="J66" s="803"/>
      <c r="K66" s="803"/>
      <c r="L66" s="809"/>
      <c r="M66" s="803"/>
      <c r="N66" s="803"/>
      <c r="O66" s="803"/>
      <c r="P66" s="803"/>
      <c r="Q66" s="803">
        <v>878000000</v>
      </c>
      <c r="R66" s="803"/>
      <c r="S66" s="803"/>
      <c r="T66" s="2649"/>
      <c r="U66" s="2649"/>
    </row>
    <row r="67" spans="1:31">
      <c r="A67" s="805"/>
      <c r="B67" s="805" t="s">
        <v>695</v>
      </c>
      <c r="C67" s="805"/>
      <c r="D67" s="803"/>
      <c r="E67" s="803"/>
      <c r="F67" s="803"/>
      <c r="G67" s="803"/>
      <c r="H67" s="803"/>
      <c r="I67" s="803"/>
      <c r="J67" s="803"/>
      <c r="K67" s="803"/>
      <c r="L67" s="809"/>
      <c r="M67" s="803"/>
      <c r="N67" s="803"/>
      <c r="O67" s="803"/>
      <c r="P67" s="803"/>
      <c r="Q67" s="803">
        <v>-274000000</v>
      </c>
      <c r="R67" s="803"/>
      <c r="S67" s="803"/>
      <c r="T67" s="2649"/>
      <c r="U67" s="2649"/>
    </row>
    <row r="68" spans="1:31">
      <c r="A68" s="807" t="s">
        <v>696</v>
      </c>
      <c r="B68" s="807" t="s">
        <v>697</v>
      </c>
      <c r="C68" s="805" t="s">
        <v>124</v>
      </c>
      <c r="D68" s="803"/>
      <c r="E68" s="803"/>
      <c r="F68" s="803"/>
      <c r="G68" s="809"/>
      <c r="H68" s="809"/>
      <c r="I68" s="803">
        <v>-40000000</v>
      </c>
      <c r="J68" s="803">
        <v>106000000</v>
      </c>
      <c r="K68" s="803">
        <v>12000000</v>
      </c>
      <c r="L68" s="809">
        <v>-659000000</v>
      </c>
      <c r="M68" s="803">
        <v>-25000000</v>
      </c>
      <c r="N68" s="803">
        <v>-133000000</v>
      </c>
      <c r="O68" s="803">
        <v>-1631000000</v>
      </c>
      <c r="P68" s="803">
        <v>93000000</v>
      </c>
      <c r="Q68" s="803"/>
      <c r="R68" s="803"/>
      <c r="S68" s="803"/>
      <c r="T68" s="543"/>
      <c r="U68" s="543"/>
    </row>
    <row r="69" spans="1:31">
      <c r="A69" s="506" t="s">
        <v>76</v>
      </c>
      <c r="B69" s="808" t="s">
        <v>123</v>
      </c>
      <c r="D69" s="803"/>
      <c r="E69" s="803"/>
      <c r="F69" s="803"/>
      <c r="G69" s="809"/>
      <c r="H69" s="809"/>
      <c r="I69" s="803"/>
      <c r="J69" s="803"/>
      <c r="K69" s="803"/>
      <c r="L69" s="809"/>
      <c r="M69" s="803"/>
      <c r="N69" s="803"/>
      <c r="O69" s="803"/>
      <c r="P69" s="803"/>
      <c r="Q69" s="803"/>
      <c r="R69" s="803"/>
      <c r="S69" s="803"/>
      <c r="T69" s="543"/>
      <c r="U69" s="543"/>
    </row>
    <row r="70" spans="1:31">
      <c r="A70" s="506" t="s">
        <v>76</v>
      </c>
      <c r="B70" s="808" t="s">
        <v>698</v>
      </c>
      <c r="D70" s="803"/>
      <c r="E70" s="803"/>
      <c r="F70" s="803"/>
      <c r="G70" s="809"/>
      <c r="H70" s="809"/>
      <c r="I70" s="803"/>
      <c r="J70" s="803"/>
      <c r="K70" s="803"/>
      <c r="L70" s="809"/>
      <c r="M70" s="803"/>
      <c r="N70" s="803"/>
      <c r="O70" s="803"/>
      <c r="P70" s="803"/>
      <c r="Q70" s="803"/>
      <c r="R70" s="803"/>
      <c r="S70" s="803"/>
      <c r="T70" s="803"/>
      <c r="U70" s="803"/>
    </row>
    <row r="71" spans="1:31">
      <c r="A71" s="506" t="s">
        <v>76</v>
      </c>
      <c r="B71" s="808" t="s">
        <v>699</v>
      </c>
      <c r="D71" s="803"/>
      <c r="E71" s="803"/>
      <c r="F71" s="803"/>
      <c r="G71" s="809"/>
      <c r="H71" s="809"/>
      <c r="I71" s="803">
        <v>16000000</v>
      </c>
      <c r="J71" s="803">
        <v>6000000</v>
      </c>
      <c r="K71" s="803">
        <v>26000000</v>
      </c>
      <c r="L71" s="809"/>
      <c r="M71" s="803"/>
      <c r="N71" s="803"/>
      <c r="O71" s="803"/>
      <c r="P71" s="803"/>
      <c r="Q71" s="803"/>
      <c r="R71" s="803"/>
      <c r="S71" s="803"/>
      <c r="T71" s="543"/>
      <c r="U71" s="543"/>
    </row>
    <row r="72" spans="1:31">
      <c r="A72" s="807" t="s">
        <v>700</v>
      </c>
      <c r="B72" s="807" t="s">
        <v>701</v>
      </c>
      <c r="C72" s="805" t="s">
        <v>124</v>
      </c>
      <c r="D72" s="803"/>
      <c r="E72" s="803"/>
      <c r="F72" s="803"/>
      <c r="G72" s="809"/>
      <c r="H72" s="809"/>
      <c r="I72" s="803">
        <v>-339000000</v>
      </c>
      <c r="J72" s="803">
        <v>-353000000</v>
      </c>
      <c r="K72" s="803">
        <v>-959000000</v>
      </c>
      <c r="L72" s="809">
        <v>-7185000000</v>
      </c>
      <c r="M72" s="803">
        <v>-3018000000</v>
      </c>
      <c r="N72" s="803">
        <v>-6700000000</v>
      </c>
      <c r="O72" s="803">
        <v>-6088000000</v>
      </c>
      <c r="P72" s="803">
        <v>-3608000000</v>
      </c>
      <c r="Q72" s="803"/>
      <c r="R72" s="803"/>
      <c r="S72" s="803"/>
      <c r="T72" s="543"/>
      <c r="U72" s="543"/>
    </row>
    <row r="73" spans="1:31">
      <c r="A73" s="807" t="s">
        <v>702</v>
      </c>
      <c r="B73" s="807" t="s">
        <v>703</v>
      </c>
      <c r="C73" s="805" t="s">
        <v>124</v>
      </c>
      <c r="D73" s="803"/>
      <c r="E73" s="803"/>
      <c r="F73" s="803"/>
      <c r="G73" s="809"/>
      <c r="H73" s="809"/>
      <c r="I73" s="803">
        <v>12000000</v>
      </c>
      <c r="J73" s="803">
        <v>42000000</v>
      </c>
      <c r="K73" s="803">
        <v>65000000</v>
      </c>
      <c r="L73" s="809"/>
      <c r="M73" s="803"/>
      <c r="N73" s="803"/>
      <c r="O73" s="803"/>
      <c r="P73" s="803"/>
      <c r="Q73" s="803"/>
      <c r="R73" s="803"/>
      <c r="S73" s="803"/>
      <c r="T73" s="543"/>
      <c r="U73" s="543"/>
    </row>
    <row r="74" spans="1:31">
      <c r="A74" s="807" t="s">
        <v>704</v>
      </c>
      <c r="B74" s="807" t="s">
        <v>693</v>
      </c>
      <c r="C74" s="805" t="s">
        <v>124</v>
      </c>
      <c r="D74" s="803"/>
      <c r="E74" s="803"/>
      <c r="F74" s="803"/>
      <c r="G74" s="809"/>
      <c r="H74" s="809"/>
      <c r="I74" s="803">
        <v>20000000</v>
      </c>
      <c r="J74" s="803">
        <v>0</v>
      </c>
      <c r="K74" s="803">
        <v>6000000</v>
      </c>
      <c r="L74" s="809"/>
      <c r="M74" s="803"/>
      <c r="N74" s="803"/>
      <c r="O74" s="803"/>
      <c r="P74" s="803"/>
      <c r="Q74" s="803"/>
      <c r="R74" s="803"/>
      <c r="S74" s="803"/>
      <c r="T74" s="543"/>
      <c r="U74" s="543"/>
    </row>
    <row r="75" spans="1:31">
      <c r="A75" s="807" t="s">
        <v>50</v>
      </c>
      <c r="B75" s="807" t="s">
        <v>50</v>
      </c>
      <c r="C75" s="805" t="s">
        <v>124</v>
      </c>
      <c r="D75" s="803"/>
      <c r="E75" s="803"/>
      <c r="F75" s="803"/>
      <c r="G75" s="809"/>
      <c r="H75" s="809"/>
      <c r="I75" s="850">
        <f>I59-I68-I72-I73-I74</f>
        <v>-89000000</v>
      </c>
      <c r="J75" s="850">
        <f>J59-J68-J72-J73-J74</f>
        <v>-18000000</v>
      </c>
      <c r="K75" s="803"/>
      <c r="L75" s="851">
        <f>L59-L68-L72</f>
        <v>92000000</v>
      </c>
      <c r="M75" s="851">
        <f t="shared" ref="M75:P75" si="9">M59-M68-M72</f>
        <v>338000000</v>
      </c>
      <c r="N75" s="851">
        <f t="shared" si="9"/>
        <v>147000000</v>
      </c>
      <c r="O75" s="851">
        <f t="shared" si="9"/>
        <v>65000000</v>
      </c>
      <c r="P75" s="851">
        <f t="shared" si="9"/>
        <v>13000000</v>
      </c>
      <c r="Q75" s="809"/>
      <c r="R75" s="809"/>
      <c r="S75" s="809"/>
      <c r="T75" s="543"/>
      <c r="U75" s="543"/>
    </row>
    <row r="76" spans="1:31">
      <c r="A76" s="805" t="s">
        <v>261</v>
      </c>
      <c r="B76" s="805" t="s">
        <v>705</v>
      </c>
      <c r="C76" s="805" t="s">
        <v>252</v>
      </c>
      <c r="D76" s="803"/>
      <c r="E76" s="803"/>
      <c r="F76" s="803"/>
      <c r="G76" s="809">
        <v>207000000</v>
      </c>
      <c r="H76" s="803">
        <v>122000000</v>
      </c>
      <c r="I76" s="803">
        <v>115000000</v>
      </c>
      <c r="J76" s="803">
        <v>259000000</v>
      </c>
      <c r="K76" s="803">
        <v>125000000</v>
      </c>
      <c r="L76" s="809">
        <v>25000000</v>
      </c>
      <c r="M76" s="803">
        <v>223000000</v>
      </c>
      <c r="N76" s="803">
        <v>473000000</v>
      </c>
      <c r="O76" s="803">
        <v>687000000</v>
      </c>
      <c r="P76" s="803">
        <v>872000000</v>
      </c>
      <c r="Q76" s="803"/>
      <c r="R76" s="803"/>
      <c r="S76" s="803"/>
      <c r="T76" s="543"/>
      <c r="U76" s="543"/>
    </row>
    <row r="77" spans="1:31">
      <c r="A77" s="807" t="s">
        <v>444</v>
      </c>
      <c r="B77" s="807" t="s">
        <v>444</v>
      </c>
      <c r="C77" s="805" t="s">
        <v>264</v>
      </c>
      <c r="D77" s="803"/>
      <c r="E77" s="803"/>
      <c r="F77" s="803"/>
      <c r="G77" s="809"/>
      <c r="H77" s="809"/>
      <c r="I77" s="803">
        <v>135000000</v>
      </c>
      <c r="J77" s="803">
        <v>274000000</v>
      </c>
      <c r="K77" s="803">
        <v>154000000</v>
      </c>
      <c r="L77" s="809">
        <v>130000000</v>
      </c>
      <c r="M77" s="803">
        <v>288000000</v>
      </c>
      <c r="N77" s="803">
        <v>526000000</v>
      </c>
      <c r="O77" s="803">
        <v>768000000</v>
      </c>
      <c r="P77" s="803">
        <v>977000000</v>
      </c>
      <c r="Q77" s="803"/>
      <c r="R77" s="803"/>
      <c r="S77" s="803"/>
      <c r="T77" s="543"/>
      <c r="U77" s="543"/>
    </row>
    <row r="78" spans="1:31">
      <c r="A78" s="808" t="s">
        <v>706</v>
      </c>
      <c r="B78" s="808" t="s">
        <v>707</v>
      </c>
      <c r="C78" s="805" t="s">
        <v>708</v>
      </c>
      <c r="D78" s="803"/>
      <c r="E78" s="803"/>
      <c r="F78" s="803"/>
      <c r="G78" s="809"/>
      <c r="H78" s="809"/>
      <c r="I78" s="809"/>
      <c r="J78" s="809"/>
      <c r="K78" s="803">
        <v>154000000</v>
      </c>
      <c r="L78" s="809"/>
      <c r="M78" s="803"/>
      <c r="N78" s="803"/>
      <c r="O78" s="803"/>
      <c r="P78" s="803"/>
      <c r="Q78" s="803"/>
      <c r="R78" s="803"/>
      <c r="S78" s="803"/>
      <c r="T78" s="543"/>
      <c r="U78" s="543"/>
    </row>
    <row r="79" spans="1:31">
      <c r="A79" s="808" t="s">
        <v>411</v>
      </c>
      <c r="B79" s="808" t="s">
        <v>709</v>
      </c>
      <c r="C79" s="805" t="s">
        <v>708</v>
      </c>
      <c r="D79" s="803"/>
      <c r="E79" s="803"/>
      <c r="F79" s="803"/>
      <c r="G79" s="809"/>
      <c r="H79" s="809"/>
      <c r="I79" s="809"/>
      <c r="J79" s="809"/>
      <c r="K79" s="803"/>
      <c r="L79" s="809"/>
      <c r="M79" s="803"/>
      <c r="N79" s="803"/>
      <c r="O79" s="803"/>
      <c r="P79" s="803"/>
      <c r="Q79" s="803"/>
      <c r="R79" s="803"/>
      <c r="S79" s="803"/>
      <c r="T79" s="543"/>
      <c r="U79" s="543"/>
    </row>
    <row r="80" spans="1:31">
      <c r="A80" s="808" t="s">
        <v>710</v>
      </c>
      <c r="B80" s="808" t="s">
        <v>711</v>
      </c>
      <c r="C80" s="805" t="s">
        <v>708</v>
      </c>
      <c r="D80" s="803"/>
      <c r="E80" s="803"/>
      <c r="F80" s="803"/>
      <c r="G80" s="809"/>
      <c r="H80" s="809"/>
      <c r="I80" s="803"/>
      <c r="J80" s="803"/>
      <c r="K80" s="803"/>
      <c r="L80" s="809"/>
      <c r="M80" s="803"/>
      <c r="N80" s="803"/>
      <c r="O80" s="803"/>
      <c r="P80" s="803"/>
      <c r="Q80" s="803"/>
      <c r="R80" s="803"/>
      <c r="S80" s="803"/>
      <c r="T80" s="543"/>
      <c r="U80" s="543"/>
    </row>
    <row r="81" spans="1:21">
      <c r="A81" s="807" t="s">
        <v>712</v>
      </c>
      <c r="B81" s="807" t="s">
        <v>712</v>
      </c>
      <c r="C81" s="805" t="s">
        <v>264</v>
      </c>
      <c r="D81" s="809"/>
      <c r="E81" s="809"/>
      <c r="F81" s="809"/>
      <c r="G81" s="809"/>
      <c r="H81" s="809"/>
      <c r="I81" s="803"/>
      <c r="J81" s="803"/>
      <c r="K81" s="803">
        <v>0</v>
      </c>
      <c r="L81" s="809"/>
      <c r="M81" s="803"/>
      <c r="N81" s="803"/>
      <c r="O81" s="803"/>
      <c r="P81" s="803"/>
      <c r="Q81" s="803"/>
      <c r="R81" s="803"/>
      <c r="S81" s="803"/>
      <c r="T81" s="543"/>
      <c r="U81" s="543"/>
    </row>
    <row r="82" spans="1:21">
      <c r="A82" s="807" t="s">
        <v>713</v>
      </c>
      <c r="B82" s="807" t="s">
        <v>607</v>
      </c>
      <c r="C82" s="805" t="s">
        <v>264</v>
      </c>
      <c r="D82" s="803"/>
      <c r="E82" s="803"/>
      <c r="F82" s="803"/>
      <c r="G82" s="809"/>
      <c r="H82" s="809"/>
      <c r="I82" s="850">
        <f>I76-I77</f>
        <v>-20000000</v>
      </c>
      <c r="J82" s="850">
        <f>J76-J77</f>
        <v>-15000000</v>
      </c>
      <c r="K82" s="803">
        <v>-29000000</v>
      </c>
      <c r="L82" s="809">
        <v>-105000000</v>
      </c>
      <c r="M82" s="803">
        <v>-65000000</v>
      </c>
      <c r="N82" s="803">
        <v>-53000000</v>
      </c>
      <c r="O82" s="803">
        <v>-81000000</v>
      </c>
      <c r="P82" s="803">
        <v>-105000000</v>
      </c>
      <c r="Q82" s="803"/>
      <c r="R82" s="803"/>
      <c r="S82" s="803"/>
      <c r="T82" s="543"/>
      <c r="U82" s="543"/>
    </row>
    <row r="83" spans="1:21">
      <c r="G83" s="809"/>
      <c r="I83" s="845"/>
      <c r="J83" s="845"/>
      <c r="M83" s="845"/>
      <c r="N83" s="845"/>
      <c r="O83" s="845"/>
      <c r="P83" s="845"/>
      <c r="Q83" s="846"/>
      <c r="R83" s="846"/>
      <c r="S83" s="846"/>
      <c r="T83" s="543"/>
      <c r="U83" s="543"/>
    </row>
    <row r="84" spans="1:21">
      <c r="D84" s="506" t="s">
        <v>139</v>
      </c>
      <c r="E84" s="506" t="s">
        <v>139</v>
      </c>
      <c r="F84" s="506" t="s">
        <v>139</v>
      </c>
      <c r="G84" s="506" t="s">
        <v>139</v>
      </c>
      <c r="H84" s="506" t="s">
        <v>139</v>
      </c>
      <c r="I84" s="506" t="s">
        <v>139</v>
      </c>
      <c r="J84" s="506" t="s">
        <v>139</v>
      </c>
      <c r="K84" s="506" t="s">
        <v>139</v>
      </c>
      <c r="L84" s="506" t="s">
        <v>139</v>
      </c>
      <c r="M84" s="506" t="s">
        <v>139</v>
      </c>
      <c r="N84" s="506" t="s">
        <v>139</v>
      </c>
      <c r="O84" s="506" t="s">
        <v>139</v>
      </c>
      <c r="P84" s="506" t="s">
        <v>139</v>
      </c>
      <c r="Q84" s="506" t="s">
        <v>139</v>
      </c>
      <c r="R84" s="506" t="s">
        <v>139</v>
      </c>
      <c r="S84" s="506" t="s">
        <v>139</v>
      </c>
      <c r="T84" s="506" t="s">
        <v>139</v>
      </c>
      <c r="U84" s="506" t="s">
        <v>139</v>
      </c>
    </row>
    <row r="85" spans="1:21">
      <c r="T85" s="543"/>
      <c r="U85" s="543"/>
    </row>
    <row r="86" spans="1:21">
      <c r="B86" s="506" t="s">
        <v>714</v>
      </c>
      <c r="D86" s="820">
        <f t="shared" ref="D86:U86" si="10">D6-D7-D24</f>
        <v>0</v>
      </c>
      <c r="E86" s="820">
        <f t="shared" si="10"/>
        <v>0</v>
      </c>
      <c r="F86" s="820">
        <f t="shared" si="10"/>
        <v>0</v>
      </c>
      <c r="G86" s="820">
        <f t="shared" si="10"/>
        <v>0</v>
      </c>
      <c r="H86" s="820">
        <f t="shared" si="10"/>
        <v>0</v>
      </c>
      <c r="I86" s="820">
        <f t="shared" si="10"/>
        <v>0</v>
      </c>
      <c r="J86" s="820">
        <f t="shared" si="10"/>
        <v>0</v>
      </c>
      <c r="K86" s="820">
        <f t="shared" si="10"/>
        <v>0</v>
      </c>
      <c r="L86" s="820">
        <f t="shared" si="10"/>
        <v>0</v>
      </c>
      <c r="M86" s="820">
        <f t="shared" si="10"/>
        <v>0</v>
      </c>
      <c r="N86" s="820">
        <f t="shared" si="10"/>
        <v>0</v>
      </c>
      <c r="O86" s="820">
        <f t="shared" si="10"/>
        <v>0</v>
      </c>
      <c r="P86" s="820">
        <f t="shared" si="10"/>
        <v>0</v>
      </c>
      <c r="Q86" s="820">
        <f t="shared" si="10"/>
        <v>0</v>
      </c>
      <c r="R86" s="820">
        <f t="shared" si="10"/>
        <v>0</v>
      </c>
      <c r="S86" s="820">
        <f t="shared" si="10"/>
        <v>0</v>
      </c>
      <c r="T86" s="820">
        <f t="shared" si="10"/>
        <v>0</v>
      </c>
      <c r="U86" s="820">
        <f t="shared" si="10"/>
        <v>0</v>
      </c>
    </row>
    <row r="87" spans="1:21">
      <c r="B87" s="506" t="s">
        <v>141</v>
      </c>
      <c r="D87" s="820">
        <f t="shared" ref="D87:U87" si="11">D7-D8-D20-D23</f>
        <v>0</v>
      </c>
      <c r="E87" s="820">
        <f t="shared" si="11"/>
        <v>0</v>
      </c>
      <c r="F87" s="820">
        <f t="shared" si="11"/>
        <v>0</v>
      </c>
      <c r="G87" s="820">
        <f t="shared" si="11"/>
        <v>0</v>
      </c>
      <c r="H87" s="820">
        <f t="shared" si="11"/>
        <v>0</v>
      </c>
      <c r="I87" s="820">
        <f t="shared" si="11"/>
        <v>0</v>
      </c>
      <c r="J87" s="820">
        <f t="shared" si="11"/>
        <v>0</v>
      </c>
      <c r="K87" s="820">
        <f t="shared" si="11"/>
        <v>0</v>
      </c>
      <c r="L87" s="820">
        <f t="shared" si="11"/>
        <v>0</v>
      </c>
      <c r="M87" s="820">
        <f t="shared" si="11"/>
        <v>0</v>
      </c>
      <c r="N87" s="820">
        <f t="shared" si="11"/>
        <v>0</v>
      </c>
      <c r="O87" s="820">
        <f t="shared" si="11"/>
        <v>0</v>
      </c>
      <c r="P87" s="820">
        <f t="shared" si="11"/>
        <v>0</v>
      </c>
      <c r="Q87" s="820">
        <f t="shared" si="11"/>
        <v>0</v>
      </c>
      <c r="R87" s="820">
        <f t="shared" si="11"/>
        <v>0</v>
      </c>
      <c r="S87" s="820">
        <f t="shared" si="11"/>
        <v>0</v>
      </c>
      <c r="T87" s="820">
        <f t="shared" si="11"/>
        <v>0</v>
      </c>
      <c r="U87" s="820">
        <f t="shared" si="11"/>
        <v>0</v>
      </c>
    </row>
    <row r="88" spans="1:21">
      <c r="B88" s="506" t="s">
        <v>715</v>
      </c>
      <c r="D88" s="820">
        <f t="shared" ref="D88:U88" si="12">D8-D9-D12-D13-D16-D17-D19</f>
        <v>0</v>
      </c>
      <c r="E88" s="820">
        <f t="shared" si="12"/>
        <v>0</v>
      </c>
      <c r="F88" s="820">
        <f t="shared" si="12"/>
        <v>0</v>
      </c>
      <c r="G88" s="820">
        <f t="shared" si="12"/>
        <v>-1000000</v>
      </c>
      <c r="H88" s="820">
        <f t="shared" si="12"/>
        <v>0</v>
      </c>
      <c r="I88" s="820">
        <f t="shared" si="12"/>
        <v>0</v>
      </c>
      <c r="J88" s="820">
        <f t="shared" si="12"/>
        <v>0</v>
      </c>
      <c r="K88" s="820">
        <f t="shared" si="12"/>
        <v>1000000</v>
      </c>
      <c r="L88" s="820">
        <f t="shared" si="12"/>
        <v>-1000000</v>
      </c>
      <c r="M88" s="820">
        <f t="shared" si="12"/>
        <v>0</v>
      </c>
      <c r="N88" s="820">
        <f t="shared" si="12"/>
        <v>1000000</v>
      </c>
      <c r="O88" s="820">
        <f t="shared" si="12"/>
        <v>-1000000</v>
      </c>
      <c r="P88" s="820">
        <f t="shared" si="12"/>
        <v>0</v>
      </c>
      <c r="Q88" s="820">
        <f t="shared" si="12"/>
        <v>0</v>
      </c>
      <c r="R88" s="820">
        <f t="shared" si="12"/>
        <v>0</v>
      </c>
      <c r="S88" s="820">
        <f t="shared" si="12"/>
        <v>0</v>
      </c>
      <c r="T88" s="820">
        <f t="shared" si="12"/>
        <v>0</v>
      </c>
      <c r="U88" s="820">
        <f t="shared" si="12"/>
        <v>0</v>
      </c>
    </row>
    <row r="89" spans="1:21">
      <c r="B89" s="506" t="s">
        <v>716</v>
      </c>
      <c r="D89" s="820">
        <f t="shared" ref="D89:U89" si="13">D9-D10-D11</f>
        <v>0</v>
      </c>
      <c r="E89" s="820">
        <f t="shared" si="13"/>
        <v>0</v>
      </c>
      <c r="F89" s="820">
        <f t="shared" si="13"/>
        <v>0</v>
      </c>
      <c r="G89" s="820">
        <f t="shared" si="13"/>
        <v>1000000</v>
      </c>
      <c r="H89" s="820">
        <f t="shared" si="13"/>
        <v>0</v>
      </c>
      <c r="I89" s="820">
        <f t="shared" si="13"/>
        <v>1000000</v>
      </c>
      <c r="J89" s="820">
        <f t="shared" si="13"/>
        <v>0</v>
      </c>
      <c r="K89" s="847">
        <f t="shared" si="13"/>
        <v>3046000000</v>
      </c>
      <c r="L89" s="847">
        <f t="shared" si="13"/>
        <v>3490000000</v>
      </c>
      <c r="M89" s="847">
        <f t="shared" si="13"/>
        <v>1911000000</v>
      </c>
      <c r="N89" s="847">
        <f t="shared" si="13"/>
        <v>2020000000</v>
      </c>
      <c r="O89" s="847">
        <f t="shared" si="13"/>
        <v>2850000000</v>
      </c>
      <c r="P89" s="847">
        <f t="shared" si="13"/>
        <v>3065000000</v>
      </c>
      <c r="Q89" s="847">
        <f t="shared" si="13"/>
        <v>0</v>
      </c>
      <c r="R89" s="847">
        <f t="shared" si="13"/>
        <v>0</v>
      </c>
      <c r="S89" s="847">
        <f t="shared" si="13"/>
        <v>0</v>
      </c>
      <c r="T89" s="847">
        <f t="shared" si="13"/>
        <v>0</v>
      </c>
      <c r="U89" s="847">
        <f t="shared" si="13"/>
        <v>0</v>
      </c>
    </row>
    <row r="90" spans="1:21">
      <c r="B90" s="506" t="s">
        <v>717</v>
      </c>
      <c r="D90" s="847">
        <f t="shared" ref="D90:U90" si="14">D13-D14-D15</f>
        <v>0</v>
      </c>
      <c r="E90" s="847">
        <f t="shared" si="14"/>
        <v>0</v>
      </c>
      <c r="F90" s="847">
        <f t="shared" si="14"/>
        <v>0</v>
      </c>
      <c r="G90" s="820">
        <f t="shared" si="14"/>
        <v>0</v>
      </c>
      <c r="H90" s="820">
        <f t="shared" si="14"/>
        <v>1000000</v>
      </c>
      <c r="I90" s="820">
        <f t="shared" si="14"/>
        <v>0</v>
      </c>
      <c r="J90" s="820">
        <f t="shared" si="14"/>
        <v>1000000</v>
      </c>
      <c r="K90" s="847">
        <f t="shared" si="14"/>
        <v>1179000000</v>
      </c>
      <c r="L90" s="847">
        <f t="shared" si="14"/>
        <v>1911000000</v>
      </c>
      <c r="M90" s="847">
        <f t="shared" si="14"/>
        <v>2013000000</v>
      </c>
      <c r="N90" s="847">
        <f t="shared" si="14"/>
        <v>2082000000</v>
      </c>
      <c r="O90" s="847">
        <f t="shared" si="14"/>
        <v>2223000000</v>
      </c>
      <c r="P90" s="847">
        <f t="shared" si="14"/>
        <v>2367000000</v>
      </c>
      <c r="Q90" s="847">
        <f t="shared" si="14"/>
        <v>2710000000</v>
      </c>
      <c r="R90" s="847">
        <f t="shared" si="14"/>
        <v>3120000000</v>
      </c>
      <c r="S90" s="847">
        <f t="shared" si="14"/>
        <v>3455000000</v>
      </c>
      <c r="T90" s="847">
        <f t="shared" si="14"/>
        <v>3811000000</v>
      </c>
      <c r="U90" s="847">
        <f t="shared" si="14"/>
        <v>4188000000</v>
      </c>
    </row>
    <row r="91" spans="1:21">
      <c r="B91" s="506" t="s">
        <v>718</v>
      </c>
      <c r="D91" s="820">
        <f t="shared" ref="D91:U91" si="15">D20-D21-D22</f>
        <v>0</v>
      </c>
      <c r="E91" s="820">
        <f t="shared" si="15"/>
        <v>0</v>
      </c>
      <c r="F91" s="820">
        <f t="shared" si="15"/>
        <v>0</v>
      </c>
      <c r="G91" s="820">
        <f t="shared" si="15"/>
        <v>0</v>
      </c>
      <c r="H91" s="820">
        <f t="shared" si="15"/>
        <v>0</v>
      </c>
      <c r="I91" s="820">
        <f t="shared" si="15"/>
        <v>0</v>
      </c>
      <c r="J91" s="820">
        <f t="shared" si="15"/>
        <v>0</v>
      </c>
      <c r="K91" s="820">
        <f t="shared" si="15"/>
        <v>0</v>
      </c>
      <c r="L91" s="820">
        <f t="shared" si="15"/>
        <v>0</v>
      </c>
      <c r="M91" s="820">
        <f t="shared" si="15"/>
        <v>0</v>
      </c>
      <c r="N91" s="820">
        <f t="shared" si="15"/>
        <v>0</v>
      </c>
      <c r="O91" s="820">
        <f t="shared" si="15"/>
        <v>0</v>
      </c>
      <c r="P91" s="820">
        <f t="shared" si="15"/>
        <v>0</v>
      </c>
      <c r="Q91" s="820">
        <f t="shared" si="15"/>
        <v>0</v>
      </c>
      <c r="R91" s="820">
        <f t="shared" si="15"/>
        <v>0</v>
      </c>
      <c r="S91" s="820">
        <f t="shared" si="15"/>
        <v>0</v>
      </c>
      <c r="T91" s="820">
        <f t="shared" si="15"/>
        <v>0</v>
      </c>
      <c r="U91" s="820">
        <f t="shared" si="15"/>
        <v>0</v>
      </c>
    </row>
    <row r="92" spans="1:21">
      <c r="B92" s="506" t="s">
        <v>719</v>
      </c>
      <c r="D92" s="820">
        <f t="shared" ref="D92:U92" si="16">D25-D26-D46</f>
        <v>0</v>
      </c>
      <c r="E92" s="820">
        <f t="shared" si="16"/>
        <v>0</v>
      </c>
      <c r="F92" s="820">
        <f t="shared" si="16"/>
        <v>0</v>
      </c>
      <c r="G92" s="820">
        <f t="shared" si="16"/>
        <v>0</v>
      </c>
      <c r="H92" s="820">
        <f t="shared" si="16"/>
        <v>0</v>
      </c>
      <c r="I92" s="820">
        <f t="shared" si="16"/>
        <v>0</v>
      </c>
      <c r="J92" s="820">
        <f t="shared" si="16"/>
        <v>0</v>
      </c>
      <c r="K92" s="820">
        <f t="shared" si="16"/>
        <v>0</v>
      </c>
      <c r="L92" s="820">
        <f t="shared" si="16"/>
        <v>-1000000</v>
      </c>
      <c r="M92" s="820">
        <f t="shared" si="16"/>
        <v>0</v>
      </c>
      <c r="N92" s="820">
        <f t="shared" si="16"/>
        <v>0</v>
      </c>
      <c r="O92" s="820">
        <f t="shared" si="16"/>
        <v>-1000000</v>
      </c>
      <c r="P92" s="820">
        <f t="shared" si="16"/>
        <v>0</v>
      </c>
      <c r="Q92" s="820">
        <f t="shared" si="16"/>
        <v>0</v>
      </c>
      <c r="R92" s="820">
        <f t="shared" si="16"/>
        <v>0</v>
      </c>
      <c r="S92" s="820">
        <f t="shared" si="16"/>
        <v>0</v>
      </c>
      <c r="T92" s="820">
        <f t="shared" si="16"/>
        <v>0</v>
      </c>
      <c r="U92" s="820">
        <f t="shared" si="16"/>
        <v>0</v>
      </c>
    </row>
    <row r="93" spans="1:21">
      <c r="B93" s="506" t="s">
        <v>720</v>
      </c>
      <c r="D93" s="820">
        <f t="shared" ref="D93:U93" si="17">D26-D28-D29-D34-D42-D43-D362-D39-D40-D41</f>
        <v>0</v>
      </c>
      <c r="E93" s="820">
        <f t="shared" si="17"/>
        <v>0</v>
      </c>
      <c r="F93" s="820">
        <f t="shared" si="17"/>
        <v>0</v>
      </c>
      <c r="G93" s="820">
        <f t="shared" si="17"/>
        <v>0</v>
      </c>
      <c r="H93" s="820">
        <f t="shared" si="17"/>
        <v>1000000</v>
      </c>
      <c r="I93" s="820">
        <f t="shared" si="17"/>
        <v>0</v>
      </c>
      <c r="J93" s="820">
        <f t="shared" si="17"/>
        <v>-1000000</v>
      </c>
      <c r="K93" s="820">
        <f t="shared" si="17"/>
        <v>1000000</v>
      </c>
      <c r="L93" s="847">
        <f t="shared" si="17"/>
        <v>6816000000</v>
      </c>
      <c r="M93" s="847">
        <f t="shared" si="17"/>
        <v>7649000000</v>
      </c>
      <c r="N93" s="847">
        <f t="shared" si="17"/>
        <v>8157000000</v>
      </c>
      <c r="O93" s="847">
        <f t="shared" si="17"/>
        <v>9160000000</v>
      </c>
      <c r="P93" s="847">
        <f t="shared" si="17"/>
        <v>11108000000</v>
      </c>
      <c r="Q93" s="847">
        <f t="shared" si="17"/>
        <v>2066000000</v>
      </c>
      <c r="R93" s="847">
        <f t="shared" si="17"/>
        <v>2348000000</v>
      </c>
      <c r="S93" s="847">
        <f t="shared" si="17"/>
        <v>2461000000</v>
      </c>
      <c r="T93" s="847">
        <f t="shared" si="17"/>
        <v>3070000000</v>
      </c>
      <c r="U93" s="847">
        <f t="shared" si="17"/>
        <v>3396000000</v>
      </c>
    </row>
    <row r="94" spans="1:21">
      <c r="B94" s="506" t="s">
        <v>721</v>
      </c>
      <c r="D94" s="820">
        <f t="shared" ref="D94:U94" si="18">D34-D35-D37-D38-D36</f>
        <v>0</v>
      </c>
      <c r="E94" s="820">
        <f t="shared" si="18"/>
        <v>0</v>
      </c>
      <c r="F94" s="820">
        <f t="shared" si="18"/>
        <v>0</v>
      </c>
      <c r="G94" s="820">
        <f t="shared" si="18"/>
        <v>0</v>
      </c>
      <c r="H94" s="820">
        <f t="shared" si="18"/>
        <v>0</v>
      </c>
      <c r="I94" s="820">
        <f t="shared" si="18"/>
        <v>0</v>
      </c>
      <c r="J94" s="820">
        <f t="shared" si="18"/>
        <v>0</v>
      </c>
      <c r="K94" s="820">
        <f t="shared" si="18"/>
        <v>0</v>
      </c>
      <c r="L94" s="820">
        <f t="shared" si="18"/>
        <v>0</v>
      </c>
      <c r="M94" s="820">
        <f t="shared" si="18"/>
        <v>0</v>
      </c>
      <c r="N94" s="820">
        <f t="shared" si="18"/>
        <v>0</v>
      </c>
      <c r="O94" s="820">
        <f t="shared" si="18"/>
        <v>0</v>
      </c>
      <c r="P94" s="820">
        <f t="shared" si="18"/>
        <v>0</v>
      </c>
      <c r="Q94" s="820">
        <f t="shared" si="18"/>
        <v>0</v>
      </c>
      <c r="R94" s="820">
        <f t="shared" si="18"/>
        <v>0</v>
      </c>
      <c r="S94" s="820">
        <f t="shared" si="18"/>
        <v>0</v>
      </c>
      <c r="T94" s="820">
        <f t="shared" si="18"/>
        <v>0</v>
      </c>
      <c r="U94" s="820">
        <f t="shared" si="18"/>
        <v>0</v>
      </c>
    </row>
    <row r="95" spans="1:21">
      <c r="B95" s="506" t="s">
        <v>291</v>
      </c>
      <c r="D95" s="820">
        <f t="shared" ref="D95:U95" si="19">D43-D44-D45</f>
        <v>0</v>
      </c>
      <c r="E95" s="820">
        <f t="shared" si="19"/>
        <v>0</v>
      </c>
      <c r="F95" s="820">
        <f t="shared" si="19"/>
        <v>0</v>
      </c>
      <c r="G95" s="847">
        <f t="shared" si="19"/>
        <v>16000000</v>
      </c>
      <c r="H95" s="847">
        <f t="shared" si="19"/>
        <v>19000000</v>
      </c>
      <c r="I95" s="847">
        <f t="shared" si="19"/>
        <v>16000000</v>
      </c>
      <c r="J95" s="847">
        <f t="shared" si="19"/>
        <v>13000000</v>
      </c>
      <c r="K95" s="847">
        <f t="shared" si="19"/>
        <v>30000000</v>
      </c>
      <c r="L95" s="847">
        <f t="shared" si="19"/>
        <v>0</v>
      </c>
      <c r="M95" s="847">
        <f t="shared" si="19"/>
        <v>0</v>
      </c>
      <c r="N95" s="847">
        <f t="shared" si="19"/>
        <v>0</v>
      </c>
      <c r="O95" s="847">
        <f t="shared" si="19"/>
        <v>0</v>
      </c>
      <c r="P95" s="847">
        <f t="shared" si="19"/>
        <v>0</v>
      </c>
      <c r="Q95" s="847">
        <f t="shared" si="19"/>
        <v>124000000</v>
      </c>
      <c r="R95" s="847">
        <f t="shared" si="19"/>
        <v>88000000</v>
      </c>
      <c r="S95" s="847">
        <f t="shared" si="19"/>
        <v>199000000</v>
      </c>
      <c r="T95" s="847">
        <f t="shared" si="19"/>
        <v>374000000</v>
      </c>
      <c r="U95" s="847">
        <f t="shared" si="19"/>
        <v>405000000</v>
      </c>
    </row>
    <row r="96" spans="1:21">
      <c r="B96" s="506" t="s">
        <v>722</v>
      </c>
      <c r="D96" s="820">
        <f>D46-D47-D49</f>
        <v>0</v>
      </c>
      <c r="E96" s="820">
        <f t="shared" ref="E96:P96" si="20">E46-E47-E49</f>
        <v>0</v>
      </c>
      <c r="F96" s="820">
        <f t="shared" si="20"/>
        <v>0</v>
      </c>
      <c r="G96" s="820">
        <f t="shared" si="20"/>
        <v>0</v>
      </c>
      <c r="H96" s="820">
        <f t="shared" si="20"/>
        <v>0</v>
      </c>
      <c r="I96" s="820">
        <f t="shared" si="20"/>
        <v>0</v>
      </c>
      <c r="J96" s="820">
        <f t="shared" si="20"/>
        <v>0</v>
      </c>
      <c r="K96" s="820">
        <f t="shared" si="20"/>
        <v>0</v>
      </c>
      <c r="L96" s="820">
        <f t="shared" si="20"/>
        <v>0</v>
      </c>
      <c r="M96" s="820">
        <f t="shared" si="20"/>
        <v>0</v>
      </c>
      <c r="N96" s="820">
        <f t="shared" si="20"/>
        <v>0</v>
      </c>
      <c r="O96" s="820">
        <f t="shared" si="20"/>
        <v>0</v>
      </c>
      <c r="P96" s="820">
        <f t="shared" si="20"/>
        <v>0</v>
      </c>
      <c r="Q96" s="847">
        <f>Q46-Q47-Q49</f>
        <v>11713000000</v>
      </c>
      <c r="R96" s="847">
        <f t="shared" ref="R96:U96" si="21">R46-R47-R49</f>
        <v>9015000000</v>
      </c>
      <c r="S96" s="847">
        <f t="shared" si="21"/>
        <v>8880000000</v>
      </c>
      <c r="T96" s="847">
        <f t="shared" si="21"/>
        <v>10176000000</v>
      </c>
      <c r="U96" s="847">
        <f t="shared" si="21"/>
        <v>8890000000</v>
      </c>
    </row>
    <row r="97" spans="2:21">
      <c r="B97" s="506" t="s">
        <v>723</v>
      </c>
      <c r="D97" s="820">
        <f>D58-D59-D76</f>
        <v>0</v>
      </c>
      <c r="E97" s="820">
        <f t="shared" ref="E97:U97" si="22">E58-E59-E76</f>
        <v>0</v>
      </c>
      <c r="F97" s="820">
        <f t="shared" si="22"/>
        <v>0</v>
      </c>
      <c r="G97" s="820">
        <f t="shared" si="22"/>
        <v>0</v>
      </c>
      <c r="H97" s="820">
        <f t="shared" si="22"/>
        <v>0</v>
      </c>
      <c r="I97" s="820">
        <f t="shared" si="22"/>
        <v>0</v>
      </c>
      <c r="J97" s="820">
        <f t="shared" si="22"/>
        <v>0</v>
      </c>
      <c r="K97" s="820">
        <f t="shared" si="22"/>
        <v>0</v>
      </c>
      <c r="L97" s="820">
        <f t="shared" si="22"/>
        <v>0</v>
      </c>
      <c r="M97" s="820">
        <f t="shared" si="22"/>
        <v>0</v>
      </c>
      <c r="N97" s="820">
        <f t="shared" si="22"/>
        <v>0</v>
      </c>
      <c r="O97" s="820">
        <f t="shared" si="22"/>
        <v>0</v>
      </c>
      <c r="P97" s="820">
        <f t="shared" si="22"/>
        <v>0</v>
      </c>
      <c r="Q97" s="847">
        <f t="shared" si="22"/>
        <v>-564000000</v>
      </c>
      <c r="R97" s="847">
        <f t="shared" si="22"/>
        <v>-1883000000</v>
      </c>
      <c r="S97" s="847">
        <f t="shared" si="22"/>
        <v>3675000000</v>
      </c>
      <c r="T97" s="847">
        <f t="shared" si="22"/>
        <v>5452000000</v>
      </c>
      <c r="U97" s="847">
        <f t="shared" si="22"/>
        <v>2341000000</v>
      </c>
    </row>
    <row r="98" spans="2:21">
      <c r="B98" s="506" t="s">
        <v>297</v>
      </c>
      <c r="D98" s="820">
        <f>D59-D68-D72-D73-D75-D74</f>
        <v>0</v>
      </c>
      <c r="E98" s="820">
        <f t="shared" ref="E98:U98" si="23">E59-E68-E72-E73-E75-E74</f>
        <v>0</v>
      </c>
      <c r="F98" s="820">
        <f t="shared" si="23"/>
        <v>0</v>
      </c>
      <c r="G98" s="847">
        <f t="shared" si="23"/>
        <v>-151000000</v>
      </c>
      <c r="H98" s="847">
        <f t="shared" si="23"/>
        <v>-212000000</v>
      </c>
      <c r="I98" s="820">
        <f>I59-I68-I72-I73-I75-I74</f>
        <v>0</v>
      </c>
      <c r="J98" s="820">
        <f>J59-J68-J72-J73-J75-J74</f>
        <v>0</v>
      </c>
      <c r="K98" s="820">
        <f t="shared" si="23"/>
        <v>0</v>
      </c>
      <c r="L98" s="820">
        <f>L59-L68-L72-L73-L75-L74</f>
        <v>0</v>
      </c>
      <c r="M98" s="820">
        <f t="shared" si="23"/>
        <v>0</v>
      </c>
      <c r="N98" s="820">
        <f t="shared" si="23"/>
        <v>0</v>
      </c>
      <c r="O98" s="820">
        <f t="shared" si="23"/>
        <v>0</v>
      </c>
      <c r="P98" s="820">
        <f t="shared" si="23"/>
        <v>0</v>
      </c>
      <c r="Q98" s="820">
        <f t="shared" si="23"/>
        <v>0</v>
      </c>
      <c r="R98" s="820">
        <f t="shared" si="23"/>
        <v>0</v>
      </c>
      <c r="S98" s="820">
        <f t="shared" si="23"/>
        <v>0</v>
      </c>
      <c r="T98" s="820">
        <f t="shared" si="23"/>
        <v>0</v>
      </c>
      <c r="U98" s="820">
        <f t="shared" si="23"/>
        <v>0</v>
      </c>
    </row>
    <row r="99" spans="2:21">
      <c r="B99" s="506" t="s">
        <v>528</v>
      </c>
      <c r="D99" s="820">
        <f>D76-D77-D82</f>
        <v>0</v>
      </c>
      <c r="E99" s="820">
        <f t="shared" ref="E99:S99" si="24">E76-E77-E82</f>
        <v>0</v>
      </c>
      <c r="F99" s="820">
        <f t="shared" si="24"/>
        <v>0</v>
      </c>
      <c r="G99" s="847">
        <f>G76-G77-G82</f>
        <v>207000000</v>
      </c>
      <c r="H99" s="847">
        <f t="shared" si="24"/>
        <v>122000000</v>
      </c>
      <c r="I99" s="820">
        <f t="shared" si="24"/>
        <v>0</v>
      </c>
      <c r="J99" s="820">
        <f>J76-J77-J82</f>
        <v>0</v>
      </c>
      <c r="K99" s="820">
        <f>K76-K77-K82</f>
        <v>0</v>
      </c>
      <c r="L99" s="820">
        <f>L76-L77-L82</f>
        <v>0</v>
      </c>
      <c r="M99" s="820">
        <f t="shared" si="24"/>
        <v>0</v>
      </c>
      <c r="N99" s="820">
        <f t="shared" si="24"/>
        <v>0</v>
      </c>
      <c r="O99" s="820">
        <f t="shared" si="24"/>
        <v>0</v>
      </c>
      <c r="P99" s="820">
        <f t="shared" si="24"/>
        <v>0</v>
      </c>
      <c r="Q99" s="820">
        <f t="shared" si="24"/>
        <v>0</v>
      </c>
      <c r="R99" s="820">
        <f t="shared" si="24"/>
        <v>0</v>
      </c>
      <c r="S99" s="820">
        <f t="shared" si="24"/>
        <v>0</v>
      </c>
      <c r="T99" s="820">
        <f t="shared" ref="T99:U99" si="25">T76-T77-T82</f>
        <v>0</v>
      </c>
      <c r="U99" s="820">
        <f t="shared" si="25"/>
        <v>0</v>
      </c>
    </row>
    <row r="100" spans="2:21">
      <c r="B100" s="506" t="s">
        <v>529</v>
      </c>
      <c r="D100" s="820">
        <f>D77-D78-D79-D80</f>
        <v>0</v>
      </c>
      <c r="E100" s="820">
        <f t="shared" ref="E100:S100" si="26">E77-E78-E79-E80</f>
        <v>0</v>
      </c>
      <c r="F100" s="820">
        <f t="shared" si="26"/>
        <v>0</v>
      </c>
      <c r="G100" s="820">
        <f t="shared" si="26"/>
        <v>0</v>
      </c>
      <c r="H100" s="820">
        <f t="shared" si="26"/>
        <v>0</v>
      </c>
      <c r="I100" s="847">
        <f>I77-I78-I79-I80</f>
        <v>135000000</v>
      </c>
      <c r="J100" s="847">
        <f t="shared" si="26"/>
        <v>274000000</v>
      </c>
      <c r="K100" s="820">
        <f t="shared" si="26"/>
        <v>0</v>
      </c>
      <c r="L100" s="847">
        <f>L77-L78-L79-L80</f>
        <v>130000000</v>
      </c>
      <c r="M100" s="847">
        <f t="shared" si="26"/>
        <v>288000000</v>
      </c>
      <c r="N100" s="847">
        <f t="shared" si="26"/>
        <v>526000000</v>
      </c>
      <c r="O100" s="847">
        <f t="shared" si="26"/>
        <v>768000000</v>
      </c>
      <c r="P100" s="847">
        <f t="shared" si="26"/>
        <v>977000000</v>
      </c>
      <c r="Q100" s="847">
        <f t="shared" si="26"/>
        <v>0</v>
      </c>
      <c r="R100" s="847">
        <f t="shared" si="26"/>
        <v>0</v>
      </c>
      <c r="S100" s="847">
        <f t="shared" si="26"/>
        <v>0</v>
      </c>
      <c r="T100" s="847">
        <f t="shared" ref="T100:U100" si="27">T77-T78-T79-T80</f>
        <v>0</v>
      </c>
      <c r="U100" s="847">
        <f t="shared" si="27"/>
        <v>0</v>
      </c>
    </row>
    <row r="101" spans="2:21" ht="15.75" customHeight="1" thickBot="1">
      <c r="C101" s="820"/>
      <c r="G101" s="809"/>
      <c r="I101" s="845"/>
      <c r="J101" s="845"/>
      <c r="K101" s="845"/>
      <c r="M101" s="845"/>
      <c r="N101" s="845"/>
      <c r="O101" s="845"/>
      <c r="P101" s="845"/>
      <c r="Q101" s="846"/>
      <c r="R101" s="846"/>
      <c r="S101" s="846"/>
      <c r="T101" s="543"/>
      <c r="U101" s="543"/>
    </row>
    <row r="102" spans="2:21" ht="15.75" thickBot="1">
      <c r="B102" s="506" t="s">
        <v>724</v>
      </c>
      <c r="D102" s="838">
        <v>4718000000</v>
      </c>
      <c r="E102" s="839">
        <v>5316000000</v>
      </c>
      <c r="F102" s="839">
        <v>6062000000</v>
      </c>
      <c r="G102" s="839">
        <v>7147000000</v>
      </c>
      <c r="H102" s="839">
        <v>8529999999.999999</v>
      </c>
      <c r="I102" s="839">
        <v>12523000000</v>
      </c>
      <c r="J102" s="839">
        <v>18746000000</v>
      </c>
      <c r="K102" s="839">
        <v>28361000000</v>
      </c>
      <c r="L102" s="839">
        <v>38006000000</v>
      </c>
      <c r="M102" s="839">
        <v>35602000000</v>
      </c>
      <c r="N102" s="839">
        <v>42465000000</v>
      </c>
      <c r="O102" s="839">
        <v>51158000000</v>
      </c>
      <c r="P102" s="839">
        <v>53968000000</v>
      </c>
      <c r="Q102" s="839">
        <v>57708000000</v>
      </c>
      <c r="R102" s="840">
        <v>58108000000</v>
      </c>
      <c r="S102" s="840">
        <v>63047000000</v>
      </c>
      <c r="T102" s="840">
        <v>66816000000</v>
      </c>
      <c r="U102" s="840">
        <v>71573000000</v>
      </c>
    </row>
    <row r="103" spans="2:21">
      <c r="B103" s="506" t="s">
        <v>151</v>
      </c>
      <c r="D103" s="506">
        <f t="shared" ref="D103:U103" si="28">(D6/D102)*100</f>
        <v>0</v>
      </c>
      <c r="E103" s="506">
        <f t="shared" si="28"/>
        <v>0</v>
      </c>
      <c r="F103" s="506">
        <f t="shared" si="28"/>
        <v>0</v>
      </c>
      <c r="G103" s="506">
        <f t="shared" si="28"/>
        <v>26.752483559535467</v>
      </c>
      <c r="H103" s="506">
        <f t="shared" si="28"/>
        <v>26.822977725674097</v>
      </c>
      <c r="I103" s="506">
        <f t="shared" si="28"/>
        <v>25.097820011179429</v>
      </c>
      <c r="J103" s="506">
        <f t="shared" si="28"/>
        <v>28.021978021978022</v>
      </c>
      <c r="K103" s="506">
        <f t="shared" si="28"/>
        <v>28.232431860653719</v>
      </c>
      <c r="L103" s="506">
        <f t="shared" si="28"/>
        <v>51.112982160711461</v>
      </c>
      <c r="M103" s="818">
        <f t="shared" si="28"/>
        <v>40.35728329869108</v>
      </c>
      <c r="N103" s="818">
        <f t="shared" si="28"/>
        <v>45.651713175556338</v>
      </c>
      <c r="O103" s="818">
        <f t="shared" si="28"/>
        <v>45.5295359474569</v>
      </c>
      <c r="P103" s="818">
        <f t="shared" si="28"/>
        <v>40.453602134598285</v>
      </c>
      <c r="Q103" s="818">
        <f t="shared" si="28"/>
        <v>39.479794829139806</v>
      </c>
      <c r="R103" s="818">
        <f t="shared" si="28"/>
        <v>39.497143250499072</v>
      </c>
      <c r="S103" s="818">
        <f t="shared" si="28"/>
        <v>28.775358066204575</v>
      </c>
      <c r="T103" s="818">
        <f t="shared" si="28"/>
        <v>28.636853448275861</v>
      </c>
      <c r="U103" s="818">
        <f t="shared" si="28"/>
        <v>31.087141799281852</v>
      </c>
    </row>
    <row r="104" spans="2:21">
      <c r="B104" s="506" t="s">
        <v>152</v>
      </c>
      <c r="D104" s="506">
        <f t="shared" ref="D104:U104" si="29">(D25/D102)*100</f>
        <v>0</v>
      </c>
      <c r="E104" s="506">
        <f t="shared" si="29"/>
        <v>0</v>
      </c>
      <c r="F104" s="506">
        <f t="shared" si="29"/>
        <v>0</v>
      </c>
      <c r="G104" s="506">
        <f t="shared" si="29"/>
        <v>28.487477263187351</v>
      </c>
      <c r="H104" s="506">
        <f t="shared" si="29"/>
        <v>25.873388042203988</v>
      </c>
      <c r="I104" s="506">
        <f t="shared" si="29"/>
        <v>22.670286672522558</v>
      </c>
      <c r="J104" s="506">
        <f t="shared" si="29"/>
        <v>27.387175930865247</v>
      </c>
      <c r="K104" s="506">
        <f t="shared" si="29"/>
        <v>25.937026197947887</v>
      </c>
      <c r="L104" s="506">
        <f t="shared" si="29"/>
        <v>31.124033047413569</v>
      </c>
      <c r="M104" s="818">
        <f t="shared" si="29"/>
        <v>33.784618841638107</v>
      </c>
      <c r="N104" s="818">
        <f t="shared" si="29"/>
        <v>31.673142588013658</v>
      </c>
      <c r="O104" s="818">
        <f t="shared" si="29"/>
        <v>33.949724383283161</v>
      </c>
      <c r="P104" s="818">
        <f t="shared" si="29"/>
        <v>36.655054847316933</v>
      </c>
      <c r="Q104" s="818">
        <f t="shared" si="29"/>
        <v>38.500727802037844</v>
      </c>
      <c r="R104" s="818">
        <f t="shared" si="29"/>
        <v>36.256625593722035</v>
      </c>
      <c r="S104" s="818">
        <f t="shared" si="29"/>
        <v>34.924738687011278</v>
      </c>
      <c r="T104" s="818">
        <f t="shared" si="29"/>
        <v>37.143797892720301</v>
      </c>
      <c r="U104" s="818">
        <f t="shared" si="29"/>
        <v>34.634568901680801</v>
      </c>
    </row>
    <row r="105" spans="2:21">
      <c r="B105" s="506" t="s">
        <v>725</v>
      </c>
      <c r="M105" s="845"/>
      <c r="N105" s="845"/>
      <c r="O105" s="845"/>
      <c r="P105" s="845"/>
      <c r="Q105" s="846"/>
      <c r="R105" s="846"/>
      <c r="S105" s="846"/>
      <c r="T105" s="543"/>
      <c r="U105" s="543"/>
    </row>
    <row r="106" spans="2:21">
      <c r="M106" s="845"/>
      <c r="N106" s="845"/>
      <c r="O106" s="845"/>
      <c r="P106" s="845"/>
      <c r="Q106" s="846"/>
      <c r="R106" s="846"/>
      <c r="S106" s="846"/>
      <c r="T106" s="543"/>
      <c r="U106" s="543"/>
    </row>
    <row r="107" spans="2:21">
      <c r="M107" s="845"/>
      <c r="N107" s="845"/>
      <c r="O107" s="845"/>
      <c r="P107" s="845"/>
      <c r="Q107" s="846"/>
      <c r="R107" s="846"/>
      <c r="S107" s="846"/>
      <c r="T107" s="543"/>
      <c r="U107" s="543"/>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J15" activePane="bottomRight" state="frozen"/>
      <selection pane="topRight" activeCell="C1" sqref="C1"/>
      <selection pane="bottomLeft" activeCell="A6" sqref="A6"/>
      <selection pane="bottomRight" activeCell="K19" sqref="K19"/>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726</v>
      </c>
      <c r="B1" s="52" t="s">
        <v>727</v>
      </c>
      <c r="C1" s="52"/>
      <c r="D1" s="1"/>
      <c r="E1" s="1"/>
      <c r="F1" s="1"/>
      <c r="G1" s="1"/>
      <c r="H1" s="1"/>
      <c r="I1" s="1"/>
      <c r="J1" s="1"/>
      <c r="K1" s="1"/>
      <c r="L1" s="1"/>
      <c r="M1" s="1"/>
      <c r="N1" s="1"/>
      <c r="O1" s="2"/>
      <c r="P1" s="2"/>
      <c r="Q1" s="2"/>
      <c r="R1" s="7"/>
      <c r="S1" s="2"/>
      <c r="T1" s="2"/>
      <c r="U1" s="2"/>
      <c r="V1" s="2"/>
      <c r="W1" s="2"/>
      <c r="X1" s="2"/>
      <c r="Y1" s="365"/>
      <c r="Z1" s="365"/>
      <c r="AA1" s="365"/>
      <c r="AB1" s="365"/>
      <c r="AC1" s="365"/>
      <c r="AD1" s="365"/>
      <c r="AE1" s="365"/>
    </row>
    <row r="2" spans="1:32">
      <c r="B2" s="53" t="s">
        <v>728</v>
      </c>
      <c r="C2" s="53"/>
      <c r="D2" s="2"/>
      <c r="E2" s="2"/>
      <c r="F2" s="775"/>
      <c r="G2" s="2"/>
      <c r="H2" s="2"/>
      <c r="I2" s="2"/>
      <c r="J2" s="2"/>
      <c r="K2" s="2"/>
      <c r="L2" s="2"/>
      <c r="M2" s="2"/>
      <c r="N2" s="2"/>
      <c r="O2" s="775"/>
      <c r="P2" s="2"/>
      <c r="Q2" s="2"/>
      <c r="R2" s="54"/>
      <c r="S2" s="4"/>
      <c r="T2" s="5"/>
      <c r="U2" s="5"/>
      <c r="V2" s="2"/>
      <c r="W2" s="2"/>
      <c r="X2" s="2"/>
      <c r="Y2" s="365"/>
      <c r="Z2" s="365"/>
      <c r="AA2" s="365"/>
      <c r="AB2" s="365"/>
      <c r="AC2" s="365"/>
      <c r="AD2" s="365"/>
      <c r="AE2" s="365"/>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5"/>
      <c r="Z3" s="365"/>
      <c r="AA3" s="365"/>
      <c r="AB3" s="365"/>
      <c r="AC3" s="365"/>
      <c r="AD3" s="365"/>
      <c r="AE3" s="365"/>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5"/>
      <c r="Z4" s="365"/>
      <c r="AA4" s="365"/>
      <c r="AB4" s="365"/>
      <c r="AC4" s="365"/>
      <c r="AD4" s="365"/>
      <c r="AE4" s="365"/>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5"/>
      <c r="Z5" s="365"/>
      <c r="AA5" s="365"/>
      <c r="AB5" s="365"/>
      <c r="AC5" s="365"/>
      <c r="AD5" s="365"/>
      <c r="AE5" s="365"/>
    </row>
    <row r="6" spans="1:32" s="9" customFormat="1">
      <c r="A6" s="19" t="s">
        <v>729</v>
      </c>
      <c r="B6" s="19" t="s">
        <v>34</v>
      </c>
      <c r="C6" s="9" t="s">
        <v>35</v>
      </c>
      <c r="D6" s="55"/>
      <c r="E6" s="55"/>
      <c r="F6" s="487">
        <v>276800000000</v>
      </c>
      <c r="G6" s="487">
        <v>309700000000</v>
      </c>
      <c r="H6" s="487">
        <v>339000000000</v>
      </c>
      <c r="I6" s="487">
        <v>389200000000</v>
      </c>
      <c r="J6" s="487">
        <v>444000000000</v>
      </c>
      <c r="K6" s="56">
        <v>511000000000</v>
      </c>
      <c r="L6" s="56">
        <v>615000000000</v>
      </c>
      <c r="M6" s="56">
        <v>667000000000</v>
      </c>
      <c r="N6" s="56">
        <v>799000000000</v>
      </c>
      <c r="O6" s="56">
        <v>949000000000</v>
      </c>
      <c r="P6" s="57">
        <v>1187000000000</v>
      </c>
      <c r="Q6" s="57">
        <v>1346000000000</v>
      </c>
      <c r="R6" s="57">
        <v>1467000000000</v>
      </c>
      <c r="S6" s="778">
        <v>1485000000000</v>
      </c>
      <c r="T6" s="779">
        <v>1748000000000</v>
      </c>
      <c r="U6" s="779">
        <v>2019000000000</v>
      </c>
      <c r="V6" s="711">
        <v>2399000000000</v>
      </c>
      <c r="W6" s="780"/>
      <c r="X6" s="780"/>
      <c r="Y6" s="365"/>
      <c r="Z6" s="365"/>
      <c r="AA6" s="2426"/>
      <c r="AB6" s="2426"/>
      <c r="AC6" s="2426"/>
      <c r="AD6" s="2426"/>
      <c r="AE6" s="365"/>
      <c r="AF6" s="2425"/>
    </row>
    <row r="7" spans="1:32">
      <c r="A7" t="s">
        <v>36</v>
      </c>
      <c r="B7" s="58" t="s">
        <v>730</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781">
        <v>1460000000000</v>
      </c>
      <c r="T7" s="782">
        <v>1729000000000</v>
      </c>
      <c r="U7" s="782">
        <v>2008000000000</v>
      </c>
      <c r="V7" s="717">
        <v>2355000000000</v>
      </c>
      <c r="W7" s="650"/>
      <c r="X7" s="650"/>
      <c r="Y7" s="365"/>
      <c r="Z7" s="365"/>
      <c r="AA7" s="2426"/>
      <c r="AB7" s="2426"/>
      <c r="AC7" s="2426"/>
      <c r="AD7" s="2426"/>
      <c r="AE7" s="365"/>
    </row>
    <row r="8" spans="1:32">
      <c r="A8" t="s">
        <v>39</v>
      </c>
      <c r="B8" s="58" t="s">
        <v>731</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781">
        <v>1288000000000</v>
      </c>
      <c r="T8" s="782">
        <v>1519000000000</v>
      </c>
      <c r="U8" s="782">
        <v>1778000000000</v>
      </c>
      <c r="V8" s="717">
        <v>2117000000000</v>
      </c>
      <c r="W8" s="650"/>
      <c r="X8" s="650"/>
      <c r="Y8" s="365"/>
      <c r="Z8" s="365"/>
      <c r="AA8" s="2426"/>
      <c r="AB8" s="2426"/>
      <c r="AC8" s="2426"/>
      <c r="AD8" s="2426"/>
      <c r="AE8" s="365"/>
    </row>
    <row r="9" spans="1:32">
      <c r="A9" s="64" t="s">
        <v>732</v>
      </c>
      <c r="B9" s="64" t="s">
        <v>732</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781">
        <v>1240000000000</v>
      </c>
      <c r="T9" s="782">
        <v>1462000000000</v>
      </c>
      <c r="U9" s="782">
        <v>1715000000000</v>
      </c>
      <c r="V9" s="717">
        <v>2046000000000</v>
      </c>
      <c r="W9" s="650"/>
      <c r="X9" s="650"/>
      <c r="Y9" s="365"/>
      <c r="Z9" s="365"/>
      <c r="AA9" s="2426"/>
      <c r="AB9" s="2426"/>
      <c r="AC9" s="2426"/>
      <c r="AD9" s="2426"/>
      <c r="AE9" s="365"/>
    </row>
    <row r="10" spans="1:32">
      <c r="A10" t="s">
        <v>733</v>
      </c>
      <c r="B10" s="65" t="s">
        <v>734</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781">
        <v>665000000000</v>
      </c>
      <c r="T10" s="782">
        <v>807000000000</v>
      </c>
      <c r="U10" s="782">
        <v>953000000000</v>
      </c>
      <c r="V10" s="717">
        <v>1135000000000</v>
      </c>
      <c r="W10" s="650"/>
      <c r="X10" s="650"/>
      <c r="Y10" s="365"/>
      <c r="Z10" s="365"/>
      <c r="AA10" s="2426"/>
      <c r="AB10" s="2426"/>
      <c r="AC10" s="2426"/>
      <c r="AD10" s="2426"/>
      <c r="AE10" s="365"/>
    </row>
    <row r="11" spans="1:32">
      <c r="A11" t="s">
        <v>317</v>
      </c>
      <c r="B11" s="65" t="s">
        <v>735</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781">
        <v>407000000000</v>
      </c>
      <c r="T11" s="782">
        <v>451000000000</v>
      </c>
      <c r="U11" s="782">
        <v>525000000000</v>
      </c>
      <c r="V11" s="717">
        <v>631000000000</v>
      </c>
      <c r="W11" s="650"/>
      <c r="X11" s="650"/>
      <c r="Y11" s="365"/>
      <c r="Z11" s="365"/>
      <c r="AA11" s="2426"/>
      <c r="AB11" s="2426"/>
      <c r="AC11" s="2426"/>
      <c r="AD11" s="2426"/>
      <c r="AE11" s="365"/>
    </row>
    <row r="12" spans="1:32">
      <c r="A12" s="65" t="s">
        <v>736</v>
      </c>
      <c r="B12" s="65" t="s">
        <v>737</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781">
        <v>158000000000</v>
      </c>
      <c r="T12" s="782">
        <v>178000000000</v>
      </c>
      <c r="U12" s="782">
        <v>238000000000</v>
      </c>
      <c r="V12" s="717">
        <v>280000000000</v>
      </c>
      <c r="W12" s="650"/>
      <c r="X12" s="650"/>
      <c r="Y12" s="365"/>
      <c r="Z12" s="365"/>
      <c r="AA12" s="2426"/>
      <c r="AB12" s="2426"/>
      <c r="AC12" s="2426"/>
      <c r="AD12" s="2426"/>
      <c r="AE12" s="365"/>
    </row>
    <row r="13" spans="1:32" ht="16.5">
      <c r="A13" s="65" t="s">
        <v>738</v>
      </c>
      <c r="B13" s="66" t="s">
        <v>739</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50"/>
      <c r="X13" s="650"/>
      <c r="Y13" s="365"/>
      <c r="Z13" s="365"/>
      <c r="AA13" s="2426"/>
      <c r="AB13" s="2426"/>
      <c r="AC13" s="2426"/>
      <c r="AD13" s="2426"/>
      <c r="AE13" s="365"/>
    </row>
    <row r="14" spans="1:32" ht="16.5">
      <c r="A14" s="64" t="s">
        <v>740</v>
      </c>
      <c r="B14" s="64" t="s">
        <v>741</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783">
        <v>48000000000</v>
      </c>
      <c r="T14" s="782">
        <v>56000000000</v>
      </c>
      <c r="U14" s="782">
        <v>63000000000</v>
      </c>
      <c r="V14" s="717">
        <v>71000000000</v>
      </c>
      <c r="W14" s="650"/>
      <c r="X14" s="650"/>
      <c r="Y14" s="365"/>
      <c r="Z14" s="365"/>
      <c r="AA14" s="2426"/>
      <c r="AB14" s="2426"/>
      <c r="AC14" s="2426"/>
      <c r="AD14" s="2426"/>
      <c r="AE14" s="365"/>
    </row>
    <row r="15" spans="1:32">
      <c r="A15" s="1" t="s">
        <v>51</v>
      </c>
      <c r="B15" s="58" t="s">
        <v>742</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781">
        <v>172000000000</v>
      </c>
      <c r="T15" s="782">
        <v>211000000000</v>
      </c>
      <c r="U15" s="782">
        <v>230000000000</v>
      </c>
      <c r="V15" s="717">
        <v>238000000000</v>
      </c>
      <c r="W15" s="650"/>
      <c r="X15" s="650"/>
      <c r="Y15" s="365"/>
      <c r="Z15" s="365"/>
      <c r="AA15" s="2426"/>
      <c r="AB15" s="2426"/>
      <c r="AC15" s="2426"/>
      <c r="AD15" s="2426"/>
      <c r="AE15" s="365"/>
    </row>
    <row r="16" spans="1:32" s="9" customFormat="1">
      <c r="A16" s="10" t="s">
        <v>53</v>
      </c>
      <c r="B16" s="55" t="s">
        <v>743</v>
      </c>
      <c r="C16" s="67" t="s">
        <v>38</v>
      </c>
      <c r="D16" s="55"/>
      <c r="E16" s="55"/>
      <c r="F16" s="635">
        <v>0</v>
      </c>
      <c r="G16" s="635">
        <v>0</v>
      </c>
      <c r="H16" s="635">
        <v>0</v>
      </c>
      <c r="I16" s="635">
        <v>0</v>
      </c>
      <c r="J16" s="635">
        <v>0</v>
      </c>
      <c r="K16" s="70">
        <v>28000000000</v>
      </c>
      <c r="L16" s="70">
        <v>24000000000</v>
      </c>
      <c r="M16" s="70">
        <v>21000000000</v>
      </c>
      <c r="N16" s="70">
        <v>42000000000</v>
      </c>
      <c r="O16" s="70">
        <v>21000000000</v>
      </c>
      <c r="P16" s="70">
        <v>49000000000</v>
      </c>
      <c r="Q16" s="70">
        <v>58000000000</v>
      </c>
      <c r="R16" s="70">
        <v>64000000000</v>
      </c>
      <c r="S16" s="784">
        <v>25000000000</v>
      </c>
      <c r="T16" s="779">
        <v>18000000000</v>
      </c>
      <c r="U16" s="779">
        <v>11000000000</v>
      </c>
      <c r="V16" s="711">
        <v>44000000000</v>
      </c>
      <c r="W16" s="780"/>
      <c r="X16" s="780"/>
      <c r="Y16" s="365"/>
      <c r="Z16" s="365"/>
      <c r="AA16" s="2426"/>
      <c r="AB16" s="2426"/>
      <c r="AC16" s="2426"/>
      <c r="AD16" s="2426"/>
      <c r="AE16" s="365"/>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781">
        <v>2087000000000</v>
      </c>
      <c r="T17" s="782">
        <v>2330000000000</v>
      </c>
      <c r="U17" s="782">
        <v>2679000000000</v>
      </c>
      <c r="V17" s="717">
        <v>3330000000000</v>
      </c>
      <c r="W17" s="650"/>
      <c r="X17" s="650"/>
      <c r="Y17" s="365"/>
      <c r="Z17" s="365"/>
      <c r="AA17" s="2426"/>
      <c r="AB17" s="2426"/>
      <c r="AC17" s="2426"/>
      <c r="AD17" s="2426"/>
      <c r="AE17" s="365"/>
    </row>
    <row r="18" spans="1:31" s="9" customFormat="1" ht="16.5">
      <c r="A18" s="9" t="s">
        <v>71</v>
      </c>
      <c r="B18" s="9" t="s">
        <v>379</v>
      </c>
      <c r="C18" s="71" t="s">
        <v>35</v>
      </c>
      <c r="D18" s="55"/>
      <c r="E18" s="55"/>
      <c r="F18" s="70">
        <f>F19+F25+F28+F31+F33</f>
        <v>403600000000</v>
      </c>
      <c r="G18" s="70">
        <f t="shared" ref="G18:O18" si="1">G19+G25+G28+G31+G33</f>
        <v>426400000000</v>
      </c>
      <c r="H18" s="70">
        <f>H19+H25+H28+H31+H33</f>
        <v>464400000000</v>
      </c>
      <c r="I18" s="70">
        <f t="shared" si="1"/>
        <v>530300000000</v>
      </c>
      <c r="J18" s="70">
        <f t="shared" si="1"/>
        <v>586000000000</v>
      </c>
      <c r="K18" s="70">
        <f>K19+K25+K28+K31+K33</f>
        <v>649000000000</v>
      </c>
      <c r="L18" s="70">
        <f t="shared" si="1"/>
        <v>884000000000</v>
      </c>
      <c r="M18" s="70">
        <f t="shared" si="1"/>
        <v>892000000000</v>
      </c>
      <c r="N18" s="70">
        <f t="shared" si="1"/>
        <v>1012000000000</v>
      </c>
      <c r="O18" s="68">
        <f t="shared" si="1"/>
        <v>1279000000000</v>
      </c>
      <c r="P18" s="68">
        <f>P19+P25+P28+P31+P33</f>
        <v>1501000000000</v>
      </c>
      <c r="Q18" s="520">
        <f>Q19+Q25+Q28+Q31+Q33</f>
        <v>1756000000000</v>
      </c>
      <c r="R18" s="68">
        <f t="shared" ref="R18" si="2">R19+R25+R28+R31+R33</f>
        <v>1881000000000</v>
      </c>
      <c r="S18" s="68">
        <f>S19+S25+S28+S31+S32</f>
        <v>2088000000000</v>
      </c>
      <c r="T18" s="68">
        <f t="shared" ref="T18:V18" si="3">T19+T25+T28+T31+T32</f>
        <v>2330000000000</v>
      </c>
      <c r="U18" s="68">
        <f t="shared" si="3"/>
        <v>2680000000000</v>
      </c>
      <c r="V18" s="68">
        <f t="shared" si="3"/>
        <v>3329000000000</v>
      </c>
      <c r="W18" s="780"/>
      <c r="X18" s="780"/>
      <c r="Y18" s="365"/>
      <c r="Z18" s="365"/>
      <c r="AA18" s="2426"/>
      <c r="AB18" s="2426"/>
      <c r="AC18" s="2426"/>
      <c r="AD18" s="2426"/>
      <c r="AE18" s="365"/>
    </row>
    <row r="19" spans="1:31">
      <c r="A19" s="1" t="s">
        <v>744</v>
      </c>
      <c r="B19" s="58" t="s">
        <v>745</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781">
        <v>1191000000000</v>
      </c>
      <c r="T19" s="782">
        <v>1439000000000</v>
      </c>
      <c r="U19" s="782">
        <v>1635000000000</v>
      </c>
      <c r="V19" s="717">
        <v>1885000000000</v>
      </c>
      <c r="W19" s="650"/>
      <c r="X19" s="650"/>
      <c r="Y19" s="365"/>
      <c r="Z19" s="365"/>
      <c r="AA19" s="2426"/>
      <c r="AB19" s="2426"/>
      <c r="AC19" s="2426"/>
      <c r="AD19" s="2426"/>
      <c r="AE19" s="365"/>
    </row>
    <row r="20" spans="1:31">
      <c r="A20" s="64" t="s">
        <v>746</v>
      </c>
      <c r="B20" s="64" t="s">
        <v>747</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781">
        <v>288000000000</v>
      </c>
      <c r="T20" s="782">
        <v>400000000000</v>
      </c>
      <c r="U20" s="782">
        <v>488000000000</v>
      </c>
      <c r="V20" s="717">
        <v>554000000000</v>
      </c>
      <c r="W20" s="650"/>
      <c r="X20" s="650"/>
      <c r="Y20" s="365"/>
      <c r="Z20" s="365"/>
      <c r="AA20" s="2426"/>
      <c r="AB20" s="2426"/>
      <c r="AC20" s="2426"/>
      <c r="AD20" s="2426"/>
      <c r="AE20" s="365"/>
    </row>
    <row r="21" spans="1:31">
      <c r="A21" s="64" t="s">
        <v>748</v>
      </c>
      <c r="B21" s="64" t="s">
        <v>749</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781">
        <v>167000000000</v>
      </c>
      <c r="T21" s="782">
        <v>183000000000</v>
      </c>
      <c r="U21" s="782">
        <v>216000000000</v>
      </c>
      <c r="V21" s="717">
        <v>225000000000</v>
      </c>
      <c r="W21" s="650"/>
      <c r="X21" s="650"/>
      <c r="Y21" s="365"/>
      <c r="Z21" s="365"/>
      <c r="AA21" s="2426"/>
      <c r="AB21" s="2426"/>
      <c r="AC21" s="2426"/>
      <c r="AD21" s="2426"/>
      <c r="AE21" s="365"/>
    </row>
    <row r="22" spans="1:31">
      <c r="A22" s="64" t="s">
        <v>750</v>
      </c>
      <c r="B22" s="64" t="s">
        <v>751</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781">
        <v>310000000000</v>
      </c>
      <c r="T22" s="782">
        <v>331000000000</v>
      </c>
      <c r="U22" s="782">
        <v>339000000000</v>
      </c>
      <c r="V22" s="717">
        <v>390000000000</v>
      </c>
      <c r="W22" s="650"/>
      <c r="X22" s="650"/>
      <c r="Y22" s="365"/>
      <c r="Z22" s="365"/>
      <c r="AA22" s="2426"/>
      <c r="AB22" s="2426"/>
      <c r="AC22" s="2426"/>
      <c r="AD22" s="2426"/>
      <c r="AE22" s="365"/>
    </row>
    <row r="23" spans="1:31">
      <c r="A23" s="64" t="s">
        <v>752</v>
      </c>
      <c r="B23" s="64" t="s">
        <v>753</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781">
        <v>424000000000</v>
      </c>
      <c r="T23" s="782">
        <v>523000000000</v>
      </c>
      <c r="U23" s="782">
        <v>590000000000</v>
      </c>
      <c r="V23" s="717">
        <v>714000000000</v>
      </c>
      <c r="W23" s="650"/>
      <c r="X23" s="650"/>
      <c r="Y23" s="365"/>
      <c r="Z23" s="365"/>
      <c r="AA23" s="2426"/>
      <c r="AB23" s="2426"/>
      <c r="AC23" s="2426"/>
      <c r="AD23" s="2426"/>
      <c r="AE23" s="365"/>
    </row>
    <row r="24" spans="1:31">
      <c r="A24" s="64" t="s">
        <v>754</v>
      </c>
      <c r="B24" s="64" t="s">
        <v>755</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781">
        <v>2000000000</v>
      </c>
      <c r="T24" s="782">
        <v>2000000000</v>
      </c>
      <c r="U24" s="782">
        <v>2000000000</v>
      </c>
      <c r="V24" s="717">
        <v>3000000000</v>
      </c>
      <c r="W24" s="650"/>
      <c r="X24" s="650"/>
      <c r="Y24" s="365"/>
      <c r="Z24" s="365"/>
      <c r="AA24" s="2426"/>
      <c r="AB24" s="2426"/>
      <c r="AC24" s="2426"/>
      <c r="AD24" s="2426"/>
      <c r="AE24" s="365"/>
    </row>
    <row r="25" spans="1:31">
      <c r="A25" s="58" t="s">
        <v>756</v>
      </c>
      <c r="B25" s="58" t="s">
        <v>757</v>
      </c>
      <c r="C25" s="11" t="s">
        <v>75</v>
      </c>
      <c r="D25" s="58"/>
      <c r="E25" s="58"/>
      <c r="F25" s="63">
        <v>2100000000</v>
      </c>
      <c r="G25" s="349">
        <f>G27+G26</f>
        <v>12300000000</v>
      </c>
      <c r="H25" s="63">
        <v>11300000000</v>
      </c>
      <c r="I25" s="63">
        <v>2500000000</v>
      </c>
      <c r="J25" s="349"/>
      <c r="K25" s="349"/>
      <c r="L25" s="349"/>
      <c r="M25" s="63">
        <v>1000000000</v>
      </c>
      <c r="N25" s="63">
        <v>2000000000</v>
      </c>
      <c r="O25" s="60">
        <v>20000000000</v>
      </c>
      <c r="P25" s="60">
        <v>12000000000</v>
      </c>
      <c r="Q25" s="2729">
        <v>0</v>
      </c>
      <c r="R25" s="60">
        <v>3000000000</v>
      </c>
      <c r="S25" s="785"/>
      <c r="T25" s="782"/>
      <c r="U25" s="782"/>
      <c r="V25" s="717"/>
      <c r="W25" s="650"/>
      <c r="X25" s="650"/>
      <c r="Y25" s="365"/>
      <c r="Z25" s="365"/>
      <c r="AA25" s="2426"/>
      <c r="AB25" s="2426"/>
      <c r="AC25" s="2426"/>
      <c r="AD25" s="2426"/>
      <c r="AE25" s="365"/>
    </row>
    <row r="26" spans="1:31">
      <c r="A26" s="13" t="s">
        <v>758</v>
      </c>
      <c r="B26" s="13" t="s">
        <v>759</v>
      </c>
      <c r="C26" s="58" t="s">
        <v>401</v>
      </c>
      <c r="D26" s="58"/>
      <c r="E26" s="58"/>
      <c r="F26" s="61">
        <v>2100000000</v>
      </c>
      <c r="G26" s="348"/>
      <c r="H26" s="61">
        <v>3500000000</v>
      </c>
      <c r="I26" s="63"/>
      <c r="J26" s="63"/>
      <c r="K26" s="63"/>
      <c r="L26" s="63"/>
      <c r="M26" s="63"/>
      <c r="N26" s="63"/>
      <c r="O26" s="63"/>
      <c r="P26" s="63"/>
      <c r="Q26" s="63"/>
      <c r="R26" s="63"/>
      <c r="S26" s="781"/>
      <c r="T26" s="782"/>
      <c r="U26" s="782"/>
      <c r="V26" s="717"/>
      <c r="W26" s="650"/>
      <c r="X26" s="650"/>
      <c r="Y26" s="365"/>
      <c r="Z26" s="365"/>
      <c r="AA26" s="2426"/>
      <c r="AB26" s="2426"/>
      <c r="AC26" s="2426"/>
      <c r="AD26" s="2426"/>
      <c r="AE26" s="365"/>
    </row>
    <row r="27" spans="1:31">
      <c r="A27" s="64" t="s">
        <v>760</v>
      </c>
      <c r="B27" s="64" t="s">
        <v>761</v>
      </c>
      <c r="C27" s="58" t="s">
        <v>401</v>
      </c>
      <c r="D27" s="58"/>
      <c r="E27" s="58"/>
      <c r="F27" s="63">
        <v>0</v>
      </c>
      <c r="G27" s="61">
        <v>12300000000</v>
      </c>
      <c r="H27" s="61">
        <v>7800000000</v>
      </c>
      <c r="I27" s="63">
        <v>2500000000</v>
      </c>
      <c r="J27" s="349"/>
      <c r="K27" s="349"/>
      <c r="L27" s="349"/>
      <c r="M27" s="63">
        <v>1000000000</v>
      </c>
      <c r="N27" s="63">
        <v>2000000000</v>
      </c>
      <c r="O27" s="63">
        <v>20000000000</v>
      </c>
      <c r="P27" s="63">
        <v>12000000000</v>
      </c>
      <c r="Q27" s="63"/>
      <c r="R27" s="63"/>
      <c r="S27" s="781"/>
      <c r="T27" s="782"/>
      <c r="U27" s="782"/>
      <c r="V27" s="717"/>
      <c r="W27" s="650"/>
      <c r="X27" s="650"/>
      <c r="Y27" s="365"/>
      <c r="Z27" s="365"/>
      <c r="AA27" s="2426"/>
      <c r="AB27" s="2426"/>
      <c r="AC27" s="2426"/>
      <c r="AD27" s="2426"/>
      <c r="AE27" s="365"/>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50"/>
      <c r="X28" s="650"/>
      <c r="Y28" s="365"/>
      <c r="Z28" s="365"/>
      <c r="AA28" s="2426"/>
      <c r="AB28" s="2426"/>
      <c r="AC28" s="2426"/>
      <c r="AD28" s="2426"/>
      <c r="AE28" s="365"/>
    </row>
    <row r="29" spans="1:31">
      <c r="A29" s="64" t="s">
        <v>762</v>
      </c>
      <c r="B29" s="64" t="s">
        <v>762</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781">
        <v>648000000000</v>
      </c>
      <c r="T29" s="786">
        <v>754000000000</v>
      </c>
      <c r="U29" s="786">
        <v>818000000000</v>
      </c>
      <c r="V29" s="717">
        <v>1126000000000</v>
      </c>
      <c r="W29" s="650"/>
      <c r="X29" s="650"/>
      <c r="Y29" s="365"/>
      <c r="Z29" s="365"/>
      <c r="AA29" s="2426"/>
      <c r="AB29" s="2426"/>
      <c r="AC29" s="2426"/>
      <c r="AD29" s="2426"/>
      <c r="AE29" s="365"/>
    </row>
    <row r="30" spans="1:31">
      <c r="A30" s="64" t="s">
        <v>763</v>
      </c>
      <c r="B30" s="64" t="s">
        <v>764</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781">
        <v>138000000000</v>
      </c>
      <c r="T30" s="786">
        <v>122000000000</v>
      </c>
      <c r="U30" s="786">
        <v>191000000000</v>
      </c>
      <c r="V30" s="717">
        <v>236000000000</v>
      </c>
      <c r="W30" s="650"/>
      <c r="X30" s="650"/>
      <c r="Y30" s="365"/>
      <c r="Z30" s="365"/>
      <c r="AA30" s="2426"/>
      <c r="AB30" s="2426"/>
      <c r="AC30" s="2426"/>
      <c r="AD30" s="2426"/>
      <c r="AE30" s="365"/>
    </row>
    <row r="31" spans="1:31">
      <c r="A31" s="58" t="s">
        <v>588</v>
      </c>
      <c r="B31" s="58" t="s">
        <v>765</v>
      </c>
      <c r="C31" s="11" t="s">
        <v>75</v>
      </c>
      <c r="D31" s="58"/>
      <c r="E31" s="58"/>
      <c r="F31" s="61"/>
      <c r="G31" s="61"/>
      <c r="H31" s="2728">
        <v>0</v>
      </c>
      <c r="I31" s="2728">
        <v>0</v>
      </c>
      <c r="J31" s="63">
        <v>3000000000</v>
      </c>
      <c r="K31" s="2728">
        <v>0</v>
      </c>
      <c r="L31" s="63">
        <v>121000000000</v>
      </c>
      <c r="M31" s="63">
        <v>18000000000</v>
      </c>
      <c r="N31" s="63">
        <v>9000000000</v>
      </c>
      <c r="O31" s="63">
        <v>73000000000</v>
      </c>
      <c r="P31" s="63">
        <v>141000000000</v>
      </c>
      <c r="Q31" s="63">
        <v>170000000000</v>
      </c>
      <c r="R31" s="63">
        <v>77000000000</v>
      </c>
      <c r="S31" s="781">
        <v>90000000000</v>
      </c>
      <c r="T31" s="786">
        <v>11000000000</v>
      </c>
      <c r="U31" s="786">
        <v>25000000000</v>
      </c>
      <c r="V31" s="717">
        <v>69000000000</v>
      </c>
      <c r="W31" s="650"/>
      <c r="X31" s="650"/>
      <c r="Y31" s="365"/>
      <c r="Z31" s="365"/>
      <c r="AA31" s="2426"/>
      <c r="AB31" s="2426"/>
      <c r="AC31" s="2426"/>
      <c r="AD31" s="2426"/>
      <c r="AE31" s="365"/>
    </row>
    <row r="32" spans="1:31">
      <c r="A32" s="58"/>
      <c r="B32" s="633" t="s">
        <v>757</v>
      </c>
      <c r="C32" s="620" t="s">
        <v>75</v>
      </c>
      <c r="D32" s="633"/>
      <c r="E32" s="633"/>
      <c r="F32" s="773"/>
      <c r="G32" s="773"/>
      <c r="H32" s="774"/>
      <c r="I32" s="774"/>
      <c r="J32" s="774"/>
      <c r="K32" s="774"/>
      <c r="L32" s="774"/>
      <c r="M32" s="774"/>
      <c r="N32" s="774"/>
      <c r="O32" s="774"/>
      <c r="P32" s="774"/>
      <c r="Q32" s="774"/>
      <c r="R32" s="774"/>
      <c r="S32" s="787">
        <v>21000000000</v>
      </c>
      <c r="T32" s="788">
        <v>4000000000</v>
      </c>
      <c r="U32" s="788">
        <v>11000000000</v>
      </c>
      <c r="V32" s="717">
        <v>13000000000</v>
      </c>
      <c r="W32" s="650"/>
      <c r="X32" s="650"/>
      <c r="Y32" s="365"/>
      <c r="Z32" s="365"/>
      <c r="AA32" s="2426"/>
      <c r="AB32" s="2426"/>
      <c r="AC32" s="2426"/>
      <c r="AD32" s="2426"/>
      <c r="AE32" s="365"/>
    </row>
    <row r="33" spans="1:31">
      <c r="A33" s="58" t="s">
        <v>766</v>
      </c>
      <c r="B33" s="58" t="s">
        <v>767</v>
      </c>
      <c r="C33" s="11" t="s">
        <v>75</v>
      </c>
      <c r="D33" s="58"/>
      <c r="E33" s="58"/>
      <c r="F33" s="61">
        <v>13800000000</v>
      </c>
      <c r="G33" s="61"/>
      <c r="H33" s="61"/>
      <c r="I33" s="61"/>
      <c r="J33" s="61"/>
      <c r="K33" s="63"/>
      <c r="L33" s="63"/>
      <c r="M33" s="63"/>
      <c r="N33" s="63"/>
      <c r="O33" s="63"/>
      <c r="P33" s="63"/>
      <c r="Q33" s="63"/>
      <c r="R33" s="63"/>
      <c r="S33" s="781"/>
      <c r="T33" s="782"/>
      <c r="U33" s="782"/>
      <c r="V33" s="717"/>
      <c r="W33" s="650"/>
      <c r="X33" s="650"/>
      <c r="Y33" s="365"/>
      <c r="Z33" s="365"/>
      <c r="AA33" s="2426"/>
      <c r="AB33" s="2426"/>
      <c r="AC33" s="2426"/>
      <c r="AD33" s="2426"/>
      <c r="AE33" s="365"/>
    </row>
    <row r="34" spans="1:31">
      <c r="B34" s="58" t="s">
        <v>768</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781">
        <v>-603000000000</v>
      </c>
      <c r="T34" s="786">
        <v>-582000000000</v>
      </c>
      <c r="U34" s="786">
        <v>-660000000000</v>
      </c>
      <c r="V34" s="717">
        <v>-930000000000</v>
      </c>
      <c r="W34" s="650"/>
      <c r="X34" s="650"/>
      <c r="Y34" s="365"/>
      <c r="Z34" s="365"/>
      <c r="AA34" s="2426"/>
      <c r="AB34" s="2426"/>
      <c r="AC34" s="2426"/>
      <c r="AD34" s="2426"/>
      <c r="AE34" s="365"/>
    </row>
    <row r="35" spans="1:31">
      <c r="B35" s="58" t="s">
        <v>769</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781">
        <v>-628000000000</v>
      </c>
      <c r="T35" s="786">
        <v>-601000000000</v>
      </c>
      <c r="U35" s="786">
        <v>-671000000000</v>
      </c>
      <c r="V35" s="717">
        <v>-975000000000</v>
      </c>
      <c r="W35" s="650"/>
      <c r="X35" s="650"/>
      <c r="Y35" s="365"/>
      <c r="Z35" s="365"/>
      <c r="AA35" s="2426"/>
      <c r="AB35" s="2426"/>
      <c r="AC35" s="2426"/>
      <c r="AD35" s="2426"/>
      <c r="AE35" s="365"/>
    </row>
    <row r="36" spans="1:31" ht="16.5">
      <c r="B36" s="90" t="s">
        <v>770</v>
      </c>
      <c r="C36" s="58"/>
      <c r="D36" s="58"/>
      <c r="E36" s="58"/>
      <c r="F36" s="61"/>
      <c r="G36" s="61"/>
      <c r="H36" s="61"/>
      <c r="I36" s="61"/>
      <c r="J36" s="61"/>
      <c r="K36" s="61"/>
      <c r="L36" s="61"/>
      <c r="M36" s="63"/>
      <c r="N36" s="63"/>
      <c r="O36" s="63"/>
      <c r="P36" s="63"/>
      <c r="Q36" s="63">
        <v>-165000000000</v>
      </c>
      <c r="R36" s="521">
        <v>-131000000000</v>
      </c>
      <c r="S36" s="789">
        <v>-293000000000</v>
      </c>
      <c r="T36" s="789">
        <v>-251000000000</v>
      </c>
      <c r="U36" s="789">
        <v>-320000000000</v>
      </c>
      <c r="V36" s="717">
        <v>-540000000000</v>
      </c>
      <c r="W36" s="650"/>
      <c r="X36" s="650"/>
      <c r="Y36" s="365"/>
      <c r="Z36" s="365"/>
      <c r="AA36" s="2426"/>
      <c r="AB36" s="2426"/>
      <c r="AC36" s="2426"/>
      <c r="AD36" s="2426"/>
      <c r="AE36" s="365"/>
    </row>
    <row r="37" spans="1:31" ht="16.5">
      <c r="B37" s="90" t="s">
        <v>771</v>
      </c>
      <c r="C37" s="58"/>
      <c r="D37" s="58"/>
      <c r="E37" s="58"/>
      <c r="F37" s="61"/>
      <c r="G37" s="61"/>
      <c r="H37" s="61"/>
      <c r="I37" s="61"/>
      <c r="J37" s="61"/>
      <c r="K37" s="61"/>
      <c r="L37" s="61"/>
      <c r="M37" s="63"/>
      <c r="N37" s="63"/>
      <c r="O37" s="63"/>
      <c r="P37" s="63"/>
      <c r="Q37" s="63">
        <v>-223000000000</v>
      </c>
      <c r="R37" s="521">
        <v>-195000000000</v>
      </c>
      <c r="S37" s="789">
        <v>-318000000000</v>
      </c>
      <c r="T37" s="789">
        <v>-270000000000</v>
      </c>
      <c r="U37" s="789">
        <v>-332000000000</v>
      </c>
      <c r="V37" s="717">
        <v>-584000000000</v>
      </c>
      <c r="W37" s="650"/>
      <c r="X37" s="650"/>
      <c r="Y37" s="365"/>
      <c r="Z37" s="365"/>
      <c r="AA37" s="2426"/>
      <c r="AB37" s="2426"/>
      <c r="AC37" s="2426"/>
      <c r="AD37" s="2426"/>
      <c r="AE37" s="365"/>
    </row>
    <row r="38" spans="1:31" s="9" customFormat="1">
      <c r="A38" s="18" t="s">
        <v>115</v>
      </c>
      <c r="B38" s="18" t="s">
        <v>772</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784">
        <f>S39+S42+S46</f>
        <v>475000000000</v>
      </c>
      <c r="T38" s="784">
        <f t="shared" ref="T38:V38" si="5">T39+T42+T46</f>
        <v>660000000000</v>
      </c>
      <c r="U38" s="784">
        <f t="shared" si="5"/>
        <v>660000000000</v>
      </c>
      <c r="V38" s="784">
        <f t="shared" si="5"/>
        <v>930000000000</v>
      </c>
      <c r="W38" s="780"/>
      <c r="X38" s="780"/>
      <c r="Y38" s="365"/>
      <c r="Z38" s="365"/>
      <c r="AA38" s="2426"/>
      <c r="AB38" s="2426"/>
      <c r="AC38" s="2426"/>
      <c r="AD38" s="2426"/>
      <c r="AE38" s="365"/>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781">
        <v>116000000000</v>
      </c>
      <c r="T39" s="786">
        <f>T40+T41</f>
        <v>171000000000</v>
      </c>
      <c r="U39" s="786">
        <v>110000000000</v>
      </c>
      <c r="V39" s="717">
        <v>230000000000</v>
      </c>
      <c r="W39" s="650"/>
      <c r="X39" s="650"/>
      <c r="Y39" s="365"/>
      <c r="Z39" s="365"/>
      <c r="AA39" s="2426"/>
      <c r="AB39" s="2426"/>
      <c r="AC39" s="2426"/>
      <c r="AD39" s="2426"/>
      <c r="AE39" s="365"/>
    </row>
    <row r="40" spans="1:31">
      <c r="A40" s="64" t="s">
        <v>415</v>
      </c>
      <c r="B40" s="64" t="s">
        <v>415</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781">
        <v>190000000000</v>
      </c>
      <c r="T40" s="786">
        <v>237000000000</v>
      </c>
      <c r="U40" s="786">
        <v>182000000000</v>
      </c>
      <c r="V40" s="717">
        <v>323000000000</v>
      </c>
      <c r="W40" s="650"/>
      <c r="X40" s="650"/>
      <c r="Y40" s="365"/>
      <c r="Z40" s="365"/>
      <c r="AA40" s="2426"/>
      <c r="AB40" s="2426"/>
      <c r="AC40" s="21"/>
      <c r="AD40" s="2426"/>
      <c r="AE40" s="365"/>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781">
        <v>-74000000000</v>
      </c>
      <c r="T41" s="786">
        <v>-66000000000</v>
      </c>
      <c r="U41" s="786">
        <v>-72000000000</v>
      </c>
      <c r="V41" s="717">
        <v>-93000000000</v>
      </c>
      <c r="W41" s="650"/>
      <c r="X41" s="650"/>
      <c r="Y41" s="365"/>
      <c r="Z41" s="365"/>
      <c r="AA41" s="2426"/>
      <c r="AB41" s="2426"/>
      <c r="AC41" s="2426"/>
      <c r="AD41" s="2426"/>
      <c r="AE41" s="365"/>
    </row>
    <row r="42" spans="1:31">
      <c r="A42" t="s">
        <v>120</v>
      </c>
      <c r="B42" s="58" t="s">
        <v>209</v>
      </c>
      <c r="C42" s="11" t="s">
        <v>119</v>
      </c>
      <c r="D42" s="58"/>
      <c r="F42" s="348">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781">
        <v>359000000000</v>
      </c>
      <c r="T42" s="786">
        <v>489000000000</v>
      </c>
      <c r="U42" s="786">
        <v>550000000000</v>
      </c>
      <c r="V42" s="717">
        <v>700000000000</v>
      </c>
      <c r="W42" s="650"/>
      <c r="X42" s="650"/>
      <c r="Y42" s="365"/>
      <c r="Z42" s="365"/>
      <c r="AA42" s="2426"/>
      <c r="AB42" s="2426"/>
      <c r="AC42" s="2426"/>
      <c r="AD42" s="2426"/>
      <c r="AE42" s="365"/>
    </row>
    <row r="43" spans="1:31">
      <c r="A43" s="41" t="s">
        <v>122</v>
      </c>
      <c r="B43" s="64" t="s">
        <v>773</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781">
        <v>-23000000000</v>
      </c>
      <c r="T43" s="786">
        <v>147000000000</v>
      </c>
      <c r="U43" s="786">
        <v>-84000000000</v>
      </c>
      <c r="V43" s="717">
        <v>264000000000</v>
      </c>
      <c r="W43" s="650"/>
      <c r="X43" s="650"/>
      <c r="Y43" s="365"/>
      <c r="Z43" s="365"/>
      <c r="AA43" s="2426"/>
      <c r="AB43" s="2426"/>
      <c r="AC43" s="2426"/>
      <c r="AD43" s="2426"/>
      <c r="AE43" s="365"/>
    </row>
    <row r="44" spans="1:31">
      <c r="A44" s="41"/>
      <c r="B44" s="65" t="s">
        <v>774</v>
      </c>
      <c r="C44" s="58"/>
      <c r="D44" s="58"/>
      <c r="F44" s="61"/>
      <c r="G44" s="61"/>
      <c r="H44" s="61"/>
      <c r="I44" s="61"/>
      <c r="J44" s="61"/>
      <c r="K44" s="61"/>
      <c r="L44" s="61"/>
      <c r="M44" s="63">
        <v>25000000000</v>
      </c>
      <c r="N44" s="63">
        <v>-77000000000</v>
      </c>
      <c r="O44" s="63">
        <v>114000000000</v>
      </c>
      <c r="P44" s="63">
        <v>45000000000</v>
      </c>
      <c r="Q44" s="63">
        <v>-71000000000</v>
      </c>
      <c r="R44" s="63">
        <v>-179000000000</v>
      </c>
      <c r="S44" s="781">
        <v>-18000000000</v>
      </c>
      <c r="T44" s="786">
        <v>92000000000</v>
      </c>
      <c r="U44" s="786">
        <v>-62000000000</v>
      </c>
      <c r="V44" s="717">
        <v>-48000000000</v>
      </c>
      <c r="W44" s="650"/>
      <c r="X44" s="650"/>
      <c r="Y44" s="365"/>
      <c r="Z44" s="365"/>
      <c r="AA44" s="2426"/>
      <c r="AB44" s="2426"/>
      <c r="AC44" s="21"/>
      <c r="AD44" s="2426"/>
      <c r="AE44" s="365"/>
    </row>
    <row r="45" spans="1:31">
      <c r="A45" s="41" t="s">
        <v>428</v>
      </c>
      <c r="B45" s="64" t="s">
        <v>597</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781">
        <v>383000000000</v>
      </c>
      <c r="T45" s="786">
        <v>342000000000</v>
      </c>
      <c r="U45" s="786">
        <v>634000000000</v>
      </c>
      <c r="V45" s="717">
        <v>436000000000</v>
      </c>
      <c r="W45" s="650"/>
      <c r="X45" s="650"/>
      <c r="Y45" s="365"/>
      <c r="Z45" s="365"/>
      <c r="AA45" s="2426"/>
      <c r="AB45" s="2426"/>
      <c r="AC45" s="2426"/>
      <c r="AD45" s="2426"/>
      <c r="AE45" s="365"/>
    </row>
    <row r="46" spans="1:31">
      <c r="A46" s="58" t="s">
        <v>775</v>
      </c>
      <c r="B46" s="58" t="s">
        <v>776</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5"/>
      <c r="Z46" s="365"/>
      <c r="AA46" s="365"/>
      <c r="AB46" s="365"/>
      <c r="AC46" s="365"/>
      <c r="AD46" s="365"/>
      <c r="AE46" s="365"/>
    </row>
    <row r="47" spans="1:31">
      <c r="A47" t="s">
        <v>253</v>
      </c>
      <c r="B47" t="s">
        <v>253</v>
      </c>
      <c r="C47" s="58" t="s">
        <v>124</v>
      </c>
      <c r="F47" s="21">
        <v>600000000.00000799</v>
      </c>
      <c r="Y47" s="365"/>
      <c r="Z47" s="365"/>
      <c r="AA47" s="365"/>
      <c r="AB47" s="365"/>
      <c r="AC47" s="365"/>
      <c r="AD47" s="365"/>
      <c r="AE47" s="365"/>
    </row>
    <row r="48" spans="1:31">
      <c r="F48" t="s">
        <v>139</v>
      </c>
      <c r="G48" t="s">
        <v>138</v>
      </c>
      <c r="H48" t="s">
        <v>138</v>
      </c>
      <c r="I48" t="s">
        <v>139</v>
      </c>
      <c r="J48" t="s">
        <v>138</v>
      </c>
      <c r="K48" t="s">
        <v>777</v>
      </c>
      <c r="L48" t="s">
        <v>777</v>
      </c>
      <c r="M48" t="s">
        <v>139</v>
      </c>
      <c r="N48" t="s">
        <v>138</v>
      </c>
      <c r="O48" s="13" t="s">
        <v>138</v>
      </c>
      <c r="P48" s="13" t="s">
        <v>138</v>
      </c>
      <c r="Q48" s="13" t="s">
        <v>138</v>
      </c>
      <c r="R48" s="13" t="s">
        <v>138</v>
      </c>
      <c r="S48" s="13" t="s">
        <v>138</v>
      </c>
      <c r="T48" s="13" t="s">
        <v>138</v>
      </c>
      <c r="U48" s="13" t="s">
        <v>138</v>
      </c>
      <c r="V48" s="13" t="s">
        <v>138</v>
      </c>
      <c r="Y48" s="365"/>
      <c r="Z48" s="365"/>
      <c r="AA48" s="365"/>
      <c r="AB48" s="365"/>
      <c r="AC48" s="365"/>
      <c r="AD48" s="365"/>
      <c r="AE48" s="365"/>
    </row>
    <row r="49" spans="2:31">
      <c r="Y49" s="365"/>
      <c r="Z49" s="365"/>
      <c r="AA49" s="365"/>
      <c r="AB49" s="365"/>
      <c r="AC49" s="365"/>
      <c r="AD49" s="365"/>
      <c r="AE49" s="365"/>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7">
        <f t="shared" si="6"/>
        <v>-1000000000</v>
      </c>
      <c r="S50" s="267">
        <f t="shared" si="6"/>
        <v>0</v>
      </c>
      <c r="T50" s="267">
        <f t="shared" si="6"/>
        <v>1000000000</v>
      </c>
      <c r="U50" s="267">
        <f t="shared" si="6"/>
        <v>0</v>
      </c>
      <c r="Y50" s="365"/>
      <c r="Z50" s="365"/>
      <c r="AA50" s="365"/>
      <c r="AB50" s="365"/>
      <c r="AC50" s="365"/>
      <c r="AD50" s="365"/>
      <c r="AE50" s="365"/>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7">
        <f t="shared" si="7"/>
        <v>1000000000</v>
      </c>
      <c r="S51" s="267">
        <f t="shared" si="7"/>
        <v>0</v>
      </c>
      <c r="T51" s="267">
        <f t="shared" si="7"/>
        <v>-1000000000</v>
      </c>
      <c r="U51" s="267">
        <f t="shared" si="7"/>
        <v>0</v>
      </c>
      <c r="Y51" s="365"/>
      <c r="Z51" s="365"/>
      <c r="AA51" s="365"/>
      <c r="AB51" s="365"/>
      <c r="AC51" s="365"/>
      <c r="AD51" s="365"/>
      <c r="AE51" s="365"/>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7">
        <f t="shared" si="8"/>
        <v>0</v>
      </c>
      <c r="S52" s="267">
        <f t="shared" si="8"/>
        <v>0</v>
      </c>
      <c r="T52" s="267">
        <f t="shared" si="8"/>
        <v>1000000000</v>
      </c>
      <c r="U52" s="267">
        <f t="shared" si="8"/>
        <v>0</v>
      </c>
      <c r="Y52" s="365"/>
      <c r="Z52" s="365"/>
      <c r="AA52" s="365"/>
      <c r="AB52" s="365"/>
      <c r="AC52" s="365"/>
      <c r="AD52" s="365"/>
      <c r="AE52" s="365"/>
    </row>
    <row r="53" spans="2:31">
      <c r="B53" t="s">
        <v>778</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7">
        <f t="shared" si="9"/>
        <v>0</v>
      </c>
      <c r="S53" s="267">
        <f t="shared" si="9"/>
        <v>0</v>
      </c>
      <c r="T53" s="267">
        <f>T9-T10-T11-T12-T13</f>
        <v>0</v>
      </c>
      <c r="U53" s="267">
        <f t="shared" si="9"/>
        <v>-1000000000</v>
      </c>
      <c r="Y53" s="365"/>
      <c r="Z53" s="365"/>
      <c r="AA53" s="365"/>
      <c r="AB53" s="365"/>
      <c r="AC53" s="365"/>
      <c r="AD53" s="365"/>
      <c r="AE53" s="365"/>
    </row>
    <row r="54" spans="2:31">
      <c r="B54" t="s">
        <v>619</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7">
        <f t="shared" si="10"/>
        <v>0</v>
      </c>
      <c r="S54" s="267">
        <f>S18-S19-S25-S28-S33-S31-S32</f>
        <v>0</v>
      </c>
      <c r="T54" s="267">
        <f t="shared" ref="T54:U54" si="11">T18-T19-T25-T28-T33-T31-T32</f>
        <v>0</v>
      </c>
      <c r="U54" s="267">
        <f t="shared" si="11"/>
        <v>0</v>
      </c>
      <c r="Y54" s="365"/>
      <c r="Z54" s="365"/>
      <c r="AA54" s="365"/>
      <c r="AB54" s="365"/>
      <c r="AC54" s="365"/>
      <c r="AD54" s="365"/>
      <c r="AE54" s="365"/>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7">
        <f t="shared" si="12"/>
        <v>1000000000</v>
      </c>
      <c r="S55" s="267">
        <f t="shared" si="12"/>
        <v>0</v>
      </c>
      <c r="T55" s="267">
        <f t="shared" si="12"/>
        <v>0</v>
      </c>
      <c r="U55" s="267">
        <f t="shared" si="12"/>
        <v>0</v>
      </c>
      <c r="Y55" s="365"/>
      <c r="Z55" s="365"/>
      <c r="AA55" s="365"/>
      <c r="AB55" s="365"/>
      <c r="AC55" s="365"/>
      <c r="AD55" s="365"/>
      <c r="AE55" s="365"/>
    </row>
    <row r="56" spans="2:31">
      <c r="B56" t="s">
        <v>779</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0</v>
      </c>
      <c r="R56" s="791">
        <f>R25-R26-R27</f>
        <v>3000000000</v>
      </c>
      <c r="S56" s="267">
        <f t="shared" si="13"/>
        <v>0</v>
      </c>
      <c r="T56" s="267">
        <f t="shared" si="13"/>
        <v>0</v>
      </c>
      <c r="U56" s="267">
        <f t="shared" si="13"/>
        <v>0</v>
      </c>
      <c r="Y56" s="365"/>
      <c r="Z56" s="365"/>
      <c r="AA56" s="365"/>
      <c r="AB56" s="365"/>
      <c r="AC56" s="365"/>
      <c r="AD56" s="365"/>
      <c r="AE56" s="365"/>
    </row>
    <row r="57" spans="2:31">
      <c r="B57" t="s">
        <v>780</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7">
        <f t="shared" si="14"/>
        <v>0</v>
      </c>
      <c r="S57" s="267">
        <f t="shared" si="14"/>
        <v>0</v>
      </c>
      <c r="T57" s="267">
        <f t="shared" si="14"/>
        <v>0</v>
      </c>
      <c r="U57" s="267">
        <f t="shared" si="14"/>
        <v>0</v>
      </c>
      <c r="Y57" s="365"/>
      <c r="Z57" s="365"/>
      <c r="AA57" s="365"/>
      <c r="AB57" s="365"/>
      <c r="AC57" s="365"/>
      <c r="AD57" s="365"/>
      <c r="AE57" s="365"/>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7">
        <f t="shared" si="15"/>
        <v>-1000000000</v>
      </c>
      <c r="S58" s="267">
        <f>S38-S39-S42-S46</f>
        <v>0</v>
      </c>
      <c r="T58" s="267">
        <f t="shared" si="15"/>
        <v>0</v>
      </c>
      <c r="U58" s="267">
        <f t="shared" si="15"/>
        <v>0</v>
      </c>
      <c r="Y58" s="365"/>
      <c r="Z58" s="365"/>
      <c r="AA58" s="365"/>
      <c r="AB58" s="365"/>
      <c r="AC58" s="365"/>
      <c r="AD58" s="365"/>
      <c r="AE58" s="365"/>
    </row>
    <row r="59" spans="2:31">
      <c r="B59" t="s">
        <v>528</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7">
        <f t="shared" si="16"/>
        <v>1000000000</v>
      </c>
      <c r="S59" s="267">
        <f t="shared" si="16"/>
        <v>0</v>
      </c>
      <c r="T59" s="852">
        <f t="shared" si="16"/>
        <v>0</v>
      </c>
      <c r="U59" s="267">
        <f t="shared" si="16"/>
        <v>0</v>
      </c>
      <c r="Y59" s="365"/>
      <c r="Z59" s="365"/>
      <c r="AA59" s="365"/>
      <c r="AB59" s="365"/>
      <c r="AC59" s="365"/>
      <c r="AD59" s="365"/>
      <c r="AE59" s="365"/>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7">
        <f t="shared" si="17"/>
        <v>0</v>
      </c>
      <c r="S60" s="267">
        <f t="shared" si="17"/>
        <v>-1000000000</v>
      </c>
      <c r="T60" s="267">
        <f t="shared" si="17"/>
        <v>0</v>
      </c>
      <c r="U60" s="267">
        <f t="shared" si="17"/>
        <v>0</v>
      </c>
      <c r="Y60" s="365"/>
      <c r="Z60" s="365"/>
      <c r="AA60" s="365"/>
      <c r="AB60" s="365"/>
      <c r="AC60" s="365"/>
      <c r="AD60" s="365"/>
      <c r="AE60" s="365"/>
    </row>
    <row r="61" spans="2:31">
      <c r="Y61" s="365"/>
      <c r="Z61" s="365"/>
      <c r="AA61" s="365"/>
      <c r="AB61" s="365"/>
      <c r="AC61" s="365"/>
      <c r="AD61" s="365"/>
      <c r="AE61" s="365"/>
    </row>
    <row r="62" spans="2:31">
      <c r="F62" s="21"/>
      <c r="Y62" s="365"/>
      <c r="Z62" s="365"/>
      <c r="AA62" s="365"/>
      <c r="AB62" s="365"/>
      <c r="AC62" s="365"/>
      <c r="AD62" s="365"/>
      <c r="AE62" s="365"/>
    </row>
    <row r="63" spans="2:31">
      <c r="B63" t="s">
        <v>781</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5"/>
      <c r="AA63" s="365"/>
      <c r="AB63" s="365"/>
      <c r="AC63" s="365"/>
      <c r="AD63" s="365"/>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5"/>
      <c r="AA64" s="365"/>
      <c r="AB64" s="365"/>
      <c r="AC64" s="365"/>
      <c r="AD64" s="365"/>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14.64675952956877</v>
      </c>
      <c r="R65">
        <f>(R18/R63)*100</f>
        <v>13.998660415271265</v>
      </c>
      <c r="S65">
        <f>(S18/S63)*100</f>
        <v>13.79492600422833</v>
      </c>
      <c r="T65">
        <f>(T18/T63)*100</f>
        <v>13.562281722933644</v>
      </c>
      <c r="U65">
        <f>(U18/U63)*100</f>
        <v>13.601299228583027</v>
      </c>
      <c r="Z65" s="365"/>
      <c r="AA65" s="365"/>
      <c r="AB65" s="365"/>
      <c r="AC65" s="365"/>
      <c r="AD65" s="365"/>
    </row>
    <row r="66" spans="2:30">
      <c r="Z66" s="365"/>
      <c r="AA66" s="365"/>
      <c r="AB66" s="365"/>
      <c r="AC66" s="365"/>
      <c r="AD66" s="365"/>
    </row>
    <row r="67" spans="2:30">
      <c r="Z67" s="365"/>
      <c r="AA67" s="365"/>
      <c r="AB67" s="365"/>
      <c r="AC67" s="365"/>
      <c r="AD67" s="365"/>
    </row>
    <row r="68" spans="2:30">
      <c r="F68" s="51">
        <f>F6+F38-F18</f>
        <v>0</v>
      </c>
      <c r="G68" s="51">
        <f t="shared" ref="G68:L68" si="20">G6+G38-G18</f>
        <v>-15000000000</v>
      </c>
      <c r="H68" s="51">
        <f t="shared" si="20"/>
        <v>-29700000000</v>
      </c>
      <c r="I68" s="51">
        <f t="shared" si="20"/>
        <v>-17100000000</v>
      </c>
      <c r="J68" s="51">
        <f t="shared" si="20"/>
        <v>-8000000000</v>
      </c>
      <c r="K68" s="51">
        <f t="shared" si="20"/>
        <v>-15000000000</v>
      </c>
      <c r="L68" s="51">
        <f t="shared" si="20"/>
        <v>-15000000000</v>
      </c>
      <c r="Q68" s="21"/>
      <c r="R68" s="21"/>
      <c r="S68" s="21"/>
      <c r="T68" s="21"/>
      <c r="U68" s="21"/>
      <c r="Z68" s="365"/>
      <c r="AA68" s="365"/>
      <c r="AB68" s="365"/>
      <c r="AC68" s="365"/>
      <c r="AD68" s="365"/>
    </row>
    <row r="69" spans="2:30">
      <c r="Z69" s="365"/>
      <c r="AA69" s="365"/>
      <c r="AB69" s="365"/>
      <c r="AC69" s="365"/>
      <c r="AD69" s="365"/>
    </row>
    <row r="71" spans="2:30">
      <c r="B71" t="s">
        <v>153</v>
      </c>
      <c r="F71" t="b">
        <f>IF(F31&lt;0, (F31/F17)*100)</f>
        <v>0</v>
      </c>
      <c r="G71" t="b">
        <f t="shared" ref="G71:S71" si="21">IF(G31&lt;0, (G31/G17)*100)</f>
        <v>0</v>
      </c>
      <c r="H71" t="b">
        <f t="shared" si="21"/>
        <v>0</v>
      </c>
      <c r="I71" t="b">
        <f t="shared" si="21"/>
        <v>0</v>
      </c>
      <c r="J71" t="b">
        <f t="shared" si="21"/>
        <v>0</v>
      </c>
      <c r="K71" t="b">
        <f t="shared" si="21"/>
        <v>0</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D6" activePane="bottomRight" state="frozen"/>
      <selection pane="topRight" activeCell="R7" sqref="R7"/>
      <selection pane="bottomLeft" activeCell="R7" sqref="R7"/>
      <selection pane="bottomRight" activeCell="L35" sqref="L35"/>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69" t="s">
        <v>782</v>
      </c>
      <c r="B1" s="82" t="s">
        <v>783</v>
      </c>
      <c r="C1" s="82"/>
      <c r="D1" s="27"/>
      <c r="E1" s="27"/>
      <c r="F1" s="27"/>
      <c r="G1" s="27"/>
      <c r="H1" s="27"/>
      <c r="I1" s="27"/>
      <c r="J1" s="27"/>
      <c r="K1" s="27"/>
      <c r="L1" s="27"/>
      <c r="M1" s="27"/>
      <c r="N1" s="27"/>
      <c r="O1" s="28"/>
      <c r="P1" s="28"/>
      <c r="Q1" s="28"/>
      <c r="R1" s="29"/>
      <c r="S1" s="28"/>
      <c r="T1" s="28"/>
      <c r="U1" s="28"/>
      <c r="V1" s="28"/>
      <c r="W1" s="28"/>
      <c r="X1" s="2"/>
    </row>
    <row r="2" spans="1:37">
      <c r="B2" s="30" t="s">
        <v>784</v>
      </c>
      <c r="C2" s="30"/>
      <c r="D2" s="28"/>
      <c r="E2" s="28"/>
      <c r="F2" s="28"/>
      <c r="G2" s="28"/>
      <c r="H2" s="28"/>
      <c r="I2" s="28"/>
      <c r="J2" s="28"/>
      <c r="K2" s="28"/>
      <c r="L2" s="28"/>
      <c r="M2" s="28"/>
      <c r="N2" s="28"/>
      <c r="O2" s="28"/>
      <c r="P2" s="28"/>
      <c r="Q2" s="28"/>
      <c r="R2" s="31"/>
      <c r="S2" s="32"/>
      <c r="T2" s="33"/>
      <c r="U2" s="28"/>
      <c r="V2" s="28"/>
      <c r="W2" s="28"/>
      <c r="X2" s="2"/>
      <c r="AA2" s="2463"/>
      <c r="AB2" s="2463"/>
      <c r="AC2" s="2463"/>
      <c r="AD2" s="2463"/>
      <c r="AE2" s="2463"/>
      <c r="AF2" s="2463"/>
      <c r="AG2" s="2463"/>
      <c r="AH2" s="2463"/>
      <c r="AI2" s="2463"/>
      <c r="AJ2" s="2463"/>
      <c r="AK2" s="2463"/>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463"/>
      <c r="AB3" s="2463"/>
      <c r="AC3" s="2463"/>
      <c r="AD3" s="2463"/>
      <c r="AE3" s="2463"/>
      <c r="AF3" s="2463"/>
      <c r="AG3" s="2463"/>
      <c r="AH3" s="2463"/>
      <c r="AI3" s="2463"/>
      <c r="AJ3" s="2463"/>
      <c r="AK3" s="2463"/>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463"/>
      <c r="AB4" s="2463"/>
      <c r="AC4" s="2463"/>
      <c r="AD4" s="2463"/>
      <c r="AE4" s="2463"/>
      <c r="AF4" s="2463"/>
      <c r="AG4" s="2463"/>
      <c r="AH4" s="2463"/>
      <c r="AI4" s="2463"/>
      <c r="AJ4" s="2463"/>
      <c r="AK4" s="2463"/>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463"/>
      <c r="AB5" s="2463"/>
      <c r="AC5" s="2463"/>
      <c r="AD5" s="2463"/>
      <c r="AE5" s="2463"/>
      <c r="AF5" s="2463"/>
      <c r="AG5" s="2463"/>
      <c r="AH5" s="2463"/>
      <c r="AI5" s="2463"/>
      <c r="AJ5" s="2463"/>
      <c r="AK5" s="2463"/>
    </row>
    <row r="6" spans="1:37" s="9" customFormat="1">
      <c r="A6" s="239" t="s">
        <v>785</v>
      </c>
      <c r="B6" s="239" t="s">
        <v>785</v>
      </c>
      <c r="C6" s="55" t="s">
        <v>35</v>
      </c>
      <c r="D6" s="36"/>
      <c r="E6" s="36"/>
      <c r="F6" s="36"/>
      <c r="G6" s="36"/>
      <c r="H6" s="36"/>
      <c r="I6" s="240"/>
      <c r="J6" s="240"/>
      <c r="K6" s="240"/>
      <c r="L6" s="264">
        <f t="shared" ref="L6:Q6" si="0">L7+L25</f>
        <v>67491216000000</v>
      </c>
      <c r="M6" s="264">
        <f t="shared" si="0"/>
        <v>65010160600000.008</v>
      </c>
      <c r="N6" s="264">
        <f t="shared" si="0"/>
        <v>70560246900000</v>
      </c>
      <c r="O6" s="264">
        <f t="shared" si="0"/>
        <v>118565922300000</v>
      </c>
      <c r="P6" s="264">
        <f t="shared" si="0"/>
        <v>223279665500000</v>
      </c>
      <c r="Q6" s="264">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0"/>
      <c r="Z6" s="270"/>
      <c r="AA6" s="2463"/>
      <c r="AB6" s="2463"/>
      <c r="AC6" s="2463"/>
      <c r="AD6" s="2463"/>
      <c r="AE6" s="2463"/>
      <c r="AF6" s="2463"/>
      <c r="AG6" s="2463"/>
      <c r="AH6" s="2463"/>
      <c r="AI6" s="2463"/>
      <c r="AJ6" s="2463"/>
      <c r="AK6" s="2463"/>
    </row>
    <row r="7" spans="1:37" ht="16.5">
      <c r="A7" s="441" t="s">
        <v>36</v>
      </c>
      <c r="B7" s="441" t="s">
        <v>533</v>
      </c>
      <c r="C7" s="345"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7"/>
      <c r="Z7" s="267"/>
      <c r="AA7" s="2463"/>
      <c r="AB7" s="2463"/>
      <c r="AC7" s="2463"/>
      <c r="AD7" s="2463"/>
      <c r="AE7" s="2463"/>
      <c r="AF7" s="2463"/>
      <c r="AG7" s="2463"/>
      <c r="AH7" s="2463"/>
      <c r="AI7" s="2463"/>
      <c r="AJ7" s="2463"/>
      <c r="AK7" s="2463"/>
    </row>
    <row r="8" spans="1:37" ht="16.5">
      <c r="A8" s="442" t="s">
        <v>371</v>
      </c>
      <c r="B8" s="442" t="s">
        <v>371</v>
      </c>
      <c r="C8" s="58" t="s">
        <v>41</v>
      </c>
      <c r="D8" s="28"/>
      <c r="E8" s="28"/>
      <c r="F8" s="28"/>
      <c r="G8" s="28"/>
      <c r="H8" s="28"/>
      <c r="I8" s="28"/>
      <c r="J8" s="28"/>
      <c r="K8" s="28"/>
      <c r="L8" s="125">
        <f>L9+L10+L12+L11+L13</f>
        <v>48801340800000</v>
      </c>
      <c r="M8" s="331">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7"/>
      <c r="Z8" s="267"/>
      <c r="AA8" s="2463"/>
      <c r="AB8" s="2463"/>
      <c r="AC8" s="2463"/>
      <c r="AD8" s="2463"/>
      <c r="AE8" s="2463"/>
      <c r="AF8" s="2463"/>
      <c r="AG8" s="2463"/>
      <c r="AH8" s="2463"/>
      <c r="AI8" s="2463"/>
      <c r="AJ8" s="2463"/>
      <c r="AK8" s="2463"/>
    </row>
    <row r="9" spans="1:37" ht="16.5">
      <c r="A9" s="100" t="s">
        <v>786</v>
      </c>
      <c r="B9" s="100" t="s">
        <v>787</v>
      </c>
      <c r="C9" s="90" t="s">
        <v>44</v>
      </c>
      <c r="D9" s="28"/>
      <c r="E9" s="28"/>
      <c r="F9" s="28"/>
      <c r="G9" s="28"/>
      <c r="H9" s="28"/>
      <c r="I9" s="28"/>
      <c r="J9" s="28"/>
      <c r="K9" s="28"/>
      <c r="L9" s="331">
        <v>11162008799999.998</v>
      </c>
      <c r="M9" s="331">
        <v>9620954000000.002</v>
      </c>
      <c r="N9" s="331">
        <v>11842279200000.002</v>
      </c>
      <c r="O9" s="125">
        <v>20801039000000</v>
      </c>
      <c r="P9" s="125">
        <v>43489150999999.992</v>
      </c>
      <c r="Q9" s="125">
        <v>49032383400000</v>
      </c>
      <c r="R9" s="125"/>
      <c r="S9" s="125"/>
      <c r="T9" s="269"/>
      <c r="U9" s="269"/>
      <c r="V9" s="269"/>
      <c r="W9" s="269"/>
      <c r="X9" s="600"/>
      <c r="Y9" s="267"/>
      <c r="Z9" s="267"/>
      <c r="AA9" s="2463"/>
      <c r="AB9" s="2463"/>
      <c r="AC9" s="2463"/>
      <c r="AD9" s="2463"/>
      <c r="AE9" s="2463"/>
      <c r="AF9" s="2463"/>
      <c r="AG9" s="2463"/>
      <c r="AH9" s="2463"/>
      <c r="AI9" s="2463"/>
      <c r="AJ9" s="2463"/>
      <c r="AK9" s="2463"/>
    </row>
    <row r="10" spans="1:37" ht="16.5">
      <c r="A10" s="443" t="s">
        <v>788</v>
      </c>
      <c r="B10" s="443" t="s">
        <v>788</v>
      </c>
      <c r="C10" s="90" t="s">
        <v>44</v>
      </c>
      <c r="D10" s="28"/>
      <c r="E10" s="28"/>
      <c r="F10" s="28"/>
      <c r="G10" s="28"/>
      <c r="H10" s="28"/>
      <c r="I10" s="28"/>
      <c r="J10" s="28"/>
      <c r="K10" s="28"/>
      <c r="L10" s="331">
        <v>1946862000000</v>
      </c>
      <c r="M10" s="331">
        <v>1649306400000.0002</v>
      </c>
      <c r="N10" s="331">
        <v>1809237100000.0005</v>
      </c>
      <c r="O10" s="125">
        <v>2674419300000</v>
      </c>
      <c r="P10" s="125">
        <v>5303555000000</v>
      </c>
      <c r="Q10" s="125">
        <v>7641410399999.998</v>
      </c>
      <c r="R10" s="125"/>
      <c r="S10" s="125"/>
      <c r="T10" s="269"/>
      <c r="U10" s="269"/>
      <c r="V10" s="269"/>
      <c r="W10" s="269"/>
      <c r="X10" s="600"/>
      <c r="Y10" s="267"/>
      <c r="Z10" s="267"/>
      <c r="AA10" s="2463"/>
      <c r="AB10" s="2463"/>
      <c r="AC10" s="2463"/>
      <c r="AD10" s="2463"/>
      <c r="AE10" s="2463"/>
      <c r="AF10" s="2463"/>
      <c r="AG10" s="2463"/>
      <c r="AH10" s="2463"/>
      <c r="AI10" s="2463"/>
      <c r="AJ10" s="2463"/>
      <c r="AK10" s="2463"/>
    </row>
    <row r="11" spans="1:37" ht="16.5">
      <c r="A11" s="100" t="s">
        <v>83</v>
      </c>
      <c r="B11" s="100" t="s">
        <v>789</v>
      </c>
      <c r="C11" s="90" t="s">
        <v>44</v>
      </c>
      <c r="D11" s="28"/>
      <c r="E11" s="28"/>
      <c r="F11" s="28"/>
      <c r="G11" s="28"/>
      <c r="H11" s="28"/>
      <c r="I11" s="28"/>
      <c r="J11" s="28"/>
      <c r="K11" s="28"/>
      <c r="L11" s="331">
        <v>20766528000000</v>
      </c>
      <c r="M11" s="331">
        <v>20204003400000</v>
      </c>
      <c r="N11" s="331">
        <v>23191130100000.004</v>
      </c>
      <c r="O11" s="125">
        <v>35064608600000.008</v>
      </c>
      <c r="P11" s="125">
        <v>63642660000000</v>
      </c>
      <c r="Q11" s="125">
        <v>82145161800000</v>
      </c>
      <c r="R11" s="125"/>
      <c r="S11" s="125"/>
      <c r="T11" s="269"/>
      <c r="U11" s="269"/>
      <c r="V11" s="269"/>
      <c r="W11" s="269"/>
      <c r="X11" s="600"/>
      <c r="Y11" s="267"/>
      <c r="Z11" s="267"/>
      <c r="AA11" s="2463"/>
      <c r="AB11" s="2463"/>
      <c r="AC11" s="2463"/>
      <c r="AD11" s="2463"/>
      <c r="AE11" s="2463"/>
      <c r="AF11" s="2463"/>
      <c r="AG11" s="2463"/>
      <c r="AH11" s="2463"/>
      <c r="AI11" s="2463"/>
      <c r="AJ11" s="2463"/>
      <c r="AK11" s="2463"/>
    </row>
    <row r="12" spans="1:37" ht="16.5">
      <c r="A12" s="100" t="s">
        <v>790</v>
      </c>
      <c r="B12" s="100" t="s">
        <v>791</v>
      </c>
      <c r="C12" s="90" t="s">
        <v>44</v>
      </c>
      <c r="D12" s="28"/>
      <c r="E12" s="28"/>
      <c r="F12" s="28"/>
      <c r="G12" s="28"/>
      <c r="H12" s="28"/>
      <c r="I12" s="28"/>
      <c r="J12" s="28"/>
      <c r="K12" s="28"/>
      <c r="L12" s="331">
        <v>10642845599999.998</v>
      </c>
      <c r="M12" s="331">
        <v>7971647600000</v>
      </c>
      <c r="N12" s="331">
        <v>5756663500000</v>
      </c>
      <c r="O12" s="125">
        <v>15155042700000</v>
      </c>
      <c r="P12" s="125">
        <v>25457064000000</v>
      </c>
      <c r="Q12" s="125">
        <v>22924231200000</v>
      </c>
      <c r="R12" s="125"/>
      <c r="S12" s="125"/>
      <c r="T12" s="269"/>
      <c r="U12" s="269"/>
      <c r="V12" s="269"/>
      <c r="W12" s="269"/>
      <c r="X12" s="600"/>
      <c r="Y12" s="267"/>
      <c r="Z12" s="267"/>
      <c r="AA12" s="2463"/>
      <c r="AB12" s="2463"/>
      <c r="AC12" s="2463"/>
      <c r="AD12" s="2463"/>
      <c r="AE12" s="2463"/>
      <c r="AF12" s="2463"/>
      <c r="AG12" s="2463"/>
      <c r="AH12" s="2463"/>
      <c r="AI12" s="2463"/>
      <c r="AJ12" s="2463"/>
      <c r="AK12" s="2463"/>
    </row>
    <row r="13" spans="1:37">
      <c r="A13" s="100" t="s">
        <v>49</v>
      </c>
      <c r="B13" s="100" t="s">
        <v>49</v>
      </c>
      <c r="C13" s="90" t="s">
        <v>44</v>
      </c>
      <c r="D13" s="28"/>
      <c r="E13" s="28"/>
      <c r="F13" s="28"/>
      <c r="G13" s="28"/>
      <c r="H13" s="28"/>
      <c r="I13" s="28"/>
      <c r="J13" s="28"/>
      <c r="K13" s="28"/>
      <c r="L13" s="331">
        <v>4283096400000</v>
      </c>
      <c r="M13" s="331">
        <v>1924190800000</v>
      </c>
      <c r="N13" s="331">
        <v>2138189300000.0005</v>
      </c>
      <c r="O13" s="125"/>
      <c r="P13" s="125"/>
      <c r="Q13" s="125"/>
      <c r="R13" s="125"/>
      <c r="S13" s="125"/>
      <c r="T13" s="269"/>
      <c r="U13" s="269"/>
      <c r="V13" s="269"/>
      <c r="W13" s="269"/>
      <c r="X13" s="600"/>
      <c r="Y13" s="267"/>
      <c r="Z13" s="267"/>
      <c r="AA13" s="2463"/>
      <c r="AB13" s="2463"/>
      <c r="AC13" s="2463"/>
      <c r="AD13" s="2463"/>
      <c r="AE13" s="2463"/>
      <c r="AF13" s="2463"/>
      <c r="AG13" s="2463"/>
      <c r="AH13" s="2463"/>
      <c r="AI13" s="2463"/>
      <c r="AJ13" s="2463"/>
      <c r="AK13" s="2463"/>
    </row>
    <row r="14" spans="1:37" ht="16.5">
      <c r="A14" s="99" t="s">
        <v>635</v>
      </c>
      <c r="B14" s="99" t="s">
        <v>792</v>
      </c>
      <c r="C14" s="58" t="s">
        <v>41</v>
      </c>
      <c r="D14" s="28"/>
      <c r="E14" s="28"/>
      <c r="F14" s="28"/>
      <c r="G14" s="28"/>
      <c r="H14" s="28"/>
      <c r="I14" s="28"/>
      <c r="J14" s="28"/>
      <c r="K14" s="28"/>
      <c r="L14" s="331">
        <v>14536569600000</v>
      </c>
      <c r="M14" s="331">
        <v>15805853000000</v>
      </c>
      <c r="N14" s="331">
        <v>19243703700000</v>
      </c>
      <c r="O14" s="125">
        <v>28824296900000</v>
      </c>
      <c r="P14" s="125">
        <v>55687327500000</v>
      </c>
      <c r="Q14" s="125">
        <v>75140535600000</v>
      </c>
      <c r="R14" s="125"/>
      <c r="S14" s="125"/>
      <c r="T14" s="269"/>
      <c r="U14" s="269"/>
      <c r="V14" s="269"/>
      <c r="W14" s="269"/>
      <c r="X14" s="600"/>
      <c r="Y14" s="267"/>
      <c r="Z14" s="267"/>
      <c r="AA14" s="2463"/>
      <c r="AB14" s="2463"/>
      <c r="AC14" s="2463"/>
      <c r="AD14" s="2463"/>
      <c r="AE14" s="2463"/>
      <c r="AF14" s="2463"/>
      <c r="AG14" s="2463"/>
      <c r="AH14" s="2463"/>
      <c r="AI14" s="2463"/>
      <c r="AJ14" s="2463"/>
      <c r="AK14" s="2463"/>
    </row>
    <row r="15" spans="1:37" ht="16.5">
      <c r="A15" s="99" t="s">
        <v>793</v>
      </c>
      <c r="B15" s="99" t="s">
        <v>794</v>
      </c>
      <c r="C15" s="58" t="s">
        <v>41</v>
      </c>
      <c r="D15" s="28"/>
      <c r="E15" s="28"/>
      <c r="F15" s="28"/>
      <c r="G15" s="28"/>
      <c r="H15" s="28"/>
      <c r="I15" s="28"/>
      <c r="J15" s="28"/>
      <c r="K15" s="28"/>
      <c r="L15" s="331">
        <v>4153305600000.001</v>
      </c>
      <c r="M15" s="331">
        <v>7834205400000</v>
      </c>
      <c r="N15" s="331">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630">
        <v>5500000000</v>
      </c>
      <c r="Y15" s="267"/>
      <c r="Z15" s="267"/>
      <c r="AA15" s="2463"/>
      <c r="AB15" s="2463"/>
      <c r="AC15" s="2463"/>
      <c r="AD15" s="2463"/>
      <c r="AE15" s="2463"/>
      <c r="AF15" s="2463"/>
      <c r="AG15" s="2463"/>
      <c r="AH15" s="2463"/>
      <c r="AI15" s="2463"/>
      <c r="AJ15" s="2463"/>
      <c r="AK15" s="2463"/>
    </row>
    <row r="16" spans="1:37">
      <c r="A16" s="99" t="s">
        <v>7080</v>
      </c>
      <c r="B16" s="99" t="s">
        <v>7080</v>
      </c>
      <c r="C16" s="90" t="s">
        <v>44</v>
      </c>
      <c r="D16" s="28"/>
      <c r="E16" s="28"/>
      <c r="F16" s="28"/>
      <c r="G16" s="28"/>
      <c r="H16" s="28"/>
      <c r="I16" s="28"/>
      <c r="J16" s="28"/>
      <c r="K16" s="28"/>
      <c r="L16" s="331"/>
      <c r="M16" s="331"/>
      <c r="N16" s="331"/>
      <c r="O16" s="125"/>
      <c r="P16" s="125"/>
      <c r="Q16" s="125"/>
      <c r="R16" s="125">
        <v>3200000000</v>
      </c>
      <c r="S16" s="125">
        <v>3700000000</v>
      </c>
      <c r="T16" s="135">
        <v>3900000000</v>
      </c>
      <c r="U16" s="135">
        <v>4400000000</v>
      </c>
      <c r="V16" s="135">
        <v>4800000000</v>
      </c>
      <c r="W16" s="135">
        <v>5200000000</v>
      </c>
      <c r="X16" s="2630">
        <v>5700000000</v>
      </c>
      <c r="Y16" s="267"/>
      <c r="Z16" s="267"/>
      <c r="AA16" s="2463"/>
      <c r="AB16" s="2463"/>
      <c r="AC16" s="2463"/>
      <c r="AD16" s="2463"/>
      <c r="AE16" s="2463"/>
      <c r="AF16" s="2463"/>
      <c r="AG16" s="2463"/>
      <c r="AH16" s="2463"/>
      <c r="AI16" s="2463"/>
      <c r="AJ16" s="2463"/>
      <c r="AK16" s="2463"/>
    </row>
    <row r="17" spans="1:37">
      <c r="A17" s="99" t="s">
        <v>7161</v>
      </c>
      <c r="B17" s="99" t="s">
        <v>7161</v>
      </c>
      <c r="C17" s="90" t="s">
        <v>44</v>
      </c>
      <c r="D17" s="28"/>
      <c r="E17" s="28"/>
      <c r="F17" s="28"/>
      <c r="G17" s="28"/>
      <c r="H17" s="28"/>
      <c r="I17" s="28"/>
      <c r="J17" s="28"/>
      <c r="K17" s="28"/>
      <c r="L17" s="331"/>
      <c r="M17" s="331"/>
      <c r="N17" s="331"/>
      <c r="O17" s="125"/>
      <c r="P17" s="125"/>
      <c r="Q17" s="125"/>
      <c r="R17" s="125">
        <v>2000000000</v>
      </c>
      <c r="S17" s="125">
        <v>2200000000</v>
      </c>
      <c r="T17" s="135">
        <v>2300000000</v>
      </c>
      <c r="U17" s="135">
        <v>2800000000</v>
      </c>
      <c r="V17" s="135">
        <v>3000000000</v>
      </c>
      <c r="W17" s="135">
        <v>3300000000</v>
      </c>
      <c r="X17" s="2630">
        <v>3500000000</v>
      </c>
      <c r="Y17" s="267"/>
      <c r="Z17" s="267"/>
      <c r="AA17" s="2463"/>
      <c r="AB17" s="2463"/>
      <c r="AC17" s="2463"/>
      <c r="AD17" s="2463"/>
      <c r="AE17" s="2463"/>
      <c r="AF17" s="2463"/>
      <c r="AG17" s="2463"/>
      <c r="AH17" s="2463"/>
      <c r="AI17" s="2463"/>
      <c r="AJ17" s="2463"/>
      <c r="AK17" s="2463"/>
    </row>
    <row r="18" spans="1:37">
      <c r="A18" s="99" t="s">
        <v>162</v>
      </c>
      <c r="B18" s="99" t="s">
        <v>162</v>
      </c>
      <c r="C18" s="90" t="s">
        <v>44</v>
      </c>
      <c r="D18" s="28"/>
      <c r="E18" s="28"/>
      <c r="F18" s="28"/>
      <c r="G18" s="28"/>
      <c r="H18" s="28"/>
      <c r="I18" s="28"/>
      <c r="J18" s="28"/>
      <c r="K18" s="28"/>
      <c r="L18" s="331"/>
      <c r="M18" s="331"/>
      <c r="N18" s="331"/>
      <c r="O18" s="125"/>
      <c r="P18" s="125"/>
      <c r="Q18" s="125"/>
      <c r="R18" s="125">
        <v>7000000000</v>
      </c>
      <c r="S18" s="125">
        <v>7300000000</v>
      </c>
      <c r="T18" s="125">
        <v>8199999999.999999</v>
      </c>
      <c r="U18" s="125">
        <v>9000000000</v>
      </c>
      <c r="V18" s="135">
        <v>9900000000</v>
      </c>
      <c r="W18" s="135">
        <v>10700000000</v>
      </c>
      <c r="X18" s="2630">
        <v>11600000000</v>
      </c>
      <c r="Y18" s="267"/>
      <c r="Z18" s="267"/>
      <c r="AA18" s="2463"/>
      <c r="AB18" s="2463"/>
      <c r="AC18" s="2463"/>
      <c r="AD18" s="2463"/>
      <c r="AE18" s="2463"/>
      <c r="AF18" s="2463"/>
      <c r="AG18" s="2463"/>
      <c r="AH18" s="2463"/>
      <c r="AI18" s="2463"/>
      <c r="AJ18" s="2463"/>
      <c r="AK18" s="2463"/>
    </row>
    <row r="19" spans="1:37">
      <c r="A19" s="99" t="s">
        <v>553</v>
      </c>
      <c r="B19" s="99" t="s">
        <v>553</v>
      </c>
      <c r="C19" s="90" t="s">
        <v>44</v>
      </c>
      <c r="D19" s="28"/>
      <c r="E19" s="28"/>
      <c r="F19" s="28"/>
      <c r="G19" s="28"/>
      <c r="H19" s="28"/>
      <c r="I19" s="28"/>
      <c r="J19" s="28"/>
      <c r="K19" s="28"/>
      <c r="L19" s="331"/>
      <c r="M19" s="331"/>
      <c r="N19" s="331"/>
      <c r="O19" s="125"/>
      <c r="P19" s="125"/>
      <c r="Q19" s="125"/>
      <c r="R19" s="125">
        <v>2100000000</v>
      </c>
      <c r="S19" s="125">
        <v>1900000000</v>
      </c>
      <c r="T19" s="125">
        <v>2200000000</v>
      </c>
      <c r="U19" s="135">
        <v>2300000000</v>
      </c>
      <c r="V19" s="125">
        <v>2400000000</v>
      </c>
      <c r="W19" s="135">
        <v>2700000000</v>
      </c>
      <c r="X19" s="2630">
        <v>2900000000</v>
      </c>
      <c r="Y19" s="267"/>
      <c r="Z19" s="267"/>
      <c r="AA19" s="2463"/>
      <c r="AB19" s="2463"/>
      <c r="AC19" s="2463"/>
      <c r="AD19" s="2463"/>
      <c r="AE19" s="2463"/>
      <c r="AF19" s="2463"/>
      <c r="AG19" s="2463"/>
      <c r="AH19" s="2463"/>
      <c r="AI19" s="2463"/>
      <c r="AJ19" s="2463"/>
      <c r="AK19" s="2463"/>
    </row>
    <row r="20" spans="1:37">
      <c r="A20" s="99" t="s">
        <v>4552</v>
      </c>
      <c r="B20" s="99" t="s">
        <v>4552</v>
      </c>
      <c r="C20" s="90" t="s">
        <v>44</v>
      </c>
      <c r="D20" s="28"/>
      <c r="E20" s="28"/>
      <c r="F20" s="28"/>
      <c r="G20" s="28"/>
      <c r="H20" s="28"/>
      <c r="I20" s="28"/>
      <c r="J20" s="28"/>
      <c r="K20" s="28"/>
      <c r="L20" s="331"/>
      <c r="M20" s="331"/>
      <c r="N20" s="331"/>
      <c r="O20" s="125"/>
      <c r="P20" s="125"/>
      <c r="Q20" s="125"/>
      <c r="R20" s="125">
        <v>1000000000</v>
      </c>
      <c r="S20" s="125">
        <v>1200000000</v>
      </c>
      <c r="T20" s="135">
        <v>1600000000</v>
      </c>
      <c r="U20" s="135">
        <v>1600000000</v>
      </c>
      <c r="V20" s="135">
        <v>1700000000</v>
      </c>
      <c r="W20" s="135">
        <v>1900000000</v>
      </c>
      <c r="X20" s="2630">
        <v>2100000000</v>
      </c>
      <c r="Y20" s="267"/>
      <c r="Z20" s="267"/>
      <c r="AA20" s="2463"/>
      <c r="AB20" s="2463"/>
      <c r="AC20" s="2463"/>
      <c r="AD20" s="2463"/>
      <c r="AE20" s="2463"/>
      <c r="AF20" s="2463"/>
      <c r="AG20" s="2463"/>
      <c r="AH20" s="2463"/>
      <c r="AI20" s="2463"/>
      <c r="AJ20" s="2463"/>
      <c r="AK20" s="2463"/>
    </row>
    <row r="21" spans="1:37">
      <c r="A21" s="99" t="s">
        <v>7055</v>
      </c>
      <c r="B21" s="99" t="s">
        <v>7055</v>
      </c>
      <c r="C21" s="90" t="s">
        <v>44</v>
      </c>
      <c r="D21" s="28"/>
      <c r="E21" s="28"/>
      <c r="F21" s="28"/>
      <c r="G21" s="28"/>
      <c r="H21" s="28"/>
      <c r="I21" s="28"/>
      <c r="J21" s="28"/>
      <c r="K21" s="28"/>
      <c r="L21" s="331"/>
      <c r="M21" s="331"/>
      <c r="N21" s="331"/>
      <c r="O21" s="125"/>
      <c r="P21" s="125"/>
      <c r="Q21" s="125"/>
      <c r="R21" s="125">
        <v>1800000000</v>
      </c>
      <c r="S21" s="125">
        <v>3900000000</v>
      </c>
      <c r="T21" s="125">
        <v>3400000000</v>
      </c>
      <c r="U21" s="125">
        <v>3200000000</v>
      </c>
      <c r="V21" s="125">
        <v>3700000000</v>
      </c>
      <c r="W21" s="125">
        <v>3600000000</v>
      </c>
      <c r="X21" s="125">
        <v>3700000000</v>
      </c>
      <c r="Y21" s="267"/>
      <c r="Z21" s="267"/>
      <c r="AA21" s="2463"/>
      <c r="AB21" s="2463"/>
      <c r="AC21" s="2463"/>
      <c r="AD21" s="2463"/>
      <c r="AE21" s="2463"/>
      <c r="AF21" s="2463"/>
      <c r="AG21" s="2463"/>
      <c r="AH21" s="2463"/>
      <c r="AI21" s="2463"/>
      <c r="AJ21" s="2463"/>
      <c r="AK21" s="2463"/>
    </row>
    <row r="22" spans="1:37">
      <c r="A22" s="99" t="s">
        <v>50</v>
      </c>
      <c r="B22" s="99" t="s">
        <v>7162</v>
      </c>
      <c r="C22" s="90" t="s">
        <v>44</v>
      </c>
      <c r="D22" s="28"/>
      <c r="E22" s="28"/>
      <c r="F22" s="28"/>
      <c r="G22" s="28"/>
      <c r="H22" s="28"/>
      <c r="I22" s="28"/>
      <c r="J22" s="28"/>
      <c r="K22" s="28"/>
      <c r="L22" s="331"/>
      <c r="M22" s="331"/>
      <c r="N22" s="331"/>
      <c r="O22" s="125"/>
      <c r="P22" s="125"/>
      <c r="Q22" s="125"/>
      <c r="R22" s="125">
        <v>1800000000</v>
      </c>
      <c r="S22" s="125">
        <v>2000000000</v>
      </c>
      <c r="T22" s="135">
        <v>2100000000</v>
      </c>
      <c r="U22" s="135">
        <v>2300000000</v>
      </c>
      <c r="V22" s="135">
        <v>2400000000</v>
      </c>
      <c r="W22" s="135">
        <v>2600000000</v>
      </c>
      <c r="X22" s="2630">
        <v>2800000000</v>
      </c>
      <c r="Y22" s="267"/>
      <c r="Z22" s="267"/>
      <c r="AA22" s="2463"/>
      <c r="AB22" s="2463"/>
      <c r="AC22" s="2463"/>
      <c r="AD22" s="2463"/>
      <c r="AE22" s="2463"/>
      <c r="AF22" s="2463"/>
      <c r="AG22" s="2463"/>
      <c r="AH22" s="2463"/>
      <c r="AI22" s="2463"/>
      <c r="AJ22" s="2463"/>
      <c r="AK22" s="2463"/>
    </row>
    <row r="23" spans="1:37">
      <c r="A23" s="99" t="s">
        <v>7164</v>
      </c>
      <c r="B23" s="99" t="s">
        <v>7163</v>
      </c>
      <c r="C23" s="58" t="s">
        <v>41</v>
      </c>
      <c r="D23" s="28"/>
      <c r="E23" s="28"/>
      <c r="F23" s="28"/>
      <c r="G23" s="28"/>
      <c r="H23" s="28"/>
      <c r="I23" s="28"/>
      <c r="J23" s="28"/>
      <c r="K23" s="28"/>
      <c r="L23" s="331"/>
      <c r="M23" s="331"/>
      <c r="N23" s="331"/>
      <c r="O23" s="125"/>
      <c r="P23" s="125"/>
      <c r="Q23" s="125"/>
      <c r="R23" s="125">
        <v>8000000000</v>
      </c>
      <c r="S23" s="125">
        <v>8800000000</v>
      </c>
      <c r="T23" s="125">
        <v>8700000000</v>
      </c>
      <c r="U23" s="125">
        <v>8800000000</v>
      </c>
      <c r="V23" s="125">
        <v>9900000000</v>
      </c>
      <c r="W23" s="125">
        <v>11900000000</v>
      </c>
      <c r="X23" s="125">
        <v>12800000000</v>
      </c>
      <c r="Y23" s="267"/>
      <c r="Z23" s="267"/>
      <c r="AA23" s="2463"/>
      <c r="AB23" s="2463"/>
      <c r="AC23" s="2463"/>
      <c r="AD23" s="2463"/>
      <c r="AE23" s="2463"/>
      <c r="AF23" s="2463"/>
      <c r="AG23" s="2463"/>
      <c r="AH23" s="2463"/>
      <c r="AI23" s="2463"/>
      <c r="AJ23" s="2463"/>
      <c r="AK23" s="2463"/>
    </row>
    <row r="24" spans="1:37">
      <c r="A24" s="99"/>
      <c r="B24" s="99"/>
      <c r="C24" s="58"/>
      <c r="D24" s="28"/>
      <c r="E24" s="28"/>
      <c r="F24" s="28"/>
      <c r="G24" s="28"/>
      <c r="H24" s="28"/>
      <c r="I24" s="28"/>
      <c r="J24" s="28"/>
      <c r="K24" s="28"/>
      <c r="L24" s="331"/>
      <c r="M24" s="331"/>
      <c r="N24" s="331"/>
      <c r="O24" s="125"/>
      <c r="P24" s="125"/>
      <c r="Q24" s="125"/>
      <c r="R24" s="125"/>
      <c r="S24" s="125"/>
      <c r="T24" s="125"/>
      <c r="U24" s="125"/>
      <c r="V24" s="125"/>
      <c r="W24" s="125"/>
      <c r="X24" s="125"/>
      <c r="Y24" s="267"/>
      <c r="Z24" s="267"/>
      <c r="AA24" s="2463"/>
      <c r="AB24" s="2463"/>
      <c r="AC24" s="2463"/>
      <c r="AD24" s="2463"/>
      <c r="AE24" s="2463"/>
      <c r="AF24" s="2463"/>
      <c r="AG24" s="2463"/>
      <c r="AH24" s="2463"/>
      <c r="AI24" s="2463"/>
      <c r="AJ24" s="2463"/>
      <c r="AK24" s="2463"/>
    </row>
    <row r="25" spans="1:37">
      <c r="A25" s="90" t="s">
        <v>795</v>
      </c>
      <c r="B25" s="90" t="s">
        <v>795</v>
      </c>
      <c r="C25" s="345" t="s">
        <v>38</v>
      </c>
      <c r="D25" s="28"/>
      <c r="E25" s="28"/>
      <c r="F25" s="28"/>
      <c r="G25" s="28"/>
      <c r="H25" s="28"/>
      <c r="I25" s="28"/>
      <c r="J25" s="28"/>
      <c r="K25" s="28"/>
      <c r="L25" s="331">
        <v>0</v>
      </c>
      <c r="M25" s="331">
        <v>0</v>
      </c>
      <c r="N25" s="331">
        <v>0</v>
      </c>
      <c r="O25" s="331">
        <v>0</v>
      </c>
      <c r="P25" s="331">
        <v>0</v>
      </c>
      <c r="Q25" s="331">
        <v>0</v>
      </c>
      <c r="R25" s="331">
        <v>0</v>
      </c>
      <c r="S25" s="331">
        <v>0</v>
      </c>
      <c r="T25" s="331">
        <v>0</v>
      </c>
      <c r="U25" s="331">
        <v>0</v>
      </c>
      <c r="V25" s="331">
        <v>0</v>
      </c>
      <c r="W25" s="331">
        <v>0</v>
      </c>
      <c r="X25" s="331">
        <v>0</v>
      </c>
      <c r="Y25" s="267"/>
      <c r="Z25" s="267"/>
      <c r="AA25" s="2463"/>
      <c r="AB25" s="2463"/>
      <c r="AC25" s="2463"/>
      <c r="AD25" s="2463"/>
      <c r="AE25" s="2463"/>
      <c r="AF25" s="2463"/>
      <c r="AG25" s="2463"/>
      <c r="AH25" s="2463"/>
      <c r="AI25" s="2463"/>
      <c r="AJ25" s="2463"/>
      <c r="AK25" s="2463"/>
    </row>
    <row r="26" spans="1:37" s="9" customFormat="1">
      <c r="A26" s="18" t="s">
        <v>198</v>
      </c>
      <c r="B26" s="18" t="s">
        <v>198</v>
      </c>
      <c r="C26" s="55" t="s">
        <v>35</v>
      </c>
      <c r="D26" s="36"/>
      <c r="E26" s="36"/>
      <c r="F26" s="36"/>
      <c r="G26" s="36"/>
      <c r="H26" s="36"/>
      <c r="I26" s="36"/>
      <c r="J26" s="36"/>
      <c r="K26" s="36"/>
      <c r="L26" s="351">
        <f>L27+L39</f>
        <v>62948538000000</v>
      </c>
      <c r="M26" s="351">
        <f>M27+M39</f>
        <v>65285045000000</v>
      </c>
      <c r="N26" s="332">
        <f t="shared" ref="N26:Q26" si="4">N27+N39</f>
        <v>73685292800000</v>
      </c>
      <c r="O26" s="332">
        <f t="shared" si="4"/>
        <v>109354033600000</v>
      </c>
      <c r="P26" s="332">
        <f t="shared" si="4"/>
        <v>218506466000000</v>
      </c>
      <c r="Q26" s="332">
        <f t="shared" si="4"/>
        <v>275090774400000</v>
      </c>
      <c r="R26" s="332">
        <f>R27+R39+R40</f>
        <v>29300000000</v>
      </c>
      <c r="S26" s="332">
        <f t="shared" ref="S26:X26" si="5">S27+S39+S40</f>
        <v>34400000000</v>
      </c>
      <c r="T26" s="332">
        <f t="shared" si="5"/>
        <v>38600000000</v>
      </c>
      <c r="U26" s="332">
        <f t="shared" si="5"/>
        <v>41400000000</v>
      </c>
      <c r="V26" s="332">
        <f t="shared" si="5"/>
        <v>46900000000</v>
      </c>
      <c r="W26" s="332">
        <f t="shared" si="5"/>
        <v>50900000000</v>
      </c>
      <c r="X26" s="332">
        <f t="shared" si="5"/>
        <v>51800000000</v>
      </c>
      <c r="Y26" s="270"/>
      <c r="Z26" s="270"/>
      <c r="AA26" s="2463"/>
      <c r="AB26" s="2463"/>
      <c r="AC26" s="2463"/>
      <c r="AD26" s="2463"/>
      <c r="AE26" s="2463"/>
      <c r="AF26" s="2463"/>
      <c r="AG26" s="2463"/>
      <c r="AH26" s="2463"/>
      <c r="AI26" s="2463"/>
      <c r="AJ26" s="2463"/>
      <c r="AK26" s="2463"/>
    </row>
    <row r="27" spans="1:37" ht="16.5">
      <c r="A27" s="90" t="s">
        <v>7165</v>
      </c>
      <c r="B27" s="441" t="s">
        <v>796</v>
      </c>
      <c r="C27" s="58" t="s">
        <v>201</v>
      </c>
      <c r="D27" s="28"/>
      <c r="E27" s="28"/>
      <c r="F27" s="28"/>
      <c r="G27" s="28"/>
      <c r="H27" s="28"/>
      <c r="I27" s="28"/>
      <c r="J27" s="28"/>
      <c r="K27" s="28"/>
      <c r="L27" s="319">
        <f>L28+L31+L32+L33+L34+L35+L36+L37</f>
        <v>55420671600000</v>
      </c>
      <c r="M27" s="319">
        <f>M28+M31+M32+M33+M34+M35+M36+M37</f>
        <v>58687819400000</v>
      </c>
      <c r="N27" s="331">
        <v>66283868300000</v>
      </c>
      <c r="O27" s="125">
        <v>100439302600000</v>
      </c>
      <c r="P27" s="125">
        <v>196231535000000</v>
      </c>
      <c r="Q27" s="319">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7"/>
      <c r="Z27" s="267"/>
      <c r="AA27" s="2463"/>
      <c r="AB27" s="2463"/>
      <c r="AC27" s="2463"/>
      <c r="AD27" s="2463"/>
      <c r="AE27" s="2463"/>
      <c r="AF27" s="2463"/>
      <c r="AG27" s="2463"/>
      <c r="AH27" s="2463"/>
      <c r="AI27" s="2463"/>
      <c r="AJ27" s="2463"/>
      <c r="AK27" s="2463"/>
    </row>
    <row r="28" spans="1:37" ht="16.5">
      <c r="A28" s="99" t="s">
        <v>797</v>
      </c>
      <c r="B28" s="99" t="s">
        <v>798</v>
      </c>
      <c r="C28" s="58" t="s">
        <v>204</v>
      </c>
      <c r="D28" s="28"/>
      <c r="E28" s="28"/>
      <c r="F28" s="28"/>
      <c r="G28" s="28"/>
      <c r="H28" s="28"/>
      <c r="I28" s="28"/>
      <c r="J28" s="28"/>
      <c r="K28" s="28"/>
      <c r="L28" s="319">
        <f>L29+L30</f>
        <v>11551381200000</v>
      </c>
      <c r="M28" s="319">
        <f>M29+M30</f>
        <v>12369798000000</v>
      </c>
      <c r="N28" s="331">
        <v>15460753400000</v>
      </c>
      <c r="O28" s="125">
        <v>24961246800000.004</v>
      </c>
      <c r="P28" s="125">
        <v>47201639500000</v>
      </c>
      <c r="Q28" s="319">
        <f>Q29+Q30</f>
        <v>59220930599999.992</v>
      </c>
      <c r="R28" s="125">
        <v>5200000000</v>
      </c>
      <c r="S28" s="125">
        <v>6100000000</v>
      </c>
      <c r="T28" s="125">
        <v>6500000000</v>
      </c>
      <c r="U28" s="125">
        <v>7300000000</v>
      </c>
      <c r="V28" s="125">
        <v>8400000000</v>
      </c>
      <c r="W28" s="135">
        <v>8900000000</v>
      </c>
      <c r="X28" s="2630">
        <v>9500000000</v>
      </c>
      <c r="Y28" s="267"/>
      <c r="Z28" s="267"/>
      <c r="AA28" s="2463"/>
      <c r="AB28" s="2463"/>
      <c r="AC28" s="2463"/>
      <c r="AD28" s="2463"/>
      <c r="AE28" s="2463"/>
      <c r="AF28" s="2463"/>
      <c r="AG28" s="2463"/>
      <c r="AH28" s="2463"/>
      <c r="AI28" s="2463"/>
      <c r="AJ28" s="2463"/>
      <c r="AK28" s="2463"/>
    </row>
    <row r="29" spans="1:37" ht="16.5">
      <c r="A29" s="100" t="s">
        <v>79</v>
      </c>
      <c r="B29" s="100" t="s">
        <v>799</v>
      </c>
      <c r="C29" s="90" t="s">
        <v>800</v>
      </c>
      <c r="D29" s="28"/>
      <c r="E29" s="28"/>
      <c r="F29" s="28"/>
      <c r="G29" s="28"/>
      <c r="H29" s="28"/>
      <c r="I29" s="28"/>
      <c r="J29" s="28"/>
      <c r="K29" s="28"/>
      <c r="L29" s="331">
        <v>9085356000000</v>
      </c>
      <c r="M29" s="331">
        <v>9758396200000</v>
      </c>
      <c r="N29" s="331">
        <v>12171231400000.002</v>
      </c>
      <c r="O29" s="125">
        <v>19612408200000</v>
      </c>
      <c r="P29" s="125">
        <v>37124885000000</v>
      </c>
      <c r="Q29" s="125">
        <v>46485246599999.992</v>
      </c>
      <c r="R29" s="125"/>
      <c r="S29" s="125"/>
      <c r="T29" s="125"/>
      <c r="U29" s="125"/>
      <c r="V29" s="125"/>
      <c r="W29" s="135"/>
      <c r="X29" s="2630"/>
      <c r="Y29" s="267"/>
      <c r="Z29" s="267"/>
      <c r="AA29" s="2463"/>
      <c r="AB29" s="2463"/>
      <c r="AC29" s="2463"/>
      <c r="AD29" s="2463"/>
      <c r="AE29" s="2463"/>
      <c r="AF29" s="2463"/>
      <c r="AG29" s="2463"/>
      <c r="AH29" s="2463"/>
      <c r="AI29" s="2463"/>
      <c r="AJ29" s="2463"/>
      <c r="AK29" s="2463"/>
    </row>
    <row r="30" spans="1:37" ht="16.5">
      <c r="A30" s="100" t="s">
        <v>558</v>
      </c>
      <c r="B30" s="100" t="s">
        <v>801</v>
      </c>
      <c r="C30" s="90" t="s">
        <v>800</v>
      </c>
      <c r="D30" s="28"/>
      <c r="E30" s="28"/>
      <c r="F30" s="28"/>
      <c r="G30" s="28"/>
      <c r="H30" s="28"/>
      <c r="I30" s="28"/>
      <c r="J30" s="28"/>
      <c r="K30" s="28"/>
      <c r="L30" s="331">
        <v>2466025200000</v>
      </c>
      <c r="M30" s="331">
        <v>2611401800000.0005</v>
      </c>
      <c r="N30" s="331">
        <v>3289522000000</v>
      </c>
      <c r="O30" s="125">
        <v>5348838600000</v>
      </c>
      <c r="P30" s="125">
        <v>10076754500000</v>
      </c>
      <c r="Q30" s="125">
        <v>12735683999999.998</v>
      </c>
      <c r="R30" s="21"/>
      <c r="S30" s="21"/>
      <c r="T30" s="135"/>
      <c r="U30" s="135"/>
      <c r="V30" s="135"/>
      <c r="W30" s="135"/>
      <c r="X30" s="2630"/>
      <c r="Y30" s="267"/>
      <c r="Z30" s="267"/>
      <c r="AA30" s="2463"/>
      <c r="AB30" s="2463"/>
      <c r="AC30" s="2463"/>
      <c r="AD30" s="2463"/>
      <c r="AE30" s="2463"/>
      <c r="AF30" s="2463"/>
      <c r="AG30" s="2463"/>
      <c r="AH30" s="2463"/>
      <c r="AI30" s="2463"/>
      <c r="AJ30" s="2463"/>
      <c r="AK30" s="2463"/>
    </row>
    <row r="31" spans="1:37" ht="16.5">
      <c r="A31" s="99" t="s">
        <v>802</v>
      </c>
      <c r="B31" s="99" t="s">
        <v>803</v>
      </c>
      <c r="C31" s="58" t="s">
        <v>204</v>
      </c>
      <c r="D31" s="28"/>
      <c r="E31" s="28"/>
      <c r="F31" s="28"/>
      <c r="G31" s="28"/>
      <c r="H31" s="28"/>
      <c r="I31" s="28"/>
      <c r="J31" s="28"/>
      <c r="K31" s="28"/>
      <c r="L31" s="331">
        <v>11940753599999.998</v>
      </c>
      <c r="M31" s="331">
        <v>10720491600000.002</v>
      </c>
      <c r="N31" s="331">
        <v>12171231400000.002</v>
      </c>
      <c r="O31" s="125">
        <v>19018092800000.004</v>
      </c>
      <c r="P31" s="125">
        <v>38185596000000</v>
      </c>
      <c r="Q31" s="125">
        <v>47758815000000</v>
      </c>
      <c r="R31" s="125"/>
      <c r="S31" s="125"/>
      <c r="T31" s="135"/>
      <c r="U31" s="135"/>
      <c r="V31" s="135"/>
      <c r="W31" s="135"/>
      <c r="X31" s="2630"/>
      <c r="Y31" s="267"/>
      <c r="Z31" s="267"/>
      <c r="AA31" s="2463"/>
      <c r="AB31" s="2463"/>
      <c r="AC31" s="2463"/>
      <c r="AD31" s="2463"/>
      <c r="AE31" s="2463"/>
      <c r="AF31" s="2463"/>
      <c r="AG31" s="2463"/>
      <c r="AH31" s="2463"/>
      <c r="AI31" s="2463"/>
      <c r="AJ31" s="2463"/>
      <c r="AK31" s="2463"/>
    </row>
    <row r="32" spans="1:37" ht="16.5">
      <c r="A32" s="99" t="s">
        <v>804</v>
      </c>
      <c r="B32" s="99" t="s">
        <v>805</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630">
        <v>7900000000</v>
      </c>
      <c r="Y32" s="267"/>
      <c r="Z32" s="267"/>
      <c r="AA32" s="2463"/>
      <c r="AB32" s="2463"/>
      <c r="AC32" s="2463"/>
      <c r="AD32" s="2463"/>
      <c r="AE32" s="2463"/>
      <c r="AF32" s="2463"/>
      <c r="AG32" s="2463"/>
      <c r="AH32" s="2463"/>
      <c r="AI32" s="2463"/>
      <c r="AJ32" s="2463"/>
      <c r="AK32" s="2463"/>
    </row>
    <row r="33" spans="1:37" ht="16.5">
      <c r="A33" s="442" t="s">
        <v>91</v>
      </c>
      <c r="B33" s="442" t="s">
        <v>91</v>
      </c>
      <c r="C33" s="58" t="s">
        <v>204</v>
      </c>
      <c r="D33" s="28"/>
      <c r="E33" s="28"/>
      <c r="F33" s="28"/>
      <c r="G33" s="28"/>
      <c r="H33" s="28"/>
      <c r="I33" s="28"/>
      <c r="J33" s="28"/>
      <c r="K33" s="28"/>
      <c r="L33" s="331">
        <v>778744800000</v>
      </c>
      <c r="M33" s="331">
        <v>1099537600000</v>
      </c>
      <c r="N33" s="331">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630">
        <v>3900000000</v>
      </c>
      <c r="Y33" s="267"/>
      <c r="Z33" s="267"/>
      <c r="AA33" s="2463"/>
      <c r="AB33" s="2463"/>
      <c r="AC33" s="2463"/>
      <c r="AD33" s="2463"/>
      <c r="AE33" s="2463"/>
      <c r="AF33" s="2463"/>
      <c r="AG33" s="2463"/>
      <c r="AH33" s="2463"/>
      <c r="AI33" s="2463"/>
      <c r="AJ33" s="2463"/>
      <c r="AK33" s="2463"/>
    </row>
    <row r="34" spans="1:37" ht="16.5">
      <c r="A34" s="442" t="s">
        <v>215</v>
      </c>
      <c r="B34" s="442" t="s">
        <v>215</v>
      </c>
      <c r="C34" s="58" t="s">
        <v>204</v>
      </c>
      <c r="D34" s="28"/>
      <c r="E34" s="28"/>
      <c r="F34" s="28"/>
      <c r="G34" s="28"/>
      <c r="H34" s="28"/>
      <c r="I34" s="28"/>
      <c r="J34" s="28"/>
      <c r="K34" s="28"/>
      <c r="L34" s="331">
        <v>11810962800000</v>
      </c>
      <c r="M34" s="331">
        <v>12232355800000</v>
      </c>
      <c r="N34" s="331">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7"/>
      <c r="Z34" s="267"/>
      <c r="AA34" s="2463"/>
      <c r="AB34" s="2463"/>
      <c r="AC34" s="2463"/>
      <c r="AD34" s="2463"/>
      <c r="AE34" s="2463"/>
      <c r="AF34" s="2463"/>
      <c r="AG34" s="2463"/>
      <c r="AH34" s="2463"/>
      <c r="AI34" s="2463"/>
      <c r="AJ34" s="2463"/>
      <c r="AK34" s="2463"/>
    </row>
    <row r="35" spans="1:37" ht="16.5">
      <c r="A35" s="442" t="s">
        <v>53</v>
      </c>
      <c r="B35" s="442" t="s">
        <v>53</v>
      </c>
      <c r="C35" s="58" t="s">
        <v>204</v>
      </c>
      <c r="D35" s="28"/>
      <c r="E35" s="28"/>
      <c r="F35" s="28"/>
      <c r="G35" s="28"/>
      <c r="H35" s="28"/>
      <c r="I35" s="28"/>
      <c r="J35" s="28"/>
      <c r="K35" s="28"/>
      <c r="L35" s="331">
        <v>129790800000.00003</v>
      </c>
      <c r="M35" s="331">
        <v>137442200000</v>
      </c>
      <c r="N35" s="331">
        <v>164476100000</v>
      </c>
      <c r="O35" s="125">
        <v>0</v>
      </c>
      <c r="P35" s="125">
        <v>0</v>
      </c>
      <c r="Q35" s="125">
        <v>0</v>
      </c>
      <c r="R35" s="125"/>
      <c r="S35" s="125"/>
      <c r="T35" s="135"/>
      <c r="U35" s="135"/>
      <c r="V35" s="135"/>
      <c r="W35" s="135"/>
      <c r="X35" s="2630"/>
      <c r="Y35" s="267"/>
      <c r="Z35" s="267"/>
      <c r="AA35" s="2463"/>
      <c r="AB35" s="2463"/>
      <c r="AC35" s="2463"/>
      <c r="AD35" s="2463"/>
      <c r="AE35" s="2463"/>
      <c r="AF35" s="2463"/>
      <c r="AG35" s="2463"/>
      <c r="AH35" s="2463"/>
      <c r="AI35" s="2463"/>
      <c r="AJ35" s="2463"/>
      <c r="AK35" s="2463"/>
    </row>
    <row r="36" spans="1:37" ht="16.5">
      <c r="A36" s="99" t="s">
        <v>806</v>
      </c>
      <c r="B36" s="99" t="s">
        <v>807</v>
      </c>
      <c r="C36" s="58" t="s">
        <v>204</v>
      </c>
      <c r="D36" s="28"/>
      <c r="E36" s="28"/>
      <c r="F36" s="28"/>
      <c r="G36" s="28"/>
      <c r="H36" s="28"/>
      <c r="I36" s="28"/>
      <c r="J36" s="28"/>
      <c r="K36" s="28"/>
      <c r="L36" s="331">
        <v>15445105200000</v>
      </c>
      <c r="M36" s="331">
        <v>17867486000000</v>
      </c>
      <c r="N36" s="331">
        <v>22368749600000</v>
      </c>
      <c r="O36" s="125">
        <v>33875977800000</v>
      </c>
      <c r="P36" s="125">
        <v>67355148500000</v>
      </c>
      <c r="Q36" s="125">
        <v>89786572199999.984</v>
      </c>
      <c r="R36" s="125"/>
      <c r="S36" s="125"/>
      <c r="T36" s="135"/>
      <c r="U36" s="135"/>
      <c r="V36" s="135"/>
      <c r="W36" s="135"/>
      <c r="X36" s="2630"/>
      <c r="Y36" s="267"/>
      <c r="Z36" s="267"/>
      <c r="AA36" s="2463"/>
      <c r="AB36" s="2463"/>
      <c r="AC36" s="2463"/>
      <c r="AD36" s="2463"/>
      <c r="AE36" s="2463"/>
      <c r="AF36" s="2463"/>
      <c r="AG36" s="2463"/>
      <c r="AH36" s="2463"/>
      <c r="AI36" s="2463"/>
      <c r="AJ36" s="2463"/>
      <c r="AK36" s="2463"/>
    </row>
    <row r="37" spans="1:37" ht="16.5">
      <c r="A37" s="99" t="s">
        <v>808</v>
      </c>
      <c r="B37" s="99" t="s">
        <v>809</v>
      </c>
      <c r="C37" s="58" t="s">
        <v>204</v>
      </c>
      <c r="D37" s="28"/>
      <c r="E37" s="28"/>
      <c r="F37" s="28"/>
      <c r="G37" s="28"/>
      <c r="H37" s="28"/>
      <c r="I37" s="28"/>
      <c r="J37" s="28"/>
      <c r="K37" s="28"/>
      <c r="L37" s="331">
        <v>3763933200000</v>
      </c>
      <c r="M37" s="331">
        <v>4260708200000.001</v>
      </c>
      <c r="N37" s="331">
        <v>6085615700000.001</v>
      </c>
      <c r="O37" s="125">
        <v>5348838600000</v>
      </c>
      <c r="P37" s="125">
        <v>8485688000000</v>
      </c>
      <c r="Q37" s="125">
        <v>8278194600000</v>
      </c>
      <c r="R37" s="125"/>
      <c r="S37" s="125"/>
      <c r="T37" s="135"/>
      <c r="U37" s="135"/>
      <c r="V37" s="135"/>
      <c r="W37" s="135"/>
      <c r="X37" s="2630"/>
      <c r="Y37" s="267"/>
      <c r="Z37" s="267"/>
      <c r="AA37" s="2463"/>
      <c r="AB37" s="2463"/>
      <c r="AC37" s="2463"/>
      <c r="AD37" s="2463"/>
      <c r="AE37" s="2463"/>
      <c r="AF37" s="2463"/>
      <c r="AG37" s="2463"/>
      <c r="AH37" s="2463"/>
      <c r="AI37" s="2463"/>
      <c r="AJ37" s="2463"/>
      <c r="AK37" s="2463"/>
    </row>
    <row r="38" spans="1:37" ht="16.5">
      <c r="A38" s="90" t="s">
        <v>810</v>
      </c>
      <c r="B38" s="90" t="s">
        <v>811</v>
      </c>
      <c r="C38" s="90"/>
      <c r="D38" s="28"/>
      <c r="E38" s="28"/>
      <c r="F38" s="28"/>
      <c r="G38" s="28"/>
      <c r="H38" s="28"/>
      <c r="I38" s="28"/>
      <c r="J38" s="28"/>
      <c r="K38" s="28"/>
      <c r="L38" s="331">
        <v>12070544400000.002</v>
      </c>
      <c r="M38" s="331">
        <v>6184899000000</v>
      </c>
      <c r="N38" s="331">
        <v>4440854700000</v>
      </c>
      <c r="O38" s="125">
        <v>17829462000000.004</v>
      </c>
      <c r="P38" s="125">
        <v>26517775000000</v>
      </c>
      <c r="Q38" s="125">
        <v>29928857400000</v>
      </c>
      <c r="R38" s="125"/>
      <c r="S38" s="125"/>
      <c r="T38" s="135"/>
      <c r="U38" s="135"/>
      <c r="V38" s="135"/>
      <c r="W38" s="135"/>
      <c r="X38" s="2630"/>
      <c r="Y38" s="267"/>
      <c r="Z38" s="267"/>
      <c r="AA38" s="2463"/>
      <c r="AB38" s="2463"/>
      <c r="AC38" s="2463"/>
      <c r="AD38" s="2463"/>
      <c r="AE38" s="2463"/>
      <c r="AF38" s="2463"/>
      <c r="AG38" s="2463"/>
      <c r="AH38" s="2463"/>
      <c r="AI38" s="2463"/>
      <c r="AJ38" s="2463"/>
      <c r="AK38" s="2463"/>
    </row>
    <row r="39" spans="1:37" ht="16.5">
      <c r="A39" s="90" t="s">
        <v>237</v>
      </c>
      <c r="B39" s="90" t="s">
        <v>812</v>
      </c>
      <c r="C39" s="58" t="s">
        <v>201</v>
      </c>
      <c r="D39" s="28"/>
      <c r="E39" s="28"/>
      <c r="F39" s="28"/>
      <c r="G39" s="28"/>
      <c r="H39" s="28"/>
      <c r="I39" s="28"/>
      <c r="J39" s="28"/>
      <c r="K39" s="28"/>
      <c r="L39" s="331">
        <v>7527866400000</v>
      </c>
      <c r="M39" s="331">
        <v>6597225600000.001</v>
      </c>
      <c r="N39" s="331">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630">
        <v>5600000000</v>
      </c>
      <c r="Y39" s="267"/>
      <c r="Z39" s="267"/>
      <c r="AA39" s="2463"/>
      <c r="AB39" s="2463"/>
      <c r="AC39" s="2463"/>
      <c r="AD39" s="2463"/>
      <c r="AE39" s="2463"/>
      <c r="AF39" s="2463"/>
      <c r="AG39" s="2463"/>
      <c r="AH39" s="2463"/>
      <c r="AI39" s="2463"/>
      <c r="AJ39" s="2463"/>
      <c r="AK39" s="2463"/>
    </row>
    <row r="40" spans="1:37">
      <c r="A40" s="90" t="s">
        <v>7163</v>
      </c>
      <c r="B40" s="90" t="s">
        <v>7163</v>
      </c>
      <c r="C40" s="58" t="s">
        <v>201</v>
      </c>
      <c r="D40" s="28"/>
      <c r="E40" s="28"/>
      <c r="F40" s="28"/>
      <c r="G40" s="28"/>
      <c r="H40" s="28"/>
      <c r="I40" s="28"/>
      <c r="J40" s="28"/>
      <c r="K40" s="28"/>
      <c r="L40" s="331"/>
      <c r="M40" s="331"/>
      <c r="N40" s="331"/>
      <c r="O40" s="125"/>
      <c r="P40" s="125"/>
      <c r="Q40" s="125"/>
      <c r="R40" s="125">
        <v>9400000000</v>
      </c>
      <c r="S40" s="125">
        <v>10800000000</v>
      </c>
      <c r="T40" s="125">
        <v>11600000000</v>
      </c>
      <c r="U40" s="125">
        <v>12400000000</v>
      </c>
      <c r="V40" s="125">
        <v>13600000000</v>
      </c>
      <c r="W40" s="125">
        <v>14800000000</v>
      </c>
      <c r="X40" s="125">
        <v>16000000000</v>
      </c>
      <c r="Y40" s="267"/>
      <c r="Z40" s="267"/>
      <c r="AA40" s="2463"/>
      <c r="AB40" s="2463"/>
      <c r="AC40" s="2463"/>
      <c r="AD40" s="2463"/>
      <c r="AE40" s="2463"/>
      <c r="AF40" s="2463"/>
      <c r="AG40" s="2463"/>
      <c r="AH40" s="2463"/>
      <c r="AI40" s="2463"/>
      <c r="AJ40" s="2463"/>
      <c r="AK40" s="2463"/>
    </row>
    <row r="41" spans="1:37">
      <c r="A41" s="90"/>
      <c r="B41" s="90"/>
      <c r="C41" s="58"/>
      <c r="D41" s="28"/>
      <c r="E41" s="28"/>
      <c r="F41" s="28"/>
      <c r="G41" s="28"/>
      <c r="H41" s="28"/>
      <c r="I41" s="28"/>
      <c r="J41" s="28"/>
      <c r="K41" s="28"/>
      <c r="L41" s="331"/>
      <c r="M41" s="331"/>
      <c r="N41" s="331"/>
      <c r="O41" s="125"/>
      <c r="P41" s="125"/>
      <c r="Q41" s="125"/>
      <c r="R41" s="125"/>
      <c r="S41" s="125"/>
      <c r="T41" s="135"/>
      <c r="U41" s="135"/>
      <c r="V41" s="135"/>
      <c r="W41" s="135"/>
      <c r="X41" s="2630"/>
      <c r="Y41" s="267"/>
      <c r="Z41" s="267"/>
      <c r="AA41" s="2463"/>
      <c r="AB41" s="2463"/>
      <c r="AC41" s="2463"/>
      <c r="AD41" s="2463"/>
      <c r="AE41" s="2463"/>
      <c r="AF41" s="2463"/>
      <c r="AG41" s="2463"/>
      <c r="AH41" s="2463"/>
      <c r="AI41" s="2463"/>
      <c r="AJ41" s="2463"/>
      <c r="AK41" s="2463"/>
    </row>
    <row r="42" spans="1:37" ht="16.5">
      <c r="A42" s="90"/>
      <c r="B42" s="90" t="s">
        <v>813</v>
      </c>
      <c r="C42" s="90"/>
      <c r="D42" s="28"/>
      <c r="E42" s="28"/>
      <c r="F42" s="28"/>
      <c r="G42" s="28"/>
      <c r="H42" s="28"/>
      <c r="I42" s="28"/>
      <c r="J42" s="28"/>
      <c r="K42" s="28"/>
      <c r="L42" s="331">
        <v>4542678000000</v>
      </c>
      <c r="M42" s="331">
        <v>-412326600000.00006</v>
      </c>
      <c r="N42" s="331">
        <v>-2960569800000.0005</v>
      </c>
      <c r="O42" s="125">
        <v>9211888700000.002</v>
      </c>
      <c r="P42" s="125">
        <v>4773199500000</v>
      </c>
      <c r="Q42" s="125">
        <v>-1910352599999.9995</v>
      </c>
      <c r="R42" s="125"/>
      <c r="S42" s="125"/>
      <c r="T42" s="135"/>
      <c r="U42" s="135"/>
      <c r="V42" s="135"/>
      <c r="W42" s="135"/>
      <c r="X42" s="2630"/>
      <c r="Y42" s="267"/>
      <c r="Z42" s="267"/>
      <c r="AA42" s="2463"/>
      <c r="AB42" s="2463"/>
      <c r="AC42" s="2463"/>
      <c r="AD42" s="2463"/>
      <c r="AE42" s="2463"/>
      <c r="AF42" s="2463"/>
      <c r="AG42" s="2463"/>
      <c r="AH42" s="2463"/>
      <c r="AI42" s="2463"/>
      <c r="AJ42" s="2463"/>
      <c r="AK42" s="2463"/>
    </row>
    <row r="43" spans="1:37" s="9" customFormat="1" ht="16.5">
      <c r="A43" s="18" t="s">
        <v>592</v>
      </c>
      <c r="B43" s="18" t="s">
        <v>814</v>
      </c>
      <c r="C43" s="55" t="s">
        <v>35</v>
      </c>
      <c r="D43" s="36"/>
      <c r="E43" s="36"/>
      <c r="F43" s="36"/>
      <c r="G43" s="36"/>
      <c r="H43" s="36"/>
      <c r="I43" s="36"/>
      <c r="J43" s="36"/>
      <c r="K43" s="36"/>
      <c r="L43" s="332">
        <f>L45+L46</f>
        <v>-4672468800000</v>
      </c>
      <c r="M43" s="332">
        <f>M45+M46</f>
        <v>549768800000.00195</v>
      </c>
      <c r="N43" s="332">
        <v>2960569800000.0005</v>
      </c>
      <c r="O43" s="295">
        <v>8617573300000</v>
      </c>
      <c r="P43" s="295">
        <v>-2121422000000</v>
      </c>
      <c r="Q43" s="295">
        <v>13372468200000</v>
      </c>
      <c r="R43" s="295">
        <f>R44+R45+R46</f>
        <v>-200000000</v>
      </c>
      <c r="S43" s="295">
        <f>S44+S45+S46</f>
        <v>2000000000</v>
      </c>
      <c r="T43" s="295">
        <f t="shared" ref="T43:X43" si="7">T44+T45+T46</f>
        <v>3300000000</v>
      </c>
      <c r="U43" s="295">
        <f t="shared" si="7"/>
        <v>3100000000</v>
      </c>
      <c r="V43" s="295">
        <f t="shared" si="7"/>
        <v>5500000000</v>
      </c>
      <c r="W43" s="295">
        <f t="shared" si="7"/>
        <v>6400000000</v>
      </c>
      <c r="X43" s="295">
        <f t="shared" si="7"/>
        <v>3900000000</v>
      </c>
      <c r="Y43" s="295"/>
      <c r="Z43" s="295"/>
      <c r="AA43" s="2463"/>
      <c r="AB43" s="2463"/>
      <c r="AC43" s="2463"/>
      <c r="AD43" s="2463"/>
      <c r="AE43" s="2463"/>
      <c r="AF43" s="2463"/>
      <c r="AG43" s="2463"/>
      <c r="AH43" s="2463"/>
      <c r="AI43" s="2463"/>
      <c r="AJ43" s="2463"/>
      <c r="AK43" s="2463"/>
    </row>
    <row r="44" spans="1:37" s="9" customFormat="1">
      <c r="A44" s="2464" t="s">
        <v>858</v>
      </c>
      <c r="B44" s="2464" t="s">
        <v>858</v>
      </c>
      <c r="C44" s="58" t="s">
        <v>252</v>
      </c>
      <c r="D44" s="2577"/>
      <c r="E44" s="2577"/>
      <c r="F44" s="2577"/>
      <c r="G44" s="2577"/>
      <c r="H44" s="2577"/>
      <c r="I44" s="2577"/>
      <c r="J44" s="2577"/>
      <c r="K44" s="2577"/>
      <c r="L44" s="2648"/>
      <c r="M44" s="2648"/>
      <c r="N44" s="2648"/>
      <c r="O44" s="2479"/>
      <c r="P44" s="2479"/>
      <c r="Q44" s="2479"/>
      <c r="R44" s="125">
        <v>200000000</v>
      </c>
      <c r="S44" s="125">
        <v>200000000</v>
      </c>
      <c r="T44" s="135">
        <v>0</v>
      </c>
      <c r="U44" s="135">
        <v>0</v>
      </c>
      <c r="V44" s="135">
        <v>100000000</v>
      </c>
      <c r="W44" s="135">
        <v>100000000</v>
      </c>
      <c r="X44" s="2630">
        <v>100000000</v>
      </c>
      <c r="Y44" s="267"/>
      <c r="Z44" s="267"/>
      <c r="AA44" s="2463"/>
      <c r="AB44" s="2463"/>
      <c r="AC44" s="2463"/>
      <c r="AD44" s="2463"/>
      <c r="AE44" s="2463"/>
      <c r="AF44" s="2463"/>
      <c r="AG44" s="2463"/>
      <c r="AH44" s="2463"/>
      <c r="AI44" s="2463"/>
      <c r="AJ44" s="2463"/>
      <c r="AK44" s="2463"/>
    </row>
    <row r="45" spans="1:37">
      <c r="A45" s="90" t="s">
        <v>120</v>
      </c>
      <c r="B45" s="90" t="s">
        <v>120</v>
      </c>
      <c r="C45" s="58" t="s">
        <v>252</v>
      </c>
      <c r="D45" s="28"/>
      <c r="E45" s="28"/>
      <c r="F45" s="28"/>
      <c r="G45" s="28"/>
      <c r="H45" s="28"/>
      <c r="I45" s="28"/>
      <c r="J45" s="28"/>
      <c r="K45" s="28"/>
      <c r="L45" s="331">
        <f t="shared" ref="L45:N46" si="8">L56+L67</f>
        <v>-7657657200000</v>
      </c>
      <c r="M45" s="331">
        <f t="shared" si="8"/>
        <v>-10995376000000</v>
      </c>
      <c r="N45" s="331">
        <f t="shared" si="8"/>
        <v>-1644761000000.0005</v>
      </c>
      <c r="O45" s="125"/>
      <c r="P45" s="125"/>
      <c r="Q45" s="125"/>
      <c r="R45" s="125">
        <v>2800000000</v>
      </c>
      <c r="S45" s="125">
        <v>2800000000</v>
      </c>
      <c r="T45" s="135">
        <v>2600000000</v>
      </c>
      <c r="U45" s="135">
        <v>300000000</v>
      </c>
      <c r="V45" s="135">
        <v>1600000000</v>
      </c>
      <c r="W45" s="135">
        <v>2300000000</v>
      </c>
      <c r="X45" s="2630">
        <v>3100000000</v>
      </c>
      <c r="Y45" s="267"/>
      <c r="Z45" s="267"/>
      <c r="AA45" s="2463"/>
      <c r="AB45" s="2463"/>
      <c r="AC45" s="2463"/>
      <c r="AD45" s="2463"/>
      <c r="AE45" s="2463"/>
      <c r="AF45" s="2463"/>
      <c r="AG45" s="2463"/>
      <c r="AH45" s="2463"/>
      <c r="AI45" s="2463"/>
      <c r="AJ45" s="2463"/>
      <c r="AK45" s="2463"/>
    </row>
    <row r="46" spans="1:37">
      <c r="A46" s="90" t="s">
        <v>117</v>
      </c>
      <c r="B46" s="90" t="s">
        <v>117</v>
      </c>
      <c r="C46" s="58" t="s">
        <v>252</v>
      </c>
      <c r="D46" s="28"/>
      <c r="E46" s="28"/>
      <c r="F46" s="28"/>
      <c r="G46" s="28"/>
      <c r="H46" s="28"/>
      <c r="I46" s="28"/>
      <c r="J46" s="28"/>
      <c r="K46" s="28"/>
      <c r="L46" s="331">
        <f t="shared" si="8"/>
        <v>2985188399999.9995</v>
      </c>
      <c r="M46" s="331">
        <f t="shared" si="8"/>
        <v>11545144800000.002</v>
      </c>
      <c r="N46" s="331">
        <f t="shared" si="8"/>
        <v>4605330799999.999</v>
      </c>
      <c r="O46" s="125"/>
      <c r="P46" s="125"/>
      <c r="Q46" s="125"/>
      <c r="R46" s="125">
        <v>-3200000000</v>
      </c>
      <c r="S46" s="125">
        <v>-1000000000</v>
      </c>
      <c r="T46" s="135">
        <v>700000000</v>
      </c>
      <c r="U46" s="135">
        <v>2800000000</v>
      </c>
      <c r="V46" s="135">
        <v>3800000000</v>
      </c>
      <c r="W46" s="135">
        <v>4000000000</v>
      </c>
      <c r="X46" s="2630">
        <v>700000000</v>
      </c>
      <c r="Y46" s="267"/>
      <c r="Z46" s="267"/>
      <c r="AA46" s="2463"/>
      <c r="AB46" s="2463"/>
      <c r="AC46" s="2463"/>
      <c r="AD46" s="2463"/>
      <c r="AE46" s="2463"/>
      <c r="AF46" s="2463"/>
      <c r="AG46" s="2463"/>
      <c r="AH46" s="2463"/>
      <c r="AI46" s="2463"/>
      <c r="AJ46" s="2463"/>
      <c r="AK46" s="2463"/>
    </row>
    <row r="47" spans="1:37" ht="16.5">
      <c r="B47" s="90" t="s">
        <v>815</v>
      </c>
      <c r="C47" s="90"/>
      <c r="D47" s="28"/>
      <c r="E47" s="28"/>
      <c r="F47" s="28"/>
      <c r="G47" s="28"/>
      <c r="H47" s="28"/>
      <c r="I47" s="28"/>
      <c r="J47" s="28"/>
      <c r="K47" s="28"/>
      <c r="L47" s="331">
        <v>-9474728400000</v>
      </c>
      <c r="M47" s="331">
        <v>-7834205400000</v>
      </c>
      <c r="N47" s="331">
        <v>-2960569800000.0005</v>
      </c>
      <c r="O47" s="125"/>
      <c r="P47" s="125"/>
      <c r="Q47" s="125"/>
      <c r="R47" s="125"/>
      <c r="S47" s="125"/>
      <c r="T47" s="269"/>
      <c r="U47" s="269"/>
      <c r="V47" s="269"/>
      <c r="W47" s="269"/>
      <c r="X47" s="600"/>
      <c r="Y47" s="267"/>
      <c r="Z47" s="267"/>
      <c r="AA47" s="2463"/>
      <c r="AB47" s="2463"/>
      <c r="AC47" s="2463"/>
      <c r="AD47" s="2463"/>
      <c r="AE47" s="2463"/>
      <c r="AF47" s="2463"/>
      <c r="AG47" s="2463"/>
      <c r="AH47" s="2463"/>
      <c r="AI47" s="2463"/>
      <c r="AJ47" s="2463"/>
      <c r="AK47" s="2463"/>
    </row>
    <row r="48" spans="1:37" ht="16.5">
      <c r="B48" s="90" t="s">
        <v>816</v>
      </c>
      <c r="C48" s="90"/>
      <c r="D48" s="28"/>
      <c r="E48" s="28"/>
      <c r="F48" s="28"/>
      <c r="G48" s="28"/>
      <c r="H48" s="28"/>
      <c r="I48" s="28"/>
      <c r="J48" s="28"/>
      <c r="K48" s="28"/>
      <c r="L48" s="331">
        <v>0</v>
      </c>
      <c r="M48" s="331">
        <v>0</v>
      </c>
      <c r="N48" s="331">
        <v>0</v>
      </c>
      <c r="O48" s="125"/>
      <c r="P48" s="125"/>
      <c r="Q48" s="125"/>
      <c r="R48" s="125"/>
      <c r="S48" s="125"/>
      <c r="T48" s="269"/>
      <c r="U48" s="269"/>
      <c r="V48" s="269"/>
      <c r="W48" s="269"/>
      <c r="X48" s="600"/>
      <c r="Y48" s="267"/>
      <c r="Z48" s="267"/>
      <c r="AA48" s="2463"/>
      <c r="AB48" s="2463"/>
      <c r="AC48" s="2463"/>
      <c r="AD48" s="2463"/>
      <c r="AE48" s="2463"/>
      <c r="AF48" s="2463"/>
      <c r="AG48" s="2463"/>
      <c r="AH48" s="2463"/>
      <c r="AI48" s="2463"/>
      <c r="AJ48" s="2463"/>
      <c r="AK48" s="2463"/>
    </row>
    <row r="49" spans="2:37" ht="16.5">
      <c r="B49" s="90" t="s">
        <v>817</v>
      </c>
      <c r="C49" s="90"/>
      <c r="D49" s="28"/>
      <c r="E49" s="28"/>
      <c r="F49" s="28"/>
      <c r="G49" s="28"/>
      <c r="H49" s="28"/>
      <c r="I49" s="28"/>
      <c r="J49" s="28"/>
      <c r="K49" s="28"/>
      <c r="L49" s="331">
        <v>0</v>
      </c>
      <c r="M49" s="331">
        <v>-1649306400000.0002</v>
      </c>
      <c r="N49" s="331">
        <v>0</v>
      </c>
      <c r="O49" s="125"/>
      <c r="P49" s="125"/>
      <c r="Q49" s="125"/>
      <c r="R49" s="125"/>
      <c r="S49" s="125"/>
      <c r="T49" s="269"/>
      <c r="U49" s="269"/>
      <c r="V49" s="269"/>
      <c r="W49" s="269"/>
      <c r="X49" s="600"/>
      <c r="Y49" s="267"/>
      <c r="Z49" s="267"/>
      <c r="AA49" s="2463"/>
      <c r="AB49" s="2463"/>
      <c r="AC49" s="2463"/>
      <c r="AD49" s="2463"/>
      <c r="AE49" s="2463"/>
      <c r="AF49" s="2463"/>
      <c r="AG49" s="2463"/>
      <c r="AH49" s="2463"/>
      <c r="AI49" s="2463"/>
      <c r="AJ49" s="2463"/>
      <c r="AK49" s="2463"/>
    </row>
    <row r="50" spans="2:37" ht="16.5">
      <c r="B50" s="90" t="s">
        <v>441</v>
      </c>
      <c r="C50" s="90"/>
      <c r="D50" s="28"/>
      <c r="E50" s="28"/>
      <c r="F50" s="28"/>
      <c r="G50" s="28"/>
      <c r="H50" s="28"/>
      <c r="I50" s="28"/>
      <c r="J50" s="28"/>
      <c r="K50" s="28"/>
      <c r="L50" s="331">
        <v>-7398075600000</v>
      </c>
      <c r="M50" s="331">
        <v>-7696763200000</v>
      </c>
      <c r="N50" s="331">
        <v>-986856600000</v>
      </c>
      <c r="O50" s="125"/>
      <c r="P50" s="125"/>
      <c r="Q50" s="125"/>
      <c r="R50" s="125"/>
      <c r="S50" s="125"/>
      <c r="T50" s="269"/>
      <c r="U50" s="269"/>
      <c r="V50" s="269"/>
      <c r="W50" s="269"/>
      <c r="X50" s="600"/>
      <c r="Y50" s="267"/>
      <c r="Z50" s="267"/>
      <c r="AA50" s="2463"/>
      <c r="AB50" s="2463"/>
      <c r="AC50" s="2463"/>
      <c r="AD50" s="2463"/>
      <c r="AE50" s="2463"/>
      <c r="AF50" s="2463"/>
      <c r="AG50" s="2463"/>
      <c r="AH50" s="2463"/>
      <c r="AI50" s="2463"/>
      <c r="AJ50" s="2463"/>
      <c r="AK50" s="2463"/>
    </row>
    <row r="51" spans="2:37" ht="16.5">
      <c r="B51" s="90" t="s">
        <v>818</v>
      </c>
      <c r="C51" s="90"/>
      <c r="D51" s="28"/>
      <c r="E51" s="28"/>
      <c r="F51" s="28"/>
      <c r="G51" s="28"/>
      <c r="H51" s="28"/>
      <c r="I51" s="28"/>
      <c r="J51" s="28"/>
      <c r="K51" s="28"/>
      <c r="L51" s="331">
        <v>0</v>
      </c>
      <c r="M51" s="331">
        <v>0</v>
      </c>
      <c r="N51" s="331">
        <v>0</v>
      </c>
      <c r="O51" s="125"/>
      <c r="P51" s="125"/>
      <c r="Q51" s="125"/>
      <c r="R51" s="125"/>
      <c r="S51" s="125"/>
      <c r="T51" s="269"/>
      <c r="U51" s="269"/>
      <c r="V51" s="269"/>
      <c r="W51" s="269"/>
      <c r="X51" s="600"/>
      <c r="Y51" s="267"/>
      <c r="Z51" s="267"/>
      <c r="AA51" s="2463"/>
      <c r="AB51" s="2463"/>
      <c r="AC51" s="2463"/>
      <c r="AD51" s="2463"/>
      <c r="AE51" s="2463"/>
      <c r="AF51" s="2463"/>
      <c r="AG51" s="2463"/>
      <c r="AH51" s="2463"/>
      <c r="AI51" s="2463"/>
      <c r="AJ51" s="2463"/>
      <c r="AK51" s="2463"/>
    </row>
    <row r="52" spans="2:37" ht="16.5">
      <c r="B52" s="139" t="s">
        <v>444</v>
      </c>
      <c r="C52" s="90"/>
      <c r="D52" s="28"/>
      <c r="E52" s="28"/>
      <c r="F52" s="28"/>
      <c r="G52" s="28"/>
      <c r="H52" s="28"/>
      <c r="I52" s="28"/>
      <c r="J52" s="28"/>
      <c r="K52" s="28"/>
      <c r="L52" s="331">
        <v>-908535600000</v>
      </c>
      <c r="M52" s="331">
        <v>-412326600000.00006</v>
      </c>
      <c r="N52" s="331">
        <v>-986856600000</v>
      </c>
      <c r="O52" s="125"/>
      <c r="P52" s="125"/>
      <c r="Q52" s="125"/>
      <c r="R52" s="125"/>
      <c r="S52" s="125"/>
      <c r="T52" s="269"/>
      <c r="U52" s="269"/>
      <c r="V52" s="269"/>
      <c r="W52" s="269"/>
      <c r="X52" s="600"/>
      <c r="Y52" s="267"/>
      <c r="Z52" s="267"/>
      <c r="AA52" s="2463"/>
      <c r="AB52" s="2463"/>
      <c r="AC52" s="2463"/>
      <c r="AD52" s="2463"/>
      <c r="AE52" s="2463"/>
      <c r="AF52" s="2463"/>
      <c r="AG52" s="2463"/>
      <c r="AH52" s="2463"/>
      <c r="AI52" s="2463"/>
      <c r="AJ52" s="2463"/>
      <c r="AK52" s="2463"/>
    </row>
    <row r="53" spans="2:37" ht="16.5">
      <c r="B53" s="90" t="s">
        <v>819</v>
      </c>
      <c r="C53" s="90"/>
      <c r="D53" s="28"/>
      <c r="E53" s="28"/>
      <c r="F53" s="28"/>
      <c r="G53" s="28"/>
      <c r="H53" s="28"/>
      <c r="I53" s="28"/>
      <c r="J53" s="28"/>
      <c r="K53" s="28"/>
      <c r="L53" s="331">
        <v>-1168117200000</v>
      </c>
      <c r="M53" s="331">
        <v>1924190800000</v>
      </c>
      <c r="N53" s="331">
        <v>-986856600000</v>
      </c>
      <c r="O53" s="125"/>
      <c r="P53" s="125"/>
      <c r="Q53" s="125"/>
      <c r="R53" s="125"/>
      <c r="S53" s="125"/>
      <c r="T53" s="269"/>
      <c r="U53" s="269"/>
      <c r="V53" s="269"/>
      <c r="W53" s="269"/>
      <c r="X53" s="600"/>
      <c r="Y53" s="267"/>
      <c r="Z53" s="267"/>
      <c r="AA53" s="2463"/>
      <c r="AB53" s="2463"/>
      <c r="AC53" s="2463"/>
      <c r="AD53" s="2463"/>
      <c r="AE53" s="2463"/>
      <c r="AF53" s="2463"/>
      <c r="AG53" s="2463"/>
      <c r="AH53" s="2463"/>
      <c r="AI53" s="2463"/>
      <c r="AJ53" s="2463"/>
      <c r="AK53" s="2463"/>
    </row>
    <row r="54" spans="2:37" ht="16.5">
      <c r="B54" s="90" t="s">
        <v>440</v>
      </c>
      <c r="C54" s="90"/>
      <c r="D54" s="28"/>
      <c r="E54" s="28"/>
      <c r="F54" s="28"/>
      <c r="G54" s="28"/>
      <c r="H54" s="28"/>
      <c r="I54" s="28"/>
      <c r="J54" s="28"/>
      <c r="K54" s="28"/>
      <c r="L54" s="331">
        <v>0</v>
      </c>
      <c r="M54" s="331">
        <v>0</v>
      </c>
      <c r="N54" s="331">
        <v>0</v>
      </c>
      <c r="O54" s="125"/>
      <c r="P54" s="125"/>
      <c r="Q54" s="125"/>
      <c r="R54" s="125"/>
      <c r="S54" s="125"/>
      <c r="T54" s="269"/>
      <c r="U54" s="269"/>
      <c r="V54" s="269"/>
      <c r="W54" s="269"/>
      <c r="X54" s="600"/>
      <c r="Y54" s="267"/>
      <c r="Z54" s="267"/>
      <c r="AA54" s="2463"/>
      <c r="AB54" s="2463"/>
      <c r="AC54" s="2463"/>
      <c r="AD54" s="2463"/>
      <c r="AE54" s="2463"/>
      <c r="AF54" s="2463"/>
      <c r="AG54" s="2463"/>
      <c r="AH54" s="2463"/>
      <c r="AI54" s="2463"/>
      <c r="AJ54" s="2463"/>
      <c r="AK54" s="2463"/>
    </row>
    <row r="55" spans="2:37" ht="16.5">
      <c r="B55" s="90" t="s">
        <v>820</v>
      </c>
      <c r="C55" s="90"/>
      <c r="D55" s="28"/>
      <c r="E55" s="28"/>
      <c r="F55" s="28"/>
      <c r="G55" s="28"/>
      <c r="H55" s="28"/>
      <c r="I55" s="28"/>
      <c r="J55" s="28"/>
      <c r="K55" s="28"/>
      <c r="L55" s="331">
        <v>0</v>
      </c>
      <c r="M55" s="331">
        <v>0</v>
      </c>
      <c r="N55" s="331">
        <v>0</v>
      </c>
      <c r="O55" s="125"/>
      <c r="P55" s="125"/>
      <c r="Q55" s="125"/>
      <c r="R55" s="125"/>
      <c r="S55" s="125"/>
      <c r="T55" s="269"/>
      <c r="U55" s="269"/>
      <c r="V55" s="269"/>
      <c r="W55" s="269"/>
      <c r="X55" s="600"/>
      <c r="Y55" s="267"/>
      <c r="Z55" s="267"/>
      <c r="AA55" s="2463"/>
      <c r="AB55" s="2463"/>
      <c r="AC55" s="2463"/>
      <c r="AD55" s="2463"/>
      <c r="AE55" s="2463"/>
      <c r="AF55" s="2463"/>
      <c r="AG55" s="2463"/>
      <c r="AH55" s="2463"/>
      <c r="AI55" s="2463"/>
      <c r="AJ55" s="2463"/>
      <c r="AK55" s="2463"/>
    </row>
    <row r="56" spans="2:37" ht="16.5">
      <c r="B56" s="139" t="s">
        <v>209</v>
      </c>
      <c r="C56" s="90"/>
      <c r="D56" s="28"/>
      <c r="E56" s="28"/>
      <c r="F56" s="28"/>
      <c r="G56" s="28"/>
      <c r="H56" s="28"/>
      <c r="I56" s="28"/>
      <c r="J56" s="28"/>
      <c r="K56" s="28"/>
      <c r="L56" s="331">
        <v>-9474728400000</v>
      </c>
      <c r="M56" s="331">
        <v>-6184899000000</v>
      </c>
      <c r="N56" s="331">
        <v>-2960569800000.0005</v>
      </c>
      <c r="O56" s="125"/>
      <c r="P56" s="125"/>
      <c r="Q56" s="125"/>
      <c r="R56" s="125"/>
      <c r="S56" s="125"/>
      <c r="T56" s="269"/>
      <c r="U56" s="269"/>
      <c r="V56" s="269"/>
      <c r="W56" s="269"/>
      <c r="X56" s="600"/>
      <c r="Y56" s="267"/>
      <c r="Z56" s="267"/>
      <c r="AA56" s="2463"/>
      <c r="AB56" s="2463"/>
      <c r="AC56" s="2463"/>
      <c r="AD56" s="2463"/>
      <c r="AE56" s="2463"/>
      <c r="AF56" s="2463"/>
      <c r="AG56" s="2463"/>
      <c r="AH56" s="2463"/>
      <c r="AI56" s="2463"/>
      <c r="AJ56" s="2463"/>
      <c r="AK56" s="2463"/>
    </row>
    <row r="57" spans="2:37" ht="16.5">
      <c r="B57" s="139" t="s">
        <v>212</v>
      </c>
      <c r="C57" s="90"/>
      <c r="D57" s="28"/>
      <c r="E57" s="28"/>
      <c r="F57" s="28"/>
      <c r="G57" s="28"/>
      <c r="H57" s="28"/>
      <c r="I57" s="28"/>
      <c r="J57" s="28"/>
      <c r="K57" s="28"/>
      <c r="L57" s="331">
        <v>0</v>
      </c>
      <c r="M57" s="331">
        <v>-1649306400000.0002</v>
      </c>
      <c r="N57" s="331">
        <v>0</v>
      </c>
      <c r="O57" s="125"/>
      <c r="P57" s="125"/>
      <c r="Q57" s="125"/>
      <c r="R57" s="125"/>
      <c r="S57" s="125"/>
      <c r="T57" s="269"/>
      <c r="U57" s="269"/>
      <c r="V57" s="269"/>
      <c r="W57" s="269"/>
      <c r="X57" s="600"/>
      <c r="Y57" s="267"/>
      <c r="Z57" s="267"/>
      <c r="AA57" s="2463"/>
      <c r="AB57" s="2463"/>
      <c r="AC57" s="2463"/>
      <c r="AD57" s="2463"/>
      <c r="AE57" s="2463"/>
      <c r="AF57" s="2463"/>
      <c r="AG57" s="2463"/>
      <c r="AH57" s="2463"/>
      <c r="AI57" s="2463"/>
      <c r="AJ57" s="2463"/>
      <c r="AK57" s="2463"/>
    </row>
    <row r="58" spans="2:37" ht="16.5">
      <c r="B58" s="90" t="s">
        <v>821</v>
      </c>
      <c r="C58" s="90"/>
      <c r="D58" s="28"/>
      <c r="E58" s="28"/>
      <c r="F58" s="28"/>
      <c r="G58" s="28"/>
      <c r="H58" s="28"/>
      <c r="I58" s="28"/>
      <c r="J58" s="28"/>
      <c r="K58" s="28"/>
      <c r="L58" s="331">
        <v>4932050400000</v>
      </c>
      <c r="M58" s="331">
        <v>8383974200000</v>
      </c>
      <c r="N58" s="331">
        <v>5921139600000.001</v>
      </c>
      <c r="O58" s="125"/>
      <c r="P58" s="125"/>
      <c r="Q58" s="125"/>
      <c r="R58" s="125"/>
      <c r="S58" s="125"/>
      <c r="T58" s="269"/>
      <c r="U58" s="269"/>
      <c r="V58" s="269"/>
      <c r="W58" s="269"/>
      <c r="X58" s="600"/>
      <c r="Y58" s="267"/>
      <c r="Z58" s="267"/>
    </row>
    <row r="59" spans="2:37" ht="16.5">
      <c r="B59" s="90" t="s">
        <v>816</v>
      </c>
      <c r="C59" s="90"/>
      <c r="D59" s="28"/>
      <c r="E59" s="28"/>
      <c r="F59" s="28"/>
      <c r="G59" s="28"/>
      <c r="H59" s="28"/>
      <c r="I59" s="28"/>
      <c r="J59" s="28"/>
      <c r="K59" s="28"/>
      <c r="L59" s="331">
        <v>0</v>
      </c>
      <c r="M59" s="331">
        <v>0</v>
      </c>
      <c r="N59" s="331">
        <v>0</v>
      </c>
      <c r="O59" s="125"/>
      <c r="P59" s="125"/>
      <c r="Q59" s="125"/>
      <c r="R59" s="125"/>
      <c r="S59" s="125"/>
      <c r="T59" s="269"/>
      <c r="U59" s="269"/>
      <c r="V59" s="269"/>
      <c r="W59" s="269"/>
      <c r="X59" s="600"/>
      <c r="Y59" s="267"/>
      <c r="Z59" s="267"/>
    </row>
    <row r="60" spans="2:37" ht="16.5">
      <c r="B60" s="90" t="s">
        <v>822</v>
      </c>
      <c r="C60" s="90"/>
      <c r="D60" s="28"/>
      <c r="E60" s="28"/>
      <c r="F60" s="28"/>
      <c r="G60" s="28"/>
      <c r="H60" s="28"/>
      <c r="I60" s="28"/>
      <c r="J60" s="28"/>
      <c r="K60" s="28"/>
      <c r="L60" s="331">
        <v>0</v>
      </c>
      <c r="M60" s="331">
        <v>1649306400000.0002</v>
      </c>
      <c r="N60" s="331">
        <v>0</v>
      </c>
      <c r="O60" s="125"/>
      <c r="P60" s="125"/>
      <c r="Q60" s="125"/>
      <c r="R60" s="125"/>
      <c r="S60" s="125"/>
      <c r="T60" s="269"/>
      <c r="U60" s="269"/>
      <c r="V60" s="269"/>
      <c r="W60" s="269"/>
      <c r="X60" s="600"/>
      <c r="Y60" s="267"/>
      <c r="Z60" s="267"/>
    </row>
    <row r="61" spans="2:37" ht="16.5">
      <c r="B61" s="90" t="s">
        <v>441</v>
      </c>
      <c r="C61" s="90"/>
      <c r="D61" s="28"/>
      <c r="E61" s="28"/>
      <c r="F61" s="28"/>
      <c r="G61" s="28"/>
      <c r="H61" s="28"/>
      <c r="I61" s="28"/>
      <c r="J61" s="28"/>
      <c r="K61" s="28"/>
      <c r="L61" s="331">
        <v>0</v>
      </c>
      <c r="M61" s="331">
        <v>0</v>
      </c>
      <c r="N61" s="331">
        <v>0</v>
      </c>
      <c r="O61" s="125"/>
      <c r="P61" s="125"/>
      <c r="Q61" s="125"/>
      <c r="R61" s="125"/>
      <c r="S61" s="125"/>
      <c r="T61" s="269"/>
      <c r="U61" s="269"/>
      <c r="V61" s="269"/>
      <c r="W61" s="269"/>
      <c r="X61" s="600"/>
      <c r="Y61" s="267"/>
      <c r="Z61" s="267"/>
    </row>
    <row r="62" spans="2:37" ht="16.5">
      <c r="B62" s="90" t="s">
        <v>818</v>
      </c>
      <c r="C62" s="90"/>
      <c r="D62" s="28"/>
      <c r="E62" s="28"/>
      <c r="F62" s="28"/>
      <c r="G62" s="28"/>
      <c r="H62" s="28"/>
      <c r="I62" s="28"/>
      <c r="J62" s="28"/>
      <c r="K62" s="28"/>
      <c r="L62" s="331">
        <v>1687280400000</v>
      </c>
      <c r="M62" s="331">
        <v>-2336517400000.0005</v>
      </c>
      <c r="N62" s="331">
        <v>6085615700000.001</v>
      </c>
      <c r="O62" s="125"/>
      <c r="P62" s="125"/>
      <c r="Q62" s="125"/>
      <c r="R62" s="125"/>
      <c r="S62" s="125"/>
      <c r="T62" s="269"/>
      <c r="U62" s="269"/>
      <c r="V62" s="269"/>
      <c r="W62" s="269"/>
      <c r="X62" s="600"/>
      <c r="Y62" s="267"/>
      <c r="Z62" s="267"/>
    </row>
    <row r="63" spans="2:37" ht="16.5">
      <c r="B63" s="139" t="s">
        <v>444</v>
      </c>
      <c r="C63" s="90"/>
      <c r="D63" s="28"/>
      <c r="E63" s="28"/>
      <c r="F63" s="28"/>
      <c r="G63" s="28"/>
      <c r="H63" s="28"/>
      <c r="I63" s="28"/>
      <c r="J63" s="28"/>
      <c r="K63" s="28"/>
      <c r="L63" s="331">
        <v>3114979200000</v>
      </c>
      <c r="M63" s="331">
        <v>8933743000000</v>
      </c>
      <c r="N63" s="331">
        <v>-164476100000</v>
      </c>
      <c r="O63" s="125"/>
      <c r="P63" s="125"/>
      <c r="Q63" s="125"/>
      <c r="R63" s="125"/>
      <c r="S63" s="125"/>
      <c r="T63" s="269"/>
      <c r="U63" s="269"/>
      <c r="V63" s="269"/>
      <c r="W63" s="269"/>
      <c r="X63" s="600"/>
      <c r="Y63" s="267"/>
      <c r="Z63" s="267"/>
    </row>
    <row r="64" spans="2:37" ht="16.5">
      <c r="B64" s="90" t="s">
        <v>819</v>
      </c>
      <c r="C64" s="90"/>
      <c r="D64" s="28"/>
      <c r="E64" s="28"/>
      <c r="F64" s="28"/>
      <c r="G64" s="28"/>
      <c r="H64" s="28"/>
      <c r="I64" s="28"/>
      <c r="J64" s="28"/>
      <c r="K64" s="28"/>
      <c r="L64" s="331">
        <v>0</v>
      </c>
      <c r="M64" s="331">
        <v>0</v>
      </c>
      <c r="N64" s="331">
        <v>0</v>
      </c>
      <c r="O64" s="125"/>
      <c r="P64" s="125"/>
      <c r="Q64" s="125"/>
      <c r="R64" s="125"/>
      <c r="S64" s="125"/>
      <c r="T64" s="269"/>
      <c r="U64" s="269"/>
      <c r="V64" s="269"/>
      <c r="W64" s="269"/>
      <c r="X64" s="600"/>
      <c r="Y64" s="267"/>
      <c r="Z64" s="267"/>
    </row>
    <row r="65" spans="2:27" ht="16.5">
      <c r="B65" s="90" t="s">
        <v>417</v>
      </c>
      <c r="C65" s="90"/>
      <c r="D65" s="28"/>
      <c r="E65" s="28"/>
      <c r="F65" s="28"/>
      <c r="G65" s="28"/>
      <c r="H65" s="28"/>
      <c r="I65" s="28"/>
      <c r="J65" s="28"/>
      <c r="K65" s="28"/>
      <c r="L65" s="331">
        <v>0</v>
      </c>
      <c r="M65" s="331">
        <v>0</v>
      </c>
      <c r="N65" s="331">
        <v>0</v>
      </c>
      <c r="O65" s="125"/>
      <c r="P65" s="125"/>
      <c r="Q65" s="125"/>
      <c r="R65" s="125"/>
      <c r="S65" s="125"/>
      <c r="T65" s="269"/>
      <c r="U65" s="269"/>
      <c r="V65" s="269"/>
      <c r="W65" s="269"/>
      <c r="X65" s="600"/>
      <c r="Y65" s="267"/>
      <c r="Z65" s="267"/>
    </row>
    <row r="66" spans="2:27" ht="16.5">
      <c r="B66" s="90" t="s">
        <v>820</v>
      </c>
      <c r="C66" s="90"/>
      <c r="D66" s="28"/>
      <c r="E66" s="28"/>
      <c r="F66" s="28"/>
      <c r="G66" s="28"/>
      <c r="H66" s="28"/>
      <c r="I66" s="28"/>
      <c r="J66" s="28"/>
      <c r="K66" s="28"/>
      <c r="L66" s="331">
        <v>0</v>
      </c>
      <c r="M66" s="331">
        <v>0</v>
      </c>
      <c r="N66" s="331">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1">
        <v>1817071200000</v>
      </c>
      <c r="M67" s="331">
        <v>-4810477000000.001</v>
      </c>
      <c r="N67" s="331">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1">
        <v>2985188399999.9995</v>
      </c>
      <c r="M68" s="331">
        <v>13194451200000.002</v>
      </c>
      <c r="N68" s="331">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823</v>
      </c>
      <c r="L72" s="21">
        <f t="shared" ref="L72:S72" si="9">L6-L7-L25</f>
        <v>0</v>
      </c>
      <c r="M72" s="21">
        <f t="shared" si="9"/>
        <v>0</v>
      </c>
      <c r="N72" s="21">
        <f t="shared" si="9"/>
        <v>0</v>
      </c>
      <c r="O72" s="21">
        <f t="shared" si="9"/>
        <v>0</v>
      </c>
      <c r="P72" s="21">
        <f t="shared" si="9"/>
        <v>0</v>
      </c>
      <c r="Q72" s="21">
        <f t="shared" si="9"/>
        <v>0</v>
      </c>
      <c r="R72" s="855">
        <f>R6-R7-R25</f>
        <v>0</v>
      </c>
      <c r="S72" s="855">
        <f t="shared" si="9"/>
        <v>0</v>
      </c>
      <c r="T72" s="855">
        <f t="shared" ref="T72:X72" si="10">T6-T7-T25</f>
        <v>0</v>
      </c>
      <c r="U72" s="855">
        <f t="shared" si="10"/>
        <v>0</v>
      </c>
      <c r="V72" s="855">
        <f t="shared" si="10"/>
        <v>0</v>
      </c>
      <c r="W72" s="855">
        <f t="shared" si="10"/>
        <v>0</v>
      </c>
      <c r="X72" s="855">
        <f t="shared" si="10"/>
        <v>0</v>
      </c>
      <c r="Y72" s="855"/>
      <c r="Z72" s="855"/>
    </row>
    <row r="73" spans="2:27">
      <c r="B73" t="s">
        <v>824</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451</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825</v>
      </c>
      <c r="L75" s="21">
        <f>L26-L27-L39</f>
        <v>0</v>
      </c>
      <c r="M75" s="21">
        <f>M26-M27-M39</f>
        <v>0</v>
      </c>
      <c r="N75" s="21">
        <f t="shared" ref="N75:S75" si="15">N26-N27-N39</f>
        <v>0</v>
      </c>
      <c r="O75" s="21">
        <f t="shared" si="15"/>
        <v>0</v>
      </c>
      <c r="P75" s="21">
        <f t="shared" si="15"/>
        <v>0</v>
      </c>
      <c r="Q75" s="21">
        <f t="shared" si="15"/>
        <v>0</v>
      </c>
      <c r="R75" s="855">
        <f t="shared" si="15"/>
        <v>9400000000</v>
      </c>
      <c r="S75" s="855">
        <f t="shared" si="15"/>
        <v>10800000000</v>
      </c>
      <c r="T75" s="855">
        <f t="shared" ref="T75:X75" si="16">T26-T27-T39</f>
        <v>11600000000</v>
      </c>
      <c r="U75" s="855">
        <f t="shared" si="16"/>
        <v>12400000000</v>
      </c>
      <c r="V75" s="855">
        <f t="shared" si="16"/>
        <v>13600000000</v>
      </c>
      <c r="W75" s="855">
        <f t="shared" si="16"/>
        <v>14800000000</v>
      </c>
      <c r="X75" s="855">
        <f t="shared" si="16"/>
        <v>16000000000</v>
      </c>
      <c r="Y75" s="855"/>
      <c r="Z75" s="855"/>
    </row>
    <row r="76" spans="2:27">
      <c r="B76" t="s">
        <v>826</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827</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457</v>
      </c>
      <c r="L78" s="21">
        <f>L43-L45-L46</f>
        <v>0</v>
      </c>
      <c r="M78" s="21">
        <f>M43-M45-M46</f>
        <v>0</v>
      </c>
      <c r="N78" s="21">
        <f>N43-N45-N46</f>
        <v>0</v>
      </c>
      <c r="O78" s="131">
        <f>O43-O47-O58</f>
        <v>8617573300000</v>
      </c>
      <c r="P78" s="131">
        <f>P43-P47-P58</f>
        <v>-2121422000000</v>
      </c>
      <c r="Q78" s="131">
        <f>Q43-Q47-Q58</f>
        <v>13372468200000</v>
      </c>
      <c r="R78" s="2602">
        <f>R43-R44-R45-R46</f>
        <v>0</v>
      </c>
      <c r="S78" s="2602">
        <f t="shared" ref="S78:X78" si="21">S43-S44-S45-S46</f>
        <v>0</v>
      </c>
      <c r="T78" s="2602">
        <f t="shared" si="21"/>
        <v>0</v>
      </c>
      <c r="U78" s="2602">
        <f t="shared" si="21"/>
        <v>0</v>
      </c>
      <c r="V78" s="2602">
        <f t="shared" si="21"/>
        <v>0</v>
      </c>
      <c r="W78" s="2602">
        <f t="shared" si="21"/>
        <v>0</v>
      </c>
      <c r="X78" s="2602">
        <f t="shared" si="21"/>
        <v>0</v>
      </c>
      <c r="Y78" s="2602"/>
      <c r="Z78" s="2602"/>
    </row>
    <row r="81" spans="2:26" ht="15.75" thickBot="1">
      <c r="K81" s="21"/>
    </row>
    <row r="82" spans="2:26" ht="15.75" thickBot="1">
      <c r="B82" t="s">
        <v>623</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853">
        <v>94300000000</v>
      </c>
      <c r="U82" s="853">
        <v>102100000000</v>
      </c>
      <c r="V82" s="853">
        <v>111000000000</v>
      </c>
      <c r="W82" s="853">
        <v>120300000000</v>
      </c>
      <c r="X82" s="854">
        <v>130600000000</v>
      </c>
      <c r="Y82" s="267">
        <v>140200000000</v>
      </c>
      <c r="Z82" s="267">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D21" activePane="bottomRight" state="frozen"/>
      <selection pane="topRight" activeCell="R7" sqref="R7"/>
      <selection pane="bottomLeft" activeCell="R7" sqref="R7"/>
      <selection pane="bottomRight" activeCell="H23" sqref="H23"/>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828</v>
      </c>
      <c r="B1" s="82" t="s">
        <v>829</v>
      </c>
      <c r="C1" s="82"/>
      <c r="D1" s="27"/>
      <c r="E1" s="27"/>
      <c r="F1" s="27"/>
      <c r="G1" s="27"/>
      <c r="H1" s="27"/>
      <c r="I1" s="27"/>
      <c r="J1" s="27"/>
      <c r="K1" s="27"/>
      <c r="L1" s="27"/>
      <c r="M1" s="27"/>
      <c r="N1" s="28"/>
      <c r="O1" s="28"/>
      <c r="P1" s="28"/>
      <c r="Q1" s="29"/>
      <c r="R1" s="28"/>
      <c r="S1" s="28"/>
      <c r="T1" s="28"/>
      <c r="U1" s="28"/>
      <c r="V1" s="28"/>
      <c r="W1" s="2"/>
    </row>
    <row r="2" spans="1:54">
      <c r="B2" s="30" t="s">
        <v>830</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3">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3" t="s">
        <v>7</v>
      </c>
      <c r="G4" s="28" t="s">
        <v>8</v>
      </c>
      <c r="H4" s="28" t="s">
        <v>9</v>
      </c>
      <c r="I4" s="28" t="s">
        <v>10</v>
      </c>
      <c r="J4" s="313"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831</v>
      </c>
      <c r="C6" s="9" t="s">
        <v>35</v>
      </c>
      <c r="D6" s="317">
        <f>D7+D20</f>
        <v>342333500.00000006</v>
      </c>
      <c r="E6" s="317">
        <f>E7+E20</f>
        <v>373848000.00000006</v>
      </c>
      <c r="F6" s="317">
        <f>F7+F20</f>
        <v>436465500</v>
      </c>
      <c r="G6" s="317">
        <f>G7+G20</f>
        <v>421953000</v>
      </c>
      <c r="H6" s="315">
        <v>482448000.00000006</v>
      </c>
      <c r="I6" s="317">
        <f>I7+I20</f>
        <v>521352000</v>
      </c>
      <c r="J6" s="295">
        <v>635000000</v>
      </c>
      <c r="K6" s="295">
        <v>731000000</v>
      </c>
      <c r="L6" s="295">
        <v>778000000</v>
      </c>
      <c r="M6" s="295">
        <v>736000000</v>
      </c>
      <c r="N6" s="295">
        <v>778000000</v>
      </c>
      <c r="O6" s="295">
        <v>836000000</v>
      </c>
      <c r="P6" s="295">
        <v>837000000</v>
      </c>
      <c r="Q6" s="295">
        <v>910000000</v>
      </c>
      <c r="R6" s="295">
        <v>1001000000</v>
      </c>
      <c r="S6" s="295">
        <v>1000000000</v>
      </c>
      <c r="T6" s="295">
        <v>1052000000</v>
      </c>
      <c r="U6" s="505">
        <v>1187000000</v>
      </c>
      <c r="V6" s="270">
        <v>1227000000</v>
      </c>
      <c r="W6" s="270">
        <v>1280000000</v>
      </c>
      <c r="X6" s="857">
        <v>1334000000</v>
      </c>
      <c r="Y6" s="857">
        <v>1388000000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c r="A7" s="43" t="s">
        <v>370</v>
      </c>
      <c r="B7" t="s">
        <v>36</v>
      </c>
      <c r="C7" s="11" t="s">
        <v>38</v>
      </c>
      <c r="D7" s="301">
        <f>D9+D19</f>
        <v>318097500.00000006</v>
      </c>
      <c r="E7" s="301">
        <f>E9+E19</f>
        <v>350272000.00000006</v>
      </c>
      <c r="F7" s="301">
        <f>F9+F19</f>
        <v>418723000</v>
      </c>
      <c r="G7" s="301">
        <f>G9+G19</f>
        <v>416010000</v>
      </c>
      <c r="H7" s="315">
        <v>450708000.00000006</v>
      </c>
      <c r="I7" s="301">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69">
        <v>1178000000</v>
      </c>
      <c r="W7" s="600">
        <v>1229000000</v>
      </c>
      <c r="X7" s="857">
        <v>1282000000</v>
      </c>
      <c r="Y7" s="857">
        <v>1334000000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B8" t="s">
        <v>832</v>
      </c>
      <c r="C8" s="34"/>
      <c r="D8" s="125"/>
      <c r="E8" s="125"/>
      <c r="F8" s="125"/>
      <c r="G8" s="125"/>
      <c r="H8" s="125"/>
      <c r="I8" s="125"/>
      <c r="J8" s="125"/>
      <c r="K8" s="125">
        <v>680000000</v>
      </c>
      <c r="L8" s="125">
        <v>650000000</v>
      </c>
      <c r="M8" s="298">
        <v>662000000</v>
      </c>
      <c r="N8" s="298">
        <v>703000000</v>
      </c>
      <c r="O8" s="298">
        <v>712000000</v>
      </c>
      <c r="P8" s="298">
        <v>769000000</v>
      </c>
      <c r="Q8" s="125">
        <v>833000000</v>
      </c>
      <c r="R8" s="298"/>
      <c r="S8" s="298"/>
      <c r="T8" s="298"/>
      <c r="U8" s="32"/>
      <c r="V8" s="269"/>
      <c r="W8" s="600"/>
      <c r="X8" s="857"/>
      <c r="Y8" s="857"/>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t="s">
        <v>833</v>
      </c>
      <c r="B9" t="s">
        <v>834</v>
      </c>
      <c r="C9" s="58" t="s">
        <v>41</v>
      </c>
      <c r="D9" s="301">
        <f>D10+D17</f>
        <v>310523750.00000006</v>
      </c>
      <c r="E9" s="293">
        <v>338484000.00000006</v>
      </c>
      <c r="F9" s="301">
        <f>F10+F17</f>
        <v>402754750</v>
      </c>
      <c r="G9" s="210">
        <v>410067000</v>
      </c>
      <c r="H9" s="210">
        <v>444360000.00000006</v>
      </c>
      <c r="I9" s="210">
        <v>505756000</v>
      </c>
      <c r="J9" s="125">
        <v>586000000</v>
      </c>
      <c r="K9" s="125">
        <v>676000000</v>
      </c>
      <c r="L9" s="125">
        <v>686000000</v>
      </c>
      <c r="M9" s="298">
        <v>697000000</v>
      </c>
      <c r="N9" s="298">
        <v>766000000</v>
      </c>
      <c r="O9" s="298">
        <v>795000000</v>
      </c>
      <c r="P9" s="298">
        <v>811000000</v>
      </c>
      <c r="Q9" s="125">
        <v>864000000</v>
      </c>
      <c r="R9" s="298">
        <v>956000000</v>
      </c>
      <c r="S9" s="298">
        <v>974000000</v>
      </c>
      <c r="T9" s="298">
        <v>1004000000</v>
      </c>
      <c r="U9" s="32">
        <v>1134000000</v>
      </c>
      <c r="V9" s="269">
        <v>1172000000</v>
      </c>
      <c r="W9" s="600">
        <v>1223000000</v>
      </c>
      <c r="X9" s="857">
        <v>1275000000</v>
      </c>
      <c r="Y9" s="857">
        <v>1327000000</v>
      </c>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13" t="s">
        <v>39</v>
      </c>
      <c r="B10" s="13" t="s">
        <v>285</v>
      </c>
      <c r="C10" s="34" t="s">
        <v>835</v>
      </c>
      <c r="D10" s="293">
        <v>265081250.00000006</v>
      </c>
      <c r="E10" s="293">
        <v>296384000.00000006</v>
      </c>
      <c r="F10" s="293">
        <v>326462000</v>
      </c>
      <c r="G10" s="210">
        <v>370447000</v>
      </c>
      <c r="H10" s="210">
        <v>402040000</v>
      </c>
      <c r="I10" s="210">
        <v>456740000.00000006</v>
      </c>
      <c r="J10" s="125">
        <v>530000000</v>
      </c>
      <c r="K10" s="125">
        <v>592000000</v>
      </c>
      <c r="L10" s="125">
        <v>594000000</v>
      </c>
      <c r="M10" s="298">
        <v>605000000</v>
      </c>
      <c r="N10" s="298">
        <v>659000000</v>
      </c>
      <c r="O10" s="298">
        <v>670000000</v>
      </c>
      <c r="P10" s="298">
        <v>704000000</v>
      </c>
      <c r="Q10" s="125">
        <v>748000000</v>
      </c>
      <c r="R10" s="298">
        <v>849000000</v>
      </c>
      <c r="S10" s="298">
        <v>864000000</v>
      </c>
      <c r="T10" s="298">
        <v>925000000</v>
      </c>
      <c r="U10" s="32">
        <v>1033000000</v>
      </c>
      <c r="V10" s="269">
        <v>1069000000</v>
      </c>
      <c r="W10" s="600">
        <v>1115000000</v>
      </c>
      <c r="X10" s="857">
        <v>1164000000</v>
      </c>
      <c r="Y10" s="857">
        <v>1211000000</v>
      </c>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41" t="s">
        <v>836</v>
      </c>
      <c r="B11" s="41" t="s">
        <v>837</v>
      </c>
      <c r="C11" s="34" t="s">
        <v>319</v>
      </c>
      <c r="D11" s="125"/>
      <c r="E11" s="125"/>
      <c r="F11" s="125"/>
      <c r="G11" s="125"/>
      <c r="H11" s="125"/>
      <c r="I11" s="125"/>
      <c r="J11" s="125"/>
      <c r="K11" s="125">
        <v>15000000</v>
      </c>
      <c r="L11" s="125">
        <v>24000000</v>
      </c>
      <c r="M11" s="298">
        <v>28000000</v>
      </c>
      <c r="N11" s="298">
        <v>51000000</v>
      </c>
      <c r="O11" s="298">
        <v>53000000</v>
      </c>
      <c r="P11" s="298">
        <v>32000000</v>
      </c>
      <c r="Q11" s="125">
        <v>21000000</v>
      </c>
      <c r="R11" s="298"/>
      <c r="S11" s="298"/>
      <c r="T11" s="298"/>
      <c r="U11" s="32"/>
      <c r="V11" s="269"/>
      <c r="W11" s="600"/>
      <c r="X11" s="857"/>
      <c r="Y11" s="857"/>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41" t="s">
        <v>838</v>
      </c>
      <c r="B12" s="41" t="s">
        <v>838</v>
      </c>
      <c r="C12" s="34" t="s">
        <v>319</v>
      </c>
      <c r="D12" s="125"/>
      <c r="E12" s="125"/>
      <c r="F12" s="125"/>
      <c r="G12" s="210"/>
      <c r="H12" s="210">
        <v>112148000.00000001</v>
      </c>
      <c r="I12" s="210">
        <v>129224000</v>
      </c>
      <c r="J12" s="125">
        <v>181000000</v>
      </c>
      <c r="K12" s="125">
        <v>174000000</v>
      </c>
      <c r="L12" s="125">
        <v>176000000</v>
      </c>
      <c r="M12" s="298">
        <v>158000000</v>
      </c>
      <c r="N12" s="298">
        <v>195000000</v>
      </c>
      <c r="O12" s="298">
        <v>171000000</v>
      </c>
      <c r="P12" s="298">
        <v>214000000</v>
      </c>
      <c r="Q12" s="125">
        <v>237000000</v>
      </c>
      <c r="R12" s="298"/>
      <c r="S12" s="298"/>
      <c r="T12" s="298"/>
      <c r="U12" s="32"/>
      <c r="V12" s="269"/>
      <c r="W12" s="600"/>
      <c r="X12" s="857"/>
      <c r="Y12" s="857"/>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41"/>
      <c r="B13" s="41" t="s">
        <v>537</v>
      </c>
      <c r="C13" s="34" t="s">
        <v>319</v>
      </c>
      <c r="D13" s="125"/>
      <c r="E13" s="125"/>
      <c r="F13" s="125"/>
      <c r="G13" s="210"/>
      <c r="H13" s="210"/>
      <c r="I13" s="210"/>
      <c r="J13" s="125"/>
      <c r="K13" s="125"/>
      <c r="L13" s="125"/>
      <c r="M13" s="298"/>
      <c r="N13" s="298"/>
      <c r="O13" s="298"/>
      <c r="P13" s="298"/>
      <c r="Q13" s="125"/>
      <c r="R13" s="298">
        <v>346000000</v>
      </c>
      <c r="S13" s="298">
        <v>354000000</v>
      </c>
      <c r="T13" s="298">
        <v>490000000</v>
      </c>
      <c r="U13" s="32">
        <v>552000000</v>
      </c>
      <c r="V13" s="269">
        <v>565000000</v>
      </c>
      <c r="W13" s="600">
        <v>587000000</v>
      </c>
      <c r="X13" s="857">
        <v>615000000</v>
      </c>
      <c r="Y13" s="857">
        <v>642000000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41"/>
      <c r="B14" s="41" t="s">
        <v>839</v>
      </c>
      <c r="C14" s="34" t="s">
        <v>319</v>
      </c>
      <c r="D14" s="125"/>
      <c r="E14" s="125"/>
      <c r="F14" s="125"/>
      <c r="G14" s="210"/>
      <c r="H14" s="210"/>
      <c r="I14" s="210"/>
      <c r="J14" s="125"/>
      <c r="K14" s="125"/>
      <c r="L14" s="125"/>
      <c r="M14" s="298"/>
      <c r="N14" s="298"/>
      <c r="O14" s="298"/>
      <c r="P14" s="298"/>
      <c r="Q14" s="125"/>
      <c r="R14" s="298">
        <v>274000000</v>
      </c>
      <c r="S14" s="298">
        <v>256000000</v>
      </c>
      <c r="T14" s="298">
        <v>262000000</v>
      </c>
      <c r="U14" s="32">
        <v>271000000</v>
      </c>
      <c r="V14" s="269">
        <v>283000000</v>
      </c>
      <c r="W14" s="600">
        <v>294000000</v>
      </c>
      <c r="X14" s="857">
        <v>305000000</v>
      </c>
      <c r="Y14" s="857">
        <v>317000000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41"/>
      <c r="B15" s="41" t="s">
        <v>840</v>
      </c>
      <c r="C15" s="34" t="s">
        <v>319</v>
      </c>
      <c r="D15" s="125"/>
      <c r="E15" s="125"/>
      <c r="F15" s="125"/>
      <c r="G15" s="210"/>
      <c r="H15" s="210"/>
      <c r="I15" s="210"/>
      <c r="J15" s="125"/>
      <c r="K15" s="125"/>
      <c r="L15" s="125"/>
      <c r="M15" s="298"/>
      <c r="N15" s="298"/>
      <c r="O15" s="298"/>
      <c r="P15" s="298"/>
      <c r="Q15" s="125"/>
      <c r="R15" s="298">
        <v>224000000</v>
      </c>
      <c r="S15" s="298">
        <v>249000000</v>
      </c>
      <c r="T15" s="298">
        <v>166000000</v>
      </c>
      <c r="U15" s="32">
        <v>204000000</v>
      </c>
      <c r="V15" s="269">
        <v>215000000</v>
      </c>
      <c r="W15" s="600">
        <v>228000000</v>
      </c>
      <c r="X15" s="857">
        <v>237000000</v>
      </c>
      <c r="Y15" s="857">
        <v>246000000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316" t="s">
        <v>841</v>
      </c>
      <c r="B16" s="316" t="s">
        <v>842</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3" t="s">
        <v>51</v>
      </c>
      <c r="B17" s="13" t="s">
        <v>843</v>
      </c>
      <c r="C17" s="34" t="s">
        <v>835</v>
      </c>
      <c r="D17" s="293">
        <v>45442500</v>
      </c>
      <c r="E17" s="293">
        <v>42100000</v>
      </c>
      <c r="F17" s="293">
        <v>76292750</v>
      </c>
      <c r="G17" s="210">
        <v>39620000</v>
      </c>
      <c r="H17" s="210">
        <v>42320000</v>
      </c>
      <c r="I17" s="210">
        <v>49016000.000000007</v>
      </c>
      <c r="J17" s="125">
        <v>56000000</v>
      </c>
      <c r="K17" s="125">
        <v>84000000</v>
      </c>
      <c r="L17" s="125">
        <v>92000000</v>
      </c>
      <c r="M17" s="298">
        <v>93000000</v>
      </c>
      <c r="N17" s="298">
        <v>107000000</v>
      </c>
      <c r="O17" s="298">
        <v>125000000</v>
      </c>
      <c r="P17" s="298">
        <v>108000000</v>
      </c>
      <c r="Q17" s="125">
        <v>117000000</v>
      </c>
      <c r="R17" s="298">
        <v>107000000</v>
      </c>
      <c r="S17" s="298">
        <v>109000000</v>
      </c>
      <c r="T17" s="298">
        <v>79000000</v>
      </c>
      <c r="U17" s="32">
        <v>101000000</v>
      </c>
      <c r="V17" s="269">
        <v>103000000</v>
      </c>
      <c r="W17" s="600">
        <v>107000000</v>
      </c>
      <c r="X17" s="857">
        <v>111000000</v>
      </c>
      <c r="Y17" s="857">
        <v>116000000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t="s">
        <v>76</v>
      </c>
      <c r="B18" s="41" t="s">
        <v>837</v>
      </c>
      <c r="C18" s="34"/>
      <c r="D18" s="125"/>
      <c r="E18" s="125"/>
      <c r="F18" s="125"/>
      <c r="G18" s="125"/>
      <c r="H18" s="125"/>
      <c r="I18" s="125"/>
      <c r="J18" s="125">
        <v>7000000</v>
      </c>
      <c r="K18" s="125">
        <v>11000000</v>
      </c>
      <c r="L18" s="125">
        <v>17000000</v>
      </c>
      <c r="M18" s="298">
        <v>12000000</v>
      </c>
      <c r="N18" s="298">
        <v>16000000</v>
      </c>
      <c r="O18" s="298">
        <v>37000000</v>
      </c>
      <c r="P18" s="298">
        <v>15000000</v>
      </c>
      <c r="Q18" s="125">
        <v>15000000</v>
      </c>
      <c r="R18" s="298"/>
      <c r="S18" s="298"/>
      <c r="T18" s="298"/>
      <c r="U18" s="32"/>
      <c r="V18" s="269"/>
      <c r="W18" s="600"/>
      <c r="X18" s="857"/>
      <c r="Y18" s="857"/>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t="s">
        <v>468</v>
      </c>
      <c r="B19" t="s">
        <v>562</v>
      </c>
      <c r="C19" s="58" t="s">
        <v>41</v>
      </c>
      <c r="D19" s="293">
        <v>7573750.0000000009</v>
      </c>
      <c r="E19" s="293">
        <v>11788000</v>
      </c>
      <c r="F19" s="293">
        <v>15968250.000000004</v>
      </c>
      <c r="G19" s="210">
        <v>5943000</v>
      </c>
      <c r="H19" s="210">
        <v>6348000</v>
      </c>
      <c r="I19" s="210">
        <v>2228000.0000000005</v>
      </c>
      <c r="J19" s="125">
        <v>11000000</v>
      </c>
      <c r="K19" s="125">
        <v>30000000</v>
      </c>
      <c r="L19" s="125">
        <v>4000000</v>
      </c>
      <c r="M19" s="298">
        <v>5000000</v>
      </c>
      <c r="N19" s="298">
        <v>5000000</v>
      </c>
      <c r="O19" s="298">
        <v>8000000</v>
      </c>
      <c r="P19" s="298">
        <v>5000000</v>
      </c>
      <c r="Q19" s="125">
        <v>5000000</v>
      </c>
      <c r="R19" s="298">
        <v>6000000</v>
      </c>
      <c r="S19" s="298">
        <v>6000000</v>
      </c>
      <c r="T19" s="298">
        <v>3000000</v>
      </c>
      <c r="U19" s="32">
        <v>6000000</v>
      </c>
      <c r="V19" s="269">
        <v>6000000</v>
      </c>
      <c r="W19" s="600">
        <v>6000000</v>
      </c>
      <c r="X19" s="857">
        <v>7000000</v>
      </c>
      <c r="Y19" s="857">
        <v>7000000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s="9" customFormat="1">
      <c r="A20" s="9" t="s">
        <v>53</v>
      </c>
      <c r="B20" s="9" t="s">
        <v>53</v>
      </c>
      <c r="C20" s="137" t="s">
        <v>38</v>
      </c>
      <c r="D20" s="293">
        <v>24236000.000000004</v>
      </c>
      <c r="E20" s="293">
        <v>23576000</v>
      </c>
      <c r="F20" s="293">
        <v>17742500</v>
      </c>
      <c r="G20" s="315">
        <v>5943000</v>
      </c>
      <c r="H20" s="315">
        <v>31740000.000000004</v>
      </c>
      <c r="I20" s="315">
        <v>13368000</v>
      </c>
      <c r="J20" s="295">
        <v>37000000</v>
      </c>
      <c r="K20" s="295">
        <v>25000000</v>
      </c>
      <c r="L20" s="295">
        <v>87000000</v>
      </c>
      <c r="M20" s="168">
        <v>34000000</v>
      </c>
      <c r="N20" s="168">
        <v>7000000</v>
      </c>
      <c r="O20" s="168">
        <v>33000000</v>
      </c>
      <c r="P20" s="168">
        <v>21000000</v>
      </c>
      <c r="Q20" s="295">
        <v>40000000</v>
      </c>
      <c r="R20" s="168">
        <v>39000000</v>
      </c>
      <c r="S20" s="168">
        <v>20000000</v>
      </c>
      <c r="T20" s="168">
        <v>46000000</v>
      </c>
      <c r="U20" s="505">
        <v>47000000</v>
      </c>
      <c r="V20" s="601">
        <v>49000000</v>
      </c>
      <c r="W20" s="602">
        <v>51000000</v>
      </c>
      <c r="X20" s="857">
        <v>52000000</v>
      </c>
      <c r="Y20" s="857">
        <v>54000000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20" t="s">
        <v>76</v>
      </c>
      <c r="B21" s="90" t="s">
        <v>844</v>
      </c>
      <c r="D21" s="314">
        <v>471087250.00000006</v>
      </c>
      <c r="E21" s="314">
        <v>527092000</v>
      </c>
      <c r="F21" s="314">
        <v>608567750</v>
      </c>
      <c r="G21" s="315">
        <v>647787000.00000012</v>
      </c>
      <c r="H21" s="315">
        <v>636916000</v>
      </c>
      <c r="I21" s="315">
        <v>646120000</v>
      </c>
      <c r="J21" s="125">
        <v>730000000</v>
      </c>
      <c r="K21" s="125">
        <v>749000000</v>
      </c>
      <c r="L21" s="125">
        <v>767000000</v>
      </c>
      <c r="M21" s="298">
        <v>768000000</v>
      </c>
      <c r="N21" s="298">
        <v>825000000</v>
      </c>
      <c r="O21" s="298">
        <v>867000000</v>
      </c>
      <c r="P21" s="298">
        <v>854000000</v>
      </c>
      <c r="Q21" s="125">
        <v>1023000000</v>
      </c>
      <c r="R21" s="298"/>
      <c r="S21" s="298"/>
      <c r="T21" s="298"/>
      <c r="U21" s="32"/>
      <c r="V21" s="269"/>
      <c r="W21" s="600"/>
      <c r="X21" s="857"/>
      <c r="Y21" s="857"/>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18" t="s">
        <v>198</v>
      </c>
      <c r="B22" s="18" t="s">
        <v>198</v>
      </c>
      <c r="C22" s="239" t="s">
        <v>35</v>
      </c>
      <c r="D22" s="317">
        <f>D23+D35+D40+D39</f>
        <v>469572500</v>
      </c>
      <c r="E22" s="317">
        <f t="shared" ref="E22:Q22" si="2">E23+E35+E40+E39</f>
        <v>527092000.00000012</v>
      </c>
      <c r="F22" s="317">
        <f t="shared" si="2"/>
        <v>610342000.00000012</v>
      </c>
      <c r="G22" s="317">
        <f t="shared" si="2"/>
        <v>649768000</v>
      </c>
      <c r="H22" s="317">
        <f>H23+H35+H40+H39</f>
        <v>639032000.00000012</v>
      </c>
      <c r="I22" s="317">
        <f t="shared" si="2"/>
        <v>646120000</v>
      </c>
      <c r="J22" s="317">
        <f t="shared" si="2"/>
        <v>730000000</v>
      </c>
      <c r="K22" s="317">
        <f t="shared" si="2"/>
        <v>748000000</v>
      </c>
      <c r="L22" s="317">
        <f t="shared" si="2"/>
        <v>767000000</v>
      </c>
      <c r="M22" s="317">
        <f t="shared" si="2"/>
        <v>768000000</v>
      </c>
      <c r="N22" s="317">
        <f t="shared" si="2"/>
        <v>825000000</v>
      </c>
      <c r="O22" s="317">
        <f t="shared" si="2"/>
        <v>867000000</v>
      </c>
      <c r="P22" s="317">
        <f t="shared" si="2"/>
        <v>854000000</v>
      </c>
      <c r="Q22" s="317">
        <f t="shared" si="2"/>
        <v>1023000000</v>
      </c>
      <c r="R22" s="317">
        <v>1083000000</v>
      </c>
      <c r="S22" s="317">
        <v>1264000000</v>
      </c>
      <c r="T22" s="317">
        <v>1190000000</v>
      </c>
      <c r="U22" s="317">
        <v>1182000000</v>
      </c>
      <c r="V22" s="601">
        <v>1271000000</v>
      </c>
      <c r="W22" s="602">
        <v>1322000000</v>
      </c>
      <c r="X22" s="857">
        <v>1379000000</v>
      </c>
      <c r="Y22" s="857">
        <v>1434000000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s="203" t="s">
        <v>73</v>
      </c>
      <c r="B23" s="90" t="s">
        <v>332</v>
      </c>
      <c r="C23" s="58" t="s">
        <v>201</v>
      </c>
      <c r="D23" s="300">
        <f>D24+D25+D26+D27+D32+D33</f>
        <v>290832000</v>
      </c>
      <c r="E23" s="293">
        <v>296384000.00000006</v>
      </c>
      <c r="F23" s="300">
        <f>F24+F25+F26+F27+F32+F33</f>
        <v>340656000.00000006</v>
      </c>
      <c r="G23" s="300">
        <f>G24+G25+G26+G27+G32+G33</f>
        <v>410067000</v>
      </c>
      <c r="H23" s="300">
        <f>H24+H25+H26+H27+H32+H33</f>
        <v>497260000.00000012</v>
      </c>
      <c r="I23" s="210">
        <v>554772000</v>
      </c>
      <c r="J23" s="125">
        <v>617000000</v>
      </c>
      <c r="K23" s="125">
        <v>601000000</v>
      </c>
      <c r="L23" s="125">
        <v>634000000</v>
      </c>
      <c r="M23" s="298">
        <v>669000000</v>
      </c>
      <c r="N23" s="298">
        <v>682000000</v>
      </c>
      <c r="O23" s="298">
        <v>724000000</v>
      </c>
      <c r="P23" s="298">
        <v>707000000</v>
      </c>
      <c r="Q23" s="125">
        <v>780000000</v>
      </c>
      <c r="R23" s="298">
        <v>831000000</v>
      </c>
      <c r="S23" s="298">
        <v>904000000</v>
      </c>
      <c r="T23" s="298">
        <v>963000000</v>
      </c>
      <c r="U23" s="32">
        <v>1032000000</v>
      </c>
      <c r="V23" s="269">
        <v>1098000000</v>
      </c>
      <c r="W23" s="600">
        <v>1150000000</v>
      </c>
      <c r="X23" s="857">
        <v>1197000000</v>
      </c>
      <c r="Y23" s="857">
        <v>1247000000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103" t="s">
        <v>536</v>
      </c>
      <c r="B24" s="99" t="s">
        <v>80</v>
      </c>
      <c r="C24" s="58" t="s">
        <v>204</v>
      </c>
      <c r="D24" s="293">
        <v>148445500.00000003</v>
      </c>
      <c r="E24" s="293">
        <v>151560000</v>
      </c>
      <c r="F24" s="293">
        <v>165005250.00000003</v>
      </c>
      <c r="G24" s="210">
        <v>188195000</v>
      </c>
      <c r="H24" s="210">
        <v>207368000.00000003</v>
      </c>
      <c r="I24" s="210">
        <v>222800000</v>
      </c>
      <c r="J24" s="125">
        <v>219000000</v>
      </c>
      <c r="K24" s="125">
        <v>234000000</v>
      </c>
      <c r="L24" s="125">
        <v>250000000</v>
      </c>
      <c r="M24" s="298">
        <v>274000000</v>
      </c>
      <c r="N24" s="298">
        <v>279000000</v>
      </c>
      <c r="O24" s="298">
        <v>297000000</v>
      </c>
      <c r="P24" s="298">
        <v>298000000</v>
      </c>
      <c r="Q24" s="125">
        <v>312000000</v>
      </c>
      <c r="R24" s="298">
        <v>338000000</v>
      </c>
      <c r="S24" s="298">
        <v>384000000</v>
      </c>
      <c r="T24" s="298">
        <v>403000000</v>
      </c>
      <c r="U24" s="32">
        <v>422000000</v>
      </c>
      <c r="V24" s="269">
        <v>441000000</v>
      </c>
      <c r="W24" s="600">
        <v>458000000</v>
      </c>
      <c r="X24" s="857">
        <v>476000000</v>
      </c>
      <c r="Y24" s="857">
        <v>494000000</v>
      </c>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8">
        <v>48000000</v>
      </c>
      <c r="N25" s="298">
        <v>45000000</v>
      </c>
      <c r="O25" s="298">
        <v>52000000</v>
      </c>
      <c r="P25" s="298">
        <v>54000000</v>
      </c>
      <c r="Q25" s="125">
        <v>55000000</v>
      </c>
      <c r="R25" s="298">
        <v>64000000</v>
      </c>
      <c r="S25" s="298">
        <v>77000000</v>
      </c>
      <c r="T25" s="298">
        <v>83000000</v>
      </c>
      <c r="U25" s="32">
        <v>79000000</v>
      </c>
      <c r="V25" s="269">
        <v>86000000</v>
      </c>
      <c r="W25" s="600">
        <v>93000000</v>
      </c>
      <c r="X25" s="857">
        <v>97000000</v>
      </c>
      <c r="Y25" s="857">
        <v>100000000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99" t="s">
        <v>83</v>
      </c>
      <c r="B26" s="99" t="s">
        <v>48</v>
      </c>
      <c r="C26" s="58" t="s">
        <v>204</v>
      </c>
      <c r="D26" s="293">
        <v>62104750</v>
      </c>
      <c r="E26" s="293">
        <v>60624000.000000007</v>
      </c>
      <c r="F26" s="293">
        <v>67421500</v>
      </c>
      <c r="G26" s="210">
        <v>75278000</v>
      </c>
      <c r="H26" s="210">
        <v>76176000.000000015</v>
      </c>
      <c r="I26" s="210">
        <v>89120000</v>
      </c>
      <c r="J26" s="125">
        <v>110000000</v>
      </c>
      <c r="K26" s="125">
        <v>133000000</v>
      </c>
      <c r="L26" s="125">
        <v>147000000</v>
      </c>
      <c r="M26" s="298">
        <v>157000000</v>
      </c>
      <c r="N26" s="298">
        <v>164000000</v>
      </c>
      <c r="O26" s="298">
        <v>172000000</v>
      </c>
      <c r="P26" s="298">
        <v>166000000</v>
      </c>
      <c r="Q26" s="125">
        <v>173000000</v>
      </c>
      <c r="R26" s="298">
        <v>188000000</v>
      </c>
      <c r="S26" s="298">
        <v>197000000</v>
      </c>
      <c r="T26" s="298">
        <v>216000000</v>
      </c>
      <c r="U26" s="32">
        <v>237000000</v>
      </c>
      <c r="V26" s="269">
        <v>247000000</v>
      </c>
      <c r="W26" s="600">
        <v>255000000</v>
      </c>
      <c r="X26" s="857">
        <v>266000000</v>
      </c>
      <c r="Y26" s="857">
        <v>277000000</v>
      </c>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99" t="s">
        <v>90</v>
      </c>
      <c r="B27" s="99" t="s">
        <v>341</v>
      </c>
      <c r="C27" s="58" t="s">
        <v>204</v>
      </c>
      <c r="D27" s="293">
        <v>30295000.000000004</v>
      </c>
      <c r="E27" s="293">
        <v>40416000</v>
      </c>
      <c r="F27" s="293">
        <v>53227500.000000007</v>
      </c>
      <c r="G27" s="300">
        <f>G28+G29</f>
        <v>91126000.000000015</v>
      </c>
      <c r="H27" s="300">
        <f>H28+H29</f>
        <v>150236000.00000003</v>
      </c>
      <c r="I27" s="210">
        <v>167100000</v>
      </c>
      <c r="J27" s="125">
        <v>195000000</v>
      </c>
      <c r="K27" s="125">
        <v>117000000</v>
      </c>
      <c r="L27" s="125">
        <v>104000000</v>
      </c>
      <c r="M27" s="298">
        <v>97000000</v>
      </c>
      <c r="N27" s="298">
        <v>97000000</v>
      </c>
      <c r="O27" s="298">
        <v>100000000</v>
      </c>
      <c r="P27" s="298">
        <v>58000000</v>
      </c>
      <c r="Q27" s="125">
        <v>107000000</v>
      </c>
      <c r="R27" s="298">
        <v>90000000</v>
      </c>
      <c r="S27" s="298">
        <v>85000000</v>
      </c>
      <c r="T27" s="298">
        <v>97000000</v>
      </c>
      <c r="U27" s="32">
        <v>110000000</v>
      </c>
      <c r="V27" s="269">
        <v>122000000</v>
      </c>
      <c r="W27" s="600">
        <v>124000000</v>
      </c>
      <c r="X27" s="857">
        <v>128000000</v>
      </c>
      <c r="Y27" s="857">
        <v>133000000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209</v>
      </c>
      <c r="B28" s="65" t="s">
        <v>209</v>
      </c>
      <c r="C28" s="34" t="s">
        <v>211</v>
      </c>
      <c r="D28" s="125"/>
      <c r="E28" s="125"/>
      <c r="F28" s="125"/>
      <c r="G28" s="210">
        <v>13867000</v>
      </c>
      <c r="H28" s="210">
        <v>16928000.000000004</v>
      </c>
      <c r="I28" s="210">
        <v>15596000</v>
      </c>
      <c r="J28" s="125"/>
      <c r="K28" s="125"/>
      <c r="L28" s="125"/>
      <c r="M28" s="298"/>
      <c r="N28" s="298"/>
      <c r="O28" s="298"/>
      <c r="P28" s="298"/>
      <c r="Q28" s="125"/>
      <c r="R28" s="298"/>
      <c r="S28" s="298"/>
      <c r="T28" s="298"/>
      <c r="U28" s="32"/>
      <c r="V28" s="269"/>
      <c r="W28" s="600"/>
      <c r="X28" s="857"/>
      <c r="Y28" s="857"/>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t="s">
        <v>212</v>
      </c>
      <c r="B29" s="65" t="s">
        <v>212</v>
      </c>
      <c r="C29" s="34" t="s">
        <v>211</v>
      </c>
      <c r="D29" s="125"/>
      <c r="E29" s="125"/>
      <c r="F29" s="125"/>
      <c r="G29" s="210">
        <v>77259000.000000015</v>
      </c>
      <c r="H29" s="210">
        <v>133308000.00000001</v>
      </c>
      <c r="I29" s="210">
        <v>151504000</v>
      </c>
      <c r="J29" s="125"/>
      <c r="K29" s="125"/>
      <c r="L29" s="125"/>
      <c r="M29" s="298"/>
      <c r="N29" s="298"/>
      <c r="O29" s="298"/>
      <c r="P29" s="298"/>
      <c r="Q29" s="125"/>
      <c r="R29" s="298"/>
      <c r="S29" s="298"/>
      <c r="T29" s="298"/>
      <c r="U29" s="32"/>
      <c r="V29" s="269"/>
      <c r="W29" s="600"/>
      <c r="X29" s="857"/>
      <c r="Y29" s="857"/>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t="s">
        <v>91</v>
      </c>
      <c r="B30" s="65" t="s">
        <v>91</v>
      </c>
      <c r="C30" s="34"/>
      <c r="D30" s="125"/>
      <c r="E30" s="125"/>
      <c r="F30" s="125"/>
      <c r="G30" s="210">
        <v>77259000.000000015</v>
      </c>
      <c r="H30" s="210">
        <v>103684000.00000001</v>
      </c>
      <c r="I30" s="210">
        <v>124768000</v>
      </c>
      <c r="J30" s="125"/>
      <c r="K30" s="125"/>
      <c r="L30" s="125"/>
      <c r="M30" s="298"/>
      <c r="N30" s="298"/>
      <c r="O30" s="298"/>
      <c r="P30" s="298"/>
      <c r="Q30" s="125"/>
      <c r="R30" s="298"/>
      <c r="S30" s="298"/>
      <c r="T30" s="298"/>
      <c r="U30" s="32"/>
      <c r="V30" s="269"/>
      <c r="W30" s="600"/>
      <c r="X30" s="857"/>
      <c r="Y30" s="857"/>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5" t="s">
        <v>845</v>
      </c>
      <c r="B31" s="65" t="s">
        <v>846</v>
      </c>
      <c r="C31" s="34"/>
      <c r="D31" s="125"/>
      <c r="E31" s="125"/>
      <c r="F31" s="125"/>
      <c r="G31" s="210">
        <v>0</v>
      </c>
      <c r="H31" s="210">
        <v>31740000.000000004</v>
      </c>
      <c r="I31" s="210">
        <v>24508000.000000004</v>
      </c>
      <c r="J31" s="125"/>
      <c r="K31" s="125"/>
      <c r="L31" s="125"/>
      <c r="M31" s="298"/>
      <c r="N31" s="298"/>
      <c r="O31" s="298"/>
      <c r="P31" s="298"/>
      <c r="Q31" s="125"/>
      <c r="R31" s="298"/>
      <c r="S31" s="298"/>
      <c r="T31" s="298"/>
      <c r="U31" s="32"/>
      <c r="V31" s="269"/>
      <c r="W31" s="600"/>
      <c r="X31" s="857"/>
      <c r="Y31" s="857"/>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8">
        <v>93000000</v>
      </c>
      <c r="N32" s="298">
        <v>97000000</v>
      </c>
      <c r="O32" s="298">
        <v>104000000</v>
      </c>
      <c r="P32" s="298">
        <v>131000000</v>
      </c>
      <c r="Q32" s="125">
        <v>133000000</v>
      </c>
      <c r="R32" s="298">
        <v>151000000</v>
      </c>
      <c r="S32" s="298">
        <v>161000000</v>
      </c>
      <c r="T32" s="298">
        <v>164000000</v>
      </c>
      <c r="U32" s="32">
        <v>184000000</v>
      </c>
      <c r="V32" s="269">
        <v>202000000</v>
      </c>
      <c r="W32" s="600">
        <v>220000000</v>
      </c>
      <c r="X32" s="857">
        <v>230000000</v>
      </c>
      <c r="Y32" s="857">
        <v>243000000</v>
      </c>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3" t="s">
        <v>847</v>
      </c>
      <c r="B33" s="13" t="s">
        <v>50</v>
      </c>
      <c r="C33" s="58" t="s">
        <v>204</v>
      </c>
      <c r="D33" s="293">
        <v>49986750</v>
      </c>
      <c r="E33" s="293">
        <v>43784000</v>
      </c>
      <c r="F33" s="293">
        <v>55001750.000000007</v>
      </c>
      <c r="G33" s="210"/>
      <c r="H33" s="210"/>
      <c r="I33" s="210"/>
      <c r="J33" s="125"/>
      <c r="K33" s="125"/>
      <c r="L33" s="125"/>
      <c r="M33" s="298"/>
      <c r="N33" s="298"/>
      <c r="O33" s="298"/>
      <c r="P33" s="298"/>
      <c r="Q33" s="125"/>
      <c r="R33" s="298"/>
      <c r="S33" s="298"/>
      <c r="T33" s="298"/>
      <c r="U33" s="32"/>
      <c r="V33" s="269"/>
      <c r="W33" s="600"/>
      <c r="X33" s="857"/>
      <c r="Y33" s="857"/>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t="s">
        <v>76</v>
      </c>
      <c r="B34" s="90" t="s">
        <v>848</v>
      </c>
      <c r="D34" s="293">
        <v>180255250.00000003</v>
      </c>
      <c r="E34" s="293">
        <v>230708000</v>
      </c>
      <c r="F34" s="293">
        <v>269686000</v>
      </c>
      <c r="G34" s="210">
        <v>239701000</v>
      </c>
      <c r="H34" s="210">
        <v>137540000.00000003</v>
      </c>
      <c r="I34" s="210">
        <v>91348000</v>
      </c>
      <c r="J34" s="125">
        <v>113000000</v>
      </c>
      <c r="K34" s="125">
        <v>148000000</v>
      </c>
      <c r="L34" s="125">
        <v>134000000</v>
      </c>
      <c r="M34" s="298">
        <v>100000000</v>
      </c>
      <c r="N34" s="298">
        <v>143000000</v>
      </c>
      <c r="O34" s="298">
        <v>143000000</v>
      </c>
      <c r="P34" s="298">
        <v>147000000</v>
      </c>
      <c r="Q34" s="125">
        <v>243000000</v>
      </c>
      <c r="R34" s="298">
        <v>251000000</v>
      </c>
      <c r="S34" s="298">
        <v>360000000</v>
      </c>
      <c r="T34" s="298">
        <v>227000000</v>
      </c>
      <c r="U34" s="32">
        <v>150000000</v>
      </c>
      <c r="V34" s="269">
        <v>174000000</v>
      </c>
      <c r="W34" s="600">
        <v>172000000</v>
      </c>
      <c r="X34" s="857">
        <v>182000000</v>
      </c>
      <c r="Y34" s="857">
        <v>187000000</v>
      </c>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90" t="s">
        <v>237</v>
      </c>
      <c r="B35" s="90" t="s">
        <v>342</v>
      </c>
      <c r="C35" s="58" t="s">
        <v>201</v>
      </c>
      <c r="D35" s="301">
        <f>D36+D38</f>
        <v>178740500</v>
      </c>
      <c r="E35" s="301">
        <f>E36+E38</f>
        <v>178504000.00000003</v>
      </c>
      <c r="F35" s="301">
        <f>F36+F38</f>
        <v>195167500</v>
      </c>
      <c r="G35" s="210">
        <v>192157000</v>
      </c>
      <c r="H35" s="210">
        <v>141772000</v>
      </c>
      <c r="I35" s="210">
        <v>84664000</v>
      </c>
      <c r="J35" s="125">
        <v>111000000</v>
      </c>
      <c r="K35" s="125">
        <v>134000000</v>
      </c>
      <c r="L35" s="125">
        <v>130000000</v>
      </c>
      <c r="M35" s="298">
        <v>94000000</v>
      </c>
      <c r="N35" s="298">
        <v>126000000</v>
      </c>
      <c r="O35" s="298">
        <v>138000000</v>
      </c>
      <c r="P35" s="298">
        <v>144000000</v>
      </c>
      <c r="Q35" s="125">
        <v>240000000</v>
      </c>
      <c r="R35" s="298">
        <v>249000000</v>
      </c>
      <c r="S35" s="298">
        <v>260000000</v>
      </c>
      <c r="T35" s="298">
        <v>224000000</v>
      </c>
      <c r="U35" s="32">
        <v>147000000</v>
      </c>
      <c r="V35" s="269">
        <v>171000000</v>
      </c>
      <c r="W35" s="600">
        <v>170000000</v>
      </c>
      <c r="X35" s="857">
        <v>179000000</v>
      </c>
      <c r="Y35" s="857">
        <v>184000000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t="s">
        <v>209</v>
      </c>
      <c r="B36" s="99" t="s">
        <v>849</v>
      </c>
      <c r="C36" s="58" t="s">
        <v>241</v>
      </c>
      <c r="D36" s="293">
        <v>77252250</v>
      </c>
      <c r="E36" s="293">
        <v>53888000.000000007</v>
      </c>
      <c r="F36" s="293">
        <v>106455000.00000001</v>
      </c>
      <c r="G36" s="210">
        <v>93107000.000000015</v>
      </c>
      <c r="H36" s="210">
        <v>59248000</v>
      </c>
      <c r="I36" s="210">
        <v>51244000</v>
      </c>
      <c r="J36" s="125">
        <v>81000000</v>
      </c>
      <c r="K36" s="125">
        <v>72000000</v>
      </c>
      <c r="L36" s="125">
        <v>79000000</v>
      </c>
      <c r="M36" s="298">
        <v>54000000</v>
      </c>
      <c r="N36" s="298">
        <v>73000000</v>
      </c>
      <c r="O36" s="298">
        <v>73000000</v>
      </c>
      <c r="P36" s="298">
        <v>66000000</v>
      </c>
      <c r="Q36" s="125">
        <v>111000000</v>
      </c>
      <c r="R36" s="298">
        <v>116000000</v>
      </c>
      <c r="S36" s="298">
        <v>100000000</v>
      </c>
      <c r="T36" s="298">
        <v>114000000</v>
      </c>
      <c r="U36" s="32">
        <v>66000000</v>
      </c>
      <c r="V36" s="269">
        <v>75000000</v>
      </c>
      <c r="W36" s="600">
        <v>70000000</v>
      </c>
      <c r="X36" s="857">
        <v>73000000</v>
      </c>
      <c r="Y36" s="857">
        <v>81000000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t="s">
        <v>850</v>
      </c>
      <c r="B37" s="99" t="s">
        <v>851</v>
      </c>
      <c r="C37" s="58" t="s">
        <v>241</v>
      </c>
      <c r="D37" s="293"/>
      <c r="E37" s="293"/>
      <c r="F37" s="293"/>
      <c r="G37" s="125"/>
      <c r="H37" s="125"/>
      <c r="I37" s="125"/>
      <c r="J37" s="125"/>
      <c r="K37" s="125"/>
      <c r="L37" s="125"/>
      <c r="M37" s="298"/>
      <c r="N37" s="298"/>
      <c r="O37" s="298"/>
      <c r="P37" s="298"/>
      <c r="Q37" s="125"/>
      <c r="R37" s="298"/>
      <c r="S37" s="298"/>
      <c r="T37" s="298"/>
      <c r="U37" s="32"/>
      <c r="V37" s="269"/>
      <c r="W37" s="600"/>
      <c r="X37" s="857"/>
      <c r="Y37" s="857"/>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t="s">
        <v>583</v>
      </c>
      <c r="B38" s="13" t="s">
        <v>852</v>
      </c>
      <c r="C38" s="58" t="s">
        <v>241</v>
      </c>
      <c r="D38" s="293">
        <v>101488250.00000001</v>
      </c>
      <c r="E38" s="293">
        <v>124616000.00000001</v>
      </c>
      <c r="F38" s="293">
        <v>88712500</v>
      </c>
      <c r="G38" s="210">
        <v>99050000</v>
      </c>
      <c r="H38" s="210">
        <v>82524000</v>
      </c>
      <c r="I38" s="210">
        <v>33420000.000000004</v>
      </c>
      <c r="J38" s="125">
        <v>30000000</v>
      </c>
      <c r="K38" s="125">
        <v>62000000</v>
      </c>
      <c r="L38" s="125">
        <v>52000000</v>
      </c>
      <c r="M38" s="298">
        <v>41000000</v>
      </c>
      <c r="N38" s="298">
        <v>53000000</v>
      </c>
      <c r="O38" s="298">
        <v>65000000</v>
      </c>
      <c r="P38" s="298">
        <v>78000000</v>
      </c>
      <c r="Q38" s="125">
        <v>129000000</v>
      </c>
      <c r="R38" s="298">
        <v>132000000</v>
      </c>
      <c r="S38" s="298">
        <v>161000000</v>
      </c>
      <c r="T38" s="298">
        <v>111000000</v>
      </c>
      <c r="U38" s="32">
        <v>81000000</v>
      </c>
      <c r="V38" s="269">
        <v>97000000</v>
      </c>
      <c r="W38" s="600">
        <v>100000000</v>
      </c>
      <c r="X38" s="857">
        <v>107000000</v>
      </c>
      <c r="Y38" s="857">
        <v>104000000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t="s">
        <v>588</v>
      </c>
      <c r="B39" t="s">
        <v>588</v>
      </c>
      <c r="C39" s="58" t="s">
        <v>201</v>
      </c>
      <c r="D39" s="293">
        <v>0</v>
      </c>
      <c r="E39" s="293">
        <v>52204000.000000007</v>
      </c>
      <c r="F39" s="293">
        <v>37259250.000000007</v>
      </c>
      <c r="G39" s="210">
        <v>47544000</v>
      </c>
      <c r="H39" s="2721">
        <v>0</v>
      </c>
      <c r="I39" s="210">
        <v>6684000</v>
      </c>
      <c r="J39" s="125">
        <v>2000000</v>
      </c>
      <c r="K39" s="125">
        <v>13000000</v>
      </c>
      <c r="L39" s="125">
        <v>3000000</v>
      </c>
      <c r="M39" s="298">
        <v>5000000</v>
      </c>
      <c r="N39" s="298">
        <v>17000000</v>
      </c>
      <c r="O39" s="298">
        <v>5000000</v>
      </c>
      <c r="P39" s="298">
        <v>3000000</v>
      </c>
      <c r="Q39" s="125">
        <v>3000000</v>
      </c>
      <c r="R39" s="298">
        <v>3000000</v>
      </c>
      <c r="S39" s="298">
        <v>100000000</v>
      </c>
      <c r="T39" s="298">
        <v>3000000</v>
      </c>
      <c r="U39" s="32">
        <v>2000000</v>
      </c>
      <c r="V39" s="269">
        <v>2000000</v>
      </c>
      <c r="W39" s="600">
        <v>2000000</v>
      </c>
      <c r="X39" s="857">
        <v>2000000</v>
      </c>
      <c r="Y39" s="857">
        <v>3000000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90" t="s">
        <v>853</v>
      </c>
      <c r="B40" s="90" t="s">
        <v>854</v>
      </c>
      <c r="C40" s="58" t="s">
        <v>201</v>
      </c>
      <c r="D40" s="293"/>
      <c r="E40" s="293"/>
      <c r="F40" s="293">
        <v>37259250.000000007</v>
      </c>
      <c r="G40" s="210"/>
      <c r="H40" s="210"/>
      <c r="I40" s="210"/>
      <c r="J40" s="125"/>
      <c r="K40" s="125"/>
      <c r="L40" s="125"/>
      <c r="M40" s="298"/>
      <c r="N40" s="298"/>
      <c r="O40" s="298"/>
      <c r="P40" s="298"/>
      <c r="Q40" s="125"/>
      <c r="R40" s="298"/>
      <c r="S40" s="298"/>
      <c r="T40" s="298"/>
      <c r="U40" s="32"/>
      <c r="V40" s="269"/>
      <c r="W40" s="600"/>
      <c r="X40" s="857"/>
      <c r="Y40" s="857"/>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90" t="s">
        <v>854</v>
      </c>
      <c r="C41" s="58"/>
      <c r="D41" s="293">
        <v>0</v>
      </c>
      <c r="E41" s="293">
        <v>0</v>
      </c>
      <c r="G41" s="210">
        <v>-13867000</v>
      </c>
      <c r="H41" s="210">
        <v>-19044000.000000004</v>
      </c>
      <c r="I41" s="210">
        <v>-2228000.0000000005</v>
      </c>
      <c r="J41" s="125"/>
      <c r="K41" s="125">
        <v>0</v>
      </c>
      <c r="L41" s="125"/>
      <c r="M41" s="298"/>
      <c r="N41" s="298"/>
      <c r="O41" s="298"/>
      <c r="P41" s="298"/>
      <c r="Q41" s="125"/>
      <c r="R41" s="298"/>
      <c r="S41" s="298"/>
      <c r="T41" s="298"/>
      <c r="U41" s="32"/>
      <c r="V41" s="269"/>
      <c r="W41" s="600"/>
      <c r="X41" s="857"/>
      <c r="Y41" s="85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ht="16.5">
      <c r="A42" t="s">
        <v>76</v>
      </c>
      <c r="B42" s="90" t="s">
        <v>855</v>
      </c>
      <c r="C42" s="34"/>
      <c r="D42" s="125"/>
      <c r="E42" s="125"/>
      <c r="F42" s="125"/>
      <c r="G42" s="125"/>
      <c r="H42" s="125"/>
      <c r="I42" s="125"/>
      <c r="J42" s="125">
        <v>100000000</v>
      </c>
      <c r="K42" s="125">
        <v>99000000</v>
      </c>
      <c r="L42" s="125">
        <v>114000000</v>
      </c>
      <c r="M42" s="298">
        <v>64000000</v>
      </c>
      <c r="N42" s="298">
        <v>50000000</v>
      </c>
      <c r="O42" s="298">
        <v>68000000</v>
      </c>
      <c r="P42" s="298">
        <v>41000000</v>
      </c>
      <c r="Q42" s="125">
        <v>-6000000</v>
      </c>
      <c r="R42" s="298">
        <v>9000000</v>
      </c>
      <c r="S42" s="298">
        <v>-179000000</v>
      </c>
      <c r="T42" s="298">
        <v>-41000000</v>
      </c>
      <c r="U42" s="32">
        <v>115000000</v>
      </c>
      <c r="V42" s="269">
        <v>78000000</v>
      </c>
      <c r="W42" s="600">
        <v>82000000</v>
      </c>
      <c r="X42" s="857">
        <v>84000000</v>
      </c>
      <c r="Y42" s="857">
        <v>88000000</v>
      </c>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t="s">
        <v>76</v>
      </c>
      <c r="B43" s="90" t="s">
        <v>856</v>
      </c>
      <c r="C43" s="34"/>
      <c r="D43" s="125"/>
      <c r="E43" s="125"/>
      <c r="F43" s="125"/>
      <c r="G43" s="125"/>
      <c r="H43" s="125"/>
      <c r="I43" s="125"/>
      <c r="J43" s="125"/>
      <c r="K43" s="125">
        <v>48000000</v>
      </c>
      <c r="L43" s="125">
        <v>-14000000</v>
      </c>
      <c r="M43" s="298">
        <v>-9000000</v>
      </c>
      <c r="N43" s="298">
        <v>-25000000</v>
      </c>
      <c r="O43" s="298">
        <v>-55000000</v>
      </c>
      <c r="P43" s="298">
        <v>-27000000</v>
      </c>
      <c r="Q43" s="125">
        <v>-83000000</v>
      </c>
      <c r="R43" s="298">
        <v>-57000000</v>
      </c>
      <c r="S43" s="298">
        <v>-206000000</v>
      </c>
      <c r="T43" s="298">
        <v>-88000000</v>
      </c>
      <c r="U43" s="32">
        <v>66000000</v>
      </c>
      <c r="V43" s="269">
        <v>28000000</v>
      </c>
      <c r="W43" s="600">
        <v>30000000</v>
      </c>
      <c r="X43" s="857">
        <v>30000000</v>
      </c>
      <c r="Y43" s="857">
        <v>32000000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t="s">
        <v>76</v>
      </c>
      <c r="B44" s="90" t="s">
        <v>857</v>
      </c>
      <c r="C44" s="34"/>
      <c r="D44" s="314">
        <v>-84826000</v>
      </c>
      <c r="E44" s="314">
        <v>-163348000</v>
      </c>
      <c r="F44" s="314">
        <v>-173876500.00000003</v>
      </c>
      <c r="G44" s="315">
        <v>-209986000</v>
      </c>
      <c r="H44" s="315">
        <v>-135424000.00000003</v>
      </c>
      <c r="I44" s="315">
        <v>-122540000.00000001</v>
      </c>
      <c r="J44" s="125">
        <v>-96000000</v>
      </c>
      <c r="K44" s="125">
        <v>-18000000</v>
      </c>
      <c r="L44" s="125">
        <v>10000000</v>
      </c>
      <c r="M44" s="298">
        <v>-33000000</v>
      </c>
      <c r="N44" s="298">
        <v>-47000000</v>
      </c>
      <c r="O44" s="298">
        <v>-32000000</v>
      </c>
      <c r="P44" s="298">
        <v>-17000000</v>
      </c>
      <c r="Q44" s="125">
        <v>-113000000</v>
      </c>
      <c r="R44" s="298">
        <v>-82000000</v>
      </c>
      <c r="S44" s="298">
        <v>-264000000</v>
      </c>
      <c r="T44" s="298">
        <v>-138000000</v>
      </c>
      <c r="U44" s="32">
        <v>5000000</v>
      </c>
      <c r="V44" s="269">
        <v>-44000000</v>
      </c>
      <c r="W44" s="600">
        <v>-43000000</v>
      </c>
      <c r="X44" s="857">
        <v>-45000000</v>
      </c>
      <c r="Y44" s="857">
        <v>-45000000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s="9" customFormat="1" ht="16.5">
      <c r="A45" s="318" t="s">
        <v>115</v>
      </c>
      <c r="B45" s="260" t="s">
        <v>115</v>
      </c>
      <c r="C45" s="239" t="s">
        <v>35</v>
      </c>
      <c r="D45" s="319">
        <f>D46+D48+D56+D62</f>
        <v>86340750</v>
      </c>
      <c r="E45" s="319">
        <f>E46+E48+E56+E62</f>
        <v>163348000</v>
      </c>
      <c r="F45" s="319">
        <f>F46+F48+F56+F62</f>
        <v>173876500</v>
      </c>
      <c r="G45" s="315">
        <v>209986000</v>
      </c>
      <c r="H45" s="319">
        <f>H46+H48+H56+H62</f>
        <v>135424000</v>
      </c>
      <c r="I45" s="319">
        <f>I46+I48+I56+I62</f>
        <v>118083999.99999994</v>
      </c>
      <c r="J45" s="295">
        <v>96000000</v>
      </c>
      <c r="K45" s="295">
        <v>18000000</v>
      </c>
      <c r="L45" s="295">
        <v>-10000000</v>
      </c>
      <c r="M45" s="168">
        <v>33000000</v>
      </c>
      <c r="N45" s="168">
        <v>47000000</v>
      </c>
      <c r="O45" s="168">
        <v>32000000</v>
      </c>
      <c r="P45" s="168">
        <v>17000000</v>
      </c>
      <c r="Q45" s="295">
        <v>113000000</v>
      </c>
      <c r="R45" s="168">
        <v>82000000</v>
      </c>
      <c r="S45" s="168">
        <v>264000000</v>
      </c>
      <c r="T45" s="168">
        <v>138000000</v>
      </c>
      <c r="U45" s="505">
        <v>-5000000</v>
      </c>
      <c r="V45" s="601">
        <v>44000000</v>
      </c>
      <c r="W45" s="602">
        <v>43000000</v>
      </c>
      <c r="X45" s="857">
        <v>45000000</v>
      </c>
      <c r="Y45" s="857">
        <v>45000000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t="s">
        <v>858</v>
      </c>
      <c r="B46" s="90" t="s">
        <v>859</v>
      </c>
      <c r="C46" s="11" t="s">
        <v>119</v>
      </c>
      <c r="D46" s="293">
        <v>0</v>
      </c>
      <c r="E46" s="293">
        <v>58940000.000000007</v>
      </c>
      <c r="F46" s="293">
        <v>5322750</v>
      </c>
      <c r="G46" s="210">
        <v>-103012000</v>
      </c>
      <c r="H46" s="210">
        <v>0</v>
      </c>
      <c r="I46" s="210">
        <v>51244000</v>
      </c>
      <c r="J46" s="125"/>
      <c r="K46" s="125">
        <v>0</v>
      </c>
      <c r="L46" s="125">
        <v>0</v>
      </c>
      <c r="M46" s="298">
        <v>0</v>
      </c>
      <c r="N46" s="298">
        <v>55000000</v>
      </c>
      <c r="O46" s="298">
        <v>20000000</v>
      </c>
      <c r="P46" s="298">
        <v>0</v>
      </c>
      <c r="Q46" s="125">
        <v>0</v>
      </c>
      <c r="R46" s="298">
        <v>0</v>
      </c>
      <c r="S46" s="298">
        <v>-135000000</v>
      </c>
      <c r="T46" s="298">
        <v>-196000000</v>
      </c>
      <c r="U46" s="32">
        <v>-153000000</v>
      </c>
      <c r="V46" s="269">
        <v>0</v>
      </c>
      <c r="W46" s="600">
        <v>0</v>
      </c>
      <c r="X46" s="857">
        <v>0</v>
      </c>
      <c r="Y46" s="857">
        <v>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t="s">
        <v>76</v>
      </c>
      <c r="B47" s="90" t="s">
        <v>860</v>
      </c>
      <c r="C47" s="34"/>
      <c r="D47" s="314">
        <v>84826000</v>
      </c>
      <c r="E47" s="314">
        <v>104408000.00000001</v>
      </c>
      <c r="F47" s="314">
        <v>168553750</v>
      </c>
      <c r="G47" s="315">
        <v>312998000.00000006</v>
      </c>
      <c r="H47" s="315">
        <v>135424000.00000003</v>
      </c>
      <c r="I47" s="315">
        <v>71296000.000000015</v>
      </c>
      <c r="J47" s="125"/>
      <c r="K47" s="125"/>
      <c r="L47" s="125"/>
      <c r="M47" s="298"/>
      <c r="N47" s="298"/>
      <c r="O47" s="298"/>
      <c r="P47" s="298"/>
      <c r="Q47" s="125"/>
      <c r="R47" s="298"/>
      <c r="S47" s="298"/>
      <c r="T47" s="298"/>
      <c r="U47" s="32"/>
      <c r="V47" s="269"/>
      <c r="W47" s="600"/>
      <c r="X47" s="857"/>
      <c r="Y47" s="85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58" t="s">
        <v>120</v>
      </c>
      <c r="B48" s="139" t="s">
        <v>209</v>
      </c>
      <c r="C48" s="11" t="s">
        <v>119</v>
      </c>
      <c r="D48" s="293">
        <v>-4544250.0000000009</v>
      </c>
      <c r="E48" s="293">
        <v>-104408000.00000001</v>
      </c>
      <c r="F48" s="293">
        <v>86938250.000000015</v>
      </c>
      <c r="G48" s="210">
        <v>-59430000</v>
      </c>
      <c r="H48" s="210">
        <v>95220000.000000015</v>
      </c>
      <c r="I48" s="210">
        <v>-26736000</v>
      </c>
      <c r="J48" s="125">
        <v>76000000</v>
      </c>
      <c r="K48" s="125">
        <v>-25000000</v>
      </c>
      <c r="L48" s="125">
        <v>-22000000</v>
      </c>
      <c r="M48" s="298">
        <v>-16000000</v>
      </c>
      <c r="N48" s="298">
        <v>-16000000</v>
      </c>
      <c r="O48" s="298">
        <v>-4000000</v>
      </c>
      <c r="P48" s="298">
        <v>-29000000</v>
      </c>
      <c r="Q48" s="125">
        <v>-26000000</v>
      </c>
      <c r="R48" s="298">
        <v>-20000000</v>
      </c>
      <c r="S48" s="298">
        <v>302000000</v>
      </c>
      <c r="T48" s="298">
        <v>258000000</v>
      </c>
      <c r="U48" s="32">
        <v>110000000</v>
      </c>
      <c r="V48" s="269">
        <v>25000000</v>
      </c>
      <c r="W48" s="600">
        <v>34000000</v>
      </c>
      <c r="X48" s="857">
        <v>61000000</v>
      </c>
      <c r="Y48" s="857">
        <v>101000000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152" t="s">
        <v>861</v>
      </c>
      <c r="B49" s="152" t="s">
        <v>862</v>
      </c>
      <c r="C49" s="90" t="s">
        <v>124</v>
      </c>
      <c r="D49" s="293">
        <v>-4544250.0000000009</v>
      </c>
      <c r="E49" s="293">
        <v>-104408000.00000001</v>
      </c>
      <c r="F49" s="293">
        <v>83389750.000000015</v>
      </c>
      <c r="G49" s="210">
        <v>-51506000</v>
      </c>
      <c r="H49" s="210"/>
      <c r="I49" s="210"/>
      <c r="J49" s="125"/>
      <c r="K49" s="125"/>
      <c r="L49" s="125"/>
      <c r="M49" s="298"/>
      <c r="N49" s="298"/>
      <c r="O49" s="298"/>
      <c r="P49" s="298"/>
      <c r="Q49" s="125"/>
      <c r="R49" s="298"/>
      <c r="S49" s="298"/>
      <c r="T49" s="298"/>
      <c r="U49" s="32"/>
      <c r="V49" s="269"/>
      <c r="W49" s="600"/>
      <c r="X49" s="857"/>
      <c r="Y49" s="85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t="s">
        <v>76</v>
      </c>
      <c r="B50" s="138" t="s">
        <v>123</v>
      </c>
      <c r="C50" s="34"/>
      <c r="D50" s="125"/>
      <c r="E50" s="125"/>
      <c r="F50" s="125"/>
      <c r="G50" s="210">
        <v>77259000.000000015</v>
      </c>
      <c r="H50" s="210"/>
      <c r="I50" s="210"/>
      <c r="J50" s="125"/>
      <c r="K50" s="125"/>
      <c r="L50" s="125"/>
      <c r="M50" s="298"/>
      <c r="N50" s="298"/>
      <c r="O50" s="298"/>
      <c r="P50" s="298"/>
      <c r="Q50" s="125"/>
      <c r="R50" s="298"/>
      <c r="S50" s="298"/>
      <c r="T50" s="298"/>
      <c r="U50" s="32"/>
      <c r="V50" s="269"/>
      <c r="W50" s="600"/>
      <c r="X50" s="857"/>
      <c r="Y50" s="85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t="s">
        <v>76</v>
      </c>
      <c r="B51" s="138" t="s">
        <v>698</v>
      </c>
      <c r="C51" s="34"/>
      <c r="D51" s="125"/>
      <c r="E51" s="125"/>
      <c r="F51" s="125"/>
      <c r="G51" s="210">
        <v>-1981000.0000000002</v>
      </c>
      <c r="H51" s="210"/>
      <c r="I51" s="210"/>
      <c r="J51" s="125"/>
      <c r="K51" s="125"/>
      <c r="L51" s="125"/>
      <c r="M51" s="298"/>
      <c r="N51" s="298"/>
      <c r="O51" s="298"/>
      <c r="P51" s="298"/>
      <c r="Q51" s="125"/>
      <c r="R51" s="298"/>
      <c r="S51" s="298"/>
      <c r="T51" s="298"/>
      <c r="U51" s="32"/>
      <c r="V51" s="269"/>
      <c r="W51" s="600"/>
      <c r="X51" s="857"/>
      <c r="Y51" s="85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t="s">
        <v>76</v>
      </c>
      <c r="B52" s="138" t="s">
        <v>863</v>
      </c>
      <c r="C52" s="34"/>
      <c r="D52" s="125"/>
      <c r="E52" s="125"/>
      <c r="F52" s="125"/>
      <c r="G52" s="210">
        <v>-126784000.00000001</v>
      </c>
      <c r="H52" s="210"/>
      <c r="I52" s="210"/>
      <c r="J52" s="125"/>
      <c r="K52" s="125"/>
      <c r="L52" s="125"/>
      <c r="M52" s="298"/>
      <c r="N52" s="298"/>
      <c r="O52" s="298"/>
      <c r="P52" s="298"/>
      <c r="Q52" s="125"/>
      <c r="R52" s="298"/>
      <c r="S52" s="298"/>
      <c r="T52" s="298"/>
      <c r="U52" s="32"/>
      <c r="V52" s="269"/>
      <c r="W52" s="600"/>
      <c r="X52" s="857"/>
      <c r="Y52" s="857"/>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c r="A53" s="99" t="s">
        <v>258</v>
      </c>
      <c r="B53" s="100" t="s">
        <v>258</v>
      </c>
      <c r="C53" s="90" t="s">
        <v>124</v>
      </c>
      <c r="D53" s="125"/>
      <c r="E53" s="125"/>
      <c r="F53" s="125"/>
      <c r="G53" s="125"/>
      <c r="H53" s="125"/>
      <c r="I53" s="125"/>
      <c r="J53" s="125"/>
      <c r="K53" s="125"/>
      <c r="L53" s="125">
        <v>-19000000</v>
      </c>
      <c r="M53" s="298">
        <v>-8000000</v>
      </c>
      <c r="N53" s="298">
        <v>-2000000</v>
      </c>
      <c r="O53" s="298">
        <v>-2000000</v>
      </c>
      <c r="P53" s="298">
        <v>-2000000</v>
      </c>
      <c r="Q53" s="125">
        <v>-3000000</v>
      </c>
      <c r="R53" s="298"/>
      <c r="S53" s="298"/>
      <c r="T53" s="298"/>
      <c r="U53" s="32"/>
      <c r="V53" s="269"/>
      <c r="W53" s="600"/>
      <c r="X53" s="857"/>
      <c r="Y53" s="857"/>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c r="A54" s="13" t="s">
        <v>864</v>
      </c>
      <c r="B54" s="100" t="s">
        <v>865</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69"/>
      <c r="W54" s="600"/>
      <c r="X54" s="857"/>
      <c r="Y54" s="85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99" t="s">
        <v>350</v>
      </c>
      <c r="B55" s="99" t="s">
        <v>350</v>
      </c>
      <c r="C55" s="90" t="s">
        <v>124</v>
      </c>
      <c r="D55" s="293">
        <v>0</v>
      </c>
      <c r="E55" s="293">
        <v>0</v>
      </c>
      <c r="F55" s="293">
        <v>3548500.0000000005</v>
      </c>
      <c r="G55" s="210">
        <v>-7924000.0000000009</v>
      </c>
      <c r="H55" s="210"/>
      <c r="I55" s="210"/>
      <c r="J55" s="125"/>
      <c r="K55" s="125"/>
      <c r="L55" s="125"/>
      <c r="M55" s="298"/>
      <c r="N55" s="298"/>
      <c r="O55" s="298"/>
      <c r="P55" s="298"/>
      <c r="Q55" s="125"/>
      <c r="R55" s="298"/>
      <c r="S55" s="298"/>
      <c r="T55" s="298"/>
      <c r="U55" s="32"/>
      <c r="V55" s="269"/>
      <c r="W55" s="600"/>
      <c r="X55" s="857"/>
      <c r="Y55" s="85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43" t="s">
        <v>117</v>
      </c>
      <c r="B56" s="90" t="s">
        <v>280</v>
      </c>
      <c r="C56" s="11" t="s">
        <v>119</v>
      </c>
      <c r="D56" s="293">
        <v>63619500.000000007</v>
      </c>
      <c r="E56" s="293">
        <v>205448000</v>
      </c>
      <c r="F56" s="293">
        <v>81615500</v>
      </c>
      <c r="G56" s="210">
        <v>372428000.00000006</v>
      </c>
      <c r="H56" s="300">
        <f>H57+H58+H59+H60</f>
        <v>40204000</v>
      </c>
      <c r="I56" s="300">
        <f>I57+I58+I59+I60</f>
        <v>93575999.99999994</v>
      </c>
      <c r="J56" s="125">
        <v>20000000</v>
      </c>
      <c r="K56" s="125">
        <v>43000000</v>
      </c>
      <c r="L56" s="125">
        <v>12000000</v>
      </c>
      <c r="M56" s="298">
        <v>49000000</v>
      </c>
      <c r="N56" s="298">
        <v>8000000</v>
      </c>
      <c r="O56" s="298">
        <v>16000000</v>
      </c>
      <c r="P56" s="298">
        <v>46000000</v>
      </c>
      <c r="Q56" s="125">
        <v>140000000</v>
      </c>
      <c r="R56" s="298">
        <v>102000000</v>
      </c>
      <c r="S56" s="298">
        <v>98000000</v>
      </c>
      <c r="T56" s="298">
        <v>76000000</v>
      </c>
      <c r="U56" s="32">
        <v>38000000</v>
      </c>
      <c r="V56" s="269">
        <v>19000000</v>
      </c>
      <c r="W56" s="600">
        <v>9000000</v>
      </c>
      <c r="X56" s="857">
        <v>-16000000</v>
      </c>
      <c r="Y56" s="857">
        <v>-56000000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152" t="s">
        <v>415</v>
      </c>
      <c r="B57" s="152" t="s">
        <v>415</v>
      </c>
      <c r="C57" s="58" t="s">
        <v>264</v>
      </c>
      <c r="D57" s="125"/>
      <c r="E57" s="125"/>
      <c r="F57" s="125"/>
      <c r="G57" s="210">
        <v>501193000</v>
      </c>
      <c r="H57" s="210">
        <v>421084000</v>
      </c>
      <c r="I57" s="210">
        <v>409952000</v>
      </c>
      <c r="J57" s="125"/>
      <c r="K57" s="125">
        <v>163000000</v>
      </c>
      <c r="L57" s="125">
        <v>96000000</v>
      </c>
      <c r="M57" s="298">
        <v>115000000</v>
      </c>
      <c r="N57" s="298">
        <v>62000000</v>
      </c>
      <c r="O57" s="298">
        <v>71000000</v>
      </c>
      <c r="P57" s="298">
        <v>137000000</v>
      </c>
      <c r="Q57" s="125">
        <v>291000000</v>
      </c>
      <c r="R57" s="298">
        <v>173000000</v>
      </c>
      <c r="S57" s="298">
        <v>173000000</v>
      </c>
      <c r="T57" s="298">
        <v>157000000</v>
      </c>
      <c r="U57" s="32">
        <v>132000000</v>
      </c>
      <c r="V57" s="269">
        <v>119000000</v>
      </c>
      <c r="W57" s="600">
        <v>113000000</v>
      </c>
      <c r="X57" s="857">
        <v>92000000</v>
      </c>
      <c r="Y57" s="857">
        <v>61000000</v>
      </c>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8">
        <v>-66000000</v>
      </c>
      <c r="N58" s="298">
        <v>-54000000</v>
      </c>
      <c r="O58" s="298">
        <v>-55000000</v>
      </c>
      <c r="P58" s="298">
        <v>-91000000</v>
      </c>
      <c r="Q58" s="125">
        <v>-151000000</v>
      </c>
      <c r="R58" s="298">
        <f>70000000*(-1)</f>
        <v>-70000000</v>
      </c>
      <c r="S58" s="298">
        <f>75000000*(-1)</f>
        <v>-75000000</v>
      </c>
      <c r="T58" s="298">
        <f>81000000*(-1)</f>
        <v>-81000000</v>
      </c>
      <c r="U58" s="298">
        <f>94000000*(-1)</f>
        <v>-94000000</v>
      </c>
      <c r="V58" s="298">
        <f>100000000*(-1)</f>
        <v>-100000000</v>
      </c>
      <c r="W58" s="298">
        <f>104000000*(-1)</f>
        <v>-104000000</v>
      </c>
      <c r="X58" s="298">
        <f>108000000*(-1)</f>
        <v>-108000000</v>
      </c>
      <c r="Y58" s="298">
        <f>117000000*(-1)</f>
        <v>-117000000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t="s">
        <v>866</v>
      </c>
      <c r="B59" s="64" t="s">
        <v>867</v>
      </c>
      <c r="C59" s="58" t="s">
        <v>264</v>
      </c>
      <c r="D59" s="125"/>
      <c r="E59" s="125"/>
      <c r="F59" s="125"/>
      <c r="G59" s="210">
        <v>0</v>
      </c>
      <c r="H59" s="210">
        <v>-122728000</v>
      </c>
      <c r="I59" s="210">
        <v>-6684000</v>
      </c>
      <c r="J59" s="125"/>
      <c r="K59" s="125"/>
      <c r="L59" s="125"/>
      <c r="M59" s="298"/>
      <c r="N59" s="298"/>
      <c r="O59" s="298"/>
      <c r="P59" s="298"/>
      <c r="Q59" s="125"/>
      <c r="R59" s="298"/>
      <c r="S59" s="298"/>
      <c r="T59" s="298"/>
      <c r="U59" s="32"/>
      <c r="V59" s="269"/>
      <c r="W59" s="600"/>
      <c r="X59" s="858"/>
      <c r="Y59" s="858"/>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4" t="s">
        <v>868</v>
      </c>
      <c r="B60" s="64" t="s">
        <v>869</v>
      </c>
      <c r="C60" s="58" t="s">
        <v>264</v>
      </c>
      <c r="D60" s="125"/>
      <c r="E60" s="125"/>
      <c r="F60" s="125"/>
      <c r="G60" s="210">
        <v>-27734000</v>
      </c>
      <c r="H60" s="210">
        <v>-10580000</v>
      </c>
      <c r="I60" s="210">
        <v>-11140000</v>
      </c>
      <c r="J60" s="125"/>
      <c r="K60" s="125"/>
      <c r="L60" s="125"/>
      <c r="M60" s="298"/>
      <c r="N60" s="298"/>
      <c r="O60" s="298"/>
      <c r="P60" s="298"/>
      <c r="Q60" s="125"/>
      <c r="R60" s="298"/>
      <c r="S60" s="298"/>
      <c r="T60" s="298"/>
      <c r="U60" s="28"/>
      <c r="V60" s="269"/>
      <c r="W60" s="600"/>
      <c r="X60" s="858"/>
      <c r="Y60" s="858"/>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t="s">
        <v>76</v>
      </c>
      <c r="B61" s="58" t="s">
        <v>870</v>
      </c>
      <c r="C61" s="34"/>
      <c r="D61" s="125"/>
      <c r="E61" s="125"/>
      <c r="F61" s="125"/>
      <c r="G61" s="210">
        <v>0</v>
      </c>
      <c r="H61" s="210">
        <v>0</v>
      </c>
      <c r="I61" s="210">
        <v>0</v>
      </c>
      <c r="J61" s="125"/>
      <c r="K61" s="125"/>
      <c r="L61" s="125"/>
      <c r="M61" s="298"/>
      <c r="N61" s="298"/>
      <c r="O61" s="298"/>
      <c r="P61" s="298"/>
      <c r="Q61" s="125"/>
      <c r="R61" s="298"/>
      <c r="S61" s="298"/>
      <c r="T61" s="298"/>
      <c r="U61" s="28"/>
      <c r="V61" s="269"/>
      <c r="W61" s="600"/>
      <c r="X61" s="858"/>
      <c r="Y61" s="858"/>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58" t="s">
        <v>871</v>
      </c>
      <c r="B62" s="58" t="s">
        <v>872</v>
      </c>
      <c r="C62" s="11" t="s">
        <v>119</v>
      </c>
      <c r="D62" s="293">
        <v>27265500</v>
      </c>
      <c r="E62" s="293">
        <v>3368000.0000000005</v>
      </c>
      <c r="F62" s="293"/>
      <c r="G62" s="210"/>
      <c r="H62" s="210"/>
      <c r="I62" s="210"/>
      <c r="J62" s="125"/>
      <c r="K62" s="125"/>
      <c r="L62" s="210"/>
      <c r="M62" s="298"/>
      <c r="N62" s="298"/>
      <c r="O62" s="298"/>
      <c r="P62" s="298"/>
      <c r="Q62" s="125"/>
      <c r="R62" s="298"/>
      <c r="S62" s="298"/>
      <c r="T62" s="298"/>
      <c r="U62" s="28"/>
      <c r="V62" s="269"/>
      <c r="W62" s="600"/>
      <c r="X62" s="858"/>
      <c r="Y62" s="858"/>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s="498" customFormat="1" ht="16.5">
      <c r="B63" s="519" t="s">
        <v>873</v>
      </c>
      <c r="V63" s="856"/>
      <c r="W63" s="856"/>
      <c r="X63" s="856"/>
      <c r="Y63" s="856"/>
      <c r="Z63" s="90"/>
      <c r="AA63" s="276"/>
      <c r="AB63" s="90"/>
      <c r="AC63" s="90"/>
      <c r="AD63" s="90"/>
      <c r="AE63" s="90"/>
      <c r="AF63" s="90"/>
      <c r="AG63" s="90"/>
      <c r="AH63" s="90"/>
    </row>
    <row r="64" spans="1:54" s="498" customFormat="1" ht="16.5">
      <c r="B64" s="99" t="s">
        <v>874</v>
      </c>
      <c r="N64" s="509">
        <v>68000000</v>
      </c>
      <c r="O64" s="509">
        <v>90000000</v>
      </c>
      <c r="P64" s="509">
        <v>47000000</v>
      </c>
      <c r="Q64" s="509">
        <v>37000000</v>
      </c>
      <c r="R64" s="509">
        <v>27000000</v>
      </c>
      <c r="S64" s="509">
        <v>12000000</v>
      </c>
      <c r="T64" s="509">
        <v>6000000</v>
      </c>
      <c r="U64" s="509">
        <v>7000000</v>
      </c>
      <c r="V64" s="856"/>
      <c r="W64" s="856"/>
      <c r="X64" s="856"/>
      <c r="Y64" s="856"/>
      <c r="Z64" s="90"/>
    </row>
    <row r="65" spans="2:54">
      <c r="B65" s="58"/>
      <c r="C65" s="34"/>
      <c r="J65" s="125"/>
      <c r="K65" s="125"/>
      <c r="L65" s="125"/>
      <c r="M65" s="298"/>
      <c r="N65" s="298"/>
      <c r="O65" s="298"/>
      <c r="P65" s="298"/>
      <c r="Q65" s="125"/>
      <c r="R65" s="298"/>
      <c r="S65" s="298"/>
      <c r="T65" s="298"/>
      <c r="U65" s="28"/>
      <c r="V65" s="269"/>
      <c r="W65" s="600"/>
      <c r="X65" s="858"/>
      <c r="Y65" s="858"/>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2:54">
      <c r="B67" s="58"/>
      <c r="C67" s="34"/>
      <c r="M67" s="28"/>
      <c r="N67" s="28"/>
      <c r="O67" s="28"/>
      <c r="P67" s="28"/>
      <c r="Q67" s="21"/>
      <c r="R67" s="28"/>
      <c r="S67" s="28"/>
      <c r="T67" s="28"/>
      <c r="U67" s="28"/>
      <c r="V67" s="28"/>
      <c r="W67" s="2"/>
      <c r="X67" s="859"/>
      <c r="Y67" s="859"/>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2:54">
      <c r="B68" t="s">
        <v>875</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2:54">
      <c r="B70" t="s">
        <v>524</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2:54">
      <c r="B71" t="s">
        <v>142</v>
      </c>
      <c r="C71" s="34"/>
      <c r="D71" s="320">
        <f>D10-D11-D12-D16</f>
        <v>265081250.00000006</v>
      </c>
      <c r="E71" s="320">
        <f>E10-E11-E12-E16</f>
        <v>296384000.00000006</v>
      </c>
      <c r="F71" s="320">
        <f>F10-F11-F12-F16</f>
        <v>326462000</v>
      </c>
      <c r="G71" s="320">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2:54">
      <c r="B73" t="s">
        <v>826</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7">
        <f t="shared" si="15"/>
        <v>1000000</v>
      </c>
      <c r="S73" s="267">
        <f t="shared" si="15"/>
        <v>1000000</v>
      </c>
      <c r="T73" s="267">
        <f t="shared" si="15"/>
        <v>0</v>
      </c>
      <c r="U73" s="267">
        <f t="shared" si="15"/>
        <v>1000000</v>
      </c>
      <c r="V73" s="267">
        <f t="shared" ref="V73" si="16">V23-V24-V25-V26-V27-W75-V32</f>
        <v>0</v>
      </c>
      <c r="W73" s="267">
        <f t="shared" ref="W73" si="17">W23-W24-W25-W26-W27-X75-W32</f>
        <v>1000000</v>
      </c>
      <c r="X73" s="267">
        <f t="shared" ref="X73" si="18">X23-X24-X25-X26-X27-Y75-X32</f>
        <v>1000000</v>
      </c>
      <c r="Y73" s="267">
        <f t="shared" ref="Y73" si="19">Y23-Y24-Y25-Y26-Y27-Z75-Y32</f>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860">
        <f t="shared" si="20"/>
        <v>90000000</v>
      </c>
      <c r="S74" s="860">
        <f t="shared" si="20"/>
        <v>85000000</v>
      </c>
      <c r="T74" s="860">
        <f t="shared" si="20"/>
        <v>97000000</v>
      </c>
      <c r="U74" s="860">
        <f>U27-U28-U29</f>
        <v>110000000</v>
      </c>
      <c r="V74" s="860">
        <f t="shared" ref="V74:X74" si="21">V27-V28-V29</f>
        <v>122000000</v>
      </c>
      <c r="W74" s="860">
        <f t="shared" si="21"/>
        <v>124000000</v>
      </c>
      <c r="X74" s="860">
        <f t="shared" si="21"/>
        <v>128000000</v>
      </c>
      <c r="Y74" s="860">
        <f>Y27-Y28-Y29</f>
        <v>133000000</v>
      </c>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2:54">
      <c r="B75" t="s">
        <v>876</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7">
        <f t="shared" si="22"/>
        <v>1000000</v>
      </c>
      <c r="S75" s="267">
        <f t="shared" si="22"/>
        <v>-1000000</v>
      </c>
      <c r="T75" s="267">
        <f t="shared" si="22"/>
        <v>-1000000</v>
      </c>
      <c r="U75" s="267">
        <f>U35-U36-U37-U38</f>
        <v>0</v>
      </c>
      <c r="V75" s="267">
        <f t="shared" ref="V75:X75" si="23">V35-V36-V37-V38</f>
        <v>-1000000</v>
      </c>
      <c r="W75" s="267">
        <f t="shared" si="23"/>
        <v>0</v>
      </c>
      <c r="X75" s="267">
        <f t="shared" si="23"/>
        <v>-1000000</v>
      </c>
      <c r="Y75" s="267">
        <f>Y35-Y36-Y37-Y38</f>
        <v>-1000000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7">
        <f t="shared" si="24"/>
        <v>0</v>
      </c>
      <c r="S76" s="267">
        <f t="shared" si="24"/>
        <v>-1000000</v>
      </c>
      <c r="T76" s="267">
        <f t="shared" si="24"/>
        <v>0</v>
      </c>
      <c r="U76" s="267">
        <f t="shared" si="24"/>
        <v>0</v>
      </c>
      <c r="V76" s="267">
        <f t="shared" ref="V76:Y76" si="25">V45-V46-V48-V56-V62</f>
        <v>0</v>
      </c>
      <c r="W76" s="267">
        <f t="shared" si="25"/>
        <v>0</v>
      </c>
      <c r="X76" s="267">
        <f t="shared" si="25"/>
        <v>0</v>
      </c>
      <c r="Y76" s="267">
        <f t="shared" si="25"/>
        <v>0</v>
      </c>
    </row>
    <row r="77" spans="2:54">
      <c r="B77" t="s">
        <v>877</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791">
        <f t="shared" si="26"/>
        <v>-20000000</v>
      </c>
      <c r="S77" s="791">
        <f t="shared" si="26"/>
        <v>302000000</v>
      </c>
      <c r="T77" s="791">
        <f t="shared" si="26"/>
        <v>258000000</v>
      </c>
      <c r="U77" s="791">
        <f>U48-U49-U54-U53-U55</f>
        <v>110000000</v>
      </c>
      <c r="V77" s="791">
        <f t="shared" ref="V77:X77" si="27">V48-V49-V54-V53-V55</f>
        <v>25000000</v>
      </c>
      <c r="W77" s="791">
        <f t="shared" si="27"/>
        <v>34000000</v>
      </c>
      <c r="X77" s="791">
        <f t="shared" si="27"/>
        <v>61000000</v>
      </c>
      <c r="Y77" s="791">
        <f>Y48-Y49-Y54-Y53-Y55</f>
        <v>101000000</v>
      </c>
    </row>
    <row r="78" spans="2:54">
      <c r="B78" t="s">
        <v>528</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7">
        <f t="shared" si="28"/>
        <v>-1000000</v>
      </c>
      <c r="S78" s="267">
        <f t="shared" si="28"/>
        <v>0</v>
      </c>
      <c r="T78" s="267">
        <f t="shared" si="28"/>
        <v>0</v>
      </c>
      <c r="U78" s="267">
        <f>U56-U57-U59-U58-U60</f>
        <v>0</v>
      </c>
      <c r="V78" s="267">
        <f t="shared" ref="V78:X78" si="29">V56-V57-V59-V58-V60</f>
        <v>0</v>
      </c>
      <c r="W78" s="267">
        <f t="shared" si="29"/>
        <v>0</v>
      </c>
      <c r="X78" s="267">
        <f t="shared" si="29"/>
        <v>0</v>
      </c>
      <c r="Y78" s="267">
        <f>Y56-Y57-Y59-Y58-Y60</f>
        <v>0</v>
      </c>
    </row>
    <row r="79" spans="2:54">
      <c r="C79" s="34"/>
      <c r="D79" s="21"/>
      <c r="E79" s="21"/>
      <c r="F79" s="78"/>
      <c r="H79" s="21"/>
      <c r="I79" s="21"/>
      <c r="J79" s="21"/>
      <c r="V79" s="28"/>
      <c r="W79" s="2"/>
    </row>
    <row r="80" spans="2:54">
      <c r="C80" s="34"/>
      <c r="D80" s="21"/>
      <c r="V80" s="28"/>
      <c r="W80" s="2"/>
    </row>
    <row r="81" spans="2:25" ht="15.75" thickBot="1">
      <c r="B81" t="s">
        <v>623</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7">
        <v>3173000000</v>
      </c>
      <c r="Q81" s="267">
        <v>3286000000</v>
      </c>
      <c r="R81" s="267">
        <v>3431000000</v>
      </c>
      <c r="S81" s="267">
        <v>3484000000</v>
      </c>
      <c r="T81" s="267">
        <v>3520000000</v>
      </c>
      <c r="U81" s="267">
        <v>3684000000</v>
      </c>
      <c r="V81" s="267">
        <v>3847000000</v>
      </c>
      <c r="W81" s="600">
        <v>3997000000</v>
      </c>
      <c r="X81" s="267">
        <v>4150000000</v>
      </c>
      <c r="Y81" s="267">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886">
        <f t="shared" si="30"/>
        <v>26.378821304758905</v>
      </c>
      <c r="Q82" s="886">
        <f t="shared" si="30"/>
        <v>27.693244065733413</v>
      </c>
      <c r="R82" s="886">
        <f t="shared" si="30"/>
        <v>29.175167589624017</v>
      </c>
      <c r="S82" s="886">
        <f t="shared" si="30"/>
        <v>28.702640642939148</v>
      </c>
      <c r="T82" s="886">
        <f t="shared" si="30"/>
        <v>29.88636363636364</v>
      </c>
      <c r="U82" s="886">
        <f t="shared" si="30"/>
        <v>32.220412595005428</v>
      </c>
      <c r="V82" s="886">
        <f t="shared" si="30"/>
        <v>31.894983103717184</v>
      </c>
      <c r="W82" s="886">
        <f t="shared" si="30"/>
        <v>32.02401801351013</v>
      </c>
      <c r="X82" s="886">
        <f t="shared" si="30"/>
        <v>32.144578313253014</v>
      </c>
      <c r="Y82" s="886">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30.200000000000003</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t="b">
        <f t="shared" si="32"/>
        <v>0</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6"/>
      <c r="O89" s="90"/>
      <c r="P89" s="90"/>
      <c r="Q89" s="90"/>
      <c r="R89" s="90"/>
      <c r="S89" s="90"/>
      <c r="T89" s="90"/>
      <c r="U89" s="90"/>
    </row>
    <row r="90" spans="2:25" ht="16.5">
      <c r="M90" s="90"/>
      <c r="N90" s="410"/>
      <c r="O90" s="410"/>
      <c r="P90" s="410"/>
      <c r="Q90" s="410"/>
      <c r="R90" s="410"/>
      <c r="S90" s="410"/>
      <c r="T90" s="410"/>
      <c r="U90" s="410"/>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F12" activePane="bottomRight" state="frozen"/>
      <selection pane="topRight" activeCell="R7" sqref="R7"/>
      <selection pane="bottomLeft" activeCell="R7" sqref="R7"/>
      <selection pane="bottomRight" activeCell="R16" sqref="R16"/>
    </sheetView>
  </sheetViews>
  <sheetFormatPr defaultRowHeight="15.75"/>
  <cols>
    <col min="1" max="1" width="32.42578125" style="534" bestFit="1" customWidth="1"/>
    <col min="2" max="2" width="48.140625" style="534" customWidth="1"/>
    <col min="3" max="3" width="29.85546875" style="534" customWidth="1"/>
    <col min="4" max="7" width="21" style="534" bestFit="1" customWidth="1"/>
    <col min="8" max="10" width="21.140625" style="534" bestFit="1" customWidth="1"/>
    <col min="11" max="11" width="25" style="534" bestFit="1" customWidth="1"/>
    <col min="12" max="18" width="22" style="534" customWidth="1"/>
    <col min="19" max="19" width="26.140625" style="534" bestFit="1" customWidth="1"/>
    <col min="20" max="20" width="25.42578125" style="534" bestFit="1" customWidth="1"/>
    <col min="21" max="22" width="26.140625" style="534" bestFit="1" customWidth="1"/>
    <col min="23" max="24" width="25.42578125" style="534" bestFit="1" customWidth="1"/>
    <col min="25" max="26" width="26.140625" style="534" bestFit="1" customWidth="1"/>
    <col min="28" max="28" width="45.42578125" customWidth="1"/>
    <col min="35" max="35" width="12.28515625" bestFit="1" customWidth="1"/>
  </cols>
  <sheetData>
    <row r="1" spans="1:46">
      <c r="A1" s="534" t="s">
        <v>878</v>
      </c>
      <c r="B1" s="548" t="s">
        <v>879</v>
      </c>
      <c r="C1" s="548"/>
      <c r="D1" s="863"/>
      <c r="E1" s="549"/>
      <c r="F1" s="549"/>
      <c r="G1" s="549"/>
      <c r="H1" s="549"/>
      <c r="I1" s="549"/>
      <c r="J1" s="549"/>
      <c r="K1" s="549"/>
      <c r="L1" s="549"/>
      <c r="M1" s="549"/>
      <c r="N1" s="549"/>
      <c r="O1" s="550"/>
      <c r="P1" s="550"/>
      <c r="Q1" s="550"/>
      <c r="R1" s="551"/>
      <c r="S1" s="864"/>
      <c r="T1" s="864"/>
      <c r="U1" s="864"/>
      <c r="V1" s="864"/>
      <c r="W1" s="864"/>
      <c r="X1" s="864"/>
      <c r="Y1" s="864"/>
      <c r="Z1" s="864"/>
    </row>
    <row r="2" spans="1:46">
      <c r="B2" s="552" t="s">
        <v>880</v>
      </c>
      <c r="C2" s="552"/>
      <c r="D2" s="550"/>
      <c r="E2" s="550"/>
      <c r="F2" s="550"/>
      <c r="G2" s="550"/>
      <c r="H2" s="550"/>
      <c r="I2" s="550"/>
      <c r="J2" s="550"/>
      <c r="K2" s="550"/>
      <c r="L2" s="550"/>
      <c r="M2" s="550"/>
      <c r="N2" s="550"/>
      <c r="O2" s="550"/>
      <c r="P2" s="550"/>
      <c r="Q2" s="550"/>
      <c r="R2" s="553"/>
      <c r="S2" s="13"/>
      <c r="T2" s="2472"/>
      <c r="U2" s="13"/>
      <c r="V2" s="550"/>
      <c r="W2" s="550"/>
      <c r="X2" s="550"/>
      <c r="Y2" s="867"/>
      <c r="Z2" s="867"/>
    </row>
    <row r="3" spans="1:46">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867">
        <v>2021</v>
      </c>
      <c r="Z3" s="867">
        <v>2022</v>
      </c>
      <c r="AB3" s="2463"/>
      <c r="AC3" s="2463"/>
      <c r="AD3" s="2463"/>
      <c r="AE3" s="2463"/>
      <c r="AF3" s="2463"/>
      <c r="AG3" s="2463"/>
      <c r="AH3" s="2463"/>
      <c r="AI3" s="2463"/>
      <c r="AJ3" s="2463"/>
      <c r="AK3" s="2463"/>
      <c r="AL3" s="2463"/>
      <c r="AM3" s="2463"/>
      <c r="AN3" s="2463"/>
      <c r="AO3" s="2463"/>
      <c r="AP3" s="2463"/>
      <c r="AQ3" s="2463"/>
      <c r="AR3" s="2463"/>
      <c r="AS3" s="2463"/>
      <c r="AT3" s="2463"/>
    </row>
    <row r="4" spans="1:46">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867" t="s">
        <v>26</v>
      </c>
      <c r="Z4" s="867" t="s">
        <v>27</v>
      </c>
      <c r="AB4" s="2463"/>
      <c r="AC4" s="2463"/>
      <c r="AD4" s="2463"/>
      <c r="AE4" s="2463"/>
      <c r="AF4" s="2463"/>
      <c r="AG4" s="2463"/>
      <c r="AH4" s="2463"/>
      <c r="AI4" s="2463"/>
      <c r="AJ4" s="2463"/>
      <c r="AK4" s="2463"/>
      <c r="AL4" s="2463"/>
      <c r="AM4" s="2463"/>
      <c r="AN4" s="2463"/>
      <c r="AO4" s="2463"/>
      <c r="AP4" s="2463"/>
      <c r="AQ4" s="2463"/>
      <c r="AR4" s="2463"/>
      <c r="AS4" s="2463"/>
      <c r="AT4" s="2463"/>
    </row>
    <row r="5" spans="1:46">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32</v>
      </c>
      <c r="W5" s="550" t="s">
        <v>32</v>
      </c>
      <c r="X5" s="550" t="s">
        <v>32</v>
      </c>
      <c r="Y5" s="550" t="s">
        <v>32</v>
      </c>
      <c r="Z5" s="550" t="s">
        <v>32</v>
      </c>
      <c r="AB5" s="2463"/>
      <c r="AC5" s="2463"/>
      <c r="AD5" s="2463"/>
      <c r="AE5" s="2463"/>
      <c r="AF5" s="2463"/>
      <c r="AG5" s="2463"/>
      <c r="AH5" s="2463"/>
      <c r="AI5" s="2463"/>
      <c r="AJ5" s="2463"/>
      <c r="AK5" s="2463"/>
      <c r="AL5" s="2463"/>
      <c r="AM5" s="2463"/>
      <c r="AN5" s="2463"/>
      <c r="AO5" s="2463"/>
      <c r="AP5" s="2463"/>
      <c r="AQ5" s="2463"/>
      <c r="AR5" s="2463"/>
      <c r="AS5" s="2463"/>
      <c r="AT5" s="2463"/>
    </row>
    <row r="6" spans="1:46" s="848" customFormat="1">
      <c r="A6" s="877" t="s">
        <v>33</v>
      </c>
      <c r="B6" s="877" t="s">
        <v>881</v>
      </c>
      <c r="C6" s="874" t="s">
        <v>35</v>
      </c>
      <c r="D6" s="878">
        <v>293200000000</v>
      </c>
      <c r="E6" s="878">
        <v>327000000000</v>
      </c>
      <c r="F6" s="878">
        <v>337200000000</v>
      </c>
      <c r="G6" s="878">
        <v>387500000000</v>
      </c>
      <c r="H6" s="878">
        <v>407100000000</v>
      </c>
      <c r="I6" s="878">
        <v>431300000000</v>
      </c>
      <c r="J6" s="878">
        <v>472600000000</v>
      </c>
      <c r="K6" s="878">
        <v>626900000000</v>
      </c>
      <c r="L6" s="878">
        <v>633300000000</v>
      </c>
      <c r="M6" s="878">
        <v>675900000000</v>
      </c>
      <c r="N6" s="878">
        <v>649600000000</v>
      </c>
      <c r="O6" s="878">
        <f>O7+O12</f>
        <v>692700000000</v>
      </c>
      <c r="P6" s="878">
        <v>795648000000</v>
      </c>
      <c r="Q6" s="878">
        <v>837186000000.00012</v>
      </c>
      <c r="R6" s="879">
        <f>R7+R12</f>
        <v>824900000000</v>
      </c>
      <c r="S6" s="879">
        <f>S7+S12</f>
        <v>848300000000</v>
      </c>
      <c r="T6" s="879">
        <f>T7+T12</f>
        <v>780400000000</v>
      </c>
      <c r="U6" s="879">
        <f t="shared" ref="U6:Z6" si="0">U7+U12</f>
        <v>1001700000000</v>
      </c>
      <c r="V6" s="879">
        <f t="shared" si="0"/>
        <v>1104400000000</v>
      </c>
      <c r="W6" s="879">
        <f t="shared" si="0"/>
        <v>1189300000000</v>
      </c>
      <c r="X6" s="879">
        <f t="shared" si="0"/>
        <v>1327700000000</v>
      </c>
      <c r="Y6" s="879">
        <f t="shared" si="0"/>
        <v>1467700000000</v>
      </c>
      <c r="Z6" s="879">
        <f t="shared" si="0"/>
        <v>1618300000000</v>
      </c>
      <c r="AA6" s="2463"/>
      <c r="AB6" s="2463"/>
      <c r="AC6" s="2463"/>
      <c r="AD6" s="2463"/>
      <c r="AE6" s="2463"/>
      <c r="AF6" s="2463"/>
      <c r="AG6" s="2463"/>
      <c r="AH6" s="2463"/>
      <c r="AI6" s="2463"/>
      <c r="AJ6" s="2463"/>
      <c r="AK6" s="2463"/>
      <c r="AL6" s="2463"/>
      <c r="AM6" s="2463"/>
      <c r="AN6" s="2463"/>
      <c r="AO6" s="2463"/>
      <c r="AP6" s="2463"/>
      <c r="AQ6" s="2463"/>
      <c r="AR6" s="2463"/>
      <c r="AS6" s="2463"/>
      <c r="AT6" s="2463"/>
    </row>
    <row r="7" spans="1:46">
      <c r="A7" s="435" t="s">
        <v>36</v>
      </c>
      <c r="B7" s="534" t="s">
        <v>882</v>
      </c>
      <c r="C7" s="865" t="s">
        <v>38</v>
      </c>
      <c r="D7" s="565">
        <v>266200000000</v>
      </c>
      <c r="E7" s="565">
        <v>281000000000</v>
      </c>
      <c r="F7" s="565">
        <v>318200000000</v>
      </c>
      <c r="G7" s="565">
        <v>350700000000</v>
      </c>
      <c r="H7" s="565">
        <v>351400000000</v>
      </c>
      <c r="I7" s="565">
        <v>383400000000</v>
      </c>
      <c r="J7" s="565">
        <v>416900000000</v>
      </c>
      <c r="K7" s="565">
        <v>548000000000</v>
      </c>
      <c r="L7" s="565">
        <v>581300000000</v>
      </c>
      <c r="M7" s="565">
        <v>575800000000</v>
      </c>
      <c r="N7" s="565">
        <v>603000000000</v>
      </c>
      <c r="O7" s="567">
        <v>605600000000</v>
      </c>
      <c r="P7" s="567">
        <v>722500000000</v>
      </c>
      <c r="Q7" s="567">
        <v>795500000000</v>
      </c>
      <c r="R7" s="567">
        <v>780800000000</v>
      </c>
      <c r="S7" s="567">
        <v>819500000000</v>
      </c>
      <c r="T7" s="567">
        <v>745700000000</v>
      </c>
      <c r="U7" s="567">
        <v>944400000000</v>
      </c>
      <c r="V7" s="567">
        <v>1021600000000</v>
      </c>
      <c r="W7" s="567">
        <v>1081500000000</v>
      </c>
      <c r="X7" s="866">
        <v>1219900000000</v>
      </c>
      <c r="Y7" s="866">
        <v>1370900000000</v>
      </c>
      <c r="Z7" s="866">
        <v>1511000000000</v>
      </c>
      <c r="AA7" s="2463"/>
      <c r="AB7" s="2463"/>
      <c r="AC7" s="2463"/>
      <c r="AD7" s="2463"/>
      <c r="AE7" s="2463"/>
      <c r="AF7" s="2463"/>
      <c r="AG7" s="2463"/>
      <c r="AH7" s="2463"/>
      <c r="AI7" s="2463"/>
      <c r="AJ7" s="2463"/>
      <c r="AK7" s="2463"/>
      <c r="AL7" s="2463"/>
      <c r="AM7" s="2463"/>
      <c r="AN7" s="2463"/>
      <c r="AO7" s="2463"/>
      <c r="AP7" s="2463"/>
      <c r="AQ7" s="2463"/>
      <c r="AR7" s="2463"/>
      <c r="AS7" s="2463"/>
      <c r="AT7" s="2463"/>
    </row>
    <row r="8" spans="1:46">
      <c r="A8" s="435" t="s">
        <v>39</v>
      </c>
      <c r="B8" s="534" t="s">
        <v>285</v>
      </c>
      <c r="C8" s="865" t="s">
        <v>41</v>
      </c>
      <c r="D8" s="565">
        <v>234100000000</v>
      </c>
      <c r="E8" s="565">
        <v>247100000000</v>
      </c>
      <c r="F8" s="565">
        <v>282500000000</v>
      </c>
      <c r="G8" s="565">
        <v>313600000000</v>
      </c>
      <c r="H8" s="565">
        <v>311400000000</v>
      </c>
      <c r="I8" s="565">
        <v>334000000000</v>
      </c>
      <c r="J8" s="565">
        <v>378800000000</v>
      </c>
      <c r="K8" s="565">
        <v>446700000000</v>
      </c>
      <c r="L8" s="565">
        <v>512200000000.00006</v>
      </c>
      <c r="M8" s="565">
        <v>500400000000</v>
      </c>
      <c r="N8" s="565">
        <v>525900000000</v>
      </c>
      <c r="O8" s="567">
        <v>534700000000.00006</v>
      </c>
      <c r="P8" s="567">
        <v>598200000000</v>
      </c>
      <c r="Q8" s="567">
        <v>668200000000</v>
      </c>
      <c r="R8" s="567">
        <v>701200000000</v>
      </c>
      <c r="S8" s="567">
        <v>713100000000</v>
      </c>
      <c r="T8" s="567">
        <v>641100000000</v>
      </c>
      <c r="U8" s="567">
        <v>712800000000</v>
      </c>
      <c r="V8" s="567">
        <v>855200000000</v>
      </c>
      <c r="W8" s="567">
        <v>933100000000</v>
      </c>
      <c r="X8" s="866">
        <v>1058099999999.9999</v>
      </c>
      <c r="Y8" s="866">
        <v>1194100000000</v>
      </c>
      <c r="Z8" s="866">
        <v>1320300000000</v>
      </c>
      <c r="AA8" s="2463"/>
      <c r="AB8" s="2463"/>
      <c r="AC8" s="2463"/>
      <c r="AD8" s="2463"/>
      <c r="AE8" s="2463"/>
      <c r="AF8" s="2463"/>
      <c r="AG8" s="2463"/>
      <c r="AH8" s="2463"/>
      <c r="AI8" s="2463"/>
      <c r="AJ8" s="2463"/>
      <c r="AK8" s="2463"/>
      <c r="AL8" s="2463"/>
      <c r="AM8" s="2463"/>
      <c r="AN8" s="2463"/>
      <c r="AO8" s="2463"/>
      <c r="AP8" s="2463"/>
      <c r="AQ8" s="2463"/>
      <c r="AR8" s="2463"/>
      <c r="AS8" s="2463"/>
      <c r="AT8" s="2463"/>
    </row>
    <row r="9" spans="1:46">
      <c r="A9" s="435" t="s">
        <v>45</v>
      </c>
      <c r="B9" s="867" t="s">
        <v>883</v>
      </c>
      <c r="C9" s="534" t="s">
        <v>44</v>
      </c>
      <c r="D9" s="565">
        <v>126700000000</v>
      </c>
      <c r="E9" s="565">
        <v>133199999999.99998</v>
      </c>
      <c r="F9" s="565">
        <v>145900000000</v>
      </c>
      <c r="G9" s="565">
        <v>163600000000</v>
      </c>
      <c r="H9" s="565">
        <v>155900000000</v>
      </c>
      <c r="I9" s="565">
        <v>174800000000</v>
      </c>
      <c r="J9" s="565">
        <v>207400000000</v>
      </c>
      <c r="K9" s="565">
        <v>250100000000</v>
      </c>
      <c r="L9" s="565">
        <v>278900000000</v>
      </c>
      <c r="M9" s="565">
        <v>259300000000</v>
      </c>
      <c r="N9" s="565">
        <v>278400000000</v>
      </c>
      <c r="O9" s="565">
        <v>261200000000</v>
      </c>
      <c r="P9" s="565">
        <v>318100000000</v>
      </c>
      <c r="Q9" s="565">
        <v>371600000000</v>
      </c>
      <c r="R9" s="567">
        <v>362100000000</v>
      </c>
      <c r="S9" s="565">
        <v>345700000000</v>
      </c>
      <c r="T9" s="565">
        <v>288500000000</v>
      </c>
      <c r="U9" s="565">
        <v>316000000000</v>
      </c>
      <c r="V9" s="565">
        <v>387000000000</v>
      </c>
      <c r="W9" s="567">
        <v>412500000000</v>
      </c>
      <c r="X9" s="866">
        <v>463300000000</v>
      </c>
      <c r="Y9" s="866">
        <v>521400000000</v>
      </c>
      <c r="Z9" s="866">
        <v>578600000000</v>
      </c>
      <c r="AA9" s="2463"/>
      <c r="AB9" s="2463"/>
      <c r="AC9" s="2463"/>
      <c r="AD9" s="2463"/>
      <c r="AE9" s="2463"/>
      <c r="AF9" s="2463"/>
      <c r="AG9" s="2463"/>
      <c r="AH9" s="2463"/>
      <c r="AI9" s="2463"/>
      <c r="AJ9" s="2463"/>
      <c r="AK9" s="2463"/>
      <c r="AL9" s="2463"/>
      <c r="AM9" s="2463"/>
      <c r="AN9" s="2463"/>
      <c r="AO9" s="2463"/>
      <c r="AP9" s="2463"/>
      <c r="AQ9" s="2463"/>
      <c r="AR9" s="2463"/>
      <c r="AS9" s="2463"/>
      <c r="AT9" s="2463"/>
    </row>
    <row r="10" spans="1:46">
      <c r="A10" s="435" t="s">
        <v>884</v>
      </c>
      <c r="B10" s="867" t="s">
        <v>885</v>
      </c>
      <c r="C10" s="534" t="s">
        <v>44</v>
      </c>
      <c r="D10" s="565">
        <v>107400000000</v>
      </c>
      <c r="E10" s="565">
        <v>113900000000</v>
      </c>
      <c r="F10" s="565">
        <v>136600000000</v>
      </c>
      <c r="G10" s="565">
        <v>150000000000</v>
      </c>
      <c r="H10" s="565">
        <v>155500000000</v>
      </c>
      <c r="I10" s="565">
        <v>159200000000</v>
      </c>
      <c r="J10" s="565">
        <v>171400000000</v>
      </c>
      <c r="K10" s="565">
        <v>196600000000</v>
      </c>
      <c r="L10" s="565">
        <v>233300000000</v>
      </c>
      <c r="M10" s="565">
        <v>241200000000</v>
      </c>
      <c r="N10" s="565">
        <v>247500000000</v>
      </c>
      <c r="O10" s="565">
        <v>273500000000</v>
      </c>
      <c r="P10" s="565">
        <v>280100000000</v>
      </c>
      <c r="Q10" s="565">
        <v>296500000000</v>
      </c>
      <c r="R10" s="567">
        <v>339100000000</v>
      </c>
      <c r="S10" s="565">
        <v>367400000000</v>
      </c>
      <c r="T10" s="565">
        <v>352600000000</v>
      </c>
      <c r="U10" s="565">
        <v>396800000000</v>
      </c>
      <c r="V10" s="565">
        <v>468200000000</v>
      </c>
      <c r="W10" s="567">
        <v>520500000000</v>
      </c>
      <c r="X10" s="866">
        <v>594800000000</v>
      </c>
      <c r="Y10" s="866">
        <v>672700000000</v>
      </c>
      <c r="Z10" s="866">
        <v>741700000000</v>
      </c>
      <c r="AA10" s="2463"/>
      <c r="AB10" s="2463"/>
      <c r="AC10" s="2463"/>
      <c r="AD10" s="2463"/>
      <c r="AE10" s="2463"/>
      <c r="AF10" s="2463"/>
      <c r="AG10" s="2463"/>
      <c r="AH10" s="2463"/>
      <c r="AI10" s="2463"/>
      <c r="AJ10" s="2463"/>
      <c r="AK10" s="2463"/>
      <c r="AL10" s="2463"/>
      <c r="AM10" s="2463"/>
      <c r="AN10" s="2463"/>
      <c r="AO10" s="2463"/>
      <c r="AP10" s="2463"/>
      <c r="AQ10" s="2463"/>
      <c r="AR10" s="2463"/>
      <c r="AS10" s="2463"/>
      <c r="AT10" s="2463"/>
    </row>
    <row r="11" spans="1:46">
      <c r="A11" s="534" t="s">
        <v>51</v>
      </c>
      <c r="B11" s="534" t="s">
        <v>843</v>
      </c>
      <c r="C11" s="865" t="s">
        <v>41</v>
      </c>
      <c r="D11" s="565">
        <v>32100000000</v>
      </c>
      <c r="E11" s="565">
        <v>33900000000</v>
      </c>
      <c r="F11" s="565">
        <v>35700000000</v>
      </c>
      <c r="G11" s="565">
        <v>37100000000</v>
      </c>
      <c r="H11" s="565">
        <v>40000000000</v>
      </c>
      <c r="I11" s="565">
        <v>49400000000</v>
      </c>
      <c r="J11" s="565">
        <v>38100000000</v>
      </c>
      <c r="K11" s="565">
        <v>101300000000</v>
      </c>
      <c r="L11" s="565">
        <v>69100000000</v>
      </c>
      <c r="M11" s="565">
        <v>75400000000</v>
      </c>
      <c r="N11" s="565">
        <v>77100000000</v>
      </c>
      <c r="O11" s="565">
        <v>70900000000</v>
      </c>
      <c r="P11" s="565">
        <v>124400000000</v>
      </c>
      <c r="Q11" s="565">
        <v>127300000000</v>
      </c>
      <c r="R11" s="567">
        <v>79500000000</v>
      </c>
      <c r="S11" s="565">
        <v>106400000000</v>
      </c>
      <c r="T11" s="565">
        <v>104600000000</v>
      </c>
      <c r="U11" s="565">
        <v>231600000000</v>
      </c>
      <c r="V11" s="565">
        <v>166400000000</v>
      </c>
      <c r="W11" s="567">
        <v>148400000000</v>
      </c>
      <c r="X11" s="866">
        <v>161800000000</v>
      </c>
      <c r="Y11" s="866">
        <v>176800000000</v>
      </c>
      <c r="Z11" s="866">
        <v>190700000000</v>
      </c>
      <c r="AA11" s="2463"/>
      <c r="AB11" s="2463"/>
      <c r="AC11" s="2463"/>
      <c r="AD11" s="2463"/>
      <c r="AE11" s="2463"/>
      <c r="AF11" s="2463"/>
      <c r="AG11" s="2463"/>
      <c r="AH11" s="2463"/>
      <c r="AI11" s="2463"/>
      <c r="AJ11" s="2463"/>
      <c r="AK11" s="2463"/>
      <c r="AL11" s="2463"/>
      <c r="AM11" s="2463"/>
      <c r="AN11" s="2463"/>
      <c r="AO11" s="2463"/>
      <c r="AP11" s="2463"/>
      <c r="AQ11" s="2463"/>
      <c r="AR11" s="2463"/>
      <c r="AS11" s="2463"/>
      <c r="AT11" s="2463"/>
    </row>
    <row r="12" spans="1:46" s="15" customFormat="1">
      <c r="A12" s="874" t="s">
        <v>53</v>
      </c>
      <c r="B12" s="874" t="s">
        <v>53</v>
      </c>
      <c r="C12" s="875" t="s">
        <v>38</v>
      </c>
      <c r="D12" s="876">
        <v>27000000000</v>
      </c>
      <c r="E12" s="876">
        <v>46000000000</v>
      </c>
      <c r="F12" s="876">
        <v>19000000000</v>
      </c>
      <c r="G12" s="876">
        <v>36800000000</v>
      </c>
      <c r="H12" s="876">
        <v>55700000000</v>
      </c>
      <c r="I12" s="876">
        <v>47900000000</v>
      </c>
      <c r="J12" s="876">
        <v>55700000000</v>
      </c>
      <c r="K12" s="876">
        <v>78900000000</v>
      </c>
      <c r="L12" s="876">
        <v>52000000000</v>
      </c>
      <c r="M12" s="876">
        <v>100100000000</v>
      </c>
      <c r="N12" s="876">
        <f>N6-N7</f>
        <v>46600000000</v>
      </c>
      <c r="O12" s="876">
        <f>O13+O14</f>
        <v>87100000000</v>
      </c>
      <c r="P12" s="876">
        <f>P6-P7</f>
        <v>73148000000</v>
      </c>
      <c r="Q12" s="876">
        <f>Q6-Q7</f>
        <v>41686000000.000122</v>
      </c>
      <c r="R12" s="876">
        <f>R59+R64</f>
        <v>44099999999.999985</v>
      </c>
      <c r="S12" s="876">
        <f>S59+S64</f>
        <v>28800000000</v>
      </c>
      <c r="T12" s="876">
        <f t="shared" ref="T12:Z12" si="1">T59+T64</f>
        <v>34700000000.000023</v>
      </c>
      <c r="U12" s="876">
        <f t="shared" si="1"/>
        <v>57300000000</v>
      </c>
      <c r="V12" s="876">
        <f t="shared" si="1"/>
        <v>82799999999.999954</v>
      </c>
      <c r="W12" s="876">
        <f t="shared" si="1"/>
        <v>107799999999.99995</v>
      </c>
      <c r="X12" s="876">
        <f t="shared" si="1"/>
        <v>107799999999.99995</v>
      </c>
      <c r="Y12" s="876">
        <f t="shared" si="1"/>
        <v>96799999999.999954</v>
      </c>
      <c r="Z12" s="876">
        <f t="shared" si="1"/>
        <v>107299999999.99995</v>
      </c>
      <c r="AA12" s="2463"/>
      <c r="AB12" s="2463"/>
      <c r="AC12" s="2463"/>
      <c r="AD12" s="2463"/>
      <c r="AE12" s="2463"/>
      <c r="AF12" s="2463"/>
      <c r="AG12" s="2463"/>
      <c r="AH12" s="2463"/>
      <c r="AI12" s="2463"/>
      <c r="AJ12" s="2463"/>
      <c r="AK12" s="2463"/>
      <c r="AL12" s="2463"/>
      <c r="AM12" s="2463"/>
      <c r="AN12" s="2463"/>
      <c r="AO12" s="2463"/>
      <c r="AP12" s="2463"/>
      <c r="AQ12" s="2463"/>
      <c r="AR12" s="2463"/>
      <c r="AS12" s="2463"/>
      <c r="AT12" s="2463"/>
    </row>
    <row r="13" spans="1:46">
      <c r="A13" s="867" t="s">
        <v>564</v>
      </c>
      <c r="B13" s="867" t="s">
        <v>564</v>
      </c>
      <c r="C13" s="868" t="s">
        <v>57</v>
      </c>
      <c r="D13" s="565">
        <v>25300000000</v>
      </c>
      <c r="E13" s="565">
        <v>24500000000</v>
      </c>
      <c r="F13" s="565">
        <v>15300000000</v>
      </c>
      <c r="G13" s="565">
        <v>31900000000</v>
      </c>
      <c r="H13" s="565">
        <v>40900000000</v>
      </c>
      <c r="I13" s="565">
        <v>39700000000</v>
      </c>
      <c r="J13" s="565">
        <v>37600000000</v>
      </c>
      <c r="K13" s="565">
        <v>60600000000</v>
      </c>
      <c r="L13" s="565">
        <v>21600000000</v>
      </c>
      <c r="M13" s="565">
        <v>28800000000</v>
      </c>
      <c r="N13" s="565">
        <f t="shared" ref="N13:Q13" si="2">N59</f>
        <v>19200000000</v>
      </c>
      <c r="O13" s="565">
        <f t="shared" si="2"/>
        <v>76800000000</v>
      </c>
      <c r="P13" s="565">
        <f t="shared" si="2"/>
        <v>43400000000</v>
      </c>
      <c r="Q13" s="565">
        <f t="shared" si="2"/>
        <v>28100000000</v>
      </c>
      <c r="R13" s="565"/>
      <c r="S13" s="565"/>
      <c r="T13" s="565"/>
      <c r="U13" s="565"/>
      <c r="V13" s="565"/>
      <c r="W13" s="565"/>
      <c r="X13" s="565"/>
      <c r="Y13" s="866"/>
      <c r="Z13" s="866"/>
      <c r="AB13" s="2463"/>
      <c r="AC13" s="2463"/>
      <c r="AD13" s="2463"/>
      <c r="AE13" s="2463"/>
      <c r="AF13" s="2463"/>
      <c r="AG13" s="2463"/>
      <c r="AH13" s="2463"/>
      <c r="AI13" s="2463"/>
      <c r="AJ13" s="2463"/>
      <c r="AK13" s="2463"/>
      <c r="AL13" s="2463"/>
      <c r="AM13" s="2463"/>
      <c r="AN13" s="2463"/>
      <c r="AO13" s="2463"/>
      <c r="AP13" s="2463"/>
      <c r="AQ13" s="2463"/>
      <c r="AR13" s="2463"/>
      <c r="AS13" s="2463"/>
      <c r="AT13" s="2463"/>
    </row>
    <row r="14" spans="1:46">
      <c r="A14" s="435" t="s">
        <v>886</v>
      </c>
      <c r="B14" s="867" t="s">
        <v>887</v>
      </c>
      <c r="C14" s="868" t="s">
        <v>57</v>
      </c>
      <c r="D14" s="565">
        <v>1700000000</v>
      </c>
      <c r="E14" s="565">
        <v>21500000000</v>
      </c>
      <c r="F14" s="565">
        <v>3700000000</v>
      </c>
      <c r="G14" s="565">
        <v>4900000000</v>
      </c>
      <c r="H14" s="565">
        <v>14800000000</v>
      </c>
      <c r="I14" s="565">
        <v>8199999999.999999</v>
      </c>
      <c r="J14" s="565">
        <v>18100000000</v>
      </c>
      <c r="K14" s="565">
        <v>18300000000</v>
      </c>
      <c r="L14" s="565">
        <v>30400000000</v>
      </c>
      <c r="M14" s="565">
        <v>71300000000</v>
      </c>
      <c r="N14" s="565">
        <f>N12-N13</f>
        <v>27400000000</v>
      </c>
      <c r="O14" s="565">
        <f>O64</f>
        <v>10300000000</v>
      </c>
      <c r="P14" s="565">
        <f>P12-P13</f>
        <v>29748000000</v>
      </c>
      <c r="Q14" s="565">
        <f>Q12-Q13</f>
        <v>13586000000.000122</v>
      </c>
      <c r="R14" s="565"/>
      <c r="S14" s="565"/>
      <c r="T14" s="565"/>
      <c r="U14" s="565"/>
      <c r="V14" s="565"/>
      <c r="W14" s="565"/>
      <c r="X14" s="565"/>
      <c r="Y14" s="866"/>
      <c r="Z14" s="866"/>
      <c r="AB14" s="2463"/>
      <c r="AC14" s="2463"/>
      <c r="AD14" s="2463"/>
      <c r="AE14" s="2463"/>
      <c r="AF14" s="2463"/>
      <c r="AG14" s="2463"/>
      <c r="AH14" s="2463"/>
      <c r="AI14" s="2463"/>
      <c r="AJ14" s="2463"/>
      <c r="AK14" s="2463"/>
      <c r="AL14" s="2463"/>
      <c r="AM14" s="2463"/>
      <c r="AN14" s="2463"/>
      <c r="AO14" s="2463"/>
      <c r="AP14" s="2463"/>
      <c r="AQ14" s="2463"/>
      <c r="AR14" s="2463"/>
      <c r="AS14" s="2463"/>
      <c r="AT14" s="2463"/>
    </row>
    <row r="15" spans="1:46">
      <c r="A15" s="534" t="s">
        <v>71</v>
      </c>
      <c r="B15" s="534" t="s">
        <v>379</v>
      </c>
      <c r="D15" s="565">
        <v>322500000000</v>
      </c>
      <c r="E15" s="565">
        <v>353200000000</v>
      </c>
      <c r="F15" s="565">
        <v>382100000000</v>
      </c>
      <c r="G15" s="565">
        <v>426300000000</v>
      </c>
      <c r="H15" s="565">
        <v>429500000000</v>
      </c>
      <c r="I15" s="565">
        <v>489300000000</v>
      </c>
      <c r="J15" s="565">
        <v>483800000000</v>
      </c>
      <c r="K15" s="866">
        <v>622400000000</v>
      </c>
      <c r="L15" s="565">
        <v>684700000000</v>
      </c>
      <c r="M15" s="565">
        <v>809000000000</v>
      </c>
      <c r="N15" s="565">
        <v>702200000000</v>
      </c>
      <c r="O15" s="565">
        <v>754700000000</v>
      </c>
      <c r="P15" s="565">
        <v>815700000000</v>
      </c>
      <c r="Q15" s="565">
        <v>952000000000</v>
      </c>
      <c r="R15" s="567"/>
      <c r="S15" s="565"/>
      <c r="T15" s="565"/>
      <c r="U15" s="565"/>
      <c r="V15" s="565"/>
      <c r="W15" s="567"/>
      <c r="X15" s="866"/>
      <c r="Y15" s="866"/>
      <c r="Z15" s="866"/>
      <c r="AB15" s="2463"/>
      <c r="AC15" s="2463"/>
      <c r="AD15" s="2463"/>
      <c r="AE15" s="2463"/>
      <c r="AF15" s="2463"/>
      <c r="AG15" s="2463"/>
      <c r="AH15" s="2463"/>
      <c r="AI15" s="2463"/>
      <c r="AJ15" s="2463"/>
      <c r="AK15" s="2463"/>
      <c r="AL15" s="2463"/>
      <c r="AM15" s="2463"/>
      <c r="AN15" s="2463"/>
      <c r="AO15" s="2463"/>
      <c r="AP15" s="2463"/>
      <c r="AQ15" s="2463"/>
      <c r="AR15" s="2463"/>
      <c r="AS15" s="2463"/>
      <c r="AT15" s="2463"/>
    </row>
    <row r="16" spans="1:46" s="848" customFormat="1">
      <c r="A16" s="874" t="s">
        <v>71</v>
      </c>
      <c r="B16" s="874" t="s">
        <v>379</v>
      </c>
      <c r="C16" s="880" t="s">
        <v>35</v>
      </c>
      <c r="D16" s="876">
        <f>D17+D31+D34</f>
        <v>322500000000</v>
      </c>
      <c r="E16" s="876">
        <f t="shared" ref="E16:Q16" si="3">E17+E31+E34</f>
        <v>353200000000</v>
      </c>
      <c r="F16" s="876">
        <f t="shared" si="3"/>
        <v>382100000000</v>
      </c>
      <c r="G16" s="876">
        <f>G17+G31+G34</f>
        <v>428300000000</v>
      </c>
      <c r="H16" s="876">
        <f t="shared" si="3"/>
        <v>429500000000</v>
      </c>
      <c r="I16" s="876">
        <f>I17+I31+I34</f>
        <v>490100000000</v>
      </c>
      <c r="J16" s="876">
        <f t="shared" si="3"/>
        <v>483800000000</v>
      </c>
      <c r="K16" s="876">
        <f t="shared" si="3"/>
        <v>622400000000</v>
      </c>
      <c r="L16" s="876">
        <f t="shared" si="3"/>
        <v>684600000000</v>
      </c>
      <c r="M16" s="876">
        <f t="shared" si="3"/>
        <v>809000000000</v>
      </c>
      <c r="N16" s="876">
        <f>N17+N31+N34</f>
        <v>702200000000</v>
      </c>
      <c r="O16" s="876">
        <f>O17+O31+O34</f>
        <v>754700000000</v>
      </c>
      <c r="P16" s="876">
        <f>P17+P31+P34</f>
        <v>815800000000</v>
      </c>
      <c r="Q16" s="876">
        <f t="shared" si="3"/>
        <v>952100000000</v>
      </c>
      <c r="R16" s="881">
        <f>R17+R31+R34</f>
        <v>933000000000</v>
      </c>
      <c r="S16" s="881">
        <v>1242300000000</v>
      </c>
      <c r="T16" s="881">
        <v>1086300000000</v>
      </c>
      <c r="U16" s="881">
        <v>1318100000000</v>
      </c>
      <c r="V16" s="881">
        <v>1377600000000</v>
      </c>
      <c r="W16" s="881">
        <v>1343200000000</v>
      </c>
      <c r="X16" s="881">
        <v>1411600000000</v>
      </c>
      <c r="Y16" s="1647">
        <v>1490600000000</v>
      </c>
      <c r="Z16" s="1647">
        <v>1571400000000</v>
      </c>
      <c r="AB16" s="2463"/>
      <c r="AC16" s="2463"/>
      <c r="AD16" s="2463"/>
      <c r="AE16" s="2463"/>
      <c r="AF16" s="2463"/>
      <c r="AG16" s="2463"/>
      <c r="AH16" s="2463"/>
      <c r="AI16" s="2463"/>
      <c r="AJ16" s="2463"/>
      <c r="AK16" s="2463"/>
      <c r="AL16" s="2463"/>
      <c r="AM16" s="2463"/>
      <c r="AN16" s="2463"/>
      <c r="AO16" s="2463"/>
      <c r="AP16" s="2463"/>
      <c r="AQ16" s="2463"/>
      <c r="AR16" s="2463"/>
      <c r="AS16" s="2463"/>
      <c r="AT16" s="2463"/>
    </row>
    <row r="17" spans="1:46">
      <c r="A17" s="867" t="s">
        <v>73</v>
      </c>
      <c r="B17" s="534" t="s">
        <v>888</v>
      </c>
      <c r="C17" s="865" t="s">
        <v>75</v>
      </c>
      <c r="D17" s="567">
        <v>199700000000</v>
      </c>
      <c r="E17" s="567">
        <v>217500000000</v>
      </c>
      <c r="F17" s="565">
        <v>259300000000</v>
      </c>
      <c r="G17" s="565">
        <v>287200000000</v>
      </c>
      <c r="H17" s="565">
        <v>297800000000</v>
      </c>
      <c r="I17" s="565">
        <v>345900000000</v>
      </c>
      <c r="J17" s="565">
        <v>369200000000</v>
      </c>
      <c r="K17" s="565">
        <v>423800000000</v>
      </c>
      <c r="L17" s="565">
        <v>465100000000</v>
      </c>
      <c r="M17" s="565">
        <v>494000000000</v>
      </c>
      <c r="N17" s="565">
        <v>504400000000</v>
      </c>
      <c r="O17" s="567">
        <v>515600000000</v>
      </c>
      <c r="P17" s="565">
        <v>592500000000</v>
      </c>
      <c r="Q17" s="565">
        <v>632800000000</v>
      </c>
      <c r="R17" s="2474">
        <v>683400000000</v>
      </c>
      <c r="S17" s="2474">
        <v>845300000000</v>
      </c>
      <c r="T17" s="2474">
        <v>781100000000</v>
      </c>
      <c r="U17" s="1167">
        <v>820200000000</v>
      </c>
      <c r="V17" s="1167">
        <v>877600000000</v>
      </c>
      <c r="W17" s="1167">
        <v>943200000000</v>
      </c>
      <c r="X17" s="1167">
        <v>1000800000000</v>
      </c>
      <c r="Y17" s="866">
        <v>1074099999999.9999</v>
      </c>
      <c r="Z17" s="866">
        <v>1141600000000</v>
      </c>
      <c r="AB17" s="2463"/>
      <c r="AC17" s="2463"/>
      <c r="AD17" s="2463"/>
      <c r="AE17" s="2463"/>
      <c r="AF17" s="2463"/>
      <c r="AG17" s="2463"/>
      <c r="AH17" s="2463"/>
      <c r="AI17" s="2463"/>
      <c r="AJ17" s="2463"/>
      <c r="AK17" s="2463"/>
      <c r="AL17" s="2463"/>
      <c r="AM17" s="2463"/>
      <c r="AN17" s="2463"/>
      <c r="AO17" s="2463"/>
      <c r="AP17" s="2463"/>
      <c r="AQ17" s="2463"/>
      <c r="AR17" s="2463"/>
      <c r="AS17" s="2463"/>
      <c r="AT17" s="2463"/>
    </row>
    <row r="18" spans="1:46">
      <c r="A18" s="534" t="s">
        <v>76</v>
      </c>
      <c r="B18" s="534" t="s">
        <v>889</v>
      </c>
      <c r="D18" s="565">
        <v>220700000000</v>
      </c>
      <c r="E18" s="565">
        <v>257800000000</v>
      </c>
      <c r="F18" s="565">
        <v>243700000000</v>
      </c>
      <c r="G18" s="565">
        <v>274900000000</v>
      </c>
      <c r="H18" s="565">
        <v>290800000000</v>
      </c>
      <c r="I18" s="565">
        <v>339000000000</v>
      </c>
      <c r="J18" s="565">
        <v>359200000000</v>
      </c>
      <c r="K18" s="565">
        <v>381600000000</v>
      </c>
      <c r="L18" s="565">
        <v>454800000000</v>
      </c>
      <c r="M18" s="565">
        <v>478400000000</v>
      </c>
      <c r="N18" s="565">
        <v>486700000000</v>
      </c>
      <c r="O18" s="565">
        <v>500700000000</v>
      </c>
      <c r="P18" s="565">
        <v>569300000000</v>
      </c>
      <c r="Q18" s="565">
        <v>612900000000</v>
      </c>
      <c r="R18" s="2475">
        <v>665100000000</v>
      </c>
      <c r="S18" s="2474">
        <v>809000000000</v>
      </c>
      <c r="T18" s="2474">
        <v>717800000000</v>
      </c>
      <c r="U18" s="1167">
        <v>713800000000</v>
      </c>
      <c r="V18" s="1167">
        <v>744700000000</v>
      </c>
      <c r="W18" s="1167">
        <v>782100000000</v>
      </c>
      <c r="X18" s="1167">
        <v>841200000000</v>
      </c>
      <c r="Y18" s="866">
        <v>914600000000</v>
      </c>
      <c r="Z18" s="866">
        <v>982500000000</v>
      </c>
      <c r="AB18" s="2463"/>
      <c r="AC18" s="2463"/>
      <c r="AD18" s="2463"/>
      <c r="AE18" s="2463"/>
      <c r="AF18" s="2463"/>
      <c r="AG18" s="2463"/>
      <c r="AH18" s="2463"/>
      <c r="AI18" s="2463"/>
      <c r="AJ18" s="2463"/>
      <c r="AK18" s="2463"/>
      <c r="AL18" s="2463"/>
      <c r="AM18" s="2463"/>
      <c r="AN18" s="2463"/>
      <c r="AO18" s="2463"/>
      <c r="AP18" s="2463"/>
      <c r="AQ18" s="2463"/>
      <c r="AR18" s="2463"/>
      <c r="AS18" s="2463"/>
      <c r="AT18" s="2463"/>
    </row>
    <row r="19" spans="1:46">
      <c r="A19" s="435" t="s">
        <v>79</v>
      </c>
      <c r="B19" s="867" t="s">
        <v>890</v>
      </c>
      <c r="C19" s="865" t="s">
        <v>81</v>
      </c>
      <c r="D19" s="565">
        <v>74800000000</v>
      </c>
      <c r="E19" s="565">
        <v>80700000000</v>
      </c>
      <c r="F19" s="565">
        <v>90100000000</v>
      </c>
      <c r="G19" s="565">
        <v>108000000000</v>
      </c>
      <c r="H19" s="565">
        <v>118300000000</v>
      </c>
      <c r="I19" s="565">
        <v>130300000000.00002</v>
      </c>
      <c r="J19" s="565">
        <v>135000000000</v>
      </c>
      <c r="K19" s="565">
        <v>143100000000</v>
      </c>
      <c r="L19" s="565">
        <v>182400000000</v>
      </c>
      <c r="M19" s="565">
        <v>225900000000</v>
      </c>
      <c r="N19" s="565">
        <v>238700000000</v>
      </c>
      <c r="O19" s="565">
        <v>253200000000</v>
      </c>
      <c r="P19" s="565">
        <v>279400000000</v>
      </c>
      <c r="Q19" s="565">
        <v>300300000000</v>
      </c>
      <c r="R19" s="2474">
        <v>317400000000</v>
      </c>
      <c r="S19" s="2474">
        <v>343400000000</v>
      </c>
      <c r="T19" s="2474">
        <v>353800000000</v>
      </c>
      <c r="U19" s="1167">
        <v>337300000000</v>
      </c>
      <c r="V19" s="1167">
        <v>378300000000</v>
      </c>
      <c r="W19" s="1167">
        <v>399900000000</v>
      </c>
      <c r="X19" s="1167">
        <v>435800000000</v>
      </c>
      <c r="Y19" s="866">
        <v>476400000000</v>
      </c>
      <c r="Z19" s="866">
        <v>513799999999.99994</v>
      </c>
      <c r="AB19" s="2463"/>
      <c r="AC19" s="2463"/>
      <c r="AD19" s="2463"/>
      <c r="AE19" s="2463"/>
      <c r="AF19" s="2463"/>
      <c r="AG19" s="2463"/>
      <c r="AH19" s="2463"/>
      <c r="AI19" s="2463"/>
      <c r="AJ19" s="2463"/>
      <c r="AK19" s="2463"/>
      <c r="AL19" s="2463"/>
      <c r="AM19" s="2463"/>
      <c r="AN19" s="2463"/>
      <c r="AO19" s="2463"/>
      <c r="AP19" s="2463"/>
      <c r="AQ19" s="2463"/>
      <c r="AR19" s="2463"/>
      <c r="AS19" s="2463"/>
      <c r="AT19" s="2463"/>
    </row>
    <row r="20" spans="1:46">
      <c r="A20" s="867" t="s">
        <v>891</v>
      </c>
      <c r="B20" s="867" t="s">
        <v>892</v>
      </c>
      <c r="C20" s="865" t="s">
        <v>81</v>
      </c>
      <c r="D20" s="565">
        <v>19300000000</v>
      </c>
      <c r="E20" s="565">
        <v>20500000000</v>
      </c>
      <c r="F20" s="565">
        <v>21500000000</v>
      </c>
      <c r="G20" s="565">
        <v>25700000000</v>
      </c>
      <c r="H20" s="565">
        <v>26700000000</v>
      </c>
      <c r="I20" s="565">
        <v>26500000000</v>
      </c>
      <c r="J20" s="565">
        <v>29300000000</v>
      </c>
      <c r="K20" s="565">
        <v>34299999999.999996</v>
      </c>
      <c r="L20" s="565">
        <v>36000000000</v>
      </c>
      <c r="M20" s="565">
        <v>39800000000</v>
      </c>
      <c r="N20" s="565">
        <v>43600000000</v>
      </c>
      <c r="O20" s="565">
        <v>48700000000</v>
      </c>
      <c r="P20" s="565">
        <v>55500000000</v>
      </c>
      <c r="Q20" s="565">
        <v>61200000000</v>
      </c>
      <c r="R20" s="2474">
        <v>67500000000</v>
      </c>
      <c r="S20" s="2474">
        <v>75000000000</v>
      </c>
      <c r="T20" s="2474">
        <v>78400000000</v>
      </c>
      <c r="U20" s="1167">
        <v>95600000000</v>
      </c>
      <c r="V20" s="1167">
        <v>93900000000</v>
      </c>
      <c r="W20" s="1167">
        <v>99300000000</v>
      </c>
      <c r="X20" s="1167">
        <v>105100000000</v>
      </c>
      <c r="Y20" s="866">
        <v>111100000000</v>
      </c>
      <c r="Z20" s="866">
        <v>116800000000</v>
      </c>
      <c r="AB20" s="2463"/>
      <c r="AC20" s="2463"/>
      <c r="AD20" s="2463"/>
      <c r="AE20" s="2463"/>
      <c r="AF20" s="2463"/>
      <c r="AG20" s="2463"/>
      <c r="AH20" s="2463"/>
      <c r="AI20" s="2463"/>
      <c r="AJ20" s="2463"/>
      <c r="AK20" s="2463"/>
      <c r="AL20" s="2463"/>
      <c r="AM20" s="2463"/>
      <c r="AN20" s="2463"/>
      <c r="AO20" s="2463"/>
      <c r="AP20" s="2463"/>
      <c r="AQ20" s="2463"/>
      <c r="AR20" s="2463"/>
      <c r="AS20" s="2463"/>
      <c r="AT20" s="2463"/>
    </row>
    <row r="21" spans="1:46">
      <c r="A21" s="867" t="s">
        <v>893</v>
      </c>
      <c r="B21" s="867" t="s">
        <v>894</v>
      </c>
      <c r="C21" s="865" t="s">
        <v>81</v>
      </c>
      <c r="D21" s="565">
        <v>91500000000</v>
      </c>
      <c r="E21" s="565">
        <v>101100000000</v>
      </c>
      <c r="F21" s="565"/>
      <c r="G21" s="565"/>
      <c r="H21" s="565"/>
      <c r="I21" s="565"/>
      <c r="J21" s="565"/>
      <c r="K21" s="565">
        <v>0</v>
      </c>
      <c r="L21" s="565"/>
      <c r="M21" s="565"/>
      <c r="N21" s="565"/>
      <c r="O21" s="565"/>
      <c r="P21" s="565"/>
      <c r="Q21" s="565"/>
      <c r="R21" s="2476"/>
      <c r="S21" s="2476"/>
      <c r="T21" s="2476"/>
      <c r="U21" s="866"/>
      <c r="V21" s="866"/>
      <c r="W21" s="866"/>
      <c r="X21" s="866"/>
      <c r="Y21" s="866"/>
      <c r="Z21" s="866"/>
      <c r="AB21" s="2463"/>
      <c r="AC21" s="2463"/>
      <c r="AD21" s="2463"/>
      <c r="AE21" s="2463"/>
      <c r="AF21" s="2463"/>
      <c r="AG21" s="2463"/>
      <c r="AH21" s="2463"/>
      <c r="AI21" s="2463"/>
      <c r="AJ21" s="2463"/>
      <c r="AK21" s="2463"/>
      <c r="AL21" s="2463"/>
      <c r="AM21" s="2463"/>
      <c r="AN21" s="2463"/>
      <c r="AO21" s="2463"/>
      <c r="AP21" s="2463"/>
      <c r="AQ21" s="2463"/>
      <c r="AR21" s="2463"/>
      <c r="AS21" s="2463"/>
      <c r="AT21" s="2463"/>
    </row>
    <row r="22" spans="1:46">
      <c r="A22" s="435" t="s">
        <v>895</v>
      </c>
      <c r="B22" s="867" t="s">
        <v>896</v>
      </c>
      <c r="C22" s="865" t="s">
        <v>81</v>
      </c>
      <c r="D22" s="567"/>
      <c r="E22" s="567"/>
      <c r="F22" s="565">
        <v>73700000000</v>
      </c>
      <c r="G22" s="565">
        <v>61800000000</v>
      </c>
      <c r="H22" s="565">
        <v>65500000000</v>
      </c>
      <c r="I22" s="565">
        <v>81800000000</v>
      </c>
      <c r="J22" s="565">
        <v>102200000000</v>
      </c>
      <c r="K22" s="565">
        <v>106100000000</v>
      </c>
      <c r="L22" s="565">
        <v>119300000000</v>
      </c>
      <c r="M22" s="565">
        <v>110000000000</v>
      </c>
      <c r="N22" s="565">
        <v>114100000000</v>
      </c>
      <c r="O22" s="565">
        <v>109500000000</v>
      </c>
      <c r="P22" s="565">
        <v>124500000000</v>
      </c>
      <c r="Q22" s="565">
        <v>132300000000.00002</v>
      </c>
      <c r="R22" s="2477">
        <v>176400000000</v>
      </c>
      <c r="S22" s="2477">
        <v>249500000000</v>
      </c>
      <c r="T22" s="2477">
        <v>185500000000</v>
      </c>
      <c r="U22" s="2478">
        <v>166600000000</v>
      </c>
      <c r="V22" s="2478">
        <v>170000000000</v>
      </c>
      <c r="W22" s="2478">
        <v>172000000000</v>
      </c>
      <c r="X22" s="2478">
        <v>186400000000</v>
      </c>
      <c r="Y22" s="866">
        <v>202600000000</v>
      </c>
      <c r="Z22" s="866">
        <v>217500000000</v>
      </c>
      <c r="AB22" s="2463"/>
      <c r="AC22" s="2463"/>
      <c r="AD22" s="2463"/>
      <c r="AE22" s="2463"/>
      <c r="AF22" s="2463"/>
      <c r="AG22" s="2463"/>
      <c r="AH22" s="2463"/>
      <c r="AI22" s="2463"/>
      <c r="AJ22" s="2463"/>
      <c r="AK22" s="2463"/>
      <c r="AL22" s="2463"/>
      <c r="AM22" s="2463"/>
      <c r="AN22" s="2463"/>
      <c r="AO22" s="2463"/>
      <c r="AP22" s="2463"/>
      <c r="AQ22" s="2463"/>
      <c r="AR22" s="2463"/>
      <c r="AS22" s="2463"/>
      <c r="AT22" s="2463"/>
    </row>
    <row r="23" spans="1:46">
      <c r="A23" s="435"/>
      <c r="B23" s="861" t="s">
        <v>897</v>
      </c>
      <c r="C23" s="865"/>
      <c r="D23" s="567"/>
      <c r="E23" s="567"/>
      <c r="F23" s="565"/>
      <c r="G23" s="565"/>
      <c r="H23" s="565"/>
      <c r="I23" s="565"/>
      <c r="J23" s="565"/>
      <c r="K23" s="565"/>
      <c r="L23" s="565"/>
      <c r="M23" s="565"/>
      <c r="N23" s="565"/>
      <c r="O23" s="565"/>
      <c r="P23" s="565"/>
      <c r="Q23" s="565"/>
      <c r="R23" s="2474">
        <v>30000000000</v>
      </c>
      <c r="S23" s="2474">
        <v>0</v>
      </c>
      <c r="T23" s="2474">
        <v>0</v>
      </c>
      <c r="U23" s="1167">
        <v>0</v>
      </c>
      <c r="V23" s="1167">
        <v>0</v>
      </c>
      <c r="W23" s="1167">
        <v>0</v>
      </c>
      <c r="X23" s="1167">
        <v>0</v>
      </c>
      <c r="Y23" s="866">
        <v>0</v>
      </c>
      <c r="Z23" s="866">
        <v>0</v>
      </c>
      <c r="AB23" s="2463"/>
      <c r="AC23" s="2463"/>
      <c r="AD23" s="2463"/>
      <c r="AE23" s="2463"/>
      <c r="AF23" s="2463"/>
      <c r="AG23" s="2463"/>
      <c r="AH23" s="2463"/>
      <c r="AI23" s="2463"/>
      <c r="AJ23" s="2463"/>
      <c r="AK23" s="2463"/>
      <c r="AL23" s="2463"/>
      <c r="AM23" s="2463"/>
      <c r="AN23" s="2463"/>
      <c r="AO23" s="2463"/>
      <c r="AP23" s="2463"/>
      <c r="AQ23" s="2463"/>
      <c r="AR23" s="2463"/>
      <c r="AS23" s="2463"/>
      <c r="AT23" s="2463"/>
    </row>
    <row r="24" spans="1:46">
      <c r="A24" s="435"/>
      <c r="B24" s="861" t="s">
        <v>898</v>
      </c>
      <c r="C24" s="865"/>
      <c r="D24" s="567"/>
      <c r="E24" s="567"/>
      <c r="F24" s="565"/>
      <c r="G24" s="565"/>
      <c r="H24" s="565"/>
      <c r="I24" s="565"/>
      <c r="J24" s="565"/>
      <c r="K24" s="565"/>
      <c r="L24" s="565"/>
      <c r="M24" s="565"/>
      <c r="N24" s="565"/>
      <c r="O24" s="565"/>
      <c r="P24" s="565"/>
      <c r="Q24" s="565"/>
      <c r="R24" s="2474"/>
      <c r="S24" s="2474"/>
      <c r="T24" s="2474"/>
      <c r="U24" s="1167"/>
      <c r="V24" s="1167"/>
      <c r="W24" s="1167"/>
      <c r="X24" s="1167"/>
      <c r="Y24" s="866"/>
      <c r="Z24" s="866"/>
      <c r="AB24" s="2463"/>
      <c r="AC24" s="2463"/>
      <c r="AD24" s="2463"/>
      <c r="AE24" s="2463"/>
      <c r="AF24" s="2463"/>
      <c r="AG24" s="2463"/>
      <c r="AH24" s="2463"/>
      <c r="AI24" s="2463"/>
      <c r="AJ24" s="2463"/>
      <c r="AK24" s="2463"/>
      <c r="AL24" s="2463"/>
      <c r="AM24" s="2463"/>
      <c r="AN24" s="2463"/>
      <c r="AO24" s="2463"/>
      <c r="AP24" s="2463"/>
      <c r="AQ24" s="2463"/>
      <c r="AR24" s="2463"/>
      <c r="AS24" s="2463"/>
      <c r="AT24" s="2463"/>
    </row>
    <row r="25" spans="1:46">
      <c r="A25" s="435" t="s">
        <v>391</v>
      </c>
      <c r="B25" s="867" t="s">
        <v>899</v>
      </c>
      <c r="C25" s="865" t="s">
        <v>81</v>
      </c>
      <c r="D25" s="567"/>
      <c r="E25" s="567"/>
      <c r="F25" s="565">
        <v>58400000000</v>
      </c>
      <c r="G25" s="565">
        <v>79500000000</v>
      </c>
      <c r="H25" s="565">
        <v>80300000000</v>
      </c>
      <c r="I25" s="565">
        <v>100400000000</v>
      </c>
      <c r="J25" s="565">
        <v>92700000000</v>
      </c>
      <c r="K25" s="565"/>
      <c r="L25" s="565"/>
      <c r="M25" s="565"/>
      <c r="N25" s="565"/>
      <c r="O25" s="565"/>
      <c r="P25" s="565"/>
      <c r="Q25" s="565"/>
      <c r="R25" s="565"/>
      <c r="S25" s="565"/>
      <c r="T25" s="565"/>
      <c r="U25" s="565"/>
      <c r="V25" s="565"/>
      <c r="W25" s="565"/>
      <c r="X25" s="866"/>
      <c r="Y25" s="866"/>
      <c r="Z25" s="866"/>
      <c r="AB25" s="2463"/>
      <c r="AC25" s="2463"/>
      <c r="AD25" s="2463"/>
      <c r="AE25" s="2463"/>
      <c r="AF25" s="2463"/>
      <c r="AG25" s="2463"/>
      <c r="AH25" s="2463"/>
      <c r="AI25" s="2463"/>
      <c r="AJ25" s="2463"/>
      <c r="AK25" s="2463"/>
      <c r="AL25" s="2463"/>
      <c r="AM25" s="2463"/>
      <c r="AN25" s="2463"/>
      <c r="AO25" s="2463"/>
      <c r="AP25" s="2463"/>
      <c r="AQ25" s="2463"/>
      <c r="AR25" s="2463"/>
      <c r="AS25" s="2463"/>
      <c r="AT25" s="2463"/>
    </row>
    <row r="26" spans="1:46">
      <c r="A26" s="435" t="s">
        <v>83</v>
      </c>
      <c r="B26" s="867" t="s">
        <v>900</v>
      </c>
      <c r="C26" s="865" t="s">
        <v>81</v>
      </c>
      <c r="D26" s="567"/>
      <c r="E26" s="567"/>
      <c r="F26" s="567"/>
      <c r="G26" s="567"/>
      <c r="H26" s="567"/>
      <c r="I26" s="567"/>
      <c r="J26" s="567"/>
      <c r="K26" s="567">
        <v>98100000000</v>
      </c>
      <c r="L26" s="565">
        <v>117000000000</v>
      </c>
      <c r="M26" s="565">
        <v>102700000000</v>
      </c>
      <c r="N26" s="565">
        <v>90300000000</v>
      </c>
      <c r="O26" s="565">
        <v>89300000000</v>
      </c>
      <c r="P26" s="565">
        <v>110000000000</v>
      </c>
      <c r="Q26" s="565">
        <v>119000000000</v>
      </c>
      <c r="R26" s="2474">
        <v>103900000000</v>
      </c>
      <c r="S26" s="2474">
        <v>141100000000</v>
      </c>
      <c r="T26" s="2474">
        <v>100100000000</v>
      </c>
      <c r="U26" s="1167">
        <v>114300000000</v>
      </c>
      <c r="V26" s="1167">
        <v>102500000000</v>
      </c>
      <c r="W26" s="2387">
        <v>110900000000</v>
      </c>
      <c r="X26" s="2387">
        <v>114000000000</v>
      </c>
      <c r="Y26" s="866">
        <v>124600000000</v>
      </c>
      <c r="Z26" s="866">
        <v>134300000000.00002</v>
      </c>
      <c r="AB26" s="2463"/>
      <c r="AC26" s="2463"/>
      <c r="AD26" s="2463"/>
      <c r="AE26" s="2463"/>
      <c r="AF26" s="2463"/>
      <c r="AG26" s="2463"/>
      <c r="AH26" s="2463"/>
      <c r="AI26" s="2463"/>
      <c r="AJ26" s="2463"/>
      <c r="AK26" s="2463"/>
      <c r="AL26" s="2463"/>
      <c r="AM26" s="2463"/>
      <c r="AN26" s="2463"/>
      <c r="AO26" s="2463"/>
      <c r="AP26" s="2463"/>
      <c r="AQ26" s="2463"/>
      <c r="AR26" s="2463"/>
      <c r="AS26" s="2463"/>
      <c r="AT26" s="2463"/>
    </row>
    <row r="27" spans="1:46">
      <c r="A27" s="435" t="s">
        <v>90</v>
      </c>
      <c r="B27" s="867" t="s">
        <v>91</v>
      </c>
      <c r="C27" s="865" t="s">
        <v>81</v>
      </c>
      <c r="D27" s="565">
        <v>14100000000</v>
      </c>
      <c r="E27" s="565">
        <v>15200000000</v>
      </c>
      <c r="F27" s="565">
        <v>15500000000</v>
      </c>
      <c r="G27" s="565">
        <v>12300000000</v>
      </c>
      <c r="H27" s="565">
        <v>7000000000</v>
      </c>
      <c r="I27" s="565">
        <v>6900000000</v>
      </c>
      <c r="J27" s="565">
        <v>10100000000</v>
      </c>
      <c r="K27" s="565">
        <v>42200000000</v>
      </c>
      <c r="L27" s="565">
        <v>10300000000</v>
      </c>
      <c r="M27" s="565">
        <v>15600000000</v>
      </c>
      <c r="N27" s="565">
        <v>17700000000</v>
      </c>
      <c r="O27" s="565">
        <v>14900000000</v>
      </c>
      <c r="P27" s="565">
        <v>23100000000</v>
      </c>
      <c r="Q27" s="565">
        <v>19900000000</v>
      </c>
      <c r="R27" s="2474">
        <v>18300000000</v>
      </c>
      <c r="S27" s="2474">
        <v>36300000000</v>
      </c>
      <c r="T27" s="2474">
        <v>63300000000</v>
      </c>
      <c r="U27" s="1167">
        <v>106400000000</v>
      </c>
      <c r="V27" s="2387">
        <v>132900000000</v>
      </c>
      <c r="W27" s="1167">
        <v>161100000000</v>
      </c>
      <c r="X27" s="1167">
        <v>159600000000</v>
      </c>
      <c r="Y27" s="866">
        <v>159500000000</v>
      </c>
      <c r="Z27" s="866">
        <v>159200000000</v>
      </c>
      <c r="AB27" s="2463"/>
      <c r="AC27" s="2463"/>
      <c r="AD27" s="2463"/>
      <c r="AE27" s="2463"/>
      <c r="AF27" s="2463"/>
      <c r="AG27" s="2463"/>
      <c r="AH27" s="2463"/>
      <c r="AI27" s="2463"/>
      <c r="AJ27" s="2463"/>
      <c r="AK27" s="2463"/>
      <c r="AL27" s="2463"/>
      <c r="AM27" s="2463"/>
      <c r="AN27" s="2463"/>
      <c r="AO27" s="2463"/>
      <c r="AP27" s="2463"/>
      <c r="AQ27" s="2463"/>
      <c r="AR27" s="2463"/>
      <c r="AS27" s="2463"/>
      <c r="AT27" s="2463"/>
    </row>
    <row r="28" spans="1:46">
      <c r="A28" s="435" t="s">
        <v>209</v>
      </c>
      <c r="B28" s="534" t="s">
        <v>901</v>
      </c>
      <c r="C28" s="865" t="s">
        <v>211</v>
      </c>
      <c r="D28" s="565">
        <v>1600000000</v>
      </c>
      <c r="E28" s="565">
        <v>1800000000</v>
      </c>
      <c r="F28" s="565">
        <v>1200000000</v>
      </c>
      <c r="G28" s="565">
        <v>1000000000</v>
      </c>
      <c r="H28" s="565">
        <v>1200000000</v>
      </c>
      <c r="I28" s="565">
        <v>1300000000</v>
      </c>
      <c r="J28" s="565">
        <v>200000000</v>
      </c>
      <c r="K28" s="565">
        <v>0</v>
      </c>
      <c r="L28" s="565">
        <v>5600000000</v>
      </c>
      <c r="M28" s="565">
        <v>7400000000</v>
      </c>
      <c r="N28" s="565">
        <v>9600000000</v>
      </c>
      <c r="O28" s="565">
        <v>7100000000</v>
      </c>
      <c r="P28" s="565">
        <v>12500000000</v>
      </c>
      <c r="Q28" s="565">
        <v>10100000000</v>
      </c>
      <c r="R28" s="2475">
        <v>8100000000</v>
      </c>
      <c r="S28" s="2474">
        <v>20300000000</v>
      </c>
      <c r="T28" s="2474">
        <v>51400000000</v>
      </c>
      <c r="U28" s="1167">
        <v>88400000000</v>
      </c>
      <c r="V28" s="1167">
        <v>107600000000</v>
      </c>
      <c r="W28" s="1167">
        <v>129100000000</v>
      </c>
      <c r="X28" s="1167">
        <v>121400000000</v>
      </c>
      <c r="Y28" s="866">
        <v>116400000000</v>
      </c>
      <c r="Z28" s="866">
        <v>109000000000</v>
      </c>
      <c r="AB28" s="2463"/>
      <c r="AC28" s="2463"/>
      <c r="AD28" s="2463"/>
      <c r="AE28" s="2463"/>
      <c r="AF28" s="2463"/>
      <c r="AG28" s="2463"/>
      <c r="AH28" s="2463"/>
      <c r="AI28" s="2463"/>
      <c r="AJ28" s="2463"/>
      <c r="AK28" s="2463"/>
      <c r="AL28" s="2463"/>
      <c r="AM28" s="2463"/>
      <c r="AN28" s="2463"/>
      <c r="AO28" s="2463"/>
      <c r="AP28" s="2463"/>
      <c r="AQ28" s="2463"/>
      <c r="AR28" s="2463"/>
      <c r="AS28" s="2463"/>
      <c r="AT28" s="2463"/>
    </row>
    <row r="29" spans="1:46">
      <c r="A29" s="435" t="s">
        <v>583</v>
      </c>
      <c r="B29" s="534" t="s">
        <v>902</v>
      </c>
      <c r="C29" s="865" t="s">
        <v>211</v>
      </c>
      <c r="D29" s="565">
        <v>12400000000</v>
      </c>
      <c r="E29" s="565">
        <v>13500000000</v>
      </c>
      <c r="F29" s="565">
        <v>14300000000</v>
      </c>
      <c r="G29" s="565">
        <v>11300000000</v>
      </c>
      <c r="H29" s="565">
        <v>5800000000</v>
      </c>
      <c r="I29" s="565">
        <v>5600000000</v>
      </c>
      <c r="J29" s="565">
        <v>9900000000</v>
      </c>
      <c r="K29" s="565">
        <v>42100000000</v>
      </c>
      <c r="L29" s="565">
        <v>4800000000</v>
      </c>
      <c r="M29" s="565">
        <v>8199999999.999999</v>
      </c>
      <c r="N29" s="565">
        <v>8100000000</v>
      </c>
      <c r="O29" s="565">
        <v>7800000000</v>
      </c>
      <c r="P29" s="565">
        <v>10600000000</v>
      </c>
      <c r="Q29" s="565">
        <v>9800000000</v>
      </c>
      <c r="R29" s="2474">
        <v>10300000000</v>
      </c>
      <c r="S29" s="2474">
        <v>16000000000</v>
      </c>
      <c r="T29" s="2474">
        <v>11900000000</v>
      </c>
      <c r="U29" s="1167">
        <v>18000000000</v>
      </c>
      <c r="V29" s="1167">
        <v>25300000000</v>
      </c>
      <c r="W29" s="1167">
        <v>32100000000</v>
      </c>
      <c r="X29" s="1167">
        <v>38200000000</v>
      </c>
      <c r="Y29" s="866">
        <v>43200000000</v>
      </c>
      <c r="Z29" s="866">
        <v>50100000000</v>
      </c>
      <c r="AB29" s="2463"/>
      <c r="AC29" s="2463"/>
      <c r="AD29" s="2463"/>
      <c r="AE29" s="2463"/>
      <c r="AF29" s="2463"/>
      <c r="AG29" s="2463"/>
      <c r="AH29" s="2463"/>
      <c r="AI29" s="2463"/>
      <c r="AJ29" s="2463"/>
      <c r="AK29" s="2463"/>
      <c r="AL29" s="2463"/>
      <c r="AM29" s="2463"/>
      <c r="AN29" s="2463"/>
      <c r="AO29" s="2463"/>
      <c r="AP29" s="2463"/>
      <c r="AQ29" s="2463"/>
      <c r="AR29" s="2463"/>
      <c r="AS29" s="2463"/>
      <c r="AT29" s="2463"/>
    </row>
    <row r="30" spans="1:46">
      <c r="A30" s="534" t="s">
        <v>76</v>
      </c>
      <c r="B30" s="534" t="s">
        <v>903</v>
      </c>
      <c r="D30" s="567"/>
      <c r="E30" s="567"/>
      <c r="F30" s="565">
        <v>122900000000</v>
      </c>
      <c r="G30" s="565">
        <v>139100000000</v>
      </c>
      <c r="H30" s="565">
        <v>131699999999.99998</v>
      </c>
      <c r="I30" s="565">
        <v>143400000000</v>
      </c>
      <c r="J30" s="565">
        <v>114600000000</v>
      </c>
      <c r="K30" s="565">
        <v>198600000000</v>
      </c>
      <c r="L30" s="565">
        <v>219500000000</v>
      </c>
      <c r="M30" s="565">
        <v>315100000000</v>
      </c>
      <c r="N30" s="565">
        <v>197800000000</v>
      </c>
      <c r="O30" s="565">
        <v>239100000000</v>
      </c>
      <c r="P30" s="565">
        <v>223300000000</v>
      </c>
      <c r="Q30" s="565">
        <v>319200000000</v>
      </c>
      <c r="R30" s="2474">
        <v>233100000000</v>
      </c>
      <c r="S30" s="2474">
        <v>397000000000</v>
      </c>
      <c r="T30" s="2474">
        <v>305200000000</v>
      </c>
      <c r="U30" s="1167">
        <v>497900000000</v>
      </c>
      <c r="V30" s="1167">
        <v>500000000000</v>
      </c>
      <c r="W30" s="1167">
        <v>400000000000</v>
      </c>
      <c r="X30" s="1167">
        <v>410800000000</v>
      </c>
      <c r="Y30" s="866">
        <v>416500000000</v>
      </c>
      <c r="Z30" s="866">
        <v>429800000000</v>
      </c>
      <c r="AB30" s="2463"/>
      <c r="AC30" s="2463"/>
      <c r="AD30" s="2463"/>
      <c r="AE30" s="2463"/>
      <c r="AF30" s="2463"/>
      <c r="AG30" s="2463"/>
      <c r="AH30" s="2463"/>
      <c r="AI30" s="2463"/>
      <c r="AJ30" s="2463"/>
      <c r="AK30" s="2463"/>
      <c r="AL30" s="2463"/>
      <c r="AM30" s="2463"/>
      <c r="AN30" s="2463"/>
      <c r="AO30" s="2463"/>
      <c r="AP30" s="2463"/>
      <c r="AQ30" s="2463"/>
      <c r="AR30" s="2463"/>
      <c r="AS30" s="2463"/>
      <c r="AT30" s="2463"/>
    </row>
    <row r="31" spans="1:46">
      <c r="A31" s="534" t="s">
        <v>237</v>
      </c>
      <c r="B31" s="534" t="s">
        <v>904</v>
      </c>
      <c r="C31" s="865" t="s">
        <v>75</v>
      </c>
      <c r="D31" s="565">
        <v>122500000000</v>
      </c>
      <c r="E31" s="565">
        <v>135300000000.00002</v>
      </c>
      <c r="F31" s="565">
        <v>119600000000</v>
      </c>
      <c r="G31" s="565">
        <v>141100000000</v>
      </c>
      <c r="H31" s="565">
        <v>131000000000</v>
      </c>
      <c r="I31" s="565">
        <v>144200000000</v>
      </c>
      <c r="J31" s="565">
        <v>113400000000</v>
      </c>
      <c r="K31" s="565">
        <v>198400000000</v>
      </c>
      <c r="L31" s="565">
        <v>174700000000</v>
      </c>
      <c r="M31" s="565">
        <v>302300000000</v>
      </c>
      <c r="N31" s="565">
        <v>177200000000</v>
      </c>
      <c r="O31" s="565">
        <v>226600000000</v>
      </c>
      <c r="P31" s="565">
        <v>217300000000</v>
      </c>
      <c r="Q31" s="565">
        <v>288100000000</v>
      </c>
      <c r="R31" s="2474">
        <v>249600000000</v>
      </c>
      <c r="S31" s="2474">
        <v>376900000000</v>
      </c>
      <c r="T31" s="2474">
        <v>299600000000</v>
      </c>
      <c r="U31" s="1167">
        <v>491500000000</v>
      </c>
      <c r="V31" s="1167">
        <v>500000000000</v>
      </c>
      <c r="W31" s="1167">
        <v>400000000000</v>
      </c>
      <c r="X31" s="1167">
        <v>410800000000</v>
      </c>
      <c r="Y31" s="866">
        <v>416500000000</v>
      </c>
      <c r="Z31" s="866">
        <v>429800000000</v>
      </c>
      <c r="AB31" s="2463"/>
      <c r="AC31" s="2463"/>
      <c r="AD31" s="2463"/>
      <c r="AE31" s="2463"/>
      <c r="AF31" s="2463"/>
      <c r="AG31" s="2463"/>
      <c r="AH31" s="2463"/>
      <c r="AI31" s="2463"/>
      <c r="AJ31" s="2463"/>
      <c r="AK31" s="2463"/>
      <c r="AL31" s="2463"/>
      <c r="AM31" s="2463"/>
      <c r="AN31" s="2463"/>
      <c r="AO31" s="2463"/>
      <c r="AP31" s="2463"/>
      <c r="AQ31" s="2463"/>
      <c r="AR31" s="2463"/>
      <c r="AS31" s="2463"/>
      <c r="AT31" s="2463"/>
    </row>
    <row r="32" spans="1:46">
      <c r="A32" s="435" t="s">
        <v>239</v>
      </c>
      <c r="B32" s="867" t="s">
        <v>905</v>
      </c>
      <c r="C32" s="865" t="s">
        <v>95</v>
      </c>
      <c r="D32" s="565">
        <v>35000000000</v>
      </c>
      <c r="E32" s="565">
        <v>55400000000</v>
      </c>
      <c r="F32" s="565">
        <v>54500000000</v>
      </c>
      <c r="G32" s="565">
        <v>71800000000</v>
      </c>
      <c r="H32" s="565">
        <v>61200000000</v>
      </c>
      <c r="I32" s="565">
        <v>76300000000</v>
      </c>
      <c r="J32" s="565">
        <v>48600000000</v>
      </c>
      <c r="K32" s="565">
        <v>85200000000</v>
      </c>
      <c r="L32" s="565">
        <v>105300000000</v>
      </c>
      <c r="M32" s="565">
        <v>221600000000</v>
      </c>
      <c r="N32" s="565">
        <v>101200000000</v>
      </c>
      <c r="O32" s="565">
        <v>107500000000</v>
      </c>
      <c r="P32" s="565">
        <v>129600000000</v>
      </c>
      <c r="Q32" s="565">
        <v>133800000000.00002</v>
      </c>
      <c r="R32" s="2474">
        <v>114600000000</v>
      </c>
      <c r="S32" s="2474">
        <v>216600000000</v>
      </c>
      <c r="T32" s="2474">
        <v>178500000000</v>
      </c>
      <c r="U32" s="1167">
        <v>313000000000</v>
      </c>
      <c r="V32" s="1167">
        <v>273000000000</v>
      </c>
      <c r="W32" s="1167">
        <v>166500000000</v>
      </c>
      <c r="X32" s="1167">
        <v>182300000000</v>
      </c>
      <c r="Y32" s="866">
        <v>210500000000</v>
      </c>
      <c r="Z32" s="866">
        <v>202700000000</v>
      </c>
      <c r="AB32" s="2463"/>
      <c r="AC32" s="2463"/>
      <c r="AD32" s="2463"/>
      <c r="AE32" s="2463"/>
      <c r="AF32" s="2463"/>
      <c r="AG32" s="2463"/>
      <c r="AH32" s="2463"/>
      <c r="AI32" s="2463"/>
      <c r="AJ32" s="2463"/>
      <c r="AK32" s="2463"/>
      <c r="AL32" s="2463"/>
      <c r="AM32" s="2463"/>
      <c r="AN32" s="2463"/>
      <c r="AO32" s="2463"/>
      <c r="AP32" s="2463"/>
      <c r="AQ32" s="2463"/>
      <c r="AR32" s="2463"/>
      <c r="AS32" s="2463"/>
      <c r="AT32" s="2463"/>
    </row>
    <row r="33" spans="1:46">
      <c r="A33" s="435" t="s">
        <v>395</v>
      </c>
      <c r="B33" s="867" t="s">
        <v>906</v>
      </c>
      <c r="C33" s="865" t="s">
        <v>95</v>
      </c>
      <c r="D33" s="565">
        <v>87400000000</v>
      </c>
      <c r="E33" s="565">
        <v>79800000000</v>
      </c>
      <c r="F33" s="565">
        <v>65099999999.999992</v>
      </c>
      <c r="G33" s="565">
        <v>69300000000</v>
      </c>
      <c r="H33" s="565">
        <v>69800000000</v>
      </c>
      <c r="I33" s="565">
        <v>67900000000.000008</v>
      </c>
      <c r="J33" s="565">
        <v>64800000000</v>
      </c>
      <c r="K33" s="565">
        <v>113200000000</v>
      </c>
      <c r="L33" s="565">
        <v>69400000000</v>
      </c>
      <c r="M33" s="565">
        <v>80700000000</v>
      </c>
      <c r="N33" s="565">
        <v>76000000000</v>
      </c>
      <c r="O33" s="565">
        <v>119100000000</v>
      </c>
      <c r="P33" s="565">
        <v>87700000000</v>
      </c>
      <c r="Q33" s="565">
        <v>154300000000</v>
      </c>
      <c r="R33" s="2474">
        <v>135100000000</v>
      </c>
      <c r="S33" s="2474">
        <v>160300000000</v>
      </c>
      <c r="T33" s="2474">
        <v>121100000000</v>
      </c>
      <c r="U33" s="1167">
        <v>178500000000</v>
      </c>
      <c r="V33" s="1167">
        <v>227000000000</v>
      </c>
      <c r="W33" s="1167">
        <v>233500000000</v>
      </c>
      <c r="X33" s="1167">
        <v>228500000000</v>
      </c>
      <c r="Y33" s="866">
        <v>206000000000</v>
      </c>
      <c r="Z33" s="866">
        <v>227000000000</v>
      </c>
      <c r="AB33" s="2463"/>
      <c r="AC33" s="2463"/>
      <c r="AD33" s="2463"/>
      <c r="AE33" s="2463"/>
      <c r="AF33" s="2463"/>
      <c r="AG33" s="2463"/>
      <c r="AH33" s="2463"/>
      <c r="AI33" s="2463"/>
      <c r="AJ33" s="2463"/>
      <c r="AK33" s="2463"/>
      <c r="AL33" s="2463"/>
      <c r="AM33" s="2463"/>
      <c r="AN33" s="2463"/>
      <c r="AO33" s="2463"/>
      <c r="AP33" s="2463"/>
      <c r="AQ33" s="2463"/>
      <c r="AR33" s="2463"/>
      <c r="AS33" s="2463"/>
      <c r="AT33" s="2463"/>
    </row>
    <row r="34" spans="1:46">
      <c r="A34" s="435" t="s">
        <v>244</v>
      </c>
      <c r="B34" s="534" t="s">
        <v>907</v>
      </c>
      <c r="C34" s="865" t="s">
        <v>75</v>
      </c>
      <c r="D34" s="565">
        <v>300000000</v>
      </c>
      <c r="E34" s="565">
        <v>400000000</v>
      </c>
      <c r="F34" s="565">
        <v>3200000000</v>
      </c>
      <c r="G34" s="2736">
        <v>0</v>
      </c>
      <c r="H34" s="565">
        <v>700000000</v>
      </c>
      <c r="I34" s="2736">
        <v>0</v>
      </c>
      <c r="J34" s="565">
        <v>1200000000</v>
      </c>
      <c r="K34" s="565">
        <v>200000000</v>
      </c>
      <c r="L34" s="565">
        <v>44800000000</v>
      </c>
      <c r="M34" s="565">
        <v>12700000000</v>
      </c>
      <c r="N34" s="565">
        <v>20600000000</v>
      </c>
      <c r="O34" s="565">
        <v>12500000000</v>
      </c>
      <c r="P34" s="565">
        <v>6000000000</v>
      </c>
      <c r="Q34" s="565">
        <v>31200000000</v>
      </c>
      <c r="R34" s="2735">
        <v>0</v>
      </c>
      <c r="S34" s="2474">
        <v>20200000000</v>
      </c>
      <c r="T34" s="2474">
        <v>5500000000</v>
      </c>
      <c r="U34" s="1167">
        <v>6400000000</v>
      </c>
      <c r="V34" s="1167">
        <v>0</v>
      </c>
      <c r="W34" s="1167">
        <v>0</v>
      </c>
      <c r="X34" s="1167">
        <v>0</v>
      </c>
      <c r="Y34" s="866">
        <v>0</v>
      </c>
      <c r="Z34" s="866">
        <v>0</v>
      </c>
      <c r="AB34" s="2463"/>
      <c r="AC34" s="2463"/>
      <c r="AD34" s="2463"/>
      <c r="AE34" s="2463"/>
      <c r="AF34" s="2463"/>
      <c r="AG34" s="2463"/>
      <c r="AH34" s="2463"/>
      <c r="AI34" s="2463"/>
      <c r="AJ34" s="2463"/>
      <c r="AK34" s="2463"/>
      <c r="AL34" s="2463"/>
      <c r="AM34" s="2463"/>
      <c r="AN34" s="2463"/>
      <c r="AO34" s="2463"/>
      <c r="AP34" s="2463"/>
      <c r="AQ34" s="2463"/>
      <c r="AR34" s="2463"/>
      <c r="AS34" s="2463"/>
      <c r="AT34" s="2463"/>
    </row>
    <row r="35" spans="1:46">
      <c r="A35" s="534" t="s">
        <v>76</v>
      </c>
      <c r="B35" s="534" t="s">
        <v>908</v>
      </c>
      <c r="D35" s="565">
        <v>-56300000000</v>
      </c>
      <c r="E35" s="565">
        <v>-72300000000</v>
      </c>
      <c r="F35" s="565">
        <v>-63900000000</v>
      </c>
      <c r="G35" s="565">
        <v>-75700000000</v>
      </c>
      <c r="H35" s="565">
        <v>-78100000000</v>
      </c>
      <c r="I35" s="565">
        <v>-105800000000</v>
      </c>
      <c r="J35" s="567">
        <v>-66900000000.000008</v>
      </c>
      <c r="K35" s="565">
        <v>-74400000000</v>
      </c>
      <c r="L35" s="565">
        <v>-103400000000</v>
      </c>
      <c r="M35" s="565">
        <v>-233200000000</v>
      </c>
      <c r="N35" s="565">
        <v>-99200000000</v>
      </c>
      <c r="O35" s="565">
        <v>-149100000000</v>
      </c>
      <c r="P35" s="565">
        <v>-93200000000</v>
      </c>
      <c r="Q35" s="565">
        <v>-156500000000</v>
      </c>
      <c r="R35" s="2474">
        <v>-91800000000</v>
      </c>
      <c r="S35" s="2474">
        <v>-394000000000</v>
      </c>
      <c r="T35" s="2474">
        <v>-306000000000</v>
      </c>
      <c r="U35" s="1167">
        <v>-316500000000</v>
      </c>
      <c r="V35" s="1167">
        <v>-273100000000.00003</v>
      </c>
      <c r="W35" s="1167">
        <v>-153900000000</v>
      </c>
      <c r="X35" s="1167">
        <v>-78100000000</v>
      </c>
      <c r="Y35" s="866">
        <v>-42600000000</v>
      </c>
      <c r="Z35" s="866">
        <v>20500000000</v>
      </c>
      <c r="AB35" s="2463"/>
      <c r="AC35" s="2463"/>
      <c r="AD35" s="2463"/>
      <c r="AE35" s="2463"/>
      <c r="AF35" s="2463"/>
      <c r="AG35" s="2463"/>
      <c r="AH35" s="2463"/>
      <c r="AI35" s="2463"/>
      <c r="AJ35" s="2463"/>
      <c r="AK35" s="2463"/>
      <c r="AL35" s="2463"/>
      <c r="AM35" s="2463"/>
      <c r="AN35" s="2463"/>
      <c r="AO35" s="2463"/>
      <c r="AP35" s="2463"/>
      <c r="AQ35" s="2463"/>
      <c r="AR35" s="2463"/>
      <c r="AS35" s="2463"/>
      <c r="AT35" s="2463"/>
    </row>
    <row r="36" spans="1:46">
      <c r="A36" s="534" t="s">
        <v>76</v>
      </c>
      <c r="B36" s="534" t="s">
        <v>275</v>
      </c>
      <c r="D36" s="565">
        <v>45500000000</v>
      </c>
      <c r="E36" s="565">
        <v>23200000000</v>
      </c>
      <c r="F36" s="567"/>
      <c r="G36" s="567"/>
      <c r="H36" s="567"/>
      <c r="I36" s="567"/>
      <c r="J36" s="567">
        <v>-56800000000</v>
      </c>
      <c r="K36" s="869">
        <v>-32200000000.000004</v>
      </c>
      <c r="L36" s="869">
        <v>-93100000000</v>
      </c>
      <c r="M36" s="869">
        <v>-217600000000</v>
      </c>
      <c r="N36" s="869">
        <v>-81500000000</v>
      </c>
      <c r="O36" s="565">
        <v>-134199999999.99998</v>
      </c>
      <c r="P36" s="565">
        <v>-70100000000</v>
      </c>
      <c r="Q36" s="565">
        <v>-136600000000</v>
      </c>
      <c r="R36" s="2474">
        <v>-117500000000</v>
      </c>
      <c r="S36" s="2474">
        <v>-386600000000</v>
      </c>
      <c r="T36" s="2474">
        <v>-277300000000</v>
      </c>
      <c r="U36" s="1167">
        <v>-267300000000</v>
      </c>
      <c r="V36" s="1167">
        <v>-223100000000</v>
      </c>
      <c r="W36" s="1167">
        <v>-100600000000</v>
      </c>
      <c r="X36" s="1167">
        <v>-32100000000</v>
      </c>
      <c r="Y36" s="866">
        <v>39800000000</v>
      </c>
      <c r="Z36" s="866">
        <v>98800000000</v>
      </c>
      <c r="AB36" s="2463"/>
      <c r="AC36" s="2463"/>
      <c r="AD36" s="2463"/>
      <c r="AE36" s="2463"/>
      <c r="AF36" s="2463"/>
      <c r="AG36" s="2463"/>
      <c r="AH36" s="2463"/>
      <c r="AI36" s="2463"/>
      <c r="AJ36" s="2463"/>
      <c r="AK36" s="2463"/>
      <c r="AL36" s="2463"/>
      <c r="AM36" s="2463"/>
      <c r="AN36" s="2463"/>
      <c r="AO36" s="2463"/>
      <c r="AP36" s="2463"/>
      <c r="AQ36" s="2463"/>
      <c r="AR36" s="2463"/>
      <c r="AS36" s="2463"/>
      <c r="AT36" s="2463"/>
    </row>
    <row r="37" spans="1:46">
      <c r="A37" s="534" t="s">
        <v>76</v>
      </c>
      <c r="B37" s="534" t="s">
        <v>909</v>
      </c>
      <c r="D37" s="565">
        <v>-42200000000</v>
      </c>
      <c r="E37" s="565">
        <v>-57000000000</v>
      </c>
      <c r="F37" s="567"/>
      <c r="G37" s="567"/>
      <c r="H37" s="567"/>
      <c r="I37" s="567"/>
      <c r="J37" s="567">
        <v>9200000000</v>
      </c>
      <c r="K37" s="869">
        <v>81100000000</v>
      </c>
      <c r="L37" s="869">
        <v>21200000000</v>
      </c>
      <c r="M37" s="869">
        <v>-124200000000</v>
      </c>
      <c r="N37" s="869">
        <v>15100000000</v>
      </c>
      <c r="O37" s="565">
        <v>-2600000000</v>
      </c>
      <c r="P37" s="565">
        <v>23600000000</v>
      </c>
      <c r="Q37" s="565">
        <v>48800000000</v>
      </c>
      <c r="R37" s="2474">
        <v>1100000000</v>
      </c>
      <c r="S37" s="2474">
        <v>-206100000000</v>
      </c>
      <c r="T37" s="2474">
        <v>-150600000000</v>
      </c>
      <c r="U37" s="1167">
        <v>-82400000000</v>
      </c>
      <c r="V37" s="1167">
        <v>3900000000</v>
      </c>
      <c r="W37" s="1167">
        <v>132900000000</v>
      </c>
      <c r="X37" s="1167">
        <v>196400000000</v>
      </c>
      <c r="Y37" s="866">
        <v>245800000000</v>
      </c>
      <c r="Z37" s="866">
        <v>325800000000</v>
      </c>
      <c r="AB37" s="2463"/>
      <c r="AC37" s="2463"/>
      <c r="AD37" s="2463"/>
      <c r="AE37" s="2463"/>
      <c r="AF37" s="2463"/>
      <c r="AG37" s="2463"/>
      <c r="AH37" s="2463"/>
      <c r="AI37" s="2463"/>
      <c r="AJ37" s="2463"/>
      <c r="AK37" s="2463"/>
      <c r="AL37" s="2463"/>
      <c r="AM37" s="2463"/>
      <c r="AN37" s="2463"/>
      <c r="AO37" s="2463"/>
      <c r="AP37" s="2463"/>
      <c r="AQ37" s="2463"/>
      <c r="AR37" s="2463"/>
      <c r="AS37" s="2463"/>
      <c r="AT37" s="2463"/>
    </row>
    <row r="38" spans="1:46">
      <c r="A38" s="534" t="s">
        <v>76</v>
      </c>
      <c r="B38" s="534" t="s">
        <v>910</v>
      </c>
      <c r="D38" s="565">
        <v>-30600000000</v>
      </c>
      <c r="E38" s="565">
        <v>-6700000000</v>
      </c>
      <c r="F38" s="565">
        <v>-6700000000</v>
      </c>
      <c r="G38" s="565">
        <v>-2100000000</v>
      </c>
      <c r="H38" s="565">
        <v>-8500000000</v>
      </c>
      <c r="I38" s="565">
        <v>-19000000000</v>
      </c>
      <c r="J38" s="565">
        <v>-15000000000</v>
      </c>
      <c r="K38" s="565">
        <v>-30900000000</v>
      </c>
      <c r="L38" s="565">
        <v>-16399999999.999998</v>
      </c>
      <c r="M38" s="565">
        <v>-28300000000</v>
      </c>
      <c r="N38" s="565">
        <v>-17200000000</v>
      </c>
      <c r="O38" s="565">
        <v>-11600000000</v>
      </c>
      <c r="P38" s="565">
        <v>-12200000000</v>
      </c>
      <c r="Q38" s="565">
        <v>-7200000000</v>
      </c>
      <c r="R38" s="2474">
        <v>-2400000000</v>
      </c>
      <c r="S38" s="2474">
        <v>-400000000</v>
      </c>
      <c r="T38" s="2474">
        <v>-1400000000</v>
      </c>
      <c r="U38" s="1167">
        <v>-5300000000</v>
      </c>
      <c r="V38" s="1167">
        <v>-10000000000</v>
      </c>
      <c r="W38" s="1167">
        <v>-10000000000</v>
      </c>
      <c r="X38" s="1167">
        <v>-10000000000</v>
      </c>
      <c r="Y38" s="866">
        <v>-10000000000</v>
      </c>
      <c r="Z38" s="866">
        <v>-10000000000</v>
      </c>
      <c r="AB38" s="2463"/>
      <c r="AC38" s="2463"/>
      <c r="AD38" s="2463"/>
      <c r="AE38" s="2463"/>
      <c r="AF38" s="2463"/>
      <c r="AG38" s="2463"/>
      <c r="AH38" s="2463"/>
      <c r="AI38" s="2463"/>
      <c r="AJ38" s="2463"/>
      <c r="AK38" s="2463"/>
      <c r="AL38" s="2463"/>
      <c r="AM38" s="2463"/>
      <c r="AN38" s="2463"/>
      <c r="AO38" s="2463"/>
      <c r="AP38" s="2463"/>
      <c r="AQ38" s="2463"/>
      <c r="AR38" s="2463"/>
      <c r="AS38" s="2463"/>
      <c r="AT38" s="2463"/>
    </row>
    <row r="39" spans="1:46">
      <c r="A39" s="534" t="s">
        <v>76</v>
      </c>
      <c r="B39" s="534" t="s">
        <v>902</v>
      </c>
      <c r="D39" s="565">
        <v>-14800000000</v>
      </c>
      <c r="E39" s="565">
        <v>0</v>
      </c>
      <c r="F39" s="565">
        <v>0</v>
      </c>
      <c r="G39" s="565">
        <v>0</v>
      </c>
      <c r="H39" s="565">
        <v>0</v>
      </c>
      <c r="I39" s="565">
        <v>0</v>
      </c>
      <c r="J39" s="565">
        <v>0</v>
      </c>
      <c r="K39" s="565">
        <v>0</v>
      </c>
      <c r="L39" s="565">
        <v>0</v>
      </c>
      <c r="M39" s="565">
        <v>0</v>
      </c>
      <c r="N39" s="565">
        <v>0</v>
      </c>
      <c r="O39" s="565">
        <v>0</v>
      </c>
      <c r="P39" s="565">
        <v>0</v>
      </c>
      <c r="Q39" s="565">
        <v>0</v>
      </c>
      <c r="R39" s="2475">
        <v>0</v>
      </c>
      <c r="S39" s="2475">
        <v>0</v>
      </c>
      <c r="T39" s="2475">
        <v>0</v>
      </c>
      <c r="U39" s="1167">
        <v>0</v>
      </c>
      <c r="V39" s="1167">
        <v>0</v>
      </c>
      <c r="W39" s="1167">
        <v>0</v>
      </c>
      <c r="X39" s="1167">
        <v>0</v>
      </c>
      <c r="Y39" s="866">
        <v>0</v>
      </c>
      <c r="Z39" s="866">
        <v>0</v>
      </c>
      <c r="AB39" s="2463"/>
      <c r="AC39" s="2463"/>
      <c r="AD39" s="2463"/>
      <c r="AE39" s="2463"/>
      <c r="AF39" s="2463"/>
      <c r="AG39" s="2463"/>
      <c r="AH39" s="2463"/>
      <c r="AI39" s="2463"/>
      <c r="AJ39" s="2463"/>
      <c r="AK39" s="2463"/>
      <c r="AL39" s="2463"/>
      <c r="AM39" s="2463"/>
      <c r="AN39" s="2463"/>
      <c r="AO39" s="2463"/>
      <c r="AP39" s="2463"/>
      <c r="AQ39" s="2463"/>
      <c r="AR39" s="2463"/>
      <c r="AS39" s="2463"/>
      <c r="AT39" s="2463"/>
    </row>
    <row r="40" spans="1:46">
      <c r="A40" s="534" t="s">
        <v>76</v>
      </c>
      <c r="B40" s="534" t="s">
        <v>911</v>
      </c>
      <c r="D40" s="565">
        <v>-15800000000</v>
      </c>
      <c r="E40" s="565">
        <v>-6700000000</v>
      </c>
      <c r="F40" s="565">
        <v>-6700000000</v>
      </c>
      <c r="G40" s="565">
        <v>-2100000000</v>
      </c>
      <c r="H40" s="565">
        <v>-8500000000</v>
      </c>
      <c r="I40" s="565">
        <v>-19000000000</v>
      </c>
      <c r="J40" s="565">
        <v>-15000000000</v>
      </c>
      <c r="K40" s="565">
        <v>-30900000000</v>
      </c>
      <c r="L40" s="565">
        <v>-16399999999.999998</v>
      </c>
      <c r="M40" s="565">
        <v>-28300000000</v>
      </c>
      <c r="N40" s="565">
        <v>-17200000000</v>
      </c>
      <c r="O40" s="565">
        <v>-11600000000</v>
      </c>
      <c r="P40" s="565">
        <v>-12200000000</v>
      </c>
      <c r="Q40" s="565">
        <v>-7200000000</v>
      </c>
      <c r="R40" s="2474">
        <v>-2400000000</v>
      </c>
      <c r="S40" s="2474">
        <v>-10300000000</v>
      </c>
      <c r="T40" s="2474">
        <v>-1400000000</v>
      </c>
      <c r="U40" s="1167">
        <v>-5300000000</v>
      </c>
      <c r="V40" s="1167">
        <v>-10000000000</v>
      </c>
      <c r="W40" s="1167">
        <v>-10000000000</v>
      </c>
      <c r="X40" s="1167">
        <v>-10000000000</v>
      </c>
      <c r="Y40" s="866">
        <v>-10000000000</v>
      </c>
      <c r="Z40" s="866">
        <v>-10000000000</v>
      </c>
      <c r="AB40" s="2463"/>
      <c r="AC40" s="2463"/>
      <c r="AD40" s="2463"/>
      <c r="AE40" s="2463"/>
      <c r="AF40" s="2463"/>
      <c r="AG40" s="2463"/>
      <c r="AH40" s="2463"/>
      <c r="AI40" s="2463"/>
      <c r="AJ40" s="2463"/>
      <c r="AK40" s="2463"/>
      <c r="AL40" s="2463"/>
      <c r="AM40" s="2463"/>
      <c r="AN40" s="2463"/>
      <c r="AO40" s="2463"/>
      <c r="AP40" s="2463"/>
      <c r="AQ40" s="2463"/>
      <c r="AR40" s="2463"/>
      <c r="AS40" s="2463"/>
      <c r="AT40" s="2463"/>
    </row>
    <row r="41" spans="1:46">
      <c r="A41" s="534" t="s">
        <v>76</v>
      </c>
      <c r="B41" s="534" t="s">
        <v>912</v>
      </c>
      <c r="D41" s="565">
        <v>-600000000</v>
      </c>
      <c r="E41" s="565">
        <v>8400000000</v>
      </c>
      <c r="F41" s="565">
        <v>-13800000000</v>
      </c>
      <c r="G41" s="565">
        <v>1300000000</v>
      </c>
      <c r="H41" s="565">
        <v>-10700000000</v>
      </c>
      <c r="I41" s="565">
        <v>40200000000</v>
      </c>
      <c r="J41" s="565">
        <v>25800000000</v>
      </c>
      <c r="K41" s="565">
        <v>14700000000</v>
      </c>
      <c r="L41" s="565">
        <v>-102800000000</v>
      </c>
      <c r="M41" s="565">
        <v>-26800000000</v>
      </c>
      <c r="N41" s="565">
        <v>9500000000</v>
      </c>
      <c r="O41" s="565">
        <v>-7800000000</v>
      </c>
      <c r="P41" s="565">
        <v>5300000000</v>
      </c>
      <c r="Q41" s="565">
        <v>13000000000</v>
      </c>
      <c r="R41" s="2474"/>
      <c r="S41" s="2474"/>
      <c r="T41" s="2474"/>
      <c r="U41" s="1167"/>
      <c r="V41" s="1167"/>
      <c r="W41" s="1167"/>
      <c r="X41" s="1167"/>
      <c r="Y41" s="866"/>
      <c r="Z41" s="866"/>
      <c r="AB41" s="2463"/>
      <c r="AC41" s="2463"/>
      <c r="AD41" s="2463"/>
      <c r="AE41" s="2463"/>
      <c r="AF41" s="2463"/>
      <c r="AG41" s="2463"/>
      <c r="AH41" s="2463"/>
      <c r="AI41" s="2463"/>
      <c r="AJ41" s="2463"/>
      <c r="AK41" s="2463"/>
      <c r="AL41" s="2463"/>
      <c r="AM41" s="2463"/>
      <c r="AN41" s="2463"/>
      <c r="AO41" s="2463"/>
      <c r="AP41" s="2463"/>
      <c r="AQ41" s="2463"/>
      <c r="AR41" s="2463"/>
      <c r="AS41" s="2463"/>
      <c r="AT41" s="2463"/>
    </row>
    <row r="42" spans="1:46">
      <c r="B42" s="534" t="s">
        <v>913</v>
      </c>
      <c r="D42" s="565"/>
      <c r="E42" s="565"/>
      <c r="F42" s="565"/>
      <c r="G42" s="565"/>
      <c r="H42" s="565"/>
      <c r="I42" s="565"/>
      <c r="J42" s="565"/>
      <c r="K42" s="565"/>
      <c r="L42" s="565"/>
      <c r="M42" s="565"/>
      <c r="N42" s="565"/>
      <c r="O42" s="565"/>
      <c r="P42" s="565"/>
      <c r="Q42" s="565"/>
      <c r="R42" s="2474">
        <v>-122200000000</v>
      </c>
      <c r="S42" s="2474">
        <v>-393900000000</v>
      </c>
      <c r="T42" s="2474">
        <v>-306600000000</v>
      </c>
      <c r="U42" s="1167"/>
      <c r="V42" s="1167"/>
      <c r="W42" s="1167"/>
      <c r="X42" s="1167"/>
      <c r="Y42" s="866"/>
      <c r="Z42" s="866"/>
      <c r="AB42" s="2463"/>
      <c r="AC42" s="2463"/>
      <c r="AD42" s="2463"/>
      <c r="AE42" s="2463"/>
      <c r="AF42" s="2463"/>
      <c r="AG42" s="2463"/>
      <c r="AH42" s="2463"/>
      <c r="AI42" s="2463"/>
      <c r="AJ42" s="2463"/>
      <c r="AK42" s="2463"/>
      <c r="AL42" s="2463"/>
      <c r="AM42" s="2463"/>
      <c r="AN42" s="2463"/>
      <c r="AO42" s="2463"/>
      <c r="AP42" s="2463"/>
      <c r="AQ42" s="2463"/>
      <c r="AR42" s="2463"/>
      <c r="AS42" s="2463"/>
      <c r="AT42" s="2463"/>
    </row>
    <row r="43" spans="1:46">
      <c r="A43" s="534" t="s">
        <v>76</v>
      </c>
      <c r="B43" s="534" t="s">
        <v>914</v>
      </c>
      <c r="D43" s="565">
        <v>-87500000000</v>
      </c>
      <c r="E43" s="565">
        <v>-70600000000</v>
      </c>
      <c r="F43" s="565">
        <v>-84400000000</v>
      </c>
      <c r="G43" s="565">
        <v>-76400000000</v>
      </c>
      <c r="H43" s="567">
        <v>-97300000000</v>
      </c>
      <c r="I43" s="565">
        <v>-84700000000</v>
      </c>
      <c r="J43" s="565">
        <v>-56100000000</v>
      </c>
      <c r="K43" s="565">
        <v>-90600000000</v>
      </c>
      <c r="L43" s="565">
        <v>-222600000000</v>
      </c>
      <c r="M43" s="565">
        <v>-288300000000</v>
      </c>
      <c r="N43" s="565">
        <v>-106900000000</v>
      </c>
      <c r="O43" s="565">
        <v>-168500000000</v>
      </c>
      <c r="P43" s="565">
        <v>-100200000000</v>
      </c>
      <c r="Q43" s="565">
        <v>-150700000000</v>
      </c>
      <c r="R43" s="2474">
        <f t="shared" ref="R43:T43" si="4">R42-R59</f>
        <v>-158100000000</v>
      </c>
      <c r="S43" s="2474">
        <f t="shared" si="4"/>
        <v>-422700000000</v>
      </c>
      <c r="T43" s="2474">
        <f t="shared" si="4"/>
        <v>-332700000000</v>
      </c>
      <c r="U43" s="1167">
        <v>-364400000000</v>
      </c>
      <c r="V43" s="1167">
        <v>-366000000000</v>
      </c>
      <c r="W43" s="1167">
        <v>-271700000000</v>
      </c>
      <c r="X43" s="1167">
        <v>-201700000000</v>
      </c>
      <c r="Y43" s="866">
        <v>-129699999999.99998</v>
      </c>
      <c r="Z43" s="866">
        <v>-70400000000</v>
      </c>
      <c r="AB43" s="2463"/>
      <c r="AC43" s="2463"/>
      <c r="AD43" s="2463"/>
      <c r="AE43" s="2463"/>
      <c r="AF43" s="2463"/>
      <c r="AG43" s="2463"/>
      <c r="AH43" s="2463"/>
      <c r="AI43" s="2463"/>
      <c r="AJ43" s="2463"/>
      <c r="AK43" s="2463"/>
      <c r="AL43" s="2463"/>
      <c r="AM43" s="2463"/>
      <c r="AN43" s="2463"/>
      <c r="AO43" s="2463"/>
      <c r="AP43" s="2463"/>
      <c r="AQ43" s="2463"/>
      <c r="AR43" s="2463"/>
      <c r="AS43" s="2463"/>
      <c r="AT43" s="2463"/>
    </row>
    <row r="44" spans="1:46" s="848" customFormat="1">
      <c r="A44" s="880" t="s">
        <v>115</v>
      </c>
      <c r="B44" s="880" t="s">
        <v>115</v>
      </c>
      <c r="C44" s="880" t="s">
        <v>35</v>
      </c>
      <c r="D44" s="882">
        <f t="shared" ref="D44:P44" si="5">D46+D56</f>
        <v>60600000000</v>
      </c>
      <c r="E44" s="882">
        <f t="shared" si="5"/>
        <v>24600000000</v>
      </c>
      <c r="F44" s="882">
        <f t="shared" si="5"/>
        <v>65500000000</v>
      </c>
      <c r="G44" s="882">
        <f t="shared" si="5"/>
        <v>39600000000</v>
      </c>
      <c r="H44" s="882">
        <f t="shared" si="5"/>
        <v>41500000000</v>
      </c>
      <c r="I44" s="882">
        <f t="shared" si="5"/>
        <v>36800000000</v>
      </c>
      <c r="J44" s="882">
        <f t="shared" si="5"/>
        <v>400000000</v>
      </c>
      <c r="K44" s="882">
        <f t="shared" si="5"/>
        <v>-17000000000</v>
      </c>
      <c r="L44" s="882">
        <f t="shared" si="5"/>
        <v>167100000000</v>
      </c>
      <c r="M44" s="882">
        <f t="shared" si="5"/>
        <v>188600000000</v>
      </c>
      <c r="N44" s="882">
        <f t="shared" si="5"/>
        <v>64600000000</v>
      </c>
      <c r="O44" s="882">
        <f t="shared" si="5"/>
        <v>79100000000</v>
      </c>
      <c r="P44" s="882">
        <f t="shared" si="5"/>
        <v>27052000000</v>
      </c>
      <c r="Q44" s="882">
        <f>Q46+Q56</f>
        <v>109013999999.99988</v>
      </c>
      <c r="R44" s="1647">
        <f>R46+R56</f>
        <v>122200000000.00002</v>
      </c>
      <c r="S44" s="1647">
        <f t="shared" ref="S44:T44" si="6">S46+S56</f>
        <v>393900000000</v>
      </c>
      <c r="T44" s="1647">
        <f t="shared" si="6"/>
        <v>306500000000</v>
      </c>
      <c r="U44" s="1647">
        <f>U46+U56</f>
        <v>307100000000</v>
      </c>
      <c r="V44" s="1647">
        <f t="shared" ref="V44:Z44" si="7">V46+V56</f>
        <v>283100000000.00006</v>
      </c>
      <c r="W44" s="1647">
        <f t="shared" si="7"/>
        <v>135300000000.00006</v>
      </c>
      <c r="X44" s="1647">
        <f t="shared" si="7"/>
        <v>49100000000.000076</v>
      </c>
      <c r="Y44" s="1647">
        <f t="shared" si="7"/>
        <v>32900000000.000061</v>
      </c>
      <c r="Z44" s="1647">
        <f t="shared" si="7"/>
        <v>-7999999999.999939</v>
      </c>
      <c r="AB44" s="2463"/>
      <c r="AC44" s="2463"/>
      <c r="AD44" s="2463"/>
      <c r="AE44" s="2463"/>
      <c r="AF44" s="2463"/>
      <c r="AG44" s="2463"/>
      <c r="AH44" s="2463"/>
      <c r="AI44" s="2463"/>
      <c r="AJ44" s="2463"/>
      <c r="AK44" s="2463"/>
      <c r="AL44" s="2463"/>
      <c r="AM44" s="2463"/>
      <c r="AN44" s="2463"/>
      <c r="AO44" s="2463"/>
      <c r="AP44" s="2463"/>
      <c r="AQ44" s="2463"/>
      <c r="AR44" s="2463"/>
      <c r="AS44" s="2463"/>
      <c r="AT44" s="2463"/>
    </row>
    <row r="45" spans="1:46" ht="19.5" customHeight="1">
      <c r="A45" s="534" t="s">
        <v>76</v>
      </c>
      <c r="B45" s="534" t="s">
        <v>115</v>
      </c>
      <c r="D45" s="565">
        <v>87500000000</v>
      </c>
      <c r="E45" s="565">
        <v>70600000000</v>
      </c>
      <c r="F45" s="565">
        <v>84400000000</v>
      </c>
      <c r="G45" s="565">
        <v>76500000000</v>
      </c>
      <c r="H45" s="565">
        <v>97200000000</v>
      </c>
      <c r="I45" s="565">
        <v>84700000000</v>
      </c>
      <c r="J45" s="565">
        <v>56100000000</v>
      </c>
      <c r="K45" s="565">
        <v>61900000000</v>
      </c>
      <c r="L45" s="565">
        <v>219200000000</v>
      </c>
      <c r="M45" s="565">
        <v>288600000000</v>
      </c>
      <c r="N45" s="565">
        <v>111200000000</v>
      </c>
      <c r="O45" s="565">
        <v>166200000000</v>
      </c>
      <c r="P45" s="565">
        <v>100200000000</v>
      </c>
      <c r="Q45" s="565">
        <v>150700000000</v>
      </c>
      <c r="R45" s="2474"/>
      <c r="S45" s="2474"/>
      <c r="T45" s="2474"/>
      <c r="U45" s="1167"/>
      <c r="V45" s="1167"/>
      <c r="W45" s="1167"/>
      <c r="X45" s="1167"/>
      <c r="Y45" s="866"/>
      <c r="Z45" s="866"/>
      <c r="AB45" s="2463"/>
      <c r="AC45" s="2463"/>
      <c r="AD45" s="2463"/>
      <c r="AE45" s="2463"/>
      <c r="AF45" s="2463"/>
      <c r="AG45" s="2463"/>
      <c r="AH45" s="2463"/>
      <c r="AI45" s="2463"/>
      <c r="AJ45" s="2463"/>
      <c r="AK45" s="2463"/>
      <c r="AL45" s="2463"/>
      <c r="AM45" s="2463"/>
      <c r="AN45" s="2463"/>
      <c r="AO45" s="2463"/>
      <c r="AP45" s="2463"/>
      <c r="AQ45" s="2463"/>
      <c r="AR45" s="2463"/>
      <c r="AS45" s="2463"/>
      <c r="AT45" s="2463"/>
    </row>
    <row r="46" spans="1:46">
      <c r="A46" s="435" t="s">
        <v>120</v>
      </c>
      <c r="B46" s="534" t="s">
        <v>915</v>
      </c>
      <c r="C46" s="865" t="s">
        <v>119</v>
      </c>
      <c r="D46" s="565">
        <v>13900000000</v>
      </c>
      <c r="E46" s="565">
        <v>-49000000000</v>
      </c>
      <c r="F46" s="565">
        <v>11400000000</v>
      </c>
      <c r="G46" s="565">
        <v>-3200000000</v>
      </c>
      <c r="H46" s="565">
        <v>2400000000</v>
      </c>
      <c r="I46" s="565">
        <v>-6400000000</v>
      </c>
      <c r="J46" s="565">
        <v>-48400000000</v>
      </c>
      <c r="K46" s="565">
        <v>-95900000000</v>
      </c>
      <c r="L46" s="565">
        <v>109800000000</v>
      </c>
      <c r="M46" s="565">
        <v>146000000000</v>
      </c>
      <c r="N46" s="567">
        <v>-1200000000</v>
      </c>
      <c r="O46" s="565">
        <v>54700000000</v>
      </c>
      <c r="P46" s="565">
        <v>6000000000</v>
      </c>
      <c r="Q46" s="565">
        <v>-25500000000</v>
      </c>
      <c r="R46" s="567">
        <v>39800000000</v>
      </c>
      <c r="S46" s="2473">
        <v>291400000000</v>
      </c>
      <c r="T46" s="2473">
        <v>224200000000</v>
      </c>
      <c r="U46" s="2473">
        <v>185900000000</v>
      </c>
      <c r="V46" s="2473">
        <v>118800000000</v>
      </c>
      <c r="W46" s="2473">
        <v>-43200000000</v>
      </c>
      <c r="X46" s="2473">
        <v>-128199999999.99998</v>
      </c>
      <c r="Y46" s="2473">
        <v>-105500000000</v>
      </c>
      <c r="Z46" s="2473">
        <v>-179700000000</v>
      </c>
      <c r="AB46" s="2463"/>
      <c r="AC46" s="2463"/>
      <c r="AD46" s="2463"/>
      <c r="AE46" s="2463"/>
      <c r="AF46" s="2463"/>
      <c r="AG46" s="2463"/>
      <c r="AH46" s="2463"/>
      <c r="AI46" s="2463"/>
      <c r="AJ46" s="2463"/>
      <c r="AK46" s="2463"/>
      <c r="AL46" s="2463"/>
      <c r="AM46" s="2463"/>
      <c r="AN46" s="2463"/>
      <c r="AO46" s="2463"/>
      <c r="AP46" s="2463"/>
      <c r="AQ46" s="2463"/>
      <c r="AR46" s="2463"/>
      <c r="AS46" s="2463"/>
      <c r="AT46" s="2463"/>
    </row>
    <row r="47" spans="1:46">
      <c r="A47" s="435" t="s">
        <v>122</v>
      </c>
      <c r="B47" s="867" t="s">
        <v>916</v>
      </c>
      <c r="C47" s="380" t="s">
        <v>124</v>
      </c>
      <c r="D47" s="565">
        <v>1200000000</v>
      </c>
      <c r="E47" s="565">
        <v>-47800000000</v>
      </c>
      <c r="F47" s="565">
        <v>13700000000</v>
      </c>
      <c r="G47" s="565">
        <v>-1200000000</v>
      </c>
      <c r="H47" s="565">
        <v>8900000000</v>
      </c>
      <c r="I47" s="565">
        <v>18200000000</v>
      </c>
      <c r="J47" s="565">
        <v>-50100000000</v>
      </c>
      <c r="K47" s="565">
        <v>-131699999999.99998</v>
      </c>
      <c r="L47" s="565">
        <v>128500000000</v>
      </c>
      <c r="M47" s="565">
        <v>80500000000</v>
      </c>
      <c r="N47" s="565">
        <v>-11900000000</v>
      </c>
      <c r="O47" s="565">
        <v>100400000000</v>
      </c>
      <c r="P47" s="565">
        <v>-9900000000</v>
      </c>
      <c r="Q47" s="565">
        <v>15200000000</v>
      </c>
      <c r="R47" s="567">
        <f>R49+R50+R51</f>
        <v>33600000000</v>
      </c>
      <c r="S47" s="2473">
        <f t="shared" ref="S47:T47" si="8">S49+S50+S51</f>
        <v>121500000000</v>
      </c>
      <c r="T47" s="2473">
        <f t="shared" si="8"/>
        <v>158000000000</v>
      </c>
      <c r="U47" s="2473">
        <v>-69600000000</v>
      </c>
      <c r="V47" s="2473">
        <v>145100000000</v>
      </c>
      <c r="W47" s="2473">
        <v>-168700000000</v>
      </c>
      <c r="X47" s="2473">
        <v>-210400000000</v>
      </c>
      <c r="Y47" s="2473">
        <v>-195400000000</v>
      </c>
      <c r="Z47" s="2473">
        <v>-276700000000</v>
      </c>
      <c r="AB47" s="2463"/>
      <c r="AC47" s="2463"/>
      <c r="AD47" s="2463"/>
      <c r="AE47" s="2463"/>
      <c r="AF47" s="2463"/>
      <c r="AG47" s="2463"/>
      <c r="AH47" s="2463"/>
      <c r="AI47" s="2463"/>
      <c r="AJ47" s="2463"/>
      <c r="AK47" s="2463"/>
      <c r="AL47" s="2463"/>
      <c r="AM47" s="2463"/>
      <c r="AN47" s="2463"/>
      <c r="AO47" s="2463"/>
      <c r="AP47" s="2463"/>
      <c r="AQ47" s="2463"/>
      <c r="AR47" s="2463"/>
      <c r="AS47" s="2463"/>
      <c r="AT47" s="2463"/>
    </row>
    <row r="48" spans="1:46">
      <c r="A48" s="534" t="s">
        <v>76</v>
      </c>
      <c r="B48" s="870" t="s">
        <v>917</v>
      </c>
      <c r="D48" s="565">
        <v>-2500000000</v>
      </c>
      <c r="E48" s="565">
        <v>-3100000000</v>
      </c>
      <c r="F48" s="565">
        <v>-6800000000</v>
      </c>
      <c r="G48" s="565">
        <v>-3500000000</v>
      </c>
      <c r="H48" s="565">
        <v>-2800000000</v>
      </c>
      <c r="I48" s="565">
        <v>-3400000000</v>
      </c>
      <c r="J48" s="567"/>
      <c r="K48" s="565">
        <v>600000000</v>
      </c>
      <c r="L48" s="565">
        <v>8400000000</v>
      </c>
      <c r="M48" s="565">
        <v>7400000000</v>
      </c>
      <c r="N48" s="565">
        <v>8400000000</v>
      </c>
      <c r="O48" s="565">
        <v>18200000000</v>
      </c>
      <c r="P48" s="565">
        <v>16100000000.000002</v>
      </c>
      <c r="Q48" s="565">
        <v>7500000000</v>
      </c>
      <c r="R48" s="567">
        <v>5100000000</v>
      </c>
      <c r="S48" s="565">
        <v>-3600000000</v>
      </c>
      <c r="T48" s="565">
        <v>-5100000000</v>
      </c>
      <c r="U48" s="565">
        <v>17900000000</v>
      </c>
      <c r="V48" s="565">
        <v>15500000000</v>
      </c>
      <c r="W48" s="567">
        <v>13000000000</v>
      </c>
      <c r="X48" s="866">
        <v>1600000000</v>
      </c>
      <c r="Y48" s="866">
        <v>-8900000000</v>
      </c>
      <c r="Z48" s="866">
        <v>-6900000000</v>
      </c>
      <c r="AB48" s="2463"/>
      <c r="AC48" s="2463"/>
      <c r="AD48" s="2463"/>
      <c r="AE48" s="2463"/>
      <c r="AF48" s="2463"/>
      <c r="AG48" s="2463"/>
      <c r="AH48" s="2463"/>
      <c r="AI48" s="2463"/>
      <c r="AJ48" s="2463"/>
      <c r="AK48" s="2463"/>
      <c r="AL48" s="2463"/>
      <c r="AM48" s="2463"/>
      <c r="AN48" s="2463"/>
      <c r="AO48" s="2463"/>
      <c r="AP48" s="2463"/>
      <c r="AQ48" s="2463"/>
      <c r="AR48" s="2463"/>
      <c r="AS48" s="2463"/>
      <c r="AT48" s="2463"/>
    </row>
    <row r="49" spans="1:46">
      <c r="A49" s="534" t="s">
        <v>76</v>
      </c>
      <c r="B49" s="870" t="s">
        <v>415</v>
      </c>
      <c r="D49" s="565">
        <v>6300000000</v>
      </c>
      <c r="E49" s="565">
        <v>7500000000</v>
      </c>
      <c r="F49" s="567"/>
      <c r="G49" s="567"/>
      <c r="H49" s="565">
        <v>1100000000</v>
      </c>
      <c r="I49" s="565">
        <v>700000000</v>
      </c>
      <c r="J49" s="567"/>
      <c r="K49" s="567">
        <v>600000000</v>
      </c>
      <c r="L49" s="565">
        <v>8400000000</v>
      </c>
      <c r="M49" s="565">
        <v>7400000000</v>
      </c>
      <c r="N49" s="565">
        <v>8400000000</v>
      </c>
      <c r="O49" s="565">
        <v>18300000000</v>
      </c>
      <c r="P49" s="565">
        <v>16399999999.999998</v>
      </c>
      <c r="Q49" s="565">
        <v>7900000000</v>
      </c>
      <c r="R49" s="567">
        <v>7900000000</v>
      </c>
      <c r="S49" s="565">
        <v>0</v>
      </c>
      <c r="T49" s="565">
        <v>0</v>
      </c>
      <c r="U49" s="565">
        <v>25800000000</v>
      </c>
      <c r="V49" s="565">
        <v>26700000000</v>
      </c>
      <c r="W49" s="567">
        <v>24400000000</v>
      </c>
      <c r="X49" s="866">
        <v>12200000000</v>
      </c>
      <c r="Y49" s="866">
        <v>0</v>
      </c>
      <c r="Z49" s="866">
        <v>0</v>
      </c>
      <c r="AB49" s="2463"/>
      <c r="AC49" s="2463"/>
      <c r="AD49" s="2463"/>
      <c r="AE49" s="2463"/>
      <c r="AF49" s="2463"/>
      <c r="AG49" s="2463"/>
      <c r="AH49" s="2463"/>
      <c r="AI49" s="2463"/>
      <c r="AJ49" s="2463"/>
      <c r="AK49" s="2463"/>
      <c r="AL49" s="2463"/>
      <c r="AM49" s="2463"/>
      <c r="AN49" s="2463"/>
      <c r="AO49" s="2463"/>
      <c r="AP49" s="2463"/>
      <c r="AQ49" s="2463"/>
      <c r="AR49" s="2463"/>
      <c r="AS49" s="2463"/>
      <c r="AT49" s="2463"/>
    </row>
    <row r="50" spans="1:46">
      <c r="A50" s="534" t="s">
        <v>76</v>
      </c>
      <c r="B50" s="870" t="s">
        <v>918</v>
      </c>
      <c r="D50" s="565">
        <v>-8900000000</v>
      </c>
      <c r="E50" s="565">
        <v>-10500000000</v>
      </c>
      <c r="F50" s="567"/>
      <c r="G50" s="567"/>
      <c r="H50" s="565">
        <v>-3900000000</v>
      </c>
      <c r="I50" s="565">
        <v>-4099999999.9999995</v>
      </c>
      <c r="J50" s="567"/>
      <c r="K50" s="567">
        <v>0</v>
      </c>
      <c r="L50" s="565">
        <v>0</v>
      </c>
      <c r="M50" s="565">
        <v>0</v>
      </c>
      <c r="N50" s="565">
        <v>0</v>
      </c>
      <c r="O50" s="565">
        <v>-100000000</v>
      </c>
      <c r="P50" s="565">
        <v>-300000000</v>
      </c>
      <c r="Q50" s="565">
        <v>-400000000</v>
      </c>
      <c r="R50" s="567">
        <v>-2800000000</v>
      </c>
      <c r="S50" s="565">
        <v>-3600000000</v>
      </c>
      <c r="T50" s="565">
        <v>-5100000000</v>
      </c>
      <c r="U50" s="565">
        <v>-7900000000</v>
      </c>
      <c r="V50" s="565">
        <v>-11200000000</v>
      </c>
      <c r="W50" s="567">
        <v>-11300000000</v>
      </c>
      <c r="X50" s="866">
        <v>-10600000000</v>
      </c>
      <c r="Y50" s="866">
        <v>-8900000000</v>
      </c>
      <c r="Z50" s="866">
        <v>-6900000000</v>
      </c>
      <c r="AB50" s="2463"/>
      <c r="AC50" s="2463"/>
      <c r="AD50" s="2463"/>
      <c r="AE50" s="2463"/>
      <c r="AF50" s="2463"/>
      <c r="AG50" s="2463"/>
      <c r="AH50" s="2463"/>
      <c r="AI50" s="2463"/>
      <c r="AJ50" s="2463"/>
      <c r="AK50" s="2463"/>
      <c r="AL50" s="2463"/>
      <c r="AM50" s="2463"/>
      <c r="AN50" s="2463"/>
      <c r="AO50" s="2463"/>
      <c r="AP50" s="2463"/>
      <c r="AQ50" s="2463"/>
      <c r="AR50" s="2463"/>
      <c r="AS50" s="2463"/>
      <c r="AT50" s="2463"/>
    </row>
    <row r="51" spans="1:46">
      <c r="A51" s="534" t="s">
        <v>76</v>
      </c>
      <c r="B51" s="870" t="s">
        <v>50</v>
      </c>
      <c r="D51" s="565">
        <v>3800000000</v>
      </c>
      <c r="E51" s="565">
        <v>-44700000000</v>
      </c>
      <c r="F51" s="565">
        <v>20400000000</v>
      </c>
      <c r="G51" s="565">
        <v>2300000000</v>
      </c>
      <c r="H51" s="565">
        <v>11700000000</v>
      </c>
      <c r="I51" s="565">
        <v>21500000000</v>
      </c>
      <c r="J51" s="567"/>
      <c r="K51" s="565">
        <v>-132400000000</v>
      </c>
      <c r="L51" s="565">
        <v>120100000000</v>
      </c>
      <c r="M51" s="565">
        <v>73000000000</v>
      </c>
      <c r="N51" s="565">
        <v>-20300000000</v>
      </c>
      <c r="O51" s="565">
        <v>82200000000</v>
      </c>
      <c r="P51" s="565">
        <v>-26000000000</v>
      </c>
      <c r="Q51" s="565">
        <v>7700000000</v>
      </c>
      <c r="R51" s="567">
        <v>28500000000</v>
      </c>
      <c r="S51" s="565">
        <v>125100000000</v>
      </c>
      <c r="T51" s="565">
        <v>163100000000</v>
      </c>
      <c r="U51" s="565">
        <v>-87400000000</v>
      </c>
      <c r="V51" s="565">
        <v>129600000000</v>
      </c>
      <c r="W51" s="567">
        <v>-181800000000</v>
      </c>
      <c r="X51" s="866">
        <v>-212100000000</v>
      </c>
      <c r="Y51" s="866">
        <v>-186500000000</v>
      </c>
      <c r="Z51" s="866">
        <v>-269800000000</v>
      </c>
      <c r="AB51" s="2463"/>
      <c r="AC51" s="2463"/>
      <c r="AD51" s="2463"/>
      <c r="AE51" s="2463"/>
      <c r="AF51" s="2463"/>
      <c r="AG51" s="2463"/>
      <c r="AH51" s="2463"/>
      <c r="AI51" s="2463"/>
      <c r="AJ51" s="2463"/>
      <c r="AK51" s="2463"/>
      <c r="AL51" s="2463"/>
      <c r="AM51" s="2463"/>
      <c r="AN51" s="2463"/>
      <c r="AO51" s="2463"/>
      <c r="AP51" s="2463"/>
      <c r="AQ51" s="2463"/>
      <c r="AR51" s="2463"/>
      <c r="AS51" s="2463"/>
      <c r="AT51" s="2463"/>
    </row>
    <row r="52" spans="1:46">
      <c r="A52" s="867" t="s">
        <v>919</v>
      </c>
      <c r="B52" s="867" t="s">
        <v>920</v>
      </c>
      <c r="C52" s="380" t="s">
        <v>124</v>
      </c>
      <c r="D52" s="565">
        <v>12600000000</v>
      </c>
      <c r="E52" s="565">
        <v>-1300000000</v>
      </c>
      <c r="F52" s="565">
        <v>-2300000000</v>
      </c>
      <c r="G52" s="565">
        <v>-2000000000</v>
      </c>
      <c r="H52" s="565">
        <v>-6500000000</v>
      </c>
      <c r="I52" s="565">
        <v>-24600000000</v>
      </c>
      <c r="J52" s="565">
        <v>1700000000</v>
      </c>
      <c r="K52" s="565">
        <v>35900000000</v>
      </c>
      <c r="L52" s="565">
        <v>-18700000000</v>
      </c>
      <c r="M52" s="565">
        <v>65500000000</v>
      </c>
      <c r="N52" s="565">
        <v>10700000000</v>
      </c>
      <c r="O52" s="565">
        <v>-45700000000</v>
      </c>
      <c r="P52" s="565">
        <v>15800000000</v>
      </c>
      <c r="Q52" s="565">
        <v>-40700000000</v>
      </c>
      <c r="R52" s="567">
        <v>6100000000</v>
      </c>
      <c r="S52" s="565">
        <v>170000000000</v>
      </c>
      <c r="T52" s="565">
        <v>66200000000</v>
      </c>
      <c r="U52" s="565">
        <v>255500000000</v>
      </c>
      <c r="V52" s="565">
        <v>-26300000000</v>
      </c>
      <c r="W52" s="567">
        <v>125500000000</v>
      </c>
      <c r="X52" s="866">
        <v>82300000000</v>
      </c>
      <c r="Y52" s="866">
        <v>89900000000</v>
      </c>
      <c r="Z52" s="866">
        <v>97000000000</v>
      </c>
      <c r="AB52" s="2463"/>
      <c r="AC52" s="2463"/>
      <c r="AD52" s="2463"/>
      <c r="AE52" s="2463"/>
      <c r="AF52" s="2463"/>
      <c r="AG52" s="2463"/>
      <c r="AH52" s="2463"/>
      <c r="AI52" s="2463"/>
      <c r="AJ52" s="2463"/>
      <c r="AK52" s="2463"/>
      <c r="AL52" s="2463"/>
      <c r="AM52" s="2463"/>
      <c r="AN52" s="2463"/>
      <c r="AO52" s="2463"/>
      <c r="AP52" s="2463"/>
      <c r="AQ52" s="2463"/>
      <c r="AR52" s="2463"/>
      <c r="AS52" s="2463"/>
      <c r="AT52" s="2463"/>
    </row>
    <row r="53" spans="1:46">
      <c r="A53" s="534" t="s">
        <v>76</v>
      </c>
      <c r="B53" s="870" t="s">
        <v>858</v>
      </c>
      <c r="D53" s="565">
        <v>900000000</v>
      </c>
      <c r="E53" s="565">
        <v>0</v>
      </c>
      <c r="F53" s="565">
        <v>0</v>
      </c>
      <c r="G53" s="565">
        <v>3800000000</v>
      </c>
      <c r="H53" s="565">
        <v>1600000000</v>
      </c>
      <c r="I53" s="565">
        <v>500000000</v>
      </c>
      <c r="J53" s="565">
        <v>0</v>
      </c>
      <c r="K53" s="565">
        <v>4099999999.9999995</v>
      </c>
      <c r="L53" s="565">
        <v>4700000000</v>
      </c>
      <c r="M53" s="565">
        <v>17900000000</v>
      </c>
      <c r="N53" s="565">
        <v>17500000000</v>
      </c>
      <c r="O53" s="565">
        <v>0</v>
      </c>
      <c r="P53" s="565">
        <v>0</v>
      </c>
      <c r="Q53" s="565">
        <v>0</v>
      </c>
      <c r="R53" s="567">
        <v>0</v>
      </c>
      <c r="S53" s="565">
        <v>0</v>
      </c>
      <c r="T53" s="565">
        <v>0</v>
      </c>
      <c r="U53" s="565">
        <v>0</v>
      </c>
      <c r="V53" s="565">
        <v>0</v>
      </c>
      <c r="W53" s="567">
        <v>0</v>
      </c>
      <c r="X53" s="866">
        <v>0</v>
      </c>
      <c r="Y53" s="866">
        <v>0</v>
      </c>
      <c r="Z53" s="866">
        <v>0</v>
      </c>
      <c r="AB53" s="2463"/>
      <c r="AC53" s="2463"/>
      <c r="AD53" s="2463"/>
      <c r="AE53" s="2463"/>
      <c r="AF53" s="2463"/>
      <c r="AG53" s="2463"/>
      <c r="AH53" s="2463"/>
      <c r="AI53" s="2463"/>
      <c r="AJ53" s="2463"/>
      <c r="AK53" s="2463"/>
      <c r="AL53" s="2463"/>
      <c r="AM53" s="2463"/>
      <c r="AN53" s="2463"/>
      <c r="AO53" s="2463"/>
      <c r="AP53" s="2463"/>
      <c r="AQ53" s="2463"/>
      <c r="AR53" s="2463"/>
      <c r="AS53" s="2463"/>
      <c r="AT53" s="2463"/>
    </row>
    <row r="54" spans="1:46">
      <c r="A54" s="534" t="s">
        <v>76</v>
      </c>
      <c r="B54" s="870" t="s">
        <v>921</v>
      </c>
      <c r="D54" s="565">
        <v>1400000000</v>
      </c>
      <c r="E54" s="565">
        <v>-1300000000</v>
      </c>
      <c r="F54" s="565">
        <v>-1700000000</v>
      </c>
      <c r="G54" s="565">
        <v>-3400000000</v>
      </c>
      <c r="H54" s="565">
        <v>-5300000000</v>
      </c>
      <c r="I54" s="565">
        <v>-26500000000</v>
      </c>
      <c r="J54" s="565">
        <v>-5700000000</v>
      </c>
      <c r="K54" s="565">
        <v>700000000</v>
      </c>
      <c r="L54" s="565">
        <v>-11700000000</v>
      </c>
      <c r="M54" s="565">
        <v>-12900000000</v>
      </c>
      <c r="N54" s="565">
        <v>-22500000000</v>
      </c>
      <c r="O54" s="565">
        <v>-30500000000</v>
      </c>
      <c r="P54" s="565">
        <v>-11200000000</v>
      </c>
      <c r="Q54" s="565">
        <v>-15800000000</v>
      </c>
      <c r="R54" s="567">
        <v>-8700000000</v>
      </c>
      <c r="S54" s="565">
        <v>-7400000000</v>
      </c>
      <c r="T54" s="565">
        <v>-7100000000</v>
      </c>
      <c r="U54" s="565">
        <v>-7000000000</v>
      </c>
      <c r="V54" s="565">
        <v>-7000000000</v>
      </c>
      <c r="W54" s="567">
        <v>0</v>
      </c>
      <c r="X54" s="866">
        <v>0</v>
      </c>
      <c r="Y54" s="866">
        <v>0</v>
      </c>
      <c r="Z54" s="866">
        <v>0</v>
      </c>
      <c r="AB54" s="2463"/>
      <c r="AC54" s="2463"/>
      <c r="AD54" s="2463"/>
      <c r="AE54" s="2463"/>
      <c r="AF54" s="2463"/>
      <c r="AG54" s="2463"/>
      <c r="AH54" s="2463"/>
      <c r="AI54" s="2463"/>
      <c r="AJ54" s="2463"/>
      <c r="AK54" s="2463"/>
      <c r="AL54" s="2463"/>
      <c r="AM54" s="2463"/>
      <c r="AN54" s="2463"/>
      <c r="AO54" s="2463"/>
      <c r="AP54" s="2463"/>
      <c r="AQ54" s="2463"/>
      <c r="AR54" s="2463"/>
      <c r="AS54" s="2463"/>
      <c r="AT54" s="2463"/>
    </row>
    <row r="55" spans="1:46">
      <c r="A55" s="534" t="s">
        <v>76</v>
      </c>
      <c r="B55" s="870" t="s">
        <v>922</v>
      </c>
      <c r="D55" s="565">
        <v>10300000000</v>
      </c>
      <c r="E55" s="565">
        <v>0</v>
      </c>
      <c r="F55" s="565">
        <v>-600000000</v>
      </c>
      <c r="G55" s="565">
        <v>-2400000000</v>
      </c>
      <c r="H55" s="565">
        <v>-2800000000</v>
      </c>
      <c r="I55" s="565">
        <v>1500000000</v>
      </c>
      <c r="J55" s="565">
        <v>7500000000</v>
      </c>
      <c r="K55" s="565">
        <v>31100000000</v>
      </c>
      <c r="L55" s="565">
        <v>-11800000000</v>
      </c>
      <c r="M55" s="565">
        <v>60600000000</v>
      </c>
      <c r="N55" s="565">
        <v>15700000000</v>
      </c>
      <c r="O55" s="565">
        <v>-15200000000</v>
      </c>
      <c r="P55" s="565">
        <v>27100000000</v>
      </c>
      <c r="Q55" s="565">
        <v>-24900000000</v>
      </c>
      <c r="R55" s="567">
        <v>14800000000</v>
      </c>
      <c r="S55" s="565">
        <v>177400000000</v>
      </c>
      <c r="T55" s="565">
        <v>73300000000</v>
      </c>
      <c r="U55" s="565">
        <v>262500000000</v>
      </c>
      <c r="V55" s="565">
        <v>-19300000000</v>
      </c>
      <c r="W55" s="567">
        <v>125500000000</v>
      </c>
      <c r="X55" s="866">
        <v>82300000000</v>
      </c>
      <c r="Y55" s="866">
        <v>89900000000</v>
      </c>
      <c r="Z55" s="866">
        <v>97000000000</v>
      </c>
      <c r="AB55" s="2463"/>
      <c r="AC55" s="2463"/>
      <c r="AD55" s="2463"/>
      <c r="AE55" s="2463"/>
      <c r="AF55" s="2463"/>
      <c r="AG55" s="2463"/>
      <c r="AH55" s="2463"/>
      <c r="AI55" s="2463"/>
      <c r="AJ55" s="2463"/>
      <c r="AK55" s="2463"/>
      <c r="AL55" s="2463"/>
      <c r="AM55" s="2463"/>
      <c r="AN55" s="2463"/>
      <c r="AO55" s="2463"/>
      <c r="AP55" s="2463"/>
      <c r="AQ55" s="2463"/>
      <c r="AR55" s="2463"/>
      <c r="AS55" s="2463"/>
      <c r="AT55" s="2463"/>
    </row>
    <row r="56" spans="1:46">
      <c r="A56" s="435" t="s">
        <v>117</v>
      </c>
      <c r="B56" s="884" t="s">
        <v>923</v>
      </c>
      <c r="C56" s="865" t="s">
        <v>119</v>
      </c>
      <c r="D56" s="565">
        <v>46700000000</v>
      </c>
      <c r="E56" s="565">
        <v>73600000000</v>
      </c>
      <c r="F56" s="565">
        <v>54100000000</v>
      </c>
      <c r="G56" s="565">
        <v>42800000000</v>
      </c>
      <c r="H56" s="565">
        <v>39100000000</v>
      </c>
      <c r="I56" s="565">
        <v>43200000000</v>
      </c>
      <c r="J56" s="565">
        <v>48800000000</v>
      </c>
      <c r="K56" s="565">
        <f t="shared" ref="K56:Z56" si="9">K60+K61+K62</f>
        <v>78900000000</v>
      </c>
      <c r="L56" s="565">
        <f t="shared" si="9"/>
        <v>57300000000</v>
      </c>
      <c r="M56" s="565">
        <f t="shared" si="9"/>
        <v>42600000000</v>
      </c>
      <c r="N56" s="565">
        <f t="shared" si="9"/>
        <v>65800000000</v>
      </c>
      <c r="O56" s="565">
        <f t="shared" si="9"/>
        <v>24400000000</v>
      </c>
      <c r="P56" s="565">
        <f t="shared" si="9"/>
        <v>21052000000</v>
      </c>
      <c r="Q56" s="565">
        <f t="shared" si="9"/>
        <v>134513999999.99988</v>
      </c>
      <c r="R56" s="565">
        <f>R60+R61+R62</f>
        <v>82400000000.000015</v>
      </c>
      <c r="S56" s="565">
        <f t="shared" si="9"/>
        <v>102500000000</v>
      </c>
      <c r="T56" s="565">
        <f t="shared" si="9"/>
        <v>82299999999.999969</v>
      </c>
      <c r="U56" s="565">
        <f>U60+U61+U62</f>
        <v>121200000000.00002</v>
      </c>
      <c r="V56" s="565">
        <f t="shared" si="9"/>
        <v>164300000000.00006</v>
      </c>
      <c r="W56" s="565">
        <f>W60+W61+W62</f>
        <v>178500000000.00006</v>
      </c>
      <c r="X56" s="565">
        <f t="shared" si="9"/>
        <v>177300000000.00006</v>
      </c>
      <c r="Y56" s="565">
        <f t="shared" si="9"/>
        <v>138400000000.00006</v>
      </c>
      <c r="Z56" s="565">
        <f t="shared" si="9"/>
        <v>171700000000.00006</v>
      </c>
      <c r="AB56" s="2463"/>
      <c r="AC56" s="2463"/>
      <c r="AD56" s="2463"/>
      <c r="AE56" s="2463"/>
      <c r="AF56" s="2463"/>
      <c r="AG56" s="2463"/>
      <c r="AH56" s="2463"/>
      <c r="AI56" s="2463"/>
      <c r="AJ56" s="2463"/>
      <c r="AK56" s="2463"/>
      <c r="AL56" s="2463"/>
      <c r="AM56" s="2463"/>
      <c r="AN56" s="2463"/>
      <c r="AO56" s="2463"/>
      <c r="AP56" s="2463"/>
      <c r="AQ56" s="2463"/>
      <c r="AR56" s="2463"/>
      <c r="AS56" s="2463"/>
      <c r="AT56" s="2463"/>
    </row>
    <row r="57" spans="1:46">
      <c r="A57" s="534" t="s">
        <v>76</v>
      </c>
      <c r="B57" s="534" t="s">
        <v>924</v>
      </c>
      <c r="D57" s="565">
        <v>73700000000</v>
      </c>
      <c r="E57" s="565">
        <v>119600000000</v>
      </c>
      <c r="F57" s="565">
        <v>73100000000</v>
      </c>
      <c r="G57" s="565">
        <v>79600000000</v>
      </c>
      <c r="H57" s="565">
        <v>94800000000</v>
      </c>
      <c r="I57" s="565">
        <v>91100000000</v>
      </c>
      <c r="J57" s="565">
        <v>104500000000</v>
      </c>
      <c r="K57" s="565">
        <v>157800000000</v>
      </c>
      <c r="L57" s="565">
        <v>109300000000</v>
      </c>
      <c r="M57" s="565">
        <v>142600000000</v>
      </c>
      <c r="N57" s="565">
        <v>112400000000</v>
      </c>
      <c r="O57" s="565">
        <v>111500000000</v>
      </c>
      <c r="P57" s="565">
        <v>94200000000</v>
      </c>
      <c r="Q57" s="565">
        <v>176200000000</v>
      </c>
      <c r="R57" s="565">
        <v>126500000000</v>
      </c>
      <c r="S57" s="565">
        <v>131400000000</v>
      </c>
      <c r="T57" s="565">
        <v>117000000000</v>
      </c>
      <c r="U57" s="565">
        <v>178500000000</v>
      </c>
      <c r="V57" s="565">
        <v>247100000000</v>
      </c>
      <c r="W57" s="565">
        <v>286300000000</v>
      </c>
      <c r="X57" s="565">
        <v>285100000000</v>
      </c>
      <c r="Y57" s="565">
        <v>235200000000</v>
      </c>
      <c r="Z57" s="565">
        <v>250100000000</v>
      </c>
      <c r="AB57" s="2463"/>
      <c r="AC57" s="2463"/>
      <c r="AD57" s="2463"/>
      <c r="AE57" s="2463"/>
      <c r="AF57" s="2463"/>
      <c r="AG57" s="2463"/>
      <c r="AH57" s="2463"/>
      <c r="AI57" s="2463"/>
      <c r="AJ57" s="2463"/>
      <c r="AK57" s="2463"/>
      <c r="AL57" s="2463"/>
      <c r="AM57" s="2463"/>
      <c r="AN57" s="2463"/>
      <c r="AO57" s="2463"/>
      <c r="AP57" s="2463"/>
      <c r="AQ57" s="2463"/>
      <c r="AR57" s="2463"/>
      <c r="AS57" s="2463"/>
      <c r="AT57" s="2463"/>
    </row>
    <row r="58" spans="1:46">
      <c r="A58" s="534" t="s">
        <v>76</v>
      </c>
      <c r="B58" s="867" t="s">
        <v>925</v>
      </c>
      <c r="D58" s="565">
        <v>74400000000</v>
      </c>
      <c r="E58" s="565">
        <v>79800000000</v>
      </c>
      <c r="F58" s="565">
        <v>70400000000</v>
      </c>
      <c r="G58" s="565">
        <v>69300000000</v>
      </c>
      <c r="H58" s="565">
        <v>69800000000</v>
      </c>
      <c r="I58" s="565">
        <v>67900000000.000008</v>
      </c>
      <c r="J58" s="565">
        <v>64800000000</v>
      </c>
      <c r="K58" s="565">
        <v>113200000000</v>
      </c>
      <c r="L58" s="565">
        <v>69400000000</v>
      </c>
      <c r="M58" s="565">
        <v>80700000000</v>
      </c>
      <c r="N58" s="565">
        <v>76000000000</v>
      </c>
      <c r="O58" s="565">
        <v>119100000000</v>
      </c>
      <c r="P58" s="565">
        <v>87700000000</v>
      </c>
      <c r="Q58" s="565">
        <v>154300000000</v>
      </c>
      <c r="R58" s="567">
        <v>135100000000</v>
      </c>
      <c r="S58" s="871">
        <v>160300000000</v>
      </c>
      <c r="T58" s="565">
        <v>121100000000</v>
      </c>
      <c r="U58" s="565">
        <v>178500000000</v>
      </c>
      <c r="V58" s="565">
        <v>227000000000</v>
      </c>
      <c r="W58" s="567">
        <v>233500000000</v>
      </c>
      <c r="X58" s="866">
        <v>228500000000</v>
      </c>
      <c r="Y58" s="866">
        <v>206000000000</v>
      </c>
      <c r="Z58" s="866">
        <v>255900000000</v>
      </c>
      <c r="AB58" s="2463"/>
      <c r="AC58" s="2463"/>
      <c r="AD58" s="2463"/>
      <c r="AE58" s="2463"/>
      <c r="AF58" s="2463"/>
      <c r="AG58" s="2463"/>
      <c r="AH58" s="2463"/>
      <c r="AI58" s="2463"/>
      <c r="AJ58" s="2463"/>
      <c r="AK58" s="2463"/>
      <c r="AL58" s="2463"/>
      <c r="AM58" s="2463"/>
      <c r="AN58" s="2463"/>
      <c r="AO58" s="2463"/>
      <c r="AP58" s="2463"/>
      <c r="AQ58" s="2463"/>
      <c r="AR58" s="2463"/>
      <c r="AS58" s="2463"/>
      <c r="AT58" s="2463"/>
    </row>
    <row r="59" spans="1:46">
      <c r="A59" s="534" t="s">
        <v>76</v>
      </c>
      <c r="B59" s="870" t="s">
        <v>53</v>
      </c>
      <c r="D59" s="565">
        <v>25300000000</v>
      </c>
      <c r="E59" s="565">
        <v>24500000000</v>
      </c>
      <c r="F59" s="565">
        <v>15300000000</v>
      </c>
      <c r="G59" s="565">
        <v>31900000000</v>
      </c>
      <c r="H59" s="565">
        <v>40900000000</v>
      </c>
      <c r="I59" s="565">
        <v>39700000000</v>
      </c>
      <c r="J59" s="565">
        <v>37600000000</v>
      </c>
      <c r="K59" s="565">
        <v>60600000000</v>
      </c>
      <c r="L59" s="565">
        <v>21600000000</v>
      </c>
      <c r="M59" s="565">
        <v>28800000000</v>
      </c>
      <c r="N59" s="565">
        <v>19200000000</v>
      </c>
      <c r="O59" s="565">
        <v>76800000000</v>
      </c>
      <c r="P59" s="565">
        <v>43400000000</v>
      </c>
      <c r="Q59" s="565">
        <v>28100000000</v>
      </c>
      <c r="R59" s="567">
        <v>35900000000</v>
      </c>
      <c r="S59" s="565">
        <v>28800000000</v>
      </c>
      <c r="T59" s="565">
        <v>26100000000</v>
      </c>
      <c r="U59" s="565">
        <v>43300000000</v>
      </c>
      <c r="V59" s="565">
        <v>67000000000</v>
      </c>
      <c r="W59" s="567">
        <v>71000000000</v>
      </c>
      <c r="X59" s="866">
        <v>71000000000</v>
      </c>
      <c r="Y59" s="866">
        <v>60000000000</v>
      </c>
      <c r="Z59" s="866">
        <v>70500000000</v>
      </c>
      <c r="AB59" s="2463"/>
      <c r="AC59" s="2463"/>
      <c r="AD59" s="2463"/>
      <c r="AE59" s="2463"/>
      <c r="AF59" s="2463"/>
      <c r="AG59" s="2463"/>
      <c r="AH59" s="2463"/>
      <c r="AI59" s="2463"/>
      <c r="AJ59" s="2463"/>
      <c r="AK59" s="2463"/>
      <c r="AL59" s="2463"/>
      <c r="AM59" s="2463"/>
      <c r="AN59" s="2463"/>
      <c r="AO59" s="2463"/>
      <c r="AP59" s="2463"/>
      <c r="AQ59" s="2463"/>
      <c r="AR59" s="2463"/>
      <c r="AS59" s="2463"/>
      <c r="AT59" s="2463"/>
    </row>
    <row r="60" spans="1:46">
      <c r="A60" s="867" t="s">
        <v>444</v>
      </c>
      <c r="B60" s="870" t="s">
        <v>444</v>
      </c>
      <c r="C60" s="380" t="s">
        <v>264</v>
      </c>
      <c r="D60" s="565">
        <v>49100000000</v>
      </c>
      <c r="E60" s="565">
        <v>55300000000</v>
      </c>
      <c r="F60" s="565">
        <v>55100000000</v>
      </c>
      <c r="G60" s="565">
        <v>37400000000</v>
      </c>
      <c r="H60" s="565">
        <v>28900000000</v>
      </c>
      <c r="I60" s="565">
        <v>28100000000</v>
      </c>
      <c r="J60" s="565">
        <v>27200000000</v>
      </c>
      <c r="K60" s="565">
        <v>52600000000</v>
      </c>
      <c r="L60" s="565">
        <v>47700000000</v>
      </c>
      <c r="M60" s="565">
        <v>52000000000</v>
      </c>
      <c r="N60" s="565">
        <v>56800000000</v>
      </c>
      <c r="O60" s="565">
        <v>42300000000</v>
      </c>
      <c r="P60" s="565">
        <v>44300000000</v>
      </c>
      <c r="Q60" s="565">
        <v>126200000000</v>
      </c>
      <c r="R60" s="567">
        <v>99200000000</v>
      </c>
      <c r="S60" s="565">
        <v>131400000000</v>
      </c>
      <c r="T60" s="565">
        <v>95000000000</v>
      </c>
      <c r="U60" s="565">
        <v>135300000000.00002</v>
      </c>
      <c r="V60" s="565">
        <v>160000000000</v>
      </c>
      <c r="W60" s="567">
        <v>162500000000</v>
      </c>
      <c r="X60" s="866">
        <v>157500000000</v>
      </c>
      <c r="Y60" s="866">
        <v>146000000000</v>
      </c>
      <c r="Z60" s="866">
        <v>185400000000</v>
      </c>
      <c r="AB60" s="2463"/>
      <c r="AC60" s="2463"/>
      <c r="AD60" s="2463"/>
      <c r="AE60" s="2463"/>
      <c r="AF60" s="2463"/>
      <c r="AG60" s="2463"/>
      <c r="AH60" s="2463"/>
      <c r="AI60" s="2463"/>
      <c r="AJ60" s="2463"/>
      <c r="AK60" s="2463"/>
      <c r="AL60" s="2463"/>
      <c r="AM60" s="2463"/>
      <c r="AN60" s="2463"/>
      <c r="AO60" s="2463"/>
      <c r="AP60" s="2463"/>
      <c r="AQ60" s="2463"/>
      <c r="AR60" s="2463"/>
      <c r="AS60" s="2463"/>
      <c r="AT60" s="2463"/>
    </row>
    <row r="61" spans="1:46">
      <c r="A61" s="435" t="s">
        <v>258</v>
      </c>
      <c r="B61" s="867" t="s">
        <v>926</v>
      </c>
      <c r="C61" s="380" t="s">
        <v>264</v>
      </c>
      <c r="D61" s="565">
        <v>-22900000000</v>
      </c>
      <c r="E61" s="565">
        <v>-17500000000</v>
      </c>
      <c r="F61" s="565">
        <v>-18800000000</v>
      </c>
      <c r="G61" s="565">
        <v>-17900000000</v>
      </c>
      <c r="H61" s="565">
        <v>-9300000000</v>
      </c>
      <c r="I61" s="565">
        <v>-9700000000</v>
      </c>
      <c r="J61" s="565">
        <v>-548500000000</v>
      </c>
      <c r="K61" s="565">
        <v>0</v>
      </c>
      <c r="L61" s="565">
        <v>-8300000000.000001</v>
      </c>
      <c r="M61" s="565">
        <v>-9400000000</v>
      </c>
      <c r="N61" s="565">
        <v>-15800000000</v>
      </c>
      <c r="O61" s="565">
        <v>-17900000000</v>
      </c>
      <c r="P61" s="565">
        <v>-25000000000</v>
      </c>
      <c r="Q61" s="565">
        <v>-28200000000</v>
      </c>
      <c r="R61" s="567">
        <v>-26600000000</v>
      </c>
      <c r="S61" s="565">
        <v>-28900000000</v>
      </c>
      <c r="T61" s="565">
        <v>-24300000000</v>
      </c>
      <c r="U61" s="565">
        <v>-51800000000</v>
      </c>
      <c r="V61" s="565">
        <v>-35300000000</v>
      </c>
      <c r="W61" s="567">
        <v>-28800000000</v>
      </c>
      <c r="X61" s="866">
        <v>-34200000000.000004</v>
      </c>
      <c r="Y61" s="866">
        <v>-39800000000</v>
      </c>
      <c r="Z61" s="866">
        <v>-42400000000</v>
      </c>
      <c r="AB61" s="2463"/>
      <c r="AC61" s="2463"/>
      <c r="AD61" s="2463"/>
      <c r="AE61" s="2463"/>
      <c r="AF61" s="2463"/>
      <c r="AG61" s="2463"/>
      <c r="AH61" s="2463"/>
      <c r="AI61" s="2463"/>
      <c r="AJ61" s="2463"/>
      <c r="AK61" s="2463"/>
      <c r="AL61" s="2463"/>
      <c r="AM61" s="2463"/>
      <c r="AN61" s="2463"/>
      <c r="AO61" s="2463"/>
      <c r="AP61" s="2463"/>
      <c r="AQ61" s="2463"/>
      <c r="AR61" s="2463"/>
      <c r="AS61" s="2463"/>
      <c r="AT61" s="2463"/>
    </row>
    <row r="62" spans="1:46">
      <c r="A62" s="435" t="s">
        <v>262</v>
      </c>
      <c r="B62" s="867" t="s">
        <v>927</v>
      </c>
      <c r="C62" s="380" t="s">
        <v>264</v>
      </c>
      <c r="D62" s="565">
        <v>0</v>
      </c>
      <c r="E62" s="565">
        <v>20200000000</v>
      </c>
      <c r="F62" s="565">
        <v>0</v>
      </c>
      <c r="G62" s="565">
        <v>6300000000</v>
      </c>
      <c r="H62" s="565">
        <v>19499999999.999996</v>
      </c>
      <c r="I62" s="565">
        <v>24800000000</v>
      </c>
      <c r="J62" s="565">
        <v>0</v>
      </c>
      <c r="K62" s="565">
        <v>26300000000</v>
      </c>
      <c r="L62" s="565">
        <v>17900000000</v>
      </c>
      <c r="M62" s="565">
        <v>0</v>
      </c>
      <c r="N62" s="565">
        <f>N65</f>
        <v>24800000000</v>
      </c>
      <c r="O62" s="565">
        <f>O65</f>
        <v>0</v>
      </c>
      <c r="P62" s="565">
        <f>P65</f>
        <v>1752000000</v>
      </c>
      <c r="Q62" s="565">
        <f>Q65</f>
        <v>36513999999.999878</v>
      </c>
      <c r="R62" s="866">
        <f t="shared" ref="R62:T62" si="10">R65</f>
        <v>9800000000.0000114</v>
      </c>
      <c r="S62" s="866">
        <f t="shared" si="10"/>
        <v>0</v>
      </c>
      <c r="T62" s="866">
        <f t="shared" si="10"/>
        <v>11599999999.999977</v>
      </c>
      <c r="U62" s="866">
        <f>U65</f>
        <v>37700000000</v>
      </c>
      <c r="V62" s="866">
        <f t="shared" ref="V62:Z62" si="11">V65</f>
        <v>39600000000.000046</v>
      </c>
      <c r="W62" s="866">
        <f t="shared" si="11"/>
        <v>44800000000.000046</v>
      </c>
      <c r="X62" s="866">
        <f t="shared" si="11"/>
        <v>54000000000.000046</v>
      </c>
      <c r="Y62" s="866">
        <f t="shared" si="11"/>
        <v>32200000000.000046</v>
      </c>
      <c r="Z62" s="866">
        <f t="shared" si="11"/>
        <v>28700000000.000046</v>
      </c>
      <c r="AB62" s="2463"/>
      <c r="AC62" s="2463"/>
      <c r="AD62" s="2463"/>
      <c r="AE62" s="2463"/>
      <c r="AF62" s="2463"/>
      <c r="AG62" s="2463"/>
      <c r="AH62" s="2463"/>
      <c r="AI62" s="2463"/>
      <c r="AJ62" s="2463"/>
      <c r="AK62" s="2463"/>
      <c r="AL62" s="2463"/>
      <c r="AM62" s="2463"/>
      <c r="AN62" s="2463"/>
      <c r="AO62" s="2463"/>
      <c r="AP62" s="2463"/>
      <c r="AQ62" s="2463"/>
      <c r="AR62" s="2463"/>
      <c r="AS62" s="2463"/>
      <c r="AT62" s="2463"/>
    </row>
    <row r="63" spans="1:46">
      <c r="A63" s="534" t="s">
        <v>76</v>
      </c>
      <c r="B63" s="867" t="s">
        <v>928</v>
      </c>
      <c r="D63" s="565">
        <v>1700000000</v>
      </c>
      <c r="E63" s="565">
        <v>41700000000</v>
      </c>
      <c r="F63" s="565">
        <v>3700000000</v>
      </c>
      <c r="G63" s="565">
        <v>11200000000</v>
      </c>
      <c r="H63" s="565">
        <v>34299999999.999996</v>
      </c>
      <c r="I63" s="565">
        <v>33000000000</v>
      </c>
      <c r="J63" s="565">
        <v>18100000000</v>
      </c>
      <c r="K63" s="565">
        <v>44300000000</v>
      </c>
      <c r="L63" s="565">
        <v>48300000000</v>
      </c>
      <c r="M63" s="565">
        <v>71300000000</v>
      </c>
      <c r="N63" s="565">
        <v>52200000000</v>
      </c>
      <c r="O63" s="565">
        <v>10300000000</v>
      </c>
      <c r="P63" s="565">
        <v>31500000000</v>
      </c>
      <c r="Q63" s="565">
        <v>50100000000</v>
      </c>
      <c r="R63" s="565">
        <v>18000000000</v>
      </c>
      <c r="S63" s="565">
        <v>0</v>
      </c>
      <c r="T63" s="565">
        <v>20200000000</v>
      </c>
      <c r="U63" s="2471">
        <v>51700000000</v>
      </c>
      <c r="V63" s="2471">
        <v>55400000000</v>
      </c>
      <c r="W63" s="565">
        <v>81600000000</v>
      </c>
      <c r="X63" s="565">
        <v>90800000000</v>
      </c>
      <c r="Y63" s="565">
        <v>69000000000</v>
      </c>
      <c r="Z63" s="565">
        <v>65500000000</v>
      </c>
      <c r="AB63" s="2463"/>
      <c r="AC63" s="2463"/>
      <c r="AD63" s="2463"/>
      <c r="AE63" s="2463"/>
      <c r="AF63" s="2463"/>
      <c r="AG63" s="2463"/>
      <c r="AH63" s="2463"/>
      <c r="AI63" s="2463"/>
      <c r="AJ63" s="2463"/>
      <c r="AK63" s="2463"/>
      <c r="AL63" s="2463"/>
      <c r="AM63" s="2463"/>
      <c r="AN63" s="2463"/>
      <c r="AO63" s="2463"/>
      <c r="AP63" s="2463"/>
      <c r="AQ63" s="2463"/>
      <c r="AR63" s="2463"/>
      <c r="AS63" s="2463"/>
      <c r="AT63" s="2463"/>
    </row>
    <row r="64" spans="1:46">
      <c r="A64" s="534" t="s">
        <v>76</v>
      </c>
      <c r="B64" s="870" t="s">
        <v>929</v>
      </c>
      <c r="D64" s="565">
        <v>1700000000</v>
      </c>
      <c r="E64" s="565">
        <v>21500000000</v>
      </c>
      <c r="F64" s="565">
        <v>3700000000</v>
      </c>
      <c r="G64" s="565">
        <v>4900000000</v>
      </c>
      <c r="H64" s="565">
        <v>14800000000</v>
      </c>
      <c r="I64" s="565">
        <v>8199999999.999999</v>
      </c>
      <c r="J64" s="565">
        <v>18100000000</v>
      </c>
      <c r="K64" s="565">
        <v>18300000000</v>
      </c>
      <c r="L64" s="565">
        <v>30400000000</v>
      </c>
      <c r="M64" s="565">
        <v>71300000000</v>
      </c>
      <c r="N64" s="565">
        <f>N14</f>
        <v>27400000000</v>
      </c>
      <c r="O64" s="565">
        <f>O63</f>
        <v>10300000000</v>
      </c>
      <c r="P64" s="565">
        <f t="shared" ref="P64:Q64" si="12">P14</f>
        <v>29748000000</v>
      </c>
      <c r="Q64" s="565">
        <f t="shared" si="12"/>
        <v>13586000000.000122</v>
      </c>
      <c r="R64" s="565">
        <v>8199999999.9999886</v>
      </c>
      <c r="S64" s="565">
        <v>0</v>
      </c>
      <c r="T64" s="565">
        <v>8600000000.0000229</v>
      </c>
      <c r="U64" s="2471">
        <v>14000000000</v>
      </c>
      <c r="V64" s="2471">
        <v>15799999999.999954</v>
      </c>
      <c r="W64" s="565">
        <v>36799999999.999954</v>
      </c>
      <c r="X64" s="565">
        <v>36799999999.999954</v>
      </c>
      <c r="Y64" s="866">
        <v>36799999999.999954</v>
      </c>
      <c r="Z64" s="866">
        <v>36799999999.999954</v>
      </c>
    </row>
    <row r="65" spans="1:34">
      <c r="A65" s="435" t="s">
        <v>76</v>
      </c>
      <c r="B65" s="870" t="s">
        <v>930</v>
      </c>
      <c r="D65" s="565">
        <v>0</v>
      </c>
      <c r="E65" s="565">
        <v>20200000000</v>
      </c>
      <c r="F65" s="565">
        <v>0</v>
      </c>
      <c r="G65" s="565">
        <v>6300000000</v>
      </c>
      <c r="H65" s="565">
        <v>19500000000</v>
      </c>
      <c r="I65" s="565">
        <v>24800000000</v>
      </c>
      <c r="J65" s="565">
        <v>0</v>
      </c>
      <c r="K65" s="565">
        <v>26300000000</v>
      </c>
      <c r="L65" s="565">
        <v>17900000000</v>
      </c>
      <c r="M65" s="565">
        <v>0</v>
      </c>
      <c r="N65" s="565">
        <f t="shared" ref="N65:Q65" si="13">N63-N64</f>
        <v>24800000000</v>
      </c>
      <c r="O65" s="565">
        <f t="shared" si="13"/>
        <v>0</v>
      </c>
      <c r="P65" s="565">
        <f t="shared" si="13"/>
        <v>1752000000</v>
      </c>
      <c r="Q65" s="565">
        <f t="shared" si="13"/>
        <v>36513999999.999878</v>
      </c>
      <c r="R65" s="565">
        <f t="shared" ref="R65" si="14">R63-R64</f>
        <v>9800000000.0000114</v>
      </c>
      <c r="S65" s="565">
        <f t="shared" ref="S65" si="15">S63-S64</f>
        <v>0</v>
      </c>
      <c r="T65" s="565">
        <f t="shared" ref="T65" si="16">T63-T64</f>
        <v>11599999999.999977</v>
      </c>
      <c r="U65" s="2471">
        <f>U63-U64</f>
        <v>37700000000</v>
      </c>
      <c r="V65" s="565">
        <f t="shared" ref="V65:Z65" si="17">V63-V64</f>
        <v>39600000000.000046</v>
      </c>
      <c r="W65" s="565">
        <f t="shared" si="17"/>
        <v>44800000000.000046</v>
      </c>
      <c r="X65" s="565">
        <f t="shared" si="17"/>
        <v>54000000000.000046</v>
      </c>
      <c r="Y65" s="565">
        <f t="shared" si="17"/>
        <v>32200000000.000046</v>
      </c>
      <c r="Z65" s="565">
        <f t="shared" si="17"/>
        <v>28700000000.000046</v>
      </c>
    </row>
    <row r="66" spans="1:34">
      <c r="A66" s="380" t="s">
        <v>931</v>
      </c>
      <c r="B66" s="380" t="s">
        <v>932</v>
      </c>
      <c r="C66" s="380" t="s">
        <v>264</v>
      </c>
      <c r="D66" s="565">
        <v>20500000000</v>
      </c>
      <c r="E66" s="565">
        <v>15700000000</v>
      </c>
      <c r="F66" s="565">
        <v>17800000000</v>
      </c>
      <c r="G66" s="565">
        <v>17000000000</v>
      </c>
      <c r="H66" s="565">
        <v>0</v>
      </c>
      <c r="I66" s="565">
        <v>0</v>
      </c>
      <c r="J66" s="565">
        <v>0</v>
      </c>
      <c r="K66" s="565"/>
      <c r="L66" s="565"/>
      <c r="M66" s="565"/>
      <c r="N66" s="565"/>
      <c r="O66" s="565"/>
      <c r="P66" s="565"/>
      <c r="Q66" s="565"/>
      <c r="R66" s="565"/>
      <c r="S66" s="565"/>
      <c r="T66" s="565"/>
      <c r="U66" s="565"/>
      <c r="V66" s="565"/>
      <c r="W66" s="565"/>
      <c r="X66" s="571"/>
      <c r="Y66" s="571"/>
      <c r="Z66" s="571"/>
    </row>
    <row r="67" spans="1:34">
      <c r="A67" s="380" t="s">
        <v>933</v>
      </c>
      <c r="B67" s="380" t="s">
        <v>934</v>
      </c>
      <c r="C67" s="380" t="s">
        <v>264</v>
      </c>
      <c r="D67" s="567"/>
      <c r="E67" s="567"/>
      <c r="F67" s="567"/>
      <c r="G67" s="567"/>
      <c r="H67" s="567"/>
      <c r="I67" s="567"/>
      <c r="J67" s="565">
        <v>570200000000</v>
      </c>
      <c r="K67" s="565"/>
      <c r="L67" s="565"/>
      <c r="M67" s="565"/>
      <c r="N67" s="565"/>
      <c r="O67" s="565"/>
      <c r="P67" s="565"/>
      <c r="Q67" s="565"/>
      <c r="R67" s="565"/>
      <c r="S67" s="565"/>
      <c r="T67" s="565"/>
      <c r="U67" s="565"/>
      <c r="V67" s="565"/>
      <c r="W67" s="565"/>
      <c r="X67" s="571"/>
      <c r="Y67" s="571"/>
      <c r="Z67" s="571"/>
    </row>
    <row r="68" spans="1:34">
      <c r="A68" s="534" t="s">
        <v>76</v>
      </c>
      <c r="B68" s="534" t="s">
        <v>7025</v>
      </c>
      <c r="D68" s="567"/>
      <c r="E68" s="567"/>
      <c r="F68" s="567"/>
      <c r="G68" s="567"/>
      <c r="H68" s="567"/>
      <c r="I68" s="567"/>
      <c r="J68" s="567"/>
      <c r="K68" s="565">
        <v>28700000000</v>
      </c>
      <c r="L68" s="565">
        <v>3400000000</v>
      </c>
      <c r="M68" s="565">
        <v>-300000000</v>
      </c>
      <c r="N68" s="565">
        <v>-4300000000</v>
      </c>
      <c r="O68" s="565">
        <v>2300000000</v>
      </c>
      <c r="P68" s="565">
        <v>0</v>
      </c>
      <c r="Q68" s="565">
        <v>0</v>
      </c>
      <c r="R68" s="2474">
        <v>0</v>
      </c>
      <c r="S68" s="2474">
        <v>0</v>
      </c>
      <c r="T68" s="2474">
        <v>0</v>
      </c>
      <c r="U68" s="1167">
        <v>0</v>
      </c>
      <c r="V68" s="1167">
        <v>0</v>
      </c>
      <c r="W68" s="1167">
        <v>28600000000</v>
      </c>
      <c r="X68" s="1167">
        <v>44800000000</v>
      </c>
      <c r="Y68" s="866">
        <v>0</v>
      </c>
      <c r="Z68" s="866">
        <v>0</v>
      </c>
    </row>
    <row r="69" spans="1:34">
      <c r="R69" s="565"/>
      <c r="S69" s="565"/>
      <c r="T69" s="565"/>
      <c r="U69" s="565"/>
      <c r="V69" s="565"/>
      <c r="W69" s="565"/>
      <c r="X69" s="565"/>
      <c r="Y69" s="565"/>
      <c r="Z69" s="565"/>
    </row>
    <row r="70" spans="1:34">
      <c r="R70" s="565"/>
      <c r="S70" s="565"/>
      <c r="T70" s="565"/>
      <c r="U70" s="565"/>
      <c r="V70" s="565"/>
      <c r="W70" s="565"/>
      <c r="X70" s="565"/>
      <c r="Y70" s="565"/>
      <c r="Z70" s="565"/>
    </row>
    <row r="71" spans="1:34">
      <c r="D71" s="534" t="s">
        <v>139</v>
      </c>
      <c r="E71" s="534" t="s">
        <v>139</v>
      </c>
      <c r="F71" s="534" t="s">
        <v>139</v>
      </c>
      <c r="G71" s="534" t="s">
        <v>139</v>
      </c>
      <c r="H71" s="534" t="s">
        <v>139</v>
      </c>
      <c r="I71" s="534" t="s">
        <v>139</v>
      </c>
      <c r="J71" s="534" t="s">
        <v>139</v>
      </c>
      <c r="K71" s="534" t="s">
        <v>139</v>
      </c>
      <c r="L71" s="534" t="s">
        <v>139</v>
      </c>
      <c r="M71" s="534" t="s">
        <v>139</v>
      </c>
      <c r="N71" s="534" t="s">
        <v>139</v>
      </c>
      <c r="O71" s="534" t="s">
        <v>139</v>
      </c>
      <c r="P71" s="534" t="s">
        <v>139</v>
      </c>
      <c r="Q71" s="534" t="s">
        <v>139</v>
      </c>
      <c r="R71" s="534" t="s">
        <v>139</v>
      </c>
      <c r="S71" s="534" t="s">
        <v>139</v>
      </c>
      <c r="T71" s="534" t="s">
        <v>139</v>
      </c>
      <c r="U71" s="534" t="s">
        <v>139</v>
      </c>
      <c r="V71" s="534" t="s">
        <v>139</v>
      </c>
      <c r="W71" s="534" t="s">
        <v>139</v>
      </c>
      <c r="X71" s="534" t="s">
        <v>139</v>
      </c>
      <c r="Y71" s="534" t="s">
        <v>139</v>
      </c>
      <c r="Z71" s="534" t="s">
        <v>139</v>
      </c>
    </row>
    <row r="72" spans="1:34">
      <c r="AC72" s="21"/>
      <c r="AD72" s="21"/>
      <c r="AE72" s="21"/>
      <c r="AF72" s="21"/>
      <c r="AG72" s="21"/>
      <c r="AH72" s="21"/>
    </row>
    <row r="73" spans="1:34">
      <c r="D73" s="575"/>
      <c r="AC73" s="21"/>
      <c r="AD73" s="21"/>
      <c r="AE73" s="21"/>
      <c r="AF73" s="21"/>
      <c r="AG73" s="21"/>
      <c r="AH73" s="21"/>
    </row>
    <row r="74" spans="1:34">
      <c r="B74" s="534" t="s">
        <v>935</v>
      </c>
      <c r="D74" s="575">
        <f>D6-D7-D12</f>
        <v>0</v>
      </c>
      <c r="E74" s="575">
        <f t="shared" ref="E74:W74" si="18">E6-E7-E12</f>
        <v>0</v>
      </c>
      <c r="F74" s="575">
        <f t="shared" si="18"/>
        <v>0</v>
      </c>
      <c r="G74" s="575">
        <f t="shared" si="18"/>
        <v>0</v>
      </c>
      <c r="H74" s="575">
        <f t="shared" si="18"/>
        <v>0</v>
      </c>
      <c r="I74" s="575">
        <f t="shared" si="18"/>
        <v>0</v>
      </c>
      <c r="J74" s="575">
        <f t="shared" si="18"/>
        <v>0</v>
      </c>
      <c r="K74" s="575">
        <f t="shared" si="18"/>
        <v>0</v>
      </c>
      <c r="L74" s="575">
        <f t="shared" si="18"/>
        <v>0</v>
      </c>
      <c r="M74" s="575">
        <f t="shared" si="18"/>
        <v>0</v>
      </c>
      <c r="N74" s="575">
        <f t="shared" si="18"/>
        <v>0</v>
      </c>
      <c r="O74" s="575">
        <f t="shared" si="18"/>
        <v>0</v>
      </c>
      <c r="P74" s="575">
        <f t="shared" si="18"/>
        <v>0</v>
      </c>
      <c r="Q74" s="575">
        <f t="shared" si="18"/>
        <v>0</v>
      </c>
      <c r="R74" s="575">
        <f>R6-R7-R12</f>
        <v>0</v>
      </c>
      <c r="S74" s="575">
        <f>S6-S7-S12</f>
        <v>0</v>
      </c>
      <c r="T74" s="575">
        <f t="shared" si="18"/>
        <v>0</v>
      </c>
      <c r="U74" s="575">
        <f t="shared" si="18"/>
        <v>0</v>
      </c>
      <c r="V74" s="575">
        <f t="shared" si="18"/>
        <v>0</v>
      </c>
      <c r="W74" s="575">
        <f t="shared" si="18"/>
        <v>0</v>
      </c>
      <c r="X74" s="575">
        <f>X6-X7-X12</f>
        <v>0</v>
      </c>
      <c r="Y74" s="575">
        <f t="shared" ref="Y74:Z74" si="19">Y6-Y7-Y12</f>
        <v>0</v>
      </c>
      <c r="Z74" s="575">
        <f t="shared" si="19"/>
        <v>0</v>
      </c>
      <c r="AC74" s="21"/>
      <c r="AD74" s="21"/>
      <c r="AE74" s="21"/>
      <c r="AF74" s="21"/>
      <c r="AG74" s="21"/>
      <c r="AH74" s="21"/>
    </row>
    <row r="75" spans="1:34">
      <c r="B75" s="534" t="s">
        <v>141</v>
      </c>
      <c r="D75" s="575">
        <f>D7-D8-D11</f>
        <v>0</v>
      </c>
      <c r="E75" s="575">
        <f t="shared" ref="E75:W75" si="20">E7-E8-E11</f>
        <v>0</v>
      </c>
      <c r="F75" s="575">
        <f t="shared" si="20"/>
        <v>0</v>
      </c>
      <c r="G75" s="575">
        <f t="shared" si="20"/>
        <v>0</v>
      </c>
      <c r="H75" s="575">
        <f t="shared" si="20"/>
        <v>0</v>
      </c>
      <c r="I75" s="575">
        <f t="shared" si="20"/>
        <v>0</v>
      </c>
      <c r="J75" s="575">
        <f t="shared" si="20"/>
        <v>0</v>
      </c>
      <c r="K75" s="575">
        <f t="shared" si="20"/>
        <v>0</v>
      </c>
      <c r="L75" s="575">
        <f t="shared" si="20"/>
        <v>0</v>
      </c>
      <c r="M75" s="575">
        <f t="shared" si="20"/>
        <v>0</v>
      </c>
      <c r="N75" s="575">
        <f t="shared" si="20"/>
        <v>0</v>
      </c>
      <c r="O75" s="575">
        <f t="shared" si="20"/>
        <v>0</v>
      </c>
      <c r="P75" s="575">
        <f t="shared" si="20"/>
        <v>-100000000</v>
      </c>
      <c r="Q75" s="575">
        <f t="shared" si="20"/>
        <v>0</v>
      </c>
      <c r="R75" s="575">
        <f t="shared" si="20"/>
        <v>100000000</v>
      </c>
      <c r="S75" s="575">
        <f t="shared" si="20"/>
        <v>0</v>
      </c>
      <c r="T75" s="575">
        <f t="shared" si="20"/>
        <v>0</v>
      </c>
      <c r="U75" s="575">
        <f t="shared" si="20"/>
        <v>0</v>
      </c>
      <c r="V75" s="575">
        <f t="shared" si="20"/>
        <v>0</v>
      </c>
      <c r="W75" s="575">
        <f t="shared" si="20"/>
        <v>0</v>
      </c>
      <c r="X75" s="575">
        <f>X7-X8-X11</f>
        <v>0</v>
      </c>
      <c r="Y75" s="575">
        <f t="shared" ref="Y75:Z75" si="21">Y7-Y8-Y11</f>
        <v>0</v>
      </c>
      <c r="Z75" s="575">
        <f t="shared" si="21"/>
        <v>0</v>
      </c>
      <c r="AC75" s="21"/>
      <c r="AD75" s="21"/>
      <c r="AE75" s="21"/>
      <c r="AF75" s="21"/>
      <c r="AG75" s="21"/>
      <c r="AH75" s="21"/>
    </row>
    <row r="76" spans="1:34">
      <c r="B76" s="534" t="s">
        <v>617</v>
      </c>
      <c r="D76" s="575">
        <f>D8-D9-D10</f>
        <v>0</v>
      </c>
      <c r="E76" s="575">
        <f t="shared" ref="E76:W76" si="22">E8-E9-E10</f>
        <v>0</v>
      </c>
      <c r="F76" s="575">
        <f t="shared" si="22"/>
        <v>0</v>
      </c>
      <c r="G76" s="575">
        <f t="shared" si="22"/>
        <v>0</v>
      </c>
      <c r="H76" s="575">
        <f t="shared" si="22"/>
        <v>0</v>
      </c>
      <c r="I76" s="575">
        <f t="shared" si="22"/>
        <v>0</v>
      </c>
      <c r="J76" s="575">
        <f t="shared" si="22"/>
        <v>0</v>
      </c>
      <c r="K76" s="575">
        <f t="shared" si="22"/>
        <v>0</v>
      </c>
      <c r="L76" s="575">
        <f t="shared" si="22"/>
        <v>0</v>
      </c>
      <c r="M76" s="575">
        <f t="shared" si="22"/>
        <v>-100000000</v>
      </c>
      <c r="N76" s="575">
        <f t="shared" si="22"/>
        <v>0</v>
      </c>
      <c r="O76" s="575">
        <f t="shared" si="22"/>
        <v>0</v>
      </c>
      <c r="P76" s="575">
        <f t="shared" si="22"/>
        <v>0</v>
      </c>
      <c r="Q76" s="575">
        <f t="shared" si="22"/>
        <v>100000000</v>
      </c>
      <c r="R76" s="575">
        <f t="shared" si="22"/>
        <v>0</v>
      </c>
      <c r="S76" s="575">
        <f t="shared" si="22"/>
        <v>0</v>
      </c>
      <c r="T76" s="575">
        <f t="shared" si="22"/>
        <v>0</v>
      </c>
      <c r="U76" s="575">
        <f t="shared" si="22"/>
        <v>0</v>
      </c>
      <c r="V76" s="575">
        <f t="shared" si="22"/>
        <v>0</v>
      </c>
      <c r="W76" s="575">
        <f t="shared" si="22"/>
        <v>100000000</v>
      </c>
      <c r="X76" s="575">
        <f>X8-X9-X10</f>
        <v>0</v>
      </c>
      <c r="Y76" s="575">
        <f t="shared" ref="Y76:Z76" si="23">Y8-Y9-Y10</f>
        <v>0</v>
      </c>
      <c r="Z76" s="575">
        <f t="shared" si="23"/>
        <v>0</v>
      </c>
      <c r="AC76" s="21"/>
      <c r="AD76" s="21"/>
      <c r="AE76" s="21"/>
      <c r="AF76" s="21"/>
      <c r="AG76" s="21"/>
      <c r="AH76" s="21"/>
    </row>
    <row r="77" spans="1:34">
      <c r="B77" s="534" t="s">
        <v>143</v>
      </c>
      <c r="D77" s="575">
        <f t="shared" ref="D77:W77" si="24">D12-D13-D14</f>
        <v>0</v>
      </c>
      <c r="E77" s="575">
        <f t="shared" si="24"/>
        <v>0</v>
      </c>
      <c r="F77" s="575">
        <f t="shared" si="24"/>
        <v>0</v>
      </c>
      <c r="G77" s="575">
        <f t="shared" si="24"/>
        <v>0</v>
      </c>
      <c r="H77" s="575">
        <f t="shared" si="24"/>
        <v>0</v>
      </c>
      <c r="I77" s="575">
        <f t="shared" si="24"/>
        <v>0</v>
      </c>
      <c r="J77" s="575">
        <f t="shared" si="24"/>
        <v>0</v>
      </c>
      <c r="K77" s="575">
        <f t="shared" si="24"/>
        <v>0</v>
      </c>
      <c r="L77" s="575">
        <f t="shared" si="24"/>
        <v>0</v>
      </c>
      <c r="M77" s="575">
        <f t="shared" si="24"/>
        <v>0</v>
      </c>
      <c r="N77" s="575">
        <f t="shared" si="24"/>
        <v>0</v>
      </c>
      <c r="O77" s="575">
        <f t="shared" si="24"/>
        <v>0</v>
      </c>
      <c r="P77" s="575">
        <f t="shared" si="24"/>
        <v>0</v>
      </c>
      <c r="Q77" s="575">
        <f t="shared" si="24"/>
        <v>0</v>
      </c>
      <c r="R77" s="883">
        <f t="shared" si="24"/>
        <v>44099999999.999985</v>
      </c>
      <c r="S77" s="883">
        <f t="shared" si="24"/>
        <v>28800000000</v>
      </c>
      <c r="T77" s="883">
        <f t="shared" si="24"/>
        <v>34700000000.000023</v>
      </c>
      <c r="U77" s="883">
        <f t="shared" si="24"/>
        <v>57300000000</v>
      </c>
      <c r="V77" s="883">
        <f t="shared" si="24"/>
        <v>82799999999.999954</v>
      </c>
      <c r="W77" s="883">
        <f t="shared" si="24"/>
        <v>107799999999.99995</v>
      </c>
      <c r="X77" s="883">
        <f>X12-X13-X14</f>
        <v>107799999999.99995</v>
      </c>
      <c r="Y77" s="883">
        <f t="shared" ref="Y77:Z77" si="25">Y12-Y13-Y14</f>
        <v>96799999999.999954</v>
      </c>
      <c r="Z77" s="883">
        <f t="shared" si="25"/>
        <v>107299999999.99995</v>
      </c>
    </row>
    <row r="78" spans="1:34">
      <c r="B78" s="534" t="s">
        <v>145</v>
      </c>
      <c r="D78" s="575">
        <f>D16-D17-D31-D34</f>
        <v>0</v>
      </c>
      <c r="E78" s="575">
        <f t="shared" ref="E78:W78" si="26">E16-E17-E31-E34</f>
        <v>-1.52587890625E-5</v>
      </c>
      <c r="F78" s="575">
        <f t="shared" si="26"/>
        <v>0</v>
      </c>
      <c r="G78" s="575">
        <f t="shared" si="26"/>
        <v>0</v>
      </c>
      <c r="H78" s="575">
        <f t="shared" si="26"/>
        <v>0</v>
      </c>
      <c r="I78" s="575">
        <f t="shared" si="26"/>
        <v>0</v>
      </c>
      <c r="J78" s="575">
        <f t="shared" si="26"/>
        <v>0</v>
      </c>
      <c r="K78" s="575">
        <f t="shared" si="26"/>
        <v>0</v>
      </c>
      <c r="L78" s="575">
        <f t="shared" si="26"/>
        <v>0</v>
      </c>
      <c r="M78" s="575">
        <f t="shared" si="26"/>
        <v>0</v>
      </c>
      <c r="N78" s="575">
        <f t="shared" si="26"/>
        <v>0</v>
      </c>
      <c r="O78" s="575">
        <f t="shared" si="26"/>
        <v>0</v>
      </c>
      <c r="P78" s="575">
        <f t="shared" si="26"/>
        <v>0</v>
      </c>
      <c r="Q78" s="575">
        <f t="shared" si="26"/>
        <v>0</v>
      </c>
      <c r="R78" s="575">
        <f t="shared" si="26"/>
        <v>0</v>
      </c>
      <c r="S78" s="575">
        <f t="shared" si="26"/>
        <v>-100000000</v>
      </c>
      <c r="T78" s="575">
        <f t="shared" si="26"/>
        <v>100000000</v>
      </c>
      <c r="U78" s="575">
        <f t="shared" si="26"/>
        <v>0</v>
      </c>
      <c r="V78" s="575">
        <f t="shared" si="26"/>
        <v>0</v>
      </c>
      <c r="W78" s="575">
        <f t="shared" si="26"/>
        <v>0</v>
      </c>
      <c r="X78" s="575">
        <f>X16-X17-X31-X34</f>
        <v>0</v>
      </c>
      <c r="Y78" s="575">
        <f t="shared" ref="Y78:Z78" si="27">Y16-Y17-Y31-Y34</f>
        <v>1.220703125E-4</v>
      </c>
      <c r="Z78" s="575">
        <f t="shared" si="27"/>
        <v>0</v>
      </c>
      <c r="AC78" s="21"/>
      <c r="AD78" s="21"/>
      <c r="AE78" s="21"/>
      <c r="AF78" s="21"/>
      <c r="AG78" s="21"/>
      <c r="AH78" s="21"/>
    </row>
    <row r="79" spans="1:34">
      <c r="B79" s="534" t="s">
        <v>361</v>
      </c>
      <c r="D79" s="571">
        <f t="shared" ref="D79:W79" si="28">D17-D19-D20-D21-D22-D25-D26-D27</f>
        <v>0</v>
      </c>
      <c r="E79" s="571">
        <f t="shared" si="28"/>
        <v>0</v>
      </c>
      <c r="F79" s="571">
        <f t="shared" si="28"/>
        <v>100000000</v>
      </c>
      <c r="G79" s="571">
        <f t="shared" si="28"/>
        <v>-100000000</v>
      </c>
      <c r="H79" s="571">
        <f t="shared" si="28"/>
        <v>0</v>
      </c>
      <c r="I79" s="571">
        <f t="shared" si="28"/>
        <v>0</v>
      </c>
      <c r="J79" s="571">
        <f t="shared" si="28"/>
        <v>-100000000</v>
      </c>
      <c r="K79" s="571">
        <f t="shared" si="28"/>
        <v>0</v>
      </c>
      <c r="L79" s="571">
        <f t="shared" si="28"/>
        <v>100000000</v>
      </c>
      <c r="M79" s="571">
        <f t="shared" si="28"/>
        <v>0</v>
      </c>
      <c r="N79" s="571">
        <f t="shared" si="28"/>
        <v>0</v>
      </c>
      <c r="O79" s="571">
        <f t="shared" si="28"/>
        <v>0</v>
      </c>
      <c r="P79" s="571">
        <f t="shared" si="28"/>
        <v>0</v>
      </c>
      <c r="Q79" s="571">
        <f t="shared" si="28"/>
        <v>100000000</v>
      </c>
      <c r="R79" s="571">
        <f t="shared" si="28"/>
        <v>-100000000</v>
      </c>
      <c r="S79" s="571">
        <f t="shared" si="28"/>
        <v>0</v>
      </c>
      <c r="T79" s="571">
        <f t="shared" si="28"/>
        <v>0</v>
      </c>
      <c r="U79" s="571">
        <f>U17-U19-U20-U21-U22-U25-U26-U27</f>
        <v>0</v>
      </c>
      <c r="V79" s="571">
        <f t="shared" si="28"/>
        <v>0</v>
      </c>
      <c r="W79" s="571">
        <f t="shared" si="28"/>
        <v>0</v>
      </c>
      <c r="X79" s="571">
        <f>X17-X19-X20-X21-X22-X25-X26-X27</f>
        <v>-100000000</v>
      </c>
      <c r="Y79" s="571">
        <f t="shared" ref="Y79:Z79" si="29">Y17-Y19-Y20-Y21-Y22-Y25-Y26-Y27</f>
        <v>-100000000.00012207</v>
      </c>
      <c r="Z79" s="571">
        <f t="shared" si="29"/>
        <v>0</v>
      </c>
    </row>
    <row r="80" spans="1:34">
      <c r="B80" s="534" t="s">
        <v>936</v>
      </c>
      <c r="D80" s="571">
        <f t="shared" ref="D80:W80" si="30">D27-D28-D29</f>
        <v>100000000</v>
      </c>
      <c r="E80" s="571">
        <f t="shared" si="30"/>
        <v>-100000000</v>
      </c>
      <c r="F80" s="571">
        <f t="shared" si="30"/>
        <v>0</v>
      </c>
      <c r="G80" s="571">
        <f t="shared" si="30"/>
        <v>0</v>
      </c>
      <c r="H80" s="571">
        <f t="shared" si="30"/>
        <v>0</v>
      </c>
      <c r="I80" s="571">
        <f t="shared" si="30"/>
        <v>0</v>
      </c>
      <c r="J80" s="571">
        <f t="shared" si="30"/>
        <v>0</v>
      </c>
      <c r="K80" s="571">
        <f t="shared" si="30"/>
        <v>100000000</v>
      </c>
      <c r="L80" s="571">
        <f t="shared" si="30"/>
        <v>-100000000</v>
      </c>
      <c r="M80" s="571">
        <f t="shared" si="30"/>
        <v>0</v>
      </c>
      <c r="N80" s="571">
        <f t="shared" si="30"/>
        <v>0</v>
      </c>
      <c r="O80" s="571">
        <f t="shared" si="30"/>
        <v>0</v>
      </c>
      <c r="P80" s="571">
        <f t="shared" si="30"/>
        <v>0</v>
      </c>
      <c r="Q80" s="571">
        <f t="shared" si="30"/>
        <v>0</v>
      </c>
      <c r="R80" s="571">
        <f t="shared" si="30"/>
        <v>-100000000</v>
      </c>
      <c r="S80" s="571">
        <f t="shared" si="30"/>
        <v>0</v>
      </c>
      <c r="T80" s="571">
        <f t="shared" si="30"/>
        <v>0</v>
      </c>
      <c r="U80" s="571">
        <f t="shared" si="30"/>
        <v>0</v>
      </c>
      <c r="V80" s="571">
        <f t="shared" si="30"/>
        <v>0</v>
      </c>
      <c r="W80" s="571">
        <f t="shared" si="30"/>
        <v>-100000000</v>
      </c>
      <c r="X80" s="571">
        <f>X27-X28-X29</f>
        <v>0</v>
      </c>
      <c r="Y80" s="571">
        <f t="shared" ref="Y80:Z80" si="31">Y27-Y28-Y29</f>
        <v>-100000000</v>
      </c>
      <c r="Z80" s="571">
        <f t="shared" si="31"/>
        <v>100000000</v>
      </c>
    </row>
    <row r="81" spans="2:26">
      <c r="B81" s="534" t="s">
        <v>876</v>
      </c>
      <c r="D81" s="571">
        <f>D31-D32-D33</f>
        <v>100000000</v>
      </c>
      <c r="E81" s="571">
        <f t="shared" ref="E81:T81" si="32">E31-E32-E33</f>
        <v>100000000.00001526</v>
      </c>
      <c r="F81" s="571">
        <f t="shared" si="32"/>
        <v>0</v>
      </c>
      <c r="G81" s="571">
        <f t="shared" si="32"/>
        <v>0</v>
      </c>
      <c r="H81" s="571">
        <f t="shared" si="32"/>
        <v>0</v>
      </c>
      <c r="I81" s="571">
        <f t="shared" si="32"/>
        <v>0</v>
      </c>
      <c r="J81" s="571">
        <f t="shared" si="32"/>
        <v>0</v>
      </c>
      <c r="K81" s="571">
        <f t="shared" si="32"/>
        <v>0</v>
      </c>
      <c r="L81" s="571">
        <f t="shared" si="32"/>
        <v>0</v>
      </c>
      <c r="M81" s="571">
        <f t="shared" si="32"/>
        <v>0</v>
      </c>
      <c r="N81" s="571">
        <f t="shared" si="32"/>
        <v>0</v>
      </c>
      <c r="O81" s="571">
        <f t="shared" si="32"/>
        <v>0</v>
      </c>
      <c r="P81" s="571">
        <f t="shared" si="32"/>
        <v>0</v>
      </c>
      <c r="Q81" s="571">
        <f t="shared" si="32"/>
        <v>0</v>
      </c>
      <c r="R81" s="571">
        <f>R31-R32-R33</f>
        <v>-100000000</v>
      </c>
      <c r="S81" s="571">
        <f t="shared" si="32"/>
        <v>0</v>
      </c>
      <c r="T81" s="571">
        <f t="shared" si="32"/>
        <v>0</v>
      </c>
    </row>
    <row r="82" spans="2:26">
      <c r="B82" s="534" t="s">
        <v>148</v>
      </c>
      <c r="D82" s="571">
        <f t="shared" ref="D82:Z82" si="33">D44-D46-D56</f>
        <v>0</v>
      </c>
      <c r="E82" s="571">
        <f t="shared" si="33"/>
        <v>0</v>
      </c>
      <c r="F82" s="571">
        <f t="shared" si="33"/>
        <v>0</v>
      </c>
      <c r="G82" s="571">
        <f t="shared" si="33"/>
        <v>0</v>
      </c>
      <c r="H82" s="571">
        <f t="shared" si="33"/>
        <v>0</v>
      </c>
      <c r="I82" s="571">
        <f t="shared" si="33"/>
        <v>0</v>
      </c>
      <c r="J82" s="571">
        <f t="shared" si="33"/>
        <v>0</v>
      </c>
      <c r="K82" s="571">
        <f t="shared" si="33"/>
        <v>0</v>
      </c>
      <c r="L82" s="571">
        <f t="shared" si="33"/>
        <v>0</v>
      </c>
      <c r="M82" s="571">
        <f t="shared" si="33"/>
        <v>0</v>
      </c>
      <c r="N82" s="571">
        <f t="shared" si="33"/>
        <v>0</v>
      </c>
      <c r="O82" s="571">
        <f t="shared" si="33"/>
        <v>0</v>
      </c>
      <c r="P82" s="571">
        <f t="shared" si="33"/>
        <v>0</v>
      </c>
      <c r="Q82" s="571">
        <f t="shared" si="33"/>
        <v>0</v>
      </c>
      <c r="R82" s="571">
        <f t="shared" si="33"/>
        <v>0</v>
      </c>
      <c r="S82" s="571">
        <f>S44-S46-S56</f>
        <v>0</v>
      </c>
      <c r="T82" s="571">
        <f t="shared" si="33"/>
        <v>0</v>
      </c>
      <c r="U82" s="571">
        <f t="shared" si="33"/>
        <v>0</v>
      </c>
      <c r="V82" s="571">
        <f t="shared" si="33"/>
        <v>0</v>
      </c>
      <c r="W82" s="571">
        <f t="shared" si="33"/>
        <v>0</v>
      </c>
      <c r="X82" s="571">
        <f t="shared" si="33"/>
        <v>0</v>
      </c>
      <c r="Y82" s="571">
        <f t="shared" si="33"/>
        <v>0</v>
      </c>
      <c r="Z82" s="571">
        <f t="shared" si="33"/>
        <v>0</v>
      </c>
    </row>
    <row r="83" spans="2:26">
      <c r="B83" s="534" t="s">
        <v>149</v>
      </c>
      <c r="D83" s="571">
        <f>D46-D47-D52</f>
        <v>100000000</v>
      </c>
      <c r="E83" s="571">
        <f t="shared" ref="E83:W83" si="34">E46-E47-E52</f>
        <v>100000000</v>
      </c>
      <c r="F83" s="571">
        <f t="shared" si="34"/>
        <v>0</v>
      </c>
      <c r="G83" s="571">
        <f t="shared" si="34"/>
        <v>0</v>
      </c>
      <c r="H83" s="571">
        <f t="shared" si="34"/>
        <v>0</v>
      </c>
      <c r="I83" s="571">
        <f t="shared" si="34"/>
        <v>0</v>
      </c>
      <c r="J83" s="571">
        <f t="shared" si="34"/>
        <v>0</v>
      </c>
      <c r="K83" s="571">
        <f t="shared" si="34"/>
        <v>-100000000.00001526</v>
      </c>
      <c r="L83" s="571">
        <f t="shared" si="34"/>
        <v>0</v>
      </c>
      <c r="M83" s="571">
        <f t="shared" si="34"/>
        <v>0</v>
      </c>
      <c r="N83" s="571">
        <f t="shared" si="34"/>
        <v>0</v>
      </c>
      <c r="O83" s="571">
        <f t="shared" si="34"/>
        <v>0</v>
      </c>
      <c r="P83" s="571">
        <f t="shared" si="34"/>
        <v>100000000</v>
      </c>
      <c r="Q83" s="571">
        <f t="shared" si="34"/>
        <v>0</v>
      </c>
      <c r="R83" s="885">
        <f t="shared" si="34"/>
        <v>100000000</v>
      </c>
      <c r="S83" s="885">
        <f t="shared" si="34"/>
        <v>-100000000</v>
      </c>
      <c r="T83" s="885">
        <f t="shared" si="34"/>
        <v>0</v>
      </c>
      <c r="U83" s="885">
        <f t="shared" si="34"/>
        <v>0</v>
      </c>
      <c r="V83" s="885">
        <f t="shared" si="34"/>
        <v>0</v>
      </c>
      <c r="W83" s="885">
        <f t="shared" si="34"/>
        <v>0</v>
      </c>
      <c r="X83" s="885">
        <f>X46-X47-X52</f>
        <v>-99999999.999984741</v>
      </c>
      <c r="Y83" s="885">
        <f t="shared" ref="Y83:Z83" si="35">Y46-Y47-Y52</f>
        <v>0</v>
      </c>
      <c r="Z83" s="885">
        <f t="shared" si="35"/>
        <v>0</v>
      </c>
    </row>
    <row r="84" spans="2:26">
      <c r="B84" s="534" t="s">
        <v>937</v>
      </c>
      <c r="D84" s="571">
        <f>D56-D60-D61-D62-D66-D67</f>
        <v>0</v>
      </c>
      <c r="E84" s="571">
        <f t="shared" ref="E84:J84" si="36">E56-E60-E61-E62-E66-E67</f>
        <v>-100000000</v>
      </c>
      <c r="F84" s="571">
        <f t="shared" si="36"/>
        <v>0</v>
      </c>
      <c r="G84" s="571">
        <f t="shared" si="36"/>
        <v>0</v>
      </c>
      <c r="H84" s="571">
        <f t="shared" si="36"/>
        <v>3.814697265625E-6</v>
      </c>
      <c r="I84" s="571">
        <f t="shared" si="36"/>
        <v>0</v>
      </c>
      <c r="J84" s="571">
        <f t="shared" si="36"/>
        <v>-100000000</v>
      </c>
      <c r="K84" s="571">
        <f>K56-K60-K61-K62-K66-K67</f>
        <v>0</v>
      </c>
      <c r="L84" s="571">
        <f t="shared" ref="L84:T84" si="37">L56-L60-L61-L62-L66-L67</f>
        <v>0</v>
      </c>
      <c r="M84" s="571">
        <f t="shared" si="37"/>
        <v>0</v>
      </c>
      <c r="N84" s="571">
        <f t="shared" si="37"/>
        <v>0</v>
      </c>
      <c r="O84" s="571">
        <f t="shared" si="37"/>
        <v>0</v>
      </c>
      <c r="P84" s="571">
        <f t="shared" si="37"/>
        <v>0</v>
      </c>
      <c r="Q84" s="571">
        <f t="shared" si="37"/>
        <v>0</v>
      </c>
      <c r="R84" s="885">
        <f>R56-R60-R61-R62-R66-R67</f>
        <v>3.814697265625E-6</v>
      </c>
      <c r="S84" s="885">
        <f t="shared" si="37"/>
        <v>0</v>
      </c>
      <c r="T84" s="885">
        <f t="shared" si="37"/>
        <v>-7.62939453125E-6</v>
      </c>
      <c r="U84" s="885">
        <f t="shared" ref="U84:Z84" si="38">U57-U60-U61-U63-U66-U67</f>
        <v>43299999999.999985</v>
      </c>
      <c r="V84" s="885">
        <f t="shared" si="38"/>
        <v>67000000000</v>
      </c>
      <c r="W84" s="885">
        <f t="shared" si="38"/>
        <v>71000000000</v>
      </c>
      <c r="X84" s="885">
        <f t="shared" si="38"/>
        <v>71000000000</v>
      </c>
      <c r="Y84" s="885">
        <f t="shared" si="38"/>
        <v>60000000000</v>
      </c>
      <c r="Z84" s="885">
        <f t="shared" si="38"/>
        <v>41600000000</v>
      </c>
    </row>
    <row r="85" spans="2:26">
      <c r="D85" s="571"/>
    </row>
    <row r="87" spans="2:26">
      <c r="B87" s="534" t="s">
        <v>724</v>
      </c>
      <c r="D87" s="872">
        <v>1679702000000</v>
      </c>
      <c r="E87" s="872">
        <v>1832200000000</v>
      </c>
      <c r="F87" s="872">
        <v>1956700000000</v>
      </c>
      <c r="G87" s="872">
        <v>2067900000000</v>
      </c>
      <c r="H87" s="872">
        <v>2140013000000</v>
      </c>
      <c r="I87" s="872">
        <v>2298715000000</v>
      </c>
      <c r="J87" s="872">
        <v>2460244000000</v>
      </c>
      <c r="K87" s="872">
        <v>2638975000000</v>
      </c>
      <c r="L87" s="872">
        <v>2970544000000</v>
      </c>
      <c r="M87" s="872">
        <v>3109134000000</v>
      </c>
      <c r="N87" s="872">
        <v>3247927000000</v>
      </c>
      <c r="O87" s="425">
        <v>3687000000000</v>
      </c>
      <c r="P87" s="425">
        <v>4144000000000</v>
      </c>
      <c r="Q87" s="425">
        <v>4501000000000</v>
      </c>
      <c r="R87" s="425">
        <v>4800000000000</v>
      </c>
      <c r="S87" s="425">
        <v>4904000000000</v>
      </c>
      <c r="T87" s="425">
        <v>5084000000000</v>
      </c>
      <c r="U87" s="425">
        <v>5371000000000</v>
      </c>
      <c r="V87" s="425">
        <v>5809000000000</v>
      </c>
      <c r="W87" s="425">
        <v>6312000000000</v>
      </c>
      <c r="X87" s="425">
        <v>6879000000000</v>
      </c>
      <c r="Y87" s="534">
        <v>7518000000000</v>
      </c>
      <c r="Z87" s="534">
        <v>8109000000000</v>
      </c>
    </row>
    <row r="88" spans="2:26">
      <c r="B88" s="534" t="s">
        <v>363</v>
      </c>
      <c r="D88" s="534">
        <f t="shared" ref="D88:Q88" si="39">(D6/D87)*100</f>
        <v>17.455477221554776</v>
      </c>
      <c r="E88" s="534">
        <f t="shared" si="39"/>
        <v>17.84739657242659</v>
      </c>
      <c r="F88" s="534">
        <f t="shared" si="39"/>
        <v>17.233096540093012</v>
      </c>
      <c r="G88" s="534">
        <f t="shared" si="39"/>
        <v>18.73881715750278</v>
      </c>
      <c r="H88" s="534">
        <f t="shared" si="39"/>
        <v>19.023248924188778</v>
      </c>
      <c r="I88" s="534">
        <f t="shared" si="39"/>
        <v>18.762656527668721</v>
      </c>
      <c r="J88" s="534">
        <f t="shared" si="39"/>
        <v>19.209476783603577</v>
      </c>
      <c r="K88" s="534">
        <f t="shared" si="39"/>
        <v>23.755435348951771</v>
      </c>
      <c r="L88" s="534">
        <f t="shared" si="39"/>
        <v>21.319327368993694</v>
      </c>
      <c r="M88" s="534">
        <f t="shared" si="39"/>
        <v>21.739172386909022</v>
      </c>
      <c r="N88" s="534">
        <f t="shared" si="39"/>
        <v>20.000449517492232</v>
      </c>
      <c r="O88" s="534">
        <f t="shared" si="39"/>
        <v>18.787632221318145</v>
      </c>
      <c r="P88" s="534">
        <f t="shared" si="39"/>
        <v>19.2</v>
      </c>
      <c r="Q88" s="534">
        <f t="shared" si="39"/>
        <v>18.600000000000001</v>
      </c>
      <c r="R88" s="534">
        <f t="shared" ref="R88:Z88" si="40">(R6/R87)*100</f>
        <v>17.185416666666669</v>
      </c>
      <c r="S88" s="534">
        <f t="shared" si="40"/>
        <v>17.298123980424144</v>
      </c>
      <c r="T88" s="534">
        <f t="shared" si="40"/>
        <v>15.350118017309205</v>
      </c>
      <c r="U88" s="534">
        <f t="shared" si="40"/>
        <v>18.650158257307766</v>
      </c>
      <c r="V88" s="534">
        <f t="shared" si="40"/>
        <v>19.011878120158375</v>
      </c>
      <c r="W88" s="534">
        <f t="shared" si="40"/>
        <v>18.841888466413181</v>
      </c>
      <c r="X88" s="534">
        <f t="shared" si="40"/>
        <v>19.300770460822793</v>
      </c>
      <c r="Y88" s="534">
        <f t="shared" si="40"/>
        <v>19.522479382814577</v>
      </c>
      <c r="Z88" s="534">
        <f t="shared" si="40"/>
        <v>19.956838081144408</v>
      </c>
    </row>
    <row r="89" spans="2:26">
      <c r="B89" s="534" t="s">
        <v>152</v>
      </c>
      <c r="D89" s="534">
        <f t="shared" ref="D89:Q89" si="41">(D15/D87)*100</f>
        <v>19.199834256314514</v>
      </c>
      <c r="E89" s="534">
        <f t="shared" si="41"/>
        <v>19.277371465997163</v>
      </c>
      <c r="F89" s="534">
        <f t="shared" si="41"/>
        <v>19.527776358154032</v>
      </c>
      <c r="G89" s="534">
        <f t="shared" si="41"/>
        <v>20.615116785144348</v>
      </c>
      <c r="H89" s="534">
        <f t="shared" si="41"/>
        <v>20.069971537556082</v>
      </c>
      <c r="I89" s="534">
        <f t="shared" si="41"/>
        <v>21.28580533036936</v>
      </c>
      <c r="J89" s="534">
        <f t="shared" si="41"/>
        <v>19.664716182622534</v>
      </c>
      <c r="K89" s="534">
        <f t="shared" si="41"/>
        <v>23.58491459752366</v>
      </c>
      <c r="L89" s="534">
        <f t="shared" si="41"/>
        <v>23.049650165087606</v>
      </c>
      <c r="M89" s="534">
        <f t="shared" si="41"/>
        <v>26.020107206701287</v>
      </c>
      <c r="N89" s="534">
        <f t="shared" si="41"/>
        <v>21.619944044308877</v>
      </c>
      <c r="O89" s="534">
        <f t="shared" si="41"/>
        <v>20.469216164903717</v>
      </c>
      <c r="P89" s="534">
        <f t="shared" si="41"/>
        <v>19.683880308880308</v>
      </c>
      <c r="Q89" s="534">
        <f t="shared" si="41"/>
        <v>21.150855365474339</v>
      </c>
      <c r="R89" s="534">
        <f>(R16/R87)*100</f>
        <v>19.4375</v>
      </c>
      <c r="S89" s="534">
        <f t="shared" ref="S89:Z89" si="42">(S16/S87)*100</f>
        <v>25.332381729200655</v>
      </c>
      <c r="T89" s="534">
        <f t="shared" si="42"/>
        <v>21.367033831628639</v>
      </c>
      <c r="U89" s="534">
        <f t="shared" si="42"/>
        <v>24.541053807484641</v>
      </c>
      <c r="V89" s="534">
        <f t="shared" si="42"/>
        <v>23.714925116199002</v>
      </c>
      <c r="W89" s="534">
        <f t="shared" si="42"/>
        <v>21.280101394169833</v>
      </c>
      <c r="X89" s="534">
        <f t="shared" si="42"/>
        <v>20.520424480302367</v>
      </c>
      <c r="Y89" s="534">
        <f t="shared" si="42"/>
        <v>19.82708167065709</v>
      </c>
      <c r="Z89" s="534">
        <f t="shared" si="42"/>
        <v>19.378468368479467</v>
      </c>
    </row>
    <row r="92" spans="2:26">
      <c r="N92" s="571"/>
    </row>
    <row r="94" spans="2:26" ht="13.5" customHeight="1">
      <c r="B94" s="534" t="s">
        <v>153</v>
      </c>
      <c r="D94" s="534" t="b">
        <f>IF(D34&lt;0, (D34/D15)*100)</f>
        <v>0</v>
      </c>
      <c r="E94" s="534" t="b">
        <f t="shared" ref="E94:W94" si="43">IF(E34&lt;0, (E34/E15)*100)</f>
        <v>0</v>
      </c>
      <c r="F94" s="534" t="b">
        <f t="shared" si="43"/>
        <v>0</v>
      </c>
      <c r="G94" s="534" t="b">
        <f t="shared" si="43"/>
        <v>0</v>
      </c>
      <c r="H94" s="534" t="b">
        <f t="shared" si="43"/>
        <v>0</v>
      </c>
      <c r="I94" s="534" t="b">
        <f t="shared" si="43"/>
        <v>0</v>
      </c>
      <c r="J94" s="534" t="b">
        <f t="shared" si="43"/>
        <v>0</v>
      </c>
      <c r="K94" s="534" t="b">
        <f t="shared" si="43"/>
        <v>0</v>
      </c>
      <c r="L94" s="534" t="b">
        <f t="shared" si="43"/>
        <v>0</v>
      </c>
      <c r="M94" s="534" t="b">
        <f t="shared" si="43"/>
        <v>0</v>
      </c>
      <c r="N94" s="534" t="b">
        <f t="shared" si="43"/>
        <v>0</v>
      </c>
      <c r="O94" s="534" t="b">
        <f t="shared" si="43"/>
        <v>0</v>
      </c>
      <c r="P94" s="534" t="b">
        <f t="shared" si="43"/>
        <v>0</v>
      </c>
      <c r="Q94" s="534" t="b">
        <f t="shared" si="43"/>
        <v>0</v>
      </c>
      <c r="R94" s="534" t="b">
        <f t="shared" si="43"/>
        <v>0</v>
      </c>
      <c r="S94" s="534" t="b">
        <f t="shared" si="43"/>
        <v>0</v>
      </c>
      <c r="T94" s="534" t="b">
        <f t="shared" si="43"/>
        <v>0</v>
      </c>
      <c r="U94" s="534" t="b">
        <f t="shared" si="43"/>
        <v>0</v>
      </c>
      <c r="V94" s="534" t="b">
        <f t="shared" si="43"/>
        <v>0</v>
      </c>
      <c r="W94" s="534" t="b">
        <f t="shared" si="43"/>
        <v>0</v>
      </c>
      <c r="X94" s="534" t="b">
        <f>IF(X34&lt;0, (X34/X15)*100)</f>
        <v>0</v>
      </c>
    </row>
    <row r="96" spans="2:26">
      <c r="J96" s="380"/>
      <c r="K96" s="380"/>
      <c r="L96" s="380"/>
      <c r="M96" s="380"/>
      <c r="N96" s="380"/>
      <c r="O96" s="425"/>
      <c r="P96" s="425"/>
      <c r="Q96" s="425"/>
      <c r="R96" s="425"/>
      <c r="S96" s="425"/>
      <c r="T96" s="425"/>
      <c r="U96" s="425"/>
      <c r="V96" s="425"/>
      <c r="W96" s="425"/>
      <c r="X96" s="425"/>
    </row>
    <row r="100" spans="18:27">
      <c r="R100"/>
      <c r="T100"/>
      <c r="U100"/>
      <c r="V100"/>
      <c r="W100"/>
      <c r="X100"/>
      <c r="Y100"/>
      <c r="Z100"/>
      <c r="AA100" s="534"/>
    </row>
    <row r="101" spans="18:27">
      <c r="R101"/>
      <c r="T101"/>
      <c r="U101"/>
      <c r="V101"/>
      <c r="W101"/>
      <c r="X101"/>
      <c r="Y101"/>
      <c r="Z101"/>
      <c r="AA101" s="534"/>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G21" activePane="bottomRight" state="frozen"/>
      <selection pane="topRight" activeCell="R7" sqref="R7"/>
      <selection pane="bottomLeft" activeCell="R7" sqref="R7"/>
      <selection pane="bottomRight" activeCell="H36" sqref="H36:I36"/>
    </sheetView>
  </sheetViews>
  <sheetFormatPr defaultColWidth="9.140625" defaultRowHeight="15.75"/>
  <cols>
    <col min="1" max="1" width="32.5703125" style="534" bestFit="1" customWidth="1"/>
    <col min="2" max="3" width="32.5703125" style="534" customWidth="1"/>
    <col min="4" max="4" width="9.140625" style="534"/>
    <col min="5" max="5" width="18.7109375" style="534" bestFit="1" customWidth="1"/>
    <col min="6" max="6" width="20.7109375" style="534" bestFit="1" customWidth="1"/>
    <col min="7" max="7" width="16.85546875" style="534" bestFit="1" customWidth="1"/>
    <col min="8" max="11" width="18" style="534" bestFit="1" customWidth="1"/>
    <col min="12" max="15" width="20.85546875" style="534" customWidth="1"/>
    <col min="16" max="16" width="20.28515625" style="534" customWidth="1"/>
    <col min="17" max="19" width="20.5703125" style="534" customWidth="1"/>
    <col min="20" max="20" width="19.7109375" style="534" bestFit="1" customWidth="1"/>
    <col min="21" max="21" width="20.7109375" style="534" bestFit="1" customWidth="1"/>
    <col min="22" max="22" width="28.85546875" style="534" bestFit="1" customWidth="1"/>
    <col min="23" max="16384" width="9.140625" style="534"/>
  </cols>
  <sheetData>
    <row r="1" spans="1:24" ht="19.5" thickBot="1">
      <c r="A1" s="547" t="s">
        <v>938</v>
      </c>
      <c r="B1" s="577" t="s">
        <v>939</v>
      </c>
      <c r="C1" s="548"/>
      <c r="D1" s="549"/>
      <c r="E1" s="549"/>
      <c r="F1" s="549"/>
      <c r="G1" s="549"/>
      <c r="H1" s="549"/>
      <c r="I1" s="549"/>
      <c r="J1" s="549"/>
      <c r="K1" s="549"/>
      <c r="L1" s="549"/>
      <c r="M1" s="549"/>
      <c r="N1" s="549"/>
      <c r="O1" s="550"/>
      <c r="P1" s="550"/>
      <c r="Q1" s="550"/>
      <c r="R1" s="551"/>
      <c r="S1" s="550"/>
      <c r="T1" s="550"/>
      <c r="U1" s="550"/>
      <c r="V1" s="550"/>
      <c r="W1" s="550"/>
      <c r="X1" s="537"/>
    </row>
    <row r="2" spans="1:24" ht="18.75">
      <c r="B2" s="578" t="s">
        <v>940</v>
      </c>
      <c r="C2" s="552"/>
      <c r="D2" s="550"/>
      <c r="E2" s="550"/>
      <c r="F2" s="550"/>
      <c r="G2" s="550"/>
      <c r="H2" s="550"/>
      <c r="I2" s="550"/>
      <c r="J2" s="550"/>
      <c r="K2" s="550"/>
      <c r="L2" s="550"/>
      <c r="M2" s="550"/>
      <c r="N2" s="550"/>
      <c r="O2" s="550"/>
      <c r="P2" s="550"/>
      <c r="Q2" s="550"/>
      <c r="R2" s="553"/>
      <c r="S2" s="554"/>
      <c r="T2" s="555"/>
      <c r="U2" s="550"/>
      <c r="V2" s="550"/>
      <c r="W2" s="550"/>
      <c r="X2" s="537"/>
    </row>
    <row r="3" spans="1:2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row>
    <row r="4" spans="1:2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row>
    <row r="5" spans="1:24">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32</v>
      </c>
      <c r="Q5" s="550" t="s">
        <v>30</v>
      </c>
      <c r="R5" s="550" t="s">
        <v>30</v>
      </c>
      <c r="S5" s="550" t="s">
        <v>30</v>
      </c>
      <c r="T5" s="550" t="s">
        <v>30</v>
      </c>
      <c r="U5" s="550" t="s">
        <v>30</v>
      </c>
      <c r="V5" s="550" t="s">
        <v>32</v>
      </c>
      <c r="W5" s="550" t="s">
        <v>32</v>
      </c>
      <c r="X5" s="537" t="s">
        <v>32</v>
      </c>
    </row>
    <row r="6" spans="1:24" s="562" customFormat="1">
      <c r="A6" s="557" t="s">
        <v>33</v>
      </c>
      <c r="B6" s="557" t="s">
        <v>941</v>
      </c>
      <c r="C6" s="558" t="s">
        <v>35</v>
      </c>
      <c r="D6" s="559"/>
      <c r="E6" s="559"/>
      <c r="F6" s="560">
        <v>8849000000</v>
      </c>
      <c r="G6" s="560">
        <v>7054000000</v>
      </c>
      <c r="H6" s="560">
        <v>10421000000</v>
      </c>
      <c r="I6" s="560">
        <v>10439000000</v>
      </c>
      <c r="J6" s="560">
        <v>13328000000</v>
      </c>
      <c r="K6" s="560">
        <v>16083000000</v>
      </c>
      <c r="L6" s="560">
        <v>18282000000</v>
      </c>
      <c r="M6" s="560">
        <v>20624000000</v>
      </c>
      <c r="N6" s="560">
        <v>30990000000</v>
      </c>
      <c r="O6" s="560">
        <v>28172000000</v>
      </c>
      <c r="P6" s="561">
        <f>32646000000+210000000</f>
        <v>32856000000</v>
      </c>
      <c r="Q6" s="560">
        <f>Q7+Q23</f>
        <v>30665000000</v>
      </c>
      <c r="R6" s="560">
        <f t="shared" ref="R6:S6" si="0">R7+R23</f>
        <v>37481000000</v>
      </c>
      <c r="S6" s="560">
        <f t="shared" si="0"/>
        <v>35096000000</v>
      </c>
      <c r="T6" s="560">
        <f>T7+T23</f>
        <v>42923424000</v>
      </c>
      <c r="U6" s="560">
        <f>U7+U23</f>
        <v>42700352000</v>
      </c>
      <c r="V6" s="579"/>
    </row>
    <row r="7" spans="1:24">
      <c r="A7" s="563" t="s">
        <v>36</v>
      </c>
      <c r="B7" s="380" t="s">
        <v>942</v>
      </c>
      <c r="C7" s="564" t="s">
        <v>38</v>
      </c>
      <c r="D7" s="380"/>
      <c r="E7" s="380"/>
      <c r="F7" s="565">
        <v>5100000000</v>
      </c>
      <c r="G7" s="565">
        <v>4785000000</v>
      </c>
      <c r="H7" s="565">
        <v>5055000000</v>
      </c>
      <c r="I7" s="565">
        <v>6066000000</v>
      </c>
      <c r="J7" s="565">
        <v>6903000000</v>
      </c>
      <c r="K7" s="565">
        <v>10082000000</v>
      </c>
      <c r="L7" s="565">
        <v>12346000000</v>
      </c>
      <c r="M7" s="565">
        <v>14049000000</v>
      </c>
      <c r="N7" s="565">
        <v>19871000000</v>
      </c>
      <c r="O7" s="565">
        <v>17674000000</v>
      </c>
      <c r="P7" s="565">
        <v>20354000000</v>
      </c>
      <c r="Q7" s="565">
        <v>21102000000</v>
      </c>
      <c r="R7" s="565">
        <v>23245000000</v>
      </c>
      <c r="S7" s="565">
        <v>25141000000</v>
      </c>
      <c r="T7" s="866">
        <f>T8+T16</f>
        <v>28033813000</v>
      </c>
      <c r="U7" s="866">
        <f>U8+U16</f>
        <v>29713599000</v>
      </c>
      <c r="V7" s="571"/>
    </row>
    <row r="8" spans="1:24">
      <c r="A8" s="435" t="s">
        <v>39</v>
      </c>
      <c r="B8" s="380" t="s">
        <v>943</v>
      </c>
      <c r="C8" s="564" t="s">
        <v>41</v>
      </c>
      <c r="D8" s="380"/>
      <c r="E8" s="380"/>
      <c r="F8" s="565">
        <v>2415000000</v>
      </c>
      <c r="G8" s="565">
        <v>2728000000</v>
      </c>
      <c r="H8" s="565">
        <v>2467000000</v>
      </c>
      <c r="I8" s="565">
        <v>3069000000</v>
      </c>
      <c r="J8" s="565">
        <v>3717000000</v>
      </c>
      <c r="K8" s="565">
        <v>3768000000</v>
      </c>
      <c r="L8" s="565">
        <v>4666000000</v>
      </c>
      <c r="M8" s="565">
        <v>5725000000</v>
      </c>
      <c r="N8" s="565">
        <v>8975000000</v>
      </c>
      <c r="O8" s="565">
        <v>10882000000</v>
      </c>
      <c r="P8" s="565">
        <v>14677000000</v>
      </c>
      <c r="Q8" s="565">
        <v>15403000000</v>
      </c>
      <c r="R8" s="565">
        <v>16183000000</v>
      </c>
      <c r="S8" s="565">
        <v>18387000000</v>
      </c>
      <c r="T8" s="866">
        <f>T13+T15</f>
        <v>19884627000</v>
      </c>
      <c r="U8" s="866">
        <f>U13+U15</f>
        <v>21564464000</v>
      </c>
      <c r="V8" s="571"/>
    </row>
    <row r="9" spans="1:24">
      <c r="A9" s="563" t="s">
        <v>628</v>
      </c>
      <c r="B9" s="566" t="s">
        <v>944</v>
      </c>
      <c r="C9" s="534" t="s">
        <v>44</v>
      </c>
      <c r="D9" s="380"/>
      <c r="E9" s="380"/>
      <c r="F9" s="567"/>
      <c r="G9" s="567"/>
      <c r="H9" s="567"/>
      <c r="I9" s="567"/>
      <c r="J9" s="565">
        <v>1833000000</v>
      </c>
      <c r="K9" s="565">
        <v>2109000000</v>
      </c>
      <c r="L9" s="565"/>
      <c r="M9" s="565"/>
      <c r="N9" s="565"/>
      <c r="O9" s="565"/>
      <c r="P9" s="565"/>
      <c r="Q9" s="565"/>
      <c r="R9" s="565"/>
      <c r="S9" s="565"/>
      <c r="T9" s="866"/>
      <c r="U9" s="866"/>
      <c r="V9" s="571"/>
    </row>
    <row r="10" spans="1:24">
      <c r="A10" s="563" t="s">
        <v>47</v>
      </c>
      <c r="B10" s="566" t="s">
        <v>945</v>
      </c>
      <c r="C10" s="534" t="s">
        <v>44</v>
      </c>
      <c r="D10" s="380"/>
      <c r="E10" s="380"/>
      <c r="F10" s="567"/>
      <c r="G10" s="567"/>
      <c r="H10" s="567"/>
      <c r="I10" s="567"/>
      <c r="J10" s="565">
        <v>1542000000</v>
      </c>
      <c r="K10" s="565">
        <v>1285000000</v>
      </c>
      <c r="L10" s="565"/>
      <c r="M10" s="565"/>
      <c r="N10" s="565"/>
      <c r="O10" s="565"/>
      <c r="P10" s="565"/>
      <c r="Q10" s="565"/>
      <c r="R10" s="565"/>
      <c r="S10" s="565"/>
      <c r="T10" s="866"/>
      <c r="U10" s="866"/>
      <c r="V10" s="571"/>
    </row>
    <row r="11" spans="1:24">
      <c r="A11" s="563" t="s">
        <v>45</v>
      </c>
      <c r="B11" s="566" t="s">
        <v>946</v>
      </c>
      <c r="C11" s="534" t="s">
        <v>44</v>
      </c>
      <c r="D11" s="380"/>
      <c r="E11" s="380"/>
      <c r="F11" s="567"/>
      <c r="G11" s="567"/>
      <c r="H11" s="567"/>
      <c r="I11" s="567"/>
      <c r="J11" s="565">
        <v>158000000</v>
      </c>
      <c r="K11" s="565">
        <v>145000000</v>
      </c>
      <c r="L11" s="565"/>
      <c r="M11" s="565"/>
      <c r="N11" s="565"/>
      <c r="O11" s="565"/>
      <c r="P11" s="565"/>
      <c r="Q11" s="565"/>
      <c r="R11" s="565"/>
      <c r="S11" s="565"/>
      <c r="T11" s="866"/>
      <c r="U11" s="866"/>
      <c r="V11" s="571"/>
    </row>
    <row r="12" spans="1:24">
      <c r="A12" s="563" t="s">
        <v>49</v>
      </c>
      <c r="B12" s="566" t="s">
        <v>50</v>
      </c>
      <c r="C12" s="534" t="s">
        <v>44</v>
      </c>
      <c r="D12" s="380"/>
      <c r="E12" s="380"/>
      <c r="F12" s="567"/>
      <c r="G12" s="567"/>
      <c r="H12" s="567"/>
      <c r="I12" s="567"/>
      <c r="J12" s="565">
        <v>184000000</v>
      </c>
      <c r="K12" s="565">
        <v>230000000</v>
      </c>
      <c r="L12" s="565"/>
      <c r="M12" s="565"/>
      <c r="N12" s="565"/>
      <c r="O12" s="565"/>
      <c r="P12" s="565"/>
      <c r="Q12" s="565"/>
      <c r="R12" s="565"/>
      <c r="S12" s="565"/>
      <c r="T12" s="866"/>
      <c r="U12" s="866"/>
      <c r="V12" s="571"/>
    </row>
    <row r="13" spans="1:24" ht="17.25">
      <c r="A13" s="563" t="s">
        <v>947</v>
      </c>
      <c r="B13" s="424" t="s">
        <v>948</v>
      </c>
      <c r="C13" s="534" t="s">
        <v>44</v>
      </c>
      <c r="D13" s="380"/>
      <c r="E13" s="380"/>
      <c r="F13" s="567"/>
      <c r="G13" s="567"/>
      <c r="H13" s="567"/>
      <c r="I13" s="567"/>
      <c r="J13" s="565"/>
      <c r="K13" s="565"/>
      <c r="L13" s="565"/>
      <c r="M13" s="565"/>
      <c r="N13" s="565"/>
      <c r="O13" s="565"/>
      <c r="P13" s="565"/>
      <c r="Q13" s="565">
        <v>9390000000</v>
      </c>
      <c r="R13" s="565">
        <v>11132000000</v>
      </c>
      <c r="S13" s="565">
        <v>11627000000</v>
      </c>
      <c r="T13" s="565">
        <v>12200094000</v>
      </c>
      <c r="U13" s="565">
        <v>12345794000</v>
      </c>
      <c r="V13" s="571"/>
      <c r="W13" s="571"/>
    </row>
    <row r="14" spans="1:24" ht="17.25">
      <c r="B14" s="424" t="s">
        <v>949</v>
      </c>
      <c r="D14" s="380"/>
      <c r="E14" s="380"/>
      <c r="F14" s="567"/>
      <c r="G14" s="567"/>
      <c r="H14" s="567"/>
      <c r="I14" s="567"/>
      <c r="J14" s="565"/>
      <c r="K14" s="565"/>
      <c r="L14" s="565"/>
      <c r="M14" s="565"/>
      <c r="N14" s="565"/>
      <c r="O14" s="565"/>
      <c r="P14" s="565"/>
      <c r="Q14" s="565">
        <v>2097000000</v>
      </c>
      <c r="R14" s="565">
        <v>2648000000</v>
      </c>
      <c r="S14" s="565">
        <v>2549000000</v>
      </c>
      <c r="T14" s="565"/>
      <c r="U14" s="565"/>
      <c r="V14" s="571"/>
    </row>
    <row r="15" spans="1:24" ht="17.25">
      <c r="A15" s="563" t="s">
        <v>950</v>
      </c>
      <c r="B15" s="424" t="s">
        <v>951</v>
      </c>
      <c r="C15" s="534" t="s">
        <v>44</v>
      </c>
      <c r="D15" s="380"/>
      <c r="E15" s="380"/>
      <c r="F15" s="567"/>
      <c r="G15" s="567"/>
      <c r="H15" s="567"/>
      <c r="I15" s="567"/>
      <c r="J15" s="565"/>
      <c r="K15" s="565"/>
      <c r="L15" s="565"/>
      <c r="M15" s="565"/>
      <c r="N15" s="565"/>
      <c r="O15" s="565"/>
      <c r="P15" s="565"/>
      <c r="Q15" s="565">
        <v>6013000000</v>
      </c>
      <c r="R15" s="565">
        <v>5051000000</v>
      </c>
      <c r="S15" s="565">
        <v>6760000000</v>
      </c>
      <c r="T15" s="565">
        <v>7684533000</v>
      </c>
      <c r="U15" s="565">
        <v>9218670000</v>
      </c>
      <c r="V15" s="571"/>
      <c r="W15" s="571"/>
    </row>
    <row r="16" spans="1:24">
      <c r="A16" s="380" t="s">
        <v>51</v>
      </c>
      <c r="B16" s="380" t="s">
        <v>952</v>
      </c>
      <c r="C16" s="564" t="s">
        <v>41</v>
      </c>
      <c r="D16" s="380"/>
      <c r="E16" s="380"/>
      <c r="F16" s="565">
        <v>2685000000</v>
      </c>
      <c r="G16" s="565">
        <v>2057000000</v>
      </c>
      <c r="H16" s="565">
        <v>2589000000</v>
      </c>
      <c r="I16" s="565">
        <v>2997000000</v>
      </c>
      <c r="J16" s="565">
        <v>3186000000</v>
      </c>
      <c r="K16" s="565">
        <v>6314000000</v>
      </c>
      <c r="L16" s="565">
        <v>7681000000</v>
      </c>
      <c r="M16" s="565">
        <v>8324000000</v>
      </c>
      <c r="N16" s="565">
        <v>10896000000</v>
      </c>
      <c r="O16" s="565">
        <v>6792000000</v>
      </c>
      <c r="P16" s="565">
        <v>5677000000</v>
      </c>
      <c r="Q16" s="565">
        <v>5699000000</v>
      </c>
      <c r="R16" s="565">
        <v>7062000000</v>
      </c>
      <c r="S16" s="565">
        <v>6754000000</v>
      </c>
      <c r="T16" s="565">
        <v>8149186000</v>
      </c>
      <c r="U16" s="565">
        <v>8149135000</v>
      </c>
      <c r="V16" s="571"/>
      <c r="W16" s="571"/>
    </row>
    <row r="17" spans="1:23">
      <c r="A17" s="566" t="s">
        <v>953</v>
      </c>
      <c r="B17" s="566" t="s">
        <v>954</v>
      </c>
      <c r="C17" s="380" t="s">
        <v>192</v>
      </c>
      <c r="D17" s="380"/>
      <c r="E17" s="380"/>
      <c r="F17" s="567"/>
      <c r="G17" s="567"/>
      <c r="H17" s="567"/>
      <c r="I17" s="567"/>
      <c r="J17" s="565">
        <v>503000000</v>
      </c>
      <c r="K17" s="565">
        <v>2679000000</v>
      </c>
      <c r="L17" s="565"/>
      <c r="M17" s="565"/>
      <c r="N17" s="565"/>
      <c r="O17" s="565"/>
      <c r="P17" s="565"/>
      <c r="Q17" s="565"/>
      <c r="R17" s="565"/>
      <c r="S17" s="565"/>
      <c r="T17" s="571"/>
      <c r="U17" s="571"/>
      <c r="V17" s="571"/>
    </row>
    <row r="18" spans="1:23">
      <c r="A18" s="566" t="s">
        <v>955</v>
      </c>
      <c r="B18" s="566" t="s">
        <v>955</v>
      </c>
      <c r="C18" s="380" t="s">
        <v>192</v>
      </c>
      <c r="D18" s="380"/>
      <c r="E18" s="380"/>
      <c r="F18" s="567"/>
      <c r="G18" s="567"/>
      <c r="H18" s="567"/>
      <c r="I18" s="567"/>
      <c r="J18" s="565">
        <v>407000000</v>
      </c>
      <c r="K18" s="565">
        <v>499000000</v>
      </c>
      <c r="L18" s="565"/>
      <c r="M18" s="565"/>
      <c r="N18" s="565"/>
      <c r="O18" s="565"/>
      <c r="P18" s="565"/>
      <c r="Q18" s="565"/>
      <c r="R18" s="565"/>
      <c r="S18" s="565"/>
      <c r="T18" s="571"/>
      <c r="U18" s="571"/>
      <c r="V18" s="571"/>
    </row>
    <row r="19" spans="1:23">
      <c r="A19" s="566" t="s">
        <v>956</v>
      </c>
      <c r="B19" s="566" t="s">
        <v>956</v>
      </c>
      <c r="C19" s="380" t="s">
        <v>192</v>
      </c>
      <c r="D19" s="380"/>
      <c r="E19" s="380"/>
      <c r="F19" s="567"/>
      <c r="G19" s="567"/>
      <c r="H19" s="567"/>
      <c r="I19" s="567"/>
      <c r="J19" s="565">
        <v>1542000000</v>
      </c>
      <c r="K19" s="565">
        <v>2123000000</v>
      </c>
      <c r="L19" s="565"/>
      <c r="M19" s="565"/>
      <c r="N19" s="565"/>
      <c r="O19" s="565"/>
      <c r="P19" s="565"/>
      <c r="Q19" s="565"/>
      <c r="R19" s="565"/>
      <c r="S19" s="565"/>
      <c r="T19" s="571"/>
      <c r="U19" s="571"/>
      <c r="V19" s="154"/>
    </row>
    <row r="20" spans="1:23">
      <c r="A20" s="568" t="s">
        <v>649</v>
      </c>
      <c r="B20" s="566" t="s">
        <v>957</v>
      </c>
      <c r="C20" s="380" t="s">
        <v>192</v>
      </c>
      <c r="D20" s="380"/>
      <c r="E20" s="380"/>
      <c r="F20" s="567"/>
      <c r="G20" s="567"/>
      <c r="H20" s="567"/>
      <c r="I20" s="567"/>
      <c r="J20" s="565">
        <v>733000000</v>
      </c>
      <c r="K20" s="565">
        <v>1013000000</v>
      </c>
      <c r="L20" s="565"/>
      <c r="M20" s="565"/>
      <c r="N20" s="565"/>
      <c r="O20" s="565"/>
      <c r="P20" s="565"/>
      <c r="Q20" s="565"/>
      <c r="R20" s="565"/>
      <c r="S20" s="565"/>
      <c r="T20" s="571"/>
      <c r="U20" s="571"/>
      <c r="V20" s="571"/>
    </row>
    <row r="21" spans="1:23" ht="17.25">
      <c r="A21" s="568"/>
      <c r="B21" s="424" t="s">
        <v>958</v>
      </c>
      <c r="C21" s="380"/>
      <c r="D21" s="380"/>
      <c r="E21" s="380"/>
      <c r="F21" s="567"/>
      <c r="G21" s="567"/>
      <c r="H21" s="567"/>
      <c r="I21" s="567"/>
      <c r="J21" s="565"/>
      <c r="K21" s="565"/>
      <c r="L21" s="565"/>
      <c r="M21" s="565"/>
      <c r="N21" s="565"/>
      <c r="O21" s="565"/>
      <c r="P21" s="565"/>
      <c r="Q21" s="565">
        <v>1552000000</v>
      </c>
      <c r="R21" s="565">
        <v>1800000000</v>
      </c>
      <c r="S21" s="565">
        <v>1812000000</v>
      </c>
      <c r="T21" s="571"/>
      <c r="U21" s="571"/>
      <c r="V21" s="571"/>
    </row>
    <row r="22" spans="1:23" ht="17.25">
      <c r="A22" s="568"/>
      <c r="B22" s="424" t="s">
        <v>959</v>
      </c>
      <c r="C22" s="380"/>
      <c r="D22" s="380"/>
      <c r="E22" s="380"/>
      <c r="F22" s="567"/>
      <c r="G22" s="567"/>
      <c r="H22" s="567"/>
      <c r="I22" s="567"/>
      <c r="J22" s="565"/>
      <c r="K22" s="565"/>
      <c r="L22" s="565"/>
      <c r="M22" s="565"/>
      <c r="N22" s="565"/>
      <c r="O22" s="565"/>
      <c r="P22" s="565"/>
      <c r="Q22" s="565">
        <v>1479000000</v>
      </c>
      <c r="R22" s="565">
        <v>1969000000</v>
      </c>
      <c r="S22" s="565">
        <v>1877000000</v>
      </c>
      <c r="T22" s="571"/>
      <c r="U22" s="571"/>
      <c r="V22" s="571"/>
    </row>
    <row r="23" spans="1:23" s="562" customFormat="1">
      <c r="A23" s="562" t="s">
        <v>795</v>
      </c>
      <c r="B23" s="559" t="s">
        <v>960</v>
      </c>
      <c r="C23" s="569" t="s">
        <v>38</v>
      </c>
      <c r="D23" s="559"/>
      <c r="E23" s="559"/>
      <c r="F23" s="560">
        <v>3749000000</v>
      </c>
      <c r="G23" s="560">
        <v>2269000000</v>
      </c>
      <c r="H23" s="560">
        <v>5366000000</v>
      </c>
      <c r="I23" s="560">
        <v>4373000000</v>
      </c>
      <c r="J23" s="560">
        <v>6425000000</v>
      </c>
      <c r="K23" s="560">
        <v>6001000000</v>
      </c>
      <c r="L23" s="560">
        <v>5935000000</v>
      </c>
      <c r="M23" s="560">
        <v>6575000000</v>
      </c>
      <c r="N23" s="560">
        <v>11119000000</v>
      </c>
      <c r="O23" s="560">
        <v>10498000000</v>
      </c>
      <c r="P23" s="560">
        <v>12502000000</v>
      </c>
      <c r="Q23" s="560">
        <v>9563000000</v>
      </c>
      <c r="R23" s="560">
        <v>14236000000</v>
      </c>
      <c r="S23" s="560">
        <v>9955000000</v>
      </c>
      <c r="T23" s="2379">
        <f>T24+T25</f>
        <v>14889611000</v>
      </c>
      <c r="U23" s="2379">
        <f>U24+U25</f>
        <v>12986753000</v>
      </c>
      <c r="V23" s="579"/>
    </row>
    <row r="24" spans="1:23">
      <c r="A24" s="435" t="s">
        <v>961</v>
      </c>
      <c r="B24" s="566" t="s">
        <v>962</v>
      </c>
      <c r="C24" s="570" t="s">
        <v>57</v>
      </c>
      <c r="D24" s="380"/>
      <c r="E24" s="380"/>
      <c r="F24" s="565">
        <v>2532000000</v>
      </c>
      <c r="G24" s="565">
        <v>929000000</v>
      </c>
      <c r="H24" s="565">
        <v>3533000000</v>
      </c>
      <c r="I24" s="565">
        <v>2625000000</v>
      </c>
      <c r="J24" s="565">
        <v>3417000000</v>
      </c>
      <c r="K24" s="565">
        <v>3466000000</v>
      </c>
      <c r="L24" s="565">
        <v>4671000000</v>
      </c>
      <c r="M24" s="565">
        <v>4395000000</v>
      </c>
      <c r="N24" s="565">
        <v>7306000000</v>
      </c>
      <c r="O24" s="565">
        <v>7883000000</v>
      </c>
      <c r="P24" s="565">
        <v>9003000000</v>
      </c>
      <c r="Q24" s="565">
        <v>4693000000</v>
      </c>
      <c r="R24" s="565">
        <v>10684000000</v>
      </c>
      <c r="S24" s="565">
        <v>6594000000</v>
      </c>
      <c r="T24" s="565">
        <v>10721698000</v>
      </c>
      <c r="U24" s="565">
        <v>9882572000</v>
      </c>
      <c r="V24" s="571"/>
      <c r="W24" s="571"/>
    </row>
    <row r="25" spans="1:23">
      <c r="A25" s="435" t="s">
        <v>67</v>
      </c>
      <c r="B25" s="566" t="s">
        <v>50</v>
      </c>
      <c r="C25" s="570" t="s">
        <v>57</v>
      </c>
      <c r="D25" s="380"/>
      <c r="E25" s="380"/>
      <c r="F25" s="565">
        <v>1217000000</v>
      </c>
      <c r="G25" s="565">
        <v>1340000000</v>
      </c>
      <c r="H25" s="565">
        <v>1833000000</v>
      </c>
      <c r="I25" s="565">
        <v>1748000000</v>
      </c>
      <c r="J25" s="565">
        <v>3008000000</v>
      </c>
      <c r="K25" s="565">
        <v>2535000000</v>
      </c>
      <c r="L25" s="565">
        <v>1264000000</v>
      </c>
      <c r="M25" s="565">
        <v>2180000000</v>
      </c>
      <c r="N25" s="565">
        <v>3813000000</v>
      </c>
      <c r="O25" s="565">
        <v>2615000000</v>
      </c>
      <c r="P25" s="565">
        <v>3498000000</v>
      </c>
      <c r="Q25" s="565">
        <v>4869000000</v>
      </c>
      <c r="R25" s="565">
        <v>3552000000</v>
      </c>
      <c r="S25" s="565">
        <v>3361000000</v>
      </c>
      <c r="T25" s="565">
        <v>4167912999.9999995</v>
      </c>
      <c r="U25" s="565">
        <v>3104181000</v>
      </c>
      <c r="V25" s="571"/>
      <c r="W25" s="571"/>
    </row>
    <row r="26" spans="1:23" s="558" customFormat="1">
      <c r="A26" s="558" t="s">
        <v>71</v>
      </c>
      <c r="B26" s="558" t="s">
        <v>379</v>
      </c>
      <c r="C26" s="558" t="s">
        <v>35</v>
      </c>
      <c r="D26" s="379"/>
      <c r="E26" s="379"/>
      <c r="F26" s="625">
        <v>10053000000</v>
      </c>
      <c r="G26" s="625">
        <f>G27+G35+G36</f>
        <v>9994000000</v>
      </c>
      <c r="H26" s="625">
        <f t="shared" ref="H26:U26" si="1">H27+H35+H36</f>
        <v>10414000000</v>
      </c>
      <c r="I26" s="625">
        <f t="shared" si="1"/>
        <v>12981000000</v>
      </c>
      <c r="J26" s="625">
        <f t="shared" si="1"/>
        <v>13770000000</v>
      </c>
      <c r="K26" s="625">
        <f t="shared" si="1"/>
        <v>15795000000</v>
      </c>
      <c r="L26" s="625">
        <f t="shared" si="1"/>
        <v>19719000000</v>
      </c>
      <c r="M26" s="625">
        <f t="shared" si="1"/>
        <v>20890000000</v>
      </c>
      <c r="N26" s="625">
        <f t="shared" si="1"/>
        <v>30289000000</v>
      </c>
      <c r="O26" s="625">
        <f t="shared" si="1"/>
        <v>30749000000</v>
      </c>
      <c r="P26" s="625">
        <f t="shared" si="1"/>
        <v>34843000000</v>
      </c>
      <c r="Q26" s="625">
        <f t="shared" si="1"/>
        <v>36527000000</v>
      </c>
      <c r="R26" s="625">
        <f t="shared" si="1"/>
        <v>34609000000</v>
      </c>
      <c r="S26" s="625">
        <f t="shared" si="1"/>
        <v>36476000000</v>
      </c>
      <c r="T26" s="625">
        <f t="shared" si="1"/>
        <v>44688447000</v>
      </c>
      <c r="U26" s="625">
        <f t="shared" si="1"/>
        <v>49966611000</v>
      </c>
      <c r="V26" s="626"/>
    </row>
    <row r="27" spans="1:23">
      <c r="A27" s="259" t="s">
        <v>73</v>
      </c>
      <c r="B27" s="380" t="s">
        <v>963</v>
      </c>
      <c r="C27" s="564" t="s">
        <v>75</v>
      </c>
      <c r="D27" s="380"/>
      <c r="E27" s="425"/>
      <c r="F27" s="565">
        <v>4468000000</v>
      </c>
      <c r="G27" s="565">
        <v>4581000000</v>
      </c>
      <c r="H27" s="565">
        <v>5149000000</v>
      </c>
      <c r="I27" s="565">
        <v>6171000000</v>
      </c>
      <c r="J27" s="565">
        <v>6672000000</v>
      </c>
      <c r="K27" s="565">
        <v>7636000000</v>
      </c>
      <c r="L27" s="565">
        <v>9726000000</v>
      </c>
      <c r="M27" s="565">
        <v>11061000000</v>
      </c>
      <c r="N27" s="565">
        <v>17360000000</v>
      </c>
      <c r="O27" s="565">
        <v>15962000000</v>
      </c>
      <c r="P27" s="565">
        <v>16706000000</v>
      </c>
      <c r="Q27" s="565">
        <v>18096000000</v>
      </c>
      <c r="R27" s="565">
        <v>17941000000</v>
      </c>
      <c r="S27" s="565">
        <v>21032000000</v>
      </c>
      <c r="T27" s="565">
        <v>22880591000</v>
      </c>
      <c r="U27" s="565">
        <v>24129587000</v>
      </c>
      <c r="V27" s="571"/>
    </row>
    <row r="28" spans="1:23">
      <c r="A28" s="566" t="s">
        <v>79</v>
      </c>
      <c r="B28" s="566" t="s">
        <v>964</v>
      </c>
      <c r="C28" s="564" t="s">
        <v>81</v>
      </c>
      <c r="D28" s="380"/>
      <c r="E28" s="380"/>
      <c r="F28" s="567"/>
      <c r="G28" s="567"/>
      <c r="H28" s="567"/>
      <c r="I28" s="567"/>
      <c r="J28" s="565">
        <v>2817000000</v>
      </c>
      <c r="K28" s="565">
        <v>3252000000</v>
      </c>
      <c r="L28" s="565">
        <v>3525000000</v>
      </c>
      <c r="M28" s="565">
        <v>4560000000</v>
      </c>
      <c r="N28" s="565"/>
      <c r="O28" s="565"/>
      <c r="P28" s="565"/>
      <c r="Q28" s="565"/>
      <c r="R28" s="565"/>
      <c r="S28" s="565"/>
      <c r="T28" s="565"/>
      <c r="U28" s="565"/>
      <c r="V28" s="571"/>
    </row>
    <row r="29" spans="1:23">
      <c r="A29" s="566" t="s">
        <v>83</v>
      </c>
      <c r="B29" s="566" t="s">
        <v>965</v>
      </c>
      <c r="C29" s="564" t="s">
        <v>81</v>
      </c>
      <c r="D29" s="380"/>
      <c r="E29" s="380"/>
      <c r="F29" s="567"/>
      <c r="G29" s="567"/>
      <c r="H29" s="567"/>
      <c r="I29" s="567"/>
      <c r="J29" s="565">
        <v>3021000000</v>
      </c>
      <c r="K29" s="565">
        <v>3469000000</v>
      </c>
      <c r="L29" s="565">
        <v>3928000000</v>
      </c>
      <c r="M29" s="565">
        <v>4160000000</v>
      </c>
      <c r="N29" s="565"/>
      <c r="O29" s="565"/>
      <c r="P29" s="565"/>
      <c r="Q29" s="565"/>
      <c r="R29" s="565"/>
      <c r="S29" s="565"/>
      <c r="T29" s="571"/>
      <c r="U29" s="571"/>
      <c r="V29" s="571"/>
    </row>
    <row r="30" spans="1:23">
      <c r="A30" s="566" t="s">
        <v>85</v>
      </c>
      <c r="B30" s="566" t="s">
        <v>966</v>
      </c>
      <c r="C30" s="564" t="s">
        <v>81</v>
      </c>
      <c r="D30" s="380"/>
      <c r="E30" s="380"/>
      <c r="F30" s="567"/>
      <c r="G30" s="567"/>
      <c r="H30" s="567"/>
      <c r="I30" s="567"/>
      <c r="J30" s="565">
        <v>453000000</v>
      </c>
      <c r="K30" s="565">
        <v>472000000</v>
      </c>
      <c r="L30" s="565">
        <v>554000000</v>
      </c>
      <c r="M30" s="565">
        <v>607000000</v>
      </c>
      <c r="N30" s="565"/>
      <c r="O30" s="565"/>
      <c r="P30" s="565"/>
      <c r="Q30" s="565"/>
      <c r="R30" s="565"/>
      <c r="S30" s="565"/>
      <c r="T30" s="571"/>
      <c r="U30" s="571"/>
      <c r="V30" s="571"/>
    </row>
    <row r="31" spans="1:23">
      <c r="A31" s="435" t="s">
        <v>90</v>
      </c>
      <c r="B31" s="566" t="s">
        <v>91</v>
      </c>
      <c r="C31" s="564" t="s">
        <v>81</v>
      </c>
      <c r="D31" s="380"/>
      <c r="E31" s="380"/>
      <c r="F31" s="567"/>
      <c r="G31" s="567"/>
      <c r="H31" s="567"/>
      <c r="I31" s="567"/>
      <c r="J31" s="565">
        <v>382000000</v>
      </c>
      <c r="K31" s="565">
        <v>443000000</v>
      </c>
      <c r="L31" s="565">
        <v>1719000000</v>
      </c>
      <c r="M31" s="565">
        <v>1734000000</v>
      </c>
      <c r="N31" s="565"/>
      <c r="O31" s="565"/>
      <c r="P31" s="565"/>
      <c r="Q31" s="565">
        <v>2642000000</v>
      </c>
      <c r="R31" s="565">
        <v>2090000000</v>
      </c>
      <c r="S31" s="565">
        <v>2025000000</v>
      </c>
      <c r="T31" s="866">
        <f>T32+T33</f>
        <v>2109083000</v>
      </c>
      <c r="U31" s="866">
        <f>U32+U33</f>
        <v>1998715000</v>
      </c>
      <c r="V31" s="571"/>
    </row>
    <row r="32" spans="1:23">
      <c r="A32" s="435" t="s">
        <v>209</v>
      </c>
      <c r="B32" s="566" t="s">
        <v>7047</v>
      </c>
      <c r="C32" s="564" t="s">
        <v>1525</v>
      </c>
      <c r="D32" s="380"/>
      <c r="E32" s="380"/>
      <c r="F32" s="567"/>
      <c r="G32" s="567"/>
      <c r="H32" s="567"/>
      <c r="I32" s="567"/>
      <c r="J32" s="565"/>
      <c r="K32" s="565"/>
      <c r="L32" s="565"/>
      <c r="M32" s="565"/>
      <c r="N32" s="565"/>
      <c r="O32" s="565"/>
      <c r="P32" s="565"/>
      <c r="Q32" s="565"/>
      <c r="R32" s="565"/>
      <c r="S32" s="565"/>
      <c r="T32" s="866">
        <v>78000000</v>
      </c>
      <c r="U32" s="866">
        <v>161807000</v>
      </c>
      <c r="V32" s="571"/>
    </row>
    <row r="33" spans="1:22">
      <c r="A33" s="435" t="s">
        <v>280</v>
      </c>
      <c r="B33" s="566" t="s">
        <v>2933</v>
      </c>
      <c r="C33" s="564" t="s">
        <v>1525</v>
      </c>
      <c r="D33" s="380"/>
      <c r="E33" s="380"/>
      <c r="F33" s="567"/>
      <c r="G33" s="567"/>
      <c r="H33" s="567"/>
      <c r="I33" s="567"/>
      <c r="J33" s="565"/>
      <c r="K33" s="565"/>
      <c r="L33" s="565"/>
      <c r="M33" s="565"/>
      <c r="N33" s="565"/>
      <c r="O33" s="565"/>
      <c r="P33" s="565"/>
      <c r="Q33" s="565"/>
      <c r="R33" s="565"/>
      <c r="S33" s="565"/>
      <c r="T33" s="866">
        <v>2031083000</v>
      </c>
      <c r="U33" s="866">
        <v>1836908000</v>
      </c>
      <c r="V33" s="571"/>
    </row>
    <row r="34" spans="1:22">
      <c r="A34" s="435" t="s">
        <v>391</v>
      </c>
      <c r="B34" s="566" t="s">
        <v>50</v>
      </c>
      <c r="C34" s="564" t="s">
        <v>81</v>
      </c>
      <c r="D34" s="380"/>
      <c r="E34" s="380"/>
      <c r="F34" s="567"/>
      <c r="G34" s="567"/>
      <c r="H34" s="567"/>
      <c r="I34" s="567"/>
      <c r="J34" s="565"/>
      <c r="K34" s="565"/>
      <c r="L34" s="565"/>
      <c r="M34" s="565"/>
      <c r="N34" s="565"/>
      <c r="O34" s="565"/>
      <c r="P34" s="565"/>
      <c r="Q34" s="565">
        <f>Q27-Q31</f>
        <v>15454000000</v>
      </c>
      <c r="R34" s="565">
        <f>R27-R31</f>
        <v>15851000000</v>
      </c>
      <c r="S34" s="565">
        <f>S27-S31</f>
        <v>19007000000</v>
      </c>
      <c r="T34" s="565">
        <f t="shared" ref="T34:U34" si="2">T27-T31</f>
        <v>20771508000</v>
      </c>
      <c r="U34" s="565">
        <f t="shared" si="2"/>
        <v>22130872000</v>
      </c>
      <c r="V34" s="565"/>
    </row>
    <row r="35" spans="1:22">
      <c r="A35" s="380" t="s">
        <v>237</v>
      </c>
      <c r="B35" s="380" t="s">
        <v>967</v>
      </c>
      <c r="C35" s="564" t="s">
        <v>75</v>
      </c>
      <c r="D35" s="380"/>
      <c r="E35" s="380"/>
      <c r="F35" s="565">
        <v>5313000000</v>
      </c>
      <c r="G35" s="565">
        <v>5413000000</v>
      </c>
      <c r="H35" s="565">
        <v>5265000000</v>
      </c>
      <c r="I35" s="565">
        <v>6810000000</v>
      </c>
      <c r="J35" s="565">
        <v>6809000000</v>
      </c>
      <c r="K35" s="565">
        <v>8072000000</v>
      </c>
      <c r="L35" s="565">
        <v>9993000000</v>
      </c>
      <c r="M35" s="565">
        <v>9829000000</v>
      </c>
      <c r="N35" s="565">
        <v>12929000000</v>
      </c>
      <c r="O35" s="565">
        <v>14787000000</v>
      </c>
      <c r="P35" s="565">
        <v>18137000000</v>
      </c>
      <c r="Q35" s="565">
        <v>18431000000</v>
      </c>
      <c r="R35" s="565">
        <v>16668000000</v>
      </c>
      <c r="S35" s="565">
        <v>15444000000</v>
      </c>
      <c r="T35" s="866">
        <v>21807856000</v>
      </c>
      <c r="U35" s="866">
        <v>25837024000</v>
      </c>
      <c r="V35" s="571"/>
    </row>
    <row r="36" spans="1:22">
      <c r="A36" s="380" t="s">
        <v>612</v>
      </c>
      <c r="B36" s="380" t="s">
        <v>968</v>
      </c>
      <c r="C36" s="564" t="s">
        <v>75</v>
      </c>
      <c r="D36" s="380"/>
      <c r="E36" s="380"/>
      <c r="F36" s="565">
        <v>272000000</v>
      </c>
      <c r="G36" s="2736">
        <v>0</v>
      </c>
      <c r="H36" s="2736">
        <v>0</v>
      </c>
      <c r="I36" s="2736">
        <v>0</v>
      </c>
      <c r="J36" s="565">
        <v>289000000</v>
      </c>
      <c r="K36" s="565">
        <v>87000000</v>
      </c>
      <c r="L36" s="2736">
        <v>0</v>
      </c>
      <c r="M36" s="2736">
        <v>0</v>
      </c>
      <c r="N36" s="2736">
        <v>0</v>
      </c>
      <c r="O36" s="2736">
        <v>0</v>
      </c>
      <c r="P36" s="2736">
        <v>0</v>
      </c>
      <c r="Q36" s="2736">
        <v>0</v>
      </c>
      <c r="R36" s="2736">
        <v>0</v>
      </c>
      <c r="S36" s="2736">
        <v>0</v>
      </c>
      <c r="T36" s="571"/>
      <c r="U36" s="571"/>
      <c r="V36" s="571"/>
    </row>
    <row r="37" spans="1:22">
      <c r="A37" s="534" t="s">
        <v>76</v>
      </c>
      <c r="B37" s="380" t="s">
        <v>969</v>
      </c>
      <c r="C37" s="380"/>
      <c r="D37" s="380"/>
      <c r="E37" s="380"/>
      <c r="F37" s="565">
        <v>632000000</v>
      </c>
      <c r="G37" s="565">
        <v>204000000</v>
      </c>
      <c r="H37" s="565">
        <v>-94000000</v>
      </c>
      <c r="I37" s="565">
        <v>-105000000</v>
      </c>
      <c r="J37" s="565">
        <v>231000000</v>
      </c>
      <c r="K37" s="565">
        <v>2446000000</v>
      </c>
      <c r="L37" s="565">
        <v>2620000000</v>
      </c>
      <c r="M37" s="565">
        <v>2988000000</v>
      </c>
      <c r="N37" s="565">
        <v>2511000000</v>
      </c>
      <c r="O37" s="565">
        <v>1712000000</v>
      </c>
      <c r="P37" s="565">
        <v>3648000000</v>
      </c>
      <c r="Q37" s="565">
        <v>3005000000</v>
      </c>
      <c r="R37" s="565">
        <v>5303000000</v>
      </c>
      <c r="S37" s="565">
        <v>4109000000</v>
      </c>
      <c r="T37" s="571"/>
      <c r="U37" s="571"/>
      <c r="V37" s="571"/>
    </row>
    <row r="38" spans="1:22" ht="17.25">
      <c r="B38" s="424" t="s">
        <v>970</v>
      </c>
      <c r="C38" s="380"/>
      <c r="D38" s="380"/>
      <c r="E38" s="380"/>
      <c r="F38" s="565"/>
      <c r="G38" s="565"/>
      <c r="H38" s="565"/>
      <c r="I38" s="565"/>
      <c r="J38" s="565"/>
      <c r="K38" s="565"/>
      <c r="L38" s="565"/>
      <c r="M38" s="565"/>
      <c r="N38" s="565"/>
      <c r="O38" s="565"/>
      <c r="P38" s="565"/>
      <c r="Q38" s="565">
        <v>-1604000000</v>
      </c>
      <c r="R38" s="565">
        <v>6387000000</v>
      </c>
      <c r="S38" s="565">
        <v>3922000000</v>
      </c>
      <c r="T38" s="571"/>
      <c r="U38" s="571"/>
      <c r="V38" s="571"/>
    </row>
    <row r="39" spans="1:22">
      <c r="A39" s="534" t="s">
        <v>76</v>
      </c>
      <c r="B39" s="380" t="s">
        <v>971</v>
      </c>
      <c r="C39" s="380"/>
      <c r="D39" s="380"/>
      <c r="E39" s="380"/>
      <c r="F39" s="565">
        <v>-1204000000</v>
      </c>
      <c r="G39" s="565">
        <v>-2891000000</v>
      </c>
      <c r="H39" s="565">
        <v>556000000</v>
      </c>
      <c r="I39" s="565">
        <v>-2454000000</v>
      </c>
      <c r="J39" s="565">
        <v>-443000000</v>
      </c>
      <c r="K39" s="565">
        <v>288000000</v>
      </c>
      <c r="L39" s="565">
        <v>216000000</v>
      </c>
      <c r="M39" s="565">
        <v>1314000000</v>
      </c>
      <c r="N39" s="565">
        <v>1101000000</v>
      </c>
      <c r="O39" s="565">
        <v>-1671000000</v>
      </c>
      <c r="P39" s="565">
        <v>-1160000000</v>
      </c>
      <c r="Q39" s="565">
        <v>-4246000000</v>
      </c>
      <c r="R39" s="565">
        <v>4297000000</v>
      </c>
      <c r="S39" s="565">
        <v>1897000000</v>
      </c>
      <c r="T39" s="571"/>
      <c r="U39" s="571"/>
      <c r="V39" s="571"/>
    </row>
    <row r="40" spans="1:22" s="562" customFormat="1">
      <c r="A40" s="422" t="s">
        <v>115</v>
      </c>
      <c r="B40" s="422" t="s">
        <v>115</v>
      </c>
      <c r="C40" s="422" t="s">
        <v>35</v>
      </c>
      <c r="D40" s="559"/>
      <c r="E40" s="559"/>
      <c r="F40" s="560">
        <v>1204000000</v>
      </c>
      <c r="G40" s="560">
        <v>2891000000</v>
      </c>
      <c r="H40" s="560">
        <v>-556000000</v>
      </c>
      <c r="I40" s="560">
        <v>2454000000</v>
      </c>
      <c r="J40" s="560">
        <v>443000000</v>
      </c>
      <c r="K40" s="560">
        <v>-288000000</v>
      </c>
      <c r="L40" s="560">
        <v>-216000000</v>
      </c>
      <c r="M40" s="560">
        <v>-1314000000</v>
      </c>
      <c r="N40" s="560">
        <v>-1101000000</v>
      </c>
      <c r="O40" s="560">
        <v>1670000000</v>
      </c>
      <c r="P40" s="560">
        <v>1160000000</v>
      </c>
      <c r="Q40" s="560">
        <f t="shared" ref="Q40:S40" si="3">-Q39</f>
        <v>4246000000</v>
      </c>
      <c r="R40" s="560">
        <f t="shared" si="3"/>
        <v>-4297000000</v>
      </c>
      <c r="S40" s="560">
        <f t="shared" si="3"/>
        <v>-1897000000</v>
      </c>
      <c r="T40" s="560">
        <v>1563702000</v>
      </c>
      <c r="U40" s="560">
        <v>5344862000</v>
      </c>
      <c r="V40" s="560"/>
    </row>
    <row r="41" spans="1:22">
      <c r="A41" s="563" t="s">
        <v>117</v>
      </c>
      <c r="B41" s="380" t="s">
        <v>972</v>
      </c>
      <c r="C41" s="564" t="s">
        <v>119</v>
      </c>
      <c r="D41" s="380"/>
      <c r="E41" s="380"/>
      <c r="F41" s="565">
        <v>1397000000</v>
      </c>
      <c r="G41" s="565">
        <v>1537000000</v>
      </c>
      <c r="H41" s="565">
        <v>932000000</v>
      </c>
      <c r="I41" s="565">
        <v>739000000</v>
      </c>
      <c r="J41" s="565">
        <v>715000000</v>
      </c>
      <c r="K41" s="565">
        <v>530000000</v>
      </c>
      <c r="L41" s="565">
        <v>-1319000000</v>
      </c>
      <c r="M41" s="565">
        <v>-1219000000</v>
      </c>
      <c r="N41" s="565">
        <v>-416000000</v>
      </c>
      <c r="O41" s="565">
        <v>469000000</v>
      </c>
      <c r="P41" s="565">
        <v>257000000</v>
      </c>
      <c r="Q41" s="565">
        <v>668000000</v>
      </c>
      <c r="R41" s="565">
        <v>-867000000</v>
      </c>
      <c r="S41" s="565">
        <v>-1670000000</v>
      </c>
      <c r="T41" s="866"/>
      <c r="U41" s="13"/>
      <c r="V41" s="571"/>
    </row>
    <row r="42" spans="1:22">
      <c r="A42" s="566" t="s">
        <v>498</v>
      </c>
      <c r="B42" s="566" t="s">
        <v>498</v>
      </c>
      <c r="C42" s="380" t="s">
        <v>264</v>
      </c>
      <c r="D42" s="380"/>
      <c r="E42" s="380"/>
      <c r="F42" s="565">
        <v>1607000000</v>
      </c>
      <c r="G42" s="565">
        <v>1759000000</v>
      </c>
      <c r="H42" s="565">
        <v>1149000000</v>
      </c>
      <c r="I42" s="565">
        <v>1137000000</v>
      </c>
      <c r="J42" s="565">
        <v>1114000000</v>
      </c>
      <c r="K42" s="565">
        <v>1023000000</v>
      </c>
      <c r="L42" s="565">
        <v>758000000</v>
      </c>
      <c r="M42" s="565">
        <v>833000000</v>
      </c>
      <c r="N42" s="565">
        <v>2320000000</v>
      </c>
      <c r="O42" s="565">
        <v>2611000000</v>
      </c>
      <c r="P42" s="565">
        <v>2403000000</v>
      </c>
      <c r="Q42" s="565">
        <v>3571000000</v>
      </c>
      <c r="R42" s="565">
        <v>1535000000</v>
      </c>
      <c r="S42" s="565">
        <v>927000000</v>
      </c>
      <c r="T42" s="125"/>
      <c r="U42" s="125"/>
      <c r="V42" s="571"/>
    </row>
    <row r="43" spans="1:22">
      <c r="A43" s="435" t="s">
        <v>258</v>
      </c>
      <c r="B43" s="566" t="s">
        <v>258</v>
      </c>
      <c r="C43" s="380" t="s">
        <v>264</v>
      </c>
      <c r="D43" s="380"/>
      <c r="E43" s="380"/>
      <c r="F43" s="565">
        <v>-210000000</v>
      </c>
      <c r="G43" s="565">
        <v>-221000000</v>
      </c>
      <c r="H43" s="565">
        <v>-217000000</v>
      </c>
      <c r="I43" s="565">
        <v>-398000000</v>
      </c>
      <c r="J43" s="565">
        <v>-398000000</v>
      </c>
      <c r="K43" s="565">
        <v>-493000000</v>
      </c>
      <c r="L43" s="565">
        <v>-2077000000</v>
      </c>
      <c r="M43" s="565">
        <v>-2052000000</v>
      </c>
      <c r="N43" s="565">
        <v>-2736000000</v>
      </c>
      <c r="O43" s="565">
        <v>-2141000000</v>
      </c>
      <c r="P43" s="565">
        <v>-2146000000</v>
      </c>
      <c r="Q43" s="565">
        <v>-2903000000</v>
      </c>
      <c r="R43" s="565">
        <v>-2402000000</v>
      </c>
      <c r="S43" s="565">
        <v>-2596000000</v>
      </c>
      <c r="T43" s="125"/>
      <c r="U43" s="125"/>
      <c r="V43" s="571"/>
    </row>
    <row r="44" spans="1:22" ht="17.25">
      <c r="A44" s="435" t="s">
        <v>973</v>
      </c>
      <c r="B44" s="426" t="s">
        <v>974</v>
      </c>
      <c r="C44" s="380" t="s">
        <v>975</v>
      </c>
      <c r="D44" s="380"/>
      <c r="E44" s="380"/>
      <c r="F44" s="565"/>
      <c r="G44" s="565"/>
      <c r="H44" s="565"/>
      <c r="I44" s="565"/>
      <c r="J44" s="565"/>
      <c r="K44" s="565"/>
      <c r="L44" s="565"/>
      <c r="M44" s="565"/>
      <c r="N44" s="565"/>
      <c r="O44" s="565"/>
      <c r="P44" s="565"/>
      <c r="Q44" s="565">
        <v>-2201000000</v>
      </c>
      <c r="R44" s="565">
        <v>-1529000000</v>
      </c>
      <c r="S44" s="565">
        <v>-1529000000</v>
      </c>
      <c r="T44" s="125"/>
      <c r="U44" s="125"/>
      <c r="V44" s="571"/>
    </row>
    <row r="45" spans="1:22">
      <c r="A45" s="435" t="s">
        <v>976</v>
      </c>
      <c r="B45" s="566" t="s">
        <v>50</v>
      </c>
      <c r="C45" s="380" t="s">
        <v>975</v>
      </c>
      <c r="D45" s="380"/>
      <c r="E45" s="380"/>
      <c r="F45" s="565"/>
      <c r="G45" s="565"/>
      <c r="H45" s="565"/>
      <c r="I45" s="565"/>
      <c r="J45" s="565"/>
      <c r="K45" s="565"/>
      <c r="L45" s="565"/>
      <c r="M45" s="565"/>
      <c r="N45" s="565"/>
      <c r="O45" s="565"/>
      <c r="P45" s="565"/>
      <c r="Q45" s="565">
        <f>Q43-Q44</f>
        <v>-702000000</v>
      </c>
      <c r="R45" s="565">
        <f t="shared" ref="R45:S45" si="4">R43-R44</f>
        <v>-873000000</v>
      </c>
      <c r="S45" s="565">
        <f t="shared" si="4"/>
        <v>-1067000000</v>
      </c>
      <c r="T45" s="565"/>
      <c r="U45" s="565"/>
      <c r="V45" s="565"/>
    </row>
    <row r="46" spans="1:22">
      <c r="A46" s="563" t="s">
        <v>120</v>
      </c>
      <c r="B46" s="380" t="s">
        <v>977</v>
      </c>
      <c r="C46" s="564" t="s">
        <v>119</v>
      </c>
      <c r="D46" s="380"/>
      <c r="E46" s="380"/>
      <c r="F46" s="565">
        <v>-193000000</v>
      </c>
      <c r="G46" s="565">
        <v>1353000000</v>
      </c>
      <c r="H46" s="565">
        <v>-1488000000</v>
      </c>
      <c r="I46" s="565">
        <v>1714000000</v>
      </c>
      <c r="J46" s="565">
        <v>-272000000</v>
      </c>
      <c r="K46" s="565">
        <v>-818000000</v>
      </c>
      <c r="L46" s="565">
        <v>1103000000</v>
      </c>
      <c r="M46" s="565">
        <v>-95000000</v>
      </c>
      <c r="N46" s="565">
        <v>-685000000</v>
      </c>
      <c r="O46" s="565">
        <v>1201000000</v>
      </c>
      <c r="P46" s="565">
        <v>903000000</v>
      </c>
      <c r="Q46" s="565">
        <v>3578000000</v>
      </c>
      <c r="R46" s="565">
        <v>-3430000000</v>
      </c>
      <c r="S46" s="565">
        <v>-227000000</v>
      </c>
      <c r="T46" s="13"/>
      <c r="U46" s="125"/>
      <c r="V46" s="571"/>
    </row>
    <row r="48" spans="1:22">
      <c r="F48" s="534" t="s">
        <v>139</v>
      </c>
      <c r="G48" s="534" t="s">
        <v>139</v>
      </c>
      <c r="H48" s="534" t="s">
        <v>139</v>
      </c>
      <c r="I48" s="534" t="s">
        <v>139</v>
      </c>
      <c r="J48" s="534" t="s">
        <v>139</v>
      </c>
      <c r="K48" s="534" t="s">
        <v>139</v>
      </c>
      <c r="L48" s="534" t="s">
        <v>139</v>
      </c>
      <c r="M48" s="534" t="s">
        <v>139</v>
      </c>
      <c r="N48" s="534" t="s">
        <v>139</v>
      </c>
      <c r="O48" s="534" t="s">
        <v>139</v>
      </c>
      <c r="P48" s="534" t="s">
        <v>139</v>
      </c>
      <c r="Q48" s="534" t="s">
        <v>139</v>
      </c>
      <c r="R48" s="534" t="s">
        <v>139</v>
      </c>
      <c r="S48" s="534" t="s">
        <v>139</v>
      </c>
      <c r="T48" s="534" t="s">
        <v>139</v>
      </c>
      <c r="U48" s="534" t="s">
        <v>139</v>
      </c>
      <c r="V48" s="534" t="s">
        <v>139</v>
      </c>
    </row>
    <row r="50" spans="2:22">
      <c r="B50" s="534" t="s">
        <v>284</v>
      </c>
      <c r="F50" s="571">
        <f>F6-F7-F23</f>
        <v>0</v>
      </c>
      <c r="G50" s="571">
        <f t="shared" ref="G50:S50" si="5">G6-G7-G23</f>
        <v>0</v>
      </c>
      <c r="H50" s="571">
        <f t="shared" si="5"/>
        <v>0</v>
      </c>
      <c r="I50" s="571">
        <f t="shared" si="5"/>
        <v>0</v>
      </c>
      <c r="J50" s="571">
        <f t="shared" si="5"/>
        <v>0</v>
      </c>
      <c r="K50" s="571">
        <f t="shared" si="5"/>
        <v>0</v>
      </c>
      <c r="L50" s="571">
        <f t="shared" si="5"/>
        <v>1000000</v>
      </c>
      <c r="M50" s="571">
        <f t="shared" si="5"/>
        <v>0</v>
      </c>
      <c r="N50" s="571">
        <f t="shared" si="5"/>
        <v>0</v>
      </c>
      <c r="O50" s="571">
        <f t="shared" si="5"/>
        <v>0</v>
      </c>
      <c r="P50" s="571">
        <f t="shared" si="5"/>
        <v>0</v>
      </c>
      <c r="Q50" s="571">
        <f>Q6-Q7-Q23</f>
        <v>0</v>
      </c>
      <c r="R50" s="571">
        <f t="shared" si="5"/>
        <v>0</v>
      </c>
      <c r="S50" s="571">
        <f t="shared" si="5"/>
        <v>0</v>
      </c>
      <c r="T50" s="571">
        <f>T6-T7-T23</f>
        <v>0</v>
      </c>
      <c r="U50" s="571">
        <f>U6-U7-U23</f>
        <v>0</v>
      </c>
      <c r="V50" s="571">
        <f>V6-V7-V23</f>
        <v>0</v>
      </c>
    </row>
    <row r="51" spans="2:22">
      <c r="B51" s="534" t="s">
        <v>141</v>
      </c>
      <c r="D51" s="572"/>
      <c r="E51" s="572"/>
      <c r="F51" s="572">
        <f>F7-F8-F16</f>
        <v>0</v>
      </c>
      <c r="G51" s="572">
        <f t="shared" ref="G51:S51" si="6">G7-G8-G16</f>
        <v>0</v>
      </c>
      <c r="H51" s="572">
        <f t="shared" si="6"/>
        <v>-1000000</v>
      </c>
      <c r="I51" s="572">
        <f t="shared" si="6"/>
        <v>0</v>
      </c>
      <c r="J51" s="572">
        <f t="shared" si="6"/>
        <v>0</v>
      </c>
      <c r="K51" s="572">
        <f t="shared" si="6"/>
        <v>0</v>
      </c>
      <c r="L51" s="572">
        <f t="shared" si="6"/>
        <v>-1000000</v>
      </c>
      <c r="M51" s="572">
        <f t="shared" si="6"/>
        <v>0</v>
      </c>
      <c r="N51" s="572">
        <f t="shared" si="6"/>
        <v>0</v>
      </c>
      <c r="O51" s="572">
        <f t="shared" si="6"/>
        <v>0</v>
      </c>
      <c r="P51" s="572">
        <f t="shared" si="6"/>
        <v>0</v>
      </c>
      <c r="Q51" s="572">
        <f t="shared" si="6"/>
        <v>0</v>
      </c>
      <c r="R51" s="572">
        <f t="shared" si="6"/>
        <v>0</v>
      </c>
      <c r="S51" s="572">
        <f t="shared" si="6"/>
        <v>0</v>
      </c>
      <c r="T51" s="572">
        <f>T7-T8-T16</f>
        <v>0</v>
      </c>
      <c r="U51" s="572">
        <f>U7-U8-U16</f>
        <v>0</v>
      </c>
      <c r="V51" s="572">
        <f>V7-V8-V16</f>
        <v>0</v>
      </c>
    </row>
    <row r="52" spans="2:22">
      <c r="B52" s="534" t="s">
        <v>142</v>
      </c>
      <c r="D52" s="572"/>
      <c r="E52" s="572"/>
      <c r="F52" s="573">
        <f>F8-F9-F10-F11-F12</f>
        <v>2415000000</v>
      </c>
      <c r="G52" s="573">
        <f t="shared" ref="G52:S52" si="7">G8-G9-G10-G11-G12</f>
        <v>2728000000</v>
      </c>
      <c r="H52" s="573">
        <f t="shared" si="7"/>
        <v>2467000000</v>
      </c>
      <c r="I52" s="573">
        <f t="shared" si="7"/>
        <v>3069000000</v>
      </c>
      <c r="J52" s="572">
        <f t="shared" si="7"/>
        <v>0</v>
      </c>
      <c r="K52" s="572">
        <f t="shared" si="7"/>
        <v>-1000000</v>
      </c>
      <c r="L52" s="573">
        <f t="shared" si="7"/>
        <v>4666000000</v>
      </c>
      <c r="M52" s="573">
        <f t="shared" si="7"/>
        <v>5725000000</v>
      </c>
      <c r="N52" s="573">
        <f t="shared" si="7"/>
        <v>8975000000</v>
      </c>
      <c r="O52" s="573">
        <f t="shared" si="7"/>
        <v>10882000000</v>
      </c>
      <c r="P52" s="573">
        <f t="shared" si="7"/>
        <v>14677000000</v>
      </c>
      <c r="Q52" s="573">
        <f t="shared" si="7"/>
        <v>15403000000</v>
      </c>
      <c r="R52" s="573">
        <f t="shared" si="7"/>
        <v>16183000000</v>
      </c>
      <c r="S52" s="573">
        <f t="shared" si="7"/>
        <v>18387000000</v>
      </c>
      <c r="T52" s="573">
        <f>T8-T9-T10-T11-T12</f>
        <v>19884627000</v>
      </c>
      <c r="U52" s="573">
        <f>U8-U9-U10-U11-U12</f>
        <v>21564464000</v>
      </c>
      <c r="V52" s="573">
        <f>V8-V9-V10-V11-V12</f>
        <v>0</v>
      </c>
    </row>
    <row r="53" spans="2:22">
      <c r="B53" s="534" t="s">
        <v>360</v>
      </c>
      <c r="F53" s="574">
        <f>F16-F17-F18-F19-F20</f>
        <v>2685000000</v>
      </c>
      <c r="G53" s="574">
        <f t="shared" ref="G53:S53" si="8">G16-G17-G18-G19-G20</f>
        <v>2057000000</v>
      </c>
      <c r="H53" s="574">
        <f t="shared" si="8"/>
        <v>2589000000</v>
      </c>
      <c r="I53" s="574">
        <f t="shared" si="8"/>
        <v>2997000000</v>
      </c>
      <c r="J53" s="575">
        <f t="shared" si="8"/>
        <v>1000000</v>
      </c>
      <c r="K53" s="575">
        <f t="shared" si="8"/>
        <v>0</v>
      </c>
      <c r="L53" s="574">
        <f t="shared" si="8"/>
        <v>7681000000</v>
      </c>
      <c r="M53" s="574">
        <f t="shared" si="8"/>
        <v>8324000000</v>
      </c>
      <c r="N53" s="574">
        <f t="shared" si="8"/>
        <v>10896000000</v>
      </c>
      <c r="O53" s="574">
        <f t="shared" si="8"/>
        <v>6792000000</v>
      </c>
      <c r="P53" s="574">
        <f t="shared" si="8"/>
        <v>5677000000</v>
      </c>
      <c r="Q53" s="574">
        <f t="shared" si="8"/>
        <v>5699000000</v>
      </c>
      <c r="R53" s="574">
        <f t="shared" si="8"/>
        <v>7062000000</v>
      </c>
      <c r="S53" s="574">
        <f t="shared" si="8"/>
        <v>6754000000</v>
      </c>
      <c r="T53" s="574">
        <f>T16-T17-T18-T19-T20</f>
        <v>8149186000</v>
      </c>
      <c r="U53" s="574">
        <f>U16-U17-U18-U19-U20</f>
        <v>8149135000</v>
      </c>
      <c r="V53" s="574">
        <f>V16-V17-V18-V19-V20</f>
        <v>0</v>
      </c>
    </row>
    <row r="54" spans="2:22">
      <c r="B54" s="534" t="s">
        <v>143</v>
      </c>
      <c r="F54" s="571">
        <f>F23-F24-F25</f>
        <v>0</v>
      </c>
      <c r="G54" s="571">
        <f t="shared" ref="G54:S54" si="9">G23-G24-G25</f>
        <v>0</v>
      </c>
      <c r="H54" s="571">
        <f t="shared" si="9"/>
        <v>0</v>
      </c>
      <c r="I54" s="571">
        <f t="shared" si="9"/>
        <v>0</v>
      </c>
      <c r="J54" s="571">
        <f t="shared" si="9"/>
        <v>0</v>
      </c>
      <c r="K54" s="571">
        <f t="shared" si="9"/>
        <v>0</v>
      </c>
      <c r="L54" s="571">
        <f t="shared" si="9"/>
        <v>0</v>
      </c>
      <c r="M54" s="571">
        <f t="shared" si="9"/>
        <v>0</v>
      </c>
      <c r="N54" s="571">
        <f t="shared" si="9"/>
        <v>0</v>
      </c>
      <c r="O54" s="571">
        <f t="shared" si="9"/>
        <v>0</v>
      </c>
      <c r="P54" s="571">
        <f t="shared" si="9"/>
        <v>1000000</v>
      </c>
      <c r="Q54" s="571">
        <f t="shared" si="9"/>
        <v>1000000</v>
      </c>
      <c r="R54" s="571">
        <f t="shared" si="9"/>
        <v>0</v>
      </c>
      <c r="S54" s="571">
        <f t="shared" si="9"/>
        <v>0</v>
      </c>
      <c r="T54" s="571">
        <f>T23-T24-T25</f>
        <v>0</v>
      </c>
      <c r="U54" s="571">
        <f>U23-U24-U25</f>
        <v>0</v>
      </c>
      <c r="V54" s="571">
        <f>V23-V24-V25</f>
        <v>0</v>
      </c>
    </row>
    <row r="55" spans="2:22">
      <c r="B55" s="534" t="s">
        <v>145</v>
      </c>
      <c r="F55" s="571">
        <f t="shared" ref="F55:V55" si="10">F26-F27-F35-F36</f>
        <v>0</v>
      </c>
      <c r="G55" s="571">
        <f t="shared" si="10"/>
        <v>0</v>
      </c>
      <c r="H55" s="571">
        <f t="shared" si="10"/>
        <v>0</v>
      </c>
      <c r="I55" s="571">
        <f t="shared" si="10"/>
        <v>0</v>
      </c>
      <c r="J55" s="571">
        <f t="shared" si="10"/>
        <v>0</v>
      </c>
      <c r="K55" s="571">
        <f t="shared" si="10"/>
        <v>0</v>
      </c>
      <c r="L55" s="571">
        <f t="shared" si="10"/>
        <v>0</v>
      </c>
      <c r="M55" s="571">
        <f t="shared" si="10"/>
        <v>0</v>
      </c>
      <c r="N55" s="571">
        <f t="shared" si="10"/>
        <v>0</v>
      </c>
      <c r="O55" s="571">
        <f t="shared" si="10"/>
        <v>0</v>
      </c>
      <c r="P55" s="571">
        <f t="shared" si="10"/>
        <v>0</v>
      </c>
      <c r="Q55" s="571">
        <f>Q26-Q27-Q35-Q36</f>
        <v>0</v>
      </c>
      <c r="R55" s="571">
        <f t="shared" si="10"/>
        <v>0</v>
      </c>
      <c r="S55" s="571">
        <f t="shared" si="10"/>
        <v>0</v>
      </c>
      <c r="T55" s="571">
        <f t="shared" si="10"/>
        <v>0</v>
      </c>
      <c r="U55" s="571">
        <f t="shared" si="10"/>
        <v>0</v>
      </c>
      <c r="V55" s="571">
        <f t="shared" si="10"/>
        <v>0</v>
      </c>
    </row>
    <row r="56" spans="2:22">
      <c r="B56" s="534" t="s">
        <v>361</v>
      </c>
      <c r="F56" s="576">
        <f>F27-F28-F29-F30-F31</f>
        <v>4468000000</v>
      </c>
      <c r="G56" s="576">
        <f t="shared" ref="G56:P56" si="11">G27-G28-G29-G30-G31</f>
        <v>4581000000</v>
      </c>
      <c r="H56" s="576">
        <f t="shared" si="11"/>
        <v>5149000000</v>
      </c>
      <c r="I56" s="576">
        <f t="shared" si="11"/>
        <v>6171000000</v>
      </c>
      <c r="J56" s="571">
        <f t="shared" si="11"/>
        <v>-1000000</v>
      </c>
      <c r="K56" s="571">
        <f t="shared" si="11"/>
        <v>0</v>
      </c>
      <c r="L56" s="571">
        <f t="shared" si="11"/>
        <v>0</v>
      </c>
      <c r="M56" s="571">
        <f t="shared" si="11"/>
        <v>0</v>
      </c>
      <c r="N56" s="576">
        <f t="shared" si="11"/>
        <v>17360000000</v>
      </c>
      <c r="O56" s="576">
        <f t="shared" si="11"/>
        <v>15962000000</v>
      </c>
      <c r="P56" s="576">
        <f t="shared" si="11"/>
        <v>16706000000</v>
      </c>
      <c r="Q56" s="571">
        <f>Q27-Q28-Q29-Q30-Q31-Q34</f>
        <v>0</v>
      </c>
      <c r="R56" s="571">
        <f t="shared" ref="R56:V56" si="12">R27-R28-R29-R30-R31-R34</f>
        <v>0</v>
      </c>
      <c r="S56" s="571">
        <f t="shared" si="12"/>
        <v>0</v>
      </c>
      <c r="T56" s="571">
        <f t="shared" si="12"/>
        <v>0</v>
      </c>
      <c r="U56" s="571">
        <f t="shared" si="12"/>
        <v>0</v>
      </c>
      <c r="V56" s="571">
        <f t="shared" si="12"/>
        <v>0</v>
      </c>
    </row>
    <row r="57" spans="2:22">
      <c r="B57" s="534" t="s">
        <v>148</v>
      </c>
      <c r="F57" s="571">
        <f>F40-F41-F46</f>
        <v>0</v>
      </c>
      <c r="G57" s="571">
        <f t="shared" ref="G57:S57" si="13">G40-G41-G46</f>
        <v>1000000</v>
      </c>
      <c r="H57" s="571">
        <f t="shared" si="13"/>
        <v>0</v>
      </c>
      <c r="I57" s="571">
        <f t="shared" si="13"/>
        <v>1000000</v>
      </c>
      <c r="J57" s="571">
        <f t="shared" si="13"/>
        <v>0</v>
      </c>
      <c r="K57" s="571">
        <f t="shared" si="13"/>
        <v>0</v>
      </c>
      <c r="L57" s="571">
        <f t="shared" si="13"/>
        <v>0</v>
      </c>
      <c r="M57" s="571">
        <f t="shared" si="13"/>
        <v>0</v>
      </c>
      <c r="N57" s="571">
        <f t="shared" si="13"/>
        <v>0</v>
      </c>
      <c r="O57" s="571">
        <f t="shared" si="13"/>
        <v>0</v>
      </c>
      <c r="P57" s="571">
        <f t="shared" si="13"/>
        <v>0</v>
      </c>
      <c r="Q57" s="571">
        <f t="shared" si="13"/>
        <v>0</v>
      </c>
      <c r="R57" s="571">
        <f t="shared" si="13"/>
        <v>0</v>
      </c>
      <c r="S57" s="571">
        <f t="shared" si="13"/>
        <v>0</v>
      </c>
      <c r="T57" s="571">
        <f>T40-T41-T46</f>
        <v>1563702000</v>
      </c>
      <c r="U57" s="571">
        <f>U40-U41-U46</f>
        <v>5344862000</v>
      </c>
      <c r="V57" s="571">
        <f>V40-V41-V46</f>
        <v>0</v>
      </c>
    </row>
    <row r="58" spans="2:22">
      <c r="B58" s="534" t="s">
        <v>978</v>
      </c>
      <c r="F58" s="571">
        <f>F41-F42-F43</f>
        <v>0</v>
      </c>
      <c r="G58" s="571">
        <f t="shared" ref="G58:V58" si="14">G41-G42-G43</f>
        <v>-1000000</v>
      </c>
      <c r="H58" s="571">
        <f t="shared" si="14"/>
        <v>0</v>
      </c>
      <c r="I58" s="571">
        <f t="shared" si="14"/>
        <v>0</v>
      </c>
      <c r="J58" s="571">
        <f t="shared" si="14"/>
        <v>-1000000</v>
      </c>
      <c r="K58" s="571">
        <f t="shared" si="14"/>
        <v>0</v>
      </c>
      <c r="L58" s="571">
        <f t="shared" si="14"/>
        <v>0</v>
      </c>
      <c r="M58" s="571">
        <f t="shared" si="14"/>
        <v>0</v>
      </c>
      <c r="N58" s="571">
        <f t="shared" si="14"/>
        <v>0</v>
      </c>
      <c r="O58" s="571">
        <f t="shared" si="14"/>
        <v>-1000000</v>
      </c>
      <c r="P58" s="571">
        <f t="shared" si="14"/>
        <v>0</v>
      </c>
      <c r="Q58" s="571">
        <f t="shared" si="14"/>
        <v>0</v>
      </c>
      <c r="R58" s="571">
        <f t="shared" si="14"/>
        <v>0</v>
      </c>
      <c r="S58" s="571">
        <f t="shared" si="14"/>
        <v>-1000000</v>
      </c>
      <c r="T58" s="571">
        <f t="shared" si="14"/>
        <v>0</v>
      </c>
      <c r="U58" s="571">
        <f t="shared" si="14"/>
        <v>0</v>
      </c>
      <c r="V58" s="571">
        <f t="shared" si="14"/>
        <v>0</v>
      </c>
    </row>
    <row r="60" spans="2:22">
      <c r="F60" s="571"/>
    </row>
    <row r="61" spans="2:22">
      <c r="B61" s="534" t="s">
        <v>150</v>
      </c>
      <c r="F61" s="534">
        <v>24293000000</v>
      </c>
      <c r="G61" s="534">
        <v>27540000000</v>
      </c>
      <c r="H61" s="534">
        <v>30410000000</v>
      </c>
      <c r="I61" s="534">
        <v>33979000000</v>
      </c>
      <c r="J61" s="534">
        <v>38393000000</v>
      </c>
      <c r="K61" s="534">
        <v>45068000000</v>
      </c>
      <c r="L61" s="534">
        <v>52102000000</v>
      </c>
      <c r="M61" s="534">
        <v>58000000000</v>
      </c>
      <c r="N61" s="534">
        <v>66869000000</v>
      </c>
      <c r="O61" s="534">
        <v>79196000000</v>
      </c>
      <c r="P61" s="534">
        <v>92684000000</v>
      </c>
      <c r="Q61" s="571">
        <v>106135000000</v>
      </c>
      <c r="R61" s="571">
        <v>122011000000</v>
      </c>
      <c r="S61" s="571">
        <v>141198000000</v>
      </c>
      <c r="T61" s="571">
        <v>163170000000</v>
      </c>
      <c r="U61" s="571">
        <v>188028000000</v>
      </c>
      <c r="V61" s="571">
        <v>221338000000</v>
      </c>
    </row>
    <row r="62" spans="2:22">
      <c r="B62" s="534" t="s">
        <v>151</v>
      </c>
      <c r="F62" s="534">
        <f t="shared" ref="F62:V62" si="15">(F6/F61)*100</f>
        <v>36.426130984234142</v>
      </c>
      <c r="G62" s="534">
        <f t="shared" si="15"/>
        <v>25.61365286855483</v>
      </c>
      <c r="H62" s="534">
        <f t="shared" si="15"/>
        <v>34.268332785268001</v>
      </c>
      <c r="I62" s="534">
        <f t="shared" si="15"/>
        <v>30.721916477824539</v>
      </c>
      <c r="J62" s="534">
        <f t="shared" si="15"/>
        <v>34.714661526840828</v>
      </c>
      <c r="K62" s="534">
        <f t="shared" si="15"/>
        <v>35.686074376497743</v>
      </c>
      <c r="L62" s="534">
        <f t="shared" si="15"/>
        <v>35.088864151088252</v>
      </c>
      <c r="M62" s="534">
        <f t="shared" si="15"/>
        <v>35.558620689655172</v>
      </c>
      <c r="N62" s="534">
        <f t="shared" si="15"/>
        <v>46.344344913188472</v>
      </c>
      <c r="O62" s="534">
        <f t="shared" si="15"/>
        <v>35.5725036618011</v>
      </c>
      <c r="P62" s="534">
        <f t="shared" si="15"/>
        <v>35.449484269129513</v>
      </c>
      <c r="Q62" s="534">
        <f t="shared" si="15"/>
        <v>28.892448296980263</v>
      </c>
      <c r="R62" s="534">
        <f t="shared" si="15"/>
        <v>30.719361369056884</v>
      </c>
      <c r="S62" s="534">
        <f t="shared" si="15"/>
        <v>24.855876145554472</v>
      </c>
      <c r="T62" s="534">
        <f t="shared" si="15"/>
        <v>26.305953300239015</v>
      </c>
      <c r="U62" s="534">
        <f t="shared" si="15"/>
        <v>22.709570914970111</v>
      </c>
      <c r="V62" s="534">
        <f t="shared" si="15"/>
        <v>0</v>
      </c>
    </row>
    <row r="63" spans="2:22">
      <c r="B63" s="534" t="s">
        <v>152</v>
      </c>
      <c r="F63" s="534">
        <f t="shared" ref="F63:V63" si="16">(F26/F61)*100</f>
        <v>41.382291194994444</v>
      </c>
      <c r="G63" s="534">
        <f t="shared" si="16"/>
        <v>36.289034132171388</v>
      </c>
      <c r="H63" s="534">
        <f t="shared" si="16"/>
        <v>34.245314041433737</v>
      </c>
      <c r="I63" s="534">
        <f t="shared" si="16"/>
        <v>38.203007740074753</v>
      </c>
      <c r="J63" s="534">
        <f t="shared" si="16"/>
        <v>35.865913057067694</v>
      </c>
      <c r="K63" s="534">
        <f t="shared" si="16"/>
        <v>35.047040028401526</v>
      </c>
      <c r="L63" s="534">
        <f t="shared" si="16"/>
        <v>37.846915665425513</v>
      </c>
      <c r="M63" s="534">
        <f t="shared" si="16"/>
        <v>36.017241379310342</v>
      </c>
      <c r="N63" s="534">
        <f t="shared" si="16"/>
        <v>45.296026559392246</v>
      </c>
      <c r="O63" s="534">
        <f t="shared" si="16"/>
        <v>38.826455881610187</v>
      </c>
      <c r="P63" s="534">
        <f t="shared" si="16"/>
        <v>37.593327866729965</v>
      </c>
      <c r="Q63" s="534">
        <f t="shared" si="16"/>
        <v>34.415602770056999</v>
      </c>
      <c r="R63" s="534">
        <f t="shared" si="16"/>
        <v>28.365475244035377</v>
      </c>
      <c r="S63" s="534">
        <f t="shared" si="16"/>
        <v>25.833227099533989</v>
      </c>
      <c r="T63" s="534">
        <f t="shared" si="16"/>
        <v>27.387661334804193</v>
      </c>
      <c r="U63" s="534">
        <f t="shared" si="16"/>
        <v>26.574026740698191</v>
      </c>
      <c r="V63" s="534">
        <f t="shared" si="16"/>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F12" activePane="bottomRight" state="frozen"/>
      <selection pane="topRight" activeCell="R7" sqref="R7"/>
      <selection pane="bottomLeft" activeCell="R7" sqref="R7"/>
      <selection pane="bottomRight" activeCell="N19" sqref="N19"/>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979</v>
      </c>
      <c r="B1" s="82" t="s">
        <v>980</v>
      </c>
      <c r="C1" s="82"/>
      <c r="D1" s="27"/>
      <c r="E1" s="776"/>
      <c r="F1" s="27"/>
      <c r="G1" s="27"/>
      <c r="H1" s="27"/>
      <c r="I1" s="27"/>
      <c r="J1" s="27"/>
      <c r="K1" s="27"/>
      <c r="L1" s="27"/>
      <c r="M1" s="776"/>
      <c r="N1" s="27"/>
      <c r="O1" s="28"/>
      <c r="P1" s="28"/>
      <c r="Q1" s="28"/>
      <c r="R1" s="29"/>
      <c r="S1" s="28"/>
      <c r="T1" s="298"/>
      <c r="U1" s="28"/>
      <c r="V1" s="28"/>
      <c r="W1" s="28"/>
      <c r="X1" s="2"/>
    </row>
    <row r="2" spans="1:26">
      <c r="B2" s="30" t="s">
        <v>981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0">
        <f t="shared" ref="E6:S6" si="0">E7+E18</f>
        <v>13793000000</v>
      </c>
      <c r="F6" s="300">
        <f t="shared" si="0"/>
        <v>14377000000</v>
      </c>
      <c r="G6" s="300">
        <f t="shared" si="0"/>
        <v>15113000000</v>
      </c>
      <c r="H6" s="300">
        <f t="shared" si="0"/>
        <v>18973000000</v>
      </c>
      <c r="I6" s="300">
        <f t="shared" si="0"/>
        <v>24302000000</v>
      </c>
      <c r="J6" s="300">
        <f t="shared" si="0"/>
        <v>31473200000</v>
      </c>
      <c r="K6" s="300">
        <f t="shared" si="0"/>
        <v>35445000000</v>
      </c>
      <c r="L6" s="300">
        <f t="shared" si="0"/>
        <v>46829272000</v>
      </c>
      <c r="M6" s="300">
        <f t="shared" si="0"/>
        <v>43568600000</v>
      </c>
      <c r="N6" s="300">
        <f t="shared" si="0"/>
        <v>45920700000</v>
      </c>
      <c r="O6" s="300">
        <f t="shared" si="0"/>
        <v>60164400000</v>
      </c>
      <c r="P6" s="887">
        <f t="shared" si="0"/>
        <v>70574400000</v>
      </c>
      <c r="Q6" s="887">
        <f t="shared" si="0"/>
        <v>82641000000</v>
      </c>
      <c r="R6" s="887">
        <f t="shared" si="0"/>
        <v>90972000000</v>
      </c>
      <c r="S6" s="887">
        <f t="shared" si="0"/>
        <v>86184000000</v>
      </c>
      <c r="T6" s="887">
        <f t="shared" ref="T6:Z6" si="1">T7+T18</f>
        <v>77555200000</v>
      </c>
      <c r="U6" s="887">
        <f t="shared" si="1"/>
        <v>80486300000</v>
      </c>
      <c r="V6" s="887">
        <f>V7+V18</f>
        <v>87513600000</v>
      </c>
      <c r="W6" s="887">
        <f t="shared" si="1"/>
        <v>94647300000</v>
      </c>
      <c r="X6" s="887">
        <f t="shared" si="1"/>
        <v>101984300000</v>
      </c>
      <c r="Y6" s="887">
        <f t="shared" si="1"/>
        <v>109494000000</v>
      </c>
      <c r="Z6" s="887">
        <f t="shared" si="1"/>
        <v>117907000000</v>
      </c>
    </row>
    <row r="7" spans="1:26">
      <c r="A7" t="s">
        <v>36</v>
      </c>
      <c r="B7" s="891" t="s">
        <v>982</v>
      </c>
      <c r="C7" s="11" t="s">
        <v>38</v>
      </c>
      <c r="E7" s="300">
        <f t="shared" ref="E7:R7" si="2">E9+E19</f>
        <v>12492000000</v>
      </c>
      <c r="F7" s="300">
        <f t="shared" si="2"/>
        <v>13098000000</v>
      </c>
      <c r="G7" s="300">
        <f t="shared" si="2"/>
        <v>13316000000</v>
      </c>
      <c r="H7" s="300">
        <f t="shared" si="2"/>
        <v>17229000000</v>
      </c>
      <c r="I7" s="300">
        <f t="shared" si="2"/>
        <v>22651000000</v>
      </c>
      <c r="J7" s="300">
        <f t="shared" si="2"/>
        <v>29781200000</v>
      </c>
      <c r="K7" s="300">
        <f t="shared" si="2"/>
        <v>33750000000</v>
      </c>
      <c r="L7" s="300">
        <f t="shared" si="2"/>
        <v>45380944000</v>
      </c>
      <c r="M7" s="300">
        <f t="shared" si="2"/>
        <v>42108200000</v>
      </c>
      <c r="N7" s="300">
        <f t="shared" si="2"/>
        <v>44403800000</v>
      </c>
      <c r="O7" s="300">
        <f t="shared" si="2"/>
        <v>58834800000</v>
      </c>
      <c r="P7" s="887">
        <f t="shared" si="2"/>
        <v>69264000000</v>
      </c>
      <c r="Q7" s="887">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983</v>
      </c>
      <c r="C8" s="58"/>
      <c r="D8" s="28"/>
      <c r="E8" s="210">
        <v>12142000000</v>
      </c>
      <c r="F8" s="210">
        <v>12592000000</v>
      </c>
      <c r="G8" s="210">
        <v>13100000000</v>
      </c>
      <c r="H8" s="210">
        <v>16646000000</v>
      </c>
      <c r="I8" s="210">
        <v>21836000000</v>
      </c>
      <c r="J8" s="210">
        <v>28381000000</v>
      </c>
      <c r="K8" s="210">
        <v>32052000000</v>
      </c>
      <c r="L8" s="273">
        <f t="shared" ref="L8:Q8" si="4">L9+L19</f>
        <v>45380944000</v>
      </c>
      <c r="M8" s="273">
        <f t="shared" si="4"/>
        <v>42108200000</v>
      </c>
      <c r="N8" s="273">
        <f t="shared" si="4"/>
        <v>44403800000</v>
      </c>
      <c r="O8" s="273">
        <f t="shared" si="4"/>
        <v>58834800000</v>
      </c>
      <c r="P8" s="273">
        <f t="shared" si="4"/>
        <v>69264000000</v>
      </c>
      <c r="Q8" s="273">
        <f t="shared" si="4"/>
        <v>82005300000</v>
      </c>
      <c r="R8" s="273"/>
      <c r="S8" s="273"/>
      <c r="T8" s="273"/>
      <c r="U8" s="273"/>
      <c r="V8" s="273"/>
      <c r="W8" s="273"/>
      <c r="X8" s="273"/>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3">
        <v>34397790000</v>
      </c>
      <c r="M9" s="273">
        <v>32737299999.999996</v>
      </c>
      <c r="N9" s="273">
        <v>36267700000</v>
      </c>
      <c r="O9" s="580">
        <f>O12+O13+O15</f>
        <v>48198000000</v>
      </c>
      <c r="P9" s="580">
        <f>P12+P13+P15</f>
        <v>59342400000</v>
      </c>
      <c r="Q9" s="580">
        <v>71410300000</v>
      </c>
      <c r="R9" s="580">
        <v>76836000000</v>
      </c>
      <c r="S9" s="580">
        <v>71364000000</v>
      </c>
      <c r="T9" s="298">
        <v>61203200000</v>
      </c>
      <c r="U9" s="298">
        <v>65252300000</v>
      </c>
      <c r="V9" s="298">
        <v>70726400000</v>
      </c>
      <c r="W9" s="298">
        <v>76251900000</v>
      </c>
      <c r="X9" s="389">
        <v>82162900000</v>
      </c>
      <c r="Y9" s="21">
        <v>88011000000</v>
      </c>
      <c r="Z9" s="21">
        <v>94250500000</v>
      </c>
    </row>
    <row r="10" spans="1:26">
      <c r="B10" s="64" t="s">
        <v>984</v>
      </c>
      <c r="C10" s="58"/>
      <c r="D10" s="28"/>
      <c r="E10" s="210">
        <v>2719000000</v>
      </c>
      <c r="F10" s="210">
        <v>2610000000</v>
      </c>
      <c r="G10" s="210">
        <v>2831000000</v>
      </c>
      <c r="H10" s="210"/>
      <c r="I10" s="210"/>
      <c r="J10" s="210"/>
      <c r="K10" s="210"/>
      <c r="L10" s="273"/>
      <c r="M10" s="273"/>
      <c r="N10" s="273"/>
      <c r="O10" s="273"/>
      <c r="P10" s="273"/>
      <c r="Q10" s="273"/>
      <c r="R10" s="273"/>
      <c r="S10" s="273"/>
      <c r="T10" s="298"/>
      <c r="U10" s="298"/>
      <c r="V10" s="298"/>
      <c r="W10" s="298"/>
      <c r="X10" s="389"/>
      <c r="Y10" s="21"/>
      <c r="Z10" s="21"/>
    </row>
    <row r="11" spans="1:26">
      <c r="A11" s="64" t="s">
        <v>985</v>
      </c>
      <c r="B11" s="64" t="s">
        <v>986</v>
      </c>
      <c r="C11" s="27" t="s">
        <v>552</v>
      </c>
      <c r="D11" s="28"/>
      <c r="E11" s="210">
        <f>E10-E12</f>
        <v>1305000000</v>
      </c>
      <c r="F11" s="210">
        <f>F10-F12</f>
        <v>1310000000</v>
      </c>
      <c r="G11" s="210">
        <f>G10-G12</f>
        <v>1068000000</v>
      </c>
      <c r="H11" s="210"/>
      <c r="I11" s="210"/>
      <c r="J11" s="210"/>
      <c r="K11" s="210"/>
      <c r="L11" s="273"/>
      <c r="M11" s="273"/>
      <c r="N11" s="273"/>
      <c r="O11" s="273"/>
      <c r="P11" s="273"/>
      <c r="Q11" s="273"/>
      <c r="R11" s="273"/>
      <c r="S11" s="273"/>
      <c r="T11" s="298"/>
      <c r="U11" s="298"/>
      <c r="V11" s="298"/>
      <c r="W11" s="298"/>
      <c r="X11" s="389"/>
      <c r="Y11" s="21"/>
      <c r="Z11" s="21"/>
    </row>
    <row r="12" spans="1:26">
      <c r="A12" s="65" t="s">
        <v>987</v>
      </c>
      <c r="B12" s="65" t="s">
        <v>988</v>
      </c>
      <c r="C12" s="27" t="s">
        <v>552</v>
      </c>
      <c r="D12" s="28"/>
      <c r="E12" s="210">
        <v>1414000000</v>
      </c>
      <c r="F12" s="210">
        <v>1300000000</v>
      </c>
      <c r="G12" s="210">
        <v>1763000000</v>
      </c>
      <c r="H12" s="210">
        <v>2333000000</v>
      </c>
      <c r="I12" s="210">
        <v>5019000000</v>
      </c>
      <c r="J12" s="210">
        <v>8645000000</v>
      </c>
      <c r="K12" s="210">
        <v>9266000000</v>
      </c>
      <c r="L12" s="273">
        <v>10258990000</v>
      </c>
      <c r="M12" s="273">
        <v>10101100000</v>
      </c>
      <c r="N12" s="273">
        <v>10618300000</v>
      </c>
      <c r="O12" s="273">
        <v>13794600000</v>
      </c>
      <c r="P12" s="273">
        <v>19281600000</v>
      </c>
      <c r="Q12" s="273">
        <v>24368500000</v>
      </c>
      <c r="R12" s="273">
        <v>24624000000.000004</v>
      </c>
      <c r="S12" s="273">
        <v>17328000000</v>
      </c>
      <c r="T12" s="298">
        <v>9577599999.9999981</v>
      </c>
      <c r="U12" s="298">
        <v>10409899999.999998</v>
      </c>
      <c r="V12" s="298">
        <v>11558400000</v>
      </c>
      <c r="W12" s="298">
        <v>12164699999.999998</v>
      </c>
      <c r="X12" s="389">
        <v>13427400000</v>
      </c>
      <c r="Y12" s="21">
        <v>13860000000</v>
      </c>
      <c r="Z12" s="21">
        <v>13893500000.000002</v>
      </c>
    </row>
    <row r="13" spans="1:26">
      <c r="A13" s="65" t="s">
        <v>989</v>
      </c>
      <c r="B13" s="65" t="s">
        <v>990</v>
      </c>
      <c r="C13" s="27" t="s">
        <v>552</v>
      </c>
      <c r="D13" s="28"/>
      <c r="E13" s="210">
        <v>1824000000</v>
      </c>
      <c r="F13" s="210">
        <v>1887000000</v>
      </c>
      <c r="G13" s="210">
        <v>1922000000</v>
      </c>
      <c r="H13" s="210">
        <v>2475000000</v>
      </c>
      <c r="I13" s="210">
        <v>3254000000</v>
      </c>
      <c r="J13" s="210">
        <v>4357000000</v>
      </c>
      <c r="K13" s="210">
        <v>3901000000</v>
      </c>
      <c r="L13" s="273">
        <v>5431230000</v>
      </c>
      <c r="M13" s="273">
        <v>5719900000</v>
      </c>
      <c r="N13" s="273">
        <v>6343400000</v>
      </c>
      <c r="O13" s="273">
        <v>9141000000</v>
      </c>
      <c r="P13" s="273">
        <v>10670400000</v>
      </c>
      <c r="Q13" s="273">
        <v>12714000000</v>
      </c>
      <c r="R13" s="273">
        <f>R9-R12-R15</f>
        <v>14136000000.000008</v>
      </c>
      <c r="S13" s="273">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991</v>
      </c>
      <c r="C14" s="58"/>
      <c r="D14" s="28"/>
      <c r="E14" s="125"/>
      <c r="F14" s="125"/>
      <c r="G14" s="125"/>
      <c r="H14" s="125"/>
      <c r="I14" s="125"/>
      <c r="J14" s="210">
        <v>2884000000</v>
      </c>
      <c r="K14" s="210">
        <v>3141000000</v>
      </c>
      <c r="L14" s="273">
        <v>4465678000.000001</v>
      </c>
      <c r="M14" s="273">
        <v>4868000000</v>
      </c>
      <c r="N14" s="273">
        <v>5240200000</v>
      </c>
      <c r="O14" s="273">
        <v>7645200000</v>
      </c>
      <c r="P14" s="273">
        <v>9360000000</v>
      </c>
      <c r="Q14" s="273">
        <v>11230700000</v>
      </c>
      <c r="R14" s="273">
        <v>12312000000.000002</v>
      </c>
      <c r="S14" s="273">
        <v>12312000000.000002</v>
      </c>
      <c r="T14" s="298">
        <v>10278400000.000002</v>
      </c>
      <c r="U14" s="298">
        <v>10917700000</v>
      </c>
      <c r="V14" s="298">
        <v>11833600000</v>
      </c>
      <c r="W14" s="298">
        <v>12758099999.999998</v>
      </c>
      <c r="X14" s="389">
        <v>13747099999.999998</v>
      </c>
      <c r="Y14" s="21">
        <v>14899499999.999998</v>
      </c>
      <c r="Z14" s="21">
        <v>16146499999.999998</v>
      </c>
    </row>
    <row r="15" spans="1:26">
      <c r="A15" s="65" t="s">
        <v>992</v>
      </c>
      <c r="B15" s="65" t="s">
        <v>993</v>
      </c>
      <c r="C15" s="27" t="s">
        <v>552</v>
      </c>
      <c r="D15" s="28"/>
      <c r="E15" s="210">
        <v>5076000000</v>
      </c>
      <c r="F15" s="210">
        <v>5582000000</v>
      </c>
      <c r="G15" s="210">
        <v>6252000000</v>
      </c>
      <c r="H15" s="210">
        <v>9511000000</v>
      </c>
      <c r="I15" s="210">
        <v>11097000000</v>
      </c>
      <c r="J15" s="210">
        <v>12522000000</v>
      </c>
      <c r="K15" s="210">
        <v>15492000000</v>
      </c>
      <c r="L15" s="273">
        <v>18707570000</v>
      </c>
      <c r="M15" s="273">
        <v>16916300000.000002</v>
      </c>
      <c r="N15" s="273">
        <v>19306000000</v>
      </c>
      <c r="O15" s="273">
        <v>25262400000</v>
      </c>
      <c r="P15" s="273">
        <v>29390400000</v>
      </c>
      <c r="Q15" s="273">
        <v>34327800000</v>
      </c>
      <c r="R15" s="273">
        <v>38075999999.999992</v>
      </c>
      <c r="S15" s="273">
        <v>40128000000.000008</v>
      </c>
      <c r="T15" s="298">
        <v>39712000000</v>
      </c>
      <c r="U15" s="298">
        <v>41893500000</v>
      </c>
      <c r="V15" s="298">
        <v>45408000000</v>
      </c>
      <c r="W15" s="298">
        <v>49252200000</v>
      </c>
      <c r="X15" s="389">
        <v>52750500000</v>
      </c>
      <c r="Y15" s="21">
        <v>57172500000</v>
      </c>
      <c r="Z15" s="21">
        <v>61957500000</v>
      </c>
    </row>
    <row r="16" spans="1:26">
      <c r="A16" t="s">
        <v>76</v>
      </c>
      <c r="B16" s="65" t="s">
        <v>994</v>
      </c>
      <c r="C16" s="58"/>
      <c r="D16" s="28"/>
      <c r="E16" s="125"/>
      <c r="F16" s="125"/>
      <c r="G16" s="125"/>
      <c r="H16" s="125"/>
      <c r="I16" s="125"/>
      <c r="J16" s="210">
        <v>6252000000</v>
      </c>
      <c r="K16" s="210">
        <v>7274000000</v>
      </c>
      <c r="L16" s="273">
        <v>8931356000.0000019</v>
      </c>
      <c r="M16" s="273">
        <v>8519000000.000001</v>
      </c>
      <c r="N16" s="273">
        <v>9928800000.0000019</v>
      </c>
      <c r="O16" s="273">
        <v>13462200000</v>
      </c>
      <c r="P16" s="273">
        <v>16286399999.999998</v>
      </c>
      <c r="Q16" s="273">
        <v>19071000000</v>
      </c>
      <c r="R16" s="273">
        <v>20520000000</v>
      </c>
      <c r="S16" s="273">
        <v>20748000000</v>
      </c>
      <c r="T16" s="298">
        <v>19856000000</v>
      </c>
      <c r="U16" s="298">
        <v>21073700000</v>
      </c>
      <c r="V16" s="298">
        <v>22841600000</v>
      </c>
      <c r="W16" s="298">
        <v>24922800000</v>
      </c>
      <c r="X16" s="389">
        <v>26854800000</v>
      </c>
      <c r="Y16" s="21">
        <v>29106000000</v>
      </c>
      <c r="Z16" s="21">
        <v>31166500000</v>
      </c>
    </row>
    <row r="17" spans="1:26">
      <c r="A17" t="s">
        <v>76</v>
      </c>
      <c r="B17" s="65" t="s">
        <v>995</v>
      </c>
      <c r="C17" s="58"/>
      <c r="D17" s="28"/>
      <c r="E17" s="125"/>
      <c r="F17" s="125"/>
      <c r="G17" s="125"/>
      <c r="H17" s="125"/>
      <c r="I17" s="125"/>
      <c r="J17" s="210">
        <v>2000000000</v>
      </c>
      <c r="K17" s="210">
        <v>2383000000</v>
      </c>
      <c r="L17" s="273">
        <v>2534574000.0000005</v>
      </c>
      <c r="M17" s="273">
        <v>1825500000</v>
      </c>
      <c r="N17" s="273">
        <v>2206400000</v>
      </c>
      <c r="O17" s="273">
        <v>2493000000</v>
      </c>
      <c r="P17" s="273">
        <v>2433600000</v>
      </c>
      <c r="Q17" s="273">
        <v>2754700000.0000005</v>
      </c>
      <c r="R17" s="273">
        <v>2964000000.0000005</v>
      </c>
      <c r="S17" s="273">
        <v>2964000000.0000005</v>
      </c>
      <c r="T17" s="298">
        <v>3270399999.9999995</v>
      </c>
      <c r="U17" s="298">
        <v>3554599999.9999995</v>
      </c>
      <c r="V17" s="298">
        <v>3852799999.9999995</v>
      </c>
      <c r="W17" s="298">
        <v>4450500000</v>
      </c>
      <c r="X17" s="389">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6">
        <v>1692000000</v>
      </c>
      <c r="K18" s="296">
        <v>1695000000</v>
      </c>
      <c r="L18" s="324">
        <v>1448328000</v>
      </c>
      <c r="M18" s="324">
        <v>1460400000</v>
      </c>
      <c r="N18" s="324">
        <v>1516900000.0000002</v>
      </c>
      <c r="O18" s="324">
        <v>1329600000</v>
      </c>
      <c r="P18" s="324">
        <v>1310399999.9999998</v>
      </c>
      <c r="Q18" s="324">
        <v>635700000</v>
      </c>
      <c r="R18" s="324">
        <v>684000000</v>
      </c>
      <c r="S18" s="324">
        <v>912000000</v>
      </c>
      <c r="T18" s="292">
        <v>467200000</v>
      </c>
      <c r="U18" s="292">
        <v>507800000</v>
      </c>
      <c r="V18" s="292">
        <v>550400000</v>
      </c>
      <c r="W18" s="292">
        <v>593400000</v>
      </c>
      <c r="X18" s="292">
        <v>639400000</v>
      </c>
      <c r="Y18" s="292">
        <v>693000000</v>
      </c>
      <c r="Z18" s="292">
        <v>751000000</v>
      </c>
    </row>
    <row r="19" spans="1:26">
      <c r="A19" s="58" t="s">
        <v>560</v>
      </c>
      <c r="B19" s="58" t="s">
        <v>997</v>
      </c>
      <c r="C19" s="58" t="s">
        <v>41</v>
      </c>
      <c r="D19" s="28"/>
      <c r="E19" s="319">
        <f>E20+E21+E22+E23</f>
        <v>2873000000</v>
      </c>
      <c r="F19" s="319">
        <f t="shared" ref="F19:K19" si="6">F20+F21+F22+F23</f>
        <v>3019000000</v>
      </c>
      <c r="G19" s="319">
        <f t="shared" si="6"/>
        <v>2311000000</v>
      </c>
      <c r="H19" s="319">
        <f t="shared" si="6"/>
        <v>2910000000</v>
      </c>
      <c r="I19" s="319">
        <f t="shared" si="6"/>
        <v>3281000000</v>
      </c>
      <c r="J19" s="319">
        <f t="shared" si="6"/>
        <v>4257200000</v>
      </c>
      <c r="K19" s="319">
        <f t="shared" si="6"/>
        <v>5091000000</v>
      </c>
      <c r="L19" s="273">
        <v>10983154000</v>
      </c>
      <c r="M19" s="125">
        <v>9370900000</v>
      </c>
      <c r="N19" s="125">
        <f>N20+N22</f>
        <v>8136100000</v>
      </c>
      <c r="O19" s="125">
        <f>O20+O22+O23</f>
        <v>10636800000</v>
      </c>
      <c r="P19" s="125">
        <f>P20+P22+P23</f>
        <v>9921600000</v>
      </c>
      <c r="Q19" s="273">
        <f>Q20+Q22+Q23</f>
        <v>10595000000</v>
      </c>
      <c r="R19" s="273">
        <v>13452000000</v>
      </c>
      <c r="S19" s="125">
        <v>13908000000</v>
      </c>
      <c r="T19" s="298">
        <v>15884800000.000002</v>
      </c>
      <c r="U19" s="298">
        <v>14726199999.999998</v>
      </c>
      <c r="V19" s="298">
        <f>V20+V22+V23</f>
        <v>16236800000</v>
      </c>
      <c r="W19" s="298">
        <f>W20+W22+W23</f>
        <v>17802000000</v>
      </c>
      <c r="X19" s="298">
        <f>X20+X22+X23</f>
        <v>19182000000</v>
      </c>
      <c r="Y19" s="21">
        <v>20790000000</v>
      </c>
      <c r="Z19" s="21">
        <v>22905500000</v>
      </c>
    </row>
    <row r="20" spans="1:26">
      <c r="A20" s="64" t="s">
        <v>51</v>
      </c>
      <c r="B20" s="64" t="s">
        <v>843</v>
      </c>
      <c r="C20" s="58" t="s">
        <v>998</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3"/>
      <c r="M20" s="273"/>
      <c r="N20" s="273">
        <v>4688600000</v>
      </c>
      <c r="O20" s="273">
        <v>4986000000</v>
      </c>
      <c r="P20" s="273">
        <v>4867200000</v>
      </c>
      <c r="Q20" s="273">
        <v>5721300000.000001</v>
      </c>
      <c r="R20" s="273">
        <v>8664000000</v>
      </c>
      <c r="S20" s="273">
        <v>10260000000</v>
      </c>
      <c r="T20" s="298">
        <v>11680000000</v>
      </c>
      <c r="U20" s="298">
        <v>11933300000</v>
      </c>
      <c r="V20" s="298">
        <v>13209600000</v>
      </c>
      <c r="W20" s="298">
        <v>14241600000</v>
      </c>
      <c r="X20" s="389">
        <v>15345600000</v>
      </c>
      <c r="Y20" s="21">
        <v>16632000000</v>
      </c>
      <c r="Z20" s="21">
        <v>18024000000</v>
      </c>
    </row>
    <row r="21" spans="1:26">
      <c r="A21" s="64" t="s">
        <v>999</v>
      </c>
      <c r="B21" s="64" t="s">
        <v>1000</v>
      </c>
      <c r="C21" s="58" t="s">
        <v>998</v>
      </c>
      <c r="D21" s="28"/>
      <c r="E21" s="210">
        <v>2087000000</v>
      </c>
      <c r="F21" s="210">
        <v>2149000000</v>
      </c>
      <c r="G21" s="210">
        <v>2054000000</v>
      </c>
      <c r="H21" s="210">
        <v>2327000000</v>
      </c>
      <c r="I21" s="210">
        <v>2466000000</v>
      </c>
      <c r="J21" s="210">
        <v>2857000000</v>
      </c>
      <c r="K21" s="210">
        <v>3393000000</v>
      </c>
      <c r="L21" s="273">
        <v>3620820000</v>
      </c>
      <c r="M21" s="273"/>
      <c r="N21" s="273"/>
      <c r="O21" s="273"/>
      <c r="P21" s="273"/>
      <c r="Q21" s="273"/>
      <c r="R21" s="273"/>
      <c r="S21" s="273"/>
      <c r="T21" s="298"/>
      <c r="U21" s="298"/>
      <c r="V21" s="298"/>
      <c r="W21" s="298"/>
      <c r="X21" s="389"/>
      <c r="Y21" s="21"/>
      <c r="Z21" s="21"/>
    </row>
    <row r="22" spans="1:26">
      <c r="A22" s="64" t="s">
        <v>1001</v>
      </c>
      <c r="B22" s="64" t="s">
        <v>1002</v>
      </c>
      <c r="C22" s="58" t="s">
        <v>998</v>
      </c>
      <c r="D22" s="28"/>
      <c r="E22" s="210">
        <v>173000000</v>
      </c>
      <c r="F22" s="210">
        <v>81000000</v>
      </c>
      <c r="G22" s="210"/>
      <c r="H22" s="210">
        <v>70000000</v>
      </c>
      <c r="I22" s="210">
        <v>84000000</v>
      </c>
      <c r="J22" s="210">
        <v>732200000</v>
      </c>
      <c r="K22" s="210">
        <v>384500000</v>
      </c>
      <c r="L22" s="273">
        <v>5914006000.000001</v>
      </c>
      <c r="M22" s="273"/>
      <c r="N22" s="273">
        <v>3447500000</v>
      </c>
      <c r="O22" s="273">
        <v>5318400000</v>
      </c>
      <c r="P22" s="273">
        <v>4867200000</v>
      </c>
      <c r="Q22" s="273">
        <v>4238000000</v>
      </c>
      <c r="R22" s="273">
        <v>4332000000</v>
      </c>
      <c r="S22" s="273">
        <v>3420000000</v>
      </c>
      <c r="T22" s="298">
        <v>3270399999.9999995</v>
      </c>
      <c r="U22" s="298">
        <v>2285100000.0000005</v>
      </c>
      <c r="V22" s="298">
        <v>2476800000.0000005</v>
      </c>
      <c r="W22" s="298">
        <v>2670300000.0000005</v>
      </c>
      <c r="X22" s="389">
        <v>2877300000.0000005</v>
      </c>
      <c r="Y22" s="21">
        <v>3118500000.0000005</v>
      </c>
      <c r="Z22" s="21">
        <v>3755000000</v>
      </c>
    </row>
    <row r="23" spans="1:26">
      <c r="A23" s="64" t="s">
        <v>1003</v>
      </c>
      <c r="B23" s="64" t="s">
        <v>1004</v>
      </c>
      <c r="C23" s="58" t="s">
        <v>998</v>
      </c>
      <c r="D23" s="28"/>
      <c r="E23" s="210">
        <v>262000000</v>
      </c>
      <c r="F23" s="210">
        <v>282000000</v>
      </c>
      <c r="G23" s="210">
        <v>121000000</v>
      </c>
      <c r="H23" s="210">
        <v>201000000</v>
      </c>
      <c r="I23" s="210">
        <v>259000000</v>
      </c>
      <c r="J23" s="210">
        <v>668000000</v>
      </c>
      <c r="K23" s="210">
        <v>1297000000</v>
      </c>
      <c r="L23" s="273">
        <v>1448328000</v>
      </c>
      <c r="M23" s="273"/>
      <c r="N23" s="2737">
        <v>0</v>
      </c>
      <c r="O23" s="273">
        <v>332400000</v>
      </c>
      <c r="P23" s="273">
        <v>187200000</v>
      </c>
      <c r="Q23" s="273">
        <v>635700000</v>
      </c>
      <c r="R23" s="273">
        <v>456000000</v>
      </c>
      <c r="S23" s="273">
        <v>228000000</v>
      </c>
      <c r="T23" s="298">
        <v>934400000</v>
      </c>
      <c r="U23" s="298">
        <v>507800000</v>
      </c>
      <c r="V23" s="298">
        <v>550400000</v>
      </c>
      <c r="W23" s="298">
        <v>890100000</v>
      </c>
      <c r="X23" s="389">
        <v>959100000</v>
      </c>
      <c r="Y23" s="21">
        <v>1039500000</v>
      </c>
      <c r="Z23" s="21">
        <v>1126500000</v>
      </c>
    </row>
    <row r="24" spans="1:26" s="9" customFormat="1">
      <c r="A24" s="9" t="s">
        <v>198</v>
      </c>
      <c r="B24" s="55" t="s">
        <v>535</v>
      </c>
      <c r="C24" s="55" t="s">
        <v>35</v>
      </c>
      <c r="E24" s="296">
        <v>17189000000</v>
      </c>
      <c r="F24" s="296">
        <v>18871000000</v>
      </c>
      <c r="G24" s="296">
        <v>19803000000</v>
      </c>
      <c r="H24" s="296">
        <v>22520000000</v>
      </c>
      <c r="I24" s="296">
        <v>25558000000</v>
      </c>
      <c r="J24" s="296">
        <v>27372000000</v>
      </c>
      <c r="K24" s="296">
        <v>32767000000</v>
      </c>
      <c r="L24" s="326">
        <f>L26+L41</f>
        <v>42484288000</v>
      </c>
      <c r="M24" s="323">
        <f>M26+M41</f>
        <v>43568600000</v>
      </c>
      <c r="N24" s="323">
        <f t="shared" ref="N24:O24" si="8">N26+N41</f>
        <v>43576400000</v>
      </c>
      <c r="O24" s="323">
        <f t="shared" si="8"/>
        <v>58834800000</v>
      </c>
      <c r="P24" s="323">
        <f>P26+P41</f>
        <v>67579200000</v>
      </c>
      <c r="Q24" s="323">
        <f t="shared" ref="Q24:S24" si="9">Q26+Q41</f>
        <v>81369600000</v>
      </c>
      <c r="R24" s="323">
        <f t="shared" si="9"/>
        <v>98496000000</v>
      </c>
      <c r="S24" s="323">
        <f t="shared" si="9"/>
        <v>101916000000</v>
      </c>
      <c r="T24" s="292">
        <v>92972799999.999985</v>
      </c>
      <c r="U24" s="292">
        <v>99021000000</v>
      </c>
      <c r="V24" s="292">
        <v>105401599999.99998</v>
      </c>
      <c r="W24" s="292">
        <f>W26+W41</f>
        <v>111855900000</v>
      </c>
      <c r="X24" s="292">
        <f t="shared" ref="X24:Z24" si="10">X26+X41</f>
        <v>119248100000</v>
      </c>
      <c r="Y24" s="292">
        <f t="shared" si="10"/>
        <v>126819000000</v>
      </c>
      <c r="Z24" s="292">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5">
        <v>31621828000</v>
      </c>
      <c r="M25" s="325">
        <v>31033500000</v>
      </c>
      <c r="N25" s="325">
        <v>31441200000</v>
      </c>
      <c r="O25" s="325">
        <v>40220400000</v>
      </c>
      <c r="P25" s="325">
        <v>46987200000</v>
      </c>
      <c r="Q25" s="325">
        <v>52763100000</v>
      </c>
      <c r="R25" s="325"/>
      <c r="S25" s="325"/>
      <c r="T25" s="298"/>
      <c r="U25" s="298"/>
      <c r="V25" s="298"/>
      <c r="W25" s="298"/>
      <c r="X25" s="389"/>
      <c r="Y25" s="21"/>
      <c r="Z25" s="21"/>
    </row>
    <row r="26" spans="1:26">
      <c r="A26" s="64" t="s">
        <v>73</v>
      </c>
      <c r="B26" s="891"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0">
        <f>L27+L28+L29+L32+L38+L33</f>
        <v>31380440000</v>
      </c>
      <c r="M26" s="300">
        <f>M27+M28+M29+M32+M38+M33</f>
        <v>31033500000</v>
      </c>
      <c r="N26" s="300">
        <f t="shared" ref="N26:S26" si="11">N27+N28+N29+N32+N38+N33</f>
        <v>31579100000</v>
      </c>
      <c r="O26" s="300">
        <f t="shared" si="11"/>
        <v>40220400000</v>
      </c>
      <c r="P26" s="887">
        <f t="shared" si="11"/>
        <v>46987200000</v>
      </c>
      <c r="Q26" s="887">
        <f t="shared" si="11"/>
        <v>52763100000</v>
      </c>
      <c r="R26" s="887">
        <f t="shared" si="11"/>
        <v>64296000000</v>
      </c>
      <c r="S26" s="887">
        <f t="shared" si="11"/>
        <v>66576000000</v>
      </c>
      <c r="T26" s="887">
        <v>58400000000</v>
      </c>
      <c r="U26" s="887">
        <v>64236700000</v>
      </c>
      <c r="V26" s="887">
        <v>69350400000</v>
      </c>
      <c r="W26" s="887">
        <f>W27+W28+W29+W32+W33+W38</f>
        <v>74471700000</v>
      </c>
      <c r="X26" s="887">
        <f t="shared" ref="X26:Z26" si="12">X27+X28+X29+X32+X33+X38</f>
        <v>80884100000</v>
      </c>
      <c r="Y26" s="887">
        <f t="shared" si="12"/>
        <v>86971500000</v>
      </c>
      <c r="Z26" s="887">
        <f t="shared" si="12"/>
        <v>94250500000</v>
      </c>
    </row>
    <row r="27" spans="1:26">
      <c r="A27" s="64" t="s">
        <v>797</v>
      </c>
      <c r="B27" s="64" t="s">
        <v>1005</v>
      </c>
      <c r="C27" s="58" t="s">
        <v>204</v>
      </c>
      <c r="D27" s="28"/>
      <c r="E27" s="210">
        <v>4672000000</v>
      </c>
      <c r="F27" s="210">
        <v>5058000000</v>
      </c>
      <c r="G27" s="210">
        <v>5615000000</v>
      </c>
      <c r="H27" s="210">
        <v>6264000000</v>
      </c>
      <c r="I27" s="210">
        <v>6650000000</v>
      </c>
      <c r="J27" s="210">
        <v>7230000000</v>
      </c>
      <c r="K27" s="210">
        <v>9431000000</v>
      </c>
      <c r="L27" s="273">
        <v>10500378000</v>
      </c>
      <c r="M27" s="273">
        <v>12413400000</v>
      </c>
      <c r="N27" s="273">
        <v>13100500000</v>
      </c>
      <c r="O27" s="273">
        <v>15456600000.000002</v>
      </c>
      <c r="P27" s="273">
        <v>16848000000</v>
      </c>
      <c r="Q27" s="273">
        <v>19282900000</v>
      </c>
      <c r="R27" s="273">
        <v>23712000000.000004</v>
      </c>
      <c r="S27" s="273">
        <v>28728000000</v>
      </c>
      <c r="T27" s="298">
        <v>26396800000</v>
      </c>
      <c r="U27" s="298">
        <v>28182900000</v>
      </c>
      <c r="V27" s="298">
        <v>30272000000</v>
      </c>
      <c r="W27" s="298">
        <v>32043600000.000004</v>
      </c>
      <c r="X27" s="389">
        <v>34207900000</v>
      </c>
      <c r="Y27" s="21">
        <v>36382500000</v>
      </c>
      <c r="Z27" s="21">
        <v>38676500000</v>
      </c>
    </row>
    <row r="28" spans="1:26">
      <c r="A28" s="64" t="s">
        <v>1006</v>
      </c>
      <c r="B28" s="64" t="s">
        <v>1007</v>
      </c>
      <c r="C28" s="58" t="s">
        <v>204</v>
      </c>
      <c r="D28" s="28"/>
      <c r="E28" s="125"/>
      <c r="F28" s="125"/>
      <c r="G28" s="125"/>
      <c r="H28" s="210">
        <v>1426000000</v>
      </c>
      <c r="I28" s="210">
        <v>1492000000</v>
      </c>
      <c r="J28" s="210">
        <v>1649000000</v>
      </c>
      <c r="K28" s="210">
        <v>2031000000</v>
      </c>
      <c r="L28" s="273">
        <v>2655268000.0000005</v>
      </c>
      <c r="M28" s="580">
        <v>3164200000.0000005</v>
      </c>
      <c r="N28" s="273">
        <v>3033800000.0000005</v>
      </c>
      <c r="O28" s="273">
        <v>4986000000</v>
      </c>
      <c r="P28" s="273">
        <v>3931200000.0000005</v>
      </c>
      <c r="Q28" s="273">
        <v>4873700000</v>
      </c>
      <c r="R28" s="273">
        <v>6383999999.999999</v>
      </c>
      <c r="S28" s="273">
        <v>8664000000</v>
      </c>
      <c r="T28" s="298">
        <v>8176000000.000001</v>
      </c>
      <c r="U28" s="298">
        <v>8632600000</v>
      </c>
      <c r="V28" s="298">
        <v>9081600000</v>
      </c>
      <c r="W28" s="298">
        <v>9791100000</v>
      </c>
      <c r="X28" s="389">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3">
        <v>2413880000.0000005</v>
      </c>
      <c r="M29" s="273">
        <f>M30+M31</f>
        <v>2068900000.0000002</v>
      </c>
      <c r="N29" s="273">
        <v>1930599999.9999998</v>
      </c>
      <c r="O29" s="273">
        <v>1994400000</v>
      </c>
      <c r="P29" s="273">
        <v>1872000000</v>
      </c>
      <c r="Q29" s="273">
        <f>Q30+Q31</f>
        <v>1907100000</v>
      </c>
      <c r="R29" s="273">
        <f>R30+R31</f>
        <v>2052000000</v>
      </c>
      <c r="S29" s="273">
        <f>S30+S31</f>
        <v>2280000000</v>
      </c>
      <c r="T29" s="298">
        <v>2336000000</v>
      </c>
      <c r="U29" s="298">
        <v>2539000000</v>
      </c>
      <c r="V29" s="298">
        <v>3027200000.0000005</v>
      </c>
      <c r="W29" s="298">
        <v>3857100000.0000005</v>
      </c>
      <c r="X29" s="389">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3">
        <v>1689716000</v>
      </c>
      <c r="M30" s="273">
        <v>1582100000.0000002</v>
      </c>
      <c r="N30" s="273">
        <v>1516900000.0000002</v>
      </c>
      <c r="O30" s="273">
        <v>1662000000</v>
      </c>
      <c r="P30" s="273">
        <v>1497600000</v>
      </c>
      <c r="Q30" s="580">
        <v>1271400000</v>
      </c>
      <c r="R30" s="273">
        <v>1140000000</v>
      </c>
      <c r="S30" s="273">
        <v>1140000000</v>
      </c>
      <c r="T30" s="298">
        <v>1168000000</v>
      </c>
      <c r="U30" s="298">
        <v>1269500000</v>
      </c>
      <c r="V30" s="298">
        <v>1376000000</v>
      </c>
      <c r="W30" s="298">
        <v>2076899999.9999998</v>
      </c>
      <c r="X30" s="389">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3">
        <v>724164000</v>
      </c>
      <c r="M31" s="273">
        <v>486800000</v>
      </c>
      <c r="N31" s="273">
        <v>413700000</v>
      </c>
      <c r="O31" s="273">
        <v>332400000</v>
      </c>
      <c r="P31" s="273">
        <v>374400000</v>
      </c>
      <c r="Q31" s="273">
        <v>635700000</v>
      </c>
      <c r="R31" s="273">
        <v>912000000</v>
      </c>
      <c r="S31" s="273">
        <v>1140000000</v>
      </c>
      <c r="T31" s="298">
        <v>1168000000</v>
      </c>
      <c r="U31" s="298">
        <v>1269500000</v>
      </c>
      <c r="V31" s="298">
        <v>1651200000</v>
      </c>
      <c r="W31" s="298">
        <v>1780200000</v>
      </c>
      <c r="X31" s="389">
        <v>1918200000</v>
      </c>
      <c r="Y31" s="21">
        <v>2079000000</v>
      </c>
      <c r="Z31" s="21">
        <v>2253000000</v>
      </c>
    </row>
    <row r="32" spans="1:26">
      <c r="A32" s="64" t="s">
        <v>215</v>
      </c>
      <c r="B32" s="64" t="s">
        <v>215</v>
      </c>
      <c r="C32" s="58" t="s">
        <v>204</v>
      </c>
      <c r="D32" s="28"/>
      <c r="E32" s="125"/>
      <c r="F32" s="125"/>
      <c r="G32" s="125"/>
      <c r="H32" s="125"/>
      <c r="I32" s="125"/>
      <c r="J32" s="125"/>
      <c r="K32" s="125"/>
      <c r="L32" s="273">
        <v>4224290000.000001</v>
      </c>
      <c r="M32" s="273">
        <v>1460400000</v>
      </c>
      <c r="N32" s="273">
        <v>1241100000.0000002</v>
      </c>
      <c r="O32" s="273">
        <v>3490200000</v>
      </c>
      <c r="P32" s="273">
        <v>5803200000</v>
      </c>
      <c r="Q32" s="273">
        <v>6357000000</v>
      </c>
      <c r="R32" s="273">
        <v>4560000000</v>
      </c>
      <c r="S32" s="273">
        <v>2964000000.0000005</v>
      </c>
      <c r="T32" s="298">
        <v>1168000000</v>
      </c>
      <c r="U32" s="298">
        <v>2031200000</v>
      </c>
      <c r="V32" s="298">
        <v>2476800000.0000005</v>
      </c>
      <c r="W32" s="298">
        <v>2670300000.0000005</v>
      </c>
      <c r="X32" s="389">
        <v>3197000000</v>
      </c>
      <c r="Y32" s="21">
        <v>3465000000</v>
      </c>
      <c r="Z32" s="21">
        <v>4130500000.0000005</v>
      </c>
    </row>
    <row r="33" spans="1:26">
      <c r="A33" s="64" t="s">
        <v>806</v>
      </c>
      <c r="B33" s="64" t="s">
        <v>1008</v>
      </c>
      <c r="C33" s="58" t="s">
        <v>204</v>
      </c>
      <c r="D33" s="28"/>
      <c r="E33" s="319">
        <f>E37</f>
        <v>2539000000</v>
      </c>
      <c r="F33" s="319">
        <f>F37</f>
        <v>2779000000</v>
      </c>
      <c r="G33" s="319">
        <f>G37</f>
        <v>2935000000</v>
      </c>
      <c r="H33" s="319">
        <f>H34+H37</f>
        <v>4315000000</v>
      </c>
      <c r="I33" s="319">
        <f>I34+I37</f>
        <v>4824000000</v>
      </c>
      <c r="J33" s="319">
        <f>J34+J37</f>
        <v>4680000000</v>
      </c>
      <c r="K33" s="319">
        <f>K34+K37</f>
        <v>5619000000</v>
      </c>
      <c r="L33" s="273">
        <v>9534826000</v>
      </c>
      <c r="M33" s="273">
        <v>10222800000</v>
      </c>
      <c r="N33" s="273">
        <v>10756200000</v>
      </c>
      <c r="O33" s="273">
        <v>13129800000</v>
      </c>
      <c r="P33" s="273">
        <v>16473600000.000002</v>
      </c>
      <c r="Q33" s="273">
        <v>18859100000.000004</v>
      </c>
      <c r="R33" s="273">
        <v>21660000000</v>
      </c>
      <c r="S33" s="273">
        <v>19152000000</v>
      </c>
      <c r="T33" s="298">
        <v>18921600000</v>
      </c>
      <c r="U33" s="298">
        <v>20312000000</v>
      </c>
      <c r="V33" s="298">
        <v>21740800000</v>
      </c>
      <c r="W33" s="298">
        <v>23142600000</v>
      </c>
      <c r="X33" s="389">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3"/>
      <c r="M34" s="273"/>
      <c r="N34" s="273"/>
      <c r="O34" s="273"/>
      <c r="P34" s="273"/>
      <c r="Q34" s="273"/>
      <c r="R34" s="273"/>
      <c r="S34" s="273"/>
      <c r="T34" s="298"/>
      <c r="U34" s="298"/>
      <c r="V34" s="298"/>
      <c r="W34" s="298"/>
      <c r="X34" s="389"/>
      <c r="Y34" s="21"/>
      <c r="Z34" s="21"/>
    </row>
    <row r="35" spans="1:26">
      <c r="A35" t="s">
        <v>76</v>
      </c>
      <c r="B35" s="65" t="s">
        <v>1009</v>
      </c>
      <c r="C35" s="58"/>
      <c r="D35" s="28"/>
      <c r="E35" s="125"/>
      <c r="F35" s="125"/>
      <c r="G35" s="125"/>
      <c r="H35" s="210">
        <v>457000000</v>
      </c>
      <c r="I35" s="210">
        <v>770000000</v>
      </c>
      <c r="J35" s="210"/>
      <c r="K35" s="210"/>
      <c r="L35" s="273"/>
      <c r="M35" s="273"/>
      <c r="N35" s="273"/>
      <c r="O35" s="273"/>
      <c r="P35" s="273"/>
      <c r="Q35" s="273"/>
      <c r="R35" s="273"/>
      <c r="S35" s="273"/>
      <c r="T35" s="298"/>
      <c r="U35" s="298"/>
      <c r="V35" s="298"/>
      <c r="W35" s="298"/>
      <c r="X35" s="389"/>
      <c r="Y35" s="21"/>
      <c r="Z35" s="21"/>
    </row>
    <row r="36" spans="1:26">
      <c r="A36" t="s">
        <v>76</v>
      </c>
      <c r="B36" s="65" t="s">
        <v>1010</v>
      </c>
      <c r="C36" s="58"/>
      <c r="D36" s="28"/>
      <c r="E36" s="125"/>
      <c r="F36" s="125"/>
      <c r="G36" s="125"/>
      <c r="H36" s="210">
        <v>0</v>
      </c>
      <c r="I36" s="210">
        <v>0</v>
      </c>
      <c r="J36" s="210"/>
      <c r="K36" s="210"/>
      <c r="L36" s="273"/>
      <c r="M36" s="273"/>
      <c r="N36" s="273"/>
      <c r="O36" s="273"/>
      <c r="P36" s="273"/>
      <c r="Q36" s="273"/>
      <c r="R36" s="273"/>
      <c r="S36" s="273"/>
      <c r="T36" s="298"/>
      <c r="U36" s="298"/>
      <c r="V36" s="298"/>
      <c r="W36" s="298"/>
      <c r="X36" s="389"/>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3"/>
      <c r="M37" s="273"/>
      <c r="N37" s="273"/>
      <c r="O37" s="273"/>
      <c r="P37" s="273"/>
      <c r="Q37" s="273"/>
      <c r="R37" s="273"/>
      <c r="S37" s="273"/>
      <c r="T37" s="298"/>
      <c r="U37" s="298"/>
      <c r="V37" s="298"/>
      <c r="W37" s="298"/>
      <c r="X37" s="389"/>
      <c r="Y37" s="21"/>
      <c r="Z37" s="21"/>
    </row>
    <row r="38" spans="1:26">
      <c r="A38" s="64" t="s">
        <v>1011</v>
      </c>
      <c r="B38" s="64" t="s">
        <v>1012</v>
      </c>
      <c r="C38" s="58" t="s">
        <v>204</v>
      </c>
      <c r="D38" s="28"/>
      <c r="E38" s="210">
        <v>4086000000</v>
      </c>
      <c r="F38" s="210">
        <v>4789000000</v>
      </c>
      <c r="G38" s="210">
        <v>4496000000</v>
      </c>
      <c r="H38" s="210">
        <v>2128000000</v>
      </c>
      <c r="I38" s="210">
        <v>2545000000</v>
      </c>
      <c r="J38" s="210">
        <v>2123000000</v>
      </c>
      <c r="K38" s="210">
        <v>897000000</v>
      </c>
      <c r="L38" s="327">
        <f>L39+L40</f>
        <v>2051798000</v>
      </c>
      <c r="M38" s="273">
        <v>1703799999.9999998</v>
      </c>
      <c r="N38" s="273">
        <v>1516900000.0000002</v>
      </c>
      <c r="O38" s="273">
        <v>1163399999.9999998</v>
      </c>
      <c r="P38" s="273">
        <v>2059200000.0000002</v>
      </c>
      <c r="Q38" s="273">
        <v>1483299999.9999998</v>
      </c>
      <c r="R38" s="273">
        <v>5928000000.000001</v>
      </c>
      <c r="S38" s="273">
        <v>4788000000</v>
      </c>
      <c r="T38" s="298">
        <v>1401600000</v>
      </c>
      <c r="U38" s="298">
        <v>2539000000</v>
      </c>
      <c r="V38" s="298">
        <v>2752000000</v>
      </c>
      <c r="W38" s="298">
        <v>2967000000</v>
      </c>
      <c r="X38" s="389">
        <v>3197000000</v>
      </c>
      <c r="Y38" s="21">
        <v>3465000000</v>
      </c>
      <c r="Z38" s="21">
        <v>3755000000</v>
      </c>
    </row>
    <row r="39" spans="1:26">
      <c r="A39" s="65" t="s">
        <v>50</v>
      </c>
      <c r="B39" s="65" t="s">
        <v>50</v>
      </c>
      <c r="C39" s="58" t="s">
        <v>1013</v>
      </c>
      <c r="D39" s="28"/>
      <c r="E39" s="125"/>
      <c r="F39" s="125"/>
      <c r="G39" s="125"/>
      <c r="H39" s="125"/>
      <c r="I39" s="125"/>
      <c r="J39" s="125"/>
      <c r="K39" s="125"/>
      <c r="L39" s="273">
        <v>241388000.00000006</v>
      </c>
      <c r="M39" s="273">
        <f>M38-M40</f>
        <v>1338699999.9999998</v>
      </c>
      <c r="N39" s="273">
        <v>1516900000.0000002</v>
      </c>
      <c r="O39" s="273">
        <v>1163399999.9999998</v>
      </c>
      <c r="P39" s="273">
        <v>2059200000.0000002</v>
      </c>
      <c r="Q39" s="273">
        <v>1483299999.9999998</v>
      </c>
      <c r="R39" s="273"/>
      <c r="S39" s="273"/>
      <c r="T39" s="298"/>
      <c r="U39" s="298"/>
      <c r="V39" s="298"/>
      <c r="W39" s="298"/>
      <c r="X39" s="389"/>
      <c r="Y39" s="21"/>
      <c r="Z39" s="21"/>
    </row>
    <row r="40" spans="1:26">
      <c r="A40" s="65" t="s">
        <v>1014</v>
      </c>
      <c r="B40" s="65" t="s">
        <v>1015</v>
      </c>
      <c r="C40" s="58" t="s">
        <v>1013</v>
      </c>
      <c r="D40" s="28"/>
      <c r="E40" s="125"/>
      <c r="F40" s="125"/>
      <c r="G40" s="125"/>
      <c r="H40" s="125"/>
      <c r="I40" s="125"/>
      <c r="J40" s="210"/>
      <c r="K40" s="210"/>
      <c r="L40" s="273">
        <v>1810410000</v>
      </c>
      <c r="M40" s="273">
        <v>365100000</v>
      </c>
      <c r="N40" s="273">
        <v>0</v>
      </c>
      <c r="O40" s="273">
        <v>0</v>
      </c>
      <c r="P40" s="273">
        <v>0</v>
      </c>
      <c r="Q40" s="273">
        <v>0</v>
      </c>
      <c r="R40" s="273"/>
      <c r="S40" s="273"/>
      <c r="T40" s="298"/>
      <c r="U40" s="298"/>
      <c r="V40" s="298"/>
      <c r="W40" s="298"/>
      <c r="X40" s="389"/>
      <c r="Y40" s="21"/>
      <c r="Z40" s="21"/>
    </row>
    <row r="41" spans="1:26">
      <c r="A41" s="58" t="s">
        <v>237</v>
      </c>
      <c r="B41" s="58" t="s">
        <v>1016</v>
      </c>
      <c r="C41" s="58" t="s">
        <v>201</v>
      </c>
      <c r="D41" s="28"/>
      <c r="E41" s="210">
        <v>4493000000</v>
      </c>
      <c r="F41" s="210">
        <v>4775000000</v>
      </c>
      <c r="G41" s="210">
        <v>5014000000</v>
      </c>
      <c r="H41" s="210">
        <v>6349000000</v>
      </c>
      <c r="I41" s="210">
        <v>7736000000</v>
      </c>
      <c r="J41" s="210">
        <v>9372000000</v>
      </c>
      <c r="K41" s="210">
        <v>12173000000</v>
      </c>
      <c r="L41" s="325">
        <v>11103848000.000002</v>
      </c>
      <c r="M41" s="325">
        <v>12535100000.000002</v>
      </c>
      <c r="N41" s="325">
        <v>11997300000</v>
      </c>
      <c r="O41" s="325">
        <v>18614399999.999996</v>
      </c>
      <c r="P41" s="325">
        <v>20592000000</v>
      </c>
      <c r="Q41" s="325">
        <v>28606500000</v>
      </c>
      <c r="R41" s="325">
        <v>34200000000</v>
      </c>
      <c r="S41" s="325">
        <v>35340000000</v>
      </c>
      <c r="T41" s="298">
        <v>34572800000.000008</v>
      </c>
      <c r="U41" s="298">
        <v>34784299999.999992</v>
      </c>
      <c r="V41" s="298">
        <v>36051200000</v>
      </c>
      <c r="W41" s="298">
        <v>37384200000</v>
      </c>
      <c r="X41" s="389">
        <v>38364000000</v>
      </c>
      <c r="Y41" s="21">
        <v>39847500000</v>
      </c>
      <c r="Z41" s="21">
        <v>41305000000</v>
      </c>
    </row>
    <row r="42" spans="1:26">
      <c r="A42" t="s">
        <v>76</v>
      </c>
      <c r="B42" s="64" t="s">
        <v>1017</v>
      </c>
      <c r="C42" s="58"/>
      <c r="D42" s="28"/>
      <c r="E42" s="125"/>
      <c r="F42" s="125"/>
      <c r="G42" s="125"/>
      <c r="H42" s="125"/>
      <c r="I42" s="125"/>
      <c r="J42" s="210" t="s">
        <v>78</v>
      </c>
      <c r="K42" s="210">
        <v>1066000000</v>
      </c>
      <c r="L42" s="273">
        <v>2413880000.0000005</v>
      </c>
      <c r="M42" s="273">
        <v>1460400000</v>
      </c>
      <c r="N42" s="273">
        <v>1241100000.0000002</v>
      </c>
      <c r="O42" s="273">
        <v>3157800000</v>
      </c>
      <c r="P42" s="273">
        <v>5241599999.999999</v>
      </c>
      <c r="Q42" s="273">
        <v>6780800000</v>
      </c>
      <c r="R42" s="273">
        <v>8436000000.000001</v>
      </c>
      <c r="S42" s="273">
        <v>10716000000</v>
      </c>
      <c r="T42" s="298">
        <v>12147200000.000002</v>
      </c>
      <c r="U42" s="298">
        <v>12948900000</v>
      </c>
      <c r="V42" s="298">
        <v>13760000000</v>
      </c>
      <c r="W42" s="298">
        <v>14241600000</v>
      </c>
      <c r="X42" s="389">
        <v>14706200000</v>
      </c>
      <c r="Y42" s="21">
        <v>15939000000</v>
      </c>
      <c r="Z42" s="21">
        <v>17273000000</v>
      </c>
    </row>
    <row r="43" spans="1:26">
      <c r="A43" t="s">
        <v>76</v>
      </c>
      <c r="B43" s="64" t="s">
        <v>1018</v>
      </c>
      <c r="C43" s="58"/>
      <c r="D43" s="28"/>
      <c r="E43" s="125"/>
      <c r="F43" s="125"/>
      <c r="G43" s="125"/>
      <c r="H43" s="125"/>
      <c r="I43" s="125"/>
      <c r="J43" s="210"/>
      <c r="K43" s="210"/>
      <c r="L43" s="273"/>
      <c r="M43" s="273"/>
      <c r="N43" s="273"/>
      <c r="O43" s="273"/>
      <c r="P43" s="273"/>
      <c r="Q43" s="273"/>
      <c r="R43" s="273"/>
      <c r="S43" s="273"/>
      <c r="T43" s="298"/>
      <c r="U43" s="298"/>
      <c r="V43" s="298"/>
      <c r="W43" s="298"/>
      <c r="X43" s="389"/>
      <c r="Y43" s="21"/>
      <c r="Z43" s="21"/>
    </row>
    <row r="44" spans="1:26">
      <c r="A44" t="s">
        <v>76</v>
      </c>
      <c r="B44" s="58" t="s">
        <v>1019</v>
      </c>
      <c r="C44" s="58"/>
      <c r="D44" s="28"/>
      <c r="E44" s="125"/>
      <c r="F44" s="125"/>
      <c r="G44" s="125"/>
      <c r="H44" s="125"/>
      <c r="I44" s="125"/>
      <c r="J44" s="125"/>
      <c r="K44" s="210"/>
      <c r="L44" s="325">
        <v>15328138000</v>
      </c>
      <c r="M44" s="325">
        <v>12535100000.000002</v>
      </c>
      <c r="N44" s="325">
        <v>14341600000.000002</v>
      </c>
      <c r="O44" s="325">
        <v>19944000000</v>
      </c>
      <c r="P44" s="325">
        <v>23774400000</v>
      </c>
      <c r="Q44" s="325">
        <v>30089799999.999996</v>
      </c>
      <c r="R44" s="325">
        <v>26676000000</v>
      </c>
      <c r="S44" s="325">
        <v>19608000000</v>
      </c>
      <c r="T44" s="298">
        <v>19155199999.999996</v>
      </c>
      <c r="U44" s="298">
        <v>15995700000</v>
      </c>
      <c r="V44" s="298">
        <v>17612800000</v>
      </c>
      <c r="W44" s="298">
        <v>19285500000</v>
      </c>
      <c r="X44" s="389">
        <v>20780500000</v>
      </c>
      <c r="Y44" s="21">
        <v>22176000000</v>
      </c>
      <c r="Z44" s="21">
        <v>23656500000</v>
      </c>
    </row>
    <row r="45" spans="1:26">
      <c r="A45" t="s">
        <v>76</v>
      </c>
      <c r="B45" s="58" t="s">
        <v>1020</v>
      </c>
      <c r="C45" s="58"/>
      <c r="D45" s="28"/>
      <c r="E45" s="125"/>
      <c r="F45" s="125"/>
      <c r="G45" s="125"/>
      <c r="H45" s="125"/>
      <c r="I45" s="125"/>
      <c r="J45" s="125"/>
      <c r="K45" s="210"/>
      <c r="L45" s="325">
        <v>4344984000</v>
      </c>
      <c r="M45" s="325">
        <v>0</v>
      </c>
      <c r="N45" s="325">
        <v>2344300000</v>
      </c>
      <c r="O45" s="325">
        <v>1329600000</v>
      </c>
      <c r="P45" s="325">
        <v>3369600000.0000005</v>
      </c>
      <c r="Q45" s="325">
        <v>1483299999.9999998</v>
      </c>
      <c r="R45" s="325">
        <v>-7752000000.000001</v>
      </c>
      <c r="S45" s="325">
        <v>-15732000000.000002</v>
      </c>
      <c r="T45" s="298">
        <v>-15417600000</v>
      </c>
      <c r="U45" s="298">
        <v>-18534700000</v>
      </c>
      <c r="V45" s="298">
        <v>-18438400000</v>
      </c>
      <c r="W45" s="298">
        <v>-17802000000</v>
      </c>
      <c r="X45" s="389">
        <v>-17583500000</v>
      </c>
      <c r="Y45" s="21">
        <v>-17325000000</v>
      </c>
      <c r="Z45" s="21">
        <v>-17648500000</v>
      </c>
    </row>
    <row r="46" spans="1:26">
      <c r="A46" t="s">
        <v>76</v>
      </c>
      <c r="B46" s="58" t="s">
        <v>1021</v>
      </c>
      <c r="C46" s="90"/>
      <c r="D46" s="28"/>
      <c r="E46" s="125"/>
      <c r="F46" s="125"/>
      <c r="G46" s="125"/>
      <c r="H46" s="210">
        <v>-3860000000</v>
      </c>
      <c r="I46" s="210">
        <v>-1729000000</v>
      </c>
      <c r="J46" s="210">
        <v>4101000000</v>
      </c>
      <c r="K46" s="210">
        <v>2661000000</v>
      </c>
      <c r="L46" s="325"/>
      <c r="M46" s="325"/>
      <c r="N46" s="325"/>
      <c r="O46" s="325"/>
      <c r="P46" s="325"/>
      <c r="Q46" s="325"/>
      <c r="R46" s="325"/>
      <c r="S46" s="325"/>
      <c r="T46" s="298"/>
      <c r="U46" s="298"/>
      <c r="V46" s="298"/>
      <c r="W46" s="298"/>
      <c r="X46" s="389"/>
      <c r="Y46" s="21"/>
      <c r="Z46" s="21"/>
    </row>
    <row r="47" spans="1:26">
      <c r="A47" t="s">
        <v>76</v>
      </c>
      <c r="B47" s="58" t="s">
        <v>1022</v>
      </c>
      <c r="C47" s="58"/>
      <c r="D47" s="28"/>
      <c r="E47" s="125"/>
      <c r="F47" s="125"/>
      <c r="G47" s="125"/>
      <c r="H47" s="210">
        <v>-6263000000</v>
      </c>
      <c r="I47" s="210">
        <v>-6832000000</v>
      </c>
      <c r="J47" s="210">
        <v>-5246000000</v>
      </c>
      <c r="K47" s="210">
        <v>-6100000000</v>
      </c>
      <c r="L47" s="325"/>
      <c r="M47" s="325"/>
      <c r="N47" s="325"/>
      <c r="O47" s="325"/>
      <c r="P47" s="325"/>
      <c r="Q47" s="325"/>
      <c r="R47" s="325"/>
      <c r="S47" s="325"/>
      <c r="T47" s="298"/>
      <c r="U47" s="298"/>
      <c r="V47" s="298"/>
      <c r="W47" s="298"/>
      <c r="X47" s="389"/>
      <c r="Y47" s="21"/>
      <c r="Z47" s="21"/>
    </row>
    <row r="48" spans="1:26">
      <c r="A48" t="s">
        <v>76</v>
      </c>
      <c r="B48" s="58" t="s">
        <v>1015</v>
      </c>
      <c r="C48" s="58"/>
      <c r="D48" s="28"/>
      <c r="E48" s="125"/>
      <c r="F48" s="125"/>
      <c r="G48" s="125"/>
      <c r="H48" s="210" t="s">
        <v>78</v>
      </c>
      <c r="I48" s="210" t="s">
        <v>78</v>
      </c>
      <c r="J48" s="210">
        <v>0</v>
      </c>
      <c r="K48" s="210">
        <v>868000000</v>
      </c>
      <c r="L48" s="325"/>
      <c r="M48" s="325"/>
      <c r="N48" s="325"/>
      <c r="O48" s="325"/>
      <c r="P48" s="325"/>
      <c r="Q48" s="325"/>
      <c r="R48" s="325"/>
      <c r="S48" s="325"/>
      <c r="T48" s="298"/>
      <c r="U48" s="298"/>
      <c r="V48" s="298"/>
      <c r="W48" s="298"/>
      <c r="X48" s="389"/>
      <c r="Y48" s="21"/>
      <c r="Z48" s="21"/>
    </row>
    <row r="49" spans="1:26">
      <c r="A49" t="s">
        <v>76</v>
      </c>
      <c r="B49" s="58" t="s">
        <v>1023</v>
      </c>
      <c r="C49" s="90"/>
      <c r="D49" s="28"/>
      <c r="E49" s="210">
        <v>-3668000000</v>
      </c>
      <c r="F49" s="210">
        <v>-4981000000</v>
      </c>
      <c r="G49" s="210">
        <v>-4875000000</v>
      </c>
      <c r="H49" s="210">
        <v>-3860000000</v>
      </c>
      <c r="I49" s="210">
        <v>-1729000000</v>
      </c>
      <c r="J49" s="210">
        <v>4101000000</v>
      </c>
      <c r="K49" s="210">
        <v>1793000000</v>
      </c>
      <c r="L49" s="325"/>
      <c r="M49" s="325"/>
      <c r="N49" s="325"/>
      <c r="O49" s="325"/>
      <c r="P49" s="325"/>
      <c r="Q49" s="325"/>
      <c r="R49" s="325"/>
      <c r="S49" s="325"/>
      <c r="T49" s="298"/>
      <c r="U49" s="298"/>
      <c r="V49" s="298"/>
      <c r="W49" s="298"/>
      <c r="X49" s="389"/>
      <c r="Y49" s="21"/>
      <c r="Z49" s="21"/>
    </row>
    <row r="50" spans="1:26">
      <c r="A50" t="s">
        <v>76</v>
      </c>
      <c r="B50" s="58" t="s">
        <v>1024</v>
      </c>
      <c r="C50" s="90"/>
      <c r="D50" s="28"/>
      <c r="E50" s="125"/>
      <c r="F50" s="125"/>
      <c r="G50" s="125"/>
      <c r="H50" s="210">
        <v>-6263000000</v>
      </c>
      <c r="I50" s="210">
        <v>-6832000000</v>
      </c>
      <c r="J50" s="210"/>
      <c r="K50" s="210"/>
      <c r="L50" s="325"/>
      <c r="M50" s="325"/>
      <c r="N50" s="325"/>
      <c r="O50" s="325"/>
      <c r="P50" s="325"/>
      <c r="Q50" s="325"/>
      <c r="R50" s="325"/>
      <c r="S50" s="325"/>
      <c r="T50" s="298"/>
      <c r="U50" s="298"/>
      <c r="V50" s="298"/>
      <c r="W50" s="298"/>
      <c r="X50" s="389"/>
      <c r="Y50" s="21"/>
      <c r="Z50" s="21"/>
    </row>
    <row r="51" spans="1:26" s="9" customFormat="1" ht="16.5">
      <c r="A51" s="318" t="s">
        <v>115</v>
      </c>
      <c r="B51" s="55" t="s">
        <v>115</v>
      </c>
      <c r="C51" s="18" t="s">
        <v>35</v>
      </c>
      <c r="E51" s="296">
        <v>3668000000</v>
      </c>
      <c r="F51" s="296">
        <v>4981000000</v>
      </c>
      <c r="G51" s="296">
        <v>4875000000</v>
      </c>
      <c r="H51" s="296">
        <v>3860000000</v>
      </c>
      <c r="I51" s="296">
        <v>1729000000</v>
      </c>
      <c r="J51" s="296">
        <f>J55+J59</f>
        <v>-4100000000</v>
      </c>
      <c r="K51" s="296">
        <v>-1793000000</v>
      </c>
      <c r="L51" s="888">
        <f>L55+L59</f>
        <v>-3258737999.9999995</v>
      </c>
      <c r="M51" s="888">
        <f t="shared" ref="M51:Z51" si="13">M55+M59</f>
        <v>-121700000.00000024</v>
      </c>
      <c r="N51" s="888">
        <f t="shared" si="13"/>
        <v>-2206400000.0000014</v>
      </c>
      <c r="O51" s="888">
        <f t="shared" si="13"/>
        <v>-1329599999.9999995</v>
      </c>
      <c r="P51" s="888">
        <f t="shared" si="13"/>
        <v>-3369599999.999999</v>
      </c>
      <c r="Q51" s="888">
        <f t="shared" si="13"/>
        <v>-1483300000</v>
      </c>
      <c r="R51" s="888">
        <f>R55+R59</f>
        <v>7524000000</v>
      </c>
      <c r="S51" s="888">
        <f t="shared" si="13"/>
        <v>15732000000</v>
      </c>
      <c r="T51" s="888">
        <f t="shared" si="13"/>
        <v>15184000000</v>
      </c>
      <c r="U51" s="888">
        <f t="shared" si="13"/>
        <v>18534700000</v>
      </c>
      <c r="V51" s="888">
        <f t="shared" si="13"/>
        <v>18163200000</v>
      </c>
      <c r="W51" s="888">
        <f t="shared" si="13"/>
        <v>17802000000</v>
      </c>
      <c r="X51" s="888">
        <f t="shared" si="13"/>
        <v>17583500000</v>
      </c>
      <c r="Y51" s="888">
        <f t="shared" si="13"/>
        <v>17325000000</v>
      </c>
      <c r="Z51" s="888">
        <f t="shared" si="13"/>
        <v>17648500000</v>
      </c>
    </row>
    <row r="52" spans="1:26">
      <c r="A52" t="s">
        <v>76</v>
      </c>
      <c r="B52" s="58" t="s">
        <v>1025</v>
      </c>
      <c r="C52" s="58"/>
      <c r="D52" s="28"/>
      <c r="E52" s="125"/>
      <c r="F52" s="125"/>
      <c r="G52" s="125"/>
      <c r="H52" s="125"/>
      <c r="I52" s="125"/>
      <c r="J52" s="125"/>
      <c r="K52" s="125"/>
      <c r="L52" s="325">
        <v>4344984000</v>
      </c>
      <c r="M52" s="325">
        <v>121700000</v>
      </c>
      <c r="N52" s="325">
        <v>2344300000</v>
      </c>
      <c r="O52" s="325">
        <v>1329600000</v>
      </c>
      <c r="P52" s="325">
        <v>3369600000.0000005</v>
      </c>
      <c r="Q52" s="325">
        <v>1483299999.9999998</v>
      </c>
      <c r="R52" s="325">
        <v>-7752000000.000001</v>
      </c>
      <c r="S52" s="325">
        <v>-15732000000.000002</v>
      </c>
      <c r="T52" s="298">
        <v>-15417600000</v>
      </c>
      <c r="U52" s="298">
        <v>-18534700000</v>
      </c>
      <c r="V52" s="298">
        <v>-18438400000</v>
      </c>
      <c r="W52" s="298">
        <v>-17802000000</v>
      </c>
      <c r="X52" s="389">
        <v>-17583500000</v>
      </c>
      <c r="Y52" s="21">
        <v>-17325000000</v>
      </c>
      <c r="Z52" s="21">
        <v>-17648500000</v>
      </c>
    </row>
    <row r="53" spans="1:26">
      <c r="A53" t="s">
        <v>76</v>
      </c>
      <c r="B53" s="58" t="s">
        <v>1026</v>
      </c>
      <c r="C53" s="58"/>
      <c r="D53" s="28"/>
      <c r="E53" s="210"/>
      <c r="F53" s="210"/>
      <c r="G53" s="210"/>
      <c r="H53" s="210"/>
      <c r="I53" s="210"/>
      <c r="J53" s="210"/>
      <c r="K53" s="210"/>
      <c r="L53" s="325">
        <v>965552000.00000024</v>
      </c>
      <c r="M53" s="325"/>
      <c r="N53" s="325"/>
      <c r="O53" s="325"/>
      <c r="P53" s="325"/>
      <c r="Q53" s="325"/>
      <c r="R53" s="325"/>
      <c r="S53" s="325"/>
      <c r="T53" s="298"/>
      <c r="U53" s="298"/>
      <c r="V53" s="298"/>
      <c r="W53" s="298"/>
      <c r="X53" s="389"/>
      <c r="Y53" s="21"/>
      <c r="Z53" s="21"/>
    </row>
    <row r="54" spans="1:26">
      <c r="A54" t="s">
        <v>76</v>
      </c>
      <c r="B54" s="58" t="s">
        <v>1027</v>
      </c>
      <c r="C54" s="58"/>
      <c r="D54" s="28"/>
      <c r="E54" s="125"/>
      <c r="F54" s="125"/>
      <c r="G54" s="125"/>
      <c r="H54" s="125"/>
      <c r="I54" s="125"/>
      <c r="J54" s="125"/>
      <c r="K54" s="125"/>
      <c r="L54" s="325">
        <v>-3379432000</v>
      </c>
      <c r="M54" s="325">
        <v>-121700000</v>
      </c>
      <c r="N54" s="325">
        <v>-2344300000</v>
      </c>
      <c r="O54" s="325">
        <v>-1329600000</v>
      </c>
      <c r="P54" s="325">
        <v>-3369600000.0000005</v>
      </c>
      <c r="Q54" s="325">
        <v>-1483299999.9999998</v>
      </c>
      <c r="R54" s="325">
        <v>7752000000.000001</v>
      </c>
      <c r="S54" s="325">
        <v>15732000000.000002</v>
      </c>
      <c r="T54" s="298">
        <v>15417600000</v>
      </c>
      <c r="U54" s="298">
        <v>18534700000</v>
      </c>
      <c r="V54" s="298">
        <v>18438400000</v>
      </c>
      <c r="W54" s="298">
        <v>17802000000</v>
      </c>
      <c r="X54" s="389">
        <v>17583500000</v>
      </c>
      <c r="Y54" s="21">
        <v>17325000000</v>
      </c>
      <c r="Z54" s="21">
        <v>17648500000</v>
      </c>
    </row>
    <row r="55" spans="1:26">
      <c r="A55" s="43" t="s">
        <v>117</v>
      </c>
      <c r="B55" s="58" t="s">
        <v>280</v>
      </c>
      <c r="C55" s="58" t="s">
        <v>1028</v>
      </c>
      <c r="D55" s="28"/>
      <c r="E55" s="210">
        <v>1618000000</v>
      </c>
      <c r="F55" s="210">
        <v>3389000000</v>
      </c>
      <c r="G55" s="210">
        <v>3278000000</v>
      </c>
      <c r="H55" s="210">
        <v>2724000000</v>
      </c>
      <c r="I55" s="210">
        <v>1721000000</v>
      </c>
      <c r="J55" s="210">
        <f>J56+J57+J58</f>
        <v>371000000</v>
      </c>
      <c r="K55" s="210">
        <v>1063000000</v>
      </c>
      <c r="L55" s="327">
        <f>L56+L57+L58</f>
        <v>1689716000.0000005</v>
      </c>
      <c r="M55" s="273">
        <v>1217000000</v>
      </c>
      <c r="N55" s="580">
        <f>N56+N57+N58</f>
        <v>1516899999.999999</v>
      </c>
      <c r="O55" s="580">
        <v>2991600000.0000005</v>
      </c>
      <c r="P55" s="580">
        <v>4305600000</v>
      </c>
      <c r="Q55" s="580">
        <f>Q56+Q57+Q58</f>
        <v>5085600000</v>
      </c>
      <c r="R55" s="580">
        <f>R56+R57+R58</f>
        <v>2964000000</v>
      </c>
      <c r="S55" s="580">
        <f t="shared" ref="S55:Z55" si="14">S56+S57+S58</f>
        <v>3875999999.9999995</v>
      </c>
      <c r="T55" s="580">
        <f t="shared" si="14"/>
        <v>4438400000</v>
      </c>
      <c r="U55" s="580">
        <f t="shared" si="14"/>
        <v>12441100000</v>
      </c>
      <c r="V55" s="580">
        <f t="shared" si="14"/>
        <v>7155200000</v>
      </c>
      <c r="W55" s="580">
        <f t="shared" si="14"/>
        <v>4450500000</v>
      </c>
      <c r="X55" s="580">
        <f t="shared" si="14"/>
        <v>3836400000</v>
      </c>
      <c r="Y55" s="580">
        <f t="shared" si="14"/>
        <v>3118500000.0000005</v>
      </c>
      <c r="Z55" s="580">
        <f t="shared" si="14"/>
        <v>3754999999.9999995</v>
      </c>
    </row>
    <row r="56" spans="1:26">
      <c r="A56" s="64" t="s">
        <v>415</v>
      </c>
      <c r="B56" s="64" t="s">
        <v>415</v>
      </c>
      <c r="C56" s="58" t="s">
        <v>1029</v>
      </c>
      <c r="D56" s="28"/>
      <c r="E56" s="125"/>
      <c r="F56" s="125"/>
      <c r="G56" s="125"/>
      <c r="H56" s="125"/>
      <c r="I56" s="125"/>
      <c r="J56" s="210">
        <v>2695000000</v>
      </c>
      <c r="K56" s="210">
        <v>3268000000</v>
      </c>
      <c r="L56" s="273">
        <v>4224290000.000001</v>
      </c>
      <c r="M56" s="273">
        <v>3772700000</v>
      </c>
      <c r="N56" s="273">
        <v>5653899999.999999</v>
      </c>
      <c r="O56" s="273">
        <v>7811400000</v>
      </c>
      <c r="P56" s="273">
        <v>10296000000</v>
      </c>
      <c r="Q56" s="273">
        <v>8476000000</v>
      </c>
      <c r="R56" s="273">
        <v>5244000000</v>
      </c>
      <c r="S56" s="273">
        <v>7068000000</v>
      </c>
      <c r="T56" s="298">
        <v>6774400000</v>
      </c>
      <c r="U56" s="298">
        <v>15234000000</v>
      </c>
      <c r="V56" s="298">
        <v>9356800000</v>
      </c>
      <c r="W56" s="298">
        <v>6824100000</v>
      </c>
      <c r="X56" s="389">
        <v>6394000000</v>
      </c>
      <c r="Y56" s="21">
        <v>6237000000.000001</v>
      </c>
      <c r="Z56" s="21">
        <v>7134500000</v>
      </c>
    </row>
    <row r="57" spans="1:26">
      <c r="A57" s="64" t="s">
        <v>418</v>
      </c>
      <c r="B57" s="64" t="s">
        <v>418</v>
      </c>
      <c r="C57" s="58" t="s">
        <v>1029</v>
      </c>
      <c r="D57" s="28"/>
      <c r="E57" s="125"/>
      <c r="F57" s="125"/>
      <c r="G57" s="125"/>
      <c r="H57" s="125"/>
      <c r="I57" s="125"/>
      <c r="J57" s="210">
        <v>-2249000000</v>
      </c>
      <c r="K57" s="210">
        <v>-2130000000</v>
      </c>
      <c r="L57" s="273">
        <v>-2534574000.0000005</v>
      </c>
      <c r="M57" s="273">
        <v>-2555700000</v>
      </c>
      <c r="N57" s="273">
        <v>-4137000000</v>
      </c>
      <c r="O57" s="273">
        <v>-4653599999.999999</v>
      </c>
      <c r="P57" s="273">
        <v>-5990400000</v>
      </c>
      <c r="Q57" s="273">
        <v>-2330900000</v>
      </c>
      <c r="R57" s="273">
        <v>-2052000000.0000002</v>
      </c>
      <c r="S57" s="273">
        <v>-2964000000.0000005</v>
      </c>
      <c r="T57" s="298">
        <v>-1868800000</v>
      </c>
      <c r="U57" s="298">
        <v>-2792900000.0000005</v>
      </c>
      <c r="V57" s="298">
        <v>-2201600000</v>
      </c>
      <c r="W57" s="298">
        <v>-2373600000</v>
      </c>
      <c r="X57" s="389">
        <v>-2557600000</v>
      </c>
      <c r="Y57" s="21">
        <v>-3118500000.0000005</v>
      </c>
      <c r="Z57" s="21">
        <v>-3379500000.0000005</v>
      </c>
    </row>
    <row r="58" spans="1:26">
      <c r="A58" s="64" t="s">
        <v>1030</v>
      </c>
      <c r="B58" s="64" t="s">
        <v>1031</v>
      </c>
      <c r="C58" s="58" t="s">
        <v>1029</v>
      </c>
      <c r="D58" s="28"/>
      <c r="E58" s="125"/>
      <c r="F58" s="125"/>
      <c r="G58" s="125"/>
      <c r="H58" s="125"/>
      <c r="I58" s="125"/>
      <c r="J58" s="210">
        <v>-75000000</v>
      </c>
      <c r="K58" s="210">
        <v>-75000000</v>
      </c>
      <c r="L58" s="273">
        <v>0</v>
      </c>
      <c r="M58" s="273">
        <v>0</v>
      </c>
      <c r="N58" s="273">
        <v>0</v>
      </c>
      <c r="O58" s="273">
        <v>-166200000</v>
      </c>
      <c r="P58" s="273">
        <v>0</v>
      </c>
      <c r="Q58" s="273">
        <v>-1059500000</v>
      </c>
      <c r="R58" s="273">
        <v>-228000000</v>
      </c>
      <c r="S58" s="273">
        <v>-228000000</v>
      </c>
      <c r="T58" s="298">
        <v>-467200000</v>
      </c>
      <c r="U58" s="298">
        <v>0</v>
      </c>
      <c r="V58" s="298">
        <v>0</v>
      </c>
      <c r="W58" s="298">
        <v>0</v>
      </c>
      <c r="X58" s="389">
        <v>0</v>
      </c>
      <c r="Y58" s="21">
        <v>0</v>
      </c>
      <c r="Z58" s="21">
        <v>0</v>
      </c>
    </row>
    <row r="59" spans="1:26">
      <c r="A59" s="58" t="s">
        <v>120</v>
      </c>
      <c r="B59" s="58" t="s">
        <v>209</v>
      </c>
      <c r="C59" s="58" t="s">
        <v>1028</v>
      </c>
      <c r="D59" s="28"/>
      <c r="E59" s="210">
        <v>2050000000</v>
      </c>
      <c r="F59" s="210">
        <v>1592000000</v>
      </c>
      <c r="G59" s="210">
        <v>1597000000</v>
      </c>
      <c r="H59" s="210">
        <v>1136000000</v>
      </c>
      <c r="I59" s="210">
        <v>8000000</v>
      </c>
      <c r="J59" s="210">
        <v>-4471000000</v>
      </c>
      <c r="K59" s="210">
        <v>-2856000000</v>
      </c>
      <c r="L59" s="273">
        <v>-4948454000</v>
      </c>
      <c r="M59" s="273">
        <v>-1338700000.0000002</v>
      </c>
      <c r="N59" s="273">
        <v>-3723300000.0000005</v>
      </c>
      <c r="O59" s="273">
        <v>-4321200000</v>
      </c>
      <c r="P59" s="580">
        <v>-7675199999.999999</v>
      </c>
      <c r="Q59" s="580">
        <v>-6568900000</v>
      </c>
      <c r="R59" s="580">
        <f>R60+R63</f>
        <v>4560000000</v>
      </c>
      <c r="S59" s="580">
        <f>S60+S63</f>
        <v>11856000000</v>
      </c>
      <c r="T59" s="580">
        <f t="shared" ref="T59:Z59" si="15">T60+T63</f>
        <v>10745600000</v>
      </c>
      <c r="U59" s="580">
        <f t="shared" si="15"/>
        <v>6093600000</v>
      </c>
      <c r="V59" s="580">
        <f t="shared" si="15"/>
        <v>11008000000</v>
      </c>
      <c r="W59" s="580">
        <f t="shared" si="15"/>
        <v>13351500000</v>
      </c>
      <c r="X59" s="580">
        <f t="shared" si="15"/>
        <v>13747099999.999998</v>
      </c>
      <c r="Y59" s="580">
        <f t="shared" si="15"/>
        <v>14206500000</v>
      </c>
      <c r="Z59" s="580">
        <f t="shared" si="15"/>
        <v>13893500000.000002</v>
      </c>
    </row>
    <row r="60" spans="1:26" ht="16.5">
      <c r="A60" s="152" t="s">
        <v>861</v>
      </c>
      <c r="B60" s="64" t="s">
        <v>1032</v>
      </c>
      <c r="C60" s="58" t="s">
        <v>1033</v>
      </c>
      <c r="D60" s="28"/>
      <c r="E60" s="125">
        <f>E61+E62</f>
        <v>182000000</v>
      </c>
      <c r="F60" s="125">
        <f>F61+F62</f>
        <v>1022000000</v>
      </c>
      <c r="G60" s="125">
        <f>G61+G62</f>
        <v>-250000000</v>
      </c>
      <c r="H60" s="125"/>
      <c r="I60" s="125"/>
      <c r="J60" s="125"/>
      <c r="K60" s="125"/>
      <c r="L60" s="273">
        <v>-6638170000.000001</v>
      </c>
      <c r="M60" s="273">
        <v>-243400000</v>
      </c>
      <c r="N60" s="273">
        <v>-7308700000</v>
      </c>
      <c r="O60" s="273">
        <v>-5817000000.000001</v>
      </c>
      <c r="P60" s="580">
        <v>-6364800000</v>
      </c>
      <c r="Q60" s="580">
        <v>-4449900000</v>
      </c>
      <c r="R60" s="580">
        <v>4104000000.0000005</v>
      </c>
      <c r="S60" s="273">
        <v>13452000000</v>
      </c>
      <c r="T60" s="298">
        <v>9110400000</v>
      </c>
      <c r="U60" s="298">
        <v>6093600000</v>
      </c>
      <c r="V60" s="298">
        <v>11008000000</v>
      </c>
      <c r="W60" s="298">
        <v>13351500000</v>
      </c>
      <c r="X60" s="389">
        <v>13747099999.999998</v>
      </c>
      <c r="Y60" s="21">
        <v>13860000000</v>
      </c>
      <c r="Z60" s="21">
        <v>13142500000.000002</v>
      </c>
    </row>
    <row r="61" spans="1:26">
      <c r="A61" t="s">
        <v>76</v>
      </c>
      <c r="B61" s="65" t="s">
        <v>1034</v>
      </c>
      <c r="C61" s="58"/>
      <c r="D61" s="28"/>
      <c r="E61" s="210">
        <v>-270000000</v>
      </c>
      <c r="F61" s="210">
        <v>935000000</v>
      </c>
      <c r="G61" s="210">
        <v>-135000000</v>
      </c>
      <c r="H61" s="210">
        <v>-561000000</v>
      </c>
      <c r="I61" s="210">
        <v>-1543000000</v>
      </c>
      <c r="J61" s="210">
        <v>-5726000000</v>
      </c>
      <c r="K61" s="210">
        <v>-3081000000</v>
      </c>
      <c r="L61" s="273">
        <v>-6034700000.000001</v>
      </c>
      <c r="M61" s="273">
        <v>-486800000</v>
      </c>
      <c r="N61" s="273">
        <v>-6757100000</v>
      </c>
      <c r="O61" s="273">
        <v>-4487400000.000001</v>
      </c>
      <c r="P61" s="580">
        <v>-6177600000</v>
      </c>
      <c r="Q61" s="580">
        <v>-5085600000</v>
      </c>
      <c r="R61" s="580">
        <v>4104000000.0000005</v>
      </c>
      <c r="S61" s="273">
        <v>13224000000</v>
      </c>
      <c r="T61" s="298">
        <v>9811200000</v>
      </c>
      <c r="U61" s="298">
        <v>4824100000</v>
      </c>
      <c r="V61" s="298">
        <v>9632000000</v>
      </c>
      <c r="W61" s="298">
        <v>11868000000</v>
      </c>
      <c r="X61" s="389">
        <v>12788000000</v>
      </c>
      <c r="Y61" s="21">
        <v>13860000000</v>
      </c>
      <c r="Z61" s="21">
        <v>13142500000.000002</v>
      </c>
    </row>
    <row r="62" spans="1:26">
      <c r="A62" t="s">
        <v>76</v>
      </c>
      <c r="B62" s="65" t="s">
        <v>1035</v>
      </c>
      <c r="C62" s="58"/>
      <c r="D62" s="28"/>
      <c r="E62" s="210">
        <v>452000000</v>
      </c>
      <c r="F62" s="210">
        <v>87000000</v>
      </c>
      <c r="G62" s="210">
        <v>-115000000</v>
      </c>
      <c r="H62" s="125"/>
      <c r="I62" s="125"/>
      <c r="J62" s="125"/>
      <c r="K62" s="125"/>
      <c r="L62" s="273">
        <v>-603470000.00000012</v>
      </c>
      <c r="M62" s="273">
        <v>243400000</v>
      </c>
      <c r="N62" s="273">
        <v>-551600000</v>
      </c>
      <c r="O62" s="273">
        <v>-1495800000.0000002</v>
      </c>
      <c r="P62" s="580">
        <v>-187200000</v>
      </c>
      <c r="Q62" s="580">
        <v>423800000</v>
      </c>
      <c r="R62" s="580">
        <v>0</v>
      </c>
      <c r="S62" s="273">
        <v>228000000</v>
      </c>
      <c r="T62" s="298">
        <v>-467200000</v>
      </c>
      <c r="U62" s="298">
        <v>1269500000</v>
      </c>
      <c r="V62" s="298">
        <v>1376000000</v>
      </c>
      <c r="W62" s="298">
        <v>1483500000</v>
      </c>
      <c r="X62" s="389">
        <v>959100000</v>
      </c>
      <c r="Y62" s="21">
        <v>0</v>
      </c>
      <c r="Z62" s="21">
        <v>0</v>
      </c>
    </row>
    <row r="63" spans="1:26">
      <c r="A63" s="64" t="s">
        <v>1036</v>
      </c>
      <c r="B63" s="64" t="s">
        <v>1037</v>
      </c>
      <c r="C63" s="58" t="s">
        <v>1033</v>
      </c>
      <c r="D63" s="28"/>
      <c r="E63" s="210">
        <v>1868000000</v>
      </c>
      <c r="F63" s="210">
        <v>570000000</v>
      </c>
      <c r="G63" s="210">
        <v>1847000000</v>
      </c>
      <c r="H63" s="125"/>
      <c r="I63" s="125"/>
      <c r="J63" s="125"/>
      <c r="K63" s="125"/>
      <c r="L63" s="273">
        <v>1689716000</v>
      </c>
      <c r="M63" s="273">
        <f>M59-M60</f>
        <v>-1095300000.0000002</v>
      </c>
      <c r="N63" s="273">
        <v>3585400000.0000005</v>
      </c>
      <c r="O63" s="273">
        <v>1495800000.0000002</v>
      </c>
      <c r="P63" s="273">
        <v>-1310400000</v>
      </c>
      <c r="Q63" s="273">
        <v>-2119000000</v>
      </c>
      <c r="R63" s="273">
        <v>456000000</v>
      </c>
      <c r="S63" s="273">
        <v>-1595999999.9999998</v>
      </c>
      <c r="T63" s="298">
        <v>1635199999.9999998</v>
      </c>
      <c r="U63" s="298">
        <v>0</v>
      </c>
      <c r="V63" s="298">
        <v>0</v>
      </c>
      <c r="W63" s="298">
        <v>0</v>
      </c>
      <c r="X63" s="389">
        <v>0</v>
      </c>
      <c r="Y63" s="21">
        <v>346500000</v>
      </c>
      <c r="Z63" s="21">
        <v>751000000</v>
      </c>
    </row>
    <row r="64" spans="1:26">
      <c r="B64" s="58" t="s">
        <v>614</v>
      </c>
      <c r="C64" s="58"/>
      <c r="D64" s="28"/>
      <c r="E64" s="125"/>
      <c r="F64" s="125"/>
      <c r="G64" s="125"/>
      <c r="H64" s="125"/>
      <c r="I64" s="125"/>
      <c r="J64" s="125"/>
      <c r="K64" s="125"/>
      <c r="L64">
        <f t="shared" ref="L64:Q64" si="16">(L18/L6)*100</f>
        <v>3.0927835051546393</v>
      </c>
      <c r="M64">
        <f t="shared" si="16"/>
        <v>3.3519553072625698</v>
      </c>
      <c r="N64">
        <f t="shared" si="16"/>
        <v>3.3033033033033039</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890"/>
    </row>
    <row r="69" spans="2:26">
      <c r="B69" t="s">
        <v>615</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1038</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0</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Z72" si="24">Z24-Z26-Z41</f>
        <v>0</v>
      </c>
    </row>
    <row r="73" spans="2:26">
      <c r="B73" t="s">
        <v>826</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 t="shared" ref="T73:Y73" si="26">T26-T27-T28-T29-T32-T33-T38</f>
        <v>0</v>
      </c>
      <c r="U73" s="21">
        <f t="shared" si="26"/>
        <v>0</v>
      </c>
      <c r="V73" s="21">
        <f t="shared" si="26"/>
        <v>0</v>
      </c>
      <c r="W73" s="21">
        <f t="shared" si="26"/>
        <v>0</v>
      </c>
      <c r="X73" s="21">
        <f t="shared" si="26"/>
        <v>0</v>
      </c>
      <c r="Y73" s="21">
        <f t="shared" si="26"/>
        <v>0</v>
      </c>
      <c r="Z73" s="21">
        <f t="shared" ref="Z73" si="27">Z26-Z27-Z28-Z29-Z32-Z33-Z38</f>
        <v>0</v>
      </c>
    </row>
    <row r="74" spans="2:26">
      <c r="B74" t="s">
        <v>936</v>
      </c>
      <c r="C74" s="58"/>
      <c r="D74" s="21">
        <f t="shared" ref="D74:P74" si="28">D29-D30-D31</f>
        <v>0</v>
      </c>
      <c r="E74" s="131">
        <f>E29-E30-E31</f>
        <v>1399000000</v>
      </c>
      <c r="F74" s="131">
        <f t="shared" si="28"/>
        <v>1471000000</v>
      </c>
      <c r="G74" s="131">
        <f t="shared" si="28"/>
        <v>1743000000</v>
      </c>
      <c r="H74" s="131">
        <f t="shared" si="28"/>
        <v>2038000000</v>
      </c>
      <c r="I74" s="131">
        <f t="shared" si="28"/>
        <v>2311000000</v>
      </c>
      <c r="J74" s="21">
        <f t="shared" si="28"/>
        <v>0</v>
      </c>
      <c r="K74" s="21">
        <f t="shared" si="28"/>
        <v>0</v>
      </c>
      <c r="L74" s="21">
        <f t="shared" si="28"/>
        <v>0</v>
      </c>
      <c r="M74" s="21">
        <f>M29-M30-M31</f>
        <v>0</v>
      </c>
      <c r="N74" s="21">
        <f t="shared" si="28"/>
        <v>-4.76837158203125E-7</v>
      </c>
      <c r="O74" s="21">
        <f t="shared" si="28"/>
        <v>0</v>
      </c>
      <c r="P74" s="21">
        <f t="shared" si="28"/>
        <v>0</v>
      </c>
      <c r="Q74" s="21">
        <f>Q29-Q30-Q31</f>
        <v>0</v>
      </c>
      <c r="R74" s="21">
        <f>R29-R30-R31</f>
        <v>0</v>
      </c>
      <c r="S74" s="21">
        <f t="shared" ref="S74:X74" si="29">S29-S30-S31</f>
        <v>0</v>
      </c>
      <c r="T74" s="21">
        <f t="shared" si="29"/>
        <v>0</v>
      </c>
      <c r="U74" s="21">
        <f t="shared" si="29"/>
        <v>0</v>
      </c>
      <c r="V74" s="21">
        <f t="shared" si="29"/>
        <v>0</v>
      </c>
      <c r="W74" s="21">
        <f t="shared" si="29"/>
        <v>0</v>
      </c>
      <c r="X74" s="21">
        <f t="shared" si="29"/>
        <v>0</v>
      </c>
      <c r="Y74" s="21">
        <f t="shared" ref="Y74" si="30">Y29-Y30-Y31</f>
        <v>0</v>
      </c>
      <c r="Z74" s="21">
        <f>Z29-Z30-Z31</f>
        <v>0</v>
      </c>
    </row>
    <row r="75" spans="2:26">
      <c r="B75" t="s">
        <v>1039</v>
      </c>
      <c r="C75" s="58"/>
      <c r="D75" s="21">
        <f t="shared" ref="D75:I75" si="31">D38-D39-D40</f>
        <v>0</v>
      </c>
      <c r="E75" s="131">
        <f t="shared" si="31"/>
        <v>4086000000</v>
      </c>
      <c r="F75" s="131">
        <f t="shared" si="31"/>
        <v>4789000000</v>
      </c>
      <c r="G75" s="131">
        <f t="shared" si="31"/>
        <v>4496000000</v>
      </c>
      <c r="H75" s="131">
        <f t="shared" si="31"/>
        <v>2128000000</v>
      </c>
      <c r="I75" s="131">
        <f t="shared" si="31"/>
        <v>2545000000</v>
      </c>
      <c r="J75" s="131">
        <f t="shared" ref="J75:R75" si="32">J38-J39-J40</f>
        <v>2123000000</v>
      </c>
      <c r="K75" s="131">
        <f t="shared" si="32"/>
        <v>897000000</v>
      </c>
      <c r="L75" s="21">
        <f>L38-L39-L40</f>
        <v>0</v>
      </c>
      <c r="M75" s="21">
        <f>M38-M39-M40</f>
        <v>0</v>
      </c>
      <c r="N75" s="21">
        <f t="shared" si="32"/>
        <v>0</v>
      </c>
      <c r="O75" s="21">
        <f t="shared" si="32"/>
        <v>0</v>
      </c>
      <c r="P75" s="21">
        <f t="shared" si="32"/>
        <v>0</v>
      </c>
      <c r="Q75" s="21">
        <f t="shared" si="32"/>
        <v>0</v>
      </c>
      <c r="R75" s="889">
        <f t="shared" si="32"/>
        <v>5928000000.000001</v>
      </c>
      <c r="S75" s="889">
        <f t="shared" ref="S75:X75" si="33">S38-S39-S40</f>
        <v>4788000000</v>
      </c>
      <c r="T75" s="889">
        <f t="shared" si="33"/>
        <v>1401600000</v>
      </c>
      <c r="U75" s="889">
        <f t="shared" si="33"/>
        <v>2539000000</v>
      </c>
      <c r="V75" s="889">
        <f t="shared" si="33"/>
        <v>2752000000</v>
      </c>
      <c r="W75" s="889">
        <f t="shared" si="33"/>
        <v>2967000000</v>
      </c>
      <c r="X75" s="889">
        <f t="shared" si="33"/>
        <v>3197000000</v>
      </c>
      <c r="Y75" s="889">
        <f t="shared" ref="Y75:Z75" si="34">Y38-Y39-Y40</f>
        <v>3465000000</v>
      </c>
      <c r="Z75" s="889">
        <f t="shared" si="34"/>
        <v>3755000000</v>
      </c>
    </row>
    <row r="76" spans="2:26">
      <c r="B76" t="s">
        <v>148</v>
      </c>
      <c r="C76" s="58"/>
      <c r="D76" s="21">
        <f t="shared" ref="D76:R76" si="35">D51-D55-D59</f>
        <v>0</v>
      </c>
      <c r="E76" s="21">
        <f>E51-E55-E59</f>
        <v>0</v>
      </c>
      <c r="F76" s="21">
        <f t="shared" si="35"/>
        <v>0</v>
      </c>
      <c r="G76" s="21">
        <f t="shared" si="35"/>
        <v>0</v>
      </c>
      <c r="H76" s="21">
        <f t="shared" si="35"/>
        <v>0</v>
      </c>
      <c r="I76" s="21">
        <f t="shared" si="35"/>
        <v>0</v>
      </c>
      <c r="J76" s="21">
        <f t="shared" si="35"/>
        <v>0</v>
      </c>
      <c r="K76" s="21">
        <f t="shared" si="35"/>
        <v>0</v>
      </c>
      <c r="L76" s="21">
        <f>L51-L55-L59</f>
        <v>0</v>
      </c>
      <c r="M76" s="21">
        <f t="shared" si="35"/>
        <v>0</v>
      </c>
      <c r="N76" s="21">
        <f t="shared" si="35"/>
        <v>0</v>
      </c>
      <c r="O76" s="21">
        <f t="shared" si="35"/>
        <v>0</v>
      </c>
      <c r="P76" s="21">
        <f t="shared" si="35"/>
        <v>0</v>
      </c>
      <c r="Q76" s="21">
        <f t="shared" si="35"/>
        <v>0</v>
      </c>
      <c r="R76" s="21">
        <f t="shared" si="35"/>
        <v>0</v>
      </c>
      <c r="S76" s="21">
        <f t="shared" ref="S76:X76" si="36">S51-S55-S59</f>
        <v>0</v>
      </c>
      <c r="T76" s="21">
        <f t="shared" si="36"/>
        <v>0</v>
      </c>
      <c r="U76" s="21">
        <f t="shared" si="36"/>
        <v>0</v>
      </c>
      <c r="V76" s="21">
        <f t="shared" si="36"/>
        <v>0</v>
      </c>
      <c r="W76" s="21">
        <f t="shared" si="36"/>
        <v>0</v>
      </c>
      <c r="X76" s="21">
        <f t="shared" si="36"/>
        <v>0</v>
      </c>
      <c r="Y76" s="21">
        <f t="shared" ref="Y76:Z76" si="37">Y51-Y55-Y59</f>
        <v>0</v>
      </c>
      <c r="Z76" s="21">
        <f t="shared" si="37"/>
        <v>0</v>
      </c>
    </row>
    <row r="77" spans="2:26">
      <c r="B77" t="s">
        <v>528</v>
      </c>
      <c r="C77" s="58"/>
      <c r="D77" s="21">
        <f t="shared" ref="D77:O77" si="38">D55-D56-D57-D58</f>
        <v>0</v>
      </c>
      <c r="E77" s="131">
        <f>E55-E56-E57-E58</f>
        <v>1618000000</v>
      </c>
      <c r="F77" s="131">
        <f t="shared" si="38"/>
        <v>3389000000</v>
      </c>
      <c r="G77" s="131">
        <f t="shared" si="38"/>
        <v>3278000000</v>
      </c>
      <c r="H77" s="131">
        <f t="shared" si="38"/>
        <v>2724000000</v>
      </c>
      <c r="I77" s="131">
        <f t="shared" si="38"/>
        <v>1721000000</v>
      </c>
      <c r="J77" s="21">
        <f t="shared" si="38"/>
        <v>0</v>
      </c>
      <c r="K77" s="21">
        <f t="shared" si="38"/>
        <v>0</v>
      </c>
      <c r="L77" s="21">
        <f>L55-L56-L57-L58</f>
        <v>0</v>
      </c>
      <c r="M77" s="21">
        <f t="shared" si="38"/>
        <v>0</v>
      </c>
      <c r="N77" s="21">
        <f>N55-N56-N57-N58</f>
        <v>0</v>
      </c>
      <c r="O77" s="21">
        <f t="shared" si="38"/>
        <v>-9.5367431640625E-7</v>
      </c>
      <c r="P77" s="21">
        <f>P55-P56-P57-P58</f>
        <v>0</v>
      </c>
      <c r="Q77" s="21">
        <f>Q55-Q56-Q57-Q58</f>
        <v>0</v>
      </c>
      <c r="R77" s="21">
        <f t="shared" ref="R77:X77" si="39">R55-R56-R57-R58</f>
        <v>2.384185791015625E-7</v>
      </c>
      <c r="S77" s="21">
        <f t="shared" si="39"/>
        <v>0</v>
      </c>
      <c r="T77" s="21">
        <f t="shared" si="39"/>
        <v>0</v>
      </c>
      <c r="U77" s="21">
        <f t="shared" si="39"/>
        <v>4.76837158203125E-7</v>
      </c>
      <c r="V77" s="21">
        <f t="shared" si="39"/>
        <v>0</v>
      </c>
      <c r="W77" s="21">
        <f t="shared" si="39"/>
        <v>0</v>
      </c>
      <c r="X77" s="21">
        <f t="shared" si="39"/>
        <v>0</v>
      </c>
      <c r="Y77" s="21">
        <f t="shared" ref="Y77:Z77" si="40">Y55-Y56-Y57-Y58</f>
        <v>0</v>
      </c>
      <c r="Z77" s="21">
        <f t="shared" si="40"/>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N78:X78" si="41">N59-N60-N63</f>
        <v>0</v>
      </c>
      <c r="O78" s="21">
        <f t="shared" si="41"/>
        <v>0</v>
      </c>
      <c r="P78" s="21">
        <f t="shared" si="41"/>
        <v>0</v>
      </c>
      <c r="Q78" s="21">
        <f t="shared" si="41"/>
        <v>0</v>
      </c>
      <c r="R78" s="21">
        <f t="shared" si="41"/>
        <v>-4.76837158203125E-7</v>
      </c>
      <c r="S78" s="21">
        <f t="shared" si="41"/>
        <v>0</v>
      </c>
      <c r="T78" s="21">
        <f t="shared" si="41"/>
        <v>0</v>
      </c>
      <c r="U78" s="21">
        <f t="shared" si="41"/>
        <v>0</v>
      </c>
      <c r="V78" s="21">
        <f t="shared" si="41"/>
        <v>0</v>
      </c>
      <c r="W78" s="21">
        <f t="shared" si="41"/>
        <v>0</v>
      </c>
      <c r="X78" s="21">
        <f t="shared" si="41"/>
        <v>0</v>
      </c>
      <c r="Y78" s="21">
        <f t="shared" ref="Y78:Z78" si="42">Y59-Y60-Y63</f>
        <v>0</v>
      </c>
      <c r="Z78" s="21">
        <f t="shared" si="42"/>
        <v>0</v>
      </c>
    </row>
    <row r="79" spans="2:26">
      <c r="B79" t="s">
        <v>451</v>
      </c>
      <c r="C79" s="58"/>
      <c r="E79" s="21">
        <f t="shared" ref="E79:Q79" si="43">E9-E12-E13-E15-E11</f>
        <v>0</v>
      </c>
      <c r="F79" s="21">
        <f t="shared" si="43"/>
        <v>0</v>
      </c>
      <c r="G79" s="21">
        <f t="shared" si="43"/>
        <v>0</v>
      </c>
      <c r="H79" s="21">
        <f t="shared" si="43"/>
        <v>0</v>
      </c>
      <c r="I79" s="21">
        <f t="shared" si="43"/>
        <v>0</v>
      </c>
      <c r="J79" s="21">
        <f t="shared" si="43"/>
        <v>0</v>
      </c>
      <c r="K79" s="21">
        <f t="shared" si="43"/>
        <v>0</v>
      </c>
      <c r="L79" s="21">
        <f t="shared" si="43"/>
        <v>0</v>
      </c>
      <c r="M79" s="21">
        <f t="shared" si="43"/>
        <v>-5.7220458984375E-6</v>
      </c>
      <c r="N79" s="21">
        <f t="shared" si="43"/>
        <v>0</v>
      </c>
      <c r="O79" s="21">
        <f>O9-O12-O13-O15-O11</f>
        <v>0</v>
      </c>
      <c r="P79" s="21">
        <f>P9-P12-P13-P15-P11</f>
        <v>0</v>
      </c>
      <c r="Q79" s="21">
        <f t="shared" si="43"/>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1040</v>
      </c>
      <c r="C82" s="58"/>
      <c r="E82">
        <v>53790000000</v>
      </c>
      <c r="F82">
        <v>56682000000</v>
      </c>
      <c r="G82">
        <v>61904000000</v>
      </c>
      <c r="H82">
        <v>69626000000</v>
      </c>
      <c r="I82">
        <v>77024000000</v>
      </c>
      <c r="J82">
        <v>91748000000</v>
      </c>
      <c r="K82">
        <v>103009000000</v>
      </c>
      <c r="L82">
        <v>120694000000</v>
      </c>
      <c r="M82" s="542">
        <v>121700000000</v>
      </c>
      <c r="N82" s="542">
        <v>137900000000</v>
      </c>
      <c r="O82" s="542">
        <v>166200000000</v>
      </c>
      <c r="P82" s="542">
        <v>187200000000</v>
      </c>
      <c r="Q82" s="542">
        <v>211900000000</v>
      </c>
      <c r="R82" s="542">
        <v>228000000000</v>
      </c>
      <c r="S82" s="542">
        <v>228000000000</v>
      </c>
      <c r="T82" s="542">
        <v>233600000000</v>
      </c>
      <c r="U82" s="542">
        <v>253900000000</v>
      </c>
      <c r="V82" s="542">
        <v>275200000000</v>
      </c>
      <c r="W82" s="542">
        <v>296700000000</v>
      </c>
      <c r="X82" s="542">
        <v>319700000000</v>
      </c>
      <c r="Y82">
        <v>346500000000</v>
      </c>
      <c r="Z82">
        <v>375500000000</v>
      </c>
    </row>
    <row r="83" spans="2:26">
      <c r="B83" t="s">
        <v>151</v>
      </c>
      <c r="C83" s="58"/>
      <c r="E83">
        <f t="shared" ref="E83:Z83" si="44">(E6/E82)*100</f>
        <v>25.642312697527419</v>
      </c>
      <c r="F83">
        <f t="shared" si="44"/>
        <v>25.36431318584383</v>
      </c>
      <c r="G83">
        <f t="shared" si="44"/>
        <v>24.413608167485137</v>
      </c>
      <c r="H83">
        <f t="shared" si="44"/>
        <v>27.249877919168124</v>
      </c>
      <c r="I83">
        <f t="shared" si="44"/>
        <v>31.551204819277107</v>
      </c>
      <c r="J83">
        <f t="shared" si="44"/>
        <v>34.303963029166852</v>
      </c>
      <c r="K83">
        <f t="shared" si="44"/>
        <v>34.409614693861698</v>
      </c>
      <c r="L83">
        <f t="shared" si="44"/>
        <v>38.800000000000004</v>
      </c>
      <c r="M83">
        <f t="shared" si="44"/>
        <v>35.799999999999997</v>
      </c>
      <c r="N83">
        <f t="shared" si="44"/>
        <v>33.300000000000004</v>
      </c>
      <c r="O83">
        <f t="shared" si="44"/>
        <v>36.199999999999996</v>
      </c>
      <c r="P83">
        <f t="shared" si="44"/>
        <v>37.700000000000003</v>
      </c>
      <c r="Q83">
        <f t="shared" si="44"/>
        <v>39</v>
      </c>
      <c r="R83">
        <f t="shared" si="44"/>
        <v>39.900000000000006</v>
      </c>
      <c r="S83">
        <f t="shared" si="44"/>
        <v>37.799999999999997</v>
      </c>
      <c r="T83">
        <f t="shared" si="44"/>
        <v>33.200000000000003</v>
      </c>
      <c r="U83">
        <f t="shared" si="44"/>
        <v>31.7</v>
      </c>
      <c r="V83">
        <f t="shared" si="44"/>
        <v>31.8</v>
      </c>
      <c r="W83">
        <f t="shared" si="44"/>
        <v>31.900000000000002</v>
      </c>
      <c r="X83">
        <f t="shared" si="44"/>
        <v>31.900000000000002</v>
      </c>
      <c r="Y83">
        <f t="shared" si="44"/>
        <v>31.6</v>
      </c>
      <c r="Z83">
        <f t="shared" si="44"/>
        <v>31.4</v>
      </c>
    </row>
    <row r="84" spans="2:26">
      <c r="B84" t="s">
        <v>152</v>
      </c>
      <c r="E84">
        <f t="shared" ref="E84:X84" si="45">(E24/E82)*100</f>
        <v>31.955753857594349</v>
      </c>
      <c r="F84">
        <f t="shared" si="45"/>
        <v>33.292756077767194</v>
      </c>
      <c r="G84">
        <f t="shared" si="45"/>
        <v>31.989855259757043</v>
      </c>
      <c r="H84">
        <f t="shared" si="45"/>
        <v>32.344239220980668</v>
      </c>
      <c r="I84">
        <f t="shared" si="45"/>
        <v>33.181865392604905</v>
      </c>
      <c r="J84">
        <f t="shared" si="45"/>
        <v>29.833892836901079</v>
      </c>
      <c r="K84">
        <f t="shared" si="45"/>
        <v>31.809841858478382</v>
      </c>
      <c r="L84">
        <f t="shared" si="45"/>
        <v>35.199999999999996</v>
      </c>
      <c r="M84">
        <f t="shared" si="45"/>
        <v>35.799999999999997</v>
      </c>
      <c r="N84">
        <f t="shared" si="45"/>
        <v>31.6</v>
      </c>
      <c r="O84">
        <f t="shared" si="45"/>
        <v>35.4</v>
      </c>
      <c r="P84">
        <f t="shared" si="45"/>
        <v>36.1</v>
      </c>
      <c r="Q84">
        <f t="shared" si="45"/>
        <v>38.4</v>
      </c>
      <c r="R84">
        <f t="shared" si="45"/>
        <v>43.2</v>
      </c>
      <c r="S84">
        <f t="shared" si="45"/>
        <v>44.7</v>
      </c>
      <c r="T84">
        <f t="shared" si="45"/>
        <v>39.79999999999999</v>
      </c>
      <c r="U84">
        <f t="shared" si="45"/>
        <v>39</v>
      </c>
      <c r="V84">
        <f t="shared" si="45"/>
        <v>38.299999999999997</v>
      </c>
      <c r="W84">
        <f t="shared" si="45"/>
        <v>37.700000000000003</v>
      </c>
      <c r="X84">
        <f t="shared" si="45"/>
        <v>37.299999999999997</v>
      </c>
      <c r="Y84">
        <f t="shared" ref="Y84:Z84" si="46">(Y24/Y82)*100</f>
        <v>36.6</v>
      </c>
      <c r="Z84">
        <f t="shared" si="46"/>
        <v>36.1</v>
      </c>
    </row>
    <row r="87" spans="2:26" ht="13.5" customHeight="1">
      <c r="B87" t="s">
        <v>153</v>
      </c>
      <c r="D87" t="b">
        <f>IF(D46&lt;0, (D46/D28)*100)</f>
        <v>0</v>
      </c>
      <c r="E87" t="b">
        <f>IF(E43&lt;0, (E46/E24)*100)</f>
        <v>0</v>
      </c>
      <c r="F87" t="b">
        <f t="shared" ref="F87:U87" si="47">IF(F43&lt;0, (F46/F24)*100)</f>
        <v>0</v>
      </c>
      <c r="G87" t="b">
        <f t="shared" si="47"/>
        <v>0</v>
      </c>
      <c r="H87" t="b">
        <f t="shared" si="47"/>
        <v>0</v>
      </c>
      <c r="I87" t="b">
        <f t="shared" si="47"/>
        <v>0</v>
      </c>
      <c r="J87" t="b">
        <f t="shared" si="47"/>
        <v>0</v>
      </c>
      <c r="K87" t="b">
        <f t="shared" si="47"/>
        <v>0</v>
      </c>
      <c r="L87" t="b">
        <f t="shared" si="47"/>
        <v>0</v>
      </c>
      <c r="M87" t="b">
        <f t="shared" si="47"/>
        <v>0</v>
      </c>
      <c r="N87" t="b">
        <f t="shared" si="47"/>
        <v>0</v>
      </c>
      <c r="O87" t="b">
        <f t="shared" si="47"/>
        <v>0</v>
      </c>
      <c r="P87" t="b">
        <f t="shared" si="47"/>
        <v>0</v>
      </c>
      <c r="Q87" t="b">
        <f t="shared" si="47"/>
        <v>0</v>
      </c>
      <c r="R87" t="b">
        <f t="shared" si="47"/>
        <v>0</v>
      </c>
      <c r="S87" t="b">
        <f t="shared" si="47"/>
        <v>0</v>
      </c>
      <c r="T87" t="b">
        <f t="shared" si="47"/>
        <v>0</v>
      </c>
      <c r="U87" t="b">
        <f t="shared" si="47"/>
        <v>0</v>
      </c>
      <c r="V87" t="b">
        <f>IF(V46&lt;0, (V46/V28)*100)</f>
        <v>0</v>
      </c>
      <c r="W87" t="b">
        <f>IF(W46&lt;0, (W46/W28)*100)</f>
        <v>0</v>
      </c>
      <c r="X87" t="b">
        <f>IF(X46&lt;0, (X46/X28)*100)</f>
        <v>0</v>
      </c>
      <c r="Y87" t="b">
        <f t="shared" ref="Y87:Z87" si="48">IF(Y46&lt;0, (Y46/Y28)*100)</f>
        <v>0</v>
      </c>
      <c r="Z87" t="b">
        <f t="shared" si="48"/>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L22" activePane="bottomRight" state="frozen"/>
      <selection pane="topRight" activeCell="R7" sqref="R7"/>
      <selection pane="bottomLeft" activeCell="R7" sqref="R7"/>
      <selection pane="bottomRight" activeCell="M41" sqref="M41"/>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1" t="s">
        <v>1041</v>
      </c>
      <c r="B1" s="82" t="s">
        <v>1042</v>
      </c>
      <c r="C1" s="82"/>
      <c r="D1" s="776"/>
      <c r="E1" s="27"/>
      <c r="F1" s="27"/>
      <c r="G1" s="27"/>
      <c r="H1" s="27"/>
      <c r="I1" s="27"/>
      <c r="J1" s="27"/>
      <c r="K1" s="776"/>
      <c r="L1" s="27"/>
      <c r="M1" s="27"/>
      <c r="N1" s="27"/>
      <c r="O1" s="28"/>
      <c r="P1" s="28"/>
      <c r="Q1" s="28"/>
      <c r="R1" s="777"/>
      <c r="S1" s="28"/>
      <c r="T1" s="28"/>
      <c r="U1" s="28"/>
      <c r="V1" s="28"/>
      <c r="W1" s="28"/>
      <c r="X1" s="2"/>
    </row>
    <row r="2" spans="1:24">
      <c r="B2" s="30" t="s">
        <v>1043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785</v>
      </c>
      <c r="B6" s="260" t="s">
        <v>33</v>
      </c>
      <c r="C6" s="55" t="s">
        <v>35</v>
      </c>
      <c r="D6" s="296">
        <v>5402700000</v>
      </c>
      <c r="E6" s="296">
        <v>5450400000</v>
      </c>
      <c r="F6" s="168">
        <v>5784800000</v>
      </c>
      <c r="G6" s="319">
        <f t="shared" ref="G6:L6" si="0">G7+G19</f>
        <v>7433140000</v>
      </c>
      <c r="H6" s="319">
        <f t="shared" si="0"/>
        <v>7071115999.999999</v>
      </c>
      <c r="I6" s="319">
        <f t="shared" si="0"/>
        <v>7842288000</v>
      </c>
      <c r="J6" s="319">
        <f t="shared" si="0"/>
        <v>9246775999.9999981</v>
      </c>
      <c r="K6" s="319">
        <f t="shared" si="0"/>
        <v>10641456000</v>
      </c>
      <c r="L6" s="319">
        <f t="shared" si="0"/>
        <v>11162000000</v>
      </c>
      <c r="M6" s="296">
        <v>10820300000</v>
      </c>
      <c r="N6" s="295">
        <v>11568735000</v>
      </c>
      <c r="O6" s="296">
        <v>11829348000</v>
      </c>
      <c r="P6" s="296">
        <v>11912400000</v>
      </c>
      <c r="Q6" s="295">
        <v>11563900000</v>
      </c>
      <c r="R6" s="295">
        <v>11849400000</v>
      </c>
      <c r="S6" s="295">
        <v>12362000000</v>
      </c>
      <c r="T6" s="295">
        <v>12755100000</v>
      </c>
      <c r="U6" s="295">
        <v>13610200000</v>
      </c>
      <c r="V6" s="295">
        <v>14395900000</v>
      </c>
      <c r="W6" s="295">
        <v>16092700000</v>
      </c>
      <c r="X6" s="411">
        <v>17194800000</v>
      </c>
    </row>
    <row r="7" spans="1:24" ht="16.5">
      <c r="A7" s="441" t="s">
        <v>36</v>
      </c>
      <c r="B7" s="892" t="s">
        <v>36</v>
      </c>
      <c r="C7" s="345" t="s">
        <v>38</v>
      </c>
      <c r="D7" s="210">
        <f>D8+D22</f>
        <v>4449900000</v>
      </c>
      <c r="E7" s="210">
        <f t="shared" ref="E7:O7" si="1">E8+E22</f>
        <v>4655900000</v>
      </c>
      <c r="F7" s="210">
        <f t="shared" si="1"/>
        <v>5039500000</v>
      </c>
      <c r="G7" s="300">
        <f t="shared" si="1"/>
        <v>6492980000</v>
      </c>
      <c r="H7" s="300">
        <f>H8+H22</f>
        <v>6575177999.999999</v>
      </c>
      <c r="I7" s="300">
        <f>I8+I22</f>
        <v>7326348000</v>
      </c>
      <c r="J7" s="300">
        <f>J8+J22</f>
        <v>8741699999.9999981</v>
      </c>
      <c r="K7" s="300">
        <f>K8+K22</f>
        <v>9940784000</v>
      </c>
      <c r="L7" s="300">
        <f>L8+L22</f>
        <v>10627000000</v>
      </c>
      <c r="M7" s="210">
        <f t="shared" si="1"/>
        <v>10305300000</v>
      </c>
      <c r="N7" s="210">
        <f t="shared" si="1"/>
        <v>10946760000</v>
      </c>
      <c r="O7" s="210">
        <f t="shared" si="1"/>
        <v>11288136000</v>
      </c>
      <c r="P7" s="210">
        <f>P8+P22</f>
        <v>11342300000</v>
      </c>
      <c r="Q7" s="887">
        <f>Q6-Q19</f>
        <v>11329800000</v>
      </c>
      <c r="R7" s="887">
        <f t="shared" ref="R7:V7" si="2">R6-R19</f>
        <v>11579700000</v>
      </c>
      <c r="S7" s="887">
        <f t="shared" si="2"/>
        <v>12119900000</v>
      </c>
      <c r="T7" s="887">
        <f t="shared" si="2"/>
        <v>12531500000</v>
      </c>
      <c r="U7" s="887">
        <f t="shared" si="2"/>
        <v>13404200000</v>
      </c>
      <c r="V7" s="887">
        <f t="shared" si="2"/>
        <v>14179700000</v>
      </c>
      <c r="W7" s="210">
        <f>W8+W22</f>
        <v>15167100000</v>
      </c>
      <c r="X7" s="210">
        <f>X8+X22</f>
        <v>16208200000</v>
      </c>
    </row>
    <row r="8" spans="1:24" ht="16.5">
      <c r="A8" s="893" t="s">
        <v>1044</v>
      </c>
      <c r="B8" s="893" t="s">
        <v>39</v>
      </c>
      <c r="C8" s="58" t="s">
        <v>41</v>
      </c>
      <c r="D8" s="210">
        <f>D9</f>
        <v>4094800000</v>
      </c>
      <c r="E8" s="210">
        <f>E9</f>
        <v>4209200000</v>
      </c>
      <c r="F8" s="210">
        <f>F9</f>
        <v>4485300000</v>
      </c>
      <c r="G8" s="300">
        <f t="shared" ref="G8:L8" si="3">G10+G11+G16+G17+G14</f>
        <v>5464680000</v>
      </c>
      <c r="H8" s="300">
        <f t="shared" si="3"/>
        <v>5471315999.999999</v>
      </c>
      <c r="I8" s="300">
        <f t="shared" si="3"/>
        <v>6139686000</v>
      </c>
      <c r="J8" s="300">
        <f t="shared" si="3"/>
        <v>7479009999.9999981</v>
      </c>
      <c r="K8" s="300">
        <f t="shared" si="3"/>
        <v>8429960000</v>
      </c>
      <c r="L8" s="300">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8">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89">
        <v>8646100000</v>
      </c>
    </row>
    <row r="10" spans="1:24" ht="16.5">
      <c r="A10" s="100" t="s">
        <v>989</v>
      </c>
      <c r="B10" s="100" t="s">
        <v>1045</v>
      </c>
      <c r="C10" s="90" t="s">
        <v>44</v>
      </c>
      <c r="D10" s="210">
        <v>415300000</v>
      </c>
      <c r="E10" s="210">
        <v>362400000</v>
      </c>
      <c r="F10" s="298">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89">
        <v>1418400000</v>
      </c>
    </row>
    <row r="11" spans="1:24" ht="16.5">
      <c r="A11" s="100" t="s">
        <v>992</v>
      </c>
      <c r="B11" s="100" t="s">
        <v>1046</v>
      </c>
      <c r="C11" s="90" t="s">
        <v>44</v>
      </c>
      <c r="D11" s="210">
        <v>1554600000</v>
      </c>
      <c r="E11" s="210">
        <v>1470300000</v>
      </c>
      <c r="F11" s="298">
        <v>1886800000</v>
      </c>
      <c r="G11" s="321">
        <f t="shared" ref="G11:L11" si="4">G12+G13+G15</f>
        <v>2365090000</v>
      </c>
      <c r="H11" s="321">
        <f t="shared" si="4"/>
        <v>2463692000</v>
      </c>
      <c r="I11" s="321">
        <f t="shared" si="4"/>
        <v>2854868000</v>
      </c>
      <c r="J11" s="321">
        <f t="shared" si="4"/>
        <v>3807495999.9999995</v>
      </c>
      <c r="K11" s="321">
        <f t="shared" si="4"/>
        <v>4182136000</v>
      </c>
      <c r="L11" s="321">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89">
        <v>7195200000</v>
      </c>
    </row>
    <row r="12" spans="1:24">
      <c r="A12" t="s">
        <v>1047</v>
      </c>
      <c r="B12" s="100" t="s">
        <v>1048</v>
      </c>
      <c r="C12" s="34" t="s">
        <v>1049</v>
      </c>
      <c r="D12" s="298"/>
      <c r="E12" s="298"/>
      <c r="F12" s="298"/>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89"/>
    </row>
    <row r="13" spans="1:24">
      <c r="A13" s="126" t="s">
        <v>553</v>
      </c>
      <c r="B13" s="126" t="s">
        <v>553</v>
      </c>
      <c r="C13" s="34" t="s">
        <v>1049</v>
      </c>
      <c r="D13" s="298"/>
      <c r="E13" s="298"/>
      <c r="F13" s="298"/>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89"/>
    </row>
    <row r="14" spans="1:24">
      <c r="A14" s="100" t="s">
        <v>1050</v>
      </c>
      <c r="B14" s="100" t="s">
        <v>1051</v>
      </c>
      <c r="C14" s="90" t="s">
        <v>44</v>
      </c>
      <c r="D14" s="210">
        <v>599000000</v>
      </c>
      <c r="E14" s="210">
        <v>840000000</v>
      </c>
      <c r="F14" s="298">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89"/>
    </row>
    <row r="15" spans="1:24">
      <c r="A15" s="100" t="s">
        <v>1052</v>
      </c>
      <c r="B15" s="100" t="s">
        <v>1053</v>
      </c>
      <c r="C15" s="34" t="s">
        <v>1049</v>
      </c>
      <c r="D15" s="298"/>
      <c r="E15" s="298"/>
      <c r="F15" s="298"/>
      <c r="G15" s="298"/>
      <c r="H15" s="298"/>
      <c r="I15" s="298"/>
      <c r="J15" s="298"/>
      <c r="K15" s="298"/>
      <c r="L15" s="210">
        <v>40000000</v>
      </c>
      <c r="M15" s="210"/>
      <c r="N15" s="125"/>
      <c r="O15" s="210"/>
      <c r="P15" s="210"/>
      <c r="Q15" s="210"/>
      <c r="R15" s="125"/>
      <c r="S15" s="125"/>
      <c r="T15" s="125"/>
      <c r="U15" s="125"/>
      <c r="V15" s="125"/>
      <c r="W15" s="125"/>
      <c r="X15" s="389"/>
    </row>
    <row r="16" spans="1:24" ht="16.5">
      <c r="A16" s="100" t="s">
        <v>49</v>
      </c>
      <c r="B16" s="100" t="s">
        <v>1054</v>
      </c>
      <c r="C16" s="90" t="s">
        <v>44</v>
      </c>
      <c r="D16" s="298"/>
      <c r="E16" s="298"/>
      <c r="F16" s="298"/>
      <c r="G16" s="298"/>
      <c r="H16" s="298"/>
      <c r="I16" s="298"/>
      <c r="J16" s="298"/>
      <c r="K16" s="298"/>
      <c r="L16" s="125"/>
      <c r="M16" s="210"/>
      <c r="N16" s="125"/>
      <c r="O16" s="210">
        <v>25771999.999999996</v>
      </c>
      <c r="P16" s="210">
        <v>12800000</v>
      </c>
      <c r="Q16" s="210">
        <v>15700000</v>
      </c>
      <c r="R16" s="125">
        <v>9400000</v>
      </c>
      <c r="S16" s="125">
        <v>38200000</v>
      </c>
      <c r="T16" s="125">
        <v>8500000</v>
      </c>
      <c r="U16" s="125">
        <v>16000000</v>
      </c>
      <c r="V16" s="125">
        <v>31300000</v>
      </c>
      <c r="W16" s="125">
        <v>30500000</v>
      </c>
      <c r="X16" s="389">
        <v>32500000</v>
      </c>
    </row>
    <row r="17" spans="1:24" ht="16.5">
      <c r="A17" s="100" t="s">
        <v>635</v>
      </c>
      <c r="B17" s="100" t="s">
        <v>1055</v>
      </c>
      <c r="C17" s="90" t="s">
        <v>44</v>
      </c>
      <c r="D17" s="210">
        <v>1526000000</v>
      </c>
      <c r="E17" s="210">
        <v>1536500000</v>
      </c>
      <c r="F17" s="298">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89">
        <v>5704800000</v>
      </c>
    </row>
    <row r="18" spans="1:24" ht="16.5">
      <c r="B18" s="100" t="s">
        <v>1055</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5" t="s">
        <v>38</v>
      </c>
      <c r="D19" s="296">
        <v>952700000</v>
      </c>
      <c r="E19" s="296">
        <v>794500000</v>
      </c>
      <c r="F19" s="168">
        <v>745400000</v>
      </c>
      <c r="G19" s="319">
        <f>G20+G21</f>
        <v>940160000</v>
      </c>
      <c r="H19" s="295">
        <v>495938000</v>
      </c>
      <c r="I19" s="295">
        <v>515940000.00000006</v>
      </c>
      <c r="J19" s="295">
        <v>505076000</v>
      </c>
      <c r="K19" s="295">
        <v>700672000</v>
      </c>
      <c r="L19" s="295">
        <v>535000000</v>
      </c>
      <c r="M19" s="296">
        <v>515000000</v>
      </c>
      <c r="N19" s="295">
        <v>621975000.00000012</v>
      </c>
      <c r="O19" s="296">
        <v>541212000</v>
      </c>
      <c r="P19" s="296">
        <v>570200000</v>
      </c>
      <c r="Q19" s="296">
        <v>234100000</v>
      </c>
      <c r="R19" s="295">
        <v>269700000</v>
      </c>
      <c r="S19" s="295">
        <v>242100000</v>
      </c>
      <c r="T19" s="295">
        <v>223600000</v>
      </c>
      <c r="U19" s="295">
        <v>206000000</v>
      </c>
      <c r="V19" s="295">
        <v>216200000</v>
      </c>
      <c r="W19" s="295">
        <v>925600000</v>
      </c>
      <c r="X19" s="411">
        <v>986600000</v>
      </c>
    </row>
    <row r="20" spans="1:24">
      <c r="A20" s="99" t="s">
        <v>262</v>
      </c>
      <c r="B20" s="99" t="s">
        <v>1056</v>
      </c>
      <c r="C20" s="34" t="s">
        <v>57</v>
      </c>
      <c r="D20" s="210">
        <v>114700000</v>
      </c>
      <c r="E20" s="210">
        <v>39500000</v>
      </c>
      <c r="F20" s="298">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89"/>
    </row>
    <row r="21" spans="1:24">
      <c r="A21" s="99" t="s">
        <v>1057</v>
      </c>
      <c r="B21" s="99" t="s">
        <v>1058</v>
      </c>
      <c r="C21" s="34" t="s">
        <v>57</v>
      </c>
      <c r="D21" s="210">
        <v>838000000</v>
      </c>
      <c r="E21" s="210">
        <v>755000000</v>
      </c>
      <c r="F21" s="298">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89"/>
    </row>
    <row r="22" spans="1:24" ht="16.5">
      <c r="A22" s="99" t="s">
        <v>560</v>
      </c>
      <c r="B22" s="99" t="s">
        <v>378</v>
      </c>
      <c r="C22" s="58" t="s">
        <v>41</v>
      </c>
      <c r="D22" s="210">
        <v>355100000</v>
      </c>
      <c r="E22" s="210">
        <v>446700000</v>
      </c>
      <c r="F22" s="298">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89">
        <v>1857300000</v>
      </c>
    </row>
    <row r="23" spans="1:24" s="9" customFormat="1" ht="16.5">
      <c r="A23" s="18" t="s">
        <v>198</v>
      </c>
      <c r="B23" s="260" t="s">
        <v>535</v>
      </c>
      <c r="C23" s="55" t="s">
        <v>35</v>
      </c>
      <c r="D23" s="319">
        <f t="shared" ref="D23:K23" si="5">D24+D36+D40+D41+D42</f>
        <v>5713200000</v>
      </c>
      <c r="E23" s="319">
        <f t="shared" si="5"/>
        <v>5724900000</v>
      </c>
      <c r="F23" s="319">
        <f t="shared" si="5"/>
        <v>6265900000</v>
      </c>
      <c r="G23" s="319">
        <f t="shared" si="5"/>
        <v>7668180000</v>
      </c>
      <c r="H23" s="319">
        <f t="shared" si="5"/>
        <v>7151106000</v>
      </c>
      <c r="I23" s="319">
        <f t="shared" si="5"/>
        <v>7704704000</v>
      </c>
      <c r="J23" s="319">
        <f t="shared" si="5"/>
        <v>8799978000</v>
      </c>
      <c r="K23" s="319">
        <f t="shared" si="5"/>
        <v>10685248000</v>
      </c>
      <c r="L23" s="319">
        <f>L24+L36+L40+L41+L42</f>
        <v>13294000000</v>
      </c>
      <c r="M23" s="296">
        <v>12145000000</v>
      </c>
      <c r="N23" s="319">
        <f>N24+N36+N40+N41+N42</f>
        <v>12613653000</v>
      </c>
      <c r="O23" s="319">
        <f>O24+O36+O40+O41+O42</f>
        <v>12550964000</v>
      </c>
      <c r="P23" s="319">
        <f t="shared" ref="P23:X23" si="6">P24+P36+P40+P41+P42</f>
        <v>12655800000</v>
      </c>
      <c r="Q23" s="894">
        <f t="shared" si="6"/>
        <v>12094900000</v>
      </c>
      <c r="R23" s="894">
        <f t="shared" si="6"/>
        <v>12698600000</v>
      </c>
      <c r="S23" s="894">
        <f t="shared" si="6"/>
        <v>12489400000</v>
      </c>
      <c r="T23" s="894">
        <f t="shared" si="6"/>
        <v>12695100000</v>
      </c>
      <c r="U23" s="894">
        <f t="shared" si="6"/>
        <v>13010400000</v>
      </c>
      <c r="V23" s="894">
        <f t="shared" si="6"/>
        <v>14029600000</v>
      </c>
      <c r="W23" s="319">
        <f t="shared" si="6"/>
        <v>16289300000</v>
      </c>
      <c r="X23" s="319">
        <f t="shared" si="6"/>
        <v>17254300000</v>
      </c>
    </row>
    <row r="24" spans="1:24" ht="16.5">
      <c r="A24" s="90" t="s">
        <v>476</v>
      </c>
      <c r="B24" s="153" t="s">
        <v>382</v>
      </c>
      <c r="C24" s="58" t="s">
        <v>201</v>
      </c>
      <c r="D24" s="321">
        <f>D25+D26+D27+D31+D33+D34</f>
        <v>4617700000</v>
      </c>
      <c r="E24" s="321">
        <f t="shared" ref="E24:L24" si="7">E25+E26+E27+E31+E33+E34</f>
        <v>4712000000</v>
      </c>
      <c r="F24" s="321">
        <f t="shared" si="7"/>
        <v>5178300000</v>
      </c>
      <c r="G24" s="321">
        <f t="shared" si="7"/>
        <v>6081660000</v>
      </c>
      <c r="H24" s="321">
        <f t="shared" si="7"/>
        <v>6031246000</v>
      </c>
      <c r="I24" s="321">
        <f t="shared" si="7"/>
        <v>6518042000</v>
      </c>
      <c r="J24" s="321">
        <f t="shared" si="7"/>
        <v>7595565999.999999</v>
      </c>
      <c r="K24" s="321">
        <f t="shared" si="7"/>
        <v>9174424000</v>
      </c>
      <c r="L24" s="321">
        <f t="shared" si="7"/>
        <v>11049000000</v>
      </c>
      <c r="M24" s="210">
        <v>10369900000</v>
      </c>
      <c r="N24" s="319">
        <f>N25+N26+N27+N31+N32+N33+N34</f>
        <v>10623333000</v>
      </c>
      <c r="O24" s="319">
        <f>O25+O26+O27+O31+O32+O33+O34</f>
        <v>10927328000</v>
      </c>
      <c r="P24" s="319">
        <f t="shared" ref="P24:X24" si="8">P25+P26+P27+P31+P32+P33+P34</f>
        <v>10985600000</v>
      </c>
      <c r="Q24" s="894">
        <f t="shared" si="8"/>
        <v>10737500000</v>
      </c>
      <c r="R24" s="894">
        <f t="shared" si="8"/>
        <v>11191400000</v>
      </c>
      <c r="S24" s="894">
        <f t="shared" si="8"/>
        <v>11404500000</v>
      </c>
      <c r="T24" s="894">
        <f t="shared" si="8"/>
        <v>11524100000</v>
      </c>
      <c r="U24" s="894">
        <f t="shared" si="8"/>
        <v>11726300000</v>
      </c>
      <c r="V24" s="894">
        <f t="shared" si="8"/>
        <v>12193600000</v>
      </c>
      <c r="W24" s="319">
        <f t="shared" si="8"/>
        <v>13607800000</v>
      </c>
      <c r="X24" s="319">
        <f t="shared" si="8"/>
        <v>14351200000</v>
      </c>
    </row>
    <row r="25" spans="1:24" ht="16.5">
      <c r="A25" s="99" t="s">
        <v>797</v>
      </c>
      <c r="B25" s="99" t="s">
        <v>383</v>
      </c>
      <c r="C25" s="58" t="s">
        <v>204</v>
      </c>
      <c r="D25" s="298"/>
      <c r="E25" s="298"/>
      <c r="F25" s="298"/>
      <c r="G25" s="331">
        <v>2012530000</v>
      </c>
      <c r="H25" s="331">
        <v>1919760000</v>
      </c>
      <c r="I25" s="331">
        <v>1960572000.0000002</v>
      </c>
      <c r="J25" s="331">
        <v>2156285999.9999995</v>
      </c>
      <c r="K25" s="331">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89">
        <v>4057500000</v>
      </c>
    </row>
    <row r="26" spans="1:24" ht="16.5">
      <c r="A26" s="99" t="s">
        <v>1059</v>
      </c>
      <c r="B26" s="99" t="s">
        <v>384</v>
      </c>
      <c r="C26" s="58" t="s">
        <v>204</v>
      </c>
      <c r="D26" s="298"/>
      <c r="E26" s="298"/>
      <c r="F26" s="298"/>
      <c r="G26" s="125">
        <v>1615900000</v>
      </c>
      <c r="H26" s="331">
        <v>1615797999.9999998</v>
      </c>
      <c r="I26" s="331">
        <v>1668205999.9999998</v>
      </c>
      <c r="J26" s="331">
        <v>1942600000</v>
      </c>
      <c r="K26" s="331">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89">
        <v>3844600000</v>
      </c>
    </row>
    <row r="27" spans="1:24">
      <c r="A27" s="99" t="s">
        <v>1060</v>
      </c>
      <c r="B27" s="99" t="s">
        <v>1061</v>
      </c>
      <c r="C27" s="58" t="s">
        <v>204</v>
      </c>
      <c r="D27" s="210">
        <v>1918900000</v>
      </c>
      <c r="E27" s="210">
        <v>2011100000</v>
      </c>
      <c r="F27" s="298">
        <v>2289500000</v>
      </c>
      <c r="G27" s="125">
        <v>2071290000</v>
      </c>
      <c r="H27" s="125">
        <v>2047744000</v>
      </c>
      <c r="I27" s="125">
        <v>2270136000</v>
      </c>
      <c r="J27" s="125">
        <v>2661361999.9999995</v>
      </c>
      <c r="K27" s="125">
        <v>3569048000</v>
      </c>
      <c r="L27" s="300">
        <f>(L28+L29+L30)</f>
        <v>4838000000</v>
      </c>
      <c r="M27" s="210">
        <f>M28+M29+M30</f>
        <v>3713600000</v>
      </c>
      <c r="N27" s="300">
        <f>(N28+N29+N30)</f>
        <v>3706971000.0000005</v>
      </c>
      <c r="O27" s="300">
        <f t="shared" ref="O27:X27" si="9">(O28+O29+O30)</f>
        <v>3762711999.9999995</v>
      </c>
      <c r="P27" s="300">
        <f t="shared" si="9"/>
        <v>3736700000</v>
      </c>
      <c r="Q27" s="887">
        <f t="shared" si="9"/>
        <v>4375200000</v>
      </c>
      <c r="R27" s="887">
        <f t="shared" si="9"/>
        <v>4762700000</v>
      </c>
      <c r="S27" s="887">
        <f t="shared" si="9"/>
        <v>4835800000</v>
      </c>
      <c r="T27" s="887">
        <f t="shared" si="9"/>
        <v>4880200000</v>
      </c>
      <c r="U27" s="887">
        <f t="shared" si="9"/>
        <v>4963700000</v>
      </c>
      <c r="V27" s="887">
        <f t="shared" si="9"/>
        <v>5162600000</v>
      </c>
      <c r="W27" s="300">
        <f t="shared" si="9"/>
        <v>4730400000</v>
      </c>
      <c r="X27" s="300">
        <f t="shared" si="9"/>
        <v>5008400000</v>
      </c>
    </row>
    <row r="28" spans="1:24" ht="16.5">
      <c r="A28" s="99" t="s">
        <v>806</v>
      </c>
      <c r="B28" s="99" t="s">
        <v>1062</v>
      </c>
      <c r="C28" s="34" t="s">
        <v>1063</v>
      </c>
      <c r="D28" s="298"/>
      <c r="E28" s="298"/>
      <c r="F28" s="298"/>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89">
        <v>5008400000</v>
      </c>
    </row>
    <row r="29" spans="1:24">
      <c r="A29" s="99" t="s">
        <v>1064</v>
      </c>
      <c r="B29" s="99" t="s">
        <v>1065</v>
      </c>
      <c r="C29" s="34" t="s">
        <v>1063</v>
      </c>
      <c r="D29" s="298"/>
      <c r="E29" s="298"/>
      <c r="F29" s="298"/>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89"/>
    </row>
    <row r="30" spans="1:24">
      <c r="A30" s="99" t="s">
        <v>1066</v>
      </c>
      <c r="B30" s="99" t="s">
        <v>1067</v>
      </c>
      <c r="C30" s="34" t="s">
        <v>1063</v>
      </c>
      <c r="D30" s="298"/>
      <c r="E30" s="298"/>
      <c r="F30" s="298"/>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89"/>
    </row>
    <row r="31" spans="1:24" ht="16.5">
      <c r="A31" s="152" t="s">
        <v>91</v>
      </c>
      <c r="B31" s="152" t="s">
        <v>91</v>
      </c>
      <c r="C31" s="58" t="s">
        <v>204</v>
      </c>
      <c r="D31" s="210">
        <v>131199999.99999999</v>
      </c>
      <c r="E31" s="210">
        <v>129300000.00000001</v>
      </c>
      <c r="F31" s="298">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89">
        <v>400000000</v>
      </c>
    </row>
    <row r="32" spans="1:24" ht="16.5">
      <c r="A32" s="152" t="s">
        <v>215</v>
      </c>
      <c r="B32" s="152" t="s">
        <v>215</v>
      </c>
      <c r="C32" s="58" t="s">
        <v>204</v>
      </c>
      <c r="D32" s="298"/>
      <c r="E32" s="298"/>
      <c r="F32" s="298"/>
      <c r="G32" s="298"/>
      <c r="H32" s="298"/>
      <c r="I32" s="298"/>
      <c r="J32" s="298"/>
      <c r="K32" s="298"/>
      <c r="L32" s="298"/>
      <c r="M32" s="210">
        <v>364900000</v>
      </c>
      <c r="N32" s="125">
        <v>422943000</v>
      </c>
      <c r="O32" s="210">
        <v>438124000</v>
      </c>
      <c r="P32" s="210">
        <v>414500000</v>
      </c>
      <c r="Q32" s="210"/>
      <c r="R32" s="125"/>
      <c r="S32" s="125"/>
      <c r="T32" s="125"/>
      <c r="U32" s="125"/>
      <c r="V32" s="125"/>
      <c r="W32" s="125">
        <v>386800000</v>
      </c>
      <c r="X32" s="389">
        <v>382200000</v>
      </c>
    </row>
    <row r="33" spans="1:24" ht="16.5">
      <c r="A33" s="152" t="s">
        <v>53</v>
      </c>
      <c r="B33" s="152" t="s">
        <v>53</v>
      </c>
      <c r="C33" s="58" t="s">
        <v>204</v>
      </c>
      <c r="D33" s="298"/>
      <c r="E33" s="298"/>
      <c r="F33" s="298"/>
      <c r="G33" s="298"/>
      <c r="H33" s="298"/>
      <c r="I33" s="298"/>
      <c r="J33" s="298"/>
      <c r="K33" s="298"/>
      <c r="L33" s="298"/>
      <c r="M33" s="210"/>
      <c r="N33" s="125"/>
      <c r="O33" s="210"/>
      <c r="P33" s="210">
        <v>18100000</v>
      </c>
      <c r="Q33" s="210">
        <v>16399999.999999998</v>
      </c>
      <c r="R33" s="125">
        <v>13300000</v>
      </c>
      <c r="S33" s="125">
        <v>14700000</v>
      </c>
      <c r="T33" s="125">
        <v>9400000</v>
      </c>
      <c r="U33" s="125">
        <v>9900000</v>
      </c>
      <c r="V33" s="125">
        <v>10300000</v>
      </c>
      <c r="W33" s="125">
        <v>16500000</v>
      </c>
      <c r="X33" s="389">
        <v>17600000</v>
      </c>
    </row>
    <row r="34" spans="1:24" ht="16.5">
      <c r="A34" s="99" t="s">
        <v>1011</v>
      </c>
      <c r="B34" s="99" t="s">
        <v>392</v>
      </c>
      <c r="C34" s="58" t="s">
        <v>204</v>
      </c>
      <c r="D34" s="210">
        <v>2567600000</v>
      </c>
      <c r="E34" s="210">
        <v>2571600000</v>
      </c>
      <c r="F34" s="298">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89">
        <v>640900000</v>
      </c>
    </row>
    <row r="35" spans="1:24" ht="16.5">
      <c r="A35" t="s">
        <v>76</v>
      </c>
      <c r="B35" s="90" t="s">
        <v>1068</v>
      </c>
      <c r="C35" s="58"/>
      <c r="D35" s="210">
        <v>1095500000</v>
      </c>
      <c r="E35" s="210">
        <v>1012900000</v>
      </c>
      <c r="F35" s="298">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89">
        <v>2862100000</v>
      </c>
    </row>
    <row r="36" spans="1:24" ht="16.5">
      <c r="A36" s="152" t="s">
        <v>1069</v>
      </c>
      <c r="B36" s="99" t="s">
        <v>1070</v>
      </c>
      <c r="C36" s="58" t="s">
        <v>201</v>
      </c>
      <c r="D36" s="210">
        <v>1095500000</v>
      </c>
      <c r="E36" s="210">
        <v>1012900000</v>
      </c>
      <c r="F36" s="298">
        <v>1087600000</v>
      </c>
      <c r="G36" s="125">
        <v>1586520000</v>
      </c>
      <c r="H36" s="125">
        <v>1119859999.9999998</v>
      </c>
      <c r="I36" s="125">
        <v>1186662000</v>
      </c>
      <c r="J36" s="319">
        <f>J37+J38</f>
        <v>1204412000</v>
      </c>
      <c r="K36" s="125">
        <v>1510824000</v>
      </c>
      <c r="L36" s="125">
        <v>1604000000</v>
      </c>
      <c r="M36" s="210">
        <v>1775100000</v>
      </c>
      <c r="N36" s="125">
        <v>1990320000</v>
      </c>
      <c r="O36" s="319">
        <f>O37+O38</f>
        <v>1623636000</v>
      </c>
      <c r="P36" s="210">
        <v>1670200000</v>
      </c>
      <c r="Q36" s="210">
        <v>1357400000</v>
      </c>
      <c r="R36" s="125">
        <v>1507200000</v>
      </c>
      <c r="S36" s="125">
        <v>1084900000</v>
      </c>
      <c r="T36" s="125">
        <v>1171000000</v>
      </c>
      <c r="U36" s="125">
        <v>1284100000</v>
      </c>
      <c r="V36" s="125">
        <v>1836000000</v>
      </c>
      <c r="W36" s="125">
        <v>2681500000</v>
      </c>
      <c r="X36" s="389">
        <v>2903100000</v>
      </c>
    </row>
    <row r="37" spans="1:24" ht="16.5">
      <c r="A37" s="100" t="s">
        <v>1071</v>
      </c>
      <c r="B37" s="100" t="s">
        <v>1072</v>
      </c>
      <c r="C37" s="58" t="s">
        <v>241</v>
      </c>
      <c r="D37" s="210">
        <v>975000000</v>
      </c>
      <c r="E37" s="210">
        <v>867000000</v>
      </c>
      <c r="F37" s="298">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89">
        <v>1595100000</v>
      </c>
    </row>
    <row r="38" spans="1:24" ht="16.5">
      <c r="A38" s="100" t="s">
        <v>1073</v>
      </c>
      <c r="B38" s="100" t="s">
        <v>1074</v>
      </c>
      <c r="C38" s="58" t="s">
        <v>241</v>
      </c>
      <c r="D38" s="210">
        <v>120500000</v>
      </c>
      <c r="E38" s="210">
        <v>145900000</v>
      </c>
      <c r="F38" s="298">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89">
        <v>1308000000</v>
      </c>
    </row>
    <row r="39" spans="1:24" ht="16.5">
      <c r="A39" t="s">
        <v>76</v>
      </c>
      <c r="B39" s="99" t="s">
        <v>1075</v>
      </c>
      <c r="C39" s="34"/>
      <c r="D39" s="298"/>
      <c r="E39" s="298"/>
      <c r="F39" s="298"/>
      <c r="G39" s="298"/>
      <c r="H39" s="298"/>
      <c r="I39" s="298"/>
      <c r="J39" s="298"/>
      <c r="K39" s="298"/>
      <c r="L39" s="298"/>
      <c r="M39" s="210"/>
      <c r="N39" s="125"/>
      <c r="O39" s="210">
        <v>25771999.999999996</v>
      </c>
      <c r="P39" s="210">
        <v>42300000</v>
      </c>
      <c r="Q39" s="210">
        <v>32000000</v>
      </c>
      <c r="R39" s="125">
        <v>51700000</v>
      </c>
      <c r="S39" s="125">
        <v>56800000</v>
      </c>
      <c r="T39" s="125">
        <v>34300000</v>
      </c>
      <c r="U39" s="125">
        <v>53500000</v>
      </c>
      <c r="V39" s="125">
        <v>33000000</v>
      </c>
      <c r="W39" s="125">
        <v>38500000</v>
      </c>
      <c r="X39" s="389">
        <v>41000000</v>
      </c>
    </row>
    <row r="40" spans="1:24">
      <c r="A40" s="90" t="s">
        <v>1076</v>
      </c>
      <c r="B40" s="90" t="s">
        <v>1077</v>
      </c>
      <c r="C40" s="58" t="s">
        <v>201</v>
      </c>
      <c r="D40" s="298"/>
      <c r="E40" s="298"/>
      <c r="F40" s="298"/>
      <c r="G40" s="298"/>
      <c r="H40" s="298"/>
      <c r="I40" s="298"/>
      <c r="J40" s="298"/>
      <c r="K40" s="298"/>
      <c r="L40" s="125">
        <v>315000000</v>
      </c>
      <c r="M40" s="210"/>
      <c r="N40" s="125"/>
      <c r="O40" s="210"/>
      <c r="P40" s="210"/>
      <c r="Q40" s="210"/>
      <c r="R40" s="125"/>
      <c r="S40" s="125"/>
      <c r="T40" s="125"/>
      <c r="U40" s="125"/>
      <c r="V40" s="125"/>
      <c r="W40" s="125"/>
      <c r="X40" s="389"/>
    </row>
    <row r="41" spans="1:24">
      <c r="A41" s="90" t="s">
        <v>612</v>
      </c>
      <c r="B41" s="90" t="s">
        <v>1078</v>
      </c>
      <c r="C41" s="58" t="s">
        <v>201</v>
      </c>
      <c r="D41" s="298"/>
      <c r="E41" s="298"/>
      <c r="F41" s="298"/>
      <c r="G41" s="298"/>
      <c r="H41" s="298"/>
      <c r="I41" s="298"/>
      <c r="J41" s="298"/>
      <c r="K41" s="298"/>
      <c r="L41" s="395">
        <v>0</v>
      </c>
      <c r="M41" s="210"/>
      <c r="N41" s="125"/>
      <c r="O41" s="210"/>
      <c r="P41" s="210"/>
      <c r="Q41" s="210"/>
      <c r="R41" s="125"/>
      <c r="S41" s="125"/>
      <c r="T41" s="125"/>
      <c r="U41" s="125"/>
      <c r="V41" s="125"/>
      <c r="W41" s="125"/>
      <c r="X41" s="389"/>
    </row>
    <row r="42" spans="1:24">
      <c r="A42" s="90" t="s">
        <v>1079</v>
      </c>
      <c r="B42" s="90" t="s">
        <v>1080</v>
      </c>
      <c r="C42" s="58" t="s">
        <v>201</v>
      </c>
      <c r="D42" s="298"/>
      <c r="E42" s="298"/>
      <c r="F42" s="298"/>
      <c r="G42" s="298"/>
      <c r="H42" s="298"/>
      <c r="I42" s="298"/>
      <c r="J42" s="298"/>
      <c r="K42" s="298"/>
      <c r="L42" s="125">
        <v>326000000</v>
      </c>
      <c r="M42" s="210"/>
      <c r="N42" s="125"/>
      <c r="O42" s="210"/>
      <c r="P42" s="210"/>
      <c r="Q42" s="210"/>
      <c r="R42" s="125"/>
      <c r="S42" s="125"/>
      <c r="T42" s="125"/>
      <c r="U42" s="125"/>
      <c r="V42" s="125"/>
      <c r="W42" s="125"/>
      <c r="X42" s="389"/>
    </row>
    <row r="43" spans="1:24" ht="16.5">
      <c r="A43" t="s">
        <v>76</v>
      </c>
      <c r="B43" s="90" t="s">
        <v>1081</v>
      </c>
      <c r="C43" s="34"/>
      <c r="D43" s="298"/>
      <c r="E43" s="298"/>
      <c r="F43" s="298"/>
      <c r="G43" s="298"/>
      <c r="H43" s="298"/>
      <c r="I43" s="298"/>
      <c r="J43" s="298"/>
      <c r="K43" s="298"/>
      <c r="L43" s="298"/>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89">
        <v>2861200000</v>
      </c>
    </row>
    <row r="44" spans="1:24" ht="16.5">
      <c r="A44" t="s">
        <v>76</v>
      </c>
      <c r="B44" s="90" t="s">
        <v>1082</v>
      </c>
      <c r="C44" s="34"/>
      <c r="D44" s="210">
        <v>-698900000</v>
      </c>
      <c r="E44" s="210">
        <v>-365600000</v>
      </c>
      <c r="F44" s="298">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89">
        <v>-900000</v>
      </c>
    </row>
    <row r="45" spans="1:24" s="9" customFormat="1">
      <c r="A45" s="18" t="s">
        <v>592</v>
      </c>
      <c r="B45" s="18" t="s">
        <v>1083</v>
      </c>
      <c r="C45" s="55" t="s">
        <v>35</v>
      </c>
      <c r="D45" s="319">
        <f t="shared" ref="D45:I45" si="10">D46+D56</f>
        <v>327100000</v>
      </c>
      <c r="E45" s="319">
        <f t="shared" si="10"/>
        <v>278000000</v>
      </c>
      <c r="F45" s="319">
        <f t="shared" si="10"/>
        <v>403900000</v>
      </c>
      <c r="G45" s="319">
        <f t="shared" si="10"/>
        <v>249729999.99999997</v>
      </c>
      <c r="H45" s="319">
        <f t="shared" si="10"/>
        <v>63991999.99999997</v>
      </c>
      <c r="I45" s="319">
        <f t="shared" si="10"/>
        <v>-120385999.99999999</v>
      </c>
      <c r="J45" s="295">
        <v>-427372000</v>
      </c>
      <c r="K45" s="295">
        <v>21896000</v>
      </c>
      <c r="L45" s="296">
        <v>1187000000</v>
      </c>
      <c r="M45" s="295">
        <f t="shared" ref="M45" si="11">M46+M56+M106+M107</f>
        <v>1324600000</v>
      </c>
      <c r="N45" s="295">
        <f t="shared" ref="N45" si="12">N46+N56+N106+N107</f>
        <v>1020039000</v>
      </c>
      <c r="O45" s="295">
        <f t="shared" ref="O45" si="13">O46+O56+O106+O107</f>
        <v>721616000</v>
      </c>
      <c r="P45" s="295">
        <f t="shared" ref="P45:V45" si="14">P46+P56+P106+P107</f>
        <v>683000000</v>
      </c>
      <c r="Q45" s="295">
        <f t="shared" si="14"/>
        <v>785800000</v>
      </c>
      <c r="R45" s="295">
        <f t="shared" si="14"/>
        <v>1018200000</v>
      </c>
      <c r="S45" s="295">
        <f t="shared" si="14"/>
        <v>461100000</v>
      </c>
      <c r="T45" s="295">
        <f t="shared" si="14"/>
        <v>-160500000</v>
      </c>
      <c r="U45" s="295">
        <f t="shared" si="14"/>
        <v>-462800000</v>
      </c>
      <c r="V45" s="295">
        <f t="shared" si="14"/>
        <v>72200000</v>
      </c>
      <c r="W45" s="295">
        <f t="shared" ref="W45:X45" si="15">W46+W56+W106+W107</f>
        <v>141900000</v>
      </c>
      <c r="X45" s="295">
        <f t="shared" si="15"/>
        <v>900000</v>
      </c>
    </row>
    <row r="46" spans="1:24">
      <c r="A46" s="90" t="s">
        <v>120</v>
      </c>
      <c r="B46" s="90" t="s">
        <v>1084</v>
      </c>
      <c r="C46" s="58" t="s">
        <v>252</v>
      </c>
      <c r="D46" s="319">
        <f>D47+D48+D49+D50+D51+D52+D54</f>
        <v>126000000</v>
      </c>
      <c r="E46" s="319">
        <f>E47+E48+E49+E50+E51+E52+E54</f>
        <v>80600000</v>
      </c>
      <c r="F46" s="319">
        <f>F47+F48+F49+F50+F51+F52+F54</f>
        <v>13200000</v>
      </c>
      <c r="G46" s="319">
        <f>G47+G48+G49+G50+G51+G52+G54</f>
        <v>-14690000</v>
      </c>
      <c r="H46" s="319">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894">
        <f t="shared" ref="Q46:V46" si="16">(Q64+Q74)</f>
        <v>95100000</v>
      </c>
      <c r="R46" s="894">
        <f t="shared" si="16"/>
        <v>350700000</v>
      </c>
      <c r="S46" s="894">
        <f t="shared" si="16"/>
        <v>551000000</v>
      </c>
      <c r="T46" s="894">
        <f t="shared" si="16"/>
        <v>-181100000</v>
      </c>
      <c r="U46" s="894">
        <f t="shared" si="16"/>
        <v>79800000</v>
      </c>
      <c r="V46" s="894">
        <f t="shared" si="16"/>
        <v>178800000</v>
      </c>
      <c r="W46" s="125">
        <f t="shared" ref="W46:X46" si="17">(W64+W74)</f>
        <v>10400000</v>
      </c>
      <c r="X46" s="125">
        <f t="shared" si="17"/>
        <v>-192100000</v>
      </c>
    </row>
    <row r="47" spans="1:24">
      <c r="A47" t="s">
        <v>76</v>
      </c>
      <c r="B47" s="99" t="s">
        <v>1085</v>
      </c>
      <c r="C47" s="58" t="s">
        <v>124</v>
      </c>
      <c r="D47" s="298"/>
      <c r="E47" s="298"/>
      <c r="F47" s="298"/>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89"/>
    </row>
    <row r="48" spans="1:24">
      <c r="A48" s="99" t="s">
        <v>1086</v>
      </c>
      <c r="B48" s="99" t="s">
        <v>1087</v>
      </c>
      <c r="C48" s="58" t="s">
        <v>124</v>
      </c>
      <c r="D48" s="298"/>
      <c r="E48" s="298"/>
      <c r="F48" s="298"/>
      <c r="G48" s="298"/>
      <c r="H48" s="298"/>
      <c r="I48" s="298"/>
      <c r="J48" s="298"/>
      <c r="K48" s="298"/>
      <c r="L48" s="210">
        <v>139000000</v>
      </c>
      <c r="M48" s="298"/>
      <c r="N48" s="298"/>
      <c r="O48" s="298"/>
      <c r="P48" s="298"/>
      <c r="Q48" s="298"/>
      <c r="R48" s="298"/>
      <c r="S48" s="298"/>
      <c r="T48" s="298"/>
      <c r="U48" s="298"/>
      <c r="V48" s="298"/>
      <c r="W48" s="298"/>
      <c r="X48" s="389"/>
    </row>
    <row r="49" spans="1:24">
      <c r="A49" t="s">
        <v>1088</v>
      </c>
      <c r="B49" s="99" t="s">
        <v>1089</v>
      </c>
      <c r="C49" s="58" t="s">
        <v>124</v>
      </c>
      <c r="D49" s="298"/>
      <c r="E49" s="298"/>
      <c r="F49" s="298"/>
      <c r="G49" s="298"/>
      <c r="H49" s="298"/>
      <c r="I49" s="298"/>
      <c r="J49" s="298"/>
      <c r="K49" s="298"/>
      <c r="L49" s="210">
        <v>-40000000</v>
      </c>
      <c r="M49" s="298"/>
      <c r="N49" s="298"/>
      <c r="O49" s="298"/>
      <c r="P49" s="298"/>
      <c r="Q49" s="298"/>
      <c r="R49" s="298"/>
      <c r="S49" s="298"/>
      <c r="T49" s="298"/>
      <c r="U49" s="298"/>
      <c r="V49" s="298"/>
      <c r="W49" s="298"/>
      <c r="X49" s="389"/>
    </row>
    <row r="50" spans="1:24">
      <c r="A50" s="99" t="s">
        <v>1090</v>
      </c>
      <c r="B50" s="99" t="s">
        <v>1091</v>
      </c>
      <c r="C50" s="58" t="s">
        <v>124</v>
      </c>
      <c r="D50" s="298"/>
      <c r="E50" s="298"/>
      <c r="F50" s="298"/>
      <c r="G50" s="298"/>
      <c r="H50" s="298"/>
      <c r="I50" s="298"/>
      <c r="J50" s="298"/>
      <c r="K50" s="298"/>
      <c r="L50" s="210">
        <v>-117000000</v>
      </c>
      <c r="M50" s="298"/>
      <c r="N50" s="298"/>
      <c r="O50" s="298"/>
      <c r="P50" s="298"/>
      <c r="Q50" s="298"/>
      <c r="R50" s="298"/>
      <c r="S50" s="298"/>
      <c r="T50" s="298"/>
      <c r="U50" s="298"/>
      <c r="V50" s="298"/>
      <c r="W50" s="298"/>
      <c r="X50" s="389"/>
    </row>
    <row r="51" spans="1:24">
      <c r="A51" s="99" t="s">
        <v>1092</v>
      </c>
      <c r="B51" s="99" t="s">
        <v>1093</v>
      </c>
      <c r="C51" s="58" t="s">
        <v>124</v>
      </c>
      <c r="D51" s="298"/>
      <c r="E51" s="298"/>
      <c r="F51" s="298"/>
      <c r="G51" s="125">
        <v>14690000</v>
      </c>
      <c r="H51" s="125">
        <v>-63992000</v>
      </c>
      <c r="I51" s="125">
        <v>-85990000</v>
      </c>
      <c r="J51" s="125">
        <v>-19426000</v>
      </c>
      <c r="K51" s="125">
        <v>0</v>
      </c>
      <c r="L51" s="210">
        <v>335000000</v>
      </c>
      <c r="M51" s="298"/>
      <c r="N51" s="298"/>
      <c r="O51" s="298"/>
      <c r="P51" s="298"/>
      <c r="Q51" s="298"/>
      <c r="R51" s="298"/>
      <c r="S51" s="298"/>
      <c r="T51" s="298"/>
      <c r="U51" s="298"/>
      <c r="V51" s="298"/>
      <c r="W51" s="298"/>
      <c r="X51" s="389"/>
    </row>
    <row r="52" spans="1:24">
      <c r="A52" s="99" t="s">
        <v>1094</v>
      </c>
      <c r="B52" s="99" t="s">
        <v>1095</v>
      </c>
      <c r="C52" s="58" t="s">
        <v>124</v>
      </c>
      <c r="D52" s="298"/>
      <c r="E52" s="298"/>
      <c r="F52" s="298"/>
      <c r="G52" s="125">
        <v>-29380000</v>
      </c>
      <c r="H52" s="125">
        <v>-79990000</v>
      </c>
      <c r="I52" s="125">
        <v>-275168000.00000006</v>
      </c>
      <c r="J52" s="125">
        <v>-446797999.99999994</v>
      </c>
      <c r="K52" s="125">
        <v>-1729784000.0000007</v>
      </c>
      <c r="L52" s="210">
        <v>752000000</v>
      </c>
      <c r="M52" s="298"/>
      <c r="N52" s="298"/>
      <c r="O52" s="298"/>
      <c r="P52" s="298"/>
      <c r="Q52" s="298"/>
      <c r="R52" s="298"/>
      <c r="S52" s="298"/>
      <c r="T52" s="298"/>
      <c r="U52" s="298"/>
      <c r="V52" s="298"/>
      <c r="W52" s="298"/>
      <c r="X52" s="389"/>
    </row>
    <row r="53" spans="1:24">
      <c r="A53" t="s">
        <v>76</v>
      </c>
      <c r="B53" s="100" t="s">
        <v>425</v>
      </c>
      <c r="C53" s="34"/>
      <c r="D53" s="298"/>
      <c r="E53" s="298"/>
      <c r="F53" s="298"/>
      <c r="G53" s="298"/>
      <c r="H53" s="298"/>
      <c r="I53" s="298"/>
      <c r="J53" s="298"/>
      <c r="K53" s="298"/>
      <c r="L53" s="210">
        <v>932000000</v>
      </c>
      <c r="M53" s="298"/>
      <c r="N53" s="298"/>
      <c r="O53" s="298"/>
      <c r="P53" s="298"/>
      <c r="Q53" s="298"/>
      <c r="R53" s="298"/>
      <c r="S53" s="298"/>
      <c r="T53" s="298"/>
      <c r="U53" s="298"/>
      <c r="V53" s="298"/>
      <c r="W53" s="298"/>
      <c r="X53" s="389"/>
    </row>
    <row r="54" spans="1:24">
      <c r="A54" s="90" t="s">
        <v>1096</v>
      </c>
      <c r="B54" s="90" t="s">
        <v>1097</v>
      </c>
      <c r="C54" s="58" t="s">
        <v>124</v>
      </c>
      <c r="D54" s="210">
        <v>126000000</v>
      </c>
      <c r="E54" s="210">
        <v>80600000</v>
      </c>
      <c r="F54" s="298">
        <v>13200000</v>
      </c>
      <c r="G54" s="298"/>
      <c r="H54" s="331">
        <v>0</v>
      </c>
      <c r="I54" s="331">
        <v>51594000</v>
      </c>
      <c r="J54" s="331">
        <v>19426000</v>
      </c>
      <c r="K54" s="331">
        <v>1751680000</v>
      </c>
      <c r="L54" s="210"/>
      <c r="M54" s="298"/>
      <c r="N54" s="298"/>
      <c r="O54" s="298"/>
      <c r="P54" s="298"/>
      <c r="Q54" s="298"/>
      <c r="R54" s="298"/>
      <c r="S54" s="298"/>
      <c r="T54" s="298"/>
      <c r="U54" s="298"/>
      <c r="V54" s="298"/>
      <c r="W54" s="298"/>
      <c r="X54" s="389"/>
    </row>
    <row r="55" spans="1:24">
      <c r="A55" t="s">
        <v>76</v>
      </c>
      <c r="B55" s="100" t="s">
        <v>1098</v>
      </c>
      <c r="C55" s="34"/>
      <c r="D55" s="298"/>
      <c r="E55" s="298"/>
      <c r="F55" s="298"/>
      <c r="G55" s="298"/>
      <c r="H55" s="298"/>
      <c r="I55" s="298"/>
      <c r="J55" s="298"/>
      <c r="K55" s="298"/>
      <c r="L55" s="210">
        <v>-180000000</v>
      </c>
      <c r="M55" s="298"/>
      <c r="N55" s="298"/>
      <c r="O55" s="298"/>
      <c r="P55" s="298"/>
      <c r="Q55" s="298"/>
      <c r="R55" s="298"/>
      <c r="S55" s="298"/>
      <c r="T55" s="298"/>
      <c r="U55" s="298"/>
      <c r="V55" s="298"/>
      <c r="W55" s="298"/>
      <c r="X55" s="389"/>
    </row>
    <row r="56" spans="1:24">
      <c r="A56" s="90" t="s">
        <v>117</v>
      </c>
      <c r="B56" s="90" t="s">
        <v>1099</v>
      </c>
      <c r="C56" s="58" t="s">
        <v>252</v>
      </c>
      <c r="D56" s="210">
        <v>201100000</v>
      </c>
      <c r="E56" s="210">
        <v>197400000</v>
      </c>
      <c r="F56" s="321">
        <f>F57+F58+F61+F60</f>
        <v>390700000</v>
      </c>
      <c r="G56" s="125">
        <v>264419999.99999997</v>
      </c>
      <c r="H56" s="125">
        <v>207973999.99999997</v>
      </c>
      <c r="I56" s="125">
        <v>120385999.99999999</v>
      </c>
      <c r="J56" s="125">
        <v>-19426000</v>
      </c>
      <c r="K56" s="125">
        <v>-43792000</v>
      </c>
      <c r="L56" s="210">
        <v>69000000</v>
      </c>
      <c r="M56" s="298">
        <f>(M72+M90)</f>
        <v>627600000</v>
      </c>
      <c r="N56" s="298">
        <f>(N72+N90)</f>
        <v>746370000</v>
      </c>
      <c r="O56" s="298">
        <f>(O72+O90)</f>
        <v>438123999.99999994</v>
      </c>
      <c r="P56" s="298">
        <f t="shared" ref="P56:V56" si="18">P72+P90</f>
        <v>629600000</v>
      </c>
      <c r="Q56" s="895">
        <f t="shared" si="18"/>
        <v>484900000</v>
      </c>
      <c r="R56" s="895">
        <f t="shared" si="18"/>
        <v>508500000</v>
      </c>
      <c r="S56" s="895">
        <f t="shared" si="18"/>
        <v>27600000</v>
      </c>
      <c r="T56" s="895">
        <f t="shared" si="18"/>
        <v>125400000</v>
      </c>
      <c r="U56" s="895">
        <f t="shared" si="18"/>
        <v>-542600000</v>
      </c>
      <c r="V56" s="895">
        <f t="shared" si="18"/>
        <v>-106600000</v>
      </c>
      <c r="W56" s="298">
        <f t="shared" ref="W56:X56" si="19">W72+W90</f>
        <v>72800000</v>
      </c>
      <c r="X56" s="298">
        <f t="shared" si="19"/>
        <v>193000000</v>
      </c>
    </row>
    <row r="57" spans="1:24">
      <c r="A57" s="99" t="s">
        <v>1100</v>
      </c>
      <c r="B57" s="99" t="s">
        <v>1101</v>
      </c>
      <c r="C57" s="58" t="s">
        <v>264</v>
      </c>
      <c r="D57" s="210">
        <v>130699999.99999999</v>
      </c>
      <c r="E57" s="210">
        <v>134100000</v>
      </c>
      <c r="F57" s="298">
        <v>222700000</v>
      </c>
      <c r="G57" s="125">
        <v>58760000</v>
      </c>
      <c r="H57" s="125">
        <v>63992000</v>
      </c>
      <c r="I57" s="125">
        <v>17198000.000000004</v>
      </c>
      <c r="J57" s="125">
        <v>19426000</v>
      </c>
      <c r="K57" s="125">
        <v>0</v>
      </c>
      <c r="L57" s="210">
        <v>0</v>
      </c>
      <c r="M57" s="298"/>
      <c r="N57" s="298"/>
      <c r="O57" s="298"/>
      <c r="P57" s="298"/>
      <c r="Q57" s="298"/>
      <c r="R57" s="298"/>
      <c r="S57" s="298"/>
      <c r="T57" s="298"/>
      <c r="U57" s="298"/>
      <c r="V57" s="298"/>
      <c r="W57" s="298"/>
      <c r="X57" s="389"/>
    </row>
    <row r="58" spans="1:24">
      <c r="A58" s="99" t="s">
        <v>1102</v>
      </c>
      <c r="B58" s="99" t="s">
        <v>1103</v>
      </c>
      <c r="C58" s="58" t="s">
        <v>264</v>
      </c>
      <c r="D58" s="210">
        <v>137000000</v>
      </c>
      <c r="E58" s="210">
        <v>112000000</v>
      </c>
      <c r="F58" s="298">
        <v>312000000</v>
      </c>
      <c r="G58" s="125">
        <v>381940000</v>
      </c>
      <c r="H58" s="125">
        <v>287964000</v>
      </c>
      <c r="I58" s="125">
        <v>240771999.99999997</v>
      </c>
      <c r="J58" s="125">
        <v>135981999.99999997</v>
      </c>
      <c r="K58" s="125">
        <v>109480000</v>
      </c>
      <c r="L58" s="210">
        <v>214000000</v>
      </c>
      <c r="M58" s="298"/>
      <c r="N58" s="298"/>
      <c r="O58" s="298"/>
      <c r="P58" s="298"/>
      <c r="Q58" s="298"/>
      <c r="R58" s="298"/>
      <c r="S58" s="298"/>
      <c r="T58" s="298"/>
      <c r="U58" s="298"/>
      <c r="V58" s="298"/>
      <c r="W58" s="298"/>
      <c r="X58" s="389"/>
    </row>
    <row r="59" spans="1:24" ht="16.5">
      <c r="A59" t="s">
        <v>76</v>
      </c>
      <c r="B59" s="152" t="s">
        <v>444</v>
      </c>
      <c r="C59" s="58"/>
      <c r="D59" s="298"/>
      <c r="E59" s="298"/>
      <c r="F59" s="298"/>
      <c r="G59" s="298"/>
      <c r="H59" s="298"/>
      <c r="I59" s="298"/>
      <c r="J59" s="298"/>
      <c r="K59" s="298"/>
      <c r="L59" s="298"/>
      <c r="M59" s="298"/>
      <c r="N59" s="298"/>
      <c r="O59" s="298"/>
      <c r="P59" s="210"/>
      <c r="Q59" s="210"/>
      <c r="R59" s="125"/>
      <c r="S59" s="125"/>
      <c r="T59" s="125"/>
      <c r="U59" s="125"/>
      <c r="V59" s="125"/>
      <c r="W59" s="125"/>
      <c r="X59" s="389"/>
    </row>
    <row r="60" spans="1:24" ht="16.5">
      <c r="A60" s="152" t="s">
        <v>1104</v>
      </c>
      <c r="B60" s="152" t="s">
        <v>1104</v>
      </c>
      <c r="C60" s="58" t="s">
        <v>264</v>
      </c>
      <c r="D60" s="298"/>
      <c r="E60" s="298"/>
      <c r="F60" s="298"/>
      <c r="G60" s="298"/>
      <c r="H60" s="298"/>
      <c r="I60" s="298"/>
      <c r="J60" s="298"/>
      <c r="K60" s="298"/>
      <c r="L60" s="298"/>
      <c r="M60" s="298"/>
      <c r="N60" s="298"/>
      <c r="O60" s="298"/>
      <c r="P60" s="210"/>
      <c r="Q60" s="210"/>
      <c r="R60" s="125"/>
      <c r="S60" s="125"/>
      <c r="T60" s="125"/>
      <c r="U60" s="125"/>
      <c r="V60" s="125"/>
      <c r="W60" s="125"/>
      <c r="X60" s="389"/>
    </row>
    <row r="61" spans="1:24">
      <c r="A61" s="103" t="s">
        <v>258</v>
      </c>
      <c r="B61" s="103" t="s">
        <v>258</v>
      </c>
      <c r="C61" s="58" t="s">
        <v>264</v>
      </c>
      <c r="D61" s="210">
        <v>-66599999.999999993</v>
      </c>
      <c r="E61" s="210">
        <v>-48800000</v>
      </c>
      <c r="F61" s="298">
        <v>-144000000</v>
      </c>
      <c r="G61" s="125">
        <v>-176280000</v>
      </c>
      <c r="H61" s="125">
        <v>-143982000</v>
      </c>
      <c r="I61" s="125">
        <v>-137584000.00000003</v>
      </c>
      <c r="J61" s="125">
        <v>-174834000</v>
      </c>
      <c r="K61" s="125">
        <v>-153272000</v>
      </c>
      <c r="L61" s="210">
        <v>-145000000</v>
      </c>
      <c r="M61" s="298"/>
      <c r="N61" s="298"/>
      <c r="O61" s="298"/>
      <c r="P61" s="210"/>
      <c r="Q61" s="210"/>
      <c r="R61" s="125"/>
      <c r="S61" s="125"/>
      <c r="T61" s="125"/>
      <c r="U61" s="125"/>
      <c r="V61" s="125"/>
      <c r="W61" s="125"/>
      <c r="X61" s="389"/>
    </row>
    <row r="62" spans="1:24">
      <c r="B62" s="90" t="s">
        <v>515</v>
      </c>
      <c r="C62" s="58"/>
      <c r="D62" s="210">
        <v>388300000</v>
      </c>
      <c r="E62" s="210">
        <v>91000000</v>
      </c>
      <c r="F62" s="298">
        <v>-48000000</v>
      </c>
      <c r="G62" s="298"/>
      <c r="H62" s="298"/>
      <c r="I62" s="298"/>
      <c r="J62" s="298"/>
      <c r="K62" s="298"/>
      <c r="L62" s="210">
        <v>0</v>
      </c>
      <c r="M62" s="298"/>
      <c r="N62" s="298"/>
      <c r="O62" s="298"/>
      <c r="P62" s="298"/>
      <c r="Q62" s="298"/>
      <c r="R62" s="298"/>
      <c r="S62" s="298"/>
      <c r="T62" s="298"/>
      <c r="U62" s="298"/>
      <c r="V62" s="298"/>
      <c r="W62" s="298"/>
      <c r="X62" s="389"/>
    </row>
    <row r="63" spans="1:24" ht="16.5">
      <c r="B63" s="90" t="s">
        <v>1105</v>
      </c>
      <c r="C63" s="34"/>
      <c r="D63" s="298"/>
      <c r="E63" s="298"/>
      <c r="F63" s="298"/>
      <c r="G63" s="298"/>
      <c r="H63" s="298"/>
      <c r="I63" s="298"/>
      <c r="J63" s="298"/>
      <c r="K63" s="298"/>
      <c r="L63" s="298"/>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89">
        <v>-217200000</v>
      </c>
    </row>
    <row r="64" spans="1:24" ht="16.5">
      <c r="A64" s="90" t="s">
        <v>1106</v>
      </c>
      <c r="B64" s="90" t="s">
        <v>1107</v>
      </c>
      <c r="C64" s="58" t="s">
        <v>124</v>
      </c>
      <c r="D64" s="298"/>
      <c r="E64" s="298"/>
      <c r="F64" s="298"/>
      <c r="G64" s="298"/>
      <c r="H64" s="298"/>
      <c r="I64" s="298"/>
      <c r="J64" s="298"/>
      <c r="K64" s="298"/>
      <c r="L64" s="298"/>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89">
        <v>-217200000</v>
      </c>
    </row>
    <row r="65" spans="1:24" ht="16.5">
      <c r="B65" s="99" t="s">
        <v>441</v>
      </c>
      <c r="C65" s="34"/>
      <c r="D65" s="298"/>
      <c r="E65" s="298"/>
      <c r="F65" s="298"/>
      <c r="G65" s="298"/>
      <c r="H65" s="298"/>
      <c r="I65" s="298"/>
      <c r="J65" s="298"/>
      <c r="K65" s="298"/>
      <c r="L65" s="298"/>
      <c r="M65" s="210">
        <v>0</v>
      </c>
      <c r="N65" s="125">
        <v>0</v>
      </c>
      <c r="O65" s="210">
        <v>283492000</v>
      </c>
      <c r="P65" s="210">
        <v>-14400000</v>
      </c>
      <c r="Q65" s="210">
        <v>72900000</v>
      </c>
      <c r="R65" s="125">
        <v>238100000</v>
      </c>
      <c r="S65" s="125">
        <v>176900000</v>
      </c>
      <c r="T65" s="125">
        <v>81200000</v>
      </c>
      <c r="U65" s="125">
        <v>478100000</v>
      </c>
      <c r="V65" s="125">
        <v>537900000</v>
      </c>
      <c r="W65" s="125">
        <v>-100100000</v>
      </c>
      <c r="X65" s="389">
        <v>-139100000</v>
      </c>
    </row>
    <row r="66" spans="1:24" ht="16.5">
      <c r="B66" s="99" t="s">
        <v>443</v>
      </c>
      <c r="C66" s="34"/>
      <c r="D66" s="298"/>
      <c r="E66" s="298"/>
      <c r="F66" s="298"/>
      <c r="G66" s="298"/>
      <c r="H66" s="298"/>
      <c r="I66" s="298"/>
      <c r="J66" s="298"/>
      <c r="K66" s="298"/>
      <c r="L66" s="298"/>
      <c r="M66" s="210">
        <v>0</v>
      </c>
      <c r="N66" s="125">
        <v>0</v>
      </c>
      <c r="O66" s="210">
        <v>0</v>
      </c>
      <c r="P66" s="210"/>
      <c r="Q66" s="210"/>
      <c r="R66" s="125"/>
      <c r="S66" s="125"/>
      <c r="T66" s="125"/>
      <c r="U66" s="125"/>
      <c r="V66" s="125"/>
      <c r="W66" s="125"/>
      <c r="X66" s="389"/>
    </row>
    <row r="67" spans="1:24" ht="16.5">
      <c r="B67" s="152" t="s">
        <v>444</v>
      </c>
      <c r="C67" s="34"/>
      <c r="D67" s="298"/>
      <c r="E67" s="298"/>
      <c r="F67" s="298"/>
      <c r="G67" s="298"/>
      <c r="H67" s="298"/>
      <c r="I67" s="298"/>
      <c r="J67" s="298"/>
      <c r="K67" s="298"/>
      <c r="L67" s="298"/>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89">
        <v>78100000</v>
      </c>
    </row>
    <row r="68" spans="1:24" ht="16.5">
      <c r="B68" s="99" t="s">
        <v>439</v>
      </c>
      <c r="C68" s="34"/>
      <c r="D68" s="298"/>
      <c r="E68" s="298"/>
      <c r="F68" s="298"/>
      <c r="G68" s="298"/>
      <c r="H68" s="298"/>
      <c r="I68" s="298"/>
      <c r="J68" s="298"/>
      <c r="K68" s="298"/>
      <c r="L68" s="298"/>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89">
        <v>0</v>
      </c>
    </row>
    <row r="69" spans="1:24" ht="16.5">
      <c r="B69" s="99" t="s">
        <v>1108</v>
      </c>
      <c r="C69" s="34"/>
      <c r="D69" s="298"/>
      <c r="E69" s="298"/>
      <c r="F69" s="298"/>
      <c r="G69" s="298"/>
      <c r="H69" s="298"/>
      <c r="I69" s="298"/>
      <c r="J69" s="298"/>
      <c r="K69" s="298"/>
      <c r="L69" s="298"/>
      <c r="M69" s="298">
        <v>0</v>
      </c>
      <c r="N69" s="125">
        <v>0</v>
      </c>
      <c r="O69" s="210">
        <v>0</v>
      </c>
      <c r="P69" s="210"/>
      <c r="Q69" s="210"/>
      <c r="R69" s="125"/>
      <c r="S69" s="125"/>
      <c r="T69" s="125"/>
      <c r="U69" s="125"/>
      <c r="V69" s="125"/>
      <c r="W69" s="125"/>
      <c r="X69" s="389"/>
    </row>
    <row r="70" spans="1:24" ht="16.5">
      <c r="B70" s="99" t="s">
        <v>1109</v>
      </c>
      <c r="C70" s="34"/>
      <c r="D70" s="298"/>
      <c r="E70" s="298"/>
      <c r="F70" s="298"/>
      <c r="G70" s="298"/>
      <c r="H70" s="298"/>
      <c r="I70" s="298"/>
      <c r="J70" s="298"/>
      <c r="K70" s="298"/>
      <c r="L70" s="298"/>
      <c r="M70" s="298">
        <v>0</v>
      </c>
      <c r="N70" s="125">
        <v>0</v>
      </c>
      <c r="O70" s="210">
        <v>0</v>
      </c>
      <c r="P70" s="210"/>
      <c r="Q70" s="210"/>
      <c r="R70" s="125"/>
      <c r="S70" s="125"/>
      <c r="T70" s="125"/>
      <c r="U70" s="125"/>
      <c r="V70" s="125"/>
      <c r="W70" s="125"/>
      <c r="X70" s="389"/>
    </row>
    <row r="71" spans="1:24" ht="16.5">
      <c r="B71" s="99" t="s">
        <v>440</v>
      </c>
      <c r="C71" s="34"/>
      <c r="D71" s="298"/>
      <c r="E71" s="298"/>
      <c r="F71" s="298"/>
      <c r="G71" s="298"/>
      <c r="H71" s="298"/>
      <c r="I71" s="298"/>
      <c r="J71" s="298"/>
      <c r="K71" s="298"/>
      <c r="L71" s="298"/>
      <c r="M71" s="210">
        <v>0</v>
      </c>
      <c r="N71" s="125">
        <v>0</v>
      </c>
      <c r="O71" s="210">
        <v>0</v>
      </c>
      <c r="P71" s="210"/>
      <c r="Q71" s="210"/>
      <c r="R71" s="125"/>
      <c r="S71" s="125"/>
      <c r="T71" s="125"/>
      <c r="U71" s="125"/>
      <c r="V71" s="125"/>
      <c r="W71" s="125"/>
      <c r="X71" s="389"/>
    </row>
    <row r="72" spans="1:24" ht="16.5">
      <c r="A72" s="90" t="s">
        <v>1110</v>
      </c>
      <c r="B72" s="90" t="s">
        <v>1111</v>
      </c>
      <c r="C72" s="58" t="s">
        <v>264</v>
      </c>
      <c r="D72" s="298"/>
      <c r="E72" s="298"/>
      <c r="F72" s="298"/>
      <c r="G72" s="298"/>
      <c r="H72" s="298"/>
      <c r="I72" s="298"/>
      <c r="J72" s="298"/>
      <c r="K72" s="298"/>
      <c r="L72" s="298"/>
      <c r="M72" s="210">
        <v>0</v>
      </c>
      <c r="N72" s="125">
        <v>0</v>
      </c>
      <c r="O72" s="210">
        <v>128860000</v>
      </c>
      <c r="P72" s="210">
        <v>0</v>
      </c>
      <c r="Q72" s="210">
        <v>19600000</v>
      </c>
      <c r="R72" s="125">
        <v>0</v>
      </c>
      <c r="S72" s="125">
        <v>0</v>
      </c>
      <c r="T72" s="125">
        <v>0</v>
      </c>
      <c r="U72" s="125">
        <v>-208700000</v>
      </c>
      <c r="V72" s="125">
        <v>0</v>
      </c>
      <c r="W72" s="125">
        <v>0</v>
      </c>
      <c r="X72" s="389">
        <v>0</v>
      </c>
    </row>
    <row r="73" spans="1:24" ht="16.5">
      <c r="B73" s="90" t="s">
        <v>1112</v>
      </c>
      <c r="C73" s="34"/>
      <c r="D73" s="298"/>
      <c r="E73" s="298"/>
      <c r="F73" s="298"/>
      <c r="G73" s="298"/>
      <c r="H73" s="298"/>
      <c r="I73" s="298"/>
      <c r="J73" s="298"/>
      <c r="K73" s="298"/>
      <c r="L73" s="298"/>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89">
        <v>218100000</v>
      </c>
    </row>
    <row r="74" spans="1:24" ht="16.5">
      <c r="A74" s="90" t="s">
        <v>1113</v>
      </c>
      <c r="B74" s="90" t="s">
        <v>1114</v>
      </c>
      <c r="C74" s="58" t="s">
        <v>124</v>
      </c>
      <c r="D74" s="298"/>
      <c r="E74" s="298"/>
      <c r="F74" s="298"/>
      <c r="G74" s="298"/>
      <c r="H74" s="298"/>
      <c r="I74" s="298"/>
      <c r="J74" s="298"/>
      <c r="K74" s="298"/>
      <c r="L74" s="298"/>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89">
        <v>25100000</v>
      </c>
    </row>
    <row r="75" spans="1:24" ht="16.5">
      <c r="B75" s="90" t="s">
        <v>441</v>
      </c>
      <c r="C75" s="34"/>
      <c r="D75" s="298"/>
      <c r="E75" s="298"/>
      <c r="F75" s="298"/>
      <c r="G75" s="298"/>
      <c r="H75" s="298"/>
      <c r="I75" s="298"/>
      <c r="J75" s="298"/>
      <c r="K75" s="298"/>
      <c r="L75" s="298"/>
      <c r="M75" s="298"/>
      <c r="N75" s="125">
        <v>0</v>
      </c>
      <c r="O75" s="210">
        <v>0</v>
      </c>
      <c r="P75" s="210"/>
      <c r="Q75" s="210"/>
      <c r="R75" s="125"/>
      <c r="S75" s="125"/>
      <c r="T75" s="125"/>
      <c r="U75" s="125"/>
      <c r="V75" s="125"/>
      <c r="W75" s="125"/>
      <c r="X75" s="389"/>
    </row>
    <row r="76" spans="1:24" ht="16.5">
      <c r="B76" s="90" t="s">
        <v>443</v>
      </c>
      <c r="C76" s="34"/>
      <c r="D76" s="298"/>
      <c r="E76" s="298"/>
      <c r="F76" s="298"/>
      <c r="G76" s="298"/>
      <c r="H76" s="298"/>
      <c r="I76" s="298"/>
      <c r="J76" s="298"/>
      <c r="K76" s="298"/>
      <c r="L76" s="298"/>
      <c r="M76" s="298"/>
      <c r="N76" s="125">
        <v>0</v>
      </c>
      <c r="O76" s="210">
        <v>257720000</v>
      </c>
      <c r="P76" s="210">
        <v>87700000</v>
      </c>
      <c r="Q76" s="210">
        <v>21600000</v>
      </c>
      <c r="R76" s="125">
        <v>268100000.00000003</v>
      </c>
      <c r="S76" s="125">
        <v>427600000</v>
      </c>
      <c r="T76" s="125">
        <v>331500000</v>
      </c>
      <c r="U76" s="125">
        <v>61900000</v>
      </c>
      <c r="V76" s="125">
        <v>-15300000</v>
      </c>
      <c r="W76" s="125">
        <v>-37500000</v>
      </c>
      <c r="X76" s="389">
        <v>250300000</v>
      </c>
    </row>
    <row r="77" spans="1:24">
      <c r="B77" s="90" t="s">
        <v>1115</v>
      </c>
      <c r="C77" s="34"/>
      <c r="D77" s="298"/>
      <c r="E77" s="298"/>
      <c r="F77" s="298"/>
      <c r="G77" s="298"/>
      <c r="H77" s="298"/>
      <c r="I77" s="298"/>
      <c r="J77" s="298"/>
      <c r="K77" s="298"/>
      <c r="L77" s="298"/>
      <c r="M77" s="298"/>
      <c r="N77" s="125"/>
      <c r="O77" s="210"/>
      <c r="P77" s="210"/>
      <c r="Q77" s="210">
        <v>238000000</v>
      </c>
      <c r="R77" s="125">
        <v>656500000</v>
      </c>
      <c r="S77" s="125">
        <v>1012300000</v>
      </c>
      <c r="T77" s="125">
        <v>850200000</v>
      </c>
      <c r="U77" s="125">
        <v>707500000</v>
      </c>
      <c r="V77" s="125">
        <v>757500000</v>
      </c>
      <c r="W77" s="125"/>
      <c r="X77" s="389"/>
    </row>
    <row r="78" spans="1:24">
      <c r="B78" s="90" t="s">
        <v>1116</v>
      </c>
      <c r="C78" s="34"/>
      <c r="D78" s="298"/>
      <c r="E78" s="298"/>
      <c r="F78" s="298"/>
      <c r="G78" s="298"/>
      <c r="H78" s="298"/>
      <c r="I78" s="298"/>
      <c r="J78" s="298"/>
      <c r="K78" s="298"/>
      <c r="L78" s="298"/>
      <c r="M78" s="298"/>
      <c r="N78" s="125"/>
      <c r="O78" s="210"/>
      <c r="P78" s="210"/>
      <c r="Q78" s="210">
        <v>277400000</v>
      </c>
      <c r="R78" s="125">
        <v>331500000</v>
      </c>
      <c r="S78" s="125">
        <v>391700000</v>
      </c>
      <c r="T78" s="125">
        <v>407900000</v>
      </c>
      <c r="U78" s="125">
        <v>487500000</v>
      </c>
      <c r="V78" s="125">
        <v>317500000</v>
      </c>
      <c r="W78" s="125"/>
      <c r="X78" s="389"/>
    </row>
    <row r="79" spans="1:24">
      <c r="B79" s="90" t="s">
        <v>1117</v>
      </c>
      <c r="C79" s="34"/>
      <c r="D79" s="298"/>
      <c r="E79" s="298"/>
      <c r="F79" s="298"/>
      <c r="G79" s="298"/>
      <c r="H79" s="298"/>
      <c r="I79" s="298"/>
      <c r="J79" s="298"/>
      <c r="K79" s="298"/>
      <c r="L79" s="298"/>
      <c r="M79" s="298"/>
      <c r="N79" s="125"/>
      <c r="O79" s="210"/>
      <c r="P79" s="210"/>
      <c r="Q79" s="210">
        <v>47200000</v>
      </c>
      <c r="R79" s="125">
        <v>324900000</v>
      </c>
      <c r="S79" s="125">
        <v>557700000</v>
      </c>
      <c r="T79" s="125">
        <v>420200000</v>
      </c>
      <c r="U79" s="125">
        <v>220000000</v>
      </c>
      <c r="V79" s="125">
        <v>440000000</v>
      </c>
      <c r="W79" s="125"/>
      <c r="X79" s="389"/>
    </row>
    <row r="80" spans="1:24">
      <c r="B80" s="90" t="s">
        <v>258</v>
      </c>
      <c r="C80" s="34"/>
      <c r="D80" s="298"/>
      <c r="E80" s="298"/>
      <c r="F80" s="298"/>
      <c r="G80" s="298"/>
      <c r="H80" s="298"/>
      <c r="I80" s="298"/>
      <c r="J80" s="298"/>
      <c r="K80" s="298"/>
      <c r="L80" s="298"/>
      <c r="M80" s="298"/>
      <c r="N80" s="125"/>
      <c r="O80" s="210"/>
      <c r="P80" s="210"/>
      <c r="Q80" s="210">
        <v>216100000</v>
      </c>
      <c r="R80" s="125">
        <v>388400000</v>
      </c>
      <c r="S80" s="125">
        <v>584200000</v>
      </c>
      <c r="T80" s="125">
        <v>517900000</v>
      </c>
      <c r="U80" s="125">
        <v>645600000</v>
      </c>
      <c r="V80" s="125">
        <v>772800000</v>
      </c>
      <c r="W80" s="125"/>
      <c r="X80" s="389"/>
    </row>
    <row r="81" spans="1:24" ht="16.5">
      <c r="B81" s="90" t="s">
        <v>1118</v>
      </c>
      <c r="C81" s="34"/>
      <c r="D81" s="298"/>
      <c r="E81" s="298"/>
      <c r="F81" s="298"/>
      <c r="G81" s="298"/>
      <c r="H81" s="298"/>
      <c r="I81" s="298"/>
      <c r="J81" s="298"/>
      <c r="K81" s="298"/>
      <c r="L81" s="298"/>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89">
        <v>-159900000</v>
      </c>
    </row>
    <row r="82" spans="1:24" ht="16.5">
      <c r="B82" s="139" t="s">
        <v>444</v>
      </c>
      <c r="C82" s="34"/>
      <c r="D82" s="298"/>
      <c r="E82" s="298"/>
      <c r="F82" s="298"/>
      <c r="G82" s="298"/>
      <c r="H82" s="298"/>
      <c r="I82" s="298"/>
      <c r="J82" s="298"/>
      <c r="K82" s="298"/>
      <c r="L82" s="298"/>
      <c r="M82" s="210">
        <v>351200000</v>
      </c>
      <c r="N82" s="125">
        <v>547338000.00000012</v>
      </c>
      <c r="O82" s="210">
        <v>128860000</v>
      </c>
      <c r="P82" s="210">
        <v>169700000</v>
      </c>
      <c r="Q82" s="210"/>
      <c r="R82" s="125"/>
      <c r="S82" s="125"/>
      <c r="T82" s="125"/>
      <c r="U82" s="125"/>
      <c r="V82" s="125"/>
      <c r="W82" s="125">
        <v>443100000</v>
      </c>
      <c r="X82" s="389">
        <v>-65300000</v>
      </c>
    </row>
    <row r="83" spans="1:24" ht="16.5">
      <c r="B83" s="90" t="s">
        <v>439</v>
      </c>
      <c r="C83" s="34"/>
      <c r="D83" s="298"/>
      <c r="E83" s="298"/>
      <c r="F83" s="298"/>
      <c r="G83" s="298"/>
      <c r="H83" s="298"/>
      <c r="I83" s="298"/>
      <c r="J83" s="298"/>
      <c r="K83" s="298"/>
      <c r="L83" s="298"/>
      <c r="M83" s="298"/>
      <c r="N83" s="125">
        <v>0</v>
      </c>
      <c r="O83" s="210">
        <v>0</v>
      </c>
      <c r="P83" s="210"/>
      <c r="Q83" s="210"/>
      <c r="R83" s="125"/>
      <c r="S83" s="125"/>
      <c r="T83" s="125"/>
      <c r="U83" s="125"/>
      <c r="V83" s="125"/>
      <c r="W83" s="125"/>
      <c r="X83" s="389"/>
    </row>
    <row r="84" spans="1:24" ht="16.5">
      <c r="B84" s="90" t="s">
        <v>1108</v>
      </c>
      <c r="C84" s="34"/>
      <c r="D84" s="298"/>
      <c r="E84" s="298"/>
      <c r="F84" s="298"/>
      <c r="G84" s="298"/>
      <c r="H84" s="298"/>
      <c r="I84" s="298"/>
      <c r="J84" s="298"/>
      <c r="K84" s="298"/>
      <c r="L84" s="298"/>
      <c r="M84" s="298"/>
      <c r="N84" s="125">
        <v>0</v>
      </c>
      <c r="O84" s="210">
        <v>0</v>
      </c>
      <c r="P84" s="210"/>
      <c r="Q84" s="210"/>
      <c r="R84" s="125"/>
      <c r="S84" s="125"/>
      <c r="T84" s="125"/>
      <c r="U84" s="125"/>
      <c r="V84" s="125"/>
      <c r="W84" s="125"/>
      <c r="X84" s="389"/>
    </row>
    <row r="85" spans="1:24" ht="16.5">
      <c r="B85" s="90" t="s">
        <v>1109</v>
      </c>
      <c r="C85" s="34"/>
      <c r="D85" s="298"/>
      <c r="E85" s="298"/>
      <c r="F85" s="298"/>
      <c r="G85" s="298"/>
      <c r="H85" s="298"/>
      <c r="I85" s="298"/>
      <c r="J85" s="298"/>
      <c r="K85" s="298"/>
      <c r="L85" s="298"/>
      <c r="M85" s="298"/>
      <c r="N85" s="125">
        <v>0</v>
      </c>
      <c r="O85" s="210">
        <v>0</v>
      </c>
      <c r="P85" s="210"/>
      <c r="Q85" s="210"/>
      <c r="R85" s="125"/>
      <c r="S85" s="125"/>
      <c r="T85" s="125"/>
      <c r="U85" s="125"/>
      <c r="V85" s="125"/>
      <c r="W85" s="125"/>
      <c r="X85" s="389"/>
    </row>
    <row r="86" spans="1:24" ht="16.5">
      <c r="B86" s="90" t="s">
        <v>417</v>
      </c>
      <c r="C86" s="34"/>
      <c r="D86" s="298"/>
      <c r="E86" s="298"/>
      <c r="F86" s="298"/>
      <c r="G86" s="298"/>
      <c r="H86" s="298"/>
      <c r="I86" s="298"/>
      <c r="J86" s="298"/>
      <c r="K86" s="298"/>
      <c r="L86" s="298"/>
      <c r="M86" s="210">
        <v>93500000</v>
      </c>
      <c r="N86" s="125">
        <v>-74637000</v>
      </c>
      <c r="O86" s="210">
        <v>51543999.999999993</v>
      </c>
      <c r="P86" s="210"/>
      <c r="Q86" s="210"/>
      <c r="R86" s="125"/>
      <c r="S86" s="125"/>
      <c r="T86" s="125"/>
      <c r="U86" s="125"/>
      <c r="V86" s="125"/>
      <c r="W86" s="125"/>
      <c r="X86" s="389"/>
    </row>
    <row r="87" spans="1:24">
      <c r="B87" s="90" t="s">
        <v>1116</v>
      </c>
      <c r="C87" s="34"/>
      <c r="D87" s="298"/>
      <c r="E87" s="298"/>
      <c r="F87" s="298"/>
      <c r="G87" s="298"/>
      <c r="H87" s="298"/>
      <c r="I87" s="298"/>
      <c r="J87" s="298"/>
      <c r="K87" s="298"/>
      <c r="L87" s="298"/>
      <c r="M87" s="210"/>
      <c r="N87" s="125"/>
      <c r="O87" s="210"/>
      <c r="P87" s="210"/>
      <c r="Q87" s="210">
        <v>89100000</v>
      </c>
      <c r="R87" s="125">
        <v>307800000</v>
      </c>
      <c r="S87" s="125">
        <v>390400000</v>
      </c>
      <c r="T87" s="125">
        <v>385800000</v>
      </c>
      <c r="U87" s="125">
        <v>430300000</v>
      </c>
      <c r="V87" s="125">
        <v>437500000</v>
      </c>
      <c r="W87" s="125"/>
      <c r="X87" s="389"/>
    </row>
    <row r="88" spans="1:24">
      <c r="B88" s="90" t="s">
        <v>1117</v>
      </c>
      <c r="C88" s="34"/>
      <c r="D88" s="298"/>
      <c r="E88" s="298"/>
      <c r="F88" s="298"/>
      <c r="G88" s="298"/>
      <c r="H88" s="298"/>
      <c r="I88" s="298"/>
      <c r="J88" s="298"/>
      <c r="K88" s="298"/>
      <c r="L88" s="298"/>
      <c r="M88" s="210"/>
      <c r="N88" s="125"/>
      <c r="O88" s="210"/>
      <c r="P88" s="210"/>
      <c r="Q88" s="210">
        <v>0</v>
      </c>
      <c r="R88" s="125">
        <v>80900000</v>
      </c>
      <c r="S88" s="125">
        <v>194000000</v>
      </c>
      <c r="T88" s="125">
        <v>132500000</v>
      </c>
      <c r="U88" s="125">
        <v>215300000</v>
      </c>
      <c r="V88" s="125">
        <v>335300000</v>
      </c>
      <c r="W88" s="125"/>
      <c r="X88" s="389"/>
    </row>
    <row r="89" spans="1:24">
      <c r="B89" s="90" t="s">
        <v>444</v>
      </c>
      <c r="C89" s="34"/>
      <c r="D89" s="298"/>
      <c r="E89" s="298"/>
      <c r="F89" s="298"/>
      <c r="G89" s="298"/>
      <c r="H89" s="298"/>
      <c r="I89" s="298"/>
      <c r="J89" s="298"/>
      <c r="K89" s="298"/>
      <c r="L89" s="298"/>
      <c r="M89" s="210"/>
      <c r="N89" s="125"/>
      <c r="O89" s="210"/>
      <c r="P89" s="210"/>
      <c r="Q89" s="210">
        <v>56300000</v>
      </c>
      <c r="R89" s="125">
        <v>133400000</v>
      </c>
      <c r="S89" s="125">
        <v>35500000</v>
      </c>
      <c r="T89" s="125">
        <v>-125600000</v>
      </c>
      <c r="U89" s="125">
        <v>-46900000</v>
      </c>
      <c r="V89" s="125">
        <v>-157800000</v>
      </c>
      <c r="W89" s="125"/>
      <c r="X89" s="389"/>
    </row>
    <row r="90" spans="1:24" ht="16.5">
      <c r="A90" s="90" t="s">
        <v>1119</v>
      </c>
      <c r="B90" s="90" t="s">
        <v>1120</v>
      </c>
      <c r="C90" s="58" t="s">
        <v>264</v>
      </c>
      <c r="D90" s="298"/>
      <c r="E90" s="298"/>
      <c r="F90" s="298"/>
      <c r="G90" s="298"/>
      <c r="H90" s="298"/>
      <c r="I90" s="298"/>
      <c r="J90" s="298"/>
      <c r="K90" s="298"/>
      <c r="L90" s="298"/>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89">
        <v>193000000</v>
      </c>
    </row>
    <row r="91" spans="1:24" ht="16.5">
      <c r="B91" s="90" t="s">
        <v>441</v>
      </c>
      <c r="C91" s="34"/>
      <c r="D91" s="298"/>
      <c r="E91" s="298"/>
      <c r="F91" s="298"/>
      <c r="G91" s="298"/>
      <c r="H91" s="298"/>
      <c r="I91" s="298"/>
      <c r="J91" s="298"/>
      <c r="K91" s="298"/>
      <c r="L91" s="298"/>
      <c r="M91" s="298"/>
      <c r="N91" s="125">
        <v>0</v>
      </c>
      <c r="O91" s="210">
        <v>0</v>
      </c>
      <c r="P91" s="210"/>
      <c r="Q91" s="210">
        <v>465300000</v>
      </c>
      <c r="R91" s="125">
        <v>508500000</v>
      </c>
      <c r="S91" s="125">
        <v>29600000</v>
      </c>
      <c r="T91" s="125">
        <v>125400000</v>
      </c>
      <c r="U91" s="125">
        <v>-321200000</v>
      </c>
      <c r="V91" s="125">
        <v>-106500000</v>
      </c>
      <c r="W91" s="125"/>
      <c r="X91" s="389"/>
    </row>
    <row r="92" spans="1:24" ht="16.5">
      <c r="B92" s="90" t="s">
        <v>443</v>
      </c>
      <c r="C92" s="34"/>
      <c r="D92" s="298"/>
      <c r="E92" s="298"/>
      <c r="F92" s="298"/>
      <c r="G92" s="298"/>
      <c r="H92" s="298"/>
      <c r="I92" s="298"/>
      <c r="J92" s="298"/>
      <c r="K92" s="298"/>
      <c r="L92" s="298"/>
      <c r="M92" s="125">
        <v>0</v>
      </c>
      <c r="N92" s="125">
        <v>0</v>
      </c>
      <c r="O92" s="210">
        <v>0</v>
      </c>
      <c r="P92" s="210"/>
      <c r="Q92" s="210">
        <v>1076600000</v>
      </c>
      <c r="R92" s="125">
        <v>1173700000</v>
      </c>
      <c r="S92" s="125">
        <v>526900000</v>
      </c>
      <c r="T92" s="125">
        <v>764600000</v>
      </c>
      <c r="U92" s="125">
        <v>498300000</v>
      </c>
      <c r="V92" s="125">
        <v>762900000</v>
      </c>
      <c r="W92" s="125"/>
      <c r="X92" s="389"/>
    </row>
    <row r="93" spans="1:24" ht="16.5">
      <c r="B93" s="139" t="s">
        <v>444</v>
      </c>
      <c r="C93" s="34"/>
      <c r="D93" s="298"/>
      <c r="E93" s="298"/>
      <c r="F93" s="298"/>
      <c r="G93" s="298"/>
      <c r="H93" s="298"/>
      <c r="I93" s="298"/>
      <c r="J93" s="298"/>
      <c r="K93" s="298"/>
      <c r="L93" s="298"/>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89">
        <v>193000000</v>
      </c>
    </row>
    <row r="94" spans="1:24" ht="16.5">
      <c r="B94" s="139" t="s">
        <v>1104</v>
      </c>
      <c r="C94" s="34"/>
      <c r="D94" s="298"/>
      <c r="E94" s="298"/>
      <c r="F94" s="298"/>
      <c r="G94" s="298"/>
      <c r="H94" s="298"/>
      <c r="I94" s="298"/>
      <c r="J94" s="298"/>
      <c r="K94" s="298"/>
      <c r="L94" s="298"/>
      <c r="M94" s="125">
        <v>781100000</v>
      </c>
      <c r="N94" s="125">
        <v>970281000.00000012</v>
      </c>
      <c r="O94" s="210">
        <v>541212000</v>
      </c>
      <c r="P94" s="210">
        <v>947700000</v>
      </c>
      <c r="Q94" s="210"/>
      <c r="R94" s="125"/>
      <c r="S94" s="125"/>
      <c r="T94" s="125"/>
      <c r="U94" s="125"/>
      <c r="V94" s="125"/>
      <c r="W94" s="125">
        <v>787400000</v>
      </c>
      <c r="X94" s="389">
        <v>792600000</v>
      </c>
    </row>
    <row r="95" spans="1:24" ht="16.5">
      <c r="B95" s="139" t="s">
        <v>258</v>
      </c>
      <c r="C95" s="34"/>
      <c r="D95" s="298"/>
      <c r="E95" s="298"/>
      <c r="F95" s="298"/>
      <c r="G95" s="298"/>
      <c r="H95" s="298"/>
      <c r="I95" s="298"/>
      <c r="J95" s="298"/>
      <c r="K95" s="298"/>
      <c r="L95" s="298"/>
      <c r="M95" s="125">
        <v>153500000</v>
      </c>
      <c r="N95" s="125">
        <v>223911000</v>
      </c>
      <c r="O95" s="210">
        <v>231948000</v>
      </c>
      <c r="P95" s="210">
        <v>318000000</v>
      </c>
      <c r="Q95" s="210"/>
      <c r="R95" s="125"/>
      <c r="S95" s="125"/>
      <c r="T95" s="125"/>
      <c r="U95" s="125"/>
      <c r="V95" s="125"/>
      <c r="W95" s="125">
        <v>714600000</v>
      </c>
      <c r="X95" s="389">
        <v>599600000</v>
      </c>
    </row>
    <row r="96" spans="1:24" ht="16.5">
      <c r="B96" s="90" t="s">
        <v>439</v>
      </c>
      <c r="C96" s="34"/>
      <c r="D96" s="298"/>
      <c r="E96" s="298"/>
      <c r="F96" s="298"/>
      <c r="G96" s="298"/>
      <c r="H96" s="298"/>
      <c r="I96" s="298"/>
      <c r="J96" s="298"/>
      <c r="K96" s="298"/>
      <c r="L96" s="298"/>
      <c r="M96" s="298"/>
      <c r="N96" s="125">
        <v>0</v>
      </c>
      <c r="O96" s="210">
        <v>0</v>
      </c>
      <c r="P96" s="210"/>
      <c r="Q96" s="210"/>
      <c r="R96" s="125"/>
      <c r="S96" s="125"/>
      <c r="T96" s="125"/>
      <c r="U96" s="125"/>
      <c r="V96" s="125"/>
      <c r="W96" s="125"/>
      <c r="X96" s="389"/>
    </row>
    <row r="97" spans="1:24" ht="16.5">
      <c r="B97" s="90" t="s">
        <v>1108</v>
      </c>
      <c r="C97" s="34"/>
      <c r="D97" s="298"/>
      <c r="E97" s="298"/>
      <c r="F97" s="298"/>
      <c r="G97" s="298"/>
      <c r="H97" s="298"/>
      <c r="I97" s="298"/>
      <c r="J97" s="298"/>
      <c r="K97" s="298"/>
      <c r="L97" s="298"/>
      <c r="M97" s="298"/>
      <c r="N97" s="125">
        <v>0</v>
      </c>
      <c r="O97" s="210">
        <v>0</v>
      </c>
      <c r="P97" s="210"/>
      <c r="Q97" s="210"/>
      <c r="R97" s="125"/>
      <c r="S97" s="125"/>
      <c r="T97" s="125"/>
      <c r="U97" s="125"/>
      <c r="V97" s="125"/>
      <c r="W97" s="125"/>
      <c r="X97" s="389"/>
    </row>
    <row r="98" spans="1:24" ht="16.5">
      <c r="B98" s="90" t="s">
        <v>1109</v>
      </c>
      <c r="C98" s="34"/>
      <c r="D98" s="298"/>
      <c r="E98" s="298"/>
      <c r="F98" s="298"/>
      <c r="G98" s="298"/>
      <c r="H98" s="298"/>
      <c r="I98" s="298"/>
      <c r="J98" s="298"/>
      <c r="K98" s="298"/>
      <c r="L98" s="298"/>
      <c r="M98" s="298"/>
      <c r="N98" s="125">
        <v>0</v>
      </c>
      <c r="O98" s="210">
        <v>0</v>
      </c>
      <c r="P98" s="210"/>
      <c r="Q98" s="210"/>
      <c r="R98" s="125"/>
      <c r="S98" s="125"/>
      <c r="T98" s="125"/>
      <c r="U98" s="125"/>
      <c r="V98" s="125"/>
      <c r="W98" s="125"/>
      <c r="X98" s="389"/>
    </row>
    <row r="99" spans="1:24" ht="16.5">
      <c r="B99" s="90" t="s">
        <v>417</v>
      </c>
      <c r="C99" s="34"/>
      <c r="D99" s="298"/>
      <c r="E99" s="298"/>
      <c r="F99" s="298"/>
      <c r="G99" s="298"/>
      <c r="H99" s="298"/>
      <c r="I99" s="298"/>
      <c r="J99" s="298"/>
      <c r="K99" s="298"/>
      <c r="L99" s="298"/>
      <c r="M99" s="125">
        <v>0</v>
      </c>
      <c r="N99" s="125">
        <v>0</v>
      </c>
      <c r="O99" s="125">
        <v>0</v>
      </c>
      <c r="P99" s="125">
        <v>0</v>
      </c>
      <c r="Q99" s="125">
        <v>0</v>
      </c>
      <c r="R99" s="125">
        <v>0</v>
      </c>
      <c r="S99" s="125">
        <v>-2000000</v>
      </c>
      <c r="T99" s="125">
        <v>0</v>
      </c>
      <c r="U99" s="125">
        <v>0</v>
      </c>
      <c r="V99" s="125">
        <v>0</v>
      </c>
      <c r="W99" s="125">
        <v>0</v>
      </c>
      <c r="X99" s="389">
        <v>0</v>
      </c>
    </row>
    <row r="100" spans="1:24" ht="16.5">
      <c r="B100" s="90" t="s">
        <v>1121</v>
      </c>
      <c r="C100" s="34"/>
      <c r="D100" s="298"/>
      <c r="E100" s="298"/>
      <c r="F100" s="298"/>
      <c r="G100" s="298"/>
      <c r="H100" s="298"/>
      <c r="I100" s="298"/>
      <c r="J100" s="298"/>
      <c r="K100" s="298"/>
      <c r="L100" s="125">
        <v>0</v>
      </c>
      <c r="M100" s="125">
        <v>0</v>
      </c>
      <c r="N100" s="125">
        <v>0</v>
      </c>
      <c r="O100" s="125">
        <v>0</v>
      </c>
      <c r="P100" s="125"/>
      <c r="Q100" s="125">
        <v>0</v>
      </c>
      <c r="R100" s="125">
        <v>0</v>
      </c>
      <c r="S100" s="125">
        <v>0</v>
      </c>
      <c r="T100" s="125">
        <v>0</v>
      </c>
      <c r="U100" s="125">
        <v>0</v>
      </c>
      <c r="V100" s="125">
        <v>516200000.00000006</v>
      </c>
      <c r="W100" s="125"/>
      <c r="X100" s="389"/>
    </row>
    <row r="101" spans="1:24" ht="16.5">
      <c r="B101" s="90" t="s">
        <v>1122</v>
      </c>
      <c r="C101" s="34"/>
      <c r="D101" s="298"/>
      <c r="E101" s="298"/>
      <c r="F101" s="298"/>
      <c r="G101" s="298"/>
      <c r="H101" s="298"/>
      <c r="I101" s="298"/>
      <c r="J101" s="298"/>
      <c r="K101" s="298"/>
      <c r="L101" s="125">
        <v>0</v>
      </c>
      <c r="M101" s="125">
        <v>0</v>
      </c>
      <c r="N101" s="125">
        <v>0</v>
      </c>
      <c r="O101" s="125">
        <v>0</v>
      </c>
      <c r="P101" s="125"/>
      <c r="Q101" s="125">
        <v>0</v>
      </c>
      <c r="R101" s="125">
        <v>0</v>
      </c>
      <c r="S101" s="125">
        <v>0</v>
      </c>
      <c r="T101" s="125">
        <v>0</v>
      </c>
      <c r="U101" s="125">
        <v>0</v>
      </c>
      <c r="V101" s="125">
        <v>516200000.00000006</v>
      </c>
      <c r="W101" s="125"/>
      <c r="X101" s="389"/>
    </row>
    <row r="102" spans="1:24" ht="16.5">
      <c r="B102" s="139" t="s">
        <v>273</v>
      </c>
      <c r="C102" s="34"/>
      <c r="D102" s="298"/>
      <c r="E102" s="298"/>
      <c r="F102" s="298"/>
      <c r="G102" s="298"/>
      <c r="H102" s="298"/>
      <c r="I102" s="298"/>
      <c r="J102" s="298"/>
      <c r="K102" s="298"/>
      <c r="L102" s="298"/>
      <c r="M102" s="125">
        <v>0</v>
      </c>
      <c r="N102" s="125">
        <v>0</v>
      </c>
      <c r="O102" s="125">
        <v>0</v>
      </c>
      <c r="P102" s="125"/>
      <c r="Q102" s="125">
        <v>0</v>
      </c>
      <c r="R102" s="125">
        <v>0</v>
      </c>
      <c r="S102" s="125">
        <v>0</v>
      </c>
      <c r="T102" s="125">
        <v>0</v>
      </c>
      <c r="U102" s="125">
        <v>0</v>
      </c>
      <c r="V102" s="125">
        <v>378300000</v>
      </c>
      <c r="W102" s="125"/>
      <c r="X102" s="389"/>
    </row>
    <row r="103" spans="1:24" ht="16.5">
      <c r="B103" s="139" t="s">
        <v>1123</v>
      </c>
      <c r="C103" s="34"/>
      <c r="D103" s="298"/>
      <c r="E103" s="298"/>
      <c r="F103" s="298"/>
      <c r="G103" s="298"/>
      <c r="H103" s="298"/>
      <c r="I103" s="298"/>
      <c r="J103" s="298"/>
      <c r="K103" s="298"/>
      <c r="L103" s="298"/>
      <c r="M103" s="125">
        <v>0</v>
      </c>
      <c r="N103" s="125">
        <v>0</v>
      </c>
      <c r="O103" s="125">
        <v>0</v>
      </c>
      <c r="P103" s="125"/>
      <c r="Q103" s="125">
        <v>0</v>
      </c>
      <c r="R103" s="125">
        <v>0</v>
      </c>
      <c r="S103" s="125">
        <v>0</v>
      </c>
      <c r="T103" s="125">
        <v>0</v>
      </c>
      <c r="U103" s="125">
        <v>0</v>
      </c>
      <c r="V103" s="125">
        <v>137900000</v>
      </c>
      <c r="W103" s="125"/>
      <c r="X103" s="389"/>
    </row>
    <row r="104" spans="1:24" ht="16.5">
      <c r="B104" s="139" t="s">
        <v>1124</v>
      </c>
      <c r="C104" s="34"/>
      <c r="D104" s="298"/>
      <c r="E104" s="298"/>
      <c r="F104" s="298"/>
      <c r="G104" s="298"/>
      <c r="H104" s="298"/>
      <c r="I104" s="298"/>
      <c r="J104" s="298"/>
      <c r="K104" s="298"/>
      <c r="L104" s="298"/>
      <c r="M104" s="125">
        <v>0</v>
      </c>
      <c r="N104" s="125">
        <v>0</v>
      </c>
      <c r="O104" s="125">
        <v>0</v>
      </c>
      <c r="P104" s="125"/>
      <c r="Q104" s="125">
        <v>0</v>
      </c>
      <c r="R104" s="125">
        <v>0</v>
      </c>
      <c r="S104" s="125">
        <v>0</v>
      </c>
      <c r="T104" s="125">
        <v>0</v>
      </c>
      <c r="U104" s="125">
        <v>0</v>
      </c>
      <c r="V104" s="125">
        <v>0</v>
      </c>
      <c r="W104" s="125"/>
      <c r="X104" s="389"/>
    </row>
    <row r="105" spans="1:24" ht="16.5">
      <c r="B105" s="139" t="s">
        <v>50</v>
      </c>
      <c r="C105" s="34"/>
      <c r="D105" s="298"/>
      <c r="E105" s="298"/>
      <c r="F105" s="298"/>
      <c r="G105" s="298"/>
      <c r="H105" s="298"/>
      <c r="I105" s="298"/>
      <c r="J105" s="298"/>
      <c r="K105" s="298"/>
      <c r="L105" s="298"/>
      <c r="M105" s="125">
        <v>0</v>
      </c>
      <c r="N105" s="125">
        <v>0</v>
      </c>
      <c r="O105" s="125">
        <v>0</v>
      </c>
      <c r="P105" s="125"/>
      <c r="Q105" s="125">
        <v>0</v>
      </c>
      <c r="R105" s="125">
        <v>0</v>
      </c>
      <c r="S105" s="125">
        <v>0</v>
      </c>
      <c r="T105" s="125">
        <v>0</v>
      </c>
      <c r="U105" s="125">
        <v>0</v>
      </c>
      <c r="V105" s="125">
        <v>0</v>
      </c>
      <c r="W105" s="125"/>
      <c r="X105" s="389"/>
    </row>
    <row r="106" spans="1:24" ht="16.5">
      <c r="A106" s="90" t="s">
        <v>1125</v>
      </c>
      <c r="B106" s="90" t="s">
        <v>1126</v>
      </c>
      <c r="C106" s="58" t="s">
        <v>252</v>
      </c>
      <c r="D106" s="298"/>
      <c r="E106" s="298"/>
      <c r="F106" s="298"/>
      <c r="G106" s="298"/>
      <c r="H106" s="298"/>
      <c r="I106" s="298"/>
      <c r="J106" s="298"/>
      <c r="K106" s="298"/>
      <c r="L106" s="298"/>
      <c r="M106" s="125">
        <v>0</v>
      </c>
      <c r="N106" s="125">
        <v>0</v>
      </c>
      <c r="O106" s="125">
        <v>0</v>
      </c>
      <c r="P106" s="125">
        <v>0</v>
      </c>
      <c r="Q106" s="125">
        <v>0</v>
      </c>
      <c r="R106" s="125">
        <v>0</v>
      </c>
      <c r="S106" s="125">
        <v>0</v>
      </c>
      <c r="T106" s="125">
        <v>0</v>
      </c>
      <c r="U106" s="125">
        <v>0</v>
      </c>
      <c r="V106" s="125">
        <v>0</v>
      </c>
      <c r="W106" s="125">
        <v>58700000</v>
      </c>
      <c r="X106" s="389">
        <v>0</v>
      </c>
    </row>
    <row r="107" spans="1:24" ht="16.5">
      <c r="A107" s="90" t="s">
        <v>1127</v>
      </c>
      <c r="B107" s="90" t="s">
        <v>1128</v>
      </c>
      <c r="C107" s="58" t="s">
        <v>252</v>
      </c>
      <c r="D107" s="298"/>
      <c r="E107" s="298"/>
      <c r="F107" s="298"/>
      <c r="G107" s="298"/>
      <c r="H107" s="298"/>
      <c r="I107" s="298"/>
      <c r="J107" s="298"/>
      <c r="K107" s="298"/>
      <c r="L107" s="298"/>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89">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89"/>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8"/>
      <c r="E110" s="298"/>
      <c r="F110" s="298"/>
      <c r="G110" s="298"/>
      <c r="H110" s="298"/>
      <c r="I110" s="298"/>
      <c r="J110" s="298"/>
      <c r="K110" s="298"/>
      <c r="L110" s="298"/>
      <c r="M110" s="298"/>
      <c r="N110" s="298"/>
      <c r="O110" s="298"/>
      <c r="P110" s="298"/>
      <c r="Q110" s="298"/>
      <c r="R110" s="298"/>
      <c r="S110" s="298"/>
      <c r="T110" s="298"/>
      <c r="U110" s="298"/>
      <c r="V110" s="298"/>
      <c r="W110" s="298"/>
      <c r="X110" s="298"/>
    </row>
    <row r="111" spans="1:24">
      <c r="B111" t="s">
        <v>875</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616</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617</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889">
        <f>Q8-Q10-Q11-Q14-Q16</f>
        <v>-100000</v>
      </c>
      <c r="R113" s="889">
        <f t="shared" ref="R113:V113" si="24">R8-R10-R11-R14-R16</f>
        <v>0</v>
      </c>
      <c r="S113" s="889">
        <f t="shared" si="24"/>
        <v>100000</v>
      </c>
      <c r="T113" s="889">
        <f t="shared" si="24"/>
        <v>0</v>
      </c>
      <c r="U113" s="889">
        <f t="shared" si="24"/>
        <v>0</v>
      </c>
      <c r="V113" s="889">
        <f t="shared" si="24"/>
        <v>0</v>
      </c>
      <c r="W113" s="21">
        <f>W8-W10-W11-W14-W16-W17</f>
        <v>-100000</v>
      </c>
      <c r="X113" s="21">
        <f>X8-X10-X11-X14-X16-X17</f>
        <v>0</v>
      </c>
    </row>
    <row r="114" spans="2:24">
      <c r="B114" t="s">
        <v>1129</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826</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1130</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457</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1131</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1099</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543</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24">
        <v>25734000000</v>
      </c>
      <c r="Q124" s="524">
        <v>26282000000</v>
      </c>
      <c r="R124" s="524">
        <v>26779000000</v>
      </c>
      <c r="S124" s="524">
        <v>27381000000</v>
      </c>
      <c r="T124" s="524">
        <v>28336000000</v>
      </c>
      <c r="U124" s="524">
        <v>29445000000</v>
      </c>
      <c r="V124" s="524">
        <v>30797000000</v>
      </c>
      <c r="W124" s="524">
        <v>32221000000</v>
      </c>
      <c r="X124" s="524">
        <v>33799000000</v>
      </c>
    </row>
    <row r="125" spans="2:24">
      <c r="B125" t="s">
        <v>151</v>
      </c>
      <c r="C125" s="34"/>
      <c r="D125" s="364">
        <f t="shared" ref="D125:P125" si="37">(D6/D124)*100</f>
        <v>45.824427480916029</v>
      </c>
      <c r="E125" s="364">
        <f t="shared" si="37"/>
        <v>43.116842021991928</v>
      </c>
      <c r="F125" s="364">
        <f t="shared" si="37"/>
        <v>41.479994263588125</v>
      </c>
      <c r="G125" s="364">
        <f t="shared" si="37"/>
        <v>50.6</v>
      </c>
      <c r="H125" s="364">
        <f t="shared" si="37"/>
        <v>44.199999999999996</v>
      </c>
      <c r="I125" s="364">
        <f t="shared" si="37"/>
        <v>45.6</v>
      </c>
      <c r="J125" s="364">
        <f t="shared" si="37"/>
        <v>47.599999999999994</v>
      </c>
      <c r="K125" s="364">
        <f t="shared" si="37"/>
        <v>48.6</v>
      </c>
      <c r="L125" s="364">
        <f t="shared" si="37"/>
        <v>44.676593019532504</v>
      </c>
      <c r="M125" s="364">
        <f t="shared" si="37"/>
        <v>44.515160241905619</v>
      </c>
      <c r="N125" s="364">
        <f t="shared" si="37"/>
        <v>46.5</v>
      </c>
      <c r="O125" s="364">
        <f t="shared" si="37"/>
        <v>45.9</v>
      </c>
      <c r="P125" s="364">
        <f t="shared" si="37"/>
        <v>46.290510608533459</v>
      </c>
      <c r="Q125" s="364">
        <f t="shared" ref="Q125:X125" si="38">(Q6/Q124)*100</f>
        <v>43.999315120614867</v>
      </c>
      <c r="R125" s="364">
        <f t="shared" si="38"/>
        <v>44.248851712162519</v>
      </c>
      <c r="S125" s="364">
        <f t="shared" si="38"/>
        <v>45.148095394616703</v>
      </c>
      <c r="T125" s="364">
        <f t="shared" si="38"/>
        <v>45.013763410502541</v>
      </c>
      <c r="U125" s="364">
        <f t="shared" si="38"/>
        <v>46.222448633044664</v>
      </c>
      <c r="V125" s="364">
        <f t="shared" si="38"/>
        <v>46.744488099490212</v>
      </c>
      <c r="W125" s="364">
        <f t="shared" si="38"/>
        <v>49.944756525247506</v>
      </c>
      <c r="X125" s="364">
        <f t="shared" si="38"/>
        <v>50.873694488002606</v>
      </c>
    </row>
    <row r="126" spans="2:24">
      <c r="B126" t="s">
        <v>1132</v>
      </c>
      <c r="C126" s="34"/>
      <c r="D126" s="364">
        <f t="shared" ref="D126:P126" si="39">(D23/D124)*100</f>
        <v>48.458015267175576</v>
      </c>
      <c r="E126" s="364">
        <f t="shared" si="39"/>
        <v>45.288347440867021</v>
      </c>
      <c r="F126" s="364">
        <f t="shared" si="39"/>
        <v>44.92972895453893</v>
      </c>
      <c r="G126" s="364">
        <f t="shared" si="39"/>
        <v>52.2</v>
      </c>
      <c r="H126" s="364">
        <f t="shared" si="39"/>
        <v>44.7</v>
      </c>
      <c r="I126" s="364">
        <f t="shared" si="39"/>
        <v>44.800000000000004</v>
      </c>
      <c r="J126" s="364">
        <f t="shared" si="39"/>
        <v>45.300000000000004</v>
      </c>
      <c r="K126" s="364">
        <f t="shared" si="39"/>
        <v>48.8</v>
      </c>
      <c r="L126" s="364">
        <f t="shared" si="39"/>
        <v>53.210054434838291</v>
      </c>
      <c r="M126" s="364">
        <f t="shared" si="39"/>
        <v>49.965030649607115</v>
      </c>
      <c r="N126" s="364">
        <f t="shared" si="39"/>
        <v>50.7</v>
      </c>
      <c r="O126" s="364">
        <f t="shared" si="39"/>
        <v>48.699999999999996</v>
      </c>
      <c r="P126" s="364">
        <f t="shared" si="39"/>
        <v>49.179295873163909</v>
      </c>
      <c r="Q126" s="364">
        <f t="shared" ref="Q126:X126" si="40">(Q23/Q124)*100</f>
        <v>46.019709306749867</v>
      </c>
      <c r="R126" s="364">
        <f t="shared" si="40"/>
        <v>47.419993278315097</v>
      </c>
      <c r="S126" s="364">
        <f t="shared" si="40"/>
        <v>45.613381541945145</v>
      </c>
      <c r="T126" s="364">
        <f t="shared" si="40"/>
        <v>44.802018633540378</v>
      </c>
      <c r="U126" s="364">
        <f t="shared" si="40"/>
        <v>44.185430463576161</v>
      </c>
      <c r="V126" s="364">
        <f t="shared" si="40"/>
        <v>45.555086534402697</v>
      </c>
      <c r="W126" s="364">
        <f t="shared" si="40"/>
        <v>50.554917600322767</v>
      </c>
      <c r="X126" s="364">
        <f t="shared" si="40"/>
        <v>51.049735199266252</v>
      </c>
    </row>
    <row r="127" spans="2:24">
      <c r="C127" s="34"/>
      <c r="X127" s="2"/>
    </row>
    <row r="128" spans="2:24">
      <c r="B128" t="s">
        <v>1133</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D6" activePane="bottomRight" state="frozen"/>
      <selection pane="topRight" activeCell="B1" sqref="B1"/>
      <selection pane="bottomLeft" activeCell="B1" sqref="B1"/>
      <selection pane="bottomRight" activeCell="H6" sqref="H6"/>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1134</v>
      </c>
      <c r="B1" s="82" t="s">
        <v>1135</v>
      </c>
      <c r="C1" s="82"/>
      <c r="D1" s="27"/>
      <c r="E1" s="27"/>
      <c r="F1" s="27"/>
      <c r="G1" s="27"/>
      <c r="H1" s="27"/>
      <c r="I1" s="27"/>
      <c r="J1" s="27"/>
      <c r="K1" s="27"/>
      <c r="L1" s="27"/>
      <c r="M1" s="27"/>
      <c r="N1" s="28"/>
      <c r="O1" s="298"/>
      <c r="P1" s="28"/>
      <c r="Q1" s="29"/>
      <c r="R1" s="28"/>
      <c r="S1" s="28"/>
      <c r="T1" s="298"/>
      <c r="U1" s="28"/>
      <c r="V1" s="28"/>
      <c r="W1" s="2"/>
    </row>
    <row r="2" spans="1:36">
      <c r="B2" s="30" t="s">
        <v>1136</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1137</v>
      </c>
      <c r="AA4" s="2" t="s">
        <v>7094</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1138</v>
      </c>
      <c r="C6" s="18" t="s">
        <v>35</v>
      </c>
      <c r="D6" s="361"/>
      <c r="E6" s="361"/>
      <c r="F6" s="361"/>
      <c r="G6" s="178">
        <v>16197000000</v>
      </c>
      <c r="H6" s="304">
        <f>H7+H23</f>
        <v>18054000000</v>
      </c>
      <c r="I6" s="178">
        <v>22267000000</v>
      </c>
      <c r="J6" s="178">
        <v>27287000000</v>
      </c>
      <c r="K6" s="142">
        <v>28629000000</v>
      </c>
      <c r="L6" s="304">
        <f>L7+L23</f>
        <v>29766000000</v>
      </c>
      <c r="M6" s="304">
        <v>29023000000</v>
      </c>
      <c r="N6" s="304">
        <v>31210000000</v>
      </c>
      <c r="O6" s="304">
        <v>38487000000</v>
      </c>
      <c r="P6" s="304">
        <v>41658000000</v>
      </c>
      <c r="Q6" s="304">
        <v>45426000000</v>
      </c>
      <c r="R6" s="304">
        <v>55900000000</v>
      </c>
      <c r="S6" s="304">
        <v>47400000000</v>
      </c>
      <c r="T6" s="304">
        <f>T7+T23</f>
        <v>57500000000</v>
      </c>
      <c r="U6" s="304">
        <f>U7+U23</f>
        <v>58200000000</v>
      </c>
      <c r="V6" s="304">
        <f t="shared" ref="V6:AA6" si="0">V7+V23</f>
        <v>57400000000</v>
      </c>
      <c r="W6" s="304">
        <f t="shared" si="0"/>
        <v>61600000000</v>
      </c>
      <c r="X6" s="304">
        <f t="shared" si="0"/>
        <v>66600000000</v>
      </c>
      <c r="Y6" s="304">
        <f t="shared" si="0"/>
        <v>71000000000</v>
      </c>
      <c r="Z6" s="304">
        <f t="shared" si="0"/>
        <v>76100000000</v>
      </c>
      <c r="AA6" s="304">
        <f t="shared" si="0"/>
        <v>85200000000</v>
      </c>
    </row>
    <row r="7" spans="1:36" ht="16.5">
      <c r="A7" s="139" t="s">
        <v>36</v>
      </c>
      <c r="B7" s="90" t="s">
        <v>1139</v>
      </c>
      <c r="C7" s="345" t="s">
        <v>38</v>
      </c>
      <c r="D7" s="361"/>
      <c r="E7" s="361"/>
      <c r="F7" s="361"/>
      <c r="G7" s="178">
        <v>16136000000</v>
      </c>
      <c r="H7" s="142">
        <f>H8+H15</f>
        <v>17706000000</v>
      </c>
      <c r="I7" s="178">
        <v>22154000000</v>
      </c>
      <c r="J7" s="178">
        <v>26840000000</v>
      </c>
      <c r="K7" s="142">
        <v>28052000000</v>
      </c>
      <c r="L7" s="142">
        <f>L8+L15</f>
        <v>29143000000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1"/>
      <c r="E8" s="361"/>
      <c r="F8" s="361"/>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628</v>
      </c>
      <c r="B9" s="99" t="s">
        <v>1140</v>
      </c>
      <c r="C9" s="27" t="s">
        <v>44</v>
      </c>
      <c r="D9" s="90"/>
      <c r="E9" s="361"/>
      <c r="F9" s="361"/>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1141</v>
      </c>
      <c r="B10" s="138" t="s">
        <v>1141</v>
      </c>
      <c r="C10" t="s">
        <v>632</v>
      </c>
      <c r="D10" s="361"/>
      <c r="E10" s="361"/>
      <c r="F10" s="361"/>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1142</v>
      </c>
      <c r="B11" s="138" t="s">
        <v>1142</v>
      </c>
      <c r="C11" t="s">
        <v>632</v>
      </c>
      <c r="D11" s="90"/>
      <c r="E11" s="361"/>
      <c r="F11" s="361"/>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1"/>
      <c r="F12" s="361"/>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1143</v>
      </c>
      <c r="B13" s="99" t="s">
        <v>1144</v>
      </c>
      <c r="C13" s="27" t="s">
        <v>44</v>
      </c>
      <c r="D13" s="90"/>
      <c r="E13" s="361"/>
      <c r="F13" s="361"/>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1"/>
      <c r="F14" s="361"/>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1145</v>
      </c>
      <c r="C15" s="58" t="s">
        <v>41</v>
      </c>
      <c r="D15" s="90"/>
      <c r="E15" s="361"/>
      <c r="F15" s="361"/>
      <c r="G15" s="178">
        <v>7774000000</v>
      </c>
      <c r="H15" s="178">
        <f>H16+H17+H18+H20+H21</f>
        <v>7634000000</v>
      </c>
      <c r="I15" s="178">
        <v>10174000000</v>
      </c>
      <c r="J15" s="178">
        <v>10923000000</v>
      </c>
      <c r="K15" s="142">
        <v>10785000000</v>
      </c>
      <c r="L15" s="178">
        <f>L16+L17+L18+L20+L21</f>
        <v>8688000000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1146</v>
      </c>
      <c r="B16" s="99" t="s">
        <v>1147</v>
      </c>
      <c r="C16" s="58" t="s">
        <v>192</v>
      </c>
      <c r="D16" s="90"/>
      <c r="E16" s="361"/>
      <c r="F16" s="361"/>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1"/>
      <c r="F17" s="361"/>
      <c r="G17" s="178">
        <v>208000000</v>
      </c>
      <c r="H17" s="2738">
        <v>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1148</v>
      </c>
      <c r="B18" s="179" t="s">
        <v>1149</v>
      </c>
      <c r="C18" s="58" t="s">
        <v>192</v>
      </c>
      <c r="D18" s="90"/>
      <c r="E18" s="361"/>
      <c r="F18" s="361"/>
      <c r="G18" s="178">
        <f>G19-G20</f>
        <v>293000000</v>
      </c>
      <c r="H18" s="178">
        <f>H19-H20</f>
        <v>182000000</v>
      </c>
      <c r="I18" s="178">
        <f>I19-I20</f>
        <v>228000000</v>
      </c>
      <c r="J18" s="178">
        <f>J19-J20</f>
        <v>81000000</v>
      </c>
      <c r="K18" s="178">
        <f>K19-K20</f>
        <v>219000000</v>
      </c>
      <c r="L18" s="2629">
        <v>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1150</v>
      </c>
      <c r="C19" s="58"/>
      <c r="D19" s="90"/>
      <c r="E19" s="361"/>
      <c r="F19" s="361"/>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1151</v>
      </c>
      <c r="B20" s="99" t="s">
        <v>1152</v>
      </c>
      <c r="C20" s="58" t="s">
        <v>192</v>
      </c>
      <c r="D20" s="90"/>
      <c r="E20" s="361"/>
      <c r="F20" s="361"/>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1153</v>
      </c>
      <c r="B21" s="99" t="s">
        <v>1154</v>
      </c>
      <c r="C21" s="58" t="s">
        <v>192</v>
      </c>
      <c r="D21" s="90"/>
      <c r="E21" s="361"/>
      <c r="F21" s="361"/>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1155</v>
      </c>
      <c r="B22" s="99" t="s">
        <v>1155</v>
      </c>
      <c r="C22" s="58" t="s">
        <v>192</v>
      </c>
      <c r="D22" s="90"/>
      <c r="E22" s="361"/>
      <c r="F22" s="361"/>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5" t="s">
        <v>38</v>
      </c>
      <c r="D23" s="18"/>
      <c r="G23" s="263">
        <v>61000000</v>
      </c>
      <c r="H23" s="263">
        <v>348000000</v>
      </c>
      <c r="I23" s="263">
        <v>113000000</v>
      </c>
      <c r="J23" s="263">
        <v>448000000</v>
      </c>
      <c r="K23" s="304">
        <v>577000000</v>
      </c>
      <c r="L23" s="304">
        <v>623000000</v>
      </c>
      <c r="M23" s="304">
        <v>769000000</v>
      </c>
      <c r="N23" s="304">
        <v>329000000</v>
      </c>
      <c r="O23" s="304">
        <v>533000000</v>
      </c>
      <c r="P23" s="304">
        <v>104000000</v>
      </c>
      <c r="Q23" s="304">
        <v>436000000</v>
      </c>
      <c r="R23" s="304">
        <v>400000000</v>
      </c>
      <c r="S23" s="304">
        <v>100000000</v>
      </c>
      <c r="T23" s="304">
        <v>200000000</v>
      </c>
      <c r="U23" s="304">
        <v>300000000</v>
      </c>
      <c r="V23" s="304">
        <v>200000000</v>
      </c>
      <c r="W23" s="304">
        <v>300000000</v>
      </c>
      <c r="X23" s="304">
        <v>300000000</v>
      </c>
      <c r="Y23" s="304">
        <v>300000000</v>
      </c>
      <c r="Z23" s="304">
        <v>300000000</v>
      </c>
      <c r="AA23" s="304">
        <v>300000000</v>
      </c>
    </row>
    <row r="24" spans="1:27" s="9" customFormat="1" ht="16.5">
      <c r="A24" s="18" t="s">
        <v>71</v>
      </c>
      <c r="B24" s="18" t="s">
        <v>1156</v>
      </c>
      <c r="C24" s="18" t="s">
        <v>35</v>
      </c>
      <c r="D24" s="18"/>
      <c r="G24" s="178">
        <f>G25+G31+G32</f>
        <v>17191000000</v>
      </c>
      <c r="H24" s="178">
        <f t="shared" ref="H24:R24" si="7">H25+H31+H32</f>
        <v>17675000000</v>
      </c>
      <c r="I24" s="178">
        <f t="shared" si="7"/>
        <v>17939000000</v>
      </c>
      <c r="J24" s="178">
        <f t="shared" si="7"/>
        <v>19966000000</v>
      </c>
      <c r="K24" s="178">
        <f t="shared" si="7"/>
        <v>25127000000</v>
      </c>
      <c r="L24" s="178">
        <f t="shared" si="7"/>
        <v>35347000000</v>
      </c>
      <c r="M24" s="178">
        <f>M25+M31+M32</f>
        <v>39490000000</v>
      </c>
      <c r="N24" s="178">
        <f t="shared" si="7"/>
        <v>38461000000</v>
      </c>
      <c r="O24" s="178">
        <f t="shared" si="7"/>
        <v>38792000000</v>
      </c>
      <c r="P24" s="178">
        <f t="shared" si="7"/>
        <v>40736000000</v>
      </c>
      <c r="Q24" s="178">
        <f t="shared" si="7"/>
        <v>45095000000</v>
      </c>
      <c r="R24" s="178">
        <f t="shared" si="7"/>
        <v>50700000000</v>
      </c>
      <c r="S24" s="304">
        <v>54400000000</v>
      </c>
      <c r="T24" s="304">
        <f>T25+T31</f>
        <v>56400000000</v>
      </c>
      <c r="U24" s="304">
        <f t="shared" ref="U24:AA24" si="8">U25+U31</f>
        <v>57900000000</v>
      </c>
      <c r="V24" s="304">
        <f t="shared" si="8"/>
        <v>65100000000</v>
      </c>
      <c r="W24" s="304">
        <f t="shared" si="8"/>
        <v>68400000000</v>
      </c>
      <c r="X24" s="304">
        <f t="shared" si="8"/>
        <v>71500000000</v>
      </c>
      <c r="Y24" s="304">
        <f t="shared" si="8"/>
        <v>75400000000</v>
      </c>
      <c r="Z24" s="304">
        <f t="shared" si="8"/>
        <v>79300000000</v>
      </c>
      <c r="AA24" s="304">
        <f t="shared" si="8"/>
        <v>85300000000</v>
      </c>
    </row>
    <row r="25" spans="1:27" ht="16.5">
      <c r="A25" s="90" t="s">
        <v>73</v>
      </c>
      <c r="B25" s="90" t="s">
        <v>332</v>
      </c>
      <c r="C25" s="58" t="s">
        <v>201</v>
      </c>
      <c r="D25" s="90"/>
      <c r="E25" s="361"/>
      <c r="F25" s="361"/>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9">U26+U27+U29+U30</f>
        <v>43700000000</v>
      </c>
      <c r="V25" s="142">
        <f t="shared" si="9"/>
        <v>48700000000</v>
      </c>
      <c r="W25" s="142">
        <f t="shared" si="9"/>
        <v>51200000000</v>
      </c>
      <c r="X25" s="142">
        <f t="shared" si="9"/>
        <v>53400000000</v>
      </c>
      <c r="Y25" s="142">
        <f t="shared" si="9"/>
        <v>56300000000</v>
      </c>
      <c r="Z25" s="142">
        <f t="shared" si="9"/>
        <v>59100000000</v>
      </c>
      <c r="AA25" s="142">
        <f t="shared" si="9"/>
        <v>63300000000</v>
      </c>
    </row>
    <row r="26" spans="1:27" ht="16.5">
      <c r="A26" s="99" t="s">
        <v>1157</v>
      </c>
      <c r="B26" s="99" t="s">
        <v>80</v>
      </c>
      <c r="C26" s="58" t="s">
        <v>204</v>
      </c>
      <c r="D26" s="90"/>
      <c r="E26" s="361"/>
      <c r="F26" s="361"/>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1"/>
      <c r="F27" s="361"/>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8">
        <v>1000000000</v>
      </c>
      <c r="W27" s="389">
        <v>1100000000</v>
      </c>
      <c r="X27" s="21">
        <v>1000000000</v>
      </c>
      <c r="Y27" s="21">
        <v>1100000000</v>
      </c>
      <c r="Z27" s="21">
        <v>1100000000</v>
      </c>
      <c r="AA27" s="21">
        <v>1100000000</v>
      </c>
    </row>
    <row r="28" spans="1:27" ht="16.5">
      <c r="A28" s="152"/>
      <c r="B28" s="152" t="s">
        <v>50</v>
      </c>
      <c r="C28" s="58"/>
      <c r="D28" s="90"/>
      <c r="E28" s="361"/>
      <c r="F28" s="361"/>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7095</v>
      </c>
      <c r="B29" s="100" t="s">
        <v>1158</v>
      </c>
      <c r="C29" s="58" t="s">
        <v>204</v>
      </c>
      <c r="D29" s="90"/>
      <c r="E29" s="361"/>
      <c r="F29" s="361"/>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1"/>
      <c r="F30" s="361"/>
      <c r="G30" s="142">
        <f t="shared" ref="G30:S30" si="10">G28-G29</f>
        <v>4330000000</v>
      </c>
      <c r="H30" s="142">
        <f t="shared" si="10"/>
        <v>4528000000</v>
      </c>
      <c r="I30" s="142">
        <f t="shared" si="10"/>
        <v>5083000000</v>
      </c>
      <c r="J30" s="142">
        <f t="shared" si="10"/>
        <v>5501000000</v>
      </c>
      <c r="K30" s="142">
        <f t="shared" si="10"/>
        <v>6611000000</v>
      </c>
      <c r="L30" s="142">
        <f t="shared" si="10"/>
        <v>7848000000</v>
      </c>
      <c r="M30" s="142">
        <f t="shared" si="10"/>
        <v>8004000000</v>
      </c>
      <c r="N30" s="142">
        <f t="shared" si="10"/>
        <v>6319000000</v>
      </c>
      <c r="O30" s="142">
        <f t="shared" si="10"/>
        <v>8116000000</v>
      </c>
      <c r="P30" s="142">
        <f t="shared" si="10"/>
        <v>8798000000</v>
      </c>
      <c r="Q30" s="142">
        <f t="shared" si="10"/>
        <v>8721000000</v>
      </c>
      <c r="R30" s="142">
        <f t="shared" si="10"/>
        <v>9700000000</v>
      </c>
      <c r="S30" s="142">
        <f t="shared" si="10"/>
        <v>9700000000</v>
      </c>
      <c r="T30" s="142">
        <f>T28-T29</f>
        <v>9800000000</v>
      </c>
      <c r="U30" s="142">
        <f t="shared" ref="U30:AA30" si="11">U28-U29</f>
        <v>9400000000</v>
      </c>
      <c r="V30" s="142">
        <f t="shared" si="11"/>
        <v>11200000000</v>
      </c>
      <c r="W30" s="142">
        <f t="shared" si="11"/>
        <v>11600000000</v>
      </c>
      <c r="X30" s="142">
        <f t="shared" si="11"/>
        <v>12000000000</v>
      </c>
      <c r="Y30" s="142">
        <f t="shared" si="11"/>
        <v>12500000000</v>
      </c>
      <c r="Z30" s="142">
        <f t="shared" si="11"/>
        <v>13000000000</v>
      </c>
      <c r="AA30" s="142">
        <f t="shared" si="11"/>
        <v>13900000000</v>
      </c>
    </row>
    <row r="31" spans="1:27" ht="16.5">
      <c r="A31" s="90" t="s">
        <v>237</v>
      </c>
      <c r="B31" s="90" t="s">
        <v>342</v>
      </c>
      <c r="C31" s="58" t="s">
        <v>201</v>
      </c>
      <c r="D31" s="90"/>
      <c r="E31" s="361"/>
      <c r="F31" s="361"/>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612</v>
      </c>
      <c r="B32" s="90" t="s">
        <v>1159</v>
      </c>
      <c r="C32" s="58" t="s">
        <v>201</v>
      </c>
      <c r="D32" s="90"/>
      <c r="E32" s="361"/>
      <c r="F32" s="361"/>
      <c r="G32" s="2738">
        <v>0</v>
      </c>
      <c r="H32" s="2738">
        <v>0</v>
      </c>
      <c r="I32" s="2738">
        <v>0</v>
      </c>
      <c r="J32" s="2738">
        <v>0</v>
      </c>
      <c r="K32" s="2738">
        <v>0</v>
      </c>
      <c r="L32" s="2738">
        <v>0</v>
      </c>
      <c r="M32" s="142">
        <v>752000000</v>
      </c>
      <c r="N32" s="2629">
        <v>0</v>
      </c>
      <c r="O32" s="2629">
        <v>0</v>
      </c>
      <c r="P32" s="142">
        <v>350000000</v>
      </c>
      <c r="Q32" s="2629">
        <v>0</v>
      </c>
      <c r="R32" s="2629">
        <v>0</v>
      </c>
      <c r="S32" s="142">
        <v>1200000000</v>
      </c>
      <c r="T32" s="142"/>
      <c r="U32" s="142"/>
      <c r="V32" s="298"/>
      <c r="W32" s="389"/>
      <c r="X32" s="21"/>
      <c r="Y32" s="21"/>
      <c r="Z32" s="21"/>
      <c r="AA32" s="21"/>
    </row>
    <row r="33" spans="1:27" ht="16.5">
      <c r="A33" t="s">
        <v>76</v>
      </c>
      <c r="B33" s="90" t="s">
        <v>1160</v>
      </c>
      <c r="C33" s="90"/>
      <c r="D33" s="90"/>
      <c r="E33" s="361"/>
      <c r="F33" s="361"/>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8"/>
      <c r="W33" s="389"/>
      <c r="X33" s="21"/>
      <c r="Y33" s="21"/>
      <c r="Z33" s="21"/>
      <c r="AA33" s="21"/>
    </row>
    <row r="34" spans="1:27" ht="16.5">
      <c r="A34" t="s">
        <v>76</v>
      </c>
      <c r="B34" s="90" t="s">
        <v>346</v>
      </c>
      <c r="C34" s="90"/>
      <c r="D34" s="90"/>
      <c r="E34" s="361"/>
      <c r="F34" s="361"/>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8"/>
      <c r="W34" s="389"/>
      <c r="X34" s="21"/>
      <c r="Y34" s="21"/>
      <c r="Z34" s="21"/>
      <c r="AA34" s="21"/>
    </row>
    <row r="35" spans="1:27" s="9" customFormat="1" ht="16.5">
      <c r="A35" s="148" t="s">
        <v>115</v>
      </c>
      <c r="B35" s="148" t="s">
        <v>115</v>
      </c>
      <c r="C35" s="18" t="s">
        <v>35</v>
      </c>
      <c r="D35" s="18"/>
      <c r="G35" s="263">
        <v>78000000</v>
      </c>
      <c r="H35" s="263">
        <v>-574000000</v>
      </c>
      <c r="I35" s="263">
        <v>-4635000000</v>
      </c>
      <c r="J35" s="263">
        <v>-7593000000</v>
      </c>
      <c r="K35" s="304">
        <v>-3808000000</v>
      </c>
      <c r="L35" s="304">
        <v>4696000000</v>
      </c>
      <c r="M35" s="304">
        <v>10467000000</v>
      </c>
      <c r="N35" s="304">
        <v>7208000000</v>
      </c>
      <c r="O35" s="304">
        <v>181000000</v>
      </c>
      <c r="P35" s="304">
        <v>-922000000</v>
      </c>
      <c r="Q35" s="304">
        <v>-386000000</v>
      </c>
      <c r="R35" s="304">
        <v>-9400000000</v>
      </c>
      <c r="S35" s="304">
        <v>7800000000</v>
      </c>
      <c r="T35" s="304">
        <f>T36+T40</f>
        <v>2400000000</v>
      </c>
      <c r="U35" s="304">
        <f t="shared" ref="U35:AA35" si="12">U36+U40</f>
        <v>1700000000</v>
      </c>
      <c r="V35" s="304">
        <f t="shared" si="12"/>
        <v>7500000000</v>
      </c>
      <c r="W35" s="304">
        <f t="shared" si="12"/>
        <v>6500000000</v>
      </c>
      <c r="X35" s="304">
        <f t="shared" si="12"/>
        <v>5200000000</v>
      </c>
      <c r="Y35" s="304">
        <f t="shared" si="12"/>
        <v>4400000000</v>
      </c>
      <c r="Z35" s="304">
        <f t="shared" si="12"/>
        <v>3200000000</v>
      </c>
      <c r="AA35" s="304">
        <f t="shared" si="12"/>
        <v>100000000</v>
      </c>
    </row>
    <row r="36" spans="1:27" ht="16.5">
      <c r="A36" s="58" t="s">
        <v>117</v>
      </c>
      <c r="B36" s="90" t="s">
        <v>1161</v>
      </c>
      <c r="C36" s="58" t="s">
        <v>252</v>
      </c>
      <c r="D36" s="90"/>
      <c r="E36" s="361"/>
      <c r="F36" s="361"/>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3">U37+U38+U39</f>
        <v>-1200000000</v>
      </c>
      <c r="V36" s="142">
        <f t="shared" si="13"/>
        <v>-500000000</v>
      </c>
      <c r="W36" s="142">
        <f t="shared" si="13"/>
        <v>-2000000000</v>
      </c>
      <c r="X36" s="142">
        <f t="shared" si="13"/>
        <v>-1600000000</v>
      </c>
      <c r="Y36" s="142">
        <f t="shared" si="13"/>
        <v>-1300000000</v>
      </c>
      <c r="Z36" s="142">
        <f t="shared" si="13"/>
        <v>-1200000000</v>
      </c>
      <c r="AA36" s="142">
        <f t="shared" si="13"/>
        <v>-900000000</v>
      </c>
    </row>
    <row r="37" spans="1:27" ht="16.5">
      <c r="A37" s="152" t="s">
        <v>1162</v>
      </c>
      <c r="B37" s="152" t="s">
        <v>1162</v>
      </c>
      <c r="C37" s="58" t="s">
        <v>264</v>
      </c>
      <c r="D37" s="90"/>
      <c r="E37" s="361"/>
      <c r="F37" s="361"/>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8">
        <v>1000000000</v>
      </c>
      <c r="W37" s="389">
        <v>200000000</v>
      </c>
      <c r="X37" s="21">
        <v>400000000</v>
      </c>
      <c r="Y37" s="21">
        <v>500000000</v>
      </c>
      <c r="Z37" s="21">
        <v>400000000</v>
      </c>
      <c r="AA37" s="21">
        <v>500000000</v>
      </c>
    </row>
    <row r="38" spans="1:27" ht="16.5">
      <c r="A38" s="152" t="s">
        <v>258</v>
      </c>
      <c r="B38" s="152" t="s">
        <v>258</v>
      </c>
      <c r="C38" s="58" t="s">
        <v>264</v>
      </c>
      <c r="D38" s="90"/>
      <c r="E38" s="361"/>
      <c r="F38" s="361"/>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1163</v>
      </c>
      <c r="B39" s="99" t="s">
        <v>1164</v>
      </c>
      <c r="C39" s="58" t="s">
        <v>264</v>
      </c>
      <c r="D39" s="151"/>
      <c r="E39" s="361"/>
      <c r="F39" s="361"/>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1"/>
      <c r="F40" s="361"/>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4">U42+U43+U44</f>
        <v>2900000000</v>
      </c>
      <c r="V40" s="142">
        <f t="shared" si="14"/>
        <v>8000000000</v>
      </c>
      <c r="W40" s="142">
        <f t="shared" si="14"/>
        <v>8500000000</v>
      </c>
      <c r="X40" s="142">
        <f t="shared" si="14"/>
        <v>6800000000</v>
      </c>
      <c r="Y40" s="142">
        <f t="shared" si="14"/>
        <v>5700000000</v>
      </c>
      <c r="Z40" s="142">
        <f t="shared" si="14"/>
        <v>4400000000</v>
      </c>
      <c r="AA40" s="142">
        <f t="shared" si="14"/>
        <v>1000000000</v>
      </c>
    </row>
    <row r="41" spans="1:27" ht="16.5">
      <c r="A41" t="s">
        <v>76</v>
      </c>
      <c r="B41" s="90" t="s">
        <v>1165</v>
      </c>
      <c r="D41" s="90"/>
      <c r="E41" s="361"/>
      <c r="F41" s="361"/>
      <c r="G41" s="125"/>
      <c r="H41" s="125"/>
      <c r="I41" s="125"/>
      <c r="J41" s="125"/>
      <c r="K41" s="193"/>
      <c r="L41" s="125"/>
      <c r="M41" s="193"/>
      <c r="N41" s="193"/>
      <c r="O41" s="193"/>
      <c r="P41" s="193"/>
      <c r="Q41" s="193"/>
      <c r="R41" s="193"/>
      <c r="S41" s="193"/>
      <c r="T41" s="193"/>
      <c r="U41" s="193"/>
      <c r="V41" s="298"/>
      <c r="W41" s="389"/>
      <c r="X41" s="21"/>
      <c r="Y41" s="21"/>
      <c r="Z41" s="21"/>
      <c r="AA41" s="21"/>
    </row>
    <row r="42" spans="1:27" ht="16.5">
      <c r="A42" s="152" t="s">
        <v>1115</v>
      </c>
      <c r="B42" s="152" t="s">
        <v>1115</v>
      </c>
      <c r="C42" s="58" t="s">
        <v>124</v>
      </c>
      <c r="D42" s="90"/>
      <c r="E42" s="361"/>
      <c r="F42" s="361"/>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1"/>
      <c r="F43" s="361"/>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1166</v>
      </c>
      <c r="B44" s="99" t="s">
        <v>1167</v>
      </c>
      <c r="C44" s="58" t="s">
        <v>124</v>
      </c>
      <c r="D44" s="90"/>
      <c r="E44" s="361"/>
      <c r="F44" s="361"/>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1036</v>
      </c>
      <c r="B45" s="179" t="s">
        <v>1036</v>
      </c>
      <c r="C45" s="89" t="s">
        <v>124</v>
      </c>
      <c r="D45" s="90"/>
      <c r="E45" s="361"/>
      <c r="F45" s="361"/>
      <c r="G45" s="125"/>
      <c r="H45" s="125"/>
      <c r="I45" s="125"/>
      <c r="J45" s="125"/>
      <c r="K45" s="142">
        <f>K40-K42-K43-K44</f>
        <v>-136000000</v>
      </c>
      <c r="L45" s="142">
        <f t="shared" ref="L45:Q45" si="15">L40-L42-L43-L44</f>
        <v>-1091000000</v>
      </c>
      <c r="M45" s="142">
        <f t="shared" si="15"/>
        <v>-4223000000</v>
      </c>
      <c r="N45" s="142">
        <f t="shared" si="15"/>
        <v>37000000</v>
      </c>
      <c r="O45" s="142">
        <f t="shared" si="15"/>
        <v>-3588000000</v>
      </c>
      <c r="P45" s="142">
        <f t="shared" si="15"/>
        <v>-1169000000</v>
      </c>
      <c r="Q45" s="142">
        <f t="shared" si="15"/>
        <v>0</v>
      </c>
      <c r="R45" s="142">
        <f t="shared" ref="R45:S45" si="16">R40-R42-R43-R44</f>
        <v>-100000000</v>
      </c>
      <c r="S45" s="142">
        <f t="shared" si="16"/>
        <v>0</v>
      </c>
      <c r="T45" s="142"/>
      <c r="U45" s="142"/>
      <c r="V45" s="28"/>
      <c r="W45" s="2"/>
    </row>
    <row r="46" spans="1:27">
      <c r="D46" s="90"/>
      <c r="E46" s="361"/>
      <c r="F46" s="361"/>
      <c r="V46" s="28"/>
      <c r="W46" s="2"/>
    </row>
    <row r="47" spans="1:27">
      <c r="D47" s="90"/>
      <c r="E47" s="361"/>
      <c r="F47" s="361"/>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1"/>
      <c r="F48" s="361"/>
      <c r="V48" s="28"/>
      <c r="W48" s="2"/>
    </row>
    <row r="49" spans="2:27">
      <c r="B49" t="s">
        <v>1168</v>
      </c>
      <c r="D49" s="90"/>
      <c r="E49" s="361"/>
      <c r="F49" s="361"/>
      <c r="G49" s="130">
        <f>G6-G7-G23</f>
        <v>0</v>
      </c>
      <c r="H49" s="130">
        <f t="shared" ref="H49:U49" si="17">H6-H7-H23</f>
        <v>0</v>
      </c>
      <c r="I49" s="130">
        <f t="shared" si="17"/>
        <v>0</v>
      </c>
      <c r="J49" s="130">
        <f t="shared" si="17"/>
        <v>-1000000</v>
      </c>
      <c r="K49" s="130">
        <f t="shared" si="17"/>
        <v>0</v>
      </c>
      <c r="L49" s="130">
        <f t="shared" si="17"/>
        <v>0</v>
      </c>
      <c r="M49" s="130">
        <f t="shared" si="17"/>
        <v>0</v>
      </c>
      <c r="N49" s="130">
        <f t="shared" si="17"/>
        <v>0</v>
      </c>
      <c r="O49" s="267">
        <f t="shared" si="17"/>
        <v>0</v>
      </c>
      <c r="P49" s="267">
        <f t="shared" si="17"/>
        <v>0</v>
      </c>
      <c r="Q49" s="267">
        <f t="shared" si="17"/>
        <v>0</v>
      </c>
      <c r="R49" s="267">
        <f t="shared" si="17"/>
        <v>0</v>
      </c>
      <c r="S49" s="267">
        <f t="shared" si="17"/>
        <v>0</v>
      </c>
      <c r="T49" s="267">
        <f t="shared" si="17"/>
        <v>0</v>
      </c>
      <c r="U49" s="267">
        <f t="shared" si="17"/>
        <v>0</v>
      </c>
      <c r="V49" s="267">
        <f t="shared" ref="V49:Z49" si="18">V6-V7-V23</f>
        <v>0</v>
      </c>
      <c r="W49" s="267">
        <f t="shared" si="18"/>
        <v>0</v>
      </c>
      <c r="X49" s="267">
        <f t="shared" si="18"/>
        <v>0</v>
      </c>
      <c r="Y49" s="267">
        <f t="shared" si="18"/>
        <v>0</v>
      </c>
      <c r="Z49" s="267">
        <f t="shared" si="18"/>
        <v>0</v>
      </c>
      <c r="AA49" s="267">
        <f t="shared" ref="AA49" si="19">AA6-AA7-AA23</f>
        <v>0</v>
      </c>
    </row>
    <row r="50" spans="2:27">
      <c r="B50" t="s">
        <v>141</v>
      </c>
      <c r="D50" s="90"/>
      <c r="E50" s="361"/>
      <c r="F50" s="361"/>
      <c r="G50" s="130">
        <f>G7-G8-G15</f>
        <v>0</v>
      </c>
      <c r="H50" s="130">
        <f t="shared" ref="H50:U50" si="20">H7-H8-H15</f>
        <v>0</v>
      </c>
      <c r="I50" s="130">
        <f t="shared" si="20"/>
        <v>0</v>
      </c>
      <c r="J50" s="130">
        <f t="shared" si="20"/>
        <v>0</v>
      </c>
      <c r="K50" s="130">
        <f t="shared" si="20"/>
        <v>0</v>
      </c>
      <c r="L50" s="130">
        <f t="shared" si="20"/>
        <v>0</v>
      </c>
      <c r="M50" s="130">
        <f t="shared" si="20"/>
        <v>0</v>
      </c>
      <c r="N50" s="130">
        <f t="shared" si="20"/>
        <v>1000000</v>
      </c>
      <c r="O50" s="267">
        <f t="shared" si="20"/>
        <v>0</v>
      </c>
      <c r="P50" s="267">
        <f t="shared" si="20"/>
        <v>0</v>
      </c>
      <c r="Q50" s="267">
        <f t="shared" si="20"/>
        <v>0</v>
      </c>
      <c r="R50" s="267">
        <f t="shared" si="20"/>
        <v>0</v>
      </c>
      <c r="S50" s="267">
        <f t="shared" si="20"/>
        <v>0</v>
      </c>
      <c r="T50" s="267">
        <f t="shared" si="20"/>
        <v>0</v>
      </c>
      <c r="U50" s="267">
        <f t="shared" si="20"/>
        <v>0</v>
      </c>
      <c r="V50" s="267">
        <f t="shared" ref="V50:Z50" si="21">V7-V8-V15</f>
        <v>0</v>
      </c>
      <c r="W50" s="267">
        <f t="shared" si="21"/>
        <v>0</v>
      </c>
      <c r="X50" s="267">
        <f t="shared" si="21"/>
        <v>0</v>
      </c>
      <c r="Y50" s="267">
        <f t="shared" si="21"/>
        <v>0</v>
      </c>
      <c r="Z50" s="267">
        <f t="shared" si="21"/>
        <v>0</v>
      </c>
      <c r="AA50" s="267">
        <f t="shared" ref="AA50" si="22">AA7-AA8-AA15</f>
        <v>0</v>
      </c>
    </row>
    <row r="51" spans="2:27">
      <c r="B51" t="s">
        <v>142</v>
      </c>
      <c r="D51" s="90"/>
      <c r="E51" s="361"/>
      <c r="F51" s="361"/>
      <c r="G51" s="130">
        <f>G8-G9-G12-G13-G14</f>
        <v>0</v>
      </c>
      <c r="H51" s="130">
        <f t="shared" ref="H51:U51" si="23">H8-H9-H12-H13-H14</f>
        <v>-1000000</v>
      </c>
      <c r="I51" s="130">
        <f t="shared" si="23"/>
        <v>0</v>
      </c>
      <c r="J51" s="130">
        <f t="shared" si="23"/>
        <v>1000000</v>
      </c>
      <c r="K51" s="130">
        <f t="shared" si="23"/>
        <v>0</v>
      </c>
      <c r="L51" s="130">
        <f t="shared" si="23"/>
        <v>1000000</v>
      </c>
      <c r="M51" s="130">
        <f t="shared" si="23"/>
        <v>0</v>
      </c>
      <c r="N51" s="130">
        <f t="shared" si="23"/>
        <v>0</v>
      </c>
      <c r="O51" s="267">
        <f t="shared" si="23"/>
        <v>0</v>
      </c>
      <c r="P51" s="267">
        <f t="shared" si="23"/>
        <v>0</v>
      </c>
      <c r="Q51" s="267">
        <f t="shared" si="23"/>
        <v>0</v>
      </c>
      <c r="R51" s="267">
        <f t="shared" si="23"/>
        <v>0</v>
      </c>
      <c r="S51" s="267">
        <f t="shared" si="23"/>
        <v>0</v>
      </c>
      <c r="T51" s="267">
        <f t="shared" si="23"/>
        <v>0</v>
      </c>
      <c r="U51" s="267">
        <f t="shared" si="23"/>
        <v>0</v>
      </c>
      <c r="V51" s="267">
        <f t="shared" ref="V51:Z51" si="24">V8-V9-V12-V13-V14</f>
        <v>0</v>
      </c>
      <c r="W51" s="267">
        <f t="shared" si="24"/>
        <v>0</v>
      </c>
      <c r="X51" s="267">
        <f t="shared" si="24"/>
        <v>0</v>
      </c>
      <c r="Y51" s="267">
        <f t="shared" si="24"/>
        <v>0</v>
      </c>
      <c r="Z51" s="267">
        <f t="shared" si="24"/>
        <v>0</v>
      </c>
      <c r="AA51" s="267">
        <f t="shared" ref="AA51" si="25">AA8-AA9-AA12-AA13-AA14</f>
        <v>0</v>
      </c>
    </row>
    <row r="52" spans="2:27">
      <c r="B52" t="s">
        <v>1169</v>
      </c>
      <c r="D52" s="90"/>
      <c r="E52" s="361"/>
      <c r="F52" s="361"/>
      <c r="G52" s="130">
        <f>G9-G10-G11</f>
        <v>0</v>
      </c>
      <c r="H52" s="130">
        <f t="shared" ref="H52:U52" si="26">H9-H10-H11</f>
        <v>0</v>
      </c>
      <c r="I52" s="130">
        <f t="shared" si="26"/>
        <v>0</v>
      </c>
      <c r="J52" s="130">
        <f t="shared" si="26"/>
        <v>0</v>
      </c>
      <c r="K52" s="130">
        <f t="shared" si="26"/>
        <v>0</v>
      </c>
      <c r="L52" s="130">
        <f t="shared" si="26"/>
        <v>0</v>
      </c>
      <c r="M52" s="130">
        <f t="shared" si="26"/>
        <v>0</v>
      </c>
      <c r="N52" s="130">
        <f t="shared" si="26"/>
        <v>0</v>
      </c>
      <c r="O52" s="267">
        <f t="shared" si="26"/>
        <v>0</v>
      </c>
      <c r="P52" s="267">
        <f t="shared" si="26"/>
        <v>0</v>
      </c>
      <c r="Q52" s="267">
        <f t="shared" si="26"/>
        <v>0</v>
      </c>
      <c r="R52" s="267">
        <f t="shared" si="26"/>
        <v>0</v>
      </c>
      <c r="S52" s="267">
        <f t="shared" si="26"/>
        <v>0</v>
      </c>
      <c r="T52" s="267">
        <f t="shared" si="26"/>
        <v>0</v>
      </c>
      <c r="U52" s="267">
        <f t="shared" si="26"/>
        <v>0</v>
      </c>
      <c r="V52" s="267">
        <f t="shared" ref="V52:Z52" si="27">V9-V10-V11</f>
        <v>0</v>
      </c>
      <c r="W52" s="267">
        <f t="shared" si="27"/>
        <v>0</v>
      </c>
      <c r="X52" s="267">
        <f t="shared" si="27"/>
        <v>0</v>
      </c>
      <c r="Y52" s="267">
        <f t="shared" si="27"/>
        <v>0</v>
      </c>
      <c r="Z52" s="267">
        <f t="shared" si="27"/>
        <v>0</v>
      </c>
      <c r="AA52" s="267">
        <f t="shared" ref="AA52" si="28">AA9-AA10-AA11</f>
        <v>0</v>
      </c>
    </row>
    <row r="53" spans="2:27">
      <c r="B53" t="s">
        <v>1170</v>
      </c>
      <c r="D53" s="90"/>
      <c r="E53" s="361"/>
      <c r="F53" s="361"/>
      <c r="G53" s="130">
        <f t="shared" ref="G53:Q53" si="29">G15-G16-G17-G18-G20-G21</f>
        <v>0</v>
      </c>
      <c r="H53" s="130">
        <f t="shared" si="29"/>
        <v>0</v>
      </c>
      <c r="I53" s="130">
        <f t="shared" si="29"/>
        <v>0</v>
      </c>
      <c r="J53" s="130">
        <f t="shared" si="29"/>
        <v>0</v>
      </c>
      <c r="K53" s="130">
        <f t="shared" si="29"/>
        <v>0</v>
      </c>
      <c r="L53" s="130">
        <f t="shared" si="29"/>
        <v>0</v>
      </c>
      <c r="M53" s="130">
        <f t="shared" si="29"/>
        <v>0</v>
      </c>
      <c r="N53" s="130">
        <f t="shared" si="29"/>
        <v>-1000000</v>
      </c>
      <c r="O53" s="267">
        <f t="shared" si="29"/>
        <v>0</v>
      </c>
      <c r="P53" s="267">
        <f t="shared" si="29"/>
        <v>1000000</v>
      </c>
      <c r="Q53" s="267">
        <f t="shared" si="29"/>
        <v>0</v>
      </c>
      <c r="R53" s="267">
        <f>R15-R16-R17-R18-R20-R21-R22</f>
        <v>0</v>
      </c>
      <c r="S53" s="267">
        <f>S15-S16-S17-S18-S20-S21-S22</f>
        <v>0</v>
      </c>
      <c r="T53" s="267">
        <f t="shared" ref="T53:U53" si="30">T15-T16-T17-T18-T20-T21-T22</f>
        <v>0</v>
      </c>
      <c r="U53" s="267">
        <f t="shared" si="30"/>
        <v>0</v>
      </c>
      <c r="V53" s="267">
        <f t="shared" ref="V53:Z53" si="31">V15-V16-V17-V18-V20-V21-V22</f>
        <v>0</v>
      </c>
      <c r="W53" s="267">
        <f t="shared" si="31"/>
        <v>0</v>
      </c>
      <c r="X53" s="267">
        <f t="shared" si="31"/>
        <v>0</v>
      </c>
      <c r="Y53" s="267">
        <f t="shared" si="31"/>
        <v>0</v>
      </c>
      <c r="Z53" s="267">
        <f t="shared" si="31"/>
        <v>0</v>
      </c>
      <c r="AA53" s="267">
        <f t="shared" ref="AA53" si="32">AA15-AA16-AA17-AA18-AA20-AA21-AA22</f>
        <v>0</v>
      </c>
    </row>
    <row r="54" spans="2:27">
      <c r="B54" t="s">
        <v>145</v>
      </c>
      <c r="D54" s="90"/>
      <c r="E54" s="361"/>
      <c r="F54" s="361"/>
      <c r="G54" s="130">
        <f>G24-G25-G31-G32</f>
        <v>0</v>
      </c>
      <c r="H54" s="130">
        <f t="shared" ref="H54:U54" si="33">H24-H25-H31-H32</f>
        <v>0</v>
      </c>
      <c r="I54" s="130">
        <f t="shared" si="33"/>
        <v>0</v>
      </c>
      <c r="J54" s="130">
        <f t="shared" si="33"/>
        <v>0</v>
      </c>
      <c r="K54" s="130">
        <f t="shared" si="33"/>
        <v>0</v>
      </c>
      <c r="L54" s="130">
        <f t="shared" si="33"/>
        <v>0</v>
      </c>
      <c r="M54" s="130">
        <f t="shared" si="33"/>
        <v>0</v>
      </c>
      <c r="N54" s="130">
        <f t="shared" si="33"/>
        <v>0</v>
      </c>
      <c r="O54" s="267">
        <f t="shared" si="33"/>
        <v>0</v>
      </c>
      <c r="P54" s="267">
        <f t="shared" si="33"/>
        <v>0</v>
      </c>
      <c r="Q54" s="267">
        <f t="shared" si="33"/>
        <v>0</v>
      </c>
      <c r="R54" s="267">
        <f t="shared" si="33"/>
        <v>0</v>
      </c>
      <c r="S54" s="267">
        <f t="shared" si="33"/>
        <v>0</v>
      </c>
      <c r="T54" s="267">
        <f t="shared" si="33"/>
        <v>0</v>
      </c>
      <c r="U54" s="267">
        <f t="shared" si="33"/>
        <v>0</v>
      </c>
      <c r="V54" s="267">
        <f t="shared" ref="V54:Z54" si="34">V24-V25-V31-V32</f>
        <v>1.9073486328125E-6</v>
      </c>
      <c r="W54" s="267">
        <f t="shared" si="34"/>
        <v>0</v>
      </c>
      <c r="X54" s="267">
        <f t="shared" si="34"/>
        <v>0</v>
      </c>
      <c r="Y54" s="267">
        <f t="shared" si="34"/>
        <v>0</v>
      </c>
      <c r="Z54" s="267">
        <f t="shared" si="34"/>
        <v>0</v>
      </c>
      <c r="AA54" s="267">
        <f t="shared" ref="AA54" si="35">AA24-AA25-AA31-AA32</f>
        <v>0</v>
      </c>
    </row>
    <row r="55" spans="2:27">
      <c r="B55" t="s">
        <v>361</v>
      </c>
      <c r="D55" s="90"/>
      <c r="E55" s="361"/>
      <c r="F55" s="361"/>
      <c r="G55" s="130">
        <f>G25-G26-G27-G28</f>
        <v>0</v>
      </c>
      <c r="H55" s="130">
        <f t="shared" ref="H55:U55" si="36">H25-H26-H27-H28</f>
        <v>-1000000</v>
      </c>
      <c r="I55" s="130">
        <f t="shared" si="36"/>
        <v>0</v>
      </c>
      <c r="J55" s="130">
        <f t="shared" si="36"/>
        <v>0</v>
      </c>
      <c r="K55" s="130">
        <f t="shared" si="36"/>
        <v>1000000</v>
      </c>
      <c r="L55" s="130">
        <f t="shared" si="36"/>
        <v>0</v>
      </c>
      <c r="M55" s="130">
        <f t="shared" si="36"/>
        <v>0</v>
      </c>
      <c r="N55" s="130">
        <f t="shared" si="36"/>
        <v>-1000000</v>
      </c>
      <c r="O55" s="267">
        <f t="shared" si="36"/>
        <v>0</v>
      </c>
      <c r="P55" s="267">
        <f t="shared" si="36"/>
        <v>0</v>
      </c>
      <c r="Q55" s="267">
        <f t="shared" si="36"/>
        <v>0</v>
      </c>
      <c r="R55" s="267">
        <f t="shared" si="36"/>
        <v>0</v>
      </c>
      <c r="S55" s="267">
        <f t="shared" si="36"/>
        <v>100000000</v>
      </c>
      <c r="T55" s="267">
        <f t="shared" si="36"/>
        <v>0</v>
      </c>
      <c r="U55" s="267">
        <f t="shared" si="36"/>
        <v>0</v>
      </c>
      <c r="V55" s="267">
        <f t="shared" ref="V55:Z55" si="37">V25-V26-V27-V28</f>
        <v>0</v>
      </c>
      <c r="W55" s="267">
        <f t="shared" si="37"/>
        <v>0</v>
      </c>
      <c r="X55" s="267">
        <f t="shared" si="37"/>
        <v>0</v>
      </c>
      <c r="Y55" s="267">
        <f t="shared" si="37"/>
        <v>0</v>
      </c>
      <c r="Z55" s="267">
        <f t="shared" si="37"/>
        <v>0</v>
      </c>
      <c r="AA55" s="267">
        <f t="shared" ref="AA55" si="38">AA25-AA26-AA27-AA28</f>
        <v>0</v>
      </c>
    </row>
    <row r="56" spans="2:27">
      <c r="B56" t="s">
        <v>457</v>
      </c>
      <c r="D56" s="90"/>
      <c r="E56" s="361"/>
      <c r="F56" s="361"/>
      <c r="G56" s="224">
        <f>G35-G36-G40</f>
        <v>0</v>
      </c>
      <c r="H56" s="224">
        <f t="shared" ref="H56:U56" si="39">H35-H36-H40</f>
        <v>0</v>
      </c>
      <c r="I56" s="224">
        <f t="shared" si="39"/>
        <v>0</v>
      </c>
      <c r="J56" s="224">
        <f t="shared" si="39"/>
        <v>0</v>
      </c>
      <c r="K56" s="224">
        <f t="shared" si="39"/>
        <v>-1000000</v>
      </c>
      <c r="L56" s="224">
        <f t="shared" si="39"/>
        <v>0</v>
      </c>
      <c r="M56" s="224">
        <f t="shared" si="39"/>
        <v>0</v>
      </c>
      <c r="N56" s="224">
        <f t="shared" si="39"/>
        <v>0</v>
      </c>
      <c r="O56" s="267">
        <f t="shared" si="39"/>
        <v>0</v>
      </c>
      <c r="P56" s="267">
        <f t="shared" si="39"/>
        <v>0</v>
      </c>
      <c r="Q56" s="267">
        <f t="shared" si="39"/>
        <v>0</v>
      </c>
      <c r="R56" s="267">
        <f t="shared" si="39"/>
        <v>0</v>
      </c>
      <c r="S56" s="267">
        <f t="shared" si="39"/>
        <v>0</v>
      </c>
      <c r="T56" s="267">
        <f t="shared" si="39"/>
        <v>0</v>
      </c>
      <c r="U56" s="267">
        <f t="shared" si="39"/>
        <v>0</v>
      </c>
      <c r="V56" s="267">
        <f t="shared" ref="V56:Z56" si="40">V35-V36-V40</f>
        <v>0</v>
      </c>
      <c r="W56" s="267">
        <f t="shared" si="40"/>
        <v>0</v>
      </c>
      <c r="X56" s="267">
        <f t="shared" si="40"/>
        <v>0</v>
      </c>
      <c r="Y56" s="267">
        <f t="shared" si="40"/>
        <v>0</v>
      </c>
      <c r="Z56" s="267">
        <f t="shared" si="40"/>
        <v>0</v>
      </c>
      <c r="AA56" s="267">
        <f t="shared" ref="AA56" si="41">AA35-AA36-AA40</f>
        <v>0</v>
      </c>
    </row>
    <row r="57" spans="2:27">
      <c r="B57" t="s">
        <v>1171</v>
      </c>
      <c r="D57" s="90"/>
      <c r="E57" s="361"/>
      <c r="F57" s="361"/>
      <c r="G57" s="225">
        <f>G36-G37-G38-G39</f>
        <v>-113000000</v>
      </c>
      <c r="H57" s="225">
        <f t="shared" ref="H57:U57" si="42">H36-H37-H38-H39</f>
        <v>-144000000</v>
      </c>
      <c r="I57" s="225">
        <f t="shared" si="42"/>
        <v>-177000000</v>
      </c>
      <c r="J57" s="225">
        <f t="shared" si="42"/>
        <v>-245000000</v>
      </c>
      <c r="K57" s="224">
        <f t="shared" si="42"/>
        <v>0</v>
      </c>
      <c r="L57" s="224">
        <f t="shared" si="42"/>
        <v>0</v>
      </c>
      <c r="M57" s="224">
        <f t="shared" si="42"/>
        <v>0</v>
      </c>
      <c r="N57" s="224">
        <f t="shared" si="42"/>
        <v>0</v>
      </c>
      <c r="O57" s="267">
        <f t="shared" si="42"/>
        <v>-1000000</v>
      </c>
      <c r="P57" s="267">
        <f t="shared" si="42"/>
        <v>0</v>
      </c>
      <c r="Q57" s="267">
        <f t="shared" si="42"/>
        <v>1000000</v>
      </c>
      <c r="R57" s="267">
        <f t="shared" si="42"/>
        <v>0</v>
      </c>
      <c r="S57" s="267">
        <f t="shared" si="42"/>
        <v>0</v>
      </c>
      <c r="T57" s="267">
        <f t="shared" si="42"/>
        <v>0</v>
      </c>
      <c r="U57" s="267">
        <f t="shared" si="42"/>
        <v>0</v>
      </c>
      <c r="V57" s="267">
        <f t="shared" ref="V57:Z57" si="43">V36-V37-V38-V39</f>
        <v>0</v>
      </c>
      <c r="W57" s="267">
        <f t="shared" si="43"/>
        <v>0</v>
      </c>
      <c r="X57" s="267">
        <f t="shared" si="43"/>
        <v>0</v>
      </c>
      <c r="Y57" s="267">
        <f t="shared" si="43"/>
        <v>0</v>
      </c>
      <c r="Z57" s="267">
        <f t="shared" si="43"/>
        <v>0</v>
      </c>
      <c r="AA57" s="267">
        <f t="shared" ref="AA57" si="44">AA36-AA37-AA38-AA39</f>
        <v>0</v>
      </c>
    </row>
    <row r="58" spans="2:27">
      <c r="B58" t="s">
        <v>1172</v>
      </c>
      <c r="D58" s="90"/>
      <c r="E58" s="361"/>
      <c r="F58" s="361"/>
      <c r="G58" s="225">
        <f>G40-G42-G43-G44</f>
        <v>191000000</v>
      </c>
      <c r="H58" s="225">
        <f>H40-H42-H43-H44</f>
        <v>-430000000</v>
      </c>
      <c r="I58" s="225">
        <f>I40-I42-I43-I44</f>
        <v>-4458000000</v>
      </c>
      <c r="J58" s="225">
        <f>J40-J42-J43-J44</f>
        <v>-7348000000</v>
      </c>
      <c r="K58" s="224">
        <f>K40-K42-K43-K44-K45</f>
        <v>0</v>
      </c>
      <c r="L58" s="224">
        <f t="shared" ref="L58:U58" si="45">L40-L42-L43-L44-L45</f>
        <v>0</v>
      </c>
      <c r="M58" s="224">
        <f t="shared" si="45"/>
        <v>0</v>
      </c>
      <c r="N58" s="224">
        <f t="shared" si="45"/>
        <v>0</v>
      </c>
      <c r="O58" s="267">
        <f t="shared" si="45"/>
        <v>0</v>
      </c>
      <c r="P58" s="267">
        <f t="shared" si="45"/>
        <v>0</v>
      </c>
      <c r="Q58" s="267">
        <f t="shared" si="45"/>
        <v>0</v>
      </c>
      <c r="R58" s="267">
        <f t="shared" si="45"/>
        <v>0</v>
      </c>
      <c r="S58" s="267">
        <f t="shared" si="45"/>
        <v>0</v>
      </c>
      <c r="T58" s="267">
        <f t="shared" si="45"/>
        <v>0</v>
      </c>
      <c r="U58" s="267">
        <f t="shared" si="45"/>
        <v>0</v>
      </c>
      <c r="V58" s="267">
        <f t="shared" ref="V58:Z58" si="46">V40-V42-V43-V44-V45</f>
        <v>0</v>
      </c>
      <c r="W58" s="267">
        <f t="shared" si="46"/>
        <v>0</v>
      </c>
      <c r="X58" s="267">
        <f t="shared" si="46"/>
        <v>0</v>
      </c>
      <c r="Y58" s="267">
        <f t="shared" si="46"/>
        <v>0</v>
      </c>
      <c r="Z58" s="267">
        <f t="shared" si="46"/>
        <v>0</v>
      </c>
      <c r="AA58" s="267">
        <f t="shared" ref="AA58" si="47">AA40-AA42-AA43-AA44-AA45</f>
        <v>0</v>
      </c>
    </row>
    <row r="59" spans="2:27">
      <c r="D59" s="90"/>
      <c r="E59" s="361"/>
      <c r="F59" s="361"/>
      <c r="G59" s="224"/>
      <c r="V59" s="28"/>
      <c r="W59" s="2"/>
    </row>
    <row r="61" spans="2:27">
      <c r="B61" t="s">
        <v>623</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8">(H6/H61)*100</f>
        <v>33.099275827298563</v>
      </c>
      <c r="I62">
        <f t="shared" si="48"/>
        <v>37.813741806201811</v>
      </c>
      <c r="J62">
        <f t="shared" si="48"/>
        <v>42.63660369693276</v>
      </c>
      <c r="K62">
        <f t="shared" si="48"/>
        <v>43.053717516843122</v>
      </c>
      <c r="L62">
        <f t="shared" si="48"/>
        <v>48.572174537384548</v>
      </c>
      <c r="M62">
        <f t="shared" si="48"/>
        <v>43.612129590671394</v>
      </c>
      <c r="N62">
        <f t="shared" si="48"/>
        <v>44.167386043615473</v>
      </c>
      <c r="O62">
        <f t="shared" si="48"/>
        <v>52.241723337541238</v>
      </c>
      <c r="P62">
        <f t="shared" si="48"/>
        <v>53.396739130434781</v>
      </c>
      <c r="Q62">
        <f t="shared" si="48"/>
        <v>55.797671104996802</v>
      </c>
      <c r="R62">
        <f t="shared" si="48"/>
        <v>65.908930129459762</v>
      </c>
      <c r="S62">
        <f t="shared" si="48"/>
        <v>53.712874092037119</v>
      </c>
      <c r="T62">
        <f t="shared" si="48"/>
        <v>62.563243278531559</v>
      </c>
      <c r="U62">
        <f t="shared" si="48"/>
        <v>60.815682504519373</v>
      </c>
    </row>
    <row r="63" spans="2:27">
      <c r="B63" t="s">
        <v>152</v>
      </c>
      <c r="G63">
        <f>(G24/G61)*100</f>
        <v>32.953783042919852</v>
      </c>
      <c r="H63">
        <f t="shared" ref="H63:U63" si="49">(H24/H61)*100</f>
        <v>32.404436703639192</v>
      </c>
      <c r="I63">
        <f t="shared" si="49"/>
        <v>30.463947287980165</v>
      </c>
      <c r="J63">
        <f t="shared" si="49"/>
        <v>31.197362458788419</v>
      </c>
      <c r="K63">
        <f t="shared" si="49"/>
        <v>37.78723532242541</v>
      </c>
      <c r="L63">
        <f t="shared" si="49"/>
        <v>57.679253288078073</v>
      </c>
      <c r="M63">
        <f t="shared" si="49"/>
        <v>59.340626314840414</v>
      </c>
      <c r="N63">
        <f t="shared" si="49"/>
        <v>54.428767530390729</v>
      </c>
      <c r="O63">
        <f t="shared" si="49"/>
        <v>52.655726133756843</v>
      </c>
      <c r="P63">
        <f t="shared" si="49"/>
        <v>52.214930270713701</v>
      </c>
      <c r="Q63">
        <f t="shared" si="49"/>
        <v>55.391097135557409</v>
      </c>
      <c r="R63">
        <f t="shared" si="49"/>
        <v>59.777866861603037</v>
      </c>
      <c r="S63">
        <f t="shared" si="49"/>
        <v>61.645155076093239</v>
      </c>
      <c r="T63">
        <f t="shared" si="49"/>
        <v>61.366381233203128</v>
      </c>
      <c r="U63">
        <f t="shared" si="49"/>
        <v>60.50219960501154</v>
      </c>
    </row>
    <row r="64" spans="2:27">
      <c r="B64" t="s">
        <v>1173</v>
      </c>
      <c r="G64" t="b">
        <f>IF(G32&lt;0,(G32/G24)*100)</f>
        <v>0</v>
      </c>
      <c r="H64" t="b">
        <f t="shared" ref="H64:U64" si="50">IF(H32&lt;0,(H32/H24)*100)</f>
        <v>0</v>
      </c>
      <c r="I64" t="b">
        <f t="shared" si="50"/>
        <v>0</v>
      </c>
      <c r="J64" t="b">
        <f t="shared" si="50"/>
        <v>0</v>
      </c>
      <c r="K64" t="b">
        <f t="shared" si="50"/>
        <v>0</v>
      </c>
      <c r="L64" t="b">
        <f t="shared" si="50"/>
        <v>0</v>
      </c>
      <c r="M64" t="b">
        <f t="shared" si="50"/>
        <v>0</v>
      </c>
      <c r="N64" t="b">
        <f t="shared" si="50"/>
        <v>0</v>
      </c>
      <c r="O64" t="b">
        <f>IF(O32&lt;0,(O32/O24)*100)</f>
        <v>0</v>
      </c>
      <c r="P64" t="b">
        <f t="shared" si="50"/>
        <v>0</v>
      </c>
      <c r="Q64" t="b">
        <f t="shared" si="50"/>
        <v>0</v>
      </c>
      <c r="R64" t="b">
        <f t="shared" si="50"/>
        <v>0</v>
      </c>
      <c r="S64" t="b">
        <f t="shared" si="50"/>
        <v>0</v>
      </c>
      <c r="T64" t="b">
        <f t="shared" si="50"/>
        <v>0</v>
      </c>
      <c r="U64" t="b">
        <f t="shared" si="50"/>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L30" activePane="bottomRight" state="frozen"/>
      <selection pane="topRight" activeCell="D1" sqref="D1"/>
      <selection pane="bottomLeft" activeCell="A6" sqref="A6"/>
      <selection pane="bottomRight" activeCell="A47" sqref="A4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69" t="s">
        <v>1174</v>
      </c>
      <c r="B1" s="82" t="s">
        <v>1175</v>
      </c>
      <c r="C1" s="82"/>
      <c r="D1" s="27"/>
      <c r="E1" s="27"/>
      <c r="F1" s="27"/>
      <c r="G1" s="27"/>
      <c r="H1" s="27"/>
      <c r="I1" s="27"/>
      <c r="J1" s="27"/>
      <c r="K1" s="27"/>
      <c r="L1" s="27"/>
      <c r="M1" s="27"/>
      <c r="N1" s="27"/>
      <c r="O1" s="28"/>
      <c r="P1" s="28"/>
      <c r="Q1" s="28"/>
      <c r="R1" s="29"/>
      <c r="S1" s="29"/>
      <c r="T1" s="29"/>
      <c r="U1" s="29"/>
      <c r="V1" s="29"/>
      <c r="W1" s="29"/>
      <c r="X1" s="777"/>
      <c r="Y1" s="21"/>
      <c r="Z1" s="21"/>
      <c r="AA1" s="21"/>
    </row>
    <row r="2" spans="1:36">
      <c r="B2" s="30" t="s">
        <v>1176</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6"/>
      <c r="AA4" s="276"/>
      <c r="AB4" s="276"/>
      <c r="AC4" s="276"/>
      <c r="AD4" s="523"/>
      <c r="AE4" s="523"/>
      <c r="AF4" s="523"/>
      <c r="AG4" s="523"/>
      <c r="AH4" s="523"/>
      <c r="AI4" s="523"/>
      <c r="AJ4" s="523"/>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6"/>
      <c r="AA5" s="522"/>
      <c r="AB5" s="522"/>
      <c r="AC5" s="522"/>
      <c r="AD5" s="522"/>
      <c r="AE5" s="522"/>
      <c r="AF5" s="522"/>
      <c r="AG5" s="522"/>
      <c r="AH5" s="522"/>
      <c r="AI5" s="522"/>
      <c r="AJ5" s="522"/>
    </row>
    <row r="6" spans="1:36">
      <c r="A6" s="359" t="s">
        <v>33</v>
      </c>
      <c r="B6" s="55" t="s">
        <v>1178</v>
      </c>
      <c r="C6" s="9" t="s">
        <v>35</v>
      </c>
      <c r="D6" s="9"/>
      <c r="E6" s="9"/>
      <c r="F6" s="9"/>
      <c r="G6" s="9"/>
      <c r="H6" s="9"/>
      <c r="I6" s="9"/>
      <c r="J6" s="9"/>
      <c r="K6" s="9"/>
      <c r="L6" s="295">
        <v>1024883599999.9999</v>
      </c>
      <c r="M6" s="295">
        <v>1062523199999.9999</v>
      </c>
      <c r="N6" s="295">
        <f>N7+N10</f>
        <v>1296910960000</v>
      </c>
      <c r="O6" s="295">
        <f>O7+O10</f>
        <v>1504919160000.0002</v>
      </c>
      <c r="P6" s="295">
        <f>P7+P10</f>
        <v>1649583250000</v>
      </c>
      <c r="Q6" s="295">
        <v>1830936995000.0002</v>
      </c>
      <c r="R6" s="295">
        <f>R7+R10</f>
        <v>1717567620000</v>
      </c>
      <c r="S6" s="295">
        <f t="shared" ref="S6:V6" si="0">S7+S10</f>
        <v>1764168168000</v>
      </c>
      <c r="T6" s="295">
        <f t="shared" si="0"/>
        <v>1864884000000</v>
      </c>
      <c r="U6" s="295">
        <f t="shared" si="0"/>
        <v>1954582000000</v>
      </c>
      <c r="V6" s="295">
        <f t="shared" si="0"/>
        <v>2036480000000</v>
      </c>
      <c r="W6" s="331"/>
      <c r="X6" s="331"/>
      <c r="Z6" s="276"/>
      <c r="AA6" s="631"/>
      <c r="AB6" s="631"/>
      <c r="AC6" s="631"/>
      <c r="AD6" s="631"/>
      <c r="AE6" s="631"/>
      <c r="AF6" s="631"/>
      <c r="AG6" s="631"/>
      <c r="AH6" s="631"/>
      <c r="AI6" s="631"/>
      <c r="AJ6" s="631"/>
    </row>
    <row r="7" spans="1:36">
      <c r="A7" t="s">
        <v>36</v>
      </c>
      <c r="B7" s="58" t="s">
        <v>450</v>
      </c>
      <c r="C7" s="345"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1">
        <v>1058693130000.0001</v>
      </c>
      <c r="P8" s="331">
        <v>1140568990000</v>
      </c>
      <c r="Q8" s="331">
        <v>1253289267000</v>
      </c>
      <c r="R8" s="331">
        <f t="shared" ref="R8:S8" si="5">R13+R23</f>
        <v>1120400070000</v>
      </c>
      <c r="S8" s="331">
        <f t="shared" si="5"/>
        <v>1152109824000</v>
      </c>
      <c r="T8" s="331">
        <f>T13+T23</f>
        <v>1226568000000</v>
      </c>
      <c r="U8" s="331">
        <f t="shared" ref="U8:V8" si="6">U13+U23</f>
        <v>1259328000000</v>
      </c>
      <c r="V8" s="331">
        <f t="shared" si="6"/>
        <v>1314080000000</v>
      </c>
      <c r="W8" s="331"/>
      <c r="X8" s="331"/>
      <c r="Z8" s="523"/>
      <c r="AA8" s="631"/>
      <c r="AB8" s="631"/>
      <c r="AC8" s="631"/>
      <c r="AD8" s="631"/>
      <c r="AE8" s="631"/>
      <c r="AF8" s="631"/>
      <c r="AG8" s="631"/>
      <c r="AH8" s="631"/>
      <c r="AI8" s="631"/>
      <c r="AJ8" s="631"/>
    </row>
    <row r="9" spans="1:36">
      <c r="A9" s="64" t="s">
        <v>1179</v>
      </c>
      <c r="B9" s="64" t="s">
        <v>1179</v>
      </c>
      <c r="C9" s="58" t="s">
        <v>41</v>
      </c>
      <c r="L9" s="125">
        <v>163738800000</v>
      </c>
      <c r="M9" s="125">
        <v>181406400000</v>
      </c>
      <c r="N9" s="125">
        <v>211125040000</v>
      </c>
      <c r="O9" s="331">
        <v>258111135000.00006</v>
      </c>
      <c r="P9" s="331">
        <v>296924985000</v>
      </c>
      <c r="Q9" s="331">
        <v>324926847000</v>
      </c>
      <c r="R9" s="331"/>
      <c r="S9" s="331"/>
      <c r="T9" s="125"/>
      <c r="U9" s="331"/>
      <c r="V9" s="331"/>
      <c r="W9" s="331"/>
      <c r="X9" s="331"/>
      <c r="Z9" s="276"/>
      <c r="AA9" s="631"/>
      <c r="AB9" s="631"/>
      <c r="AC9" s="631"/>
      <c r="AD9" s="631"/>
      <c r="AE9" s="631"/>
      <c r="AF9" s="631"/>
      <c r="AG9" s="631"/>
      <c r="AH9" s="631"/>
      <c r="AI9" s="631"/>
      <c r="AJ9" s="631"/>
    </row>
    <row r="10" spans="1:36">
      <c r="A10" s="165" t="s">
        <v>53</v>
      </c>
      <c r="B10" s="165" t="s">
        <v>53</v>
      </c>
      <c r="C10" s="345" t="s">
        <v>38</v>
      </c>
      <c r="D10" s="9"/>
      <c r="E10" s="9"/>
      <c r="F10" s="9"/>
      <c r="G10" s="9"/>
      <c r="H10" s="9"/>
      <c r="I10" s="9"/>
      <c r="J10" s="9"/>
      <c r="K10" s="9"/>
      <c r="L10" s="295">
        <v>0</v>
      </c>
      <c r="M10" s="295">
        <v>0</v>
      </c>
      <c r="N10" s="295">
        <v>0</v>
      </c>
      <c r="O10" s="295">
        <v>0</v>
      </c>
      <c r="P10" s="295">
        <v>0</v>
      </c>
      <c r="Q10" s="295">
        <v>0</v>
      </c>
      <c r="R10" s="295">
        <v>0</v>
      </c>
      <c r="S10" s="295">
        <v>0</v>
      </c>
      <c r="T10" s="295">
        <v>0</v>
      </c>
      <c r="U10" s="295">
        <v>0</v>
      </c>
      <c r="V10" s="295">
        <v>0</v>
      </c>
      <c r="W10" s="331"/>
      <c r="X10" s="331"/>
      <c r="Z10" s="523"/>
      <c r="AA10" s="631"/>
      <c r="AB10" s="631"/>
      <c r="AC10" s="631"/>
      <c r="AD10" s="631"/>
      <c r="AE10" s="631"/>
      <c r="AF10" s="631"/>
      <c r="AG10" s="631"/>
      <c r="AH10" s="631"/>
      <c r="AI10" s="631"/>
      <c r="AJ10" s="631"/>
    </row>
    <row r="11" spans="1:36">
      <c r="A11" s="64" t="s">
        <v>997</v>
      </c>
      <c r="B11" s="64" t="s">
        <v>997</v>
      </c>
      <c r="C11" s="58" t="s">
        <v>41</v>
      </c>
      <c r="L11" s="125">
        <v>130384599999.99998</v>
      </c>
      <c r="M11" s="125">
        <v>149012400000</v>
      </c>
      <c r="N11" s="125">
        <v>229975490000</v>
      </c>
      <c r="O11" s="331">
        <v>188114895000</v>
      </c>
      <c r="P11" s="331">
        <v>212089275000</v>
      </c>
      <c r="Q11" s="331">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1"/>
      <c r="X11" s="331"/>
      <c r="Z11" s="276"/>
      <c r="AA11" s="631"/>
      <c r="AB11" s="631"/>
      <c r="AC11" s="631"/>
      <c r="AD11" s="631"/>
      <c r="AE11" s="631"/>
      <c r="AF11" s="631"/>
      <c r="AG11" s="631"/>
      <c r="AH11" s="631"/>
      <c r="AI11" s="631"/>
      <c r="AJ11" s="631"/>
    </row>
    <row r="12" spans="1:36">
      <c r="A12" s="64"/>
      <c r="B12" s="64" t="s">
        <v>7109</v>
      </c>
      <c r="C12" s="58"/>
      <c r="L12" s="125"/>
      <c r="M12" s="125"/>
      <c r="N12" s="125"/>
      <c r="O12" s="331"/>
      <c r="P12" s="331"/>
      <c r="Q12" s="331"/>
      <c r="R12" s="125">
        <f t="shared" ref="R12" si="9">R13+R19</f>
        <v>1222771650000</v>
      </c>
      <c r="S12" s="125">
        <f t="shared" ref="S12" si="10">S13+S19</f>
        <v>1236117832000</v>
      </c>
      <c r="T12" s="125">
        <f>T13+T19</f>
        <v>1314180000000</v>
      </c>
      <c r="U12" s="125">
        <f t="shared" ref="U12:V12" si="11">U13+U19</f>
        <v>1377390000000</v>
      </c>
      <c r="V12" s="125">
        <f t="shared" si="11"/>
        <v>1431040000000</v>
      </c>
      <c r="W12" s="331"/>
      <c r="X12" s="331"/>
      <c r="Z12" s="276"/>
      <c r="AA12" s="631"/>
      <c r="AB12" s="631"/>
      <c r="AC12" s="631"/>
      <c r="AD12" s="631"/>
      <c r="AE12" s="631"/>
      <c r="AF12" s="631"/>
      <c r="AG12" s="631"/>
      <c r="AH12" s="631"/>
      <c r="AI12" s="631"/>
      <c r="AJ12" s="631"/>
    </row>
    <row r="13" spans="1:36">
      <c r="A13" s="64"/>
      <c r="B13" s="64" t="s">
        <v>7110</v>
      </c>
      <c r="C13" s="58"/>
      <c r="L13" s="125"/>
      <c r="M13" s="125"/>
      <c r="N13" s="125"/>
      <c r="O13" s="331"/>
      <c r="P13" s="331"/>
      <c r="Q13" s="331"/>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1"/>
      <c r="X13" s="331"/>
      <c r="Z13" s="276"/>
      <c r="AA13" s="631"/>
      <c r="AB13" s="631"/>
      <c r="AC13" s="631"/>
      <c r="AD13" s="631"/>
      <c r="AE13" s="631"/>
      <c r="AF13" s="631"/>
      <c r="AG13" s="631"/>
      <c r="AH13" s="631"/>
      <c r="AI13" s="631"/>
      <c r="AJ13" s="631"/>
    </row>
    <row r="14" spans="1:36">
      <c r="A14" s="64" t="s">
        <v>7080</v>
      </c>
      <c r="B14" s="64" t="s">
        <v>7096</v>
      </c>
      <c r="C14" s="58" t="s">
        <v>44</v>
      </c>
      <c r="L14" s="125"/>
      <c r="M14" s="125"/>
      <c r="N14" s="125"/>
      <c r="O14" s="331"/>
      <c r="P14" s="331"/>
      <c r="Q14" s="331"/>
      <c r="R14" s="125">
        <v>147870060000</v>
      </c>
      <c r="S14" s="125">
        <v>150014300000</v>
      </c>
      <c r="T14" s="125">
        <v>162708000000</v>
      </c>
      <c r="U14" s="125">
        <v>170534000000</v>
      </c>
      <c r="V14" s="125">
        <v>178880000000</v>
      </c>
      <c r="W14" s="331"/>
      <c r="X14" s="331"/>
      <c r="Y14" s="331"/>
      <c r="Z14" s="331"/>
      <c r="AA14" s="331"/>
      <c r="AB14" s="631"/>
      <c r="AC14" s="631"/>
      <c r="AD14" s="631"/>
      <c r="AE14" s="631"/>
      <c r="AF14" s="631"/>
      <c r="AG14" s="631"/>
      <c r="AH14" s="631"/>
      <c r="AI14" s="631"/>
      <c r="AJ14" s="631"/>
    </row>
    <row r="15" spans="1:36">
      <c r="A15" s="64" t="s">
        <v>7078</v>
      </c>
      <c r="B15" s="13" t="s">
        <v>7097</v>
      </c>
      <c r="C15" s="58" t="s">
        <v>44</v>
      </c>
      <c r="L15" s="125"/>
      <c r="M15" s="125"/>
      <c r="N15" s="125"/>
      <c r="O15" s="331"/>
      <c r="P15" s="331"/>
      <c r="Q15" s="331"/>
      <c r="R15" s="125">
        <v>227492400000</v>
      </c>
      <c r="S15" s="125">
        <v>210020020000</v>
      </c>
      <c r="T15" s="125">
        <v>250320000000</v>
      </c>
      <c r="U15" s="125">
        <v>242683000000</v>
      </c>
      <c r="V15" s="125">
        <v>254560000000</v>
      </c>
      <c r="W15" s="331"/>
      <c r="X15" s="331"/>
      <c r="Y15" s="331"/>
      <c r="Z15" s="331"/>
      <c r="AA15" s="331"/>
      <c r="AB15" s="631"/>
      <c r="AC15" s="631"/>
      <c r="AD15" s="631"/>
      <c r="AE15" s="631"/>
      <c r="AF15" s="631"/>
      <c r="AG15" s="631"/>
      <c r="AH15" s="631"/>
      <c r="AI15" s="631"/>
      <c r="AJ15" s="631"/>
    </row>
    <row r="16" spans="1:36">
      <c r="A16" s="64" t="s">
        <v>7129</v>
      </c>
      <c r="B16" s="64" t="s">
        <v>7098</v>
      </c>
      <c r="C16" s="58" t="s">
        <v>44</v>
      </c>
      <c r="L16" s="125"/>
      <c r="M16" s="125"/>
      <c r="N16" s="125"/>
      <c r="O16" s="331"/>
      <c r="P16" s="331"/>
      <c r="Q16" s="331"/>
      <c r="R16" s="125">
        <v>329863980000</v>
      </c>
      <c r="S16" s="125">
        <v>342032604000</v>
      </c>
      <c r="T16" s="125">
        <v>337932000000</v>
      </c>
      <c r="U16" s="125">
        <v>386981000000</v>
      </c>
      <c r="V16" s="125">
        <v>399040000000</v>
      </c>
      <c r="W16" s="331"/>
      <c r="X16" s="331"/>
      <c r="Y16" s="331"/>
      <c r="Z16" s="331"/>
      <c r="AA16" s="331"/>
      <c r="AB16" s="631"/>
      <c r="AC16" s="631"/>
      <c r="AD16" s="631"/>
      <c r="AE16" s="631"/>
      <c r="AF16" s="631"/>
      <c r="AG16" s="631"/>
      <c r="AH16" s="631"/>
      <c r="AI16" s="631"/>
      <c r="AJ16" s="631"/>
    </row>
    <row r="17" spans="1:36">
      <c r="A17" s="13" t="s">
        <v>2996</v>
      </c>
      <c r="B17" s="13" t="s">
        <v>2996</v>
      </c>
      <c r="C17" s="58" t="s">
        <v>44</v>
      </c>
      <c r="L17" s="125"/>
      <c r="M17" s="125"/>
      <c r="N17" s="125"/>
      <c r="O17" s="331"/>
      <c r="P17" s="331"/>
      <c r="Q17" s="331"/>
      <c r="R17" s="125">
        <v>34123860000</v>
      </c>
      <c r="S17" s="125">
        <v>36003432000</v>
      </c>
      <c r="T17" s="125">
        <v>31290000000</v>
      </c>
      <c r="U17" s="125">
        <v>32795000000</v>
      </c>
      <c r="V17" s="125">
        <v>34400000000</v>
      </c>
      <c r="W17" s="331"/>
      <c r="X17" s="331"/>
      <c r="Y17" s="331"/>
      <c r="Z17" s="331"/>
      <c r="AA17" s="331"/>
      <c r="AB17" s="631"/>
      <c r="AC17" s="631"/>
      <c r="AD17" s="631"/>
      <c r="AE17" s="631"/>
      <c r="AF17" s="631"/>
      <c r="AG17" s="631"/>
      <c r="AH17" s="631"/>
      <c r="AI17" s="631"/>
      <c r="AJ17" s="631"/>
    </row>
    <row r="18" spans="1:36">
      <c r="A18" s="64" t="s">
        <v>7131</v>
      </c>
      <c r="B18" s="64" t="s">
        <v>50</v>
      </c>
      <c r="C18" s="58" t="s">
        <v>44</v>
      </c>
      <c r="L18" s="125"/>
      <c r="M18" s="125"/>
      <c r="N18" s="125"/>
      <c r="O18" s="331"/>
      <c r="P18" s="331"/>
      <c r="Q18" s="331"/>
      <c r="R18" s="125">
        <v>11374620000</v>
      </c>
      <c r="S18" s="125">
        <v>24002288000</v>
      </c>
      <c r="T18" s="125">
        <v>37548000000</v>
      </c>
      <c r="U18" s="331">
        <v>0</v>
      </c>
      <c r="V18" s="331">
        <v>0</v>
      </c>
      <c r="W18" s="331"/>
      <c r="X18" s="331"/>
      <c r="Y18" s="331"/>
      <c r="Z18" s="331"/>
      <c r="AA18" s="331"/>
      <c r="AB18" s="631"/>
      <c r="AC18" s="631"/>
      <c r="AD18" s="631"/>
      <c r="AE18" s="631"/>
      <c r="AF18" s="631"/>
      <c r="AG18" s="631"/>
      <c r="AH18" s="631"/>
      <c r="AI18" s="631"/>
      <c r="AJ18" s="631"/>
    </row>
    <row r="19" spans="1:36">
      <c r="A19" s="64"/>
      <c r="B19" s="64" t="s">
        <v>7111</v>
      </c>
      <c r="C19" s="58"/>
      <c r="L19" s="125"/>
      <c r="M19" s="125"/>
      <c r="N19" s="125"/>
      <c r="O19" s="331"/>
      <c r="P19" s="331"/>
      <c r="Q19" s="331"/>
      <c r="R19" s="125">
        <f t="shared" ref="R19:S19" si="15">R20+R21</f>
        <v>472046730000</v>
      </c>
      <c r="S19" s="125">
        <f t="shared" si="15"/>
        <v>474045188000</v>
      </c>
      <c r="T19" s="125">
        <f>T20+T21</f>
        <v>494382000000</v>
      </c>
      <c r="U19" s="125">
        <f t="shared" ref="U19:V19" si="16">U20+U21</f>
        <v>544397000000</v>
      </c>
      <c r="V19" s="125">
        <f t="shared" si="16"/>
        <v>564160000000</v>
      </c>
      <c r="W19" s="331"/>
      <c r="X19" s="331"/>
      <c r="Z19" s="276"/>
      <c r="AA19" s="631"/>
      <c r="AB19" s="631"/>
      <c r="AC19" s="631"/>
      <c r="AD19" s="631"/>
      <c r="AE19" s="631"/>
      <c r="AF19" s="631"/>
      <c r="AG19" s="631"/>
      <c r="AH19" s="631"/>
      <c r="AI19" s="631"/>
      <c r="AJ19" s="631"/>
    </row>
    <row r="20" spans="1:36">
      <c r="A20" s="64" t="s">
        <v>534</v>
      </c>
      <c r="B20" s="64" t="s">
        <v>534</v>
      </c>
      <c r="C20" s="58" t="s">
        <v>7126</v>
      </c>
      <c r="L20" s="125"/>
      <c r="M20" s="125"/>
      <c r="N20" s="125"/>
      <c r="O20" s="331"/>
      <c r="P20" s="331"/>
      <c r="Q20" s="331"/>
      <c r="R20" s="125">
        <v>335551290000</v>
      </c>
      <c r="S20" s="125">
        <v>348033176000</v>
      </c>
      <c r="T20" s="125">
        <v>356706000000</v>
      </c>
      <c r="U20" s="125">
        <v>373863000000</v>
      </c>
      <c r="V20" s="125">
        <v>392160000000</v>
      </c>
      <c r="W20" s="331"/>
      <c r="X20" s="331"/>
      <c r="Y20" s="331"/>
      <c r="Z20" s="331"/>
      <c r="AA20" s="331"/>
      <c r="AB20" s="631"/>
      <c r="AC20" s="631"/>
      <c r="AD20" s="631"/>
      <c r="AE20" s="631"/>
      <c r="AF20" s="631"/>
      <c r="AG20" s="631"/>
      <c r="AH20" s="631"/>
      <c r="AI20" s="631"/>
      <c r="AJ20" s="631"/>
    </row>
    <row r="21" spans="1:36">
      <c r="A21" s="64" t="s">
        <v>7128</v>
      </c>
      <c r="B21" s="13" t="s">
        <v>3104</v>
      </c>
      <c r="C21" s="58" t="s">
        <v>7126</v>
      </c>
      <c r="L21" s="125"/>
      <c r="M21" s="125"/>
      <c r="N21" s="125"/>
      <c r="O21" s="331"/>
      <c r="P21" s="331"/>
      <c r="Q21" s="331"/>
      <c r="R21" s="125">
        <v>136495440000</v>
      </c>
      <c r="S21" s="125">
        <v>126012012000</v>
      </c>
      <c r="T21" s="125">
        <v>137676000000</v>
      </c>
      <c r="U21" s="125">
        <v>170534000000</v>
      </c>
      <c r="V21" s="125">
        <v>172000000000</v>
      </c>
      <c r="W21" s="331"/>
      <c r="X21" s="331"/>
      <c r="Y21" s="331"/>
      <c r="Z21" s="331"/>
      <c r="AA21" s="331"/>
      <c r="AB21" s="631"/>
      <c r="AC21" s="631"/>
      <c r="AD21" s="631"/>
      <c r="AE21" s="631"/>
      <c r="AF21" s="631"/>
      <c r="AG21" s="631"/>
      <c r="AH21" s="631"/>
      <c r="AI21" s="631"/>
      <c r="AJ21" s="631"/>
    </row>
    <row r="22" spans="1:36">
      <c r="A22" s="64"/>
      <c r="B22" s="64" t="s">
        <v>7104</v>
      </c>
      <c r="C22" s="58"/>
      <c r="L22" s="125"/>
      <c r="M22" s="125"/>
      <c r="N22" s="125"/>
      <c r="O22" s="331"/>
      <c r="P22" s="331"/>
      <c r="Q22" s="331"/>
      <c r="R22" s="331"/>
      <c r="S22" s="331"/>
      <c r="T22" s="125"/>
      <c r="U22" s="331"/>
      <c r="V22" s="331"/>
      <c r="W22" s="331"/>
      <c r="X22" s="331"/>
      <c r="Z22" s="276"/>
      <c r="AA22" s="631"/>
      <c r="AB22" s="631"/>
      <c r="AC22" s="631"/>
      <c r="AD22" s="631"/>
      <c r="AE22" s="631"/>
      <c r="AF22" s="631"/>
      <c r="AG22" s="631"/>
      <c r="AH22" s="631"/>
      <c r="AI22" s="631"/>
      <c r="AJ22" s="631"/>
    </row>
    <row r="23" spans="1:36">
      <c r="A23" s="64" t="s">
        <v>7130</v>
      </c>
      <c r="B23" s="64" t="s">
        <v>7099</v>
      </c>
      <c r="C23" s="58" t="s">
        <v>44</v>
      </c>
      <c r="L23" s="125"/>
      <c r="M23" s="125"/>
      <c r="N23" s="125"/>
      <c r="O23" s="331"/>
      <c r="P23" s="331"/>
      <c r="Q23" s="331"/>
      <c r="R23" s="125">
        <v>369675150000</v>
      </c>
      <c r="S23" s="125">
        <v>390037180000</v>
      </c>
      <c r="T23" s="125">
        <v>406770000000</v>
      </c>
      <c r="U23" s="125">
        <v>426335000000</v>
      </c>
      <c r="V23" s="125">
        <v>447200000000</v>
      </c>
      <c r="W23" s="331"/>
      <c r="X23" s="331"/>
      <c r="Y23" s="331"/>
      <c r="Z23" s="331"/>
      <c r="AA23" s="331"/>
      <c r="AB23" s="631"/>
      <c r="AC23" s="631"/>
      <c r="AD23" s="631"/>
      <c r="AE23" s="631"/>
      <c r="AF23" s="631"/>
      <c r="AG23" s="631"/>
      <c r="AH23" s="631"/>
      <c r="AI23" s="631"/>
      <c r="AJ23" s="631"/>
    </row>
    <row r="24" spans="1:36">
      <c r="A24" s="64" t="s">
        <v>7127</v>
      </c>
      <c r="B24" s="64" t="s">
        <v>50</v>
      </c>
      <c r="C24" s="58" t="s">
        <v>7126</v>
      </c>
      <c r="L24" s="125"/>
      <c r="M24" s="125"/>
      <c r="N24" s="125"/>
      <c r="O24" s="331"/>
      <c r="P24" s="331"/>
      <c r="Q24" s="331"/>
      <c r="R24" s="125">
        <v>85309650000</v>
      </c>
      <c r="S24" s="125">
        <v>96009152000</v>
      </c>
      <c r="T24" s="125">
        <v>100128000000</v>
      </c>
      <c r="U24" s="125">
        <v>104944000000</v>
      </c>
      <c r="V24" s="125">
        <v>110080000000</v>
      </c>
      <c r="W24" s="331"/>
      <c r="X24" s="331"/>
      <c r="Y24" s="331"/>
      <c r="Z24" s="331"/>
      <c r="AA24" s="331"/>
      <c r="AB24" s="631"/>
      <c r="AC24" s="631"/>
      <c r="AD24" s="631"/>
      <c r="AE24" s="631"/>
      <c r="AF24" s="631"/>
      <c r="AG24" s="631"/>
      <c r="AH24" s="631"/>
      <c r="AI24" s="631"/>
      <c r="AJ24" s="631"/>
    </row>
    <row r="25" spans="1:36">
      <c r="A25" s="64" t="s">
        <v>7100</v>
      </c>
      <c r="B25" s="64" t="s">
        <v>7100</v>
      </c>
      <c r="C25" s="58" t="s">
        <v>7126</v>
      </c>
      <c r="L25" s="125"/>
      <c r="M25" s="125"/>
      <c r="N25" s="125"/>
      <c r="O25" s="331"/>
      <c r="P25" s="331"/>
      <c r="Q25" s="331"/>
      <c r="R25" s="125">
        <v>39811170000</v>
      </c>
      <c r="S25" s="125">
        <v>42004004000</v>
      </c>
      <c r="T25" s="125">
        <v>43806000000</v>
      </c>
      <c r="U25" s="125">
        <v>45913000000</v>
      </c>
      <c r="V25" s="125">
        <v>48160000000</v>
      </c>
      <c r="W25" s="331"/>
      <c r="X25" s="331"/>
      <c r="Y25" s="331"/>
      <c r="Z25" s="331"/>
      <c r="AA25" s="331"/>
      <c r="AB25" s="631"/>
      <c r="AC25" s="631"/>
      <c r="AD25" s="631"/>
      <c r="AE25" s="631"/>
      <c r="AF25" s="631"/>
      <c r="AG25" s="631"/>
      <c r="AH25" s="631"/>
      <c r="AI25" s="631"/>
      <c r="AJ25" s="631"/>
    </row>
    <row r="26" spans="1:36">
      <c r="A26" s="64"/>
      <c r="C26" s="58"/>
      <c r="L26" s="125"/>
      <c r="M26" s="125"/>
      <c r="N26" s="125"/>
      <c r="O26" s="331"/>
      <c r="P26" s="331"/>
      <c r="Q26" s="331"/>
      <c r="R26" s="331"/>
      <c r="S26" s="331"/>
      <c r="T26" s="125"/>
      <c r="U26" s="331"/>
      <c r="V26" s="331"/>
      <c r="W26" s="331"/>
      <c r="X26" s="331"/>
      <c r="Z26" s="276"/>
      <c r="AA26" s="631"/>
      <c r="AB26" s="631"/>
      <c r="AC26" s="631"/>
      <c r="AD26" s="631"/>
      <c r="AE26" s="631"/>
      <c r="AF26" s="631"/>
      <c r="AG26" s="631"/>
      <c r="AH26" s="631"/>
      <c r="AI26" s="631"/>
      <c r="AJ26" s="631"/>
    </row>
    <row r="27" spans="1:36" s="9" customFormat="1">
      <c r="A27" s="9" t="s">
        <v>198</v>
      </c>
      <c r="B27" s="55" t="s">
        <v>71</v>
      </c>
      <c r="C27" s="18" t="s">
        <v>35</v>
      </c>
      <c r="L27" s="295">
        <f>L29+L39</f>
        <v>1073398800000.0001</v>
      </c>
      <c r="M27" s="295">
        <f t="shared" ref="M27:Q27" si="17">M29+M39</f>
        <v>1169423400000</v>
      </c>
      <c r="N27" s="295">
        <f t="shared" si="17"/>
        <v>1425094020000</v>
      </c>
      <c r="O27" s="295">
        <f t="shared" si="17"/>
        <v>1649286405000</v>
      </c>
      <c r="P27" s="295">
        <f t="shared" si="17"/>
        <v>1800402290000</v>
      </c>
      <c r="Q27" s="295">
        <f t="shared" si="17"/>
        <v>2037239755000</v>
      </c>
      <c r="R27" s="295">
        <v>2186860000000.0002</v>
      </c>
      <c r="S27" s="295">
        <v>2302917000000</v>
      </c>
      <c r="T27" s="295">
        <v>2472841000000</v>
      </c>
      <c r="U27" s="295">
        <v>2487792000000</v>
      </c>
      <c r="V27" s="295">
        <v>2659341000000</v>
      </c>
      <c r="W27" s="295"/>
      <c r="X27" s="295"/>
    </row>
    <row r="28" spans="1:36">
      <c r="A28" s="15"/>
      <c r="B28" s="55" t="s">
        <v>1180</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6"/>
      <c r="AA28" s="631"/>
      <c r="AB28" s="631"/>
      <c r="AC28" s="631"/>
      <c r="AD28" s="631"/>
      <c r="AE28" s="631"/>
      <c r="AF28" s="631"/>
      <c r="AG28" s="631"/>
      <c r="AH28" s="631"/>
      <c r="AI28" s="631"/>
      <c r="AJ28" s="631"/>
    </row>
    <row r="29" spans="1:36">
      <c r="A29" t="s">
        <v>1181</v>
      </c>
      <c r="B29" s="58" t="s">
        <v>382</v>
      </c>
      <c r="C29" s="58" t="s">
        <v>201</v>
      </c>
      <c r="L29" s="125">
        <f>L30</f>
        <v>1006690400000.0001</v>
      </c>
      <c r="M29" s="125">
        <f>M30+M38</f>
        <v>1101396000000</v>
      </c>
      <c r="N29" s="125">
        <f>N30+N38</f>
        <v>1278060510000</v>
      </c>
      <c r="O29" s="319">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23"/>
      <c r="AA30" s="631"/>
      <c r="AB30" s="631"/>
      <c r="AC30" s="631"/>
      <c r="AD30" s="631"/>
      <c r="AE30" s="631"/>
      <c r="AF30" s="631"/>
      <c r="AG30" s="631"/>
      <c r="AH30" s="631"/>
      <c r="AI30" s="631"/>
      <c r="AJ30" s="631"/>
    </row>
    <row r="31" spans="1:36">
      <c r="A31" s="64" t="s">
        <v>1005</v>
      </c>
      <c r="B31" s="64" t="s">
        <v>1005</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6"/>
      <c r="AA31" s="631"/>
      <c r="AB31" s="631"/>
      <c r="AC31" s="631"/>
      <c r="AD31" s="631"/>
      <c r="AE31" s="631"/>
      <c r="AF31" s="631"/>
      <c r="AG31" s="631"/>
      <c r="AH31" s="631"/>
      <c r="AI31" s="631"/>
      <c r="AJ31" s="631"/>
    </row>
    <row r="32" spans="1:36">
      <c r="A32" s="64" t="s">
        <v>1182</v>
      </c>
      <c r="B32" s="64" t="s">
        <v>1182</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6"/>
      <c r="AA32" s="631"/>
      <c r="AB32" s="631"/>
      <c r="AC32" s="631"/>
      <c r="AD32" s="631"/>
      <c r="AE32" s="631"/>
      <c r="AF32" s="631"/>
      <c r="AG32" s="631"/>
      <c r="AH32" s="631"/>
      <c r="AI32" s="631"/>
      <c r="AJ32" s="631"/>
    </row>
    <row r="33" spans="1:36">
      <c r="A33" s="64" t="s">
        <v>1183</v>
      </c>
      <c r="B33" s="64" t="s">
        <v>1183</v>
      </c>
      <c r="C33" s="58" t="s">
        <v>204</v>
      </c>
      <c r="L33" s="125"/>
      <c r="M33" s="125"/>
      <c r="N33" s="125"/>
      <c r="O33" s="125">
        <v>0</v>
      </c>
      <c r="P33" s="125">
        <v>0</v>
      </c>
      <c r="Q33" s="125">
        <v>0</v>
      </c>
      <c r="R33" s="125"/>
      <c r="S33" s="125"/>
      <c r="T33" s="125"/>
      <c r="U33" s="125"/>
      <c r="V33" s="125"/>
      <c r="W33" s="125"/>
      <c r="X33" s="125"/>
      <c r="Z33" s="276"/>
      <c r="AA33" s="523"/>
      <c r="AB33" s="523"/>
      <c r="AC33" s="523"/>
      <c r="AD33" s="523"/>
      <c r="AE33" s="523"/>
      <c r="AF33" s="523"/>
      <c r="AG33" s="523"/>
      <c r="AH33" s="523"/>
      <c r="AI33" s="523"/>
      <c r="AJ33" s="523"/>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23"/>
      <c r="AA34" s="523"/>
      <c r="AB34" s="523"/>
      <c r="AC34" s="523"/>
      <c r="AD34" s="523"/>
      <c r="AE34" s="523"/>
      <c r="AF34" s="523"/>
      <c r="AG34" s="523"/>
      <c r="AH34" s="523"/>
      <c r="AI34" s="523"/>
      <c r="AJ34" s="523"/>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23"/>
      <c r="AA35" s="523"/>
      <c r="AB35" s="523"/>
      <c r="AC35" s="523"/>
      <c r="AD35" s="523"/>
      <c r="AE35" s="523"/>
      <c r="AF35" s="523"/>
      <c r="AG35" s="523"/>
      <c r="AH35" s="523"/>
      <c r="AI35" s="523"/>
      <c r="AJ35" s="523"/>
    </row>
    <row r="36" spans="1:36">
      <c r="A36" s="64" t="s">
        <v>1184</v>
      </c>
      <c r="B36" s="64" t="s">
        <v>1184</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6"/>
      <c r="AA36" s="631"/>
      <c r="AB36" s="631"/>
      <c r="AC36" s="631"/>
      <c r="AD36" s="631"/>
      <c r="AE36" s="631"/>
      <c r="AF36" s="631"/>
      <c r="AG36" s="631"/>
      <c r="AH36" s="631"/>
      <c r="AI36" s="631"/>
      <c r="AJ36" s="631"/>
    </row>
    <row r="37" spans="1:36">
      <c r="A37" s="64" t="s">
        <v>1012</v>
      </c>
      <c r="B37" s="64" t="s">
        <v>1012</v>
      </c>
      <c r="C37" s="58" t="s">
        <v>204</v>
      </c>
      <c r="L37" s="125">
        <v>0</v>
      </c>
      <c r="M37" s="125">
        <v>0</v>
      </c>
      <c r="N37" s="125">
        <v>0</v>
      </c>
      <c r="O37" s="125">
        <v>0</v>
      </c>
      <c r="P37" s="125">
        <v>0</v>
      </c>
      <c r="Q37" s="125">
        <v>0</v>
      </c>
      <c r="R37" s="125"/>
      <c r="S37" s="125"/>
      <c r="T37" s="125"/>
      <c r="U37" s="125"/>
      <c r="V37" s="125"/>
      <c r="W37" s="125"/>
      <c r="X37" s="125"/>
      <c r="Z37" s="276"/>
      <c r="AA37" s="631"/>
      <c r="AB37" s="631"/>
      <c r="AC37" s="631"/>
      <c r="AD37" s="631"/>
      <c r="AE37" s="631"/>
      <c r="AF37" s="631"/>
      <c r="AG37" s="631"/>
      <c r="AH37" s="631"/>
      <c r="AI37" s="631"/>
      <c r="AJ37" s="631"/>
    </row>
    <row r="38" spans="1:36">
      <c r="A38" s="64" t="s">
        <v>1185</v>
      </c>
      <c r="B38" s="64" t="s">
        <v>1185</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1186</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6"/>
      <c r="AA39" s="631"/>
      <c r="AB39" s="631"/>
      <c r="AC39" s="631"/>
      <c r="AD39" s="631"/>
      <c r="AE39" s="631"/>
      <c r="AF39" s="631"/>
      <c r="AG39" s="631"/>
      <c r="AH39" s="631"/>
      <c r="AI39" s="631"/>
      <c r="AJ39" s="631"/>
    </row>
    <row r="40" spans="1:36">
      <c r="B40" s="64" t="s">
        <v>1187</v>
      </c>
      <c r="L40" s="125" t="e">
        <v>#VALUE!</v>
      </c>
      <c r="M40" s="125" t="e">
        <v>#VALUE!</v>
      </c>
      <c r="N40" s="125" t="e">
        <v>#VALUE!</v>
      </c>
      <c r="O40" s="125">
        <v>0</v>
      </c>
      <c r="P40" s="125">
        <v>0</v>
      </c>
      <c r="Q40" s="125">
        <v>0</v>
      </c>
      <c r="R40" s="125"/>
      <c r="S40" s="125"/>
      <c r="T40" s="125"/>
      <c r="U40" s="125"/>
      <c r="V40" s="125"/>
      <c r="W40" s="125"/>
      <c r="X40" s="125"/>
      <c r="Z40" s="276"/>
      <c r="AA40" s="523"/>
      <c r="AB40" s="523"/>
      <c r="AC40" s="523"/>
      <c r="AD40" s="523"/>
      <c r="AE40" s="523"/>
      <c r="AF40" s="523"/>
      <c r="AG40" s="523"/>
      <c r="AH40" s="523"/>
      <c r="AI40" s="523"/>
      <c r="AJ40" s="523"/>
    </row>
    <row r="41" spans="1:36">
      <c r="B41" s="64" t="s">
        <v>1188</v>
      </c>
      <c r="L41" s="125" t="e">
        <v>#VALUE!</v>
      </c>
      <c r="M41" s="125" t="e">
        <v>#VALUE!</v>
      </c>
      <c r="N41" s="125" t="e">
        <v>#VALUE!</v>
      </c>
      <c r="O41" s="125">
        <v>0</v>
      </c>
      <c r="P41" s="125">
        <v>0</v>
      </c>
      <c r="Q41" s="125">
        <v>0</v>
      </c>
      <c r="R41" s="125"/>
      <c r="S41" s="125"/>
      <c r="T41" s="125"/>
      <c r="U41" s="125"/>
      <c r="V41" s="125"/>
      <c r="W41" s="125"/>
      <c r="X41" s="125"/>
      <c r="Z41" s="276"/>
      <c r="AA41" s="523"/>
      <c r="AB41" s="523"/>
      <c r="AC41" s="523"/>
      <c r="AD41" s="523"/>
      <c r="AE41" s="523"/>
      <c r="AF41" s="523"/>
      <c r="AG41" s="523"/>
      <c r="AH41" s="523"/>
      <c r="AI41" s="523"/>
      <c r="AJ41" s="523"/>
    </row>
    <row r="42" spans="1:36">
      <c r="B42" s="64" t="s">
        <v>1183</v>
      </c>
      <c r="L42" s="125" t="e">
        <v>#VALUE!</v>
      </c>
      <c r="M42" s="125" t="e">
        <v>#VALUE!</v>
      </c>
      <c r="N42" s="125" t="e">
        <v>#VALUE!</v>
      </c>
      <c r="O42" s="125">
        <v>0</v>
      </c>
      <c r="P42" s="125">
        <v>0</v>
      </c>
      <c r="Q42" s="125">
        <v>0</v>
      </c>
      <c r="R42" s="125"/>
      <c r="S42" s="125"/>
      <c r="T42" s="125"/>
      <c r="U42" s="125"/>
      <c r="V42" s="125"/>
      <c r="W42" s="125"/>
      <c r="X42" s="125"/>
      <c r="Z42" s="276"/>
      <c r="AA42" s="523"/>
      <c r="AB42" s="523"/>
      <c r="AC42" s="523"/>
      <c r="AD42" s="523"/>
      <c r="AE42" s="523"/>
      <c r="AF42" s="523"/>
      <c r="AG42" s="523"/>
      <c r="AH42" s="523"/>
      <c r="AI42" s="523"/>
      <c r="AJ42" s="523"/>
    </row>
    <row r="43" spans="1:36">
      <c r="A43" t="s">
        <v>7119</v>
      </c>
      <c r="B43" s="64" t="s">
        <v>7115</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6"/>
      <c r="AA43" s="523"/>
      <c r="AB43" s="523"/>
      <c r="AC43" s="523"/>
      <c r="AD43" s="523"/>
      <c r="AE43" s="523"/>
      <c r="AF43" s="523"/>
      <c r="AG43" s="523"/>
      <c r="AH43" s="523"/>
      <c r="AI43" s="523"/>
      <c r="AJ43" s="523"/>
    </row>
    <row r="44" spans="1:36">
      <c r="A44" t="s">
        <v>1181</v>
      </c>
      <c r="B44" t="s">
        <v>7101</v>
      </c>
      <c r="C44" t="s">
        <v>7120</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6"/>
      <c r="AA44" s="523"/>
      <c r="AB44" s="523"/>
      <c r="AC44" s="523"/>
      <c r="AD44" s="523"/>
      <c r="AE44" s="523"/>
      <c r="AF44" s="523"/>
      <c r="AG44" s="523"/>
      <c r="AH44" s="523"/>
      <c r="AI44" s="523"/>
      <c r="AJ44" s="523"/>
    </row>
    <row r="45" spans="1:36">
      <c r="A45" t="s">
        <v>5283</v>
      </c>
      <c r="B45" t="s">
        <v>4868</v>
      </c>
      <c r="C45" t="s">
        <v>7121</v>
      </c>
      <c r="L45" s="125"/>
      <c r="M45" s="125"/>
      <c r="N45" s="125"/>
      <c r="O45" s="125"/>
      <c r="P45" s="125"/>
      <c r="Q45" s="125"/>
      <c r="R45" s="125">
        <v>221805090000</v>
      </c>
      <c r="S45" s="125">
        <v>240022880000</v>
      </c>
      <c r="T45" s="125">
        <v>256577999999.99997</v>
      </c>
      <c r="U45" s="125">
        <v>282037000000</v>
      </c>
      <c r="V45" s="125">
        <v>295840000000</v>
      </c>
      <c r="W45" s="125"/>
      <c r="X45" s="331"/>
      <c r="Y45" s="331"/>
      <c r="Z45" s="331"/>
      <c r="AA45" s="331"/>
      <c r="AB45" s="523"/>
      <c r="AC45" s="523"/>
      <c r="AD45" s="523"/>
      <c r="AE45" s="523"/>
      <c r="AF45" s="523"/>
      <c r="AG45" s="523"/>
      <c r="AH45" s="523"/>
      <c r="AI45" s="523"/>
      <c r="AJ45" s="523"/>
    </row>
    <row r="46" spans="1:36">
      <c r="A46" t="s">
        <v>7102</v>
      </c>
      <c r="B46" t="s">
        <v>7102</v>
      </c>
      <c r="C46" t="s">
        <v>7121</v>
      </c>
      <c r="L46" s="125"/>
      <c r="M46" s="125"/>
      <c r="N46" s="125"/>
      <c r="O46" s="125"/>
      <c r="P46" s="125"/>
      <c r="Q46" s="125"/>
      <c r="R46" s="125">
        <v>392424390000</v>
      </c>
      <c r="S46" s="125">
        <v>438041756000</v>
      </c>
      <c r="T46" s="125">
        <v>506898000000</v>
      </c>
      <c r="U46" s="331">
        <v>557515000000</v>
      </c>
      <c r="V46" s="125">
        <v>605440000000</v>
      </c>
      <c r="W46" s="125"/>
      <c r="X46" s="331"/>
      <c r="Y46" s="331"/>
      <c r="Z46" s="331"/>
      <c r="AA46" s="331"/>
      <c r="AB46" s="523"/>
      <c r="AC46" s="523"/>
      <c r="AD46" s="523"/>
      <c r="AE46" s="523"/>
      <c r="AF46" s="523"/>
      <c r="AG46" s="523"/>
      <c r="AH46" s="523"/>
      <c r="AI46" s="523"/>
      <c r="AJ46" s="523"/>
    </row>
    <row r="47" spans="1:36">
      <c r="A47" t="s">
        <v>50</v>
      </c>
      <c r="B47" t="s">
        <v>50</v>
      </c>
      <c r="C47" t="s">
        <v>7121</v>
      </c>
      <c r="L47" s="125"/>
      <c r="M47" s="125"/>
      <c r="N47" s="125"/>
      <c r="O47" s="125"/>
      <c r="P47" s="125"/>
      <c r="Q47" s="125"/>
      <c r="R47" s="125">
        <v>341238600000</v>
      </c>
      <c r="S47" s="125">
        <v>426040612000</v>
      </c>
      <c r="T47" s="125">
        <v>419286000000</v>
      </c>
      <c r="U47" s="331">
        <v>373863000000</v>
      </c>
      <c r="V47" s="125">
        <v>385280000000</v>
      </c>
      <c r="W47" s="125"/>
      <c r="X47" s="331"/>
      <c r="Y47" s="331"/>
      <c r="Z47" s="331"/>
      <c r="AA47" s="331"/>
      <c r="AB47" s="523"/>
      <c r="AC47" s="523"/>
      <c r="AD47" s="523"/>
      <c r="AE47" s="523"/>
      <c r="AF47" s="523"/>
      <c r="AG47" s="523"/>
      <c r="AH47" s="523"/>
      <c r="AI47" s="523"/>
      <c r="AJ47" s="523"/>
    </row>
    <row r="48" spans="1:36">
      <c r="A48" s="58" t="s">
        <v>904</v>
      </c>
      <c r="B48" t="s">
        <v>7103</v>
      </c>
      <c r="C48" t="s">
        <v>7120</v>
      </c>
      <c r="L48" s="125"/>
      <c r="M48" s="125"/>
      <c r="N48" s="125"/>
      <c r="O48" s="125"/>
      <c r="P48" s="125"/>
      <c r="Q48" s="125"/>
      <c r="R48" s="125">
        <v>79622340000</v>
      </c>
      <c r="S48" s="125">
        <v>54005148000</v>
      </c>
      <c r="T48" s="125">
        <v>62580000000</v>
      </c>
      <c r="U48" s="331">
        <v>65590000000</v>
      </c>
      <c r="V48" s="125">
        <v>68800000000</v>
      </c>
      <c r="W48" s="125"/>
      <c r="X48" s="331"/>
      <c r="Y48" s="331"/>
      <c r="Z48" s="331"/>
      <c r="AA48" s="331"/>
      <c r="AB48" s="523"/>
      <c r="AC48" s="523"/>
      <c r="AD48" s="523"/>
      <c r="AE48" s="523"/>
      <c r="AF48" s="523"/>
      <c r="AG48" s="523"/>
      <c r="AH48" s="523"/>
      <c r="AI48" s="523"/>
      <c r="AJ48" s="523"/>
    </row>
    <row r="49" spans="1:36">
      <c r="A49" s="72" t="s">
        <v>7118</v>
      </c>
      <c r="B49" s="64" t="s">
        <v>7112</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1"/>
      <c r="Y49" s="331"/>
      <c r="Z49" s="331"/>
      <c r="AA49" s="331"/>
      <c r="AB49" s="523"/>
      <c r="AC49" s="523"/>
      <c r="AD49" s="523"/>
      <c r="AE49" s="523"/>
      <c r="AF49" s="523"/>
      <c r="AG49" s="523"/>
      <c r="AH49" s="523"/>
      <c r="AI49" s="523"/>
      <c r="AJ49" s="523"/>
    </row>
    <row r="50" spans="1:36">
      <c r="A50" s="72" t="s">
        <v>1181</v>
      </c>
      <c r="B50" s="64" t="s">
        <v>7113</v>
      </c>
      <c r="C50" t="s">
        <v>7122</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6"/>
      <c r="AA50" s="523"/>
      <c r="AB50" s="523"/>
      <c r="AC50" s="523"/>
      <c r="AD50" s="523"/>
      <c r="AE50" s="523"/>
      <c r="AF50" s="523"/>
      <c r="AG50" s="523"/>
      <c r="AH50" s="523"/>
      <c r="AI50" s="523"/>
      <c r="AJ50" s="523"/>
    </row>
    <row r="51" spans="1:36">
      <c r="A51" s="72" t="s">
        <v>5283</v>
      </c>
      <c r="B51" s="64" t="s">
        <v>4868</v>
      </c>
      <c r="C51" t="s">
        <v>7125</v>
      </c>
      <c r="L51" s="125"/>
      <c r="M51" s="125"/>
      <c r="N51" s="125"/>
      <c r="O51" s="125"/>
      <c r="P51" s="125"/>
      <c r="Q51" s="125"/>
      <c r="R51" s="125">
        <v>278678190000</v>
      </c>
      <c r="S51" s="125">
        <v>294028028000</v>
      </c>
      <c r="T51" s="125">
        <v>306642000000</v>
      </c>
      <c r="U51" s="331">
        <v>321391000000</v>
      </c>
      <c r="V51" s="125">
        <v>337120000000</v>
      </c>
      <c r="W51" s="125"/>
      <c r="X51" s="331"/>
      <c r="Y51" s="331"/>
      <c r="Z51" s="331"/>
      <c r="AA51" s="331"/>
      <c r="AB51" s="523"/>
      <c r="AC51" s="523"/>
      <c r="AD51" s="523"/>
      <c r="AE51" s="523"/>
      <c r="AF51" s="523"/>
      <c r="AG51" s="523"/>
      <c r="AH51" s="523"/>
      <c r="AI51" s="523"/>
      <c r="AJ51" s="523"/>
    </row>
    <row r="52" spans="1:36">
      <c r="A52" s="72" t="s">
        <v>50</v>
      </c>
      <c r="B52" t="s">
        <v>50</v>
      </c>
      <c r="C52" t="s">
        <v>7125</v>
      </c>
      <c r="L52" s="125"/>
      <c r="M52" s="125"/>
      <c r="N52" s="125"/>
      <c r="O52" s="125"/>
      <c r="P52" s="125"/>
      <c r="Q52" s="125"/>
      <c r="R52" s="125">
        <v>290052810000</v>
      </c>
      <c r="S52" s="125">
        <v>282026884000</v>
      </c>
      <c r="T52" s="125">
        <v>300384000000</v>
      </c>
      <c r="U52" s="331">
        <v>314832000000</v>
      </c>
      <c r="V52" s="125">
        <v>330240000000</v>
      </c>
      <c r="W52" s="125"/>
      <c r="X52" s="331"/>
      <c r="Y52" s="331"/>
      <c r="Z52" s="331"/>
      <c r="AA52" s="331"/>
      <c r="AB52" s="523"/>
      <c r="AC52" s="523"/>
      <c r="AD52" s="523"/>
      <c r="AE52" s="523"/>
      <c r="AF52" s="523"/>
      <c r="AG52" s="523"/>
      <c r="AH52" s="523"/>
      <c r="AI52" s="523"/>
      <c r="AJ52" s="523"/>
    </row>
    <row r="53" spans="1:36">
      <c r="A53" s="58" t="s">
        <v>904</v>
      </c>
      <c r="B53" s="64" t="s">
        <v>7105</v>
      </c>
      <c r="C53" t="s">
        <v>7122</v>
      </c>
      <c r="L53" s="125"/>
      <c r="M53" s="125"/>
      <c r="N53" s="125"/>
      <c r="O53" s="125"/>
      <c r="P53" s="125"/>
      <c r="Q53" s="125"/>
      <c r="R53" s="125">
        <v>56873100000</v>
      </c>
      <c r="S53" s="125">
        <v>54005148000</v>
      </c>
      <c r="T53" s="125">
        <v>43806000000</v>
      </c>
      <c r="U53" s="331">
        <v>45913000000</v>
      </c>
      <c r="V53" s="331">
        <v>48160000000</v>
      </c>
      <c r="W53" s="125"/>
      <c r="X53" s="331"/>
      <c r="Y53" s="331"/>
      <c r="Z53" s="331"/>
      <c r="AA53" s="331"/>
      <c r="AB53" s="523"/>
      <c r="AC53" s="523"/>
      <c r="AD53" s="523"/>
      <c r="AE53" s="523"/>
      <c r="AF53" s="523"/>
      <c r="AG53" s="523"/>
      <c r="AH53" s="523"/>
      <c r="AI53" s="523"/>
      <c r="AJ53" s="523"/>
    </row>
    <row r="54" spans="1:36">
      <c r="A54" s="72" t="s">
        <v>7116</v>
      </c>
      <c r="B54" s="64" t="s">
        <v>7106</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6"/>
      <c r="AA54" s="523"/>
      <c r="AB54" s="523"/>
      <c r="AC54" s="523"/>
      <c r="AD54" s="523"/>
      <c r="AE54" s="523"/>
      <c r="AF54" s="523"/>
      <c r="AG54" s="523"/>
      <c r="AH54" s="523"/>
      <c r="AI54" s="523"/>
      <c r="AJ54" s="523"/>
    </row>
    <row r="55" spans="1:36">
      <c r="A55" s="72" t="s">
        <v>1181</v>
      </c>
      <c r="B55" s="64" t="s">
        <v>7114</v>
      </c>
      <c r="C55" t="s">
        <v>7123</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6"/>
      <c r="AA55" s="523"/>
      <c r="AB55" s="523"/>
      <c r="AC55" s="523"/>
      <c r="AD55" s="523"/>
      <c r="AE55" s="523"/>
      <c r="AF55" s="523"/>
      <c r="AG55" s="523"/>
      <c r="AH55" s="523"/>
      <c r="AI55" s="523"/>
      <c r="AJ55" s="523"/>
    </row>
    <row r="56" spans="1:36">
      <c r="A56" s="72" t="s">
        <v>5283</v>
      </c>
      <c r="B56" s="64" t="s">
        <v>4868</v>
      </c>
      <c r="C56" t="s">
        <v>7124</v>
      </c>
      <c r="L56" s="125"/>
      <c r="M56" s="125"/>
      <c r="N56" s="125"/>
      <c r="O56" s="125"/>
      <c r="P56" s="125"/>
      <c r="Q56" s="125"/>
      <c r="R56" s="125">
        <v>11374620000</v>
      </c>
      <c r="S56" s="125">
        <v>12001144000</v>
      </c>
      <c r="T56" s="125">
        <v>12516000000</v>
      </c>
      <c r="U56" s="125">
        <v>13118000000</v>
      </c>
      <c r="V56" s="125">
        <v>13760000000</v>
      </c>
      <c r="W56" s="125"/>
      <c r="X56" s="331"/>
      <c r="Y56" s="331"/>
      <c r="Z56" s="331"/>
      <c r="AA56" s="331"/>
      <c r="AB56" s="523"/>
      <c r="AC56" s="523"/>
      <c r="AD56" s="523"/>
      <c r="AE56" s="523"/>
      <c r="AF56" s="523"/>
      <c r="AG56" s="523"/>
      <c r="AH56" s="523"/>
      <c r="AI56" s="523"/>
      <c r="AJ56" s="523"/>
    </row>
    <row r="57" spans="1:36">
      <c r="A57" s="72" t="s">
        <v>50</v>
      </c>
      <c r="B57" s="64" t="s">
        <v>7107</v>
      </c>
      <c r="C57" t="s">
        <v>7124</v>
      </c>
      <c r="L57" s="125"/>
      <c r="M57" s="125"/>
      <c r="N57" s="125"/>
      <c r="O57" s="125"/>
      <c r="P57" s="125"/>
      <c r="Q57" s="125"/>
      <c r="R57" s="125">
        <v>22749240000</v>
      </c>
      <c r="S57" s="125">
        <v>18001716000</v>
      </c>
      <c r="T57" s="125">
        <v>25032000000</v>
      </c>
      <c r="U57" s="125">
        <v>26236000000</v>
      </c>
      <c r="V57" s="125">
        <v>27520000000</v>
      </c>
      <c r="W57" s="125"/>
      <c r="X57" s="331"/>
      <c r="Y57" s="331"/>
      <c r="Z57" s="331"/>
      <c r="AA57" s="331"/>
      <c r="AB57" s="523"/>
      <c r="AC57" s="523"/>
      <c r="AD57" s="523"/>
      <c r="AE57" s="523"/>
      <c r="AF57" s="523"/>
      <c r="AG57" s="523"/>
      <c r="AH57" s="523"/>
      <c r="AI57" s="523"/>
      <c r="AJ57" s="523"/>
    </row>
    <row r="58" spans="1:36">
      <c r="A58" s="58" t="s">
        <v>904</v>
      </c>
      <c r="B58" s="64" t="s">
        <v>7103</v>
      </c>
      <c r="C58" t="s">
        <v>7123</v>
      </c>
      <c r="L58" s="125"/>
      <c r="M58" s="125"/>
      <c r="N58" s="125"/>
      <c r="O58" s="125"/>
      <c r="P58" s="125"/>
      <c r="Q58" s="125"/>
      <c r="R58" s="125">
        <v>11374620000</v>
      </c>
      <c r="S58" s="125">
        <v>12001144000</v>
      </c>
      <c r="T58" s="125">
        <v>6258000000</v>
      </c>
      <c r="U58" s="125">
        <v>13118000000</v>
      </c>
      <c r="V58" s="125">
        <v>13760000000</v>
      </c>
      <c r="W58" s="125"/>
      <c r="X58" s="331"/>
      <c r="Y58" s="331"/>
      <c r="Z58" s="331"/>
      <c r="AA58" s="331"/>
      <c r="AB58" s="523"/>
      <c r="AC58" s="523"/>
      <c r="AD58" s="523"/>
      <c r="AE58" s="523"/>
      <c r="AF58" s="523"/>
      <c r="AG58" s="523"/>
      <c r="AH58" s="523"/>
      <c r="AI58" s="523"/>
      <c r="AJ58" s="523"/>
    </row>
    <row r="59" spans="1:36">
      <c r="A59" t="s">
        <v>7117</v>
      </c>
      <c r="B59" s="64" t="s">
        <v>7108</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6"/>
      <c r="AA59" s="523"/>
      <c r="AB59" s="523"/>
      <c r="AC59" s="523"/>
      <c r="AD59" s="523"/>
      <c r="AE59" s="523"/>
      <c r="AF59" s="523"/>
      <c r="AG59" s="523"/>
      <c r="AH59" s="523"/>
      <c r="AI59" s="523"/>
      <c r="AJ59" s="523"/>
    </row>
    <row r="60" spans="1:36">
      <c r="B60" s="58" t="s">
        <v>1189</v>
      </c>
      <c r="M60" s="125">
        <v>171688200000</v>
      </c>
      <c r="N60" s="125">
        <v>211125040000</v>
      </c>
      <c r="O60" s="125">
        <v>271235430000</v>
      </c>
      <c r="P60" s="125">
        <v>259220225000.00003</v>
      </c>
      <c r="Q60" s="125">
        <v>299139002000</v>
      </c>
      <c r="R60" s="125"/>
      <c r="S60" s="125"/>
      <c r="T60" s="125"/>
      <c r="U60" s="125"/>
      <c r="V60" s="125"/>
      <c r="W60" s="125"/>
      <c r="X60" s="125"/>
      <c r="Z60" s="276"/>
      <c r="AA60" s="631"/>
      <c r="AB60" s="631"/>
      <c r="AC60" s="631"/>
      <c r="AD60" s="631"/>
      <c r="AE60" s="631"/>
      <c r="AF60" s="631"/>
      <c r="AG60" s="631"/>
      <c r="AH60" s="631"/>
      <c r="AI60" s="631"/>
      <c r="AJ60" s="631"/>
    </row>
    <row r="61" spans="1:36">
      <c r="B61" s="58" t="s">
        <v>1190</v>
      </c>
      <c r="L61" s="125">
        <v>18193199999.999996</v>
      </c>
      <c r="M61" s="125">
        <v>-38872800000</v>
      </c>
      <c r="N61" s="125">
        <v>26390630000</v>
      </c>
      <c r="O61" s="125">
        <v>-39372885000</v>
      </c>
      <c r="P61" s="125">
        <v>-42417855000</v>
      </c>
      <c r="Q61" s="125">
        <v>-72205966000</v>
      </c>
      <c r="R61" s="125"/>
      <c r="S61" s="125"/>
      <c r="T61" s="125"/>
      <c r="U61" s="125"/>
      <c r="V61" s="125"/>
      <c r="W61" s="125"/>
      <c r="X61" s="125"/>
      <c r="Z61" s="276"/>
      <c r="AA61" s="631"/>
      <c r="AB61" s="631"/>
      <c r="AC61" s="631"/>
      <c r="AD61" s="631"/>
      <c r="AE61" s="631"/>
      <c r="AF61" s="631"/>
      <c r="AG61" s="631"/>
      <c r="AH61" s="631"/>
      <c r="AI61" s="631"/>
      <c r="AJ61" s="631"/>
    </row>
    <row r="62" spans="1:36">
      <c r="B62" s="58" t="s">
        <v>1191</v>
      </c>
      <c r="L62" s="125" t="e">
        <v>#VALUE!</v>
      </c>
      <c r="M62" s="125" t="e">
        <v>#VALUE!</v>
      </c>
      <c r="N62" s="125" t="e">
        <v>#VALUE!</v>
      </c>
      <c r="O62" s="125">
        <v>0</v>
      </c>
      <c r="P62" s="125">
        <v>0</v>
      </c>
      <c r="Q62" s="125">
        <v>0</v>
      </c>
      <c r="R62" s="125"/>
      <c r="S62" s="125"/>
      <c r="T62" s="125"/>
      <c r="U62" s="125"/>
      <c r="V62" s="125"/>
      <c r="W62" s="125"/>
      <c r="X62" s="125"/>
      <c r="Z62" s="276"/>
      <c r="AA62" s="523"/>
      <c r="AB62" s="523"/>
      <c r="AC62" s="523"/>
      <c r="AD62" s="523"/>
      <c r="AE62" s="523"/>
      <c r="AF62" s="523"/>
      <c r="AG62" s="523"/>
      <c r="AH62" s="523"/>
      <c r="AI62" s="523"/>
      <c r="AJ62" s="523"/>
    </row>
    <row r="63" spans="1:36">
      <c r="B63" s="58" t="s">
        <v>1192</v>
      </c>
      <c r="L63" s="125">
        <v>-45483000000</v>
      </c>
      <c r="M63" s="125">
        <v>-106900199999.99998</v>
      </c>
      <c r="N63" s="125">
        <v>-124412970000</v>
      </c>
      <c r="O63" s="125">
        <v>-139992480000</v>
      </c>
      <c r="P63" s="125">
        <v>-155532135000</v>
      </c>
      <c r="Q63" s="125">
        <v>-201145191000</v>
      </c>
      <c r="R63" s="125"/>
      <c r="S63" s="125"/>
      <c r="T63" s="125"/>
      <c r="U63" s="125"/>
      <c r="V63" s="125"/>
      <c r="W63" s="125"/>
      <c r="X63" s="125"/>
      <c r="Z63" s="276"/>
      <c r="AA63" s="631"/>
      <c r="AB63" s="631"/>
      <c r="AC63" s="631"/>
      <c r="AD63" s="631"/>
      <c r="AE63" s="631"/>
      <c r="AF63" s="631"/>
      <c r="AG63" s="631"/>
      <c r="AH63" s="631"/>
      <c r="AI63" s="631"/>
      <c r="AJ63" s="631"/>
    </row>
    <row r="64" spans="1:36">
      <c r="A64" s="370" t="s">
        <v>592</v>
      </c>
      <c r="B64" s="370" t="s">
        <v>592</v>
      </c>
      <c r="C64" s="392" t="s">
        <v>35</v>
      </c>
      <c r="D64" s="371"/>
      <c r="E64" s="371"/>
      <c r="F64" s="371"/>
      <c r="G64" s="371"/>
      <c r="H64" s="371"/>
      <c r="I64" s="371"/>
      <c r="J64" s="371"/>
      <c r="K64" s="372"/>
      <c r="L64" s="319">
        <f>L65+L73</f>
        <v>75805000000.000015</v>
      </c>
      <c r="M64" s="373">
        <f>M65+M73</f>
        <v>106900200000</v>
      </c>
      <c r="N64" s="373">
        <f t="shared" ref="N64:P64" si="26">N65+N73</f>
        <v>113102700000.00006</v>
      </c>
      <c r="O64" s="373">
        <f t="shared" si="26"/>
        <v>139992480000</v>
      </c>
      <c r="P64" s="373">
        <f t="shared" si="26"/>
        <v>141392850000.00003</v>
      </c>
      <c r="Q64" s="373">
        <f t="shared" ref="Q64:Q71" si="27">(Q82-Q100)*-1</f>
        <v>195987622000</v>
      </c>
      <c r="R64" s="373">
        <f>R27-R6</f>
        <v>469292380000.00024</v>
      </c>
      <c r="S64" s="373">
        <f t="shared" ref="S64:V64" si="28">S27-S6</f>
        <v>538748832000</v>
      </c>
      <c r="T64" s="373">
        <f t="shared" si="28"/>
        <v>607957000000</v>
      </c>
      <c r="U64" s="373">
        <f t="shared" si="28"/>
        <v>533210000000</v>
      </c>
      <c r="V64" s="373">
        <f t="shared" si="28"/>
        <v>622861000000</v>
      </c>
      <c r="W64" s="373"/>
      <c r="X64" s="373"/>
    </row>
    <row r="65" spans="1:36">
      <c r="A65" t="s">
        <v>120</v>
      </c>
      <c r="B65" s="58" t="s">
        <v>1193</v>
      </c>
      <c r="C65" s="58" t="s">
        <v>252</v>
      </c>
      <c r="L65" s="125">
        <f t="shared" ref="L65:L71" si="29">(L83-L101)*-1</f>
        <v>78837200000.000015</v>
      </c>
      <c r="M65" s="2459">
        <f>M83+M101</f>
        <v>110139600000</v>
      </c>
      <c r="N65" s="2459">
        <f t="shared" ref="N65:P65" si="30">N83+N101</f>
        <v>113102700000.00006</v>
      </c>
      <c r="O65" s="2459">
        <f t="shared" si="30"/>
        <v>131242950000</v>
      </c>
      <c r="P65" s="2459">
        <f t="shared" si="30"/>
        <v>122540470000.00003</v>
      </c>
      <c r="Q65" s="125">
        <f t="shared" si="27"/>
        <v>175357346000.00003</v>
      </c>
      <c r="R65" s="2479"/>
      <c r="S65" s="125"/>
      <c r="T65" s="125"/>
      <c r="U65" s="125"/>
      <c r="V65" s="125"/>
      <c r="W65" s="125"/>
      <c r="X65" s="125"/>
      <c r="Z65" s="523"/>
      <c r="AA65" s="631"/>
      <c r="AB65" s="631"/>
      <c r="AC65" s="631"/>
      <c r="AD65" s="631"/>
      <c r="AE65" s="523"/>
      <c r="AF65" s="523"/>
      <c r="AG65" s="523"/>
      <c r="AH65" s="523"/>
      <c r="AI65" s="523"/>
      <c r="AJ65" s="523"/>
    </row>
    <row r="66" spans="1:36">
      <c r="A66" s="64" t="s">
        <v>1194</v>
      </c>
      <c r="B66" s="64" t="s">
        <v>1194</v>
      </c>
      <c r="C66" s="58" t="s">
        <v>124</v>
      </c>
      <c r="L66" s="125">
        <f t="shared" si="29"/>
        <v>-57611799999.999992</v>
      </c>
      <c r="M66" s="125">
        <f>M84+M102</f>
        <v>-71266800000</v>
      </c>
      <c r="N66" s="125">
        <f t="shared" ref="N66:P66" si="31">N84+N102</f>
        <v>-45241080000</v>
      </c>
      <c r="O66" s="125">
        <f t="shared" si="31"/>
        <v>-26248590000</v>
      </c>
      <c r="P66" s="125">
        <f t="shared" si="31"/>
        <v>-89548804999.999985</v>
      </c>
      <c r="Q66" s="125">
        <f t="shared" si="27"/>
        <v>51575690000</v>
      </c>
      <c r="R66" s="125"/>
      <c r="S66" s="631"/>
      <c r="T66" s="631"/>
      <c r="U66" s="631"/>
      <c r="V66" s="631"/>
      <c r="W66" s="631"/>
      <c r="X66" s="631"/>
      <c r="Z66" s="276"/>
      <c r="AA66" s="631"/>
      <c r="AB66" s="631"/>
      <c r="AC66" s="631"/>
      <c r="AD66" s="631"/>
      <c r="AE66" s="523"/>
      <c r="AF66" s="523"/>
      <c r="AG66" s="523"/>
      <c r="AH66" s="523"/>
      <c r="AI66" s="523"/>
      <c r="AJ66" s="523"/>
    </row>
    <row r="67" spans="1:36">
      <c r="A67" s="64" t="s">
        <v>1195</v>
      </c>
      <c r="B67" s="64" t="s">
        <v>1195</v>
      </c>
      <c r="C67" s="58" t="s">
        <v>124</v>
      </c>
      <c r="L67" s="125">
        <f t="shared" si="29"/>
        <v>166771000000</v>
      </c>
      <c r="M67" s="125">
        <f>M85+M103</f>
        <v>272109600000</v>
      </c>
      <c r="N67" s="125">
        <f t="shared" ref="N67:P67" si="32">N85+N103</f>
        <v>271446480000.00006</v>
      </c>
      <c r="O67" s="125">
        <f t="shared" si="32"/>
        <v>209988720000</v>
      </c>
      <c r="P67" s="125">
        <f t="shared" si="32"/>
        <v>287498795000</v>
      </c>
      <c r="Q67" s="125">
        <f t="shared" si="27"/>
        <v>159884639000.00003</v>
      </c>
      <c r="R67" s="2470"/>
      <c r="S67" s="2470"/>
      <c r="T67" s="2470"/>
      <c r="U67" s="2470"/>
      <c r="V67" s="2470"/>
      <c r="W67" s="125"/>
      <c r="X67" s="125"/>
      <c r="Z67" s="276"/>
      <c r="AA67" s="631"/>
      <c r="AB67" s="631"/>
      <c r="AC67" s="631"/>
      <c r="AD67" s="631"/>
      <c r="AE67" s="523"/>
      <c r="AF67" s="523"/>
      <c r="AG67" s="523"/>
      <c r="AH67" s="523"/>
      <c r="AI67" s="523"/>
      <c r="AJ67" s="523"/>
    </row>
    <row r="68" spans="1:36">
      <c r="A68" s="64" t="s">
        <v>444</v>
      </c>
      <c r="B68" s="64" t="s">
        <v>444</v>
      </c>
      <c r="C68" s="58" t="s">
        <v>124</v>
      </c>
      <c r="L68" s="125">
        <f t="shared" si="29"/>
        <v>-30322000000</v>
      </c>
      <c r="M68" s="125">
        <f>M86+M104</f>
        <v>-90703199999.999985</v>
      </c>
      <c r="N68" s="125">
        <f t="shared" ref="N68:P68" si="33">N86+N104</f>
        <v>-113102700000.00002</v>
      </c>
      <c r="O68" s="125">
        <f t="shared" si="33"/>
        <v>-52497180000</v>
      </c>
      <c r="P68" s="125">
        <f t="shared" si="33"/>
        <v>-75409519999.999985</v>
      </c>
      <c r="Q68" s="125">
        <f t="shared" si="27"/>
        <v>-36102983000</v>
      </c>
      <c r="R68" s="125"/>
      <c r="S68" s="631"/>
      <c r="T68" s="631"/>
      <c r="U68" s="631"/>
      <c r="V68" s="631"/>
      <c r="W68" s="631"/>
      <c r="X68" s="631"/>
      <c r="Z68" s="523"/>
      <c r="AA68" s="631"/>
      <c r="AB68" s="631"/>
      <c r="AC68" s="631"/>
      <c r="AD68" s="631"/>
      <c r="AE68" s="523"/>
      <c r="AF68" s="523"/>
      <c r="AG68" s="523"/>
      <c r="AH68" s="523"/>
      <c r="AI68" s="523"/>
      <c r="AJ68" s="523"/>
    </row>
    <row r="69" spans="1:36">
      <c r="A69" s="64" t="s">
        <v>1196</v>
      </c>
      <c r="B69" s="64" t="s">
        <v>1196</v>
      </c>
      <c r="C69" s="58" t="s">
        <v>124</v>
      </c>
      <c r="L69" s="125">
        <f t="shared" si="29"/>
        <v>0</v>
      </c>
      <c r="M69" s="125"/>
      <c r="N69" s="125"/>
      <c r="O69" s="125"/>
      <c r="P69" s="125"/>
      <c r="Q69" s="125">
        <f t="shared" si="27"/>
        <v>0</v>
      </c>
      <c r="R69" s="125"/>
      <c r="S69" s="631"/>
      <c r="T69" s="631"/>
      <c r="U69" s="631"/>
      <c r="V69" s="631"/>
      <c r="W69" s="631"/>
      <c r="X69" s="631"/>
      <c r="Z69" s="276"/>
      <c r="AA69" s="631"/>
      <c r="AB69" s="631"/>
      <c r="AC69" s="631"/>
      <c r="AD69" s="631"/>
      <c r="AE69" s="523"/>
      <c r="AF69" s="523"/>
      <c r="AG69" s="523"/>
      <c r="AH69" s="523"/>
      <c r="AI69" s="523"/>
      <c r="AJ69" s="523"/>
    </row>
    <row r="70" spans="1:36">
      <c r="A70" s="64" t="s">
        <v>1197</v>
      </c>
      <c r="B70" s="64" t="s">
        <v>1197</v>
      </c>
      <c r="C70" s="58" t="s">
        <v>124</v>
      </c>
      <c r="L70" s="125">
        <f t="shared" si="29"/>
        <v>0</v>
      </c>
      <c r="M70" s="125"/>
      <c r="N70" s="125"/>
      <c r="O70" s="125"/>
      <c r="P70" s="125"/>
      <c r="Q70" s="125">
        <f t="shared" si="27"/>
        <v>0</v>
      </c>
      <c r="R70" s="125"/>
      <c r="S70" s="631"/>
      <c r="T70" s="631"/>
      <c r="U70" s="631"/>
      <c r="V70" s="631"/>
      <c r="W70" s="631"/>
      <c r="X70" s="631"/>
      <c r="Z70" s="276"/>
      <c r="AA70" s="631"/>
      <c r="AB70" s="631"/>
      <c r="AC70" s="631"/>
      <c r="AD70" s="631"/>
      <c r="AE70" s="523"/>
      <c r="AF70" s="523"/>
      <c r="AG70" s="523"/>
      <c r="AH70" s="523"/>
      <c r="AI70" s="523"/>
      <c r="AJ70" s="523"/>
    </row>
    <row r="71" spans="1:36">
      <c r="A71" s="64" t="s">
        <v>1198</v>
      </c>
      <c r="B71" s="64" t="s">
        <v>1198</v>
      </c>
      <c r="C71" s="58" t="s">
        <v>124</v>
      </c>
      <c r="L71" s="125">
        <f t="shared" si="29"/>
        <v>0</v>
      </c>
      <c r="M71" s="125"/>
      <c r="N71" s="125"/>
      <c r="O71" s="125"/>
      <c r="P71" s="125"/>
      <c r="Q71" s="125">
        <f t="shared" si="27"/>
        <v>0</v>
      </c>
      <c r="R71" s="125"/>
      <c r="S71" s="631"/>
      <c r="T71" s="631"/>
      <c r="U71" s="631"/>
      <c r="V71" s="631"/>
      <c r="W71" s="631"/>
      <c r="X71" s="631"/>
      <c r="Z71" s="276"/>
      <c r="AA71" s="631"/>
      <c r="AB71" s="631"/>
      <c r="AC71" s="631"/>
      <c r="AD71" s="631"/>
      <c r="AE71" s="523"/>
      <c r="AF71" s="523"/>
      <c r="AG71" s="523"/>
      <c r="AH71" s="523"/>
      <c r="AI71" s="523"/>
      <c r="AJ71" s="523"/>
    </row>
    <row r="72" spans="1:36">
      <c r="A72" s="64" t="s">
        <v>1199</v>
      </c>
      <c r="B72" s="64" t="s">
        <v>1199</v>
      </c>
      <c r="C72" s="58" t="s">
        <v>124</v>
      </c>
      <c r="L72" s="125">
        <v>0</v>
      </c>
      <c r="M72" s="125"/>
      <c r="N72" s="125"/>
      <c r="O72" s="125"/>
      <c r="P72" s="125"/>
      <c r="Q72" s="125">
        <v>0</v>
      </c>
      <c r="R72" s="125"/>
      <c r="S72" s="523"/>
      <c r="T72" s="523"/>
      <c r="U72" s="21"/>
      <c r="V72" s="523"/>
      <c r="W72" s="523"/>
      <c r="X72" s="523"/>
      <c r="Z72" s="276"/>
      <c r="AA72" s="523"/>
      <c r="AB72" s="523"/>
      <c r="AC72" s="523"/>
      <c r="AD72" s="523"/>
      <c r="AE72" s="523"/>
      <c r="AF72" s="523"/>
      <c r="AG72" s="523"/>
      <c r="AH72" s="523"/>
      <c r="AI72" s="523"/>
      <c r="AJ72" s="523"/>
    </row>
    <row r="73" spans="1:36">
      <c r="A73" s="58" t="s">
        <v>117</v>
      </c>
      <c r="B73" s="58" t="s">
        <v>1201</v>
      </c>
      <c r="C73" s="58" t="s">
        <v>252</v>
      </c>
      <c r="L73" s="125">
        <f t="shared" ref="L73:Q80" si="34">(L91-L109)*-1</f>
        <v>-3032200000</v>
      </c>
      <c r="M73" s="125">
        <f>M91+M109</f>
        <v>-3239400000</v>
      </c>
      <c r="N73" s="125">
        <f t="shared" ref="N73:P73" si="35">N91+N109</f>
        <v>0</v>
      </c>
      <c r="O73" s="125">
        <f t="shared" si="35"/>
        <v>8749530000</v>
      </c>
      <c r="P73" s="125">
        <f t="shared" si="35"/>
        <v>18852380000.000004</v>
      </c>
      <c r="Q73" s="125">
        <f t="shared" si="34"/>
        <v>20630276000.000004</v>
      </c>
      <c r="R73" s="125"/>
      <c r="S73" s="125"/>
      <c r="T73" s="125"/>
      <c r="U73" s="125"/>
      <c r="V73" s="125"/>
      <c r="W73" s="125"/>
      <c r="X73" s="125"/>
      <c r="Z73" s="523"/>
      <c r="AA73" s="631"/>
      <c r="AB73" s="631"/>
      <c r="AC73" s="631"/>
      <c r="AD73" s="631"/>
      <c r="AE73" s="523"/>
      <c r="AF73" s="523"/>
      <c r="AG73" s="523"/>
      <c r="AH73" s="523"/>
      <c r="AI73" s="523"/>
      <c r="AJ73" s="523"/>
    </row>
    <row r="74" spans="1:36">
      <c r="A74" s="64" t="s">
        <v>1202</v>
      </c>
      <c r="B74" s="64" t="s">
        <v>1203</v>
      </c>
      <c r="C74" s="58" t="s">
        <v>264</v>
      </c>
      <c r="L74" s="125">
        <f t="shared" si="34"/>
        <v>0</v>
      </c>
      <c r="M74" s="125"/>
      <c r="N74" s="125"/>
      <c r="O74" s="125"/>
      <c r="P74" s="125"/>
      <c r="Q74" s="125">
        <f t="shared" si="34"/>
        <v>0</v>
      </c>
      <c r="R74" s="125"/>
      <c r="S74" s="631"/>
      <c r="T74" s="631"/>
      <c r="U74" s="13"/>
      <c r="V74" s="631"/>
      <c r="W74" s="631"/>
      <c r="X74" s="631"/>
      <c r="Z74" s="276"/>
      <c r="AA74" s="631"/>
      <c r="AB74" s="631"/>
      <c r="AC74" s="631"/>
      <c r="AD74" s="631"/>
      <c r="AE74" s="523"/>
      <c r="AF74" s="523"/>
      <c r="AG74" s="523"/>
      <c r="AH74" s="523"/>
      <c r="AI74" s="523"/>
      <c r="AJ74" s="523"/>
    </row>
    <row r="75" spans="1:36">
      <c r="A75" s="64" t="s">
        <v>1194</v>
      </c>
      <c r="B75" s="64" t="s">
        <v>1194</v>
      </c>
      <c r="C75" s="58" t="s">
        <v>264</v>
      </c>
      <c r="L75" s="125">
        <f t="shared" si="34"/>
        <v>0</v>
      </c>
      <c r="M75" s="125"/>
      <c r="N75" s="125"/>
      <c r="O75" s="125"/>
      <c r="P75" s="125"/>
      <c r="Q75" s="125">
        <f t="shared" si="34"/>
        <v>0</v>
      </c>
      <c r="R75" s="125"/>
      <c r="S75" s="631"/>
      <c r="T75" s="631"/>
      <c r="U75" s="13"/>
      <c r="V75" s="631"/>
      <c r="W75" s="631"/>
      <c r="X75" s="631"/>
      <c r="Z75" s="276"/>
      <c r="AA75" s="631"/>
      <c r="AB75" s="631"/>
      <c r="AC75" s="631"/>
      <c r="AD75" s="631"/>
      <c r="AE75" s="523"/>
      <c r="AF75" s="523"/>
      <c r="AG75" s="523"/>
      <c r="AH75" s="523"/>
      <c r="AI75" s="523"/>
      <c r="AJ75" s="523"/>
    </row>
    <row r="76" spans="1:36">
      <c r="A76" s="64" t="s">
        <v>1195</v>
      </c>
      <c r="B76" s="64" t="s">
        <v>1195</v>
      </c>
      <c r="C76" s="58" t="s">
        <v>264</v>
      </c>
      <c r="L76" s="125">
        <f t="shared" si="34"/>
        <v>0</v>
      </c>
      <c r="M76" s="125">
        <f>M112</f>
        <v>9718200000</v>
      </c>
      <c r="N76" s="125"/>
      <c r="O76" s="125">
        <f t="shared" ref="O76:P76" si="36">O112</f>
        <v>17499060000</v>
      </c>
      <c r="P76" s="125">
        <f t="shared" si="36"/>
        <v>4713095000.000001</v>
      </c>
      <c r="Q76" s="125">
        <f t="shared" si="34"/>
        <v>15472707000</v>
      </c>
      <c r="R76" s="125"/>
      <c r="S76" s="631"/>
      <c r="T76" s="631"/>
      <c r="U76" s="13"/>
      <c r="V76" s="631"/>
      <c r="W76" s="631"/>
      <c r="X76" s="631"/>
      <c r="Z76" s="276"/>
      <c r="AA76" s="631"/>
      <c r="AB76" s="631"/>
      <c r="AC76" s="631"/>
      <c r="AD76" s="631"/>
      <c r="AE76" s="523"/>
      <c r="AF76" s="523"/>
      <c r="AG76" s="523"/>
      <c r="AH76" s="523"/>
      <c r="AI76" s="523"/>
      <c r="AJ76" s="523"/>
    </row>
    <row r="77" spans="1:36">
      <c r="A77" s="64" t="s">
        <v>444</v>
      </c>
      <c r="B77" s="64" t="s">
        <v>444</v>
      </c>
      <c r="C77" s="58" t="s">
        <v>264</v>
      </c>
      <c r="L77" s="125">
        <f t="shared" si="34"/>
        <v>-3032200000</v>
      </c>
      <c r="M77" s="125">
        <f>M113</f>
        <v>-12957600000</v>
      </c>
      <c r="N77" s="125"/>
      <c r="O77" s="125">
        <f t="shared" ref="O77:P77" si="37">O113</f>
        <v>-8749530000</v>
      </c>
      <c r="P77" s="125">
        <f t="shared" si="37"/>
        <v>14139285000</v>
      </c>
      <c r="Q77" s="125">
        <f t="shared" si="34"/>
        <v>5157569000.000001</v>
      </c>
      <c r="R77" s="125"/>
      <c r="S77" s="125"/>
      <c r="T77" s="125"/>
      <c r="U77" s="125"/>
      <c r="V77" s="125"/>
      <c r="W77" s="125"/>
      <c r="X77" s="125"/>
      <c r="Z77" s="523"/>
      <c r="AA77" s="631"/>
      <c r="AB77" s="631"/>
      <c r="AC77" s="631"/>
      <c r="AD77" s="631"/>
      <c r="AE77" s="523"/>
      <c r="AF77" s="523"/>
      <c r="AG77" s="523"/>
      <c r="AH77" s="523"/>
      <c r="AI77" s="523"/>
      <c r="AJ77" s="523"/>
    </row>
    <row r="78" spans="1:36">
      <c r="A78" s="64" t="s">
        <v>1196</v>
      </c>
      <c r="B78" s="64" t="s">
        <v>1196</v>
      </c>
      <c r="C78" s="58" t="s">
        <v>264</v>
      </c>
      <c r="L78" s="125">
        <f t="shared" si="34"/>
        <v>0</v>
      </c>
      <c r="M78" s="125"/>
      <c r="N78" s="125"/>
      <c r="O78" s="125"/>
      <c r="P78" s="125"/>
      <c r="Q78" s="125">
        <f t="shared" si="34"/>
        <v>0</v>
      </c>
      <c r="R78" s="125"/>
      <c r="S78" s="631"/>
      <c r="T78" s="631"/>
      <c r="U78" s="542"/>
      <c r="V78" s="631"/>
      <c r="W78" s="631"/>
      <c r="X78" s="631"/>
      <c r="Z78" s="276"/>
      <c r="AA78" s="631"/>
      <c r="AB78" s="631"/>
      <c r="AC78" s="631"/>
      <c r="AD78" s="631"/>
      <c r="AE78" s="523"/>
      <c r="AF78" s="523"/>
      <c r="AG78" s="523"/>
      <c r="AH78" s="523"/>
      <c r="AI78" s="523"/>
      <c r="AJ78" s="523"/>
    </row>
    <row r="79" spans="1:36">
      <c r="A79" s="64" t="s">
        <v>1197</v>
      </c>
      <c r="B79" s="64" t="s">
        <v>1197</v>
      </c>
      <c r="C79" s="58" t="s">
        <v>264</v>
      </c>
      <c r="L79" s="125">
        <f t="shared" si="34"/>
        <v>0</v>
      </c>
      <c r="M79" s="125"/>
      <c r="N79" s="125"/>
      <c r="O79" s="125"/>
      <c r="P79" s="125"/>
      <c r="Q79" s="125">
        <f t="shared" si="34"/>
        <v>0</v>
      </c>
      <c r="R79" s="125"/>
      <c r="S79" s="631"/>
      <c r="T79" s="631"/>
      <c r="U79" s="631"/>
      <c r="V79" s="631"/>
      <c r="W79" s="631"/>
      <c r="X79" s="631"/>
      <c r="Z79" s="276"/>
      <c r="AA79" s="631"/>
      <c r="AB79" s="631"/>
      <c r="AC79" s="631"/>
      <c r="AD79" s="631"/>
      <c r="AE79" s="523"/>
      <c r="AF79" s="523"/>
      <c r="AG79" s="523"/>
      <c r="AH79" s="523"/>
      <c r="AI79" s="523"/>
      <c r="AJ79" s="523"/>
    </row>
    <row r="80" spans="1:36">
      <c r="A80" s="64" t="s">
        <v>1198</v>
      </c>
      <c r="B80" s="64" t="s">
        <v>1198</v>
      </c>
      <c r="C80" s="58" t="s">
        <v>264</v>
      </c>
      <c r="L80" s="125">
        <f t="shared" si="34"/>
        <v>0</v>
      </c>
      <c r="M80" s="125"/>
      <c r="N80" s="125"/>
      <c r="O80" s="125"/>
      <c r="P80" s="125"/>
      <c r="Q80" s="125">
        <f t="shared" si="34"/>
        <v>0</v>
      </c>
      <c r="R80" s="125"/>
      <c r="S80" s="631"/>
      <c r="T80" s="631"/>
      <c r="U80" s="631"/>
      <c r="V80" s="631"/>
      <c r="W80" s="631"/>
      <c r="X80" s="631"/>
      <c r="Z80" s="276"/>
      <c r="AA80" s="631"/>
      <c r="AB80" s="631"/>
      <c r="AC80" s="631"/>
      <c r="AD80" s="631"/>
      <c r="AE80" s="523"/>
      <c r="AF80" s="523"/>
      <c r="AG80" s="523"/>
      <c r="AH80" s="523"/>
      <c r="AI80" s="523"/>
      <c r="AJ80" s="523"/>
    </row>
    <row r="81" spans="1:36">
      <c r="A81" s="64" t="s">
        <v>1199</v>
      </c>
      <c r="B81" s="64" t="s">
        <v>1199</v>
      </c>
      <c r="C81" s="58" t="s">
        <v>264</v>
      </c>
      <c r="L81" s="125">
        <v>0</v>
      </c>
      <c r="M81" s="125"/>
      <c r="N81" s="125"/>
      <c r="O81" s="125"/>
      <c r="P81" s="125"/>
      <c r="Q81" s="125">
        <v>0</v>
      </c>
      <c r="R81" s="125"/>
      <c r="S81" s="523"/>
      <c r="T81" s="523"/>
      <c r="U81" s="523"/>
      <c r="V81" s="523"/>
      <c r="W81" s="523"/>
      <c r="X81" s="523"/>
      <c r="Z81" s="276"/>
      <c r="AA81" s="523"/>
      <c r="AB81" s="523"/>
      <c r="AC81" s="523"/>
      <c r="AD81" s="523"/>
      <c r="AE81" s="523"/>
      <c r="AF81" s="523"/>
      <c r="AG81" s="523"/>
      <c r="AH81" s="523"/>
      <c r="AI81" s="523"/>
      <c r="AJ81" s="523"/>
    </row>
    <row r="82" spans="1:36">
      <c r="B82" s="58" t="s">
        <v>1204</v>
      </c>
      <c r="L82" s="125">
        <v>87933799999.999985</v>
      </c>
      <c r="M82" s="125">
        <f>M83+M91</f>
        <v>-171688200000</v>
      </c>
      <c r="N82" s="125">
        <f t="shared" ref="N82:P82" si="38">N83+N91</f>
        <v>-158343780000</v>
      </c>
      <c r="O82" s="125">
        <f t="shared" si="38"/>
        <v>-83120535000</v>
      </c>
      <c r="P82" s="125">
        <f t="shared" si="38"/>
        <v>-179097609999.99997</v>
      </c>
      <c r="Q82" s="125">
        <v>5157569000.000001</v>
      </c>
      <c r="R82" s="125"/>
      <c r="S82" s="631"/>
      <c r="T82" s="631"/>
      <c r="U82" s="631"/>
      <c r="V82" s="631"/>
      <c r="W82" s="631"/>
      <c r="X82" s="631"/>
      <c r="Z82" s="276"/>
      <c r="AA82" s="631"/>
      <c r="AB82" s="631"/>
      <c r="AC82" s="631"/>
      <c r="AD82" s="631"/>
      <c r="AE82" s="523"/>
      <c r="AF82" s="523"/>
      <c r="AG82" s="523"/>
      <c r="AH82" s="523"/>
      <c r="AI82" s="523"/>
      <c r="AJ82" s="523"/>
    </row>
    <row r="83" spans="1:36">
      <c r="B83" s="58" t="s">
        <v>209</v>
      </c>
      <c r="L83" s="125">
        <v>87933799999.999985</v>
      </c>
      <c r="M83" s="125">
        <f>M84+M85+M86+M87+M88+M89+M90</f>
        <v>-171688200000</v>
      </c>
      <c r="N83" s="125">
        <f t="shared" ref="N83:P83" si="39">N84+N85+N86+N87+N88+N89+N90</f>
        <v>-158343780000</v>
      </c>
      <c r="O83" s="125">
        <f t="shared" si="39"/>
        <v>-83120535000</v>
      </c>
      <c r="P83" s="125">
        <f t="shared" si="39"/>
        <v>-179097609999.99997</v>
      </c>
      <c r="Q83" s="125">
        <v>5157569000.000001</v>
      </c>
      <c r="R83" s="125"/>
    </row>
    <row r="84" spans="1:36">
      <c r="B84" s="64" t="s">
        <v>1194</v>
      </c>
      <c r="L84" s="125">
        <v>57611799999.999992</v>
      </c>
      <c r="M84" s="125">
        <v>-71266800000</v>
      </c>
      <c r="N84" s="125">
        <v>-45241080000</v>
      </c>
      <c r="O84" s="125">
        <v>-26248590000</v>
      </c>
      <c r="P84" s="125">
        <v>-89548804999.999985</v>
      </c>
      <c r="Q84" s="125">
        <v>-51575690000</v>
      </c>
      <c r="R84" s="125"/>
    </row>
    <row r="85" spans="1:36">
      <c r="B85" s="64" t="s">
        <v>1195</v>
      </c>
      <c r="L85" s="125">
        <v>0</v>
      </c>
      <c r="M85" s="125">
        <v>0</v>
      </c>
      <c r="N85" s="125">
        <v>0</v>
      </c>
      <c r="O85" s="125">
        <v>0</v>
      </c>
      <c r="P85" s="125">
        <v>0</v>
      </c>
      <c r="Q85" s="125">
        <v>0</v>
      </c>
      <c r="R85" s="125"/>
    </row>
    <row r="86" spans="1:36">
      <c r="B86" s="64" t="s">
        <v>444</v>
      </c>
      <c r="L86" s="125">
        <v>30322000000</v>
      </c>
      <c r="M86" s="125">
        <v>-100421399999.99998</v>
      </c>
      <c r="N86" s="125">
        <v>-113102700000.00002</v>
      </c>
      <c r="O86" s="125">
        <v>-56871945000</v>
      </c>
      <c r="P86" s="125">
        <v>-89548804999.999985</v>
      </c>
      <c r="Q86" s="125">
        <v>56733259000.000008</v>
      </c>
      <c r="R86" s="125"/>
    </row>
    <row r="87" spans="1:36">
      <c r="B87" s="64" t="s">
        <v>1196</v>
      </c>
      <c r="L87" s="125">
        <v>0</v>
      </c>
      <c r="M87" s="125">
        <v>0</v>
      </c>
      <c r="N87" s="125">
        <v>0</v>
      </c>
      <c r="O87" s="125">
        <v>0</v>
      </c>
      <c r="P87" s="125">
        <v>0</v>
      </c>
      <c r="Q87" s="125">
        <v>0</v>
      </c>
      <c r="R87" s="125"/>
    </row>
    <row r="88" spans="1:36">
      <c r="B88" s="64" t="s">
        <v>1197</v>
      </c>
      <c r="L88" s="125">
        <v>0</v>
      </c>
      <c r="M88" s="125">
        <v>0</v>
      </c>
      <c r="N88" s="125">
        <v>0</v>
      </c>
      <c r="O88" s="125">
        <v>0</v>
      </c>
      <c r="P88" s="125">
        <v>0</v>
      </c>
      <c r="Q88" s="125">
        <v>0</v>
      </c>
      <c r="R88" s="125"/>
    </row>
    <row r="89" spans="1:36">
      <c r="B89" s="64" t="s">
        <v>1198</v>
      </c>
      <c r="L89" s="125">
        <v>0</v>
      </c>
      <c r="M89" s="125">
        <v>0</v>
      </c>
      <c r="N89" s="125">
        <v>0</v>
      </c>
      <c r="O89" s="125">
        <v>0</v>
      </c>
      <c r="P89" s="125">
        <v>0</v>
      </c>
      <c r="Q89" s="125">
        <v>0</v>
      </c>
      <c r="R89" s="125"/>
    </row>
    <row r="90" spans="1:36">
      <c r="B90" s="64" t="s">
        <v>1199</v>
      </c>
      <c r="L90" s="125" t="e">
        <v>#VALUE!</v>
      </c>
      <c r="M90" s="125">
        <v>0</v>
      </c>
      <c r="N90" s="125">
        <v>0</v>
      </c>
      <c r="O90" s="125">
        <v>0</v>
      </c>
      <c r="P90" s="125">
        <v>0</v>
      </c>
      <c r="Q90" s="125">
        <v>0</v>
      </c>
      <c r="R90" s="125"/>
    </row>
    <row r="91" spans="1:36">
      <c r="B91" s="58" t="s">
        <v>212</v>
      </c>
      <c r="L91" s="125">
        <v>0</v>
      </c>
      <c r="M91" s="125">
        <v>0</v>
      </c>
      <c r="N91" s="125">
        <v>0</v>
      </c>
      <c r="O91" s="125">
        <v>0</v>
      </c>
      <c r="P91" s="125">
        <v>0</v>
      </c>
      <c r="Q91" s="125">
        <v>0</v>
      </c>
      <c r="R91" s="125"/>
    </row>
    <row r="92" spans="1:36">
      <c r="B92" s="64" t="s">
        <v>1203</v>
      </c>
      <c r="L92" s="125">
        <v>0</v>
      </c>
      <c r="M92" s="125">
        <v>0</v>
      </c>
      <c r="N92" s="125">
        <v>0</v>
      </c>
      <c r="O92" s="125">
        <v>0</v>
      </c>
      <c r="P92" s="125">
        <v>0</v>
      </c>
      <c r="Q92" s="125">
        <v>0</v>
      </c>
      <c r="R92" s="125"/>
    </row>
    <row r="93" spans="1:36">
      <c r="B93" s="64" t="s">
        <v>1194</v>
      </c>
      <c r="L93" s="125">
        <v>0</v>
      </c>
      <c r="M93" s="125">
        <v>0</v>
      </c>
      <c r="N93" s="125">
        <v>0</v>
      </c>
      <c r="O93" s="125">
        <v>0</v>
      </c>
      <c r="P93" s="125">
        <v>0</v>
      </c>
      <c r="Q93" s="125">
        <v>0</v>
      </c>
      <c r="R93" s="125"/>
    </row>
    <row r="94" spans="1:36">
      <c r="B94" s="64" t="s">
        <v>1195</v>
      </c>
      <c r="L94" s="125">
        <v>0</v>
      </c>
      <c r="M94" s="125">
        <v>0</v>
      </c>
      <c r="N94" s="125">
        <v>0</v>
      </c>
      <c r="O94" s="125">
        <v>0</v>
      </c>
      <c r="P94" s="125">
        <v>0</v>
      </c>
      <c r="Q94" s="125">
        <v>0</v>
      </c>
      <c r="R94" s="125"/>
    </row>
    <row r="95" spans="1:36">
      <c r="B95" s="64" t="s">
        <v>444</v>
      </c>
      <c r="L95" s="125">
        <v>0</v>
      </c>
      <c r="M95" s="125">
        <v>0</v>
      </c>
      <c r="N95" s="125">
        <v>0</v>
      </c>
      <c r="O95" s="125">
        <v>0</v>
      </c>
      <c r="P95" s="125">
        <v>0</v>
      </c>
      <c r="Q95" s="125">
        <v>0</v>
      </c>
      <c r="R95" s="125"/>
    </row>
    <row r="96" spans="1:36">
      <c r="B96" s="64" t="s">
        <v>1196</v>
      </c>
      <c r="L96" s="125">
        <v>0</v>
      </c>
      <c r="M96" s="125">
        <v>0</v>
      </c>
      <c r="N96" s="125">
        <v>0</v>
      </c>
      <c r="O96" s="125">
        <v>0</v>
      </c>
      <c r="P96" s="125">
        <v>0</v>
      </c>
      <c r="Q96" s="125">
        <v>0</v>
      </c>
      <c r="R96" s="125"/>
    </row>
    <row r="97" spans="2:36">
      <c r="B97" s="64" t="s">
        <v>1197</v>
      </c>
      <c r="L97" s="125">
        <v>0</v>
      </c>
      <c r="M97" s="125">
        <v>0</v>
      </c>
      <c r="N97" s="125">
        <v>0</v>
      </c>
      <c r="O97" s="125">
        <v>0</v>
      </c>
      <c r="P97" s="125">
        <v>0</v>
      </c>
      <c r="Q97" s="125">
        <v>0</v>
      </c>
      <c r="R97" s="125"/>
    </row>
    <row r="98" spans="2:36">
      <c r="B98" s="64" t="s">
        <v>1198</v>
      </c>
      <c r="L98" s="125">
        <v>0</v>
      </c>
      <c r="M98" s="125">
        <v>0</v>
      </c>
      <c r="N98" s="125">
        <v>0</v>
      </c>
      <c r="O98" s="125">
        <v>0</v>
      </c>
      <c r="P98" s="125">
        <v>0</v>
      </c>
      <c r="Q98" s="125">
        <v>0</v>
      </c>
      <c r="R98" s="125"/>
    </row>
    <row r="99" spans="2:36">
      <c r="B99" s="64" t="s">
        <v>1199</v>
      </c>
      <c r="L99" s="125" t="e">
        <v>#VALUE!</v>
      </c>
      <c r="M99" s="125">
        <v>0</v>
      </c>
      <c r="N99" s="125">
        <v>0</v>
      </c>
      <c r="O99" s="125">
        <v>0</v>
      </c>
      <c r="P99" s="125">
        <v>0</v>
      </c>
      <c r="Q99" s="125">
        <v>0</v>
      </c>
      <c r="R99" s="125"/>
    </row>
    <row r="100" spans="2:36">
      <c r="B100" s="58" t="s">
        <v>1027</v>
      </c>
      <c r="L100" s="125">
        <v>160706599999.99997</v>
      </c>
      <c r="M100" s="125">
        <v>278588400000</v>
      </c>
      <c r="N100" s="125">
        <v>271446480000.00006</v>
      </c>
      <c r="O100" s="125">
        <v>218738250000</v>
      </c>
      <c r="P100" s="125">
        <v>320490460000.00006</v>
      </c>
      <c r="Q100" s="125">
        <v>201145191000</v>
      </c>
      <c r="R100" s="125"/>
      <c r="S100" s="631"/>
      <c r="T100" s="631"/>
      <c r="U100" s="631"/>
      <c r="V100" s="631"/>
      <c r="W100" s="631"/>
      <c r="X100" s="631"/>
      <c r="Z100" s="276"/>
      <c r="AA100" s="631"/>
      <c r="AB100" s="631"/>
      <c r="AC100" s="631"/>
      <c r="AD100" s="631"/>
      <c r="AE100" s="523"/>
      <c r="AF100" s="523"/>
      <c r="AG100" s="523"/>
      <c r="AH100" s="523"/>
      <c r="AI100" s="523"/>
      <c r="AJ100" s="523"/>
    </row>
    <row r="101" spans="2:36">
      <c r="B101" s="58" t="s">
        <v>209</v>
      </c>
      <c r="L101" s="125">
        <v>166771000000</v>
      </c>
      <c r="M101" s="125">
        <f>M102+M103+M104</f>
        <v>281827800000</v>
      </c>
      <c r="N101" s="125">
        <f t="shared" ref="N101:Q101" si="40">N102+N103+N104</f>
        <v>271446480000.00006</v>
      </c>
      <c r="O101" s="125">
        <f t="shared" si="40"/>
        <v>214363485000</v>
      </c>
      <c r="P101" s="125">
        <f t="shared" si="40"/>
        <v>301638080000</v>
      </c>
      <c r="Q101" s="125">
        <f t="shared" si="40"/>
        <v>180514915000.00003</v>
      </c>
      <c r="R101" s="125"/>
      <c r="S101" s="631"/>
      <c r="T101" s="631"/>
      <c r="U101" s="631"/>
      <c r="V101" s="631"/>
      <c r="W101" s="631"/>
      <c r="X101" s="631"/>
      <c r="Z101" s="276"/>
      <c r="AA101" s="631"/>
      <c r="AB101" s="631"/>
      <c r="AC101" s="631"/>
      <c r="AD101" s="631"/>
      <c r="AE101" s="523"/>
      <c r="AF101" s="523"/>
      <c r="AG101" s="523"/>
      <c r="AH101" s="523"/>
      <c r="AI101" s="523"/>
      <c r="AJ101" s="523"/>
    </row>
    <row r="102" spans="2:36">
      <c r="B102" s="64" t="s">
        <v>1194</v>
      </c>
      <c r="L102" s="125">
        <v>0</v>
      </c>
      <c r="M102" s="125">
        <v>0</v>
      </c>
      <c r="N102" s="125">
        <v>0</v>
      </c>
      <c r="O102" s="125">
        <v>0</v>
      </c>
      <c r="P102" s="125">
        <v>0</v>
      </c>
      <c r="Q102" s="125">
        <v>0</v>
      </c>
      <c r="R102" s="125"/>
      <c r="S102" s="631"/>
      <c r="T102" s="631"/>
      <c r="U102" s="631"/>
      <c r="V102" s="631"/>
      <c r="W102" s="631"/>
      <c r="X102" s="631"/>
      <c r="Z102" s="276"/>
      <c r="AA102" s="631"/>
      <c r="AB102" s="631"/>
      <c r="AC102" s="631"/>
      <c r="AD102" s="631"/>
      <c r="AE102" s="523"/>
      <c r="AF102" s="523"/>
      <c r="AG102" s="523"/>
      <c r="AH102" s="523"/>
      <c r="AI102" s="523"/>
      <c r="AJ102" s="523"/>
    </row>
    <row r="103" spans="2:36">
      <c r="B103" s="64" t="s">
        <v>1195</v>
      </c>
      <c r="L103" s="125">
        <v>166771000000</v>
      </c>
      <c r="M103" s="125">
        <v>272109600000</v>
      </c>
      <c r="N103" s="125">
        <v>271446480000.00006</v>
      </c>
      <c r="O103" s="125">
        <v>209988720000</v>
      </c>
      <c r="P103" s="125">
        <v>287498795000</v>
      </c>
      <c r="Q103" s="125">
        <v>159884639000.00003</v>
      </c>
      <c r="R103" s="125"/>
      <c r="S103" s="631"/>
      <c r="T103" s="631"/>
      <c r="U103" s="631"/>
      <c r="V103" s="631"/>
      <c r="W103" s="631"/>
      <c r="X103" s="631"/>
      <c r="Z103" s="276"/>
      <c r="AA103" s="631"/>
      <c r="AB103" s="631"/>
      <c r="AC103" s="631"/>
      <c r="AD103" s="631"/>
      <c r="AE103" s="523"/>
      <c r="AF103" s="523"/>
      <c r="AG103" s="523"/>
      <c r="AH103" s="523"/>
      <c r="AI103" s="523"/>
      <c r="AJ103" s="523"/>
    </row>
    <row r="104" spans="2:36">
      <c r="B104" s="64" t="s">
        <v>444</v>
      </c>
      <c r="L104" s="125">
        <v>0</v>
      </c>
      <c r="M104" s="125">
        <v>9718200000</v>
      </c>
      <c r="N104" s="125">
        <v>0</v>
      </c>
      <c r="O104" s="125">
        <v>4374765000</v>
      </c>
      <c r="P104" s="125">
        <v>14139285000</v>
      </c>
      <c r="Q104" s="125">
        <v>20630276000.000004</v>
      </c>
      <c r="R104" s="125"/>
      <c r="S104" s="631"/>
      <c r="T104" s="631"/>
      <c r="U104" s="631"/>
      <c r="V104" s="631"/>
      <c r="W104" s="631"/>
      <c r="X104" s="631"/>
      <c r="Z104" s="276"/>
      <c r="AA104" s="631"/>
      <c r="AB104" s="631"/>
      <c r="AC104" s="631"/>
      <c r="AD104" s="631"/>
      <c r="AE104" s="523"/>
      <c r="AF104" s="523"/>
      <c r="AG104" s="523"/>
      <c r="AH104" s="523"/>
      <c r="AI104" s="523"/>
      <c r="AJ104" s="523"/>
    </row>
    <row r="105" spans="2:36">
      <c r="B105" s="64" t="s">
        <v>1196</v>
      </c>
      <c r="L105" s="125">
        <v>0</v>
      </c>
      <c r="M105" s="125">
        <v>0</v>
      </c>
      <c r="N105" s="125">
        <v>0</v>
      </c>
      <c r="O105" s="125">
        <v>0</v>
      </c>
      <c r="P105" s="125">
        <v>0</v>
      </c>
      <c r="Q105" s="125">
        <v>0</v>
      </c>
      <c r="R105" s="125"/>
      <c r="S105" s="631"/>
      <c r="T105" s="631"/>
      <c r="U105" s="631"/>
      <c r="V105" s="631"/>
      <c r="W105" s="631"/>
      <c r="X105" s="631"/>
      <c r="Z105" s="276"/>
      <c r="AA105" s="631"/>
      <c r="AB105" s="631"/>
      <c r="AC105" s="631"/>
      <c r="AD105" s="631"/>
      <c r="AE105" s="523"/>
      <c r="AF105" s="523"/>
      <c r="AG105" s="523"/>
      <c r="AH105" s="523"/>
      <c r="AI105" s="523"/>
      <c r="AJ105" s="523"/>
    </row>
    <row r="106" spans="2:36">
      <c r="B106" s="64" t="s">
        <v>1197</v>
      </c>
      <c r="L106" s="125">
        <v>0</v>
      </c>
      <c r="M106" s="125">
        <v>0</v>
      </c>
      <c r="N106" s="125">
        <v>0</v>
      </c>
      <c r="O106" s="125">
        <v>0</v>
      </c>
      <c r="P106" s="125">
        <v>0</v>
      </c>
      <c r="Q106" s="125">
        <v>0</v>
      </c>
      <c r="R106" s="125"/>
      <c r="S106" s="631"/>
      <c r="T106" s="631"/>
      <c r="U106" s="631"/>
      <c r="V106" s="631"/>
      <c r="W106" s="631"/>
      <c r="X106" s="631"/>
      <c r="Z106" s="276"/>
      <c r="AA106" s="631"/>
      <c r="AB106" s="631"/>
      <c r="AC106" s="631"/>
      <c r="AD106" s="631"/>
      <c r="AE106" s="523"/>
      <c r="AF106" s="523"/>
      <c r="AG106" s="523"/>
      <c r="AH106" s="523"/>
      <c r="AI106" s="523"/>
      <c r="AJ106" s="523"/>
    </row>
    <row r="107" spans="2:36">
      <c r="B107" s="64" t="s">
        <v>1198</v>
      </c>
      <c r="L107" s="125">
        <v>0</v>
      </c>
      <c r="M107" s="125">
        <v>0</v>
      </c>
      <c r="N107" s="125">
        <v>0</v>
      </c>
      <c r="O107" s="125">
        <v>0</v>
      </c>
      <c r="P107" s="125">
        <v>0</v>
      </c>
      <c r="Q107" s="125">
        <v>0</v>
      </c>
      <c r="R107" s="125"/>
      <c r="S107" s="631"/>
      <c r="T107" s="631"/>
      <c r="U107" s="631"/>
      <c r="V107" s="631"/>
      <c r="W107" s="631"/>
      <c r="X107" s="631"/>
      <c r="Z107" s="276"/>
      <c r="AA107" s="631"/>
      <c r="AB107" s="631"/>
      <c r="AC107" s="631"/>
      <c r="AD107" s="631"/>
      <c r="AE107" s="523"/>
      <c r="AF107" s="523"/>
      <c r="AG107" s="523"/>
      <c r="AH107" s="523"/>
      <c r="AI107" s="523"/>
      <c r="AJ107" s="523"/>
    </row>
    <row r="108" spans="2:36">
      <c r="B108" s="64" t="s">
        <v>1205</v>
      </c>
      <c r="L108" s="125">
        <v>0</v>
      </c>
      <c r="M108" s="125">
        <v>0</v>
      </c>
      <c r="N108" s="125">
        <v>0</v>
      </c>
      <c r="O108" s="125">
        <v>0</v>
      </c>
      <c r="P108" s="125">
        <v>0</v>
      </c>
      <c r="Q108" s="125">
        <v>0</v>
      </c>
      <c r="R108" s="125"/>
      <c r="S108" s="523"/>
      <c r="T108" s="523"/>
      <c r="U108" s="523"/>
      <c r="V108" s="523"/>
      <c r="W108" s="523"/>
      <c r="X108" s="523"/>
      <c r="Z108" s="276"/>
      <c r="AA108" s="523"/>
      <c r="AB108" s="523"/>
      <c r="AC108" s="523"/>
      <c r="AD108" s="523"/>
      <c r="AE108" s="523"/>
      <c r="AF108" s="523"/>
      <c r="AG108" s="523"/>
      <c r="AH108" s="523"/>
      <c r="AI108" s="523"/>
      <c r="AJ108" s="523"/>
    </row>
    <row r="109" spans="2:36">
      <c r="B109" s="58" t="s">
        <v>212</v>
      </c>
      <c r="L109" s="125">
        <v>-3032200000</v>
      </c>
      <c r="M109" s="125">
        <v>-3239400000</v>
      </c>
      <c r="N109" s="125">
        <v>0</v>
      </c>
      <c r="O109" s="125">
        <v>8749530000</v>
      </c>
      <c r="P109" s="125">
        <v>18852380000.000004</v>
      </c>
      <c r="Q109" s="125">
        <v>20630276000.000004</v>
      </c>
      <c r="R109" s="125"/>
      <c r="S109" s="631"/>
      <c r="T109" s="631"/>
      <c r="U109" s="631"/>
      <c r="V109" s="631"/>
      <c r="W109" s="631"/>
      <c r="X109" s="631"/>
      <c r="Z109" s="276"/>
      <c r="AA109" s="631"/>
      <c r="AB109" s="631"/>
      <c r="AC109" s="631"/>
      <c r="AD109" s="631"/>
      <c r="AE109" s="523"/>
      <c r="AF109" s="523"/>
      <c r="AG109" s="523"/>
      <c r="AH109" s="523"/>
      <c r="AI109" s="523"/>
      <c r="AJ109" s="523"/>
    </row>
    <row r="110" spans="2:36">
      <c r="B110" s="64" t="s">
        <v>1206</v>
      </c>
      <c r="L110" s="125">
        <v>0</v>
      </c>
      <c r="M110" s="125">
        <v>0</v>
      </c>
      <c r="N110" s="125">
        <v>0</v>
      </c>
      <c r="O110" s="125">
        <v>0</v>
      </c>
      <c r="P110" s="125">
        <v>0</v>
      </c>
      <c r="Q110" s="125">
        <v>0</v>
      </c>
      <c r="R110" s="125"/>
      <c r="S110" s="631"/>
      <c r="T110" s="631"/>
      <c r="U110" s="631"/>
      <c r="V110" s="631"/>
      <c r="W110" s="631"/>
      <c r="X110" s="631"/>
      <c r="Z110" s="276"/>
      <c r="AA110" s="631"/>
      <c r="AB110" s="631"/>
      <c r="AC110" s="631"/>
      <c r="AD110" s="631"/>
      <c r="AE110" s="523"/>
      <c r="AF110" s="523"/>
      <c r="AG110" s="523"/>
      <c r="AH110" s="523"/>
      <c r="AI110" s="523"/>
      <c r="AJ110" s="523"/>
    </row>
    <row r="111" spans="2:36">
      <c r="B111" s="64" t="s">
        <v>1194</v>
      </c>
      <c r="L111" s="125">
        <v>0</v>
      </c>
      <c r="M111" s="125">
        <v>0</v>
      </c>
      <c r="N111" s="125">
        <v>0</v>
      </c>
      <c r="O111" s="125">
        <v>0</v>
      </c>
      <c r="P111" s="125">
        <v>0</v>
      </c>
      <c r="Q111" s="125">
        <v>0</v>
      </c>
      <c r="R111" s="125"/>
      <c r="S111" s="631"/>
      <c r="T111" s="631"/>
      <c r="U111" s="631"/>
      <c r="V111" s="631"/>
      <c r="W111" s="631"/>
      <c r="X111" s="631"/>
      <c r="Z111" s="276"/>
      <c r="AA111" s="631"/>
      <c r="AB111" s="631"/>
      <c r="AC111" s="631"/>
      <c r="AD111" s="631"/>
      <c r="AE111" s="523"/>
      <c r="AF111" s="523"/>
      <c r="AG111" s="523"/>
      <c r="AH111" s="523"/>
      <c r="AI111" s="523"/>
      <c r="AJ111" s="523"/>
    </row>
    <row r="112" spans="2:36">
      <c r="B112" s="64" t="s">
        <v>1195</v>
      </c>
      <c r="L112" s="125">
        <v>0</v>
      </c>
      <c r="M112" s="125">
        <v>9718200000</v>
      </c>
      <c r="N112" s="125">
        <v>-3770090000.0000005</v>
      </c>
      <c r="O112" s="125">
        <v>17499060000</v>
      </c>
      <c r="P112" s="125">
        <v>4713095000.000001</v>
      </c>
      <c r="Q112" s="125">
        <v>15472707000</v>
      </c>
      <c r="R112" s="125"/>
      <c r="S112" s="631"/>
      <c r="T112" s="631"/>
      <c r="U112" s="631"/>
      <c r="V112" s="631"/>
      <c r="W112" s="631"/>
      <c r="X112" s="631"/>
      <c r="Z112" s="276"/>
      <c r="AA112" s="631"/>
      <c r="AB112" s="631"/>
      <c r="AC112" s="631"/>
      <c r="AD112" s="631"/>
      <c r="AE112" s="523"/>
      <c r="AF112" s="523"/>
      <c r="AG112" s="523"/>
      <c r="AH112" s="523"/>
      <c r="AI112" s="523"/>
      <c r="AJ112" s="523"/>
    </row>
    <row r="113" spans="2:36">
      <c r="B113" s="64" t="s">
        <v>444</v>
      </c>
      <c r="L113" s="125">
        <v>-3032200000</v>
      </c>
      <c r="M113" s="125">
        <v>-12957600000</v>
      </c>
      <c r="N113" s="125">
        <v>3770090000.0000005</v>
      </c>
      <c r="O113" s="125">
        <v>-8749530000</v>
      </c>
      <c r="P113" s="125">
        <v>14139285000</v>
      </c>
      <c r="Q113" s="125">
        <v>5157569000.000001</v>
      </c>
      <c r="R113" s="125"/>
      <c r="S113" s="631"/>
      <c r="T113" s="631"/>
      <c r="U113" s="631"/>
      <c r="V113" s="631"/>
      <c r="W113" s="631"/>
      <c r="X113" s="631"/>
      <c r="Z113" s="276"/>
      <c r="AA113" s="631"/>
      <c r="AB113" s="631"/>
      <c r="AC113" s="631"/>
      <c r="AD113" s="631"/>
      <c r="AE113" s="523"/>
      <c r="AF113" s="523"/>
      <c r="AG113" s="523"/>
      <c r="AH113" s="523"/>
      <c r="AI113" s="523"/>
      <c r="AJ113" s="523"/>
    </row>
    <row r="114" spans="2:36">
      <c r="B114" s="64" t="s">
        <v>1196</v>
      </c>
      <c r="L114" s="125">
        <v>0</v>
      </c>
      <c r="M114" s="125">
        <v>0</v>
      </c>
      <c r="N114" s="125">
        <v>0</v>
      </c>
      <c r="O114" s="125">
        <v>0</v>
      </c>
      <c r="P114" s="125">
        <v>0</v>
      </c>
      <c r="Q114" s="125">
        <v>0</v>
      </c>
      <c r="R114" s="125"/>
      <c r="S114" s="631"/>
      <c r="T114" s="631"/>
      <c r="U114" s="631"/>
      <c r="V114" s="631"/>
      <c r="W114" s="631"/>
      <c r="X114" s="631"/>
      <c r="Z114" s="276"/>
      <c r="AA114" s="631"/>
      <c r="AB114" s="631"/>
      <c r="AC114" s="631"/>
      <c r="AD114" s="631"/>
      <c r="AE114" s="523"/>
      <c r="AF114" s="523"/>
      <c r="AG114" s="523"/>
      <c r="AH114" s="523"/>
      <c r="AI114" s="523"/>
      <c r="AJ114" s="523"/>
    </row>
    <row r="115" spans="2:36">
      <c r="B115" s="64" t="s">
        <v>1197</v>
      </c>
      <c r="L115" s="125">
        <v>0</v>
      </c>
      <c r="M115" s="125">
        <v>0</v>
      </c>
      <c r="N115" s="125">
        <v>0</v>
      </c>
      <c r="O115" s="125">
        <v>0</v>
      </c>
      <c r="P115" s="125">
        <v>0</v>
      </c>
      <c r="Q115" s="125">
        <v>0</v>
      </c>
      <c r="R115" s="125"/>
      <c r="S115" s="631"/>
      <c r="T115" s="631"/>
      <c r="U115" s="631"/>
      <c r="V115" s="631"/>
      <c r="W115" s="631"/>
      <c r="X115" s="631"/>
      <c r="Z115" s="276"/>
      <c r="AA115" s="631"/>
      <c r="AB115" s="631"/>
      <c r="AC115" s="631"/>
      <c r="AD115" s="631"/>
      <c r="AE115" s="523"/>
      <c r="AF115" s="523"/>
      <c r="AG115" s="523"/>
      <c r="AH115" s="523"/>
      <c r="AI115" s="523"/>
      <c r="AJ115" s="523"/>
    </row>
    <row r="116" spans="2:36">
      <c r="B116" s="64" t="s">
        <v>1198</v>
      </c>
      <c r="L116" s="125">
        <v>0</v>
      </c>
      <c r="M116" s="125">
        <v>0</v>
      </c>
      <c r="N116" s="125">
        <v>0</v>
      </c>
      <c r="O116" s="125">
        <v>0</v>
      </c>
      <c r="P116" s="125">
        <v>0</v>
      </c>
      <c r="Q116" s="125">
        <v>0</v>
      </c>
      <c r="R116" s="125"/>
      <c r="S116" s="631"/>
      <c r="T116" s="631"/>
      <c r="U116" s="631"/>
      <c r="V116" s="631"/>
      <c r="W116" s="631"/>
      <c r="X116" s="631"/>
      <c r="Z116" s="276"/>
      <c r="AA116" s="631"/>
      <c r="AB116" s="631"/>
      <c r="AC116" s="631"/>
      <c r="AD116" s="631"/>
      <c r="AE116" s="523"/>
      <c r="AF116" s="523"/>
      <c r="AG116" s="523"/>
      <c r="AH116" s="523"/>
      <c r="AI116" s="523"/>
      <c r="AJ116" s="523"/>
    </row>
    <row r="117" spans="2:36">
      <c r="B117" s="64" t="s">
        <v>1205</v>
      </c>
      <c r="L117" s="125" t="e">
        <v>#VALUE!</v>
      </c>
      <c r="M117" s="125" t="e">
        <v>#VALUE!</v>
      </c>
      <c r="N117" s="125" t="e">
        <v>#VALUE!</v>
      </c>
      <c r="O117" s="125">
        <v>0</v>
      </c>
      <c r="P117" s="125">
        <v>0</v>
      </c>
      <c r="Q117" s="125">
        <v>0</v>
      </c>
      <c r="R117" s="125"/>
      <c r="S117" s="523"/>
      <c r="T117" s="523"/>
      <c r="U117" s="523"/>
      <c r="V117" s="523"/>
      <c r="W117" s="523"/>
      <c r="X117" s="523"/>
      <c r="Z117" s="276"/>
      <c r="AA117" s="523"/>
      <c r="AB117" s="523"/>
      <c r="AC117" s="523"/>
      <c r="AD117" s="523"/>
      <c r="AE117" s="523"/>
      <c r="AF117" s="523"/>
      <c r="AG117" s="523"/>
      <c r="AH117" s="523"/>
      <c r="AI117" s="523"/>
      <c r="AJ117" s="523"/>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V121" si="41">L6-L7-L10</f>
        <v>-1.220703125E-4</v>
      </c>
      <c r="M121" s="21">
        <f t="shared" si="41"/>
        <v>-1.220703125E-4</v>
      </c>
      <c r="N121" s="21">
        <f t="shared" si="41"/>
        <v>0</v>
      </c>
      <c r="O121" s="21">
        <f t="shared" si="41"/>
        <v>0</v>
      </c>
      <c r="P121" s="21">
        <f t="shared" si="41"/>
        <v>0</v>
      </c>
      <c r="Q121" s="21">
        <f t="shared" si="41"/>
        <v>2.44140625E-4</v>
      </c>
      <c r="R121" s="21">
        <f t="shared" si="41"/>
        <v>0</v>
      </c>
      <c r="S121" s="21">
        <f t="shared" si="41"/>
        <v>0</v>
      </c>
      <c r="T121" s="21">
        <f t="shared" si="41"/>
        <v>0</v>
      </c>
      <c r="U121" s="21">
        <f t="shared" si="41"/>
        <v>0</v>
      </c>
      <c r="V121" s="21">
        <f t="shared" si="41"/>
        <v>0</v>
      </c>
      <c r="W121" s="21"/>
      <c r="X121" s="21"/>
    </row>
    <row r="122" spans="2:36">
      <c r="B122" t="s">
        <v>616</v>
      </c>
      <c r="L122" s="21">
        <f t="shared" ref="L122:V122" si="42">L7-L8-L9-L11</f>
        <v>0</v>
      </c>
      <c r="M122" s="21">
        <f t="shared" si="42"/>
        <v>0</v>
      </c>
      <c r="N122" s="21">
        <f t="shared" si="42"/>
        <v>0</v>
      </c>
      <c r="O122" s="21">
        <f t="shared" si="42"/>
        <v>0</v>
      </c>
      <c r="P122" s="21">
        <f t="shared" si="42"/>
        <v>0</v>
      </c>
      <c r="Q122" s="21">
        <f t="shared" si="42"/>
        <v>0</v>
      </c>
      <c r="R122" s="21">
        <f t="shared" si="42"/>
        <v>0</v>
      </c>
      <c r="S122" s="21">
        <f t="shared" si="42"/>
        <v>0</v>
      </c>
      <c r="T122" s="21">
        <f t="shared" si="42"/>
        <v>0</v>
      </c>
      <c r="U122" s="21">
        <f t="shared" si="42"/>
        <v>0</v>
      </c>
      <c r="V122" s="21">
        <f t="shared" si="42"/>
        <v>0</v>
      </c>
      <c r="W122" s="21"/>
      <c r="X122" s="21"/>
    </row>
    <row r="123" spans="2:36">
      <c r="B123" t="s">
        <v>1207</v>
      </c>
      <c r="L123" s="21">
        <f t="shared" ref="L123:Q123" si="43">L27-L29-L39</f>
        <v>0</v>
      </c>
      <c r="M123" s="21">
        <f t="shared" si="43"/>
        <v>0</v>
      </c>
      <c r="N123" s="21">
        <f t="shared" si="43"/>
        <v>0</v>
      </c>
      <c r="O123" s="21">
        <f t="shared" si="43"/>
        <v>0</v>
      </c>
      <c r="P123" s="21">
        <f t="shared" si="43"/>
        <v>0</v>
      </c>
      <c r="Q123" s="21">
        <f t="shared" si="43"/>
        <v>0</v>
      </c>
      <c r="R123" s="21">
        <f>R27-R43-R49-R54-R59</f>
        <v>0</v>
      </c>
      <c r="S123" s="21">
        <f t="shared" ref="S123:V123" si="44">S27-S43-S49-S54-S59</f>
        <v>0</v>
      </c>
      <c r="T123" s="21">
        <f t="shared" si="44"/>
        <v>0</v>
      </c>
      <c r="U123" s="21">
        <f t="shared" si="44"/>
        <v>0</v>
      </c>
      <c r="V123" s="21">
        <f t="shared" si="44"/>
        <v>0</v>
      </c>
      <c r="W123" s="21"/>
      <c r="X123" s="21"/>
    </row>
    <row r="124" spans="2:36">
      <c r="B124" t="s">
        <v>826</v>
      </c>
      <c r="L124" s="21">
        <f t="shared" ref="L124:V124" si="45">L29-L31-L32-L33-L34-L35-L36-L37-L38</f>
        <v>0</v>
      </c>
      <c r="M124" s="21">
        <f t="shared" si="45"/>
        <v>0</v>
      </c>
      <c r="N124" s="21">
        <f t="shared" si="45"/>
        <v>0</v>
      </c>
      <c r="O124" s="21">
        <f t="shared" si="45"/>
        <v>0</v>
      </c>
      <c r="P124" s="21">
        <f t="shared" si="45"/>
        <v>0</v>
      </c>
      <c r="Q124" s="21">
        <f t="shared" si="45"/>
        <v>0</v>
      </c>
      <c r="R124" s="21">
        <f t="shared" si="45"/>
        <v>0</v>
      </c>
      <c r="S124" s="21">
        <f t="shared" si="45"/>
        <v>0</v>
      </c>
      <c r="T124" s="21">
        <f t="shared" si="45"/>
        <v>0</v>
      </c>
      <c r="U124" s="21">
        <f t="shared" si="45"/>
        <v>0</v>
      </c>
      <c r="V124" s="21">
        <f t="shared" si="45"/>
        <v>0</v>
      </c>
      <c r="W124" s="21"/>
      <c r="X124" s="21"/>
    </row>
    <row r="125" spans="2:36">
      <c r="B125" t="s">
        <v>457</v>
      </c>
      <c r="L125" s="21">
        <f t="shared" ref="L125:R125" si="46">L64-L65-L73</f>
        <v>0</v>
      </c>
      <c r="M125" s="21">
        <f t="shared" si="46"/>
        <v>0</v>
      </c>
      <c r="N125" s="21">
        <f t="shared" si="46"/>
        <v>0</v>
      </c>
      <c r="O125" s="21">
        <f t="shared" si="46"/>
        <v>0</v>
      </c>
      <c r="P125" s="21">
        <f t="shared" si="46"/>
        <v>0</v>
      </c>
      <c r="Q125" s="21">
        <f t="shared" si="46"/>
        <v>-3.4332275390625E-5</v>
      </c>
      <c r="R125" s="21">
        <f t="shared" si="46"/>
        <v>469292380000.00024</v>
      </c>
      <c r="S125" s="21">
        <f>S64-S65-S73</f>
        <v>538748832000</v>
      </c>
      <c r="T125" s="21">
        <f t="shared" ref="T125:V125" si="47">T64-T65-T73</f>
        <v>607957000000</v>
      </c>
      <c r="U125" s="21">
        <f t="shared" si="47"/>
        <v>533210000000</v>
      </c>
      <c r="V125" s="21">
        <f t="shared" si="47"/>
        <v>622861000000</v>
      </c>
      <c r="W125" s="21"/>
      <c r="X125" s="21"/>
      <c r="Y125" s="276"/>
    </row>
    <row r="126" spans="2:36">
      <c r="B126" t="s">
        <v>297</v>
      </c>
      <c r="L126" s="21">
        <f t="shared" ref="L126:Q126" si="48">L65-L66-L67-L68-L69-L70-L71-L72</f>
        <v>0</v>
      </c>
      <c r="M126" s="21">
        <f t="shared" si="48"/>
        <v>-1.52587890625E-5</v>
      </c>
      <c r="N126" s="21">
        <f t="shared" si="48"/>
        <v>1.52587890625E-5</v>
      </c>
      <c r="O126" s="21">
        <f>O65-O66-O67-O68-O69-O70-O71-O72</f>
        <v>0</v>
      </c>
      <c r="P126" s="21">
        <f t="shared" si="48"/>
        <v>-1.52587890625E-5</v>
      </c>
      <c r="Q126" s="21">
        <f t="shared" si="48"/>
        <v>0</v>
      </c>
      <c r="R126" s="21">
        <f>R65-R66-R67-R68-R69-R70-R71-R72</f>
        <v>0</v>
      </c>
      <c r="S126" s="21">
        <f t="shared" ref="S126:V126" si="49">S65-S66-S67-S68-S69-S70-S71-S72</f>
        <v>0</v>
      </c>
      <c r="T126" s="21">
        <f t="shared" si="49"/>
        <v>0</v>
      </c>
      <c r="U126" s="21">
        <f t="shared" si="49"/>
        <v>0</v>
      </c>
      <c r="V126" s="21">
        <f t="shared" si="49"/>
        <v>0</v>
      </c>
      <c r="W126" s="21"/>
      <c r="X126" s="21"/>
    </row>
    <row r="127" spans="2:36">
      <c r="B127" t="s">
        <v>1171</v>
      </c>
      <c r="L127" s="21">
        <f>L73-L74-L75-L76-L77-L78-L79-L80-L81</f>
        <v>0</v>
      </c>
      <c r="M127" s="21">
        <f t="shared" ref="M127:R127" si="50">M73-M74-M75-M76-M77-M78-M79-M80-M81</f>
        <v>0</v>
      </c>
      <c r="N127" s="21">
        <f t="shared" si="50"/>
        <v>0</v>
      </c>
      <c r="O127" s="21">
        <f t="shared" si="50"/>
        <v>0</v>
      </c>
      <c r="P127" s="21">
        <f t="shared" si="50"/>
        <v>3.814697265625E-6</v>
      </c>
      <c r="Q127" s="21">
        <f t="shared" si="50"/>
        <v>2.86102294921875E-6</v>
      </c>
      <c r="R127" s="21">
        <f t="shared" si="50"/>
        <v>0</v>
      </c>
      <c r="S127">
        <f t="shared" ref="S127:V127" si="51">S73-S74-S75-S76-S77-S78-S79-S80-S81</f>
        <v>0</v>
      </c>
      <c r="T127">
        <f t="shared" si="51"/>
        <v>0</v>
      </c>
      <c r="U127">
        <f t="shared" si="51"/>
        <v>0</v>
      </c>
      <c r="V127">
        <f t="shared" si="51"/>
        <v>0</v>
      </c>
    </row>
    <row r="128" spans="2:36">
      <c r="K128" s="21"/>
    </row>
    <row r="129" spans="2:24">
      <c r="B129" t="s">
        <v>724</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52">(L6/L129)*100</f>
        <v>33.799999999999997</v>
      </c>
      <c r="M130">
        <f t="shared" si="52"/>
        <v>32.799999999999997</v>
      </c>
      <c r="N130">
        <f t="shared" si="52"/>
        <v>34.4</v>
      </c>
      <c r="O130">
        <f t="shared" si="52"/>
        <v>36.324206979449777</v>
      </c>
      <c r="P130">
        <f t="shared" si="52"/>
        <v>37.558047535455785</v>
      </c>
      <c r="Q130">
        <f t="shared" si="52"/>
        <v>37.791641278726559</v>
      </c>
      <c r="R130">
        <f t="shared" si="52"/>
        <v>33.527972452511229</v>
      </c>
    </row>
    <row r="131" spans="2:24">
      <c r="B131" t="s">
        <v>152</v>
      </c>
      <c r="L131">
        <f t="shared" ref="L131:R131" si="53">(L28/L129)*100</f>
        <v>35.299999999999997</v>
      </c>
      <c r="M131">
        <f t="shared" si="53"/>
        <v>30.8</v>
      </c>
      <c r="N131">
        <f t="shared" si="53"/>
        <v>32.200000000000003</v>
      </c>
      <c r="O131">
        <f t="shared" si="53"/>
        <v>33.156398231241937</v>
      </c>
      <c r="P131">
        <f t="shared" si="53"/>
        <v>35.089947268840127</v>
      </c>
      <c r="Q131">
        <f t="shared" si="53"/>
        <v>35.768990055358096</v>
      </c>
      <c r="R131">
        <f t="shared" si="5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K18" activePane="bottomRight" state="frozen"/>
      <selection pane="topRight" activeCell="R7" sqref="R7"/>
      <selection pane="bottomLeft" activeCell="R7" sqref="R7"/>
      <selection pane="bottomRight" activeCell="M21" sqref="M21:V21"/>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897" bestFit="1" customWidth="1"/>
    <col min="17" max="17" width="32.28515625" style="897" bestFit="1" customWidth="1"/>
    <col min="18" max="18" width="25.42578125" style="897" bestFit="1" customWidth="1"/>
    <col min="19" max="20" width="26.140625" style="897" bestFit="1" customWidth="1"/>
    <col min="21" max="22" width="25.42578125" style="897" bestFit="1" customWidth="1"/>
    <col min="23" max="24" width="26.140625" style="897" bestFit="1" customWidth="1"/>
    <col min="25" max="25" width="25.42578125" style="897" bestFit="1" customWidth="1"/>
    <col min="26" max="26" width="19.7109375" style="897" bestFit="1" customWidth="1"/>
  </cols>
  <sheetData>
    <row r="1" spans="1:52">
      <c r="A1" s="26" t="s">
        <v>1208</v>
      </c>
      <c r="B1" s="82" t="s">
        <v>1209</v>
      </c>
      <c r="C1" s="82"/>
      <c r="D1" s="27"/>
      <c r="E1" s="27"/>
      <c r="F1" s="27"/>
      <c r="G1" s="27"/>
      <c r="H1" s="27"/>
      <c r="I1" s="27"/>
      <c r="J1" s="27"/>
      <c r="K1" s="27"/>
      <c r="L1" s="27"/>
      <c r="M1" s="27"/>
      <c r="N1" s="27"/>
      <c r="O1" s="28"/>
      <c r="P1" s="898"/>
      <c r="Q1" s="898"/>
      <c r="R1" s="899"/>
      <c r="S1" s="898"/>
      <c r="T1" s="898"/>
      <c r="U1" s="898"/>
      <c r="V1" s="898"/>
      <c r="W1" s="898"/>
      <c r="X1" s="898"/>
      <c r="Y1" s="903"/>
      <c r="Z1" s="904"/>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1210</v>
      </c>
      <c r="C2" s="30"/>
      <c r="D2" s="28"/>
      <c r="E2" s="28"/>
      <c r="F2" s="28"/>
      <c r="G2" s="28"/>
      <c r="H2" s="28"/>
      <c r="I2" s="28"/>
      <c r="J2" s="28"/>
      <c r="K2" s="28"/>
      <c r="L2" s="28"/>
      <c r="M2" s="298"/>
      <c r="N2" s="28"/>
      <c r="O2" s="28"/>
      <c r="P2" s="898"/>
      <c r="Q2" s="898"/>
      <c r="R2" s="899"/>
      <c r="S2" s="898"/>
      <c r="T2" s="898"/>
      <c r="U2" s="898"/>
      <c r="V2" s="898"/>
      <c r="W2" s="898"/>
      <c r="X2" s="898"/>
      <c r="Y2" s="903"/>
      <c r="Z2" s="904"/>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05">
        <v>2012</v>
      </c>
      <c r="Q3" s="905">
        <v>2013</v>
      </c>
      <c r="R3" s="905">
        <v>2014</v>
      </c>
      <c r="S3" s="905">
        <v>2015</v>
      </c>
      <c r="T3" s="905">
        <v>2016</v>
      </c>
      <c r="U3" s="905">
        <v>2017</v>
      </c>
      <c r="V3" s="905">
        <v>2018</v>
      </c>
      <c r="W3" s="905">
        <v>2019</v>
      </c>
      <c r="X3" s="905">
        <v>2020</v>
      </c>
      <c r="Y3" s="922">
        <v>2021</v>
      </c>
      <c r="Z3" s="904"/>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898" t="s">
        <v>17</v>
      </c>
      <c r="Q4" s="898" t="s">
        <v>18</v>
      </c>
      <c r="R4" s="899" t="s">
        <v>19</v>
      </c>
      <c r="S4" s="898" t="s">
        <v>20</v>
      </c>
      <c r="T4" s="898" t="s">
        <v>21</v>
      </c>
      <c r="U4" s="898" t="s">
        <v>22</v>
      </c>
      <c r="V4" s="898" t="s">
        <v>23</v>
      </c>
      <c r="W4" s="898" t="s">
        <v>24</v>
      </c>
      <c r="X4" s="898" t="s">
        <v>25</v>
      </c>
      <c r="Y4" s="923" t="s">
        <v>26</v>
      </c>
      <c r="Z4" s="904"/>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898" t="s">
        <v>30</v>
      </c>
      <c r="Q5" s="898" t="s">
        <v>30</v>
      </c>
      <c r="R5" s="898" t="s">
        <v>1177</v>
      </c>
      <c r="S5" s="898" t="s">
        <v>30</v>
      </c>
      <c r="T5" s="898" t="s">
        <v>30</v>
      </c>
      <c r="U5" s="898" t="s">
        <v>368</v>
      </c>
      <c r="V5" s="898" t="s">
        <v>1211</v>
      </c>
      <c r="W5" s="898" t="s">
        <v>1211</v>
      </c>
      <c r="X5" s="898" t="s">
        <v>1211</v>
      </c>
      <c r="Y5" s="923" t="s">
        <v>32</v>
      </c>
      <c r="Z5" s="904"/>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848" customFormat="1" ht="16.5">
      <c r="A6" s="19" t="s">
        <v>33</v>
      </c>
      <c r="B6" s="19" t="s">
        <v>34</v>
      </c>
      <c r="C6" s="848" t="s">
        <v>35</v>
      </c>
      <c r="D6" s="909"/>
      <c r="E6" s="910">
        <v>376300000000</v>
      </c>
      <c r="F6" s="910">
        <v>378100000000</v>
      </c>
      <c r="G6" s="910">
        <v>435000000000</v>
      </c>
      <c r="H6" s="919">
        <v>461800000000</v>
      </c>
      <c r="I6" s="919">
        <v>496700000000</v>
      </c>
      <c r="J6" s="919">
        <v>570100000000</v>
      </c>
      <c r="K6" s="919">
        <v>650500000000</v>
      </c>
      <c r="L6" s="919">
        <v>630800000000</v>
      </c>
      <c r="M6" s="919">
        <v>771500000000</v>
      </c>
      <c r="N6" s="919">
        <v>880200000000</v>
      </c>
      <c r="O6" s="920">
        <v>1047300000000</v>
      </c>
      <c r="P6" s="921">
        <v>1276500000000</v>
      </c>
      <c r="Q6" s="921">
        <v>1441700000000</v>
      </c>
      <c r="R6" s="921">
        <v>1321100000000</v>
      </c>
      <c r="S6" s="911">
        <v>1278000000000</v>
      </c>
      <c r="T6" s="911">
        <v>1411000000000</v>
      </c>
      <c r="U6" s="912">
        <v>1584000000000</v>
      </c>
      <c r="V6" s="913">
        <v>1822000000000</v>
      </c>
      <c r="W6" s="913">
        <v>2043000000000</v>
      </c>
      <c r="X6" s="913">
        <v>2229000000000</v>
      </c>
      <c r="Y6" s="914">
        <v>2435000000000</v>
      </c>
      <c r="Z6" s="915"/>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row>
    <row r="7" spans="1:52" ht="16.5">
      <c r="A7" s="43" t="s">
        <v>36</v>
      </c>
      <c r="B7" s="90" t="s">
        <v>1139</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00">
        <v>999000000000</v>
      </c>
      <c r="Q7" s="900">
        <v>1117400000000</v>
      </c>
      <c r="R7" s="900">
        <v>1064700000000</v>
      </c>
      <c r="S7" s="898">
        <v>1048000000000</v>
      </c>
      <c r="T7" s="898">
        <v>1231000000000</v>
      </c>
      <c r="U7" s="896">
        <v>1389000000000</v>
      </c>
      <c r="V7" s="897">
        <v>1553000000000</v>
      </c>
      <c r="W7" s="897">
        <v>1730000000000</v>
      </c>
      <c r="X7" s="897">
        <v>1916000000000</v>
      </c>
      <c r="Y7" s="903">
        <v>2091000000000</v>
      </c>
      <c r="Z7" s="90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00">
        <v>890800000000</v>
      </c>
      <c r="Q8" s="900">
        <v>992600000000</v>
      </c>
      <c r="R8" s="900">
        <v>940700000000</v>
      </c>
      <c r="S8" s="898">
        <v>929000000000</v>
      </c>
      <c r="T8" s="898">
        <v>1075000000000</v>
      </c>
      <c r="U8" s="896">
        <v>1238000000000</v>
      </c>
      <c r="V8" s="897">
        <v>1404000000000</v>
      </c>
      <c r="W8" s="897">
        <v>1561000000000</v>
      </c>
      <c r="X8" s="897">
        <v>1733000000000</v>
      </c>
      <c r="Y8" s="903">
        <v>1915000000000</v>
      </c>
      <c r="Z8" s="904"/>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t="s">
        <v>76</v>
      </c>
      <c r="B9" s="90" t="s">
        <v>1212</v>
      </c>
      <c r="C9" s="90"/>
      <c r="E9" s="175"/>
      <c r="F9" s="175"/>
      <c r="G9" s="115"/>
      <c r="H9" s="115"/>
      <c r="I9" s="115"/>
      <c r="J9" s="115"/>
      <c r="K9" s="115"/>
      <c r="L9" s="115"/>
      <c r="M9" s="115"/>
      <c r="N9" s="115"/>
      <c r="O9" s="141">
        <v>86800000000</v>
      </c>
      <c r="P9" s="900">
        <v>90500000000</v>
      </c>
      <c r="Q9" s="900">
        <v>49400000000</v>
      </c>
      <c r="R9" s="900">
        <v>50000000000</v>
      </c>
      <c r="S9" s="898">
        <v>17000000000</v>
      </c>
      <c r="T9" s="898">
        <v>26000000000</v>
      </c>
      <c r="U9" s="897">
        <v>43000000000</v>
      </c>
      <c r="V9" s="897">
        <v>45000000000</v>
      </c>
      <c r="W9" s="897">
        <v>51000000000</v>
      </c>
      <c r="X9" s="897">
        <v>50000000000</v>
      </c>
      <c r="Y9" s="903">
        <v>58000000000</v>
      </c>
      <c r="Z9" s="90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1213</v>
      </c>
      <c r="B10" s="99" t="s">
        <v>1214</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898"/>
      <c r="Q10" s="898"/>
      <c r="R10" s="898"/>
      <c r="S10" s="898"/>
      <c r="T10" s="898"/>
      <c r="Y10" s="903"/>
      <c r="Z10" s="90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1215</v>
      </c>
      <c r="B11" s="99" t="s">
        <v>1216</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898"/>
      <c r="Q11" s="898"/>
      <c r="R11" s="898"/>
      <c r="S11" s="898"/>
      <c r="T11" s="898"/>
      <c r="Y11" s="903"/>
      <c r="Z11" s="90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ht="16.5">
      <c r="A12" s="43" t="s">
        <v>45</v>
      </c>
      <c r="B12" s="99" t="s">
        <v>1217</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898"/>
      <c r="Q12" s="898"/>
      <c r="R12" s="898"/>
      <c r="S12" s="898"/>
      <c r="T12" s="898"/>
      <c r="Y12" s="903"/>
      <c r="Z12" s="90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898"/>
      <c r="Q13" s="898"/>
      <c r="R13" s="898"/>
      <c r="S13" s="898"/>
      <c r="T13" s="898"/>
      <c r="Y13" s="903"/>
      <c r="Z13" s="90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c r="A14" s="90" t="s">
        <v>51</v>
      </c>
      <c r="B14" s="90" t="s">
        <v>843</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00">
        <v>108200000000</v>
      </c>
      <c r="Q14" s="900">
        <v>124800000000</v>
      </c>
      <c r="R14" s="900">
        <v>124000000000</v>
      </c>
      <c r="S14" s="898">
        <v>119000000000</v>
      </c>
      <c r="T14" s="898">
        <v>155000000000</v>
      </c>
      <c r="U14" s="897">
        <v>151000000000</v>
      </c>
      <c r="V14" s="897">
        <v>149000000000</v>
      </c>
      <c r="W14" s="897">
        <v>169000000000</v>
      </c>
      <c r="X14" s="897">
        <v>183000000000</v>
      </c>
      <c r="Y14" s="903">
        <v>176000000000</v>
      </c>
      <c r="Z14" s="90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c r="A15" t="s">
        <v>76</v>
      </c>
      <c r="B15" s="90" t="s">
        <v>1218</v>
      </c>
      <c r="C15" s="90"/>
      <c r="E15" s="175"/>
      <c r="F15" s="175"/>
      <c r="G15" s="115"/>
      <c r="H15" s="115"/>
      <c r="I15" s="115"/>
      <c r="J15" s="115"/>
      <c r="K15" s="115"/>
      <c r="L15" s="164">
        <v>2300000000</v>
      </c>
      <c r="M15" s="164">
        <v>5300000000</v>
      </c>
      <c r="N15" s="164">
        <v>12100000000</v>
      </c>
      <c r="O15" s="115">
        <v>17700000000</v>
      </c>
      <c r="P15" s="900">
        <v>40800000000</v>
      </c>
      <c r="Q15" s="900">
        <v>33600000000</v>
      </c>
      <c r="R15" s="900">
        <v>32000000000</v>
      </c>
      <c r="S15" s="898">
        <v>38000000000</v>
      </c>
      <c r="T15" s="898">
        <v>45000000000</v>
      </c>
      <c r="U15" s="896">
        <v>44000000000</v>
      </c>
      <c r="V15" s="897">
        <v>46000000000</v>
      </c>
      <c r="W15" s="897">
        <v>46000000000</v>
      </c>
      <c r="X15" s="897">
        <v>44000000000</v>
      </c>
      <c r="Y15" s="903">
        <v>46000000000</v>
      </c>
      <c r="Z15" s="90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s="848" customFormat="1" ht="16.5">
      <c r="A16" s="917" t="s">
        <v>53</v>
      </c>
      <c r="B16" s="918" t="s">
        <v>53</v>
      </c>
      <c r="C16" s="118" t="s">
        <v>38</v>
      </c>
      <c r="E16" s="910">
        <v>148300000000</v>
      </c>
      <c r="F16" s="910">
        <v>118600000000</v>
      </c>
      <c r="G16" s="910">
        <v>133000000000</v>
      </c>
      <c r="H16" s="919">
        <v>117300000000</v>
      </c>
      <c r="I16" s="919">
        <v>131500000000</v>
      </c>
      <c r="J16" s="919">
        <v>177600000000</v>
      </c>
      <c r="K16" s="919">
        <v>210300000000</v>
      </c>
      <c r="L16" s="919">
        <v>146900000000</v>
      </c>
      <c r="M16" s="919">
        <v>232400000000</v>
      </c>
      <c r="N16" s="919">
        <v>198900000000</v>
      </c>
      <c r="O16" s="920">
        <v>253700000000</v>
      </c>
      <c r="P16" s="921">
        <v>277500000000</v>
      </c>
      <c r="Q16" s="921">
        <v>324400000000</v>
      </c>
      <c r="R16" s="911">
        <v>256399999999.99997</v>
      </c>
      <c r="S16" s="911">
        <v>230000000000</v>
      </c>
      <c r="T16" s="911">
        <v>180000000000</v>
      </c>
      <c r="U16" s="912">
        <v>194000000000</v>
      </c>
      <c r="V16" s="913">
        <v>269000000000</v>
      </c>
      <c r="W16" s="913">
        <v>314000000000</v>
      </c>
      <c r="X16" s="913">
        <v>313000000000</v>
      </c>
      <c r="Y16" s="914">
        <v>344000000000</v>
      </c>
      <c r="Z16" s="915"/>
      <c r="AA16" s="916"/>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c r="AY16" s="916"/>
      <c r="AZ16" s="916"/>
    </row>
    <row r="17" spans="1:52" ht="16.5">
      <c r="A17" s="20" t="s">
        <v>564</v>
      </c>
      <c r="B17" s="152" t="s">
        <v>1219</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00">
        <v>111600000000</v>
      </c>
      <c r="Q17" s="900">
        <v>205200000000</v>
      </c>
      <c r="R17" s="898">
        <v>157500000000</v>
      </c>
      <c r="S17" s="898">
        <v>105000000000</v>
      </c>
      <c r="T17" s="898">
        <v>99000000000</v>
      </c>
      <c r="U17" s="896">
        <v>120000000000</v>
      </c>
      <c r="V17" s="897">
        <v>172000000000</v>
      </c>
      <c r="W17" s="897">
        <v>240000000000</v>
      </c>
      <c r="X17" s="897">
        <v>240000000000</v>
      </c>
      <c r="Y17" s="903">
        <v>265000000000</v>
      </c>
      <c r="Z17" s="90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564</v>
      </c>
      <c r="B18" s="152" t="s">
        <v>1220</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00">
        <v>165900000000</v>
      </c>
      <c r="Q18" s="900">
        <v>119100000000</v>
      </c>
      <c r="R18" s="898">
        <v>98900000000</v>
      </c>
      <c r="S18" s="898">
        <v>125000000000</v>
      </c>
      <c r="T18" s="898">
        <v>81000000000</v>
      </c>
      <c r="U18" s="896">
        <v>74000000000</v>
      </c>
      <c r="V18" s="897">
        <v>97000000000</v>
      </c>
      <c r="W18" s="897">
        <v>74000000000</v>
      </c>
      <c r="X18" s="897">
        <v>73000000000</v>
      </c>
      <c r="Y18" s="903">
        <v>78000000000</v>
      </c>
      <c r="Z18" s="90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ht="16.5">
      <c r="A19" t="s">
        <v>76</v>
      </c>
      <c r="B19" s="100" t="s">
        <v>1221</v>
      </c>
      <c r="C19" s="90"/>
      <c r="E19" s="175"/>
      <c r="F19" s="175"/>
      <c r="G19" s="115"/>
      <c r="H19" s="115"/>
      <c r="I19" s="115"/>
      <c r="J19" s="115"/>
      <c r="K19" s="115"/>
      <c r="L19" s="115"/>
      <c r="M19" s="115"/>
      <c r="N19" s="115"/>
      <c r="O19" s="115"/>
      <c r="P19" s="900"/>
      <c r="Q19" s="900"/>
      <c r="R19" s="898"/>
      <c r="S19" s="898"/>
      <c r="T19" s="898"/>
      <c r="U19" s="896"/>
      <c r="Y19" s="903"/>
      <c r="Z19" s="904"/>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00">
        <v>1452800000000</v>
      </c>
      <c r="Q20" s="900"/>
      <c r="R20" s="900"/>
      <c r="S20" s="898"/>
      <c r="T20" s="898"/>
      <c r="U20" s="896"/>
      <c r="Y20" s="903"/>
      <c r="Z20" s="90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s="848" customFormat="1">
      <c r="A21" s="848" t="s">
        <v>71</v>
      </c>
      <c r="B21" s="908" t="s">
        <v>379</v>
      </c>
      <c r="C21" s="909" t="s">
        <v>35</v>
      </c>
      <c r="D21" s="909"/>
      <c r="E21" s="910">
        <f>E22+E35+E43</f>
        <v>459300000000</v>
      </c>
      <c r="F21" s="910">
        <f t="shared" ref="F21:H21" si="0">F22+F35+F43</f>
        <v>489200000000</v>
      </c>
      <c r="G21" s="910">
        <f t="shared" si="0"/>
        <v>508000000000</v>
      </c>
      <c r="H21" s="910">
        <f t="shared" si="0"/>
        <v>582300000000</v>
      </c>
      <c r="I21" s="910">
        <f>I22+I35+I43</f>
        <v>655100000000</v>
      </c>
      <c r="J21" s="910">
        <f t="shared" ref="J21:M21" si="1">J22+J35+J43</f>
        <v>748300000000</v>
      </c>
      <c r="K21" s="910">
        <f t="shared" si="1"/>
        <v>834800000000</v>
      </c>
      <c r="L21" s="910">
        <f t="shared" si="1"/>
        <v>795300000000</v>
      </c>
      <c r="M21" s="910">
        <f t="shared" si="1"/>
        <v>959700000000</v>
      </c>
      <c r="N21" s="910">
        <f t="shared" ref="N21" si="2">N22+N35+N43</f>
        <v>1062100000000</v>
      </c>
      <c r="O21" s="910">
        <f t="shared" ref="O21" si="3">O22+O35+O43</f>
        <v>1119600000000</v>
      </c>
      <c r="P21" s="910">
        <f t="shared" ref="P21:Q21" si="4">P22+P35+P43</f>
        <v>1453800000000</v>
      </c>
      <c r="Q21" s="910">
        <f t="shared" si="4"/>
        <v>1677300000000</v>
      </c>
      <c r="R21" s="910">
        <f t="shared" ref="R21" si="5">R22+R35+R43</f>
        <v>1440800000000</v>
      </c>
      <c r="S21" s="910">
        <f t="shared" ref="S21" si="6">S22+S35+S43</f>
        <v>1424000000000</v>
      </c>
      <c r="T21" s="910">
        <f t="shared" ref="T21" si="7">T22+T35+T43</f>
        <v>1645000000000</v>
      </c>
      <c r="U21" s="910">
        <f t="shared" ref="U21" si="8">U22+U35+U43</f>
        <v>2183000000000</v>
      </c>
      <c r="V21" s="910">
        <f t="shared" ref="V21" si="9">V22+V35+V43</f>
        <v>2220000000000</v>
      </c>
      <c r="W21" s="913">
        <v>2303000000000</v>
      </c>
      <c r="X21" s="913">
        <v>2509000000000</v>
      </c>
      <c r="Y21" s="914">
        <v>2738000000000</v>
      </c>
      <c r="Z21" s="915"/>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c r="AY21" s="916"/>
      <c r="AZ21" s="916"/>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898">
        <v>828700000000</v>
      </c>
      <c r="Q22" s="898">
        <v>818900000000</v>
      </c>
      <c r="R22" s="898">
        <v>886700000000</v>
      </c>
      <c r="S22" s="898">
        <v>923000000000</v>
      </c>
      <c r="T22" s="898">
        <v>1119000000000</v>
      </c>
      <c r="U22" s="896">
        <v>1264000000000</v>
      </c>
      <c r="V22" s="897">
        <v>1372000000000</v>
      </c>
      <c r="W22" s="897">
        <v>1378000000000</v>
      </c>
      <c r="X22" s="897">
        <v>1461000000000</v>
      </c>
      <c r="Y22" s="903">
        <v>1586000000000</v>
      </c>
      <c r="Z22" s="90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898">
        <v>332300000000</v>
      </c>
      <c r="Q23" s="898">
        <v>355500000000</v>
      </c>
      <c r="R23" s="898">
        <v>437300000000</v>
      </c>
      <c r="S23" s="898">
        <v>469000000000</v>
      </c>
      <c r="T23" s="898">
        <v>554000000000</v>
      </c>
      <c r="U23" s="896">
        <v>618000000000</v>
      </c>
      <c r="V23" s="897">
        <v>669000000000</v>
      </c>
      <c r="W23" s="897">
        <v>710000000000</v>
      </c>
      <c r="X23" s="897">
        <v>743000000000</v>
      </c>
      <c r="Y23" s="903">
        <v>802000000000</v>
      </c>
      <c r="Z23" s="904"/>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898">
        <v>120600000000</v>
      </c>
      <c r="Q24" s="898">
        <v>118600000000</v>
      </c>
      <c r="R24" s="898">
        <v>102400000000</v>
      </c>
      <c r="S24" s="898">
        <v>109000000000</v>
      </c>
      <c r="T24" s="898">
        <v>128000000000</v>
      </c>
      <c r="U24" s="896">
        <v>139000000000</v>
      </c>
      <c r="V24" s="897">
        <v>167000000000</v>
      </c>
      <c r="W24" s="897">
        <v>145000000000</v>
      </c>
      <c r="X24" s="897">
        <v>147000000000</v>
      </c>
      <c r="Y24" s="903">
        <v>159000000000</v>
      </c>
      <c r="Z24" s="904"/>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20" t="s">
        <v>391</v>
      </c>
      <c r="B25" s="99" t="s">
        <v>1222</v>
      </c>
      <c r="C25" s="11" t="s">
        <v>81</v>
      </c>
      <c r="D25" s="90"/>
      <c r="E25" s="158">
        <v>0</v>
      </c>
      <c r="F25" s="158">
        <v>5100000000</v>
      </c>
      <c r="G25" s="158"/>
      <c r="H25" s="158"/>
      <c r="I25" s="158"/>
      <c r="J25" s="158"/>
      <c r="K25" s="158"/>
      <c r="L25" s="158"/>
      <c r="M25" s="158"/>
      <c r="N25" s="158"/>
      <c r="O25" s="158"/>
      <c r="P25" s="898"/>
      <c r="Q25" s="898"/>
      <c r="R25" s="898"/>
      <c r="S25" s="898"/>
      <c r="T25" s="898"/>
      <c r="U25" s="896"/>
      <c r="Y25" s="903"/>
      <c r="Z25" s="904"/>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898">
        <v>41800000000</v>
      </c>
      <c r="Q26" s="898">
        <v>34700000000</v>
      </c>
      <c r="R26" s="898">
        <v>44000000000</v>
      </c>
      <c r="S26" s="898">
        <v>44000000000</v>
      </c>
      <c r="T26" s="898">
        <v>65000000000</v>
      </c>
      <c r="U26" s="897">
        <v>69000000000</v>
      </c>
      <c r="V26" s="897">
        <v>100000000000</v>
      </c>
      <c r="W26" s="897">
        <v>106000000000</v>
      </c>
      <c r="X26" s="897">
        <v>120000000000</v>
      </c>
      <c r="Y26" s="903">
        <v>137000000000</v>
      </c>
      <c r="Z26" s="90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898">
        <v>28800000000</v>
      </c>
      <c r="Q27" s="898">
        <v>21900000000</v>
      </c>
      <c r="R27" s="898">
        <v>29300000000</v>
      </c>
      <c r="S27" s="898">
        <v>28000000000</v>
      </c>
      <c r="T27" s="898">
        <v>49000000000</v>
      </c>
      <c r="U27" s="897">
        <v>49000000000</v>
      </c>
      <c r="V27" s="897">
        <v>67000000000</v>
      </c>
      <c r="W27" s="897">
        <v>82000000000</v>
      </c>
      <c r="X27" s="897">
        <v>94000000000</v>
      </c>
      <c r="Y27" s="903">
        <v>107000000000</v>
      </c>
      <c r="Z27" s="90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898">
        <v>13000000000</v>
      </c>
      <c r="Q28" s="898">
        <v>12800000000</v>
      </c>
      <c r="R28" s="898">
        <v>14700000000</v>
      </c>
      <c r="S28" s="898">
        <v>16000000000</v>
      </c>
      <c r="T28" s="898">
        <v>17000000000</v>
      </c>
      <c r="U28" s="897">
        <v>20000000000</v>
      </c>
      <c r="V28" s="897">
        <v>34000000000</v>
      </c>
      <c r="W28" s="897">
        <v>24000000000</v>
      </c>
      <c r="X28" s="897">
        <v>27000000000</v>
      </c>
      <c r="Y28" s="903">
        <v>30000000000</v>
      </c>
      <c r="Z28" s="904"/>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20" t="s">
        <v>895</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898">
        <v>333900000000</v>
      </c>
      <c r="Q29" s="898">
        <v>310100000000</v>
      </c>
      <c r="R29" s="898">
        <v>303000000000</v>
      </c>
      <c r="S29" s="898">
        <v>301000000000</v>
      </c>
      <c r="T29" s="898">
        <v>371000000000</v>
      </c>
      <c r="U29" s="896">
        <v>438000000000</v>
      </c>
      <c r="V29" s="897">
        <v>436000000000</v>
      </c>
      <c r="W29" s="897">
        <v>417000000000</v>
      </c>
      <c r="X29" s="897">
        <v>451000000000</v>
      </c>
      <c r="Y29" s="903">
        <v>487000000000</v>
      </c>
      <c r="Z29" s="904"/>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c r="A30" s="90" t="s">
        <v>1223</v>
      </c>
      <c r="B30" s="90" t="s">
        <v>1224</v>
      </c>
      <c r="C30" s="11" t="s">
        <v>81</v>
      </c>
      <c r="D30" s="90"/>
      <c r="E30" s="158">
        <v>2600000000</v>
      </c>
      <c r="F30" s="158">
        <v>1500000000</v>
      </c>
      <c r="G30" s="158">
        <v>1000000000</v>
      </c>
      <c r="H30" s="164"/>
      <c r="I30" s="164"/>
      <c r="J30" s="164"/>
      <c r="K30" s="164"/>
      <c r="L30" s="164"/>
      <c r="M30" s="164"/>
      <c r="N30" s="164"/>
      <c r="O30" s="164"/>
      <c r="P30" s="898"/>
      <c r="Q30" s="898"/>
      <c r="R30" s="898"/>
      <c r="S30" s="898"/>
      <c r="T30" s="898"/>
      <c r="U30" s="896"/>
      <c r="Y30" s="903"/>
      <c r="Z30" s="904"/>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ht="16.5">
      <c r="A31" t="s">
        <v>76</v>
      </c>
      <c r="B31" s="100" t="s">
        <v>1225</v>
      </c>
      <c r="C31" s="90"/>
      <c r="D31" s="90"/>
      <c r="E31" s="115"/>
      <c r="F31" s="115"/>
      <c r="G31" s="115"/>
      <c r="H31" s="115"/>
      <c r="I31" s="115"/>
      <c r="J31" s="115"/>
      <c r="K31" s="115"/>
      <c r="L31" s="115"/>
      <c r="M31" s="115"/>
      <c r="N31" s="115"/>
      <c r="O31" s="141">
        <v>17600000000</v>
      </c>
      <c r="P31" s="898">
        <v>73500000000</v>
      </c>
      <c r="Q31" s="898"/>
      <c r="R31" s="898"/>
      <c r="S31" s="898"/>
      <c r="T31" s="898"/>
      <c r="Y31" s="903"/>
      <c r="Z31" s="90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ht="16.5">
      <c r="A32" t="s">
        <v>76</v>
      </c>
      <c r="B32" s="100" t="s">
        <v>1226</v>
      </c>
      <c r="C32" s="90"/>
      <c r="D32" s="90"/>
      <c r="E32" s="115"/>
      <c r="F32" s="115"/>
      <c r="G32" s="115"/>
      <c r="H32" s="115"/>
      <c r="I32" s="115"/>
      <c r="J32" s="115"/>
      <c r="K32" s="115"/>
      <c r="L32" s="115"/>
      <c r="M32" s="115"/>
      <c r="N32" s="115"/>
      <c r="O32" s="141">
        <v>36000000000</v>
      </c>
      <c r="P32" s="898">
        <v>50700000000</v>
      </c>
      <c r="Q32" s="898"/>
      <c r="R32" s="898"/>
      <c r="S32" s="898"/>
      <c r="T32" s="898"/>
      <c r="Y32" s="903"/>
      <c r="Z32" s="90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ht="16.5">
      <c r="A33" t="s">
        <v>76</v>
      </c>
      <c r="B33" s="100" t="s">
        <v>1227</v>
      </c>
      <c r="C33" s="90"/>
      <c r="D33" s="90"/>
      <c r="E33" s="115"/>
      <c r="F33" s="115"/>
      <c r="G33" s="115"/>
      <c r="H33" s="115"/>
      <c r="I33" s="115"/>
      <c r="J33" s="115"/>
      <c r="K33" s="115"/>
      <c r="L33" s="115"/>
      <c r="M33" s="115"/>
      <c r="N33" s="115"/>
      <c r="O33" s="141" t="s">
        <v>78</v>
      </c>
      <c r="P33" s="898" t="s">
        <v>78</v>
      </c>
      <c r="Q33" s="898"/>
      <c r="R33" s="898"/>
      <c r="S33" s="898"/>
      <c r="T33" s="898"/>
      <c r="Y33" s="903"/>
      <c r="Z33" s="904"/>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ht="16.5">
      <c r="A34" t="s">
        <v>76</v>
      </c>
      <c r="B34" s="100" t="s">
        <v>1228</v>
      </c>
      <c r="C34" s="90"/>
      <c r="D34" s="90"/>
      <c r="E34" s="115"/>
      <c r="F34" s="115"/>
      <c r="G34" s="115"/>
      <c r="H34" s="115"/>
      <c r="I34" s="115"/>
      <c r="J34" s="115"/>
      <c r="K34" s="115"/>
      <c r="L34" s="115"/>
      <c r="M34" s="115"/>
      <c r="N34" s="115"/>
      <c r="O34" s="141" t="s">
        <v>78</v>
      </c>
      <c r="P34" s="898">
        <v>0</v>
      </c>
      <c r="Q34" s="898"/>
      <c r="R34" s="898"/>
      <c r="S34" s="898"/>
      <c r="T34" s="898"/>
      <c r="U34" s="896"/>
      <c r="Y34" s="903"/>
      <c r="Z34" s="904"/>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90" t="s">
        <v>1229</v>
      </c>
      <c r="B35" s="90" t="s">
        <v>1230</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898">
        <v>625100000000</v>
      </c>
      <c r="Q35" s="898">
        <v>858400000000</v>
      </c>
      <c r="R35" s="898">
        <v>554100000000</v>
      </c>
      <c r="S35" s="898">
        <v>501000000000</v>
      </c>
      <c r="T35" s="898">
        <v>526000000000</v>
      </c>
      <c r="U35" s="896">
        <v>919000000000</v>
      </c>
      <c r="V35" s="897">
        <v>848000000000</v>
      </c>
      <c r="W35" s="897">
        <v>925000000000</v>
      </c>
      <c r="X35" s="897">
        <v>1049000000000</v>
      </c>
      <c r="Y35" s="903">
        <v>1152000000000</v>
      </c>
      <c r="Z35" s="90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ht="16.5">
      <c r="A36" s="99" t="s">
        <v>239</v>
      </c>
      <c r="B36" s="99" t="s">
        <v>1231</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898">
        <v>407900000000</v>
      </c>
      <c r="Q36" s="898">
        <v>592700000000</v>
      </c>
      <c r="R36" s="898">
        <v>338400000000</v>
      </c>
      <c r="S36" s="898">
        <v>349000000000</v>
      </c>
      <c r="T36" s="898">
        <v>346000000000</v>
      </c>
      <c r="U36" s="896">
        <v>675000000000</v>
      </c>
      <c r="V36" s="897">
        <v>542000000000</v>
      </c>
      <c r="W36" s="897">
        <v>540000000000</v>
      </c>
      <c r="X36" s="897">
        <v>662000000000</v>
      </c>
      <c r="Y36" s="903">
        <v>714000000000</v>
      </c>
      <c r="Z36" s="904"/>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ht="16.5">
      <c r="A37" s="100" t="s">
        <v>1232</v>
      </c>
      <c r="B37" s="100" t="s">
        <v>1233</v>
      </c>
      <c r="C37" s="90" t="s">
        <v>1234</v>
      </c>
      <c r="D37" s="90"/>
      <c r="E37" s="115"/>
      <c r="F37" s="115"/>
      <c r="G37" s="115"/>
      <c r="H37" s="115"/>
      <c r="I37" s="115"/>
      <c r="J37" s="115"/>
      <c r="K37" s="164">
        <v>32900000000</v>
      </c>
      <c r="L37" s="164">
        <v>6200000000</v>
      </c>
      <c r="M37" s="164">
        <v>25400000000</v>
      </c>
      <c r="N37" s="164">
        <v>3800000000</v>
      </c>
      <c r="O37" s="115"/>
      <c r="P37" s="898">
        <v>5500000000</v>
      </c>
      <c r="Q37" s="898"/>
      <c r="R37" s="898"/>
      <c r="S37" s="898"/>
      <c r="T37" s="898"/>
      <c r="Y37" s="903"/>
      <c r="Z37" s="904"/>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c r="A38" s="126" t="s">
        <v>1235</v>
      </c>
      <c r="B38" s="126" t="s">
        <v>1235</v>
      </c>
      <c r="C38" s="117" t="s">
        <v>1234</v>
      </c>
      <c r="D38" s="90"/>
      <c r="E38" s="115"/>
      <c r="F38" s="115"/>
      <c r="G38" s="115"/>
      <c r="H38" s="115"/>
      <c r="I38" s="115"/>
      <c r="J38" s="115"/>
      <c r="K38" s="164">
        <v>18800000000</v>
      </c>
      <c r="L38" s="164">
        <v>27100000000</v>
      </c>
      <c r="M38" s="164">
        <v>36500000000</v>
      </c>
      <c r="N38" s="164">
        <v>29000000000</v>
      </c>
      <c r="O38" s="115"/>
      <c r="P38" s="900"/>
      <c r="Q38" s="900"/>
      <c r="R38" s="900"/>
      <c r="S38" s="900"/>
      <c r="T38" s="900"/>
      <c r="Y38" s="903"/>
      <c r="Z38" s="904"/>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c r="A39" s="100" t="s">
        <v>1236</v>
      </c>
      <c r="B39" s="100" t="s">
        <v>1237</v>
      </c>
      <c r="C39" s="117" t="s">
        <v>1234</v>
      </c>
      <c r="D39" s="90"/>
      <c r="E39" s="115"/>
      <c r="F39" s="115"/>
      <c r="G39" s="115"/>
      <c r="H39" s="115"/>
      <c r="I39" s="115"/>
      <c r="J39" s="115"/>
      <c r="K39" s="164">
        <v>124000000000</v>
      </c>
      <c r="L39" s="164">
        <v>167200000000</v>
      </c>
      <c r="M39" s="164">
        <v>199200000000</v>
      </c>
      <c r="N39" s="164">
        <v>294600000000</v>
      </c>
      <c r="O39" s="115"/>
      <c r="P39" s="900">
        <f>P36-P37</f>
        <v>402400000000</v>
      </c>
      <c r="Q39" s="900"/>
      <c r="R39" s="900"/>
      <c r="S39" s="900"/>
      <c r="T39" s="900"/>
      <c r="Y39" s="903"/>
      <c r="Z39" s="904"/>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76</v>
      </c>
      <c r="B40" s="100" t="s">
        <v>1238</v>
      </c>
      <c r="C40" s="117"/>
      <c r="D40" s="90"/>
      <c r="E40" s="115"/>
      <c r="F40" s="115"/>
      <c r="G40" s="115"/>
      <c r="H40" s="115"/>
      <c r="I40" s="115"/>
      <c r="J40" s="115"/>
      <c r="K40" s="164"/>
      <c r="L40" s="115"/>
      <c r="M40" s="115"/>
      <c r="N40" s="115"/>
      <c r="O40" s="115"/>
      <c r="P40" s="900"/>
      <c r="Q40" s="898"/>
      <c r="R40" s="898"/>
      <c r="S40" s="900"/>
      <c r="T40" s="900"/>
      <c r="U40" s="896"/>
      <c r="Y40" s="903"/>
      <c r="Z40" s="904"/>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t="s">
        <v>76</v>
      </c>
      <c r="B41" s="100" t="s">
        <v>1239</v>
      </c>
      <c r="C41" s="117"/>
      <c r="D41" s="90"/>
      <c r="E41" s="115"/>
      <c r="F41" s="115"/>
      <c r="G41" s="115"/>
      <c r="H41" s="115"/>
      <c r="I41" s="115"/>
      <c r="J41" s="115"/>
      <c r="K41" s="115"/>
      <c r="L41" s="115"/>
      <c r="M41" s="115"/>
      <c r="N41" s="115"/>
      <c r="O41" s="115"/>
      <c r="P41" s="900"/>
      <c r="Q41" s="898"/>
      <c r="R41" s="898"/>
      <c r="S41" s="898"/>
      <c r="T41" s="898"/>
      <c r="U41" s="896"/>
      <c r="Y41" s="903"/>
      <c r="Z41" s="904"/>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99" t="s">
        <v>395</v>
      </c>
      <c r="B42" s="99" t="s">
        <v>1240</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898">
        <v>217100000000</v>
      </c>
      <c r="Q42" s="898">
        <v>265700000000</v>
      </c>
      <c r="R42" s="898">
        <v>215700000000</v>
      </c>
      <c r="S42" s="898">
        <v>152000000000</v>
      </c>
      <c r="T42" s="898">
        <v>181000000000</v>
      </c>
      <c r="U42" s="896">
        <v>244000000000</v>
      </c>
      <c r="V42" s="897">
        <v>306000000000</v>
      </c>
      <c r="W42" s="897">
        <v>384000000000</v>
      </c>
      <c r="X42" s="897">
        <v>387000000000</v>
      </c>
      <c r="Y42" s="903">
        <v>438000000000</v>
      </c>
      <c r="Z42" s="904"/>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ht="16.5">
      <c r="A43" s="90" t="s">
        <v>612</v>
      </c>
      <c r="B43" s="90" t="s">
        <v>1159</v>
      </c>
      <c r="C43" s="11" t="s">
        <v>75</v>
      </c>
      <c r="D43" s="90"/>
      <c r="E43" s="2733">
        <v>0</v>
      </c>
      <c r="F43" s="2733">
        <v>0</v>
      </c>
      <c r="G43" s="115">
        <v>24000000000</v>
      </c>
      <c r="H43" s="2732">
        <v>0</v>
      </c>
      <c r="I43" s="2732">
        <v>0</v>
      </c>
      <c r="J43" s="2732">
        <v>0</v>
      </c>
      <c r="K43" s="164">
        <v>1200000000</v>
      </c>
      <c r="L43" s="164">
        <v>11600000000</v>
      </c>
      <c r="M43" s="164">
        <v>3200000000</v>
      </c>
      <c r="N43" s="2732">
        <v>0</v>
      </c>
      <c r="O43" s="141">
        <v>2700000000</v>
      </c>
      <c r="P43" s="2730">
        <v>0</v>
      </c>
      <c r="Q43" s="2730">
        <v>0</v>
      </c>
      <c r="R43" s="2730">
        <v>0</v>
      </c>
      <c r="S43" s="2730">
        <v>0</v>
      </c>
      <c r="T43" s="2730">
        <v>0</v>
      </c>
      <c r="U43" s="2731">
        <v>0</v>
      </c>
      <c r="V43" s="2731">
        <v>0</v>
      </c>
      <c r="W43" s="897">
        <v>0</v>
      </c>
      <c r="X43" s="897">
        <v>0</v>
      </c>
      <c r="Y43" s="903">
        <v>0</v>
      </c>
      <c r="Z43" s="904"/>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ht="16.5">
      <c r="A44" s="90"/>
      <c r="B44" s="90" t="s">
        <v>1241</v>
      </c>
      <c r="C44" s="11"/>
      <c r="D44" s="90"/>
      <c r="E44" s="158"/>
      <c r="F44" s="158"/>
      <c r="G44" s="115"/>
      <c r="H44" s="164"/>
      <c r="I44" s="164"/>
      <c r="J44" s="164"/>
      <c r="K44" s="164"/>
      <c r="L44" s="164"/>
      <c r="M44" s="164"/>
      <c r="N44" s="21">
        <v>67600000000</v>
      </c>
      <c r="O44" s="141">
        <v>46400000000</v>
      </c>
      <c r="P44" s="898"/>
      <c r="Q44" s="898"/>
      <c r="R44" s="898"/>
      <c r="S44" s="898"/>
      <c r="T44" s="898"/>
      <c r="Y44" s="903"/>
      <c r="Z44" s="90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ht="16.5">
      <c r="A45" t="s">
        <v>76</v>
      </c>
      <c r="B45" s="90" t="s">
        <v>857</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898">
        <v>-176300000000</v>
      </c>
      <c r="Q45" s="898">
        <v>-210800000000</v>
      </c>
      <c r="R45" s="898">
        <v>-113400000000</v>
      </c>
      <c r="S45" s="898">
        <v>-134000000000</v>
      </c>
      <c r="T45" s="898">
        <v>-226000000000</v>
      </c>
      <c r="U45" s="896">
        <v>-596000000000</v>
      </c>
      <c r="V45" s="897">
        <v>-395000000000</v>
      </c>
      <c r="W45" s="897">
        <v>-260000000000</v>
      </c>
      <c r="X45" s="897">
        <v>-281000000000</v>
      </c>
      <c r="Y45" s="903">
        <v>-304000000000</v>
      </c>
      <c r="Z45" s="904"/>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ht="16.5">
      <c r="A46" t="s">
        <v>76</v>
      </c>
      <c r="B46" s="90" t="s">
        <v>685</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898"/>
      <c r="Q46" s="898"/>
      <c r="R46" s="898"/>
      <c r="S46" s="898">
        <v>-89000000000</v>
      </c>
      <c r="T46" s="898">
        <v>87000000000</v>
      </c>
      <c r="U46" s="896">
        <v>160000000000</v>
      </c>
      <c r="V46" s="897">
        <v>0</v>
      </c>
      <c r="W46" s="897">
        <v>0</v>
      </c>
      <c r="X46" s="897">
        <v>0</v>
      </c>
      <c r="Y46" s="903">
        <v>0</v>
      </c>
      <c r="Z46" s="90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ht="16.5">
      <c r="A47" t="s">
        <v>76</v>
      </c>
      <c r="B47" s="90" t="s">
        <v>1242</v>
      </c>
      <c r="C47" s="90"/>
      <c r="D47" s="90"/>
      <c r="E47" s="230"/>
      <c r="F47" s="230"/>
      <c r="G47" s="115"/>
      <c r="H47" s="115"/>
      <c r="I47" s="115"/>
      <c r="J47" s="115"/>
      <c r="K47" s="164">
        <v>-173800000000</v>
      </c>
      <c r="L47" s="164">
        <v>-170700000000</v>
      </c>
      <c r="M47" s="164">
        <v>-207300000000</v>
      </c>
      <c r="N47" s="164">
        <v>-217100000000</v>
      </c>
      <c r="O47" s="141"/>
      <c r="P47" s="898"/>
      <c r="Q47" s="898"/>
      <c r="R47" s="898"/>
      <c r="S47" s="898"/>
      <c r="T47" s="898"/>
      <c r="U47" s="896"/>
      <c r="Y47" s="903"/>
      <c r="Z47" s="90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ht="16.5">
      <c r="A48" t="s">
        <v>76</v>
      </c>
      <c r="B48" s="90" t="s">
        <v>1243</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898">
        <v>19500000000</v>
      </c>
      <c r="Q48" s="898">
        <v>50800000000</v>
      </c>
      <c r="R48" s="898">
        <v>75900000000</v>
      </c>
      <c r="S48" s="898"/>
      <c r="T48" s="898"/>
      <c r="Y48" s="903"/>
      <c r="Z48" s="90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ht="16.5">
      <c r="A49" t="s">
        <v>76</v>
      </c>
      <c r="B49" s="90" t="s">
        <v>1244</v>
      </c>
      <c r="C49" s="90"/>
      <c r="E49" s="158">
        <v>0</v>
      </c>
      <c r="F49" s="158">
        <v>-3200000000</v>
      </c>
      <c r="G49" s="115"/>
      <c r="H49" s="115"/>
      <c r="I49" s="115"/>
      <c r="J49" s="164">
        <v>0</v>
      </c>
      <c r="K49" s="164">
        <v>0</v>
      </c>
      <c r="L49" s="164">
        <v>0</v>
      </c>
      <c r="M49" s="164">
        <v>-16700000000</v>
      </c>
      <c r="N49" s="164">
        <v>0</v>
      </c>
      <c r="O49" s="141"/>
      <c r="P49" s="898"/>
      <c r="Q49" s="898"/>
      <c r="R49" s="898"/>
      <c r="S49" s="898"/>
      <c r="T49" s="898"/>
      <c r="Y49" s="903"/>
      <c r="Z49" s="904"/>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t="s">
        <v>76</v>
      </c>
      <c r="B50" s="90" t="s">
        <v>1245</v>
      </c>
      <c r="C50" s="90"/>
      <c r="E50" s="158">
        <v>14800000000</v>
      </c>
      <c r="F50" s="158">
        <v>12300000000</v>
      </c>
      <c r="G50" s="115"/>
      <c r="H50" s="115"/>
      <c r="I50" s="115"/>
      <c r="J50" s="164">
        <v>23400000000</v>
      </c>
      <c r="K50" s="164">
        <v>8800000000</v>
      </c>
      <c r="L50" s="164">
        <v>-36900000000</v>
      </c>
      <c r="M50" s="164">
        <v>56100000000</v>
      </c>
      <c r="N50" s="164">
        <v>20200000000</v>
      </c>
      <c r="O50" s="141"/>
      <c r="P50" s="898"/>
      <c r="Q50" s="898"/>
      <c r="R50" s="898"/>
      <c r="S50" s="898"/>
      <c r="T50" s="898"/>
      <c r="Y50" s="903"/>
      <c r="Z50" s="904"/>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t="s">
        <v>76</v>
      </c>
      <c r="B51" s="90" t="s">
        <v>1246</v>
      </c>
      <c r="C51" s="90"/>
      <c r="E51" s="158">
        <v>0</v>
      </c>
      <c r="F51" s="158">
        <v>0</v>
      </c>
      <c r="G51" s="115"/>
      <c r="H51" s="115">
        <v>1400000000</v>
      </c>
      <c r="I51" s="115">
        <v>6300000000</v>
      </c>
      <c r="J51" s="164">
        <v>6900000000</v>
      </c>
      <c r="K51" s="164">
        <v>-2900000000</v>
      </c>
      <c r="L51" s="164">
        <v>1900000000</v>
      </c>
      <c r="M51" s="164">
        <v>63600000000</v>
      </c>
      <c r="N51" s="164">
        <v>-24100000000</v>
      </c>
      <c r="O51" s="141"/>
      <c r="P51" s="898"/>
      <c r="Q51" s="898"/>
      <c r="R51" s="898"/>
      <c r="S51" s="898"/>
      <c r="T51" s="898"/>
      <c r="Y51" s="903"/>
      <c r="Z51" s="904"/>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t="s">
        <v>76</v>
      </c>
      <c r="B52" s="90" t="s">
        <v>1247</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898"/>
      <c r="Q52" s="898"/>
      <c r="R52" s="898"/>
      <c r="S52" s="898"/>
      <c r="T52" s="898"/>
      <c r="Y52" s="903"/>
      <c r="Z52" s="90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ht="16.5">
      <c r="A53" t="s">
        <v>76</v>
      </c>
      <c r="B53" s="90" t="s">
        <v>1248</v>
      </c>
      <c r="C53" s="90"/>
      <c r="E53" s="175"/>
      <c r="F53" s="175"/>
      <c r="G53" s="115"/>
      <c r="H53" s="115"/>
      <c r="I53" s="115"/>
      <c r="J53" s="164">
        <v>0</v>
      </c>
      <c r="K53" s="164">
        <v>4000000000</v>
      </c>
      <c r="L53" s="164">
        <v>0</v>
      </c>
      <c r="M53" s="164">
        <v>-11600000000</v>
      </c>
      <c r="N53" s="164">
        <v>7000000000</v>
      </c>
      <c r="O53" s="141"/>
      <c r="P53" s="898"/>
      <c r="Q53" s="898"/>
      <c r="R53" s="898"/>
      <c r="S53" s="898"/>
      <c r="T53" s="898"/>
      <c r="Y53" s="903"/>
      <c r="Z53" s="90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90" t="s">
        <v>1249</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898">
        <v>-156800000000</v>
      </c>
      <c r="Q54" s="898">
        <v>-160000000000</v>
      </c>
      <c r="R54" s="898">
        <v>-37500000000</v>
      </c>
      <c r="S54" s="898">
        <v>-223000000000</v>
      </c>
      <c r="T54" s="898">
        <v>-139000000000</v>
      </c>
      <c r="U54" s="896">
        <v>-436000000000</v>
      </c>
      <c r="V54" s="897">
        <v>-395000000000</v>
      </c>
      <c r="W54" s="897">
        <v>-260000000000</v>
      </c>
      <c r="X54" s="897">
        <v>-281000000000</v>
      </c>
      <c r="Y54" s="903">
        <v>-304000000000</v>
      </c>
      <c r="Z54" s="90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90" t="s">
        <v>1250</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898"/>
      <c r="Q55" s="898"/>
      <c r="R55" s="898"/>
      <c r="S55" s="898"/>
      <c r="T55" s="898"/>
      <c r="U55" s="896"/>
      <c r="Y55" s="903"/>
      <c r="Z55" s="90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ht="16.5">
      <c r="A56" t="s">
        <v>76</v>
      </c>
      <c r="B56" s="90" t="s">
        <v>1251</v>
      </c>
      <c r="C56" s="90"/>
      <c r="D56" s="90"/>
      <c r="E56" s="175"/>
      <c r="F56" s="175"/>
      <c r="G56" s="115"/>
      <c r="H56" s="115"/>
      <c r="I56" s="115"/>
      <c r="J56" s="115"/>
      <c r="K56" s="164">
        <v>-169700000000</v>
      </c>
      <c r="L56" s="164">
        <v>-154900000000</v>
      </c>
      <c r="M56" s="164">
        <v>-111800000000</v>
      </c>
      <c r="N56" s="164">
        <v>-172600000000</v>
      </c>
      <c r="O56" s="141"/>
      <c r="P56" s="898"/>
      <c r="Q56" s="898"/>
      <c r="R56" s="898"/>
      <c r="S56" s="898"/>
      <c r="T56" s="898"/>
      <c r="U56" s="896"/>
      <c r="Y56" s="903"/>
      <c r="Z56" s="904"/>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s="15" customFormat="1" ht="16.5">
      <c r="A57" s="909" t="s">
        <v>115</v>
      </c>
      <c r="B57" s="909" t="s">
        <v>115</v>
      </c>
      <c r="C57" s="909" t="s">
        <v>35</v>
      </c>
      <c r="D57" s="909"/>
      <c r="E57" s="910">
        <f>81000000000+E66</f>
        <v>107500000000</v>
      </c>
      <c r="F57" s="910">
        <v>110100000000</v>
      </c>
      <c r="G57" s="910">
        <v>73000000000</v>
      </c>
      <c r="H57" s="919">
        <v>108400000000</v>
      </c>
      <c r="I57" s="919">
        <v>121600000000</v>
      </c>
      <c r="J57" s="919">
        <v>131900000000</v>
      </c>
      <c r="K57" s="919">
        <v>168000000000</v>
      </c>
      <c r="L57" s="919">
        <v>143400000000</v>
      </c>
      <c r="M57" s="919">
        <v>98900000000</v>
      </c>
      <c r="N57" s="919">
        <v>194900000000</v>
      </c>
      <c r="O57" s="920">
        <v>105100000000</v>
      </c>
      <c r="P57" s="911">
        <v>150200000000</v>
      </c>
      <c r="Q57" s="911">
        <v>162500000000</v>
      </c>
      <c r="R57" s="911">
        <v>42000000000</v>
      </c>
      <c r="S57" s="911">
        <v>221000000000</v>
      </c>
      <c r="T57" s="906">
        <f>T58+T67</f>
        <v>156800000000</v>
      </c>
      <c r="U57" s="906">
        <f>U58+U67</f>
        <v>444000000000</v>
      </c>
      <c r="V57" s="906">
        <f t="shared" ref="V57:Y57" si="10">V58+V67</f>
        <v>396000000000</v>
      </c>
      <c r="W57" s="906">
        <f t="shared" si="10"/>
        <v>259000000000</v>
      </c>
      <c r="X57" s="906">
        <f t="shared" si="10"/>
        <v>281000000000</v>
      </c>
      <c r="Y57" s="906">
        <f t="shared" si="10"/>
        <v>304000000000</v>
      </c>
      <c r="Z57" s="904"/>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ht="16.5">
      <c r="A58" s="43" t="s">
        <v>117</v>
      </c>
      <c r="B58" s="90" t="s">
        <v>1252</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898">
        <v>85500000000</v>
      </c>
      <c r="Q58" s="898">
        <v>34400000000</v>
      </c>
      <c r="R58" s="898">
        <v>51400000000</v>
      </c>
      <c r="S58" s="898">
        <v>89000000000</v>
      </c>
      <c r="T58" s="898">
        <f>106000000000</f>
        <v>106000000000</v>
      </c>
      <c r="U58" s="897">
        <f>74000000000-U87</f>
        <v>74000000000</v>
      </c>
      <c r="V58" s="897">
        <v>133000000000</v>
      </c>
      <c r="W58" s="897">
        <v>96000000000</v>
      </c>
      <c r="X58" s="897">
        <v>82000000000</v>
      </c>
      <c r="Y58" s="903">
        <v>148000000000</v>
      </c>
      <c r="Z58" s="90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ht="16.5">
      <c r="A59" s="86" t="s">
        <v>444</v>
      </c>
      <c r="B59" s="152" t="s">
        <v>1104</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898">
        <v>107300000000</v>
      </c>
      <c r="Q59" s="898">
        <v>60500000000</v>
      </c>
      <c r="R59" s="898">
        <v>82200000000</v>
      </c>
      <c r="S59" s="898">
        <v>122000000000</v>
      </c>
      <c r="T59" s="898">
        <v>145000000000</v>
      </c>
      <c r="U59" s="896">
        <v>124000000000</v>
      </c>
      <c r="V59" s="897">
        <v>190000000000</v>
      </c>
      <c r="W59" s="897">
        <v>150000000000</v>
      </c>
      <c r="X59" s="897">
        <v>141000000000</v>
      </c>
      <c r="Y59" s="903">
        <v>214000000000</v>
      </c>
      <c r="Z59" s="904"/>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ht="16.5">
      <c r="A60" s="100" t="s">
        <v>1253</v>
      </c>
      <c r="B60" s="100" t="s">
        <v>1254</v>
      </c>
      <c r="C60" s="90" t="s">
        <v>1255</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898">
        <v>105500000000</v>
      </c>
      <c r="Q60" s="898">
        <v>60500000000</v>
      </c>
      <c r="R60" s="898">
        <v>58200000000</v>
      </c>
      <c r="S60" s="898">
        <v>46000000000</v>
      </c>
      <c r="T60" s="898">
        <v>82000000000</v>
      </c>
      <c r="U60" s="897">
        <v>124000000000</v>
      </c>
      <c r="V60" s="897">
        <v>134000000000</v>
      </c>
      <c r="W60" s="897">
        <v>144000000000</v>
      </c>
      <c r="X60" s="897">
        <v>146000000000</v>
      </c>
      <c r="Y60" s="903">
        <v>173000000000</v>
      </c>
      <c r="Z60" s="90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s="100" t="s">
        <v>1256</v>
      </c>
      <c r="B61" s="100" t="s">
        <v>1257</v>
      </c>
      <c r="C61" s="90" t="s">
        <v>1255</v>
      </c>
      <c r="E61" s="158">
        <v>33100000000</v>
      </c>
      <c r="F61" s="158">
        <v>46000000000</v>
      </c>
      <c r="G61" s="115"/>
      <c r="H61" s="164">
        <v>40100000000</v>
      </c>
      <c r="I61" s="164">
        <v>35800000000</v>
      </c>
      <c r="J61" s="164">
        <v>43300000000</v>
      </c>
      <c r="K61" s="164"/>
      <c r="L61" s="164"/>
      <c r="M61" s="164"/>
      <c r="N61" s="164"/>
      <c r="O61" s="164"/>
      <c r="P61" s="898"/>
      <c r="Q61" s="898"/>
      <c r="R61" s="898"/>
      <c r="S61" s="898"/>
      <c r="T61" s="898"/>
      <c r="Y61" s="903"/>
      <c r="Z61" s="90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ht="16.5">
      <c r="A62" s="100" t="s">
        <v>1258</v>
      </c>
      <c r="B62" s="100" t="s">
        <v>1259</v>
      </c>
      <c r="C62" s="90" t="s">
        <v>1255</v>
      </c>
      <c r="E62" s="115"/>
      <c r="F62" s="115"/>
      <c r="G62" s="115"/>
      <c r="H62" s="115"/>
      <c r="I62" s="115"/>
      <c r="J62" s="115"/>
      <c r="K62" s="164">
        <v>21500000000</v>
      </c>
      <c r="L62" s="164">
        <v>45900000000</v>
      </c>
      <c r="M62" s="164">
        <v>14500000000</v>
      </c>
      <c r="N62" s="164">
        <v>12600000000</v>
      </c>
      <c r="O62" s="141">
        <v>0</v>
      </c>
      <c r="P62" s="898">
        <v>1800000000</v>
      </c>
      <c r="Q62" s="898">
        <v>0</v>
      </c>
      <c r="R62" s="898">
        <v>24000000000</v>
      </c>
      <c r="S62" s="898">
        <v>76000000000</v>
      </c>
      <c r="T62" s="898">
        <v>63000000000</v>
      </c>
      <c r="U62" s="897">
        <v>0</v>
      </c>
      <c r="V62" s="897">
        <v>56000000000</v>
      </c>
      <c r="W62" s="897">
        <v>6000000000</v>
      </c>
      <c r="X62" s="897">
        <v>-5000000000</v>
      </c>
      <c r="Y62" s="903">
        <v>41000000000</v>
      </c>
      <c r="Z62" s="904"/>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c r="A63" s="100" t="s">
        <v>1260</v>
      </c>
      <c r="B63" s="907" t="s">
        <v>1261</v>
      </c>
      <c r="C63" s="90" t="s">
        <v>1255</v>
      </c>
      <c r="E63" s="115">
        <v>26400000000</v>
      </c>
      <c r="F63" s="115">
        <v>0</v>
      </c>
      <c r="G63" s="115">
        <v>0</v>
      </c>
      <c r="H63" s="115">
        <v>0</v>
      </c>
      <c r="I63" s="115">
        <v>0</v>
      </c>
      <c r="J63" s="115">
        <v>-1.52587890625E-5</v>
      </c>
      <c r="K63" s="115">
        <v>0</v>
      </c>
      <c r="L63" s="115">
        <v>100000000</v>
      </c>
      <c r="M63" s="115">
        <v>0</v>
      </c>
      <c r="N63" s="115">
        <v>0</v>
      </c>
      <c r="O63" s="115">
        <v>0</v>
      </c>
      <c r="P63" s="900">
        <v>0</v>
      </c>
      <c r="Q63" s="900"/>
      <c r="R63" s="900"/>
      <c r="S63" s="900"/>
      <c r="T63" s="900"/>
      <c r="Y63" s="903"/>
      <c r="Z63" s="904"/>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ht="16.5">
      <c r="A64" t="s">
        <v>76</v>
      </c>
      <c r="B64" s="100" t="s">
        <v>1221</v>
      </c>
      <c r="C64" s="90"/>
      <c r="E64" s="115"/>
      <c r="F64" s="115"/>
      <c r="G64" s="115"/>
      <c r="H64" s="115"/>
      <c r="I64" s="115"/>
      <c r="J64" s="115"/>
      <c r="K64" s="115"/>
      <c r="L64" s="115"/>
      <c r="M64" s="115"/>
      <c r="N64" s="115"/>
      <c r="O64" s="115"/>
      <c r="P64" s="900"/>
      <c r="Q64" s="900"/>
      <c r="R64" s="898"/>
      <c r="S64" s="898"/>
      <c r="T64" s="898"/>
      <c r="U64" s="896"/>
      <c r="Y64" s="903"/>
      <c r="Z64" s="904"/>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ht="16.5">
      <c r="A65" s="20" t="s">
        <v>258</v>
      </c>
      <c r="B65" s="99" t="s">
        <v>1262</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898">
        <v>-21700000000</v>
      </c>
      <c r="Q65" s="898">
        <v>-26000000000</v>
      </c>
      <c r="R65" s="898">
        <v>-30800000000</v>
      </c>
      <c r="S65" s="898">
        <v>-33000000000</v>
      </c>
      <c r="T65" s="898">
        <v>-39000000000</v>
      </c>
      <c r="U65" s="897">
        <v>-50000000000</v>
      </c>
      <c r="V65" s="897">
        <v>-57000000000</v>
      </c>
      <c r="W65" s="897">
        <v>-54000000000</v>
      </c>
      <c r="X65" s="897">
        <v>-59000000000</v>
      </c>
      <c r="Y65" s="903">
        <v>-66000000000</v>
      </c>
      <c r="Z65" s="904"/>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502</v>
      </c>
      <c r="B66" s="99" t="s">
        <v>1263</v>
      </c>
      <c r="C66" s="58" t="s">
        <v>264</v>
      </c>
      <c r="E66" s="158">
        <v>26500000000</v>
      </c>
      <c r="F66" s="158">
        <v>20800000000</v>
      </c>
      <c r="G66" s="115"/>
      <c r="H66" s="164">
        <v>24800000000</v>
      </c>
      <c r="I66" s="164">
        <v>24000000000</v>
      </c>
      <c r="J66" s="164">
        <v>15400000000</v>
      </c>
      <c r="K66" s="164"/>
      <c r="L66" s="164"/>
      <c r="M66" s="164"/>
      <c r="N66" s="164"/>
      <c r="O66" s="164"/>
      <c r="P66" s="898"/>
      <c r="Q66" s="898"/>
      <c r="R66" s="898"/>
      <c r="S66" s="898"/>
      <c r="T66" s="898"/>
      <c r="Y66" s="903"/>
      <c r="Z66" s="90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ht="16.5">
      <c r="A67" s="43" t="s">
        <v>120</v>
      </c>
      <c r="B67" s="90" t="s">
        <v>1264</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898">
        <v>64700000000</v>
      </c>
      <c r="Q67" s="898">
        <v>128100000000</v>
      </c>
      <c r="R67" s="898">
        <v>-9400000000</v>
      </c>
      <c r="S67" s="898">
        <v>132000000000</v>
      </c>
      <c r="T67" s="898">
        <v>50800000000</v>
      </c>
      <c r="U67" s="897">
        <v>370000000000</v>
      </c>
      <c r="V67" s="897">
        <v>263000000000</v>
      </c>
      <c r="W67" s="897">
        <v>163000000000</v>
      </c>
      <c r="X67" s="897">
        <v>199000000000</v>
      </c>
      <c r="Y67" s="903">
        <v>156000000000</v>
      </c>
      <c r="Z67" s="904"/>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s="99" t="s">
        <v>1265</v>
      </c>
      <c r="B68" s="99" t="s">
        <v>916</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00">
        <v>-40400000000</v>
      </c>
      <c r="Q68" s="900">
        <v>92400000000</v>
      </c>
      <c r="R68" s="900">
        <v>-34700000000</v>
      </c>
      <c r="S68" s="898">
        <v>85000000000</v>
      </c>
      <c r="T68" s="898">
        <v>-41000000000</v>
      </c>
      <c r="U68" s="897">
        <v>327000000000</v>
      </c>
      <c r="V68" s="897">
        <v>258000000000</v>
      </c>
      <c r="W68" s="897">
        <v>120000000000</v>
      </c>
      <c r="X68" s="897">
        <v>144000000000</v>
      </c>
      <c r="Y68" s="903">
        <v>79000000000</v>
      </c>
      <c r="Z68" s="904"/>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00">
        <v>-2600000000</v>
      </c>
      <c r="Q69" s="900">
        <v>75800000000</v>
      </c>
      <c r="R69" s="900">
        <v>58500000000</v>
      </c>
      <c r="S69" s="898">
        <v>-4000000000</v>
      </c>
      <c r="T69" s="898">
        <v>-99000000000</v>
      </c>
      <c r="U69" s="897">
        <v>115000000000</v>
      </c>
      <c r="V69" s="897">
        <v>16000000000</v>
      </c>
      <c r="W69" s="897">
        <v>4000000000</v>
      </c>
      <c r="X69" s="897">
        <v>7000000000</v>
      </c>
      <c r="Y69" s="903">
        <v>-21000000000</v>
      </c>
      <c r="Z69" s="904"/>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ht="16.5">
      <c r="A70" t="s">
        <v>76</v>
      </c>
      <c r="B70" s="100" t="s">
        <v>1266</v>
      </c>
      <c r="C70" s="90"/>
      <c r="E70" s="175"/>
      <c r="F70" s="175"/>
      <c r="G70" s="115"/>
      <c r="H70" s="115"/>
      <c r="I70" s="115"/>
      <c r="J70" s="115"/>
      <c r="K70" s="115"/>
      <c r="L70" s="115"/>
      <c r="M70" s="115"/>
      <c r="N70" s="115"/>
      <c r="O70" s="115"/>
      <c r="P70" s="898">
        <v>-32400000000</v>
      </c>
      <c r="Q70" s="898"/>
      <c r="R70" s="898"/>
      <c r="S70" s="898"/>
      <c r="T70" s="898"/>
      <c r="Y70" s="903"/>
      <c r="Z70" s="904"/>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B71" s="100"/>
      <c r="C71" s="90"/>
      <c r="E71" s="175"/>
      <c r="F71" s="175"/>
      <c r="G71" s="115"/>
      <c r="H71" s="115"/>
      <c r="I71" s="115"/>
      <c r="J71" s="115"/>
      <c r="K71" s="115"/>
      <c r="L71" s="115"/>
      <c r="M71" s="115"/>
      <c r="N71" s="115"/>
      <c r="O71" s="115"/>
      <c r="P71" s="898"/>
      <c r="Q71" s="898"/>
      <c r="R71" s="898"/>
      <c r="S71" s="898">
        <v>19000000000</v>
      </c>
      <c r="T71" s="898">
        <v>19000000000</v>
      </c>
      <c r="U71" s="897">
        <v>4000000000</v>
      </c>
      <c r="V71" s="897">
        <v>29000000000</v>
      </c>
      <c r="W71" s="897">
        <v>29000000000</v>
      </c>
      <c r="X71" s="897">
        <v>29000000000</v>
      </c>
      <c r="Y71" s="903">
        <v>0</v>
      </c>
      <c r="Z71" s="90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B72" s="100"/>
      <c r="C72" s="90"/>
      <c r="E72" s="175"/>
      <c r="F72" s="175"/>
      <c r="G72" s="115"/>
      <c r="H72" s="115"/>
      <c r="I72" s="115"/>
      <c r="J72" s="115"/>
      <c r="K72" s="115"/>
      <c r="L72" s="115"/>
      <c r="M72" s="115"/>
      <c r="N72" s="115"/>
      <c r="O72" s="115"/>
      <c r="P72" s="898"/>
      <c r="Q72" s="898"/>
      <c r="R72" s="898"/>
      <c r="S72" s="898">
        <v>-12000000000</v>
      </c>
      <c r="T72" s="898">
        <v>-12000000000</v>
      </c>
      <c r="U72" s="897">
        <v>-13000000000</v>
      </c>
      <c r="V72" s="897">
        <v>-19000000000</v>
      </c>
      <c r="W72" s="897">
        <v>-19000000000</v>
      </c>
      <c r="X72" s="897">
        <v>-15000000000</v>
      </c>
      <c r="Y72" s="903">
        <v>-17000000000</v>
      </c>
      <c r="Z72" s="904"/>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ht="16.5">
      <c r="A73" t="s">
        <v>76</v>
      </c>
      <c r="B73" s="100" t="s">
        <v>1267</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898">
        <v>-37800000000</v>
      </c>
      <c r="Q73" s="898">
        <v>16700000000</v>
      </c>
      <c r="R73" s="898">
        <v>23800000000</v>
      </c>
      <c r="S73" s="898">
        <v>89000000000</v>
      </c>
      <c r="T73" s="898">
        <v>58000000000</v>
      </c>
      <c r="U73" s="897">
        <v>213000000000</v>
      </c>
      <c r="V73" s="897">
        <v>242000000000</v>
      </c>
      <c r="W73" s="897">
        <v>117000000000</v>
      </c>
      <c r="X73" s="897">
        <v>138000000000</v>
      </c>
      <c r="Y73" s="903">
        <v>99000000000</v>
      </c>
      <c r="Z73" s="904"/>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ht="16.5">
      <c r="A74" t="s">
        <v>76</v>
      </c>
      <c r="B74" s="100" t="s">
        <v>1268</v>
      </c>
      <c r="C74" s="90"/>
      <c r="E74" s="175"/>
      <c r="F74" s="175"/>
      <c r="G74" s="115"/>
      <c r="H74" s="115"/>
      <c r="I74" s="115"/>
      <c r="J74" s="115"/>
      <c r="K74" s="115"/>
      <c r="L74" s="115"/>
      <c r="M74" s="115"/>
      <c r="N74" s="115"/>
      <c r="O74" s="115"/>
      <c r="P74" s="898">
        <v>8000000000</v>
      </c>
      <c r="Q74" s="898"/>
      <c r="R74" s="898"/>
      <c r="S74" s="898"/>
      <c r="T74" s="898"/>
      <c r="Y74" s="903"/>
      <c r="Z74" s="90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ht="16.5">
      <c r="A75" t="s">
        <v>76</v>
      </c>
      <c r="B75" s="100" t="s">
        <v>1269</v>
      </c>
      <c r="C75" s="90"/>
      <c r="E75" s="175"/>
      <c r="F75" s="175"/>
      <c r="G75" s="115"/>
      <c r="H75" s="115"/>
      <c r="I75" s="115"/>
      <c r="J75" s="115"/>
      <c r="K75" s="115"/>
      <c r="L75" s="115"/>
      <c r="M75" s="115"/>
      <c r="N75" s="115"/>
      <c r="O75" s="115"/>
      <c r="P75" s="898">
        <v>60900000000</v>
      </c>
      <c r="Q75" s="898"/>
      <c r="R75" s="898"/>
      <c r="S75" s="898"/>
      <c r="T75" s="898"/>
      <c r="Y75" s="903"/>
      <c r="Z75" s="904"/>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ht="16.5">
      <c r="A76" s="99" t="s">
        <v>919</v>
      </c>
      <c r="B76" s="99" t="s">
        <v>1270</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898">
        <v>105000000000</v>
      </c>
      <c r="Q76" s="898">
        <v>35700000000</v>
      </c>
      <c r="R76" s="898">
        <v>25300000000</v>
      </c>
      <c r="S76" s="898">
        <v>47000000000</v>
      </c>
      <c r="T76" s="898">
        <v>92000000000</v>
      </c>
      <c r="U76" s="897">
        <v>42000000000</v>
      </c>
      <c r="V76" s="897">
        <v>4000000000</v>
      </c>
      <c r="W76" s="897">
        <v>43000000000</v>
      </c>
      <c r="X76" s="897">
        <v>54000000000</v>
      </c>
      <c r="Y76" s="903">
        <v>77000000000</v>
      </c>
      <c r="Z76" s="904"/>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c r="A77" t="s">
        <v>76</v>
      </c>
      <c r="B77" s="100" t="s">
        <v>1271</v>
      </c>
      <c r="C77" s="90"/>
      <c r="E77" s="115"/>
      <c r="F77" s="115"/>
      <c r="G77" s="115"/>
      <c r="H77" s="115"/>
      <c r="I77" s="115"/>
      <c r="J77" s="115"/>
      <c r="K77" s="164">
        <v>-25200000000</v>
      </c>
      <c r="L77" s="164">
        <v>-12300000000</v>
      </c>
      <c r="M77" s="164">
        <v>18000000000</v>
      </c>
      <c r="N77" s="164">
        <v>-5000000000</v>
      </c>
      <c r="O77" s="115"/>
      <c r="P77" s="900"/>
      <c r="Q77" s="900"/>
      <c r="R77" s="900"/>
      <c r="S77" s="900"/>
      <c r="T77" s="900"/>
      <c r="Y77" s="903"/>
      <c r="Z77" s="904"/>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t="s">
        <v>76</v>
      </c>
      <c r="B78" s="100" t="s">
        <v>1272</v>
      </c>
      <c r="C78" s="90"/>
      <c r="E78" s="115"/>
      <c r="F78" s="115"/>
      <c r="G78" s="115"/>
      <c r="H78" s="115"/>
      <c r="I78" s="115"/>
      <c r="J78" s="115"/>
      <c r="K78" s="164">
        <v>23800000000</v>
      </c>
      <c r="L78" s="164">
        <v>30900000000</v>
      </c>
      <c r="M78" s="164">
        <v>55500000000</v>
      </c>
      <c r="N78" s="164">
        <v>47500000000</v>
      </c>
      <c r="O78" s="115"/>
      <c r="P78" s="900"/>
      <c r="Q78" s="900"/>
      <c r="R78" s="900"/>
      <c r="S78" s="900"/>
      <c r="T78" s="900"/>
      <c r="Y78" s="903"/>
      <c r="Z78" s="904"/>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t="s">
        <v>76</v>
      </c>
      <c r="B79" s="126" t="s">
        <v>1273</v>
      </c>
      <c r="C79" s="117"/>
      <c r="E79" s="115"/>
      <c r="F79" s="115"/>
      <c r="G79" s="115"/>
      <c r="H79" s="115"/>
      <c r="I79" s="115"/>
      <c r="J79" s="115"/>
      <c r="K79" s="115"/>
      <c r="L79" s="164" t="s">
        <v>1274</v>
      </c>
      <c r="M79" s="164" t="s">
        <v>78</v>
      </c>
      <c r="N79" s="164" t="s">
        <v>78</v>
      </c>
      <c r="O79" s="115"/>
      <c r="P79" s="900"/>
      <c r="Q79" s="900"/>
      <c r="R79" s="900"/>
      <c r="S79" s="900"/>
      <c r="T79" s="900"/>
      <c r="Y79" s="903"/>
      <c r="Z79" s="904"/>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t="s">
        <v>76</v>
      </c>
      <c r="B80" s="126" t="s">
        <v>1275</v>
      </c>
      <c r="C80" s="117"/>
      <c r="E80" s="115"/>
      <c r="F80" s="115"/>
      <c r="G80" s="115"/>
      <c r="H80" s="115"/>
      <c r="I80" s="115"/>
      <c r="J80" s="115"/>
      <c r="K80" s="115"/>
      <c r="L80" s="164" t="s">
        <v>1274</v>
      </c>
      <c r="M80" s="164" t="s">
        <v>78</v>
      </c>
      <c r="N80" s="164" t="s">
        <v>78</v>
      </c>
      <c r="O80" s="115"/>
      <c r="P80" s="900"/>
      <c r="Q80" s="900"/>
      <c r="R80" s="900"/>
      <c r="S80" s="900"/>
      <c r="T80" s="900"/>
      <c r="Y80" s="903"/>
      <c r="Z80" s="904"/>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t="s">
        <v>76</v>
      </c>
      <c r="B81" s="126" t="s">
        <v>258</v>
      </c>
      <c r="C81" s="117"/>
      <c r="E81" s="115"/>
      <c r="F81" s="115"/>
      <c r="G81" s="115"/>
      <c r="H81" s="115"/>
      <c r="I81" s="115"/>
      <c r="J81" s="115"/>
      <c r="K81" s="164">
        <v>-49000000000</v>
      </c>
      <c r="L81" s="164">
        <v>-43300000000</v>
      </c>
      <c r="M81" s="164">
        <v>-37500000000</v>
      </c>
      <c r="N81" s="164">
        <v>-52500000000</v>
      </c>
      <c r="O81" s="115"/>
      <c r="P81" s="900"/>
      <c r="Q81" s="900"/>
      <c r="R81" s="900"/>
      <c r="S81" s="900"/>
      <c r="T81" s="900"/>
      <c r="Y81" s="903"/>
      <c r="Z81" s="90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t="s">
        <v>76</v>
      </c>
      <c r="B82" s="100" t="s">
        <v>1276</v>
      </c>
      <c r="C82" s="90"/>
      <c r="E82" s="115"/>
      <c r="F82" s="115"/>
      <c r="G82" s="115"/>
      <c r="H82" s="164">
        <v>7300000000</v>
      </c>
      <c r="I82" s="164">
        <v>0</v>
      </c>
      <c r="J82" s="164">
        <v>500000000</v>
      </c>
      <c r="K82" s="164">
        <v>139100000000</v>
      </c>
      <c r="L82" s="164">
        <v>2900000000</v>
      </c>
      <c r="M82" s="164">
        <v>30100000000</v>
      </c>
      <c r="N82" s="164">
        <v>6900000000</v>
      </c>
      <c r="O82" s="115"/>
      <c r="P82" s="900"/>
      <c r="Q82" s="900"/>
      <c r="R82" s="900"/>
      <c r="S82" s="900"/>
      <c r="T82" s="900"/>
      <c r="Y82" s="903"/>
      <c r="Z82" s="90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c r="A83" t="s">
        <v>76</v>
      </c>
      <c r="B83" s="100" t="s">
        <v>1277</v>
      </c>
      <c r="C83" s="90"/>
      <c r="E83" s="115"/>
      <c r="F83" s="115"/>
      <c r="G83" s="115"/>
      <c r="H83" s="115"/>
      <c r="I83" s="115"/>
      <c r="J83" s="115"/>
      <c r="K83" s="164">
        <v>18700000000</v>
      </c>
      <c r="L83" s="164">
        <v>12300000000</v>
      </c>
      <c r="M83" s="164">
        <v>-60700000000</v>
      </c>
      <c r="N83" s="164">
        <v>-28100000000</v>
      </c>
      <c r="O83" s="115"/>
      <c r="P83" s="900"/>
      <c r="Q83" s="900"/>
      <c r="R83" s="900"/>
      <c r="S83" s="900"/>
      <c r="T83" s="900"/>
      <c r="Y83" s="903"/>
      <c r="Z83" s="904"/>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A84" t="s">
        <v>76</v>
      </c>
      <c r="B84" s="100" t="s">
        <v>1278</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00"/>
      <c r="Q84" s="900">
        <v>-2500000000</v>
      </c>
      <c r="R84" s="900">
        <v>-4500000000</v>
      </c>
      <c r="S84" s="900">
        <v>2000000000</v>
      </c>
      <c r="T84" s="900">
        <v>1000000000</v>
      </c>
      <c r="U84" s="897">
        <v>-4000000000</v>
      </c>
      <c r="Y84" s="903"/>
      <c r="Z84" s="904"/>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c r="A85" s="90" t="s">
        <v>1279</v>
      </c>
      <c r="B85" s="90" t="s">
        <v>1280</v>
      </c>
      <c r="C85" s="11" t="s">
        <v>119</v>
      </c>
      <c r="D85" s="90"/>
      <c r="E85" s="158"/>
      <c r="F85" s="158">
        <v>39700000000</v>
      </c>
      <c r="G85" s="115">
        <v>-16000000000</v>
      </c>
      <c r="H85" s="164"/>
      <c r="I85" s="164"/>
      <c r="J85" s="164"/>
      <c r="K85" s="164"/>
      <c r="L85" s="164"/>
      <c r="M85" s="164"/>
      <c r="N85" s="164"/>
      <c r="O85" s="115"/>
      <c r="P85" s="900"/>
      <c r="Q85" s="900"/>
      <c r="R85" s="900"/>
      <c r="S85" s="900"/>
      <c r="T85" s="900"/>
      <c r="Y85" s="903"/>
      <c r="Z85" s="904"/>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A86" t="s">
        <v>76</v>
      </c>
      <c r="B86" s="90" t="s">
        <v>1121</v>
      </c>
      <c r="C86" s="90" t="s">
        <v>119</v>
      </c>
      <c r="D86" s="90"/>
      <c r="E86" s="158">
        <v>0</v>
      </c>
      <c r="F86" s="158">
        <v>0</v>
      </c>
      <c r="G86" s="115"/>
      <c r="H86" s="164"/>
      <c r="I86" s="164"/>
      <c r="J86" s="164"/>
      <c r="K86" s="164">
        <v>0</v>
      </c>
      <c r="L86" s="164">
        <v>0</v>
      </c>
      <c r="M86" s="164">
        <v>0</v>
      </c>
      <c r="N86" s="164">
        <v>0</v>
      </c>
      <c r="O86" s="115">
        <v>0</v>
      </c>
      <c r="P86" s="898">
        <v>0</v>
      </c>
      <c r="Q86" s="898">
        <v>0</v>
      </c>
      <c r="R86" s="898">
        <v>0</v>
      </c>
      <c r="S86" s="898">
        <v>0</v>
      </c>
      <c r="T86" s="906">
        <f>T87</f>
        <v>0</v>
      </c>
      <c r="U86" s="906">
        <f t="shared" ref="U86:Y86" si="11">U87</f>
        <v>0</v>
      </c>
      <c r="V86" s="906">
        <f t="shared" si="11"/>
        <v>0</v>
      </c>
      <c r="W86" s="906">
        <f t="shared" si="11"/>
        <v>0</v>
      </c>
      <c r="X86" s="906">
        <f t="shared" si="11"/>
        <v>0</v>
      </c>
      <c r="Y86" s="906">
        <f t="shared" si="11"/>
        <v>0</v>
      </c>
      <c r="Z86" s="904"/>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A87" t="s">
        <v>76</v>
      </c>
      <c r="B87" s="90" t="s">
        <v>1281</v>
      </c>
      <c r="C87" s="90"/>
      <c r="E87" s="175"/>
      <c r="F87" s="175"/>
      <c r="G87" s="115"/>
      <c r="H87" s="115"/>
      <c r="I87" s="115"/>
      <c r="J87" s="115"/>
      <c r="K87" s="115"/>
      <c r="L87" s="115"/>
      <c r="M87" s="115"/>
      <c r="N87" s="115"/>
      <c r="O87" s="115">
        <v>0</v>
      </c>
      <c r="P87" s="898">
        <v>0</v>
      </c>
      <c r="Q87" s="898">
        <v>0</v>
      </c>
      <c r="R87" s="898">
        <v>0</v>
      </c>
      <c r="S87" s="898">
        <v>0</v>
      </c>
      <c r="T87" s="898">
        <v>0</v>
      </c>
      <c r="U87" s="897">
        <v>0</v>
      </c>
      <c r="V87" s="897">
        <v>0</v>
      </c>
      <c r="W87" s="897">
        <v>0</v>
      </c>
      <c r="Y87" s="903"/>
      <c r="Z87" s="904"/>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c r="Y88" s="903"/>
      <c r="Z88" s="904"/>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c r="E89" t="s">
        <v>139</v>
      </c>
      <c r="F89" t="s">
        <v>139</v>
      </c>
      <c r="G89" t="s">
        <v>139</v>
      </c>
      <c r="H89" t="s">
        <v>139</v>
      </c>
      <c r="I89" t="s">
        <v>139</v>
      </c>
      <c r="J89" t="s">
        <v>139</v>
      </c>
      <c r="K89" t="s">
        <v>139</v>
      </c>
      <c r="L89" t="s">
        <v>138</v>
      </c>
      <c r="M89" t="s">
        <v>138</v>
      </c>
      <c r="N89" t="s">
        <v>138</v>
      </c>
      <c r="O89" t="s">
        <v>139</v>
      </c>
      <c r="P89" s="897" t="s">
        <v>139</v>
      </c>
      <c r="Q89" s="897" t="s">
        <v>139</v>
      </c>
      <c r="R89" s="897" t="s">
        <v>139</v>
      </c>
      <c r="S89" s="897" t="s">
        <v>139</v>
      </c>
      <c r="T89" s="897" t="s">
        <v>139</v>
      </c>
      <c r="U89" s="897" t="s">
        <v>139</v>
      </c>
      <c r="V89" s="897" t="s">
        <v>139</v>
      </c>
      <c r="W89" s="897" t="s">
        <v>139</v>
      </c>
      <c r="X89" s="897" t="s">
        <v>139</v>
      </c>
      <c r="Y89" s="897" t="s">
        <v>139</v>
      </c>
      <c r="Z89" s="904"/>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c r="Y90" s="903"/>
      <c r="Z90" s="904"/>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c r="B91" t="s">
        <v>1282</v>
      </c>
      <c r="D91" s="231"/>
      <c r="E91" s="21">
        <f>E6-E7-E16</f>
        <v>0</v>
      </c>
      <c r="F91" s="21">
        <f t="shared" ref="F91:T91" si="12">F6-F7-F16</f>
        <v>100000000.00003052</v>
      </c>
      <c r="G91" s="21">
        <f t="shared" si="12"/>
        <v>1000000000</v>
      </c>
      <c r="H91" s="21">
        <f t="shared" si="12"/>
        <v>0</v>
      </c>
      <c r="I91" s="21">
        <f t="shared" si="12"/>
        <v>0</v>
      </c>
      <c r="J91" s="21">
        <f t="shared" si="12"/>
        <v>100000000</v>
      </c>
      <c r="K91" s="21">
        <f t="shared" si="12"/>
        <v>0</v>
      </c>
      <c r="L91" s="21">
        <f t="shared" si="12"/>
        <v>100000000</v>
      </c>
      <c r="M91" s="21">
        <f t="shared" si="12"/>
        <v>0</v>
      </c>
      <c r="N91" s="21">
        <f t="shared" si="12"/>
        <v>0</v>
      </c>
      <c r="O91" s="21">
        <f t="shared" si="12"/>
        <v>0</v>
      </c>
      <c r="P91" s="897">
        <f t="shared" si="12"/>
        <v>0</v>
      </c>
      <c r="Q91" s="897">
        <f t="shared" si="12"/>
        <v>-100000000</v>
      </c>
      <c r="R91" s="897">
        <f t="shared" si="12"/>
        <v>0</v>
      </c>
      <c r="S91" s="897">
        <f>S6-S7-S16</f>
        <v>0</v>
      </c>
      <c r="T91" s="897">
        <f t="shared" si="12"/>
        <v>0</v>
      </c>
      <c r="U91" s="897">
        <f t="shared" ref="U91:Y91" si="13">U6-U7-U16</f>
        <v>1000000000</v>
      </c>
      <c r="V91" s="897">
        <f t="shared" si="13"/>
        <v>0</v>
      </c>
      <c r="W91" s="897">
        <f t="shared" si="13"/>
        <v>-1000000000</v>
      </c>
      <c r="X91" s="897">
        <f t="shared" si="13"/>
        <v>0</v>
      </c>
      <c r="Y91" s="897">
        <f t="shared" si="13"/>
        <v>0</v>
      </c>
      <c r="Z91"/>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c r="B92" t="s">
        <v>141</v>
      </c>
      <c r="D92" s="78"/>
      <c r="E92" s="78">
        <f>E7-E8-E14</f>
        <v>0</v>
      </c>
      <c r="F92" s="78">
        <f t="shared" ref="F92:T92" si="14">F7-F8-F14</f>
        <v>-100000000.00003052</v>
      </c>
      <c r="G92" s="78">
        <f t="shared" si="14"/>
        <v>0</v>
      </c>
      <c r="H92" s="78">
        <f t="shared" si="14"/>
        <v>0</v>
      </c>
      <c r="I92" s="78">
        <f t="shared" si="14"/>
        <v>0</v>
      </c>
      <c r="J92" s="78">
        <f t="shared" si="14"/>
        <v>0</v>
      </c>
      <c r="K92" s="78">
        <f t="shared" si="14"/>
        <v>0</v>
      </c>
      <c r="L92" s="78">
        <f t="shared" si="14"/>
        <v>-100000000</v>
      </c>
      <c r="M92" s="78">
        <f t="shared" si="14"/>
        <v>0</v>
      </c>
      <c r="N92" s="78">
        <f t="shared" si="14"/>
        <v>100000000</v>
      </c>
      <c r="O92" s="78">
        <f t="shared" si="14"/>
        <v>0</v>
      </c>
      <c r="P92" s="897">
        <f t="shared" si="14"/>
        <v>0</v>
      </c>
      <c r="Q92" s="897">
        <f t="shared" si="14"/>
        <v>0</v>
      </c>
      <c r="R92" s="897">
        <f t="shared" si="14"/>
        <v>0</v>
      </c>
      <c r="S92" s="897">
        <f>S7-S8-S14</f>
        <v>0</v>
      </c>
      <c r="T92" s="897">
        <f t="shared" si="14"/>
        <v>1000000000</v>
      </c>
      <c r="U92" s="897">
        <f t="shared" ref="U92:Y92" si="15">U7-U8-U14</f>
        <v>0</v>
      </c>
      <c r="V92" s="897">
        <f t="shared" si="15"/>
        <v>0</v>
      </c>
      <c r="W92" s="897">
        <f t="shared" si="15"/>
        <v>0</v>
      </c>
      <c r="X92" s="897">
        <f t="shared" si="15"/>
        <v>0</v>
      </c>
      <c r="Y92" s="897">
        <f t="shared" si="15"/>
        <v>0</v>
      </c>
      <c r="Z92"/>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c r="B93" t="s">
        <v>142</v>
      </c>
      <c r="D93" s="78"/>
      <c r="E93" s="78">
        <f>E8-E10-E11-E12-E13</f>
        <v>-100000000</v>
      </c>
      <c r="F93" s="78">
        <f t="shared" ref="F93:T93" si="16">F8-F10-F11-F12-F13</f>
        <v>1.52587890625E-5</v>
      </c>
      <c r="G93" s="198">
        <f t="shared" si="16"/>
        <v>270000000000</v>
      </c>
      <c r="H93" s="78">
        <f t="shared" si="16"/>
        <v>0</v>
      </c>
      <c r="I93" s="78">
        <f t="shared" si="16"/>
        <v>100000000</v>
      </c>
      <c r="J93" s="78">
        <f t="shared" si="16"/>
        <v>0</v>
      </c>
      <c r="K93" s="78">
        <f t="shared" si="16"/>
        <v>0</v>
      </c>
      <c r="L93" s="78">
        <f t="shared" si="16"/>
        <v>0</v>
      </c>
      <c r="M93" s="78">
        <f t="shared" si="16"/>
        <v>100000000</v>
      </c>
      <c r="N93" s="78">
        <f t="shared" si="16"/>
        <v>-100000000</v>
      </c>
      <c r="O93" s="198">
        <f t="shared" si="16"/>
        <v>695600000000</v>
      </c>
      <c r="P93" s="901">
        <f t="shared" si="16"/>
        <v>890800000000</v>
      </c>
      <c r="Q93" s="901">
        <f t="shared" si="16"/>
        <v>992600000000</v>
      </c>
      <c r="R93" s="901">
        <f t="shared" si="16"/>
        <v>940700000000</v>
      </c>
      <c r="S93" s="901">
        <f t="shared" si="16"/>
        <v>929000000000</v>
      </c>
      <c r="T93" s="901">
        <f t="shared" si="16"/>
        <v>1075000000000</v>
      </c>
      <c r="U93" s="901">
        <f t="shared" ref="U93:Y93" si="17">U8-U10-U11-U12-U13</f>
        <v>1238000000000</v>
      </c>
      <c r="V93" s="901">
        <f t="shared" si="17"/>
        <v>1404000000000</v>
      </c>
      <c r="W93" s="901">
        <f t="shared" si="17"/>
        <v>1561000000000</v>
      </c>
      <c r="X93" s="901">
        <f t="shared" si="17"/>
        <v>1733000000000</v>
      </c>
      <c r="Y93" s="901">
        <f t="shared" si="17"/>
        <v>1915000000000</v>
      </c>
      <c r="Z93"/>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B94" t="s">
        <v>143</v>
      </c>
      <c r="D94" s="78"/>
      <c r="E94" s="78">
        <f t="shared" ref="E94:T94" si="18">E16-E17-E18</f>
        <v>0</v>
      </c>
      <c r="F94" s="78">
        <f t="shared" si="18"/>
        <v>0</v>
      </c>
      <c r="G94" s="198">
        <f t="shared" si="18"/>
        <v>133000000000</v>
      </c>
      <c r="H94" s="78">
        <f t="shared" si="18"/>
        <v>-100000000</v>
      </c>
      <c r="I94" s="78">
        <f t="shared" si="18"/>
        <v>-100000000</v>
      </c>
      <c r="J94" s="78">
        <f t="shared" si="18"/>
        <v>0</v>
      </c>
      <c r="K94" s="78">
        <f t="shared" si="18"/>
        <v>0</v>
      </c>
      <c r="L94" s="78">
        <f t="shared" si="18"/>
        <v>0</v>
      </c>
      <c r="M94" s="78">
        <f t="shared" si="18"/>
        <v>0</v>
      </c>
      <c r="N94" s="78">
        <f t="shared" si="18"/>
        <v>0</v>
      </c>
      <c r="O94" s="78">
        <f t="shared" si="18"/>
        <v>0</v>
      </c>
      <c r="P94" s="897">
        <f t="shared" si="18"/>
        <v>0</v>
      </c>
      <c r="Q94" s="897">
        <f t="shared" si="18"/>
        <v>100000000</v>
      </c>
      <c r="R94" s="897">
        <f t="shared" si="18"/>
        <v>0</v>
      </c>
      <c r="S94" s="897">
        <f t="shared" si="18"/>
        <v>0</v>
      </c>
      <c r="T94" s="897">
        <f t="shared" si="18"/>
        <v>0</v>
      </c>
      <c r="U94" s="897">
        <f t="shared" ref="U94:Y94" si="19">U16-U17-U18</f>
        <v>0</v>
      </c>
      <c r="V94" s="897">
        <f t="shared" si="19"/>
        <v>0</v>
      </c>
      <c r="W94" s="897">
        <f t="shared" si="19"/>
        <v>0</v>
      </c>
      <c r="X94" s="897">
        <f t="shared" si="19"/>
        <v>0</v>
      </c>
      <c r="Y94" s="897">
        <f t="shared" si="19"/>
        <v>1000000000</v>
      </c>
      <c r="Z94"/>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B95" t="s">
        <v>145</v>
      </c>
      <c r="D95" s="78"/>
      <c r="E95" s="78">
        <f>E21-E22-E35-E43</f>
        <v>0</v>
      </c>
      <c r="F95" s="78">
        <f t="shared" ref="F95:T95" si="20">F21-F22-F35-F43</f>
        <v>3.0517578125E-5</v>
      </c>
      <c r="G95" s="78">
        <f t="shared" si="20"/>
        <v>0</v>
      </c>
      <c r="H95" s="78">
        <f t="shared" si="20"/>
        <v>0</v>
      </c>
      <c r="I95" s="78">
        <f t="shared" si="20"/>
        <v>0</v>
      </c>
      <c r="J95" s="78">
        <f t="shared" si="20"/>
        <v>0</v>
      </c>
      <c r="K95" s="78">
        <f t="shared" si="20"/>
        <v>0</v>
      </c>
      <c r="L95" s="78">
        <f t="shared" si="20"/>
        <v>0</v>
      </c>
      <c r="M95" s="78">
        <f t="shared" si="20"/>
        <v>0</v>
      </c>
      <c r="N95" s="78">
        <f t="shared" si="20"/>
        <v>-6.103515625E-5</v>
      </c>
      <c r="O95" s="78">
        <f t="shared" si="20"/>
        <v>0</v>
      </c>
      <c r="P95" s="897">
        <f t="shared" si="20"/>
        <v>0</v>
      </c>
      <c r="Q95" s="897">
        <f t="shared" si="20"/>
        <v>0</v>
      </c>
      <c r="R95" s="897">
        <f t="shared" si="20"/>
        <v>0</v>
      </c>
      <c r="S95" s="897">
        <f t="shared" si="20"/>
        <v>0</v>
      </c>
      <c r="T95" s="897">
        <f t="shared" si="20"/>
        <v>0</v>
      </c>
      <c r="U95" s="897">
        <f t="shared" ref="U95:Y95" si="21">U21-U22-U35-U43</f>
        <v>0</v>
      </c>
      <c r="V95" s="897">
        <f t="shared" si="21"/>
        <v>0</v>
      </c>
      <c r="W95" s="897">
        <f t="shared" si="21"/>
        <v>0</v>
      </c>
      <c r="X95" s="897">
        <f t="shared" si="21"/>
        <v>-1000000000</v>
      </c>
      <c r="Y95" s="897">
        <f t="shared" si="21"/>
        <v>0</v>
      </c>
      <c r="Z9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B96" t="s">
        <v>361</v>
      </c>
      <c r="E96" s="51">
        <f>E22-E23-E24-E25-E26-E29-E30</f>
        <v>-100000000</v>
      </c>
      <c r="F96" s="51">
        <f t="shared" ref="F96:T96" si="22">F22-F23-F24-F25-F26-F29-F30</f>
        <v>-100000000.00003052</v>
      </c>
      <c r="G96" s="51">
        <f t="shared" si="22"/>
        <v>0</v>
      </c>
      <c r="H96" s="51">
        <f t="shared" si="22"/>
        <v>0</v>
      </c>
      <c r="I96" s="51">
        <f t="shared" si="22"/>
        <v>-100000000</v>
      </c>
      <c r="J96" s="51">
        <f t="shared" si="22"/>
        <v>100000000</v>
      </c>
      <c r="K96" s="51">
        <f t="shared" si="22"/>
        <v>0</v>
      </c>
      <c r="L96" s="51">
        <f t="shared" si="22"/>
        <v>0</v>
      </c>
      <c r="M96" s="51">
        <f t="shared" si="22"/>
        <v>100000000</v>
      </c>
      <c r="N96" s="51">
        <f t="shared" si="22"/>
        <v>0</v>
      </c>
      <c r="O96" s="51">
        <f t="shared" si="22"/>
        <v>100000000</v>
      </c>
      <c r="P96" s="897">
        <f t="shared" si="22"/>
        <v>100000000</v>
      </c>
      <c r="Q96" s="897">
        <f t="shared" si="22"/>
        <v>0</v>
      </c>
      <c r="R96" s="897">
        <f t="shared" si="22"/>
        <v>0</v>
      </c>
      <c r="S96" s="897">
        <f t="shared" si="22"/>
        <v>0</v>
      </c>
      <c r="T96" s="897">
        <f t="shared" si="22"/>
        <v>1000000000</v>
      </c>
      <c r="U96" s="897">
        <f t="shared" ref="U96:Y96" si="23">U22-U23-U24-U25-U26-U29-U30</f>
        <v>0</v>
      </c>
      <c r="V96" s="897">
        <f t="shared" si="23"/>
        <v>0</v>
      </c>
      <c r="W96" s="897">
        <f t="shared" si="23"/>
        <v>0</v>
      </c>
      <c r="X96" s="897">
        <f t="shared" si="23"/>
        <v>0</v>
      </c>
      <c r="Y96" s="897">
        <f t="shared" si="23"/>
        <v>1000000000</v>
      </c>
      <c r="Z96"/>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t="s">
        <v>291</v>
      </c>
      <c r="E97" s="21">
        <f t="shared" ref="E97:T97" si="24">E26-E27-E28</f>
        <v>0</v>
      </c>
      <c r="F97" s="21">
        <f t="shared" si="24"/>
        <v>0</v>
      </c>
      <c r="G97" s="21">
        <f t="shared" si="24"/>
        <v>0</v>
      </c>
      <c r="H97" s="131">
        <f t="shared" si="24"/>
        <v>19100000000</v>
      </c>
      <c r="I97" s="131">
        <f t="shared" si="24"/>
        <v>18200000000</v>
      </c>
      <c r="J97" s="131">
        <f t="shared" si="24"/>
        <v>17300000000</v>
      </c>
      <c r="K97" s="131">
        <f t="shared" si="24"/>
        <v>13100000000</v>
      </c>
      <c r="L97" s="131">
        <f t="shared" si="24"/>
        <v>12700000000</v>
      </c>
      <c r="M97" s="131">
        <f t="shared" si="24"/>
        <v>16899999999.999998</v>
      </c>
      <c r="N97" s="131">
        <f t="shared" si="24"/>
        <v>21400000000</v>
      </c>
      <c r="O97" s="21">
        <f t="shared" si="24"/>
        <v>0</v>
      </c>
      <c r="P97" s="897">
        <f t="shared" si="24"/>
        <v>0</v>
      </c>
      <c r="Q97" s="897">
        <f t="shared" si="24"/>
        <v>0</v>
      </c>
      <c r="R97" s="897">
        <f t="shared" si="24"/>
        <v>0</v>
      </c>
      <c r="S97" s="897">
        <f t="shared" si="24"/>
        <v>0</v>
      </c>
      <c r="T97" s="897">
        <f t="shared" si="24"/>
        <v>-1000000000</v>
      </c>
      <c r="U97" s="897">
        <f t="shared" ref="U97:Y97" si="25">U26-U27-U28</f>
        <v>0</v>
      </c>
      <c r="V97" s="897">
        <f t="shared" si="25"/>
        <v>-1000000000</v>
      </c>
      <c r="W97" s="897">
        <f t="shared" si="25"/>
        <v>0</v>
      </c>
      <c r="X97" s="897">
        <f t="shared" si="25"/>
        <v>-1000000000</v>
      </c>
      <c r="Y97" s="897">
        <f t="shared" si="25"/>
        <v>0</v>
      </c>
      <c r="Z97"/>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t="s">
        <v>1283</v>
      </c>
      <c r="E98" s="21">
        <f t="shared" ref="E98:T98" si="26">E35-E36-E42</f>
        <v>-100000000</v>
      </c>
      <c r="F98" s="21">
        <f t="shared" si="26"/>
        <v>100000000</v>
      </c>
      <c r="G98" s="131">
        <f t="shared" si="26"/>
        <v>224000000000</v>
      </c>
      <c r="H98" s="21">
        <f t="shared" si="26"/>
        <v>0</v>
      </c>
      <c r="I98" s="21">
        <f t="shared" si="26"/>
        <v>-100000000</v>
      </c>
      <c r="J98" s="21">
        <f t="shared" si="26"/>
        <v>0</v>
      </c>
      <c r="K98" s="21">
        <f t="shared" si="26"/>
        <v>0</v>
      </c>
      <c r="L98" s="21">
        <f t="shared" si="26"/>
        <v>100000000</v>
      </c>
      <c r="M98" s="21">
        <f t="shared" si="26"/>
        <v>100000000</v>
      </c>
      <c r="N98" s="21">
        <f t="shared" si="26"/>
        <v>0</v>
      </c>
      <c r="O98" s="21">
        <f t="shared" si="26"/>
        <v>0</v>
      </c>
      <c r="P98" s="897">
        <f t="shared" si="26"/>
        <v>100000000</v>
      </c>
      <c r="Q98" s="897">
        <f t="shared" si="26"/>
        <v>0</v>
      </c>
      <c r="R98" s="897">
        <f t="shared" si="26"/>
        <v>0</v>
      </c>
      <c r="S98" s="897">
        <f t="shared" si="26"/>
        <v>0</v>
      </c>
      <c r="T98" s="897">
        <f t="shared" si="26"/>
        <v>-1000000000</v>
      </c>
      <c r="U98" s="897">
        <f t="shared" ref="U98:Y98" si="27">U35-U36-U42</f>
        <v>0</v>
      </c>
      <c r="V98" s="897">
        <f t="shared" si="27"/>
        <v>0</v>
      </c>
      <c r="W98" s="897">
        <f t="shared" si="27"/>
        <v>1000000000</v>
      </c>
      <c r="X98" s="897">
        <f t="shared" si="27"/>
        <v>0</v>
      </c>
      <c r="Y98" s="897">
        <f t="shared" si="27"/>
        <v>0</v>
      </c>
      <c r="Z98"/>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t="s">
        <v>1284</v>
      </c>
      <c r="E99" s="131">
        <f t="shared" ref="E99:T99" si="28">E36-E37-E38-E39</f>
        <v>63500000000</v>
      </c>
      <c r="F99" s="131">
        <f t="shared" si="28"/>
        <v>86700000000</v>
      </c>
      <c r="G99" s="21">
        <f t="shared" si="28"/>
        <v>0</v>
      </c>
      <c r="H99" s="131">
        <f t="shared" si="28"/>
        <v>147300000000</v>
      </c>
      <c r="I99" s="131">
        <f t="shared" si="28"/>
        <v>148200000000</v>
      </c>
      <c r="J99" s="131">
        <f t="shared" si="28"/>
        <v>157400000000</v>
      </c>
      <c r="K99" s="21">
        <f t="shared" si="28"/>
        <v>0</v>
      </c>
      <c r="L99" s="21">
        <f t="shared" si="28"/>
        <v>-100000000</v>
      </c>
      <c r="M99" s="21">
        <f t="shared" si="28"/>
        <v>-100000000</v>
      </c>
      <c r="N99" s="21">
        <f t="shared" si="28"/>
        <v>-100000000</v>
      </c>
      <c r="O99" s="131">
        <f t="shared" si="28"/>
        <v>286400000000</v>
      </c>
      <c r="P99" s="897">
        <f t="shared" si="28"/>
        <v>0</v>
      </c>
      <c r="Q99" s="902">
        <f t="shared" si="28"/>
        <v>592700000000</v>
      </c>
      <c r="R99" s="902">
        <f t="shared" si="28"/>
        <v>338400000000</v>
      </c>
      <c r="S99" s="902">
        <f t="shared" si="28"/>
        <v>349000000000</v>
      </c>
      <c r="T99" s="902">
        <f t="shared" si="28"/>
        <v>346000000000</v>
      </c>
      <c r="U99" s="902">
        <f t="shared" ref="U99:Y99" si="29">U36-U37-U38-U39</f>
        <v>675000000000</v>
      </c>
      <c r="V99" s="902">
        <f t="shared" si="29"/>
        <v>542000000000</v>
      </c>
      <c r="W99" s="902">
        <f t="shared" si="29"/>
        <v>540000000000</v>
      </c>
      <c r="X99" s="902">
        <f t="shared" si="29"/>
        <v>662000000000</v>
      </c>
      <c r="Y99" s="902">
        <f t="shared" si="29"/>
        <v>714000000000</v>
      </c>
      <c r="Z99"/>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t="s">
        <v>148</v>
      </c>
      <c r="E100" s="21">
        <f>E57-E58-E67-E85</f>
        <v>0</v>
      </c>
      <c r="F100" s="21">
        <f>F57-F58-F67-F85</f>
        <v>100000000</v>
      </c>
      <c r="G100" s="21">
        <f>G57-G58-G67-G85</f>
        <v>0</v>
      </c>
      <c r="H100" s="21">
        <f t="shared" ref="H100:T100" si="30">H57-H58-H67</f>
        <v>-100000000</v>
      </c>
      <c r="I100" s="21">
        <f t="shared" si="30"/>
        <v>0</v>
      </c>
      <c r="J100" s="21">
        <f t="shared" si="30"/>
        <v>0</v>
      </c>
      <c r="K100" s="21">
        <f t="shared" si="30"/>
        <v>0</v>
      </c>
      <c r="L100" s="21">
        <f t="shared" si="30"/>
        <v>0</v>
      </c>
      <c r="M100" s="21">
        <f t="shared" si="30"/>
        <v>-100000000</v>
      </c>
      <c r="N100" s="21">
        <f t="shared" si="30"/>
        <v>0</v>
      </c>
      <c r="O100" s="21">
        <f t="shared" si="30"/>
        <v>0</v>
      </c>
      <c r="P100" s="897">
        <f t="shared" si="30"/>
        <v>0</v>
      </c>
      <c r="Q100" s="897">
        <f t="shared" si="30"/>
        <v>0</v>
      </c>
      <c r="R100" s="897">
        <f t="shared" si="30"/>
        <v>0</v>
      </c>
      <c r="S100" s="897">
        <f t="shared" si="30"/>
        <v>0</v>
      </c>
      <c r="T100" s="897">
        <f t="shared" si="30"/>
        <v>0</v>
      </c>
      <c r="U100" s="897">
        <f t="shared" ref="U100:Y100" si="31">U57-U58-U67</f>
        <v>0</v>
      </c>
      <c r="V100" s="897">
        <f t="shared" si="31"/>
        <v>0</v>
      </c>
      <c r="W100" s="897">
        <f t="shared" si="31"/>
        <v>0</v>
      </c>
      <c r="X100" s="897">
        <f t="shared" si="31"/>
        <v>0</v>
      </c>
      <c r="Y100" s="897">
        <f t="shared" si="31"/>
        <v>0</v>
      </c>
      <c r="Z100"/>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t="s">
        <v>209</v>
      </c>
      <c r="E101" s="21">
        <f>E67-E68-E76</f>
        <v>100000000</v>
      </c>
      <c r="F101" s="21">
        <f t="shared" ref="F101:T101" si="32">F67-F68-F76</f>
        <v>0</v>
      </c>
      <c r="G101" s="131">
        <f t="shared" si="32"/>
        <v>6000000000</v>
      </c>
      <c r="H101" s="21">
        <f t="shared" si="32"/>
        <v>0</v>
      </c>
      <c r="I101" s="21">
        <f t="shared" si="32"/>
        <v>100000000</v>
      </c>
      <c r="J101" s="21">
        <f t="shared" si="32"/>
        <v>0</v>
      </c>
      <c r="K101" s="21">
        <f t="shared" si="32"/>
        <v>0</v>
      </c>
      <c r="L101" s="21">
        <f t="shared" si="32"/>
        <v>0</v>
      </c>
      <c r="M101" s="21">
        <f t="shared" si="32"/>
        <v>0</v>
      </c>
      <c r="N101" s="21">
        <f t="shared" si="32"/>
        <v>0</v>
      </c>
      <c r="O101" s="21">
        <f t="shared" si="32"/>
        <v>0</v>
      </c>
      <c r="P101" s="897">
        <f t="shared" si="32"/>
        <v>100000000</v>
      </c>
      <c r="Q101" s="897">
        <f t="shared" si="32"/>
        <v>0</v>
      </c>
      <c r="R101" s="897">
        <f t="shared" si="32"/>
        <v>0</v>
      </c>
      <c r="S101" s="897">
        <f t="shared" si="32"/>
        <v>0</v>
      </c>
      <c r="T101" s="897">
        <f t="shared" si="32"/>
        <v>-200000000</v>
      </c>
      <c r="U101" s="897">
        <f t="shared" ref="U101:Y101" si="33">U67-U68-U76</f>
        <v>1000000000</v>
      </c>
      <c r="V101" s="897">
        <f t="shared" si="33"/>
        <v>1000000000</v>
      </c>
      <c r="W101" s="897">
        <f t="shared" si="33"/>
        <v>0</v>
      </c>
      <c r="X101" s="897">
        <f t="shared" si="33"/>
        <v>1000000000</v>
      </c>
      <c r="Y101" s="897">
        <f t="shared" si="33"/>
        <v>0</v>
      </c>
      <c r="Z101"/>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t="s">
        <v>528</v>
      </c>
      <c r="E102" s="21">
        <f>E58-E59-E65-E66</f>
        <v>0</v>
      </c>
      <c r="F102" s="21">
        <f t="shared" ref="F102:T102" si="34">F58-F59-F65-F66</f>
        <v>-100000000</v>
      </c>
      <c r="G102" s="131">
        <f t="shared" si="34"/>
        <v>83000000000</v>
      </c>
      <c r="H102" s="21">
        <f t="shared" si="34"/>
        <v>0</v>
      </c>
      <c r="I102" s="21">
        <f t="shared" si="34"/>
        <v>0</v>
      </c>
      <c r="J102" s="21">
        <f t="shared" si="34"/>
        <v>1.52587890625E-5</v>
      </c>
      <c r="K102" s="21">
        <f t="shared" si="34"/>
        <v>0</v>
      </c>
      <c r="L102" s="21">
        <f t="shared" si="34"/>
        <v>0</v>
      </c>
      <c r="M102" s="21">
        <f t="shared" si="34"/>
        <v>0</v>
      </c>
      <c r="N102" s="21">
        <f t="shared" si="34"/>
        <v>0</v>
      </c>
      <c r="O102" s="21">
        <f t="shared" si="34"/>
        <v>0</v>
      </c>
      <c r="P102" s="897">
        <f t="shared" si="34"/>
        <v>-100000000</v>
      </c>
      <c r="Q102" s="897">
        <f>Q58-Q59-Q65-Q66</f>
        <v>-100000000</v>
      </c>
      <c r="R102" s="897">
        <f t="shared" si="34"/>
        <v>0</v>
      </c>
      <c r="S102" s="897">
        <f t="shared" si="34"/>
        <v>0</v>
      </c>
      <c r="T102" s="897">
        <f t="shared" si="34"/>
        <v>0</v>
      </c>
      <c r="U102" s="897">
        <f t="shared" ref="U102:Y102" si="35">U58-U59-U65-U66</f>
        <v>0</v>
      </c>
      <c r="V102" s="897">
        <f t="shared" si="35"/>
        <v>0</v>
      </c>
      <c r="W102" s="897">
        <f t="shared" si="35"/>
        <v>0</v>
      </c>
      <c r="X102" s="897">
        <f t="shared" si="35"/>
        <v>0</v>
      </c>
      <c r="Y102" s="897">
        <f t="shared" si="35"/>
        <v>0</v>
      </c>
      <c r="Z102"/>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t="s">
        <v>1285</v>
      </c>
      <c r="E103" s="21">
        <f>E59-E60-E61-E62-E63</f>
        <v>0</v>
      </c>
      <c r="F103" s="21">
        <f t="shared" ref="F103:O103" si="36">F59-F60-F61-F62-F63</f>
        <v>0</v>
      </c>
      <c r="G103" s="21">
        <f t="shared" si="36"/>
        <v>0</v>
      </c>
      <c r="H103" s="21">
        <f t="shared" si="36"/>
        <v>0</v>
      </c>
      <c r="I103" s="21">
        <f t="shared" si="36"/>
        <v>0</v>
      </c>
      <c r="J103" s="21">
        <f t="shared" si="36"/>
        <v>0</v>
      </c>
      <c r="K103" s="21">
        <f t="shared" si="36"/>
        <v>0</v>
      </c>
      <c r="L103" s="21">
        <f t="shared" si="36"/>
        <v>0</v>
      </c>
      <c r="M103" s="21">
        <f t="shared" si="36"/>
        <v>0</v>
      </c>
      <c r="N103" s="21">
        <f t="shared" si="36"/>
        <v>0</v>
      </c>
      <c r="O103" s="21">
        <f t="shared" si="36"/>
        <v>0</v>
      </c>
      <c r="P103" s="897">
        <f>P59-P60-P61-P62-P63</f>
        <v>0</v>
      </c>
      <c r="Q103" s="897">
        <f>Q59-Q60-Q61-Q62-Q63</f>
        <v>0</v>
      </c>
      <c r="R103" s="897">
        <f>R59-R60-R61-R62-R63</f>
        <v>0</v>
      </c>
      <c r="S103" s="897">
        <f>S59-S60-S61-S62-S63</f>
        <v>0</v>
      </c>
      <c r="T103" s="897">
        <f>T59-T60-T61-T62-T63</f>
        <v>0</v>
      </c>
      <c r="U103" s="897">
        <f t="shared" ref="U103:Y103" si="37">U59-U60-U61-U62-U63</f>
        <v>0</v>
      </c>
      <c r="V103" s="897">
        <f t="shared" si="37"/>
        <v>0</v>
      </c>
      <c r="W103" s="897">
        <f t="shared" si="37"/>
        <v>0</v>
      </c>
      <c r="X103" s="897">
        <f t="shared" si="37"/>
        <v>0</v>
      </c>
      <c r="Y103" s="897">
        <f t="shared" si="37"/>
        <v>0</v>
      </c>
      <c r="Z103"/>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D104" s="21"/>
      <c r="Y104" s="903"/>
      <c r="Z104" s="904"/>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Z105" s="904"/>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897">
        <v>5628925000000</v>
      </c>
      <c r="Q106" s="897">
        <v>5947497000000</v>
      </c>
      <c r="R106" s="897">
        <v>6412807000000</v>
      </c>
      <c r="S106" s="21">
        <v>6163000000000</v>
      </c>
      <c r="T106" s="21">
        <v>6704000000000</v>
      </c>
      <c r="U106" s="21">
        <v>7302000000000</v>
      </c>
      <c r="V106" s="21">
        <v>7896000000000</v>
      </c>
      <c r="W106" s="21">
        <v>8540000000000</v>
      </c>
      <c r="X106" s="21">
        <v>9232000000000</v>
      </c>
      <c r="Y106" s="21">
        <v>9986000000000</v>
      </c>
      <c r="Z106" s="904"/>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B107" t="s">
        <v>1286</v>
      </c>
      <c r="E107" s="364">
        <f>(E6/E106)*100</f>
        <v>18.115218179341142</v>
      </c>
      <c r="F107" s="364">
        <f t="shared" ref="F107:R107" si="38">(F6/F106)*100</f>
        <v>16.917543864358972</v>
      </c>
      <c r="G107" s="364">
        <f t="shared" si="38"/>
        <v>17.802310862724539</v>
      </c>
      <c r="H107" s="364">
        <f t="shared" si="38"/>
        <v>18.072326876657346</v>
      </c>
      <c r="I107" s="364">
        <f t="shared" si="38"/>
        <v>17.233315569174742</v>
      </c>
      <c r="J107" s="364">
        <f t="shared" si="38"/>
        <v>18.749946555581211</v>
      </c>
      <c r="K107" s="364">
        <f t="shared" si="38"/>
        <v>20.099760316924247</v>
      </c>
      <c r="L107" s="364">
        <f t="shared" si="38"/>
        <v>16.863352310396891</v>
      </c>
      <c r="M107" s="364">
        <f t="shared" si="38"/>
        <v>19.574406976658629</v>
      </c>
      <c r="N107" s="364">
        <f t="shared" si="38"/>
        <v>19.762601801984658</v>
      </c>
      <c r="O107" s="364">
        <f t="shared" si="38"/>
        <v>21.214572241665032</v>
      </c>
      <c r="P107" s="897">
        <f t="shared" si="38"/>
        <v>22.677509471169007</v>
      </c>
      <c r="Q107" s="897">
        <f t="shared" si="38"/>
        <v>24.240449385682751</v>
      </c>
      <c r="R107" s="897">
        <f t="shared" si="38"/>
        <v>20.600963041613447</v>
      </c>
      <c r="S107" s="897">
        <f t="shared" ref="S107:Y107" si="39">(S6/S106)*100</f>
        <v>20.73665422683758</v>
      </c>
      <c r="T107" s="897">
        <f t="shared" si="39"/>
        <v>21.047136038186157</v>
      </c>
      <c r="U107" s="897">
        <f t="shared" si="39"/>
        <v>21.692686935086279</v>
      </c>
      <c r="V107" s="897">
        <f t="shared" si="39"/>
        <v>23.074974670719349</v>
      </c>
      <c r="W107" s="897">
        <f t="shared" si="39"/>
        <v>23.92271662763466</v>
      </c>
      <c r="X107" s="897">
        <f t="shared" si="39"/>
        <v>24.144280762564989</v>
      </c>
      <c r="Y107" s="897">
        <f t="shared" si="39"/>
        <v>24.384137792910074</v>
      </c>
      <c r="Z107" s="904"/>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B108" t="s">
        <v>1287</v>
      </c>
      <c r="E108" s="364">
        <f>(E20/E106)*100</f>
        <v>22.024215564838087</v>
      </c>
      <c r="F108" s="364">
        <f t="shared" ref="F108:P108" si="40">(F20/F106)*100</f>
        <v>21.763272508924107</v>
      </c>
      <c r="G108" s="364">
        <f t="shared" si="40"/>
        <v>20.748900246899634</v>
      </c>
      <c r="H108" s="364">
        <f t="shared" si="40"/>
        <v>22.580624962822192</v>
      </c>
      <c r="I108" s="364">
        <f t="shared" si="40"/>
        <v>22.274589481397594</v>
      </c>
      <c r="J108" s="364">
        <f t="shared" si="40"/>
        <v>24.130566195106002</v>
      </c>
      <c r="K108" s="364">
        <f t="shared" si="40"/>
        <v>25.794434915554742</v>
      </c>
      <c r="L108" s="364">
        <f t="shared" si="40"/>
        <v>21.2609766843035</v>
      </c>
      <c r="M108" s="364">
        <f t="shared" si="40"/>
        <v>24.346857984188748</v>
      </c>
      <c r="N108" s="364">
        <f t="shared" si="40"/>
        <v>25.227515774494393</v>
      </c>
      <c r="O108" s="364">
        <f t="shared" si="40"/>
        <v>23.619011967708801</v>
      </c>
      <c r="P108" s="897">
        <f t="shared" si="40"/>
        <v>25.809546227743308</v>
      </c>
      <c r="Q108" s="897">
        <f>(Q21/Q106)*100</f>
        <v>28.201779673028838</v>
      </c>
      <c r="R108" s="897">
        <f>(R21/R106)*100</f>
        <v>22.467540345436873</v>
      </c>
      <c r="S108" s="897">
        <f t="shared" ref="S108:Y108" si="41">(S21/S106)*100</f>
        <v>23.105630374817459</v>
      </c>
      <c r="T108" s="897">
        <f t="shared" si="41"/>
        <v>24.537589498806682</v>
      </c>
      <c r="U108" s="897">
        <f t="shared" si="41"/>
        <v>29.895918926321556</v>
      </c>
      <c r="V108" s="897">
        <f t="shared" si="41"/>
        <v>28.11550151975684</v>
      </c>
      <c r="W108" s="897">
        <f t="shared" si="41"/>
        <v>26.967213114754095</v>
      </c>
      <c r="X108" s="897">
        <f t="shared" si="41"/>
        <v>27.177209705372618</v>
      </c>
      <c r="Y108" s="897">
        <f t="shared" si="41"/>
        <v>27.418385740036051</v>
      </c>
      <c r="Z108" s="904"/>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Y109" s="903"/>
      <c r="Z109" s="904"/>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ht="13.5" customHeight="1">
      <c r="B110" t="s">
        <v>153</v>
      </c>
      <c r="E110" t="b">
        <f>IF(E43&lt;0, (E43/E20)*100)</f>
        <v>0</v>
      </c>
      <c r="F110" t="b">
        <f t="shared" ref="F110:T110" si="42">IF(F43&lt;0, (F43/F20)*100)</f>
        <v>0</v>
      </c>
      <c r="G110" t="b">
        <f t="shared" si="42"/>
        <v>0</v>
      </c>
      <c r="H110" t="b">
        <f t="shared" si="42"/>
        <v>0</v>
      </c>
      <c r="I110" t="b">
        <f t="shared" si="42"/>
        <v>0</v>
      </c>
      <c r="J110" t="b">
        <f t="shared" si="42"/>
        <v>0</v>
      </c>
      <c r="K110" t="b">
        <f t="shared" si="42"/>
        <v>0</v>
      </c>
      <c r="L110" t="b">
        <f t="shared" si="42"/>
        <v>0</v>
      </c>
      <c r="M110" t="b">
        <f t="shared" si="42"/>
        <v>0</v>
      </c>
      <c r="N110" t="b">
        <f t="shared" si="42"/>
        <v>0</v>
      </c>
      <c r="O110" t="b">
        <f t="shared" si="42"/>
        <v>0</v>
      </c>
      <c r="P110" s="897" t="b">
        <f t="shared" si="42"/>
        <v>0</v>
      </c>
      <c r="Q110" s="897" t="b">
        <f t="shared" si="42"/>
        <v>0</v>
      </c>
      <c r="R110" s="897" t="b">
        <f t="shared" si="42"/>
        <v>0</v>
      </c>
      <c r="S110" s="897" t="b">
        <f t="shared" si="42"/>
        <v>0</v>
      </c>
      <c r="T110" s="897" t="b">
        <f t="shared" si="42"/>
        <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D15" activePane="bottomRight" state="frozen"/>
      <selection pane="topRight" activeCell="C1" sqref="C1"/>
      <selection pane="bottomLeft" activeCell="A6" sqref="A6"/>
      <selection pane="bottomRight" activeCell="H20" sqref="H20:K20"/>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1288</v>
      </c>
      <c r="B1" s="82" t="s">
        <v>1289</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1290</v>
      </c>
      <c r="C2" s="30"/>
      <c r="D2" s="28"/>
      <c r="E2" s="28"/>
      <c r="F2" s="28"/>
      <c r="G2" s="28"/>
      <c r="H2" s="28"/>
      <c r="I2" s="28"/>
      <c r="J2" s="28"/>
      <c r="K2" s="28"/>
      <c r="L2" s="28"/>
      <c r="M2" s="28"/>
      <c r="N2" s="28"/>
      <c r="O2" s="29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2226</v>
      </c>
      <c r="T5" s="28" t="s">
        <v>2226</v>
      </c>
      <c r="U5" s="28" t="s">
        <v>2226</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46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449">
        <f>V8+V13</f>
        <v>847522464545</v>
      </c>
      <c r="W7" s="2479">
        <f>W8+W13</f>
        <v>864864823548</v>
      </c>
      <c r="X7" s="2463"/>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c r="A8" s="20" t="s">
        <v>39</v>
      </c>
      <c r="B8" s="58" t="s">
        <v>731</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485">
        <f>S9+S10+S11</f>
        <v>507469436776.09601</v>
      </c>
      <c r="T8" s="2485">
        <f t="shared" ref="T8:U8" si="5">T9+T10+T11</f>
        <v>539897960555.29962</v>
      </c>
      <c r="U8" s="2485">
        <f t="shared" si="5"/>
        <v>653538983446.19995</v>
      </c>
      <c r="V8" s="2485">
        <f>V9+V10+V11+V12</f>
        <v>745830610145</v>
      </c>
      <c r="W8" s="2479">
        <v>758830610145</v>
      </c>
      <c r="X8" s="246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s="43" t="s">
        <v>1291</v>
      </c>
      <c r="B9" s="64" t="s">
        <v>1292</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485">
        <v>132037200000.00002</v>
      </c>
      <c r="T9" s="2485">
        <v>132475000000</v>
      </c>
      <c r="U9" s="2485">
        <v>151525700000</v>
      </c>
      <c r="V9" s="2479">
        <v>177937338337</v>
      </c>
      <c r="W9" s="2479">
        <v>177937338337</v>
      </c>
      <c r="X9" s="2488"/>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47</v>
      </c>
      <c r="B10" s="64" t="s">
        <v>1293</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485">
        <v>322465900000</v>
      </c>
      <c r="T10" s="2485">
        <v>340244300000</v>
      </c>
      <c r="U10" s="2480">
        <v>433938200000</v>
      </c>
      <c r="V10" s="2485">
        <v>451802236591</v>
      </c>
      <c r="W10" s="2479">
        <v>464802236591</v>
      </c>
      <c r="X10" s="2488"/>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45</v>
      </c>
      <c r="B11" s="64" t="s">
        <v>1294</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486">
        <v>52966336776.095993</v>
      </c>
      <c r="T11" s="2486">
        <v>67178660555.299622</v>
      </c>
      <c r="U11" s="2486">
        <v>68075083446.200005</v>
      </c>
      <c r="V11" s="2479">
        <v>98091035217</v>
      </c>
      <c r="W11" s="2479">
        <v>98091035217</v>
      </c>
      <c r="X11" s="2488"/>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c r="A12" s="43" t="s">
        <v>49</v>
      </c>
      <c r="B12" s="64" t="s">
        <v>1295</v>
      </c>
      <c r="C12" t="s">
        <v>44</v>
      </c>
      <c r="D12" s="58"/>
      <c r="F12" s="58"/>
      <c r="H12" s="135">
        <v>300000000</v>
      </c>
      <c r="I12" s="135">
        <v>300000000</v>
      </c>
      <c r="J12" s="135">
        <v>3900000000</v>
      </c>
      <c r="K12" s="135">
        <v>3100000000</v>
      </c>
      <c r="L12" s="135">
        <v>2764260000</v>
      </c>
      <c r="M12" s="135">
        <v>2184177000</v>
      </c>
      <c r="N12" s="135"/>
      <c r="O12" s="135"/>
      <c r="P12" s="135"/>
      <c r="Q12" s="135"/>
      <c r="R12" s="135"/>
      <c r="S12" s="2480"/>
      <c r="T12" s="2480"/>
      <c r="U12" s="2480"/>
      <c r="V12" s="2479">
        <v>18000000000</v>
      </c>
      <c r="W12" s="2479">
        <f>W8-W9-W10-W11</f>
        <v>18000000000</v>
      </c>
      <c r="X12" s="246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58" t="s">
        <v>51</v>
      </c>
      <c r="B13" s="58" t="s">
        <v>742</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485">
        <v>56386000000</v>
      </c>
      <c r="T13" s="2485">
        <v>53328200000</v>
      </c>
      <c r="U13" s="2485">
        <v>55051700000</v>
      </c>
      <c r="V13" s="2479">
        <v>101691854400</v>
      </c>
      <c r="W13" s="2479">
        <f>44651095000+61383118403</f>
        <v>106034213403</v>
      </c>
      <c r="X13" s="2488"/>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488"/>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ht="16.5">
      <c r="A15" s="20" t="s">
        <v>1296</v>
      </c>
      <c r="B15" s="64" t="s">
        <v>1297</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487"/>
      <c r="T15" s="2485"/>
      <c r="U15" s="2485"/>
      <c r="V15" s="2488"/>
      <c r="W15" s="2492"/>
      <c r="X15" s="246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c r="A16" s="64" t="s">
        <v>1298</v>
      </c>
      <c r="B16" s="64" t="s">
        <v>1298</v>
      </c>
      <c r="C16" s="14" t="s">
        <v>57</v>
      </c>
      <c r="D16" s="58"/>
      <c r="F16" s="58"/>
      <c r="H16" s="135"/>
      <c r="I16" s="135">
        <v>8000000000</v>
      </c>
      <c r="J16" s="135">
        <v>36700000000</v>
      </c>
      <c r="K16" s="135">
        <v>40800000000</v>
      </c>
      <c r="L16" s="135">
        <v>41463900000</v>
      </c>
      <c r="M16" s="135"/>
      <c r="N16" s="135"/>
      <c r="O16" s="135"/>
      <c r="P16" s="135"/>
      <c r="Q16" s="135"/>
      <c r="R16" s="135"/>
      <c r="S16" s="2487"/>
      <c r="T16" s="2480"/>
      <c r="U16" s="2480"/>
      <c r="V16" s="2489"/>
      <c r="W16" s="2492"/>
      <c r="X16" s="246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row>
    <row r="17" spans="1:52" ht="16.5">
      <c r="A17" s="20" t="s">
        <v>564</v>
      </c>
      <c r="B17" s="64" t="s">
        <v>1299</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485"/>
      <c r="T17" s="2485"/>
      <c r="U17" s="2485"/>
      <c r="V17" s="2488"/>
      <c r="W17" s="2492"/>
      <c r="X17" s="2463"/>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67</v>
      </c>
      <c r="B18" s="64" t="s">
        <v>1300</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485"/>
      <c r="T18" s="2485"/>
      <c r="U18" s="2485"/>
      <c r="V18" s="2488"/>
      <c r="W18" s="2492"/>
      <c r="X18" s="2463"/>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c r="A19" t="s">
        <v>198</v>
      </c>
      <c r="B19" t="s">
        <v>1301</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463"/>
      <c r="W19" s="2492"/>
      <c r="X19" s="2463"/>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s="15" customFormat="1">
      <c r="A20" s="9" t="s">
        <v>198</v>
      </c>
      <c r="B20" s="9" t="s">
        <v>1301</v>
      </c>
      <c r="C20" s="18" t="s">
        <v>35</v>
      </c>
      <c r="D20" s="160"/>
      <c r="E20" s="160"/>
      <c r="F20" s="160"/>
      <c r="H20" s="156">
        <f>H21+H42+H50</f>
        <v>293800000000</v>
      </c>
      <c r="I20" s="156">
        <f>I21+I42+I50</f>
        <v>317800000000</v>
      </c>
      <c r="J20" s="156">
        <f>J21+J42+J50</f>
        <v>361800000000</v>
      </c>
      <c r="K20" s="156">
        <f>K21+K42+K50</f>
        <v>408200000000</v>
      </c>
      <c r="L20" s="156">
        <f t="shared" ref="L20:R20" si="6">L21+L42+L50+L53</f>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463"/>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485">
        <f>S22+S30+S35+S38+S42+S41</f>
        <v>807413813766</v>
      </c>
      <c r="T21" s="2485">
        <f t="shared" ref="T21:U21" si="8">T22+T30+T35+T38+T42+T41</f>
        <v>783014024553.4187</v>
      </c>
      <c r="U21" s="2485">
        <f t="shared" si="8"/>
        <v>863733668675.26257</v>
      </c>
      <c r="V21" s="2485">
        <v>868523790741</v>
      </c>
      <c r="W21" s="2485">
        <v>881116895408</v>
      </c>
      <c r="X21" s="2463"/>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row>
    <row r="22" spans="1:52" ht="16.5">
      <c r="A22" s="64" t="s">
        <v>797</v>
      </c>
      <c r="B22" s="64" t="s">
        <v>1005</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485">
        <v>322820080000</v>
      </c>
      <c r="T22" s="2485">
        <v>359088000000</v>
      </c>
      <c r="U22" s="2485">
        <v>385815455788</v>
      </c>
      <c r="V22" s="2485">
        <v>409595054343</v>
      </c>
      <c r="W22" s="2485">
        <v>409183741933</v>
      </c>
      <c r="X22" s="2463"/>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c r="A23" t="s">
        <v>76</v>
      </c>
      <c r="B23" s="232" t="s">
        <v>1302</v>
      </c>
      <c r="C23" s="233"/>
      <c r="D23" s="58"/>
      <c r="F23" s="58"/>
      <c r="H23" s="135">
        <v>34800000000</v>
      </c>
      <c r="I23" s="135"/>
      <c r="J23" s="135"/>
      <c r="K23" s="135"/>
      <c r="L23" s="135"/>
      <c r="M23" s="135"/>
      <c r="N23" s="135"/>
      <c r="O23" s="135"/>
      <c r="P23" s="135"/>
      <c r="Q23" s="135"/>
      <c r="R23" s="135"/>
      <c r="S23" s="2485"/>
      <c r="T23" s="2485"/>
      <c r="U23" s="2485"/>
      <c r="V23" s="2485"/>
      <c r="W23" s="2485"/>
      <c r="X23" s="2463"/>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c r="A24" t="s">
        <v>76</v>
      </c>
      <c r="B24" s="232" t="s">
        <v>1303</v>
      </c>
      <c r="C24" s="233"/>
      <c r="D24" s="58"/>
      <c r="F24" s="58"/>
      <c r="H24" s="135">
        <v>23800000000</v>
      </c>
      <c r="I24" s="135"/>
      <c r="J24" s="135"/>
      <c r="K24" s="135"/>
      <c r="L24" s="135"/>
      <c r="M24" s="135"/>
      <c r="N24" s="135"/>
      <c r="O24" s="135"/>
      <c r="P24" s="135"/>
      <c r="Q24" s="135"/>
      <c r="R24" s="135"/>
      <c r="S24" s="2485"/>
      <c r="T24" s="2485"/>
      <c r="U24" s="2485"/>
      <c r="V24" s="2485"/>
      <c r="W24" s="2485"/>
      <c r="X24" s="246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99" t="s">
        <v>1304</v>
      </c>
      <c r="B25" s="99" t="s">
        <v>1305</v>
      </c>
      <c r="C25" s="11" t="s">
        <v>81</v>
      </c>
      <c r="D25" s="58"/>
      <c r="F25" s="58"/>
      <c r="H25" s="135">
        <v>0</v>
      </c>
      <c r="I25" s="135"/>
      <c r="J25" s="135"/>
      <c r="K25" s="135"/>
      <c r="L25" s="135"/>
      <c r="M25" s="135"/>
      <c r="N25" s="135"/>
      <c r="O25" s="135"/>
      <c r="P25" s="135"/>
      <c r="Q25" s="135"/>
      <c r="R25" s="135"/>
      <c r="S25" s="2485"/>
      <c r="T25" s="2485"/>
      <c r="U25" s="2485"/>
      <c r="V25" s="2485"/>
      <c r="W25" s="2485"/>
      <c r="X25" s="246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c r="A26" t="s">
        <v>76</v>
      </c>
      <c r="B26" s="100" t="s">
        <v>1306</v>
      </c>
      <c r="C26" s="90"/>
      <c r="D26" s="58"/>
      <c r="F26" s="58"/>
      <c r="H26" s="159"/>
      <c r="I26" s="159"/>
      <c r="J26" s="159"/>
      <c r="K26" s="159"/>
      <c r="L26" s="135">
        <v>84309930000</v>
      </c>
      <c r="M26" s="135">
        <v>111393026999.99998</v>
      </c>
      <c r="N26" s="135"/>
      <c r="O26" s="135"/>
      <c r="P26" s="135"/>
      <c r="Q26" s="135"/>
      <c r="R26" s="135"/>
      <c r="S26" s="2485"/>
      <c r="T26" s="2485"/>
      <c r="U26" s="2485"/>
      <c r="V26" s="2485"/>
      <c r="W26" s="2485"/>
      <c r="X26" s="246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c r="A27" t="s">
        <v>76</v>
      </c>
      <c r="B27" s="100" t="s">
        <v>1307</v>
      </c>
      <c r="C27" s="90"/>
      <c r="D27" s="58"/>
      <c r="F27" s="58"/>
      <c r="H27" s="159"/>
      <c r="I27" s="159"/>
      <c r="J27" s="159"/>
      <c r="K27" s="159"/>
      <c r="L27" s="135">
        <v>49756680000</v>
      </c>
      <c r="M27" s="135">
        <v>54604425000</v>
      </c>
      <c r="N27" s="135"/>
      <c r="O27" s="135"/>
      <c r="P27" s="135"/>
      <c r="Q27" s="135"/>
      <c r="R27" s="135"/>
      <c r="S27" s="2485"/>
      <c r="T27" s="2485"/>
      <c r="U27" s="2485"/>
      <c r="V27" s="2485"/>
      <c r="W27" s="2485"/>
      <c r="X27" s="246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c r="A28" t="s">
        <v>76</v>
      </c>
      <c r="B28" s="100" t="s">
        <v>1308</v>
      </c>
      <c r="C28" s="90"/>
      <c r="D28" s="58"/>
      <c r="F28" s="58"/>
      <c r="H28" s="159"/>
      <c r="I28" s="159"/>
      <c r="J28" s="159"/>
      <c r="K28" s="159"/>
      <c r="L28" s="135">
        <v>24878340000</v>
      </c>
      <c r="M28" s="135"/>
      <c r="N28" s="135"/>
      <c r="O28" s="135"/>
      <c r="P28" s="135"/>
      <c r="Q28" s="135"/>
      <c r="R28" s="135"/>
      <c r="S28" s="2485"/>
      <c r="T28" s="2485"/>
      <c r="U28" s="2485"/>
      <c r="V28" s="2485"/>
      <c r="W28" s="2485"/>
      <c r="X28" s="246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86" t="s">
        <v>1309</v>
      </c>
      <c r="B29" s="64" t="s">
        <v>1310</v>
      </c>
      <c r="C29" s="11" t="s">
        <v>81</v>
      </c>
      <c r="D29" s="58"/>
      <c r="F29" s="58"/>
      <c r="H29" s="159"/>
      <c r="I29" s="159"/>
      <c r="J29" s="159"/>
      <c r="K29" s="159"/>
      <c r="L29" s="135"/>
      <c r="M29" s="135">
        <v>0</v>
      </c>
      <c r="N29" s="135">
        <v>18800000000</v>
      </c>
      <c r="O29" s="135">
        <v>22000000000</v>
      </c>
      <c r="P29" s="142">
        <v>6000000000</v>
      </c>
      <c r="Q29" s="142">
        <v>0</v>
      </c>
      <c r="R29" s="210">
        <v>0</v>
      </c>
      <c r="S29" s="2485"/>
      <c r="T29" s="2485"/>
      <c r="U29" s="2485"/>
      <c r="V29" s="2485"/>
      <c r="W29" s="2485"/>
      <c r="X29" s="246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ht="16.5">
      <c r="A30" s="20" t="s">
        <v>83</v>
      </c>
      <c r="B30" s="64" t="s">
        <v>1311</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485">
        <v>140269800000</v>
      </c>
      <c r="T30" s="2485">
        <v>153557400000</v>
      </c>
      <c r="U30" s="2485">
        <v>160242889100</v>
      </c>
      <c r="V30" s="2485">
        <v>137670369597</v>
      </c>
      <c r="W30" s="2485">
        <v>137670369597</v>
      </c>
      <c r="X30" s="2452"/>
      <c r="Y30" s="464"/>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c r="A31" t="s">
        <v>76</v>
      </c>
      <c r="B31" s="232" t="s">
        <v>1302</v>
      </c>
      <c r="C31" s="233"/>
      <c r="D31" s="58"/>
      <c r="F31" s="58"/>
      <c r="H31" s="135">
        <v>28100000000</v>
      </c>
      <c r="I31" s="135"/>
      <c r="J31" s="135"/>
      <c r="K31" s="135"/>
      <c r="L31" s="135"/>
      <c r="M31" s="135"/>
      <c r="N31" s="135"/>
      <c r="O31" s="135"/>
      <c r="P31" s="135"/>
      <c r="Q31" s="135"/>
      <c r="R31" s="135"/>
      <c r="S31" s="2485"/>
      <c r="T31" s="2485"/>
      <c r="U31" s="2485"/>
      <c r="V31" s="2485"/>
      <c r="W31" s="2485"/>
      <c r="X31" s="246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c r="A32" t="s">
        <v>76</v>
      </c>
      <c r="B32" s="100" t="s">
        <v>1312</v>
      </c>
      <c r="C32" s="90"/>
      <c r="D32" s="58"/>
      <c r="F32" s="58"/>
      <c r="H32" s="135"/>
      <c r="I32" s="135"/>
      <c r="J32" s="135"/>
      <c r="K32" s="135"/>
      <c r="L32" s="135"/>
      <c r="M32" s="135"/>
      <c r="N32" s="135"/>
      <c r="O32" s="135"/>
      <c r="P32" s="135"/>
      <c r="Q32" s="135"/>
      <c r="R32" s="135"/>
      <c r="S32" s="2485"/>
      <c r="T32" s="2485"/>
      <c r="U32" s="2485"/>
      <c r="V32" s="2485"/>
      <c r="W32" s="2485"/>
      <c r="X32" s="246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c r="A33" t="s">
        <v>76</v>
      </c>
      <c r="B33" s="232" t="s">
        <v>1303</v>
      </c>
      <c r="C33" s="233"/>
      <c r="D33" s="58"/>
      <c r="F33" s="58"/>
      <c r="H33" s="135">
        <v>25500000000</v>
      </c>
      <c r="I33" s="135"/>
      <c r="J33" s="135"/>
      <c r="K33" s="135"/>
      <c r="L33" s="135"/>
      <c r="M33" s="135"/>
      <c r="N33" s="135"/>
      <c r="O33" s="135"/>
      <c r="P33" s="135"/>
      <c r="Q33" s="135"/>
      <c r="R33" s="135"/>
      <c r="S33" s="2485"/>
      <c r="T33" s="2485"/>
      <c r="U33" s="2485"/>
      <c r="V33" s="2485"/>
      <c r="W33" s="2485"/>
      <c r="X33" s="246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c r="A34" t="s">
        <v>76</v>
      </c>
      <c r="B34" s="100" t="s">
        <v>1305</v>
      </c>
      <c r="C34" s="233"/>
      <c r="D34" s="58"/>
      <c r="F34" s="58"/>
      <c r="H34" s="135">
        <v>0</v>
      </c>
      <c r="I34" s="135"/>
      <c r="J34" s="135"/>
      <c r="K34" s="135"/>
      <c r="L34" s="135"/>
      <c r="M34" s="135"/>
      <c r="N34" s="135"/>
      <c r="O34" s="135"/>
      <c r="P34" s="135"/>
      <c r="Q34" s="135"/>
      <c r="R34" s="135"/>
      <c r="S34" s="2485"/>
      <c r="T34" s="2485"/>
      <c r="U34" s="2485"/>
      <c r="V34" s="2485"/>
      <c r="W34" s="2485"/>
      <c r="X34" s="246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86" t="s">
        <v>7026</v>
      </c>
      <c r="B35" s="64" t="s">
        <v>1313</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485">
        <v>286505446210</v>
      </c>
      <c r="T35" s="2485">
        <v>219550800000</v>
      </c>
      <c r="U35" s="2485">
        <v>278331049211.00006</v>
      </c>
      <c r="V35" s="2485">
        <v>237896531347</v>
      </c>
      <c r="W35" s="2485">
        <v>250807843757</v>
      </c>
      <c r="X35" s="2452"/>
      <c r="Y35" s="464"/>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c r="A36" s="20" t="s">
        <v>391</v>
      </c>
      <c r="B36" s="99" t="s">
        <v>1314</v>
      </c>
      <c r="C36" s="11" t="s">
        <v>81</v>
      </c>
      <c r="D36" s="90"/>
      <c r="F36" s="58"/>
      <c r="H36" s="159"/>
      <c r="I36" s="159"/>
      <c r="J36" s="159"/>
      <c r="K36" s="159"/>
      <c r="L36" s="135">
        <v>199026720000</v>
      </c>
      <c r="M36" s="135"/>
      <c r="N36" s="135"/>
      <c r="O36" s="135"/>
      <c r="P36" s="135"/>
      <c r="Q36" s="135"/>
      <c r="R36" s="135"/>
      <c r="S36" s="2485"/>
      <c r="T36" s="2485"/>
      <c r="U36" s="2485"/>
      <c r="V36" s="2485"/>
      <c r="W36" s="2485"/>
      <c r="X36" s="246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c r="A37" t="s">
        <v>76</v>
      </c>
      <c r="B37" s="100" t="s">
        <v>1315</v>
      </c>
      <c r="C37" s="90"/>
      <c r="D37" s="90"/>
      <c r="F37" s="58"/>
      <c r="H37" s="159"/>
      <c r="I37" s="159"/>
      <c r="J37" s="159"/>
      <c r="K37" s="159"/>
      <c r="L37" s="135"/>
      <c r="M37" s="135"/>
      <c r="N37" s="135"/>
      <c r="O37" s="135"/>
      <c r="P37" s="135"/>
      <c r="Q37" s="135"/>
      <c r="R37" s="135"/>
      <c r="S37" s="2485"/>
      <c r="T37" s="2485"/>
      <c r="U37" s="2485"/>
      <c r="V37" s="2485"/>
      <c r="W37" s="2485"/>
      <c r="X37" s="2463"/>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485">
        <v>40632394871</v>
      </c>
      <c r="T38" s="2485">
        <v>35127824553.418686</v>
      </c>
      <c r="U38" s="2485">
        <v>27220036979.262558</v>
      </c>
      <c r="V38" s="2485">
        <v>56893104667</v>
      </c>
      <c r="W38" s="2485">
        <v>56893104667</v>
      </c>
      <c r="X38" s="245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ht="16.5">
      <c r="A39" t="s">
        <v>209</v>
      </c>
      <c r="B39" s="65" t="s">
        <v>1316</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485">
        <v>33705009000</v>
      </c>
      <c r="T39" s="2485">
        <v>28051003057</v>
      </c>
      <c r="U39" s="2485">
        <v>19129387210</v>
      </c>
      <c r="V39" s="2485">
        <v>43270999373</v>
      </c>
      <c r="W39" s="2485">
        <v>43270999373</v>
      </c>
      <c r="X39" s="245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583</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485">
        <v>6927385870.999999</v>
      </c>
      <c r="T40" s="2485">
        <v>7076821496.4186773</v>
      </c>
      <c r="U40" s="2485">
        <v>8090649769.262557</v>
      </c>
      <c r="V40" s="2485">
        <f>V38-V39</f>
        <v>13622105294</v>
      </c>
      <c r="W40" s="2485">
        <f>W38-W39</f>
        <v>13622105294</v>
      </c>
      <c r="X40" s="245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s="20" t="s">
        <v>391</v>
      </c>
      <c r="B41" s="64" t="s">
        <v>1012</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485">
        <v>17186092685</v>
      </c>
      <c r="T41" s="2485">
        <v>15690000000.000015</v>
      </c>
      <c r="U41" s="2485">
        <v>12124237596.999954</v>
      </c>
      <c r="V41" s="2485">
        <f>V21-V22-V30-V35-V38</f>
        <v>26468730787</v>
      </c>
      <c r="W41" s="2485">
        <f>W21-W22-W30-W35-W38</f>
        <v>26561835454</v>
      </c>
      <c r="X41" s="246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58" t="s">
        <v>579</v>
      </c>
      <c r="B42" s="58" t="s">
        <v>1317</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485"/>
      <c r="T42" s="2485"/>
      <c r="U42" s="2485"/>
      <c r="V42" s="2485"/>
      <c r="W42" s="2485"/>
      <c r="X42" s="245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c r="A43" s="64" t="s">
        <v>1318</v>
      </c>
      <c r="B43" s="64" t="s">
        <v>1319</v>
      </c>
      <c r="C43" s="58" t="s">
        <v>401</v>
      </c>
      <c r="D43" s="58"/>
      <c r="F43" s="58"/>
      <c r="H43" s="135">
        <v>7400000000</v>
      </c>
      <c r="I43" s="135">
        <v>8700000000</v>
      </c>
      <c r="J43" s="135">
        <v>23500000000</v>
      </c>
      <c r="K43" s="135">
        <v>12200000000</v>
      </c>
      <c r="L43" s="135"/>
      <c r="M43" s="135"/>
      <c r="N43" s="135"/>
      <c r="O43" s="135"/>
      <c r="P43" s="135"/>
      <c r="Q43" s="135"/>
      <c r="R43" s="135"/>
      <c r="S43" s="2485"/>
      <c r="T43" s="2485"/>
      <c r="U43" s="2485"/>
      <c r="V43" s="2485"/>
      <c r="W43" s="2485"/>
      <c r="X43" s="246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c r="A44" s="64" t="s">
        <v>1320</v>
      </c>
      <c r="B44" s="64" t="s">
        <v>1320</v>
      </c>
      <c r="C44" s="58" t="s">
        <v>401</v>
      </c>
      <c r="D44" s="58"/>
      <c r="F44" s="58"/>
      <c r="H44" s="135">
        <v>3300000000</v>
      </c>
      <c r="I44" s="135">
        <v>24500000000</v>
      </c>
      <c r="J44" s="135">
        <v>0</v>
      </c>
      <c r="K44" s="135">
        <v>0</v>
      </c>
      <c r="L44" s="135"/>
      <c r="M44" s="135"/>
      <c r="N44" s="135"/>
      <c r="O44" s="135"/>
      <c r="P44" s="135"/>
      <c r="Q44" s="135"/>
      <c r="R44" s="135"/>
      <c r="S44" s="2485"/>
      <c r="T44" s="2485"/>
      <c r="U44" s="2485"/>
      <c r="V44" s="2485"/>
      <c r="W44" s="2485"/>
      <c r="X44" s="246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c r="A45" s="99" t="s">
        <v>1321</v>
      </c>
      <c r="B45" s="99" t="s">
        <v>1322</v>
      </c>
      <c r="C45" s="58" t="s">
        <v>401</v>
      </c>
      <c r="D45" s="90"/>
      <c r="F45" s="58"/>
      <c r="H45" s="159">
        <v>0</v>
      </c>
      <c r="I45" s="159"/>
      <c r="J45" s="159"/>
      <c r="K45" s="159"/>
      <c r="L45" s="135">
        <v>156180690000.00003</v>
      </c>
      <c r="M45" s="135"/>
      <c r="N45" s="135"/>
      <c r="O45" s="135"/>
      <c r="P45" s="135"/>
      <c r="Q45" s="135"/>
      <c r="R45" s="135"/>
      <c r="S45" s="2485"/>
      <c r="T45" s="2485"/>
      <c r="U45" s="2485"/>
      <c r="V45" s="2485"/>
      <c r="W45" s="2485"/>
      <c r="X45" s="2463"/>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c r="A46" t="s">
        <v>76</v>
      </c>
      <c r="B46" s="90" t="s">
        <v>1315</v>
      </c>
      <c r="C46" s="90"/>
      <c r="D46" s="90"/>
      <c r="F46" s="58"/>
      <c r="H46" s="159">
        <v>0</v>
      </c>
      <c r="I46" s="159"/>
      <c r="J46" s="159"/>
      <c r="K46" s="159"/>
      <c r="L46" s="135">
        <v>0</v>
      </c>
      <c r="M46" s="135"/>
      <c r="N46" s="135"/>
      <c r="O46" s="135"/>
      <c r="P46" s="135"/>
      <c r="Q46" s="135"/>
      <c r="R46" s="135"/>
      <c r="S46" s="2485"/>
      <c r="T46" s="2485"/>
      <c r="U46" s="2485"/>
      <c r="V46" s="2485"/>
      <c r="W46" s="2485"/>
      <c r="X46" s="246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c r="A47" t="s">
        <v>76</v>
      </c>
      <c r="B47" s="90" t="s">
        <v>1323</v>
      </c>
      <c r="C47" s="90"/>
      <c r="D47" s="90"/>
      <c r="F47" s="58"/>
      <c r="H47" s="159">
        <v>0</v>
      </c>
      <c r="I47" s="159"/>
      <c r="J47" s="159"/>
      <c r="K47" s="159"/>
      <c r="L47" s="135">
        <v>269515350000</v>
      </c>
      <c r="M47" s="135"/>
      <c r="N47" s="135"/>
      <c r="O47" s="135"/>
      <c r="P47" s="135"/>
      <c r="Q47" s="135"/>
      <c r="R47" s="135"/>
      <c r="S47" s="2485"/>
      <c r="T47" s="2485"/>
      <c r="U47" s="2485"/>
      <c r="V47" s="2485"/>
      <c r="W47" s="2485"/>
      <c r="X47" s="246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c r="A48" t="s">
        <v>76</v>
      </c>
      <c r="B48" s="90" t="s">
        <v>1324</v>
      </c>
      <c r="C48" s="90"/>
      <c r="D48" s="90"/>
      <c r="F48" s="58"/>
      <c r="H48" s="159">
        <v>0</v>
      </c>
      <c r="I48" s="159"/>
      <c r="J48" s="159"/>
      <c r="K48" s="159"/>
      <c r="L48" s="135">
        <v>0</v>
      </c>
      <c r="M48" s="135"/>
      <c r="N48" s="135"/>
      <c r="O48" s="135"/>
      <c r="P48" s="135"/>
      <c r="Q48" s="135"/>
      <c r="R48" s="135"/>
      <c r="S48" s="2485"/>
      <c r="T48" s="2485"/>
      <c r="U48" s="2485"/>
      <c r="V48" s="2485"/>
      <c r="W48" s="2485"/>
      <c r="X48" s="246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c r="A49" t="s">
        <v>76</v>
      </c>
      <c r="B49" s="58" t="s">
        <v>1325</v>
      </c>
      <c r="C49" s="58"/>
      <c r="D49" s="58"/>
      <c r="F49" s="58"/>
      <c r="H49" s="159">
        <v>0</v>
      </c>
      <c r="I49" s="159"/>
      <c r="J49" s="159"/>
      <c r="K49" s="159"/>
      <c r="L49" s="159"/>
      <c r="M49" s="135">
        <v>0</v>
      </c>
      <c r="N49" s="135">
        <v>41100000000</v>
      </c>
      <c r="O49" s="135">
        <v>8600000000</v>
      </c>
      <c r="P49" s="135">
        <v>11300000000</v>
      </c>
      <c r="Q49" s="135">
        <v>9100000000</v>
      </c>
      <c r="R49" s="135">
        <v>29700000000</v>
      </c>
      <c r="S49" s="2485"/>
      <c r="T49" s="2485"/>
      <c r="U49" s="2485"/>
      <c r="V49" s="2485"/>
      <c r="W49" s="2485"/>
      <c r="X49" s="246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s="203" t="s">
        <v>237</v>
      </c>
      <c r="B50" s="64" t="s">
        <v>1186</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485">
        <v>181875079701.50119</v>
      </c>
      <c r="T50" s="2485">
        <v>261024661090.01633</v>
      </c>
      <c r="U50" s="2485">
        <v>275742236231.34949</v>
      </c>
      <c r="V50" s="2485">
        <v>519557898215</v>
      </c>
      <c r="W50" s="2485">
        <v>519557898215</v>
      </c>
      <c r="X50" s="245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s="20" t="s">
        <v>239</v>
      </c>
      <c r="B51" s="65" t="s">
        <v>1325</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485"/>
      <c r="T51" s="2485"/>
      <c r="U51" s="2485"/>
      <c r="V51" s="2485"/>
      <c r="W51" s="2485"/>
      <c r="X51" s="246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s="20" t="s">
        <v>395</v>
      </c>
      <c r="B52" s="65" t="s">
        <v>1326</v>
      </c>
      <c r="C52" s="11" t="s">
        <v>95</v>
      </c>
      <c r="D52" s="58"/>
      <c r="F52" s="58"/>
      <c r="H52" s="135">
        <v>83700000000</v>
      </c>
      <c r="I52" s="135">
        <v>64500000000</v>
      </c>
      <c r="J52" s="135">
        <v>81500000000</v>
      </c>
      <c r="K52" s="135">
        <v>105900000000</v>
      </c>
      <c r="L52" s="159"/>
      <c r="M52" s="135">
        <f>M50-M51</f>
        <v>214049346000.00003</v>
      </c>
      <c r="N52" s="135">
        <f t="shared" ref="N52:O52" si="12">N50-N51</f>
        <v>248300000000</v>
      </c>
      <c r="O52" s="135">
        <f t="shared" si="12"/>
        <v>358500000000</v>
      </c>
      <c r="P52" s="142">
        <f t="shared" ref="P52:R52" si="13">P50-P51</f>
        <v>386500000000</v>
      </c>
      <c r="Q52" s="142">
        <f t="shared" si="13"/>
        <v>445200000000</v>
      </c>
      <c r="R52" s="210">
        <f t="shared" si="13"/>
        <v>442300000000</v>
      </c>
      <c r="S52" s="2485"/>
      <c r="T52" s="2485"/>
      <c r="U52" s="2485"/>
      <c r="V52" s="2485"/>
      <c r="W52" s="2485"/>
      <c r="X52" s="246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c r="A53" s="58"/>
      <c r="B53" s="58" t="s">
        <v>588</v>
      </c>
      <c r="C53" s="11"/>
      <c r="D53" s="58"/>
      <c r="F53" s="58"/>
      <c r="H53" s="2734">
        <v>0</v>
      </c>
      <c r="I53" s="2734">
        <v>0</v>
      </c>
      <c r="J53" s="2734">
        <v>0</v>
      </c>
      <c r="K53" s="2734">
        <v>0</v>
      </c>
      <c r="L53" s="159"/>
      <c r="M53" s="135"/>
      <c r="N53" s="135"/>
      <c r="O53" s="135"/>
      <c r="P53" s="135"/>
      <c r="Q53" s="135"/>
      <c r="R53" s="135"/>
      <c r="S53" s="2485"/>
      <c r="T53" s="2485"/>
      <c r="U53" s="2485"/>
      <c r="V53" s="2485"/>
      <c r="W53" s="2485"/>
      <c r="X53" s="246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58" t="s">
        <v>1327</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452"/>
      <c r="W54" s="2492"/>
      <c r="X54" s="2463"/>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58" t="s">
        <v>1328</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452"/>
      <c r="W55" s="2492"/>
      <c r="X55" s="246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c r="A56" t="s">
        <v>76</v>
      </c>
      <c r="B56" s="90" t="s">
        <v>1329</v>
      </c>
      <c r="C56" s="90"/>
      <c r="D56" s="90"/>
      <c r="E56" s="58"/>
      <c r="F56" s="58"/>
      <c r="H56" s="135">
        <v>-144300000000</v>
      </c>
      <c r="I56" s="135">
        <v>-144300000000</v>
      </c>
      <c r="J56" s="135">
        <v>-182200000000</v>
      </c>
      <c r="K56" s="135">
        <v>-210400000000</v>
      </c>
      <c r="L56" s="135">
        <v>-527973660000.00012</v>
      </c>
      <c r="M56" s="159"/>
      <c r="N56" s="159"/>
      <c r="O56" s="159"/>
      <c r="P56" s="159"/>
      <c r="Q56" s="159"/>
      <c r="R56" s="2481"/>
      <c r="S56" s="2481"/>
      <c r="T56" s="2481"/>
      <c r="U56" s="2481"/>
      <c r="V56" s="2479"/>
      <c r="W56" s="2492"/>
      <c r="X56" s="246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c r="A57" t="s">
        <v>76</v>
      </c>
      <c r="B57" s="90" t="s">
        <v>1330</v>
      </c>
      <c r="C57" s="90"/>
      <c r="D57" s="90"/>
      <c r="E57" s="58"/>
      <c r="F57" s="58"/>
      <c r="H57" s="135">
        <v>-35900000000</v>
      </c>
      <c r="I57" s="135">
        <v>-54100000000</v>
      </c>
      <c r="J57" s="135">
        <v>-17100000000.000002</v>
      </c>
      <c r="K57" s="135">
        <v>5700000000</v>
      </c>
      <c r="L57" s="135">
        <v>-33171120000.000004</v>
      </c>
      <c r="M57" s="159"/>
      <c r="N57" s="159"/>
      <c r="O57" s="159"/>
      <c r="P57" s="159"/>
      <c r="Q57" s="159"/>
      <c r="R57" s="2481"/>
      <c r="S57" s="2481"/>
      <c r="T57" s="2481"/>
      <c r="U57" s="2481"/>
      <c r="V57" s="2479"/>
      <c r="W57" s="2492"/>
      <c r="X57" s="246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c r="A58" t="s">
        <v>76</v>
      </c>
      <c r="B58" s="90" t="s">
        <v>1331</v>
      </c>
      <c r="C58" s="90"/>
      <c r="D58" s="90"/>
      <c r="E58" s="58"/>
      <c r="F58" s="58"/>
      <c r="H58" s="135">
        <v>-58500000000</v>
      </c>
      <c r="I58" s="135">
        <v>-10200000000</v>
      </c>
      <c r="J58" s="135">
        <v>-13700000000</v>
      </c>
      <c r="K58" s="135">
        <v>-21900000000</v>
      </c>
      <c r="L58" s="135">
        <v>-11057040000</v>
      </c>
      <c r="M58" s="159"/>
      <c r="N58" s="159"/>
      <c r="O58" s="159"/>
      <c r="P58" s="159"/>
      <c r="Q58" s="159"/>
      <c r="R58" s="2481"/>
      <c r="S58" s="2481"/>
      <c r="T58" s="2481"/>
      <c r="U58" s="2481"/>
      <c r="V58" s="2479"/>
      <c r="W58" s="2492"/>
      <c r="X58" s="246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c r="A59" t="s">
        <v>76</v>
      </c>
      <c r="B59" s="90" t="s">
        <v>1332</v>
      </c>
      <c r="C59" s="90"/>
      <c r="D59" s="90"/>
      <c r="E59" s="58"/>
      <c r="F59" s="58"/>
      <c r="H59" s="135">
        <v>-49000000000</v>
      </c>
      <c r="I59" s="135">
        <v>-10100000000</v>
      </c>
      <c r="J59" s="135">
        <v>-1800000000</v>
      </c>
      <c r="K59" s="135">
        <v>-400000000</v>
      </c>
      <c r="L59" s="135" t="s">
        <v>1333</v>
      </c>
      <c r="M59" s="135" t="s">
        <v>1333</v>
      </c>
      <c r="N59" s="135" t="s">
        <v>1333</v>
      </c>
      <c r="O59" s="135" t="s">
        <v>1333</v>
      </c>
      <c r="P59" s="135" t="s">
        <v>1333</v>
      </c>
      <c r="Q59" s="135" t="s">
        <v>1333</v>
      </c>
      <c r="R59" s="135" t="s">
        <v>1333</v>
      </c>
      <c r="S59" s="135"/>
      <c r="T59" s="135"/>
      <c r="U59" s="135"/>
      <c r="V59" s="2479"/>
      <c r="W59" s="2492"/>
      <c r="X59" s="246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479"/>
      <c r="W60" s="2492"/>
      <c r="X60" s="2463"/>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t="s">
        <v>76</v>
      </c>
      <c r="B61" s="90" t="s">
        <v>410</v>
      </c>
      <c r="C61" s="90"/>
      <c r="D61" s="90"/>
      <c r="E61" s="58"/>
      <c r="F61" s="58"/>
      <c r="H61" s="135">
        <v>-202700000000</v>
      </c>
      <c r="I61" s="135">
        <v>-154500000000</v>
      </c>
      <c r="J61" s="135">
        <v>-195900000000</v>
      </c>
      <c r="K61" s="135">
        <v>-232300000000</v>
      </c>
      <c r="L61" s="135">
        <v>-539030700000</v>
      </c>
      <c r="M61" s="159"/>
      <c r="N61" s="159"/>
      <c r="O61" s="159"/>
      <c r="P61" s="159"/>
      <c r="Q61" s="159"/>
      <c r="R61" s="2481"/>
      <c r="S61" s="2481"/>
      <c r="T61" s="2481"/>
      <c r="U61" s="2481"/>
      <c r="V61" s="2479"/>
      <c r="W61" s="2492"/>
      <c r="X61" s="2463"/>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c r="A62" t="s">
        <v>76</v>
      </c>
      <c r="B62" s="90" t="s">
        <v>1330</v>
      </c>
      <c r="C62" s="90"/>
      <c r="D62" s="90"/>
      <c r="E62" s="58"/>
      <c r="F62" s="58"/>
      <c r="H62" s="135">
        <v>-94300000000</v>
      </c>
      <c r="I62" s="135">
        <v>-64300000000</v>
      </c>
      <c r="J62" s="135">
        <v>-30800000000</v>
      </c>
      <c r="K62" s="135">
        <v>-16300000000</v>
      </c>
      <c r="L62" s="135">
        <v>-44228160000</v>
      </c>
      <c r="M62" s="159"/>
      <c r="N62" s="159"/>
      <c r="O62" s="159"/>
      <c r="P62" s="159"/>
      <c r="Q62" s="159"/>
      <c r="R62" s="2481"/>
      <c r="S62" s="2481"/>
      <c r="T62" s="2481"/>
      <c r="U62" s="2481"/>
      <c r="V62" s="2479"/>
      <c r="W62" s="2492"/>
      <c r="X62" s="246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s="15" customFormat="1">
      <c r="A63" s="96" t="s">
        <v>115</v>
      </c>
      <c r="B63" s="96" t="s">
        <v>1334</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4">P72+P79</f>
        <v>133500000000</v>
      </c>
      <c r="Q63" s="157">
        <f t="shared" si="14"/>
        <v>-1600000000</v>
      </c>
      <c r="R63" s="2482">
        <f t="shared" si="14"/>
        <v>149700000000</v>
      </c>
      <c r="S63" s="2482">
        <f>S20-S6</f>
        <v>285766966565.90405</v>
      </c>
      <c r="T63" s="2482">
        <f t="shared" ref="T63:U63" si="15">T20-T6</f>
        <v>331794119206.1355</v>
      </c>
      <c r="U63" s="2482">
        <f t="shared" si="15"/>
        <v>292372358705.41211</v>
      </c>
      <c r="V63" s="2482">
        <v>164049394193</v>
      </c>
      <c r="W63" s="2482">
        <v>163549394193</v>
      </c>
      <c r="X63" s="246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6">P87-P88+P83</f>
        <v>58400000000</v>
      </c>
      <c r="Q64" s="159">
        <f t="shared" si="16"/>
        <v>6100000000</v>
      </c>
      <c r="R64" s="2481">
        <f t="shared" si="16"/>
        <v>45700000000</v>
      </c>
      <c r="S64" s="2481"/>
      <c r="T64" s="2481"/>
      <c r="U64" s="2481"/>
      <c r="V64" s="2479"/>
      <c r="W64" s="2492"/>
      <c r="X64" s="246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c r="A65" t="s">
        <v>76</v>
      </c>
      <c r="B65" s="90" t="s">
        <v>1335</v>
      </c>
      <c r="C65" s="90"/>
      <c r="D65" s="90"/>
      <c r="E65" s="90"/>
      <c r="F65" s="90"/>
      <c r="H65" s="135">
        <v>108400000000</v>
      </c>
      <c r="I65" s="135">
        <v>100800000000</v>
      </c>
      <c r="J65" s="135">
        <v>169000000000</v>
      </c>
      <c r="K65" s="135">
        <v>221500000000</v>
      </c>
      <c r="L65" s="135">
        <v>518298750000.00006</v>
      </c>
      <c r="M65" s="125"/>
      <c r="N65" s="125"/>
      <c r="O65" s="125"/>
      <c r="P65" s="125"/>
      <c r="Q65" s="125"/>
      <c r="R65" s="476"/>
      <c r="S65" s="476"/>
      <c r="T65" s="476"/>
      <c r="U65" s="476"/>
      <c r="V65" s="2479"/>
      <c r="W65" s="2492"/>
      <c r="X65" s="246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76</v>
      </c>
      <c r="B66" s="90" t="s">
        <v>1336</v>
      </c>
      <c r="C66" s="90"/>
      <c r="D66" s="90"/>
      <c r="E66" s="90"/>
      <c r="F66" s="90"/>
      <c r="H66" s="135">
        <v>60900000000</v>
      </c>
      <c r="I66" s="135">
        <v>40000000000</v>
      </c>
      <c r="J66" s="135">
        <v>67599999999.999992</v>
      </c>
      <c r="K66" s="135">
        <v>87400000000</v>
      </c>
      <c r="L66" s="135">
        <v>134066610000</v>
      </c>
      <c r="M66" s="159"/>
      <c r="N66" s="159"/>
      <c r="O66" s="159"/>
      <c r="P66" s="159"/>
      <c r="Q66" s="159"/>
      <c r="R66" s="2481"/>
      <c r="S66" s="2481"/>
      <c r="T66" s="2481"/>
      <c r="U66" s="2481"/>
      <c r="V66" s="2479"/>
      <c r="W66" s="2492"/>
      <c r="X66" s="246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c r="A67" t="s">
        <v>76</v>
      </c>
      <c r="B67" s="90" t="s">
        <v>1337</v>
      </c>
      <c r="C67" s="90"/>
      <c r="D67" s="90"/>
      <c r="E67" s="90"/>
      <c r="F67" s="90"/>
      <c r="H67" s="135">
        <v>0</v>
      </c>
      <c r="I67" s="135">
        <v>8000000000</v>
      </c>
      <c r="J67" s="135">
        <v>36700000000</v>
      </c>
      <c r="K67" s="135">
        <v>40700000000</v>
      </c>
      <c r="L67" s="135">
        <v>41463900000</v>
      </c>
      <c r="M67" s="159"/>
      <c r="N67" s="159"/>
      <c r="O67" s="159"/>
      <c r="P67" s="159"/>
      <c r="Q67" s="159"/>
      <c r="R67" s="2481"/>
      <c r="S67" s="2481"/>
      <c r="T67" s="2481"/>
      <c r="U67" s="2481"/>
      <c r="V67" s="2479"/>
      <c r="W67" s="2492"/>
      <c r="X67" s="2463"/>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t="s">
        <v>76</v>
      </c>
      <c r="B68" s="90" t="s">
        <v>1338</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479"/>
      <c r="W68" s="2492"/>
      <c r="X68" s="2463"/>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90" t="s">
        <v>1339</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479"/>
      <c r="W69" s="2492"/>
      <c r="X69" s="2463"/>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c r="A70" t="s">
        <v>76</v>
      </c>
      <c r="B70" s="117" t="s">
        <v>1340</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479"/>
      <c r="W70" s="2492"/>
      <c r="X70" s="2463"/>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A71" t="s">
        <v>76</v>
      </c>
      <c r="B71" s="117" t="s">
        <v>1341</v>
      </c>
      <c r="C71" s="117"/>
      <c r="D71" s="90"/>
      <c r="E71" s="90"/>
      <c r="F71" s="90"/>
      <c r="H71" s="135">
        <v>3300000000</v>
      </c>
      <c r="I71" s="135">
        <v>24500000000</v>
      </c>
      <c r="J71" s="135">
        <v>0</v>
      </c>
      <c r="K71" s="135">
        <v>0</v>
      </c>
      <c r="L71" s="135"/>
      <c r="M71" s="135"/>
      <c r="N71" s="135"/>
      <c r="O71" s="135"/>
      <c r="P71" s="135"/>
      <c r="Q71" s="135"/>
      <c r="R71" s="135"/>
      <c r="S71" s="135"/>
      <c r="T71" s="135"/>
      <c r="U71" s="135"/>
      <c r="V71" s="2479"/>
      <c r="W71" s="2492"/>
      <c r="X71" s="2463"/>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A72" s="43" t="s">
        <v>117</v>
      </c>
      <c r="B72" s="90" t="s">
        <v>1342</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7">P89</f>
        <v>58200000000</v>
      </c>
      <c r="Q72" s="135">
        <f t="shared" si="17"/>
        <v>7200000000</v>
      </c>
      <c r="R72" s="135">
        <f t="shared" si="17"/>
        <v>44600000000</v>
      </c>
      <c r="S72" s="135"/>
      <c r="T72" s="135"/>
      <c r="U72" s="135"/>
      <c r="V72" s="2479">
        <v>-8107063627</v>
      </c>
      <c r="W72" s="2479">
        <v>-8107063627</v>
      </c>
      <c r="X72" s="2463"/>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c r="A73" s="99" t="s">
        <v>1258</v>
      </c>
      <c r="B73" s="99" t="s">
        <v>1343</v>
      </c>
      <c r="C73" s="58" t="s">
        <v>264</v>
      </c>
      <c r="D73" s="90"/>
      <c r="E73" s="90"/>
      <c r="F73" s="90"/>
      <c r="H73" s="135">
        <v>0</v>
      </c>
      <c r="I73" s="135">
        <v>29100000000</v>
      </c>
      <c r="J73" s="135">
        <v>0</v>
      </c>
      <c r="K73" s="135">
        <v>0</v>
      </c>
      <c r="L73" s="135"/>
      <c r="M73" s="135"/>
      <c r="N73" s="135"/>
      <c r="O73" s="135"/>
      <c r="P73" s="135"/>
      <c r="Q73" s="135"/>
      <c r="R73" s="135"/>
      <c r="S73" s="135"/>
      <c r="T73" s="135"/>
      <c r="U73" s="135"/>
      <c r="V73" s="2479"/>
      <c r="W73" s="2492"/>
      <c r="X73" s="2463"/>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c r="A74" s="99" t="s">
        <v>1253</v>
      </c>
      <c r="B74" s="99" t="s">
        <v>1344</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479">
        <v>16872714157</v>
      </c>
      <c r="W74" s="2479">
        <v>16872714157</v>
      </c>
      <c r="X74" s="2463"/>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c r="A75" s="20" t="s">
        <v>258</v>
      </c>
      <c r="B75" s="99" t="s">
        <v>1345</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479">
        <v>-24979777784</v>
      </c>
      <c r="W75" s="2479">
        <v>-24979777784</v>
      </c>
      <c r="X75" s="2463"/>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c r="A76" s="99" t="s">
        <v>1346</v>
      </c>
      <c r="B76" s="99" t="s">
        <v>1347</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ht="16.5">
      <c r="A77" s="140" t="s">
        <v>1348</v>
      </c>
      <c r="B77" s="99" t="s">
        <v>1349</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s="43" t="s">
        <v>1096</v>
      </c>
      <c r="B78" s="90" t="s">
        <v>1350</v>
      </c>
      <c r="C78" s="90" t="s">
        <v>124</v>
      </c>
      <c r="D78" s="90"/>
      <c r="E78" s="90"/>
      <c r="F78" s="90"/>
      <c r="H78" s="135">
        <v>0</v>
      </c>
      <c r="I78" s="135">
        <v>400000000</v>
      </c>
      <c r="J78" s="135">
        <v>3100000000</v>
      </c>
      <c r="K78" s="135">
        <v>100000000</v>
      </c>
      <c r="L78" s="135">
        <v>0</v>
      </c>
      <c r="M78" s="159"/>
      <c r="N78" s="159"/>
      <c r="O78" s="159"/>
      <c r="P78" s="159"/>
      <c r="Q78" s="159"/>
      <c r="R78" s="2481"/>
      <c r="S78" s="2481"/>
      <c r="T78" s="2481"/>
      <c r="U78" s="2481"/>
      <c r="V78" s="12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8">Q88+Q83</f>
        <v>-8800000000</v>
      </c>
      <c r="R79" s="135">
        <f t="shared" si="18"/>
        <v>105100000000</v>
      </c>
      <c r="S79" s="135"/>
      <c r="T79" s="135"/>
      <c r="U79" s="135"/>
      <c r="V79" s="135">
        <v>172156457820</v>
      </c>
      <c r="W79" s="125">
        <v>171656457820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s="103" t="s">
        <v>1351</v>
      </c>
      <c r="B80" s="103" t="s">
        <v>1352</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s="20" t="s">
        <v>122</v>
      </c>
      <c r="B81" s="99" t="s">
        <v>1353</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s="20" t="s">
        <v>428</v>
      </c>
      <c r="B82" s="99" t="s">
        <v>1354</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ht="16.5">
      <c r="B83" s="58" t="s">
        <v>1204</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B84" s="58" t="s">
        <v>1355</v>
      </c>
      <c r="C84" s="58"/>
      <c r="E84" s="58"/>
      <c r="F84" s="58"/>
      <c r="H84" s="159"/>
      <c r="I84" s="159"/>
      <c r="J84" s="159"/>
      <c r="K84" s="159"/>
      <c r="L84" s="159"/>
      <c r="M84" s="125"/>
      <c r="N84" s="125"/>
      <c r="O84" s="125"/>
      <c r="P84" s="142">
        <v>-9000000000</v>
      </c>
      <c r="Q84" s="142">
        <v>-2700000000</v>
      </c>
      <c r="R84" s="210">
        <v>0</v>
      </c>
      <c r="S84" s="210"/>
      <c r="T84" s="210"/>
      <c r="U84" s="210"/>
      <c r="V84" s="142"/>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ht="16.5">
      <c r="B85" s="58" t="s">
        <v>1356</v>
      </c>
      <c r="C85" s="58"/>
      <c r="E85" s="58"/>
      <c r="F85" s="58"/>
      <c r="H85" s="159"/>
      <c r="I85" s="159"/>
      <c r="J85" s="159"/>
      <c r="K85" s="159"/>
      <c r="L85" s="159"/>
      <c r="M85" s="135">
        <v>0</v>
      </c>
      <c r="N85" s="135">
        <v>0</v>
      </c>
      <c r="O85" s="135">
        <v>0</v>
      </c>
      <c r="P85" s="142">
        <v>1000000000</v>
      </c>
      <c r="Q85" s="142">
        <v>0</v>
      </c>
      <c r="R85" s="210">
        <v>0</v>
      </c>
      <c r="S85" s="210"/>
      <c r="T85" s="210"/>
      <c r="U85" s="210"/>
      <c r="V85" s="142"/>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B86" s="58" t="s">
        <v>1357</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B87" s="58" t="s">
        <v>1027</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ht="16.5">
      <c r="B90" s="58" t="s">
        <v>1358</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ht="16.5">
      <c r="B91" s="58" t="s">
        <v>1359</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ht="16.5">
      <c r="B92" s="58" t="s">
        <v>1360</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ht="16.5">
      <c r="B93" s="58" t="s">
        <v>1361</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M94" s="101"/>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L96" s="234">
        <v>1382.13</v>
      </c>
      <c r="M96" s="234">
        <v>2184.1770000000001</v>
      </c>
      <c r="S96" s="40"/>
      <c r="T96" s="40"/>
      <c r="U96" s="40"/>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s="235" t="s">
        <v>1168</v>
      </c>
      <c r="C97" s="235"/>
      <c r="D97" s="235"/>
      <c r="E97" s="235"/>
      <c r="F97" s="235"/>
      <c r="G97" s="235"/>
      <c r="H97" s="21">
        <f>H6-H7-H14</f>
        <v>0</v>
      </c>
      <c r="I97" s="21">
        <f t="shared" ref="I97:U97" si="19">I6-I7-I14</f>
        <v>0</v>
      </c>
      <c r="J97" s="21">
        <f t="shared" si="19"/>
        <v>0</v>
      </c>
      <c r="K97" s="21">
        <f t="shared" si="19"/>
        <v>0</v>
      </c>
      <c r="L97" s="21">
        <f t="shared" si="19"/>
        <v>0</v>
      </c>
      <c r="M97" s="21">
        <f t="shared" si="19"/>
        <v>0</v>
      </c>
      <c r="N97" s="21">
        <f t="shared" si="19"/>
        <v>0</v>
      </c>
      <c r="O97" s="21">
        <f t="shared" si="19"/>
        <v>0</v>
      </c>
      <c r="P97" s="21">
        <f t="shared" si="19"/>
        <v>0</v>
      </c>
      <c r="Q97" s="21">
        <f t="shared" si="19"/>
        <v>0</v>
      </c>
      <c r="R97" s="39">
        <f t="shared" si="19"/>
        <v>-100000000</v>
      </c>
      <c r="S97" s="476">
        <f t="shared" si="19"/>
        <v>0</v>
      </c>
      <c r="T97" s="476">
        <f t="shared" si="19"/>
        <v>0</v>
      </c>
      <c r="U97" s="476">
        <f t="shared" si="19"/>
        <v>0</v>
      </c>
      <c r="V97" s="476">
        <f t="shared" ref="V97:W97" si="20">V6-V7-V14</f>
        <v>0</v>
      </c>
      <c r="W97" s="476">
        <f t="shared" si="20"/>
        <v>0</v>
      </c>
      <c r="X97" s="21"/>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s="235" t="s">
        <v>450</v>
      </c>
      <c r="C98" s="235"/>
      <c r="D98" s="235"/>
      <c r="E98" s="235"/>
      <c r="F98" s="235"/>
      <c r="G98" s="235"/>
      <c r="H98" s="21">
        <f>H7-H8-H13</f>
        <v>0</v>
      </c>
      <c r="I98" s="21">
        <f t="shared" ref="I98:U98" si="21">I7-I8-I13</f>
        <v>0</v>
      </c>
      <c r="J98" s="21">
        <f t="shared" si="21"/>
        <v>0</v>
      </c>
      <c r="K98" s="21">
        <f t="shared" si="21"/>
        <v>0</v>
      </c>
      <c r="L98" s="21">
        <f t="shared" si="21"/>
        <v>0</v>
      </c>
      <c r="M98" s="21">
        <f t="shared" si="21"/>
        <v>-3.0517578125E-5</v>
      </c>
      <c r="N98" s="21">
        <f t="shared" si="21"/>
        <v>0</v>
      </c>
      <c r="O98" s="21">
        <f t="shared" si="21"/>
        <v>0</v>
      </c>
      <c r="P98" s="21">
        <f t="shared" si="21"/>
        <v>0</v>
      </c>
      <c r="Q98" s="21">
        <f t="shared" si="21"/>
        <v>6.103515625E-5</v>
      </c>
      <c r="R98" s="39">
        <f t="shared" si="21"/>
        <v>0</v>
      </c>
      <c r="S98" s="476">
        <f t="shared" si="21"/>
        <v>-6.103515625E-5</v>
      </c>
      <c r="T98" s="476">
        <f t="shared" si="21"/>
        <v>-6.103515625E-5</v>
      </c>
      <c r="U98" s="476">
        <f t="shared" si="21"/>
        <v>0</v>
      </c>
      <c r="V98" s="476">
        <f t="shared" ref="V98:W98" si="22">V7-V8-V13</f>
        <v>0</v>
      </c>
      <c r="W98" s="476">
        <f t="shared" si="22"/>
        <v>0</v>
      </c>
      <c r="X98" s="21"/>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s="235" t="s">
        <v>451</v>
      </c>
      <c r="C99" s="235"/>
      <c r="D99" s="235"/>
      <c r="E99" s="235"/>
      <c r="F99" s="235"/>
      <c r="G99" s="235"/>
      <c r="H99" s="21">
        <f t="shared" ref="H99:U99" si="23">H8-H9-H10-H11-H12</f>
        <v>7.62939453125E-6</v>
      </c>
      <c r="I99" s="21">
        <f t="shared" si="23"/>
        <v>100000000</v>
      </c>
      <c r="J99" s="21">
        <f t="shared" si="23"/>
        <v>0</v>
      </c>
      <c r="K99" s="21">
        <f t="shared" si="23"/>
        <v>-3.814697265625E-6</v>
      </c>
      <c r="L99" s="21">
        <f t="shared" si="23"/>
        <v>1.52587890625E-5</v>
      </c>
      <c r="M99" s="21">
        <f t="shared" si="23"/>
        <v>9.1552734375E-5</v>
      </c>
      <c r="N99" s="21">
        <f t="shared" si="23"/>
        <v>0</v>
      </c>
      <c r="O99" s="21">
        <f t="shared" si="23"/>
        <v>0</v>
      </c>
      <c r="P99" s="21">
        <f t="shared" si="23"/>
        <v>0</v>
      </c>
      <c r="Q99" s="21">
        <f t="shared" si="23"/>
        <v>-6.103515625E-5</v>
      </c>
      <c r="R99" s="39">
        <f t="shared" si="23"/>
        <v>0</v>
      </c>
      <c r="S99" s="476">
        <f t="shared" si="23"/>
        <v>1.52587890625E-5</v>
      </c>
      <c r="T99" s="476">
        <f t="shared" si="23"/>
        <v>0</v>
      </c>
      <c r="U99" s="476">
        <f t="shared" si="23"/>
        <v>-5.340576171875E-5</v>
      </c>
      <c r="V99" s="476">
        <f t="shared" ref="V99:W99" si="24">V8-V9-V10-V11-V12</f>
        <v>0</v>
      </c>
      <c r="W99" s="476">
        <f t="shared" si="24"/>
        <v>0</v>
      </c>
      <c r="X99" s="21"/>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s="235" t="s">
        <v>1362</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5">M14-M15-M17-M18</f>
        <v>0</v>
      </c>
      <c r="N100" s="21">
        <f t="shared" si="25"/>
        <v>0</v>
      </c>
      <c r="O100" s="21">
        <f t="shared" si="25"/>
        <v>0</v>
      </c>
      <c r="P100" s="21">
        <f t="shared" si="25"/>
        <v>0</v>
      </c>
      <c r="Q100" s="21">
        <f t="shared" si="25"/>
        <v>0</v>
      </c>
      <c r="R100" s="39">
        <f t="shared" si="25"/>
        <v>0</v>
      </c>
      <c r="S100" s="476">
        <f t="shared" si="25"/>
        <v>139666490125.50119</v>
      </c>
      <c r="T100" s="476">
        <f t="shared" si="25"/>
        <v>119018405882</v>
      </c>
      <c r="U100" s="476">
        <f t="shared" si="25"/>
        <v>138512862755</v>
      </c>
      <c r="V100" s="476">
        <f t="shared" ref="V100:W100" si="26">V14-V15-V17-V18</f>
        <v>372250575882</v>
      </c>
      <c r="W100" s="476">
        <f t="shared" si="26"/>
        <v>372250575882</v>
      </c>
      <c r="X100" s="21"/>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s="235" t="s">
        <v>145</v>
      </c>
      <c r="C101" s="235"/>
      <c r="D101" s="235"/>
      <c r="E101" s="235"/>
      <c r="F101" s="235"/>
      <c r="G101" s="235"/>
      <c r="H101" s="21">
        <f>H20-H21-H42-H50-H53</f>
        <v>0</v>
      </c>
      <c r="I101" s="21">
        <f t="shared" ref="I101:U101" si="27">I20-I21-I42-I50-I53</f>
        <v>0</v>
      </c>
      <c r="J101" s="21">
        <f t="shared" si="27"/>
        <v>0</v>
      </c>
      <c r="K101" s="21">
        <f t="shared" si="27"/>
        <v>-1.52587890625E-5</v>
      </c>
      <c r="L101" s="21">
        <f t="shared" si="27"/>
        <v>3.0517578125E-5</v>
      </c>
      <c r="M101" s="21">
        <f t="shared" si="27"/>
        <v>-3.0517578125E-5</v>
      </c>
      <c r="N101" s="21">
        <f t="shared" si="27"/>
        <v>0</v>
      </c>
      <c r="O101" s="21">
        <f t="shared" si="27"/>
        <v>0</v>
      </c>
      <c r="P101" s="21">
        <f t="shared" si="27"/>
        <v>0</v>
      </c>
      <c r="Q101" s="21">
        <f t="shared" si="27"/>
        <v>0</v>
      </c>
      <c r="R101" s="39">
        <f t="shared" si="27"/>
        <v>0</v>
      </c>
      <c r="S101" s="476">
        <f t="shared" si="27"/>
        <v>3.0517578125E-5</v>
      </c>
      <c r="T101" s="476">
        <f t="shared" si="27"/>
        <v>3.0517578125E-5</v>
      </c>
      <c r="U101" s="476">
        <f t="shared" si="27"/>
        <v>0</v>
      </c>
      <c r="V101" s="476">
        <f t="shared" ref="V101:W101" si="28">V20-V21-V42-V50-V53</f>
        <v>0</v>
      </c>
      <c r="W101" s="476">
        <f t="shared" si="28"/>
        <v>0</v>
      </c>
      <c r="X101" s="21"/>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s="235" t="s">
        <v>453</v>
      </c>
      <c r="C102" s="235"/>
      <c r="D102" s="235"/>
      <c r="E102" s="235"/>
      <c r="F102" s="235"/>
      <c r="G102" s="235"/>
      <c r="H102" s="21">
        <f t="shared" ref="H102:U102" si="29">H21-H22-H25-H30-H29-H35-H36-H38-H41</f>
        <v>100000000</v>
      </c>
      <c r="I102" s="21">
        <f t="shared" si="29"/>
        <v>0</v>
      </c>
      <c r="J102" s="21">
        <f t="shared" si="29"/>
        <v>0</v>
      </c>
      <c r="K102" s="21">
        <f t="shared" si="29"/>
        <v>-100000000</v>
      </c>
      <c r="L102" s="21">
        <f t="shared" si="29"/>
        <v>3.0517578125E-5</v>
      </c>
      <c r="M102" s="21">
        <f>M21-M22-M25-M30-M29-M35-M36-M38-M41</f>
        <v>0</v>
      </c>
      <c r="N102" s="21">
        <f t="shared" si="29"/>
        <v>0</v>
      </c>
      <c r="O102" s="21">
        <f t="shared" si="29"/>
        <v>100000000</v>
      </c>
      <c r="P102" s="21">
        <f t="shared" si="29"/>
        <v>-100000000</v>
      </c>
      <c r="Q102" s="21">
        <f t="shared" si="29"/>
        <v>100000000</v>
      </c>
      <c r="R102" s="39">
        <f t="shared" si="29"/>
        <v>0</v>
      </c>
      <c r="S102" s="476">
        <f t="shared" si="29"/>
        <v>0</v>
      </c>
      <c r="T102" s="476">
        <f t="shared" si="29"/>
        <v>0</v>
      </c>
      <c r="U102" s="476">
        <f t="shared" si="29"/>
        <v>0</v>
      </c>
      <c r="V102" s="476">
        <f t="shared" ref="V102:W102" si="30">V21-V22-V25-V30-V29-V35-V36-V38-V41</f>
        <v>0</v>
      </c>
      <c r="W102" s="476">
        <f t="shared" si="30"/>
        <v>0</v>
      </c>
      <c r="X102" s="21"/>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s="235" t="s">
        <v>291</v>
      </c>
      <c r="C103" s="235"/>
      <c r="D103" s="235"/>
      <c r="E103" s="235"/>
      <c r="F103" s="235"/>
      <c r="G103" s="235"/>
      <c r="H103" s="21">
        <f t="shared" ref="H103:U103" si="31">H38-H39-H40</f>
        <v>0</v>
      </c>
      <c r="I103" s="21">
        <f t="shared" si="31"/>
        <v>0</v>
      </c>
      <c r="J103" s="21">
        <f t="shared" si="31"/>
        <v>-100000000</v>
      </c>
      <c r="K103" s="21">
        <f t="shared" si="31"/>
        <v>0</v>
      </c>
      <c r="L103" s="21">
        <f t="shared" si="31"/>
        <v>0</v>
      </c>
      <c r="M103" s="21">
        <f t="shared" si="31"/>
        <v>0</v>
      </c>
      <c r="N103" s="21">
        <f t="shared" si="31"/>
        <v>0</v>
      </c>
      <c r="O103" s="21">
        <f t="shared" si="31"/>
        <v>0</v>
      </c>
      <c r="P103" s="21">
        <f t="shared" si="31"/>
        <v>0</v>
      </c>
      <c r="Q103" s="21">
        <f t="shared" si="31"/>
        <v>0</v>
      </c>
      <c r="R103" s="39">
        <f t="shared" si="31"/>
        <v>0</v>
      </c>
      <c r="S103" s="476">
        <f t="shared" si="31"/>
        <v>0</v>
      </c>
      <c r="T103" s="476">
        <f t="shared" si="31"/>
        <v>8.58306884765625E-6</v>
      </c>
      <c r="U103" s="476">
        <f t="shared" si="31"/>
        <v>0</v>
      </c>
      <c r="V103" s="476">
        <f t="shared" ref="V103:W103" si="32">V38-V39-V40</f>
        <v>0</v>
      </c>
      <c r="W103" s="476">
        <f t="shared" si="32"/>
        <v>0</v>
      </c>
      <c r="X103" s="21"/>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B104" s="235" t="s">
        <v>457</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3">N63-N72-N78-N79</f>
        <v>0</v>
      </c>
      <c r="O104" s="21">
        <f t="shared" si="33"/>
        <v>0</v>
      </c>
      <c r="P104" s="21">
        <f t="shared" si="33"/>
        <v>0</v>
      </c>
      <c r="Q104" s="21">
        <f t="shared" si="33"/>
        <v>0</v>
      </c>
      <c r="R104" s="39">
        <f t="shared" si="33"/>
        <v>0</v>
      </c>
      <c r="S104" s="476">
        <f t="shared" si="33"/>
        <v>285766966565.90405</v>
      </c>
      <c r="T104" s="476">
        <f t="shared" si="33"/>
        <v>331794119206.1355</v>
      </c>
      <c r="U104" s="476">
        <f t="shared" si="33"/>
        <v>292372358705.41211</v>
      </c>
      <c r="V104" s="476">
        <f t="shared" ref="V104:W104" si="34">V63-V72-V78-V79</f>
        <v>0</v>
      </c>
      <c r="W104" s="476">
        <f t="shared" si="34"/>
        <v>0</v>
      </c>
      <c r="X104" s="21"/>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B105" s="235" t="s">
        <v>1363</v>
      </c>
      <c r="C105" s="235"/>
      <c r="D105" s="235"/>
      <c r="E105" s="235"/>
      <c r="F105" s="235"/>
      <c r="G105" s="235"/>
      <c r="H105" s="21">
        <f>H72-H73-H74-H75-H76-H77</f>
        <v>0</v>
      </c>
      <c r="I105" s="21">
        <f t="shared" ref="I105:U105" si="35">I72-I73-I74-I75-I76-I77</f>
        <v>-100000000</v>
      </c>
      <c r="J105" s="21">
        <f t="shared" si="35"/>
        <v>0</v>
      </c>
      <c r="K105" s="21">
        <f t="shared" si="35"/>
        <v>-100000000</v>
      </c>
      <c r="L105" s="131">
        <f>L72-L73-L74-L75-L76-L77</f>
        <v>-15203430000.000002</v>
      </c>
      <c r="M105" s="131">
        <f t="shared" si="35"/>
        <v>15289239000</v>
      </c>
      <c r="N105" s="131">
        <f t="shared" si="35"/>
        <v>41500000000</v>
      </c>
      <c r="O105" s="131">
        <f t="shared" si="35"/>
        <v>28400000000</v>
      </c>
      <c r="P105" s="131">
        <f t="shared" si="35"/>
        <v>58200000000</v>
      </c>
      <c r="Q105" s="131">
        <f t="shared" si="35"/>
        <v>7200000000</v>
      </c>
      <c r="R105" s="2483">
        <f t="shared" si="35"/>
        <v>44600000000</v>
      </c>
      <c r="S105" s="2490">
        <f t="shared" si="35"/>
        <v>0</v>
      </c>
      <c r="T105" s="2490">
        <f t="shared" si="35"/>
        <v>0</v>
      </c>
      <c r="U105" s="2490">
        <f t="shared" si="35"/>
        <v>0</v>
      </c>
      <c r="V105" s="2490">
        <f t="shared" ref="V105:W105" si="36">V72-V73-V74-V75-V76-V77</f>
        <v>0</v>
      </c>
      <c r="W105" s="2490">
        <f t="shared" si="36"/>
        <v>0</v>
      </c>
      <c r="X105" s="21"/>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7">L79-L81-L82-L80</f>
        <v>0</v>
      </c>
      <c r="M106" s="131">
        <f>M79-M81-M82-M80</f>
        <v>67709487000</v>
      </c>
      <c r="N106" s="131">
        <f t="shared" si="37"/>
        <v>40600000000</v>
      </c>
      <c r="O106" s="131">
        <f t="shared" si="37"/>
        <v>72100000000</v>
      </c>
      <c r="P106" s="131">
        <f t="shared" si="37"/>
        <v>75300000000</v>
      </c>
      <c r="Q106" s="131">
        <f t="shared" si="37"/>
        <v>-8800000000</v>
      </c>
      <c r="R106" s="2483">
        <f t="shared" si="37"/>
        <v>105100000000</v>
      </c>
      <c r="S106" s="2490">
        <f t="shared" si="37"/>
        <v>0</v>
      </c>
      <c r="T106" s="2490">
        <f t="shared" si="37"/>
        <v>0</v>
      </c>
      <c r="U106" s="2490">
        <f t="shared" si="37"/>
        <v>0</v>
      </c>
      <c r="V106" s="2490">
        <f t="shared" ref="V106:W106" si="38">V79-V81-V82-V80</f>
        <v>172156457820</v>
      </c>
      <c r="W106" s="2490">
        <f t="shared" si="38"/>
        <v>171656457820</v>
      </c>
      <c r="X106" s="21"/>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S107" s="40"/>
      <c r="T107" s="40"/>
      <c r="U107" s="40"/>
      <c r="V107" s="2463"/>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S108" s="40"/>
      <c r="T108" s="40"/>
      <c r="U108" s="40"/>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484">
        <v>4785205000000</v>
      </c>
      <c r="S109" s="2491">
        <v>5344256000000</v>
      </c>
      <c r="T109" s="2491">
        <v>5922531000000</v>
      </c>
      <c r="U109" s="2491">
        <v>6565788000000</v>
      </c>
      <c r="V109" s="154"/>
      <c r="W109" s="2470"/>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c r="B110" s="235" t="s">
        <v>1286</v>
      </c>
      <c r="H110">
        <f>(H6/H109)*100</f>
        <v>25.346957571138212</v>
      </c>
      <c r="I110">
        <f t="shared" ref="I110:U110" si="39">(I6/I109)*100</f>
        <v>22.583581595498178</v>
      </c>
      <c r="J110">
        <f t="shared" si="39"/>
        <v>26.551645163752958</v>
      </c>
      <c r="K110">
        <f t="shared" si="39"/>
        <v>28.564009348221241</v>
      </c>
      <c r="L110">
        <f t="shared" si="39"/>
        <v>40.499032252494459</v>
      </c>
      <c r="M110">
        <f t="shared" si="39"/>
        <v>32.199999999999996</v>
      </c>
      <c r="N110">
        <f t="shared" si="39"/>
        <v>37.208417114912272</v>
      </c>
      <c r="O110">
        <f t="shared" si="39"/>
        <v>35.853490330594603</v>
      </c>
      <c r="P110">
        <f t="shared" si="39"/>
        <v>31.400829419392618</v>
      </c>
      <c r="Q110">
        <f t="shared" si="39"/>
        <v>29.702654075864192</v>
      </c>
      <c r="R110" s="35">
        <f t="shared" si="39"/>
        <v>26.68851177744736</v>
      </c>
      <c r="S110" s="40">
        <f t="shared" si="39"/>
        <v>13.164076101548975</v>
      </c>
      <c r="T110" s="40">
        <f t="shared" si="39"/>
        <v>12.026016688427626</v>
      </c>
      <c r="U110" s="40">
        <f t="shared" si="39"/>
        <v>12.901780352962962</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row>
    <row r="111" spans="2:52">
      <c r="B111" s="235" t="s">
        <v>1364</v>
      </c>
      <c r="H111">
        <f>(H19/H109)*100</f>
        <v>28.899898373983739</v>
      </c>
      <c r="I111">
        <f t="shared" ref="I111:R111" si="40">(I19/I109)*100</f>
        <v>26.183382985766301</v>
      </c>
      <c r="J111">
        <f t="shared" si="40"/>
        <v>27.559355676005804</v>
      </c>
      <c r="K111">
        <f t="shared" si="40"/>
        <v>27.80066669801824</v>
      </c>
      <c r="L111">
        <f t="shared" si="40"/>
        <v>41.005270155650635</v>
      </c>
      <c r="M111">
        <f t="shared" si="40"/>
        <v>37.200000000000003</v>
      </c>
      <c r="N111">
        <f t="shared" si="40"/>
        <v>40.842894995575854</v>
      </c>
      <c r="O111">
        <f t="shared" si="40"/>
        <v>39.78332719052451</v>
      </c>
      <c r="P111">
        <f t="shared" si="40"/>
        <v>35.071486671426463</v>
      </c>
      <c r="Q111">
        <f t="shared" si="40"/>
        <v>31.869729434963485</v>
      </c>
      <c r="R111" s="35">
        <f t="shared" si="40"/>
        <v>29.910944254216904</v>
      </c>
      <c r="S111" s="40">
        <f>(S20/S109)*100</f>
        <v>18.511255700840326</v>
      </c>
      <c r="T111" s="40">
        <f t="shared" ref="T111:U111" si="41">(T20/T109)*100</f>
        <v>17.628251935590292</v>
      </c>
      <c r="U111" s="40">
        <f t="shared" si="41"/>
        <v>17.354747136316494</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row>
    <row r="112" spans="2:52">
      <c r="S112" s="40"/>
      <c r="T112" s="40"/>
      <c r="U112" s="40"/>
    </row>
    <row r="113" spans="2:21">
      <c r="S113" s="40"/>
      <c r="T113" s="40"/>
      <c r="U113" s="40"/>
    </row>
    <row r="114" spans="2:21" ht="13.5" customHeight="1">
      <c r="B114" t="s">
        <v>153</v>
      </c>
      <c r="H114" t="b">
        <f>IF(H53&lt;0, (H53/H20)*100)</f>
        <v>0</v>
      </c>
      <c r="I114" t="b">
        <f t="shared" ref="I114:U114" si="42">IF(I53&lt;0, (I53/I20)*100)</f>
        <v>0</v>
      </c>
      <c r="J114" t="b">
        <f t="shared" si="42"/>
        <v>0</v>
      </c>
      <c r="K114" t="b">
        <f t="shared" si="42"/>
        <v>0</v>
      </c>
      <c r="L114" t="b">
        <f t="shared" si="42"/>
        <v>0</v>
      </c>
      <c r="M114" t="b">
        <f t="shared" si="42"/>
        <v>0</v>
      </c>
      <c r="N114" t="b">
        <f t="shared" si="42"/>
        <v>0</v>
      </c>
      <c r="O114" t="b">
        <f t="shared" si="42"/>
        <v>0</v>
      </c>
      <c r="P114" t="b">
        <f t="shared" si="42"/>
        <v>0</v>
      </c>
      <c r="Q114" t="b">
        <f t="shared" si="42"/>
        <v>0</v>
      </c>
      <c r="R114" s="35" t="b">
        <f t="shared" si="42"/>
        <v>0</v>
      </c>
      <c r="S114" s="40" t="b">
        <f t="shared" si="42"/>
        <v>0</v>
      </c>
      <c r="T114" s="40" t="b">
        <f t="shared" si="42"/>
        <v>0</v>
      </c>
      <c r="U114" s="40" t="b">
        <f t="shared" si="42"/>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972" customWidth="1"/>
    <col min="2" max="2" width="54.42578125" style="972" customWidth="1"/>
    <col min="3" max="3" width="28.140625" style="972" customWidth="1"/>
    <col min="4" max="4" width="9.140625" style="972" bestFit="1" customWidth="1"/>
    <col min="5" max="9" width="23.140625" style="972" bestFit="1" customWidth="1"/>
    <col min="10" max="15" width="25.28515625" style="972" bestFit="1" customWidth="1"/>
    <col min="16" max="20" width="26.42578125" style="972" bestFit="1" customWidth="1"/>
    <col min="21" max="24" width="27.5703125" style="972" bestFit="1" customWidth="1"/>
    <col min="25" max="25" width="28.42578125" style="972" bestFit="1" customWidth="1"/>
    <col min="26" max="26" width="28" style="972" bestFit="1" customWidth="1"/>
    <col min="27" max="28" width="24.5703125" style="972" bestFit="1" customWidth="1"/>
    <col min="29" max="38" width="8.85546875"/>
  </cols>
  <sheetData>
    <row r="1" spans="1:48">
      <c r="A1" s="966" t="s">
        <v>1365</v>
      </c>
      <c r="B1" s="967" t="s">
        <v>1366</v>
      </c>
      <c r="C1" s="967"/>
      <c r="D1" s="968"/>
      <c r="E1" s="968"/>
      <c r="F1" s="968"/>
      <c r="G1" s="968"/>
      <c r="H1" s="968"/>
      <c r="I1" s="968"/>
      <c r="J1" s="968"/>
      <c r="K1" s="968"/>
      <c r="L1" s="968"/>
      <c r="M1" s="968"/>
      <c r="N1" s="968"/>
      <c r="O1" s="969"/>
      <c r="P1" s="969"/>
      <c r="Q1" s="969"/>
      <c r="R1" s="970"/>
      <c r="S1" s="971"/>
      <c r="T1" s="1007"/>
      <c r="U1" s="1007"/>
      <c r="V1" s="1007"/>
      <c r="W1" s="1007"/>
      <c r="X1" s="1007"/>
      <c r="Y1" s="1007"/>
      <c r="Z1" s="1007"/>
      <c r="AA1" s="1007"/>
      <c r="AB1" s="1007"/>
      <c r="AC1" s="527"/>
      <c r="AD1" s="527"/>
      <c r="AE1" s="527"/>
      <c r="AF1" s="527"/>
      <c r="AG1" s="527"/>
      <c r="AH1" s="527"/>
      <c r="AI1" s="527"/>
      <c r="AJ1" s="527"/>
      <c r="AK1" s="527"/>
      <c r="AL1" s="527"/>
      <c r="AM1" s="365"/>
      <c r="AN1" s="365"/>
      <c r="AO1" s="365"/>
      <c r="AP1" s="365"/>
      <c r="AQ1" s="365"/>
      <c r="AR1" s="365"/>
      <c r="AS1" s="365"/>
      <c r="AT1" s="365"/>
      <c r="AU1" s="365"/>
      <c r="AV1" s="365"/>
    </row>
    <row r="2" spans="1:48">
      <c r="B2" s="973" t="s">
        <v>1367</v>
      </c>
      <c r="C2" s="973"/>
      <c r="D2" s="969"/>
      <c r="E2" s="969"/>
      <c r="F2" s="969"/>
      <c r="G2" s="969"/>
      <c r="H2" s="969"/>
      <c r="I2" s="969"/>
      <c r="J2" s="969"/>
      <c r="K2" s="969"/>
      <c r="L2" s="969"/>
      <c r="M2" s="969"/>
      <c r="N2" s="969"/>
      <c r="O2" s="969"/>
      <c r="P2" s="969"/>
      <c r="Q2" s="969"/>
      <c r="R2" s="974"/>
      <c r="S2" s="971"/>
      <c r="T2" s="1007"/>
      <c r="U2" s="1007"/>
      <c r="V2" s="1007"/>
      <c r="W2" s="1007"/>
      <c r="X2" s="1007"/>
      <c r="Y2" s="1007"/>
      <c r="Z2" s="1007"/>
      <c r="AA2" s="1007"/>
      <c r="AB2" s="1007"/>
      <c r="AC2" s="527"/>
      <c r="AD2" s="527"/>
      <c r="AE2" s="527"/>
      <c r="AF2" s="527"/>
      <c r="AG2" s="527"/>
      <c r="AH2" s="527"/>
      <c r="AI2" s="527"/>
      <c r="AJ2" s="527"/>
      <c r="AK2" s="527"/>
      <c r="AL2" s="527"/>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c r="AB3" s="969"/>
      <c r="AC3" s="969"/>
      <c r="AD3" s="527"/>
      <c r="AE3" s="527"/>
      <c r="AF3" s="527"/>
      <c r="AG3" s="527"/>
      <c r="AH3" s="527"/>
      <c r="AI3" s="527"/>
      <c r="AJ3" s="527"/>
      <c r="AK3" s="527"/>
      <c r="AL3" s="527"/>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c r="AB4" s="1007"/>
      <c r="AC4" s="527"/>
      <c r="AD4" s="527"/>
      <c r="AE4" s="527"/>
      <c r="AF4" s="527"/>
      <c r="AG4" s="527"/>
      <c r="AH4" s="527"/>
      <c r="AI4" s="527"/>
      <c r="AJ4" s="527"/>
      <c r="AK4" s="527"/>
      <c r="AL4" s="527"/>
      <c r="AM4" s="365"/>
      <c r="AN4" s="365"/>
      <c r="AO4" s="365"/>
      <c r="AP4" s="365"/>
      <c r="AQ4" s="365"/>
      <c r="AR4" s="365"/>
      <c r="AS4" s="365"/>
      <c r="AT4" s="365"/>
      <c r="AU4" s="365"/>
      <c r="AV4" s="365"/>
    </row>
    <row r="5" spans="1:48">
      <c r="A5" s="972" t="s">
        <v>28</v>
      </c>
      <c r="B5" s="975" t="s">
        <v>29</v>
      </c>
      <c r="C5" s="975"/>
      <c r="D5" s="969"/>
      <c r="E5" s="969"/>
      <c r="F5" s="969"/>
      <c r="G5" s="969"/>
      <c r="H5" s="969"/>
      <c r="I5" s="968"/>
      <c r="J5" s="968" t="s">
        <v>30</v>
      </c>
      <c r="K5" s="968" t="s">
        <v>30</v>
      </c>
      <c r="L5" s="968" t="s">
        <v>30</v>
      </c>
      <c r="M5" s="968" t="s">
        <v>30</v>
      </c>
      <c r="N5" s="969" t="s">
        <v>31</v>
      </c>
      <c r="O5" s="969" t="s">
        <v>30</v>
      </c>
      <c r="P5" s="969" t="s">
        <v>30</v>
      </c>
      <c r="Q5" s="969" t="s">
        <v>30</v>
      </c>
      <c r="R5" s="969" t="s">
        <v>30</v>
      </c>
      <c r="S5" s="969" t="s">
        <v>30</v>
      </c>
      <c r="T5" s="969" t="s">
        <v>32</v>
      </c>
      <c r="U5" s="969" t="s">
        <v>32</v>
      </c>
      <c r="V5" s="969" t="s">
        <v>32</v>
      </c>
      <c r="W5" s="969" t="s">
        <v>32</v>
      </c>
      <c r="X5" s="969" t="s">
        <v>32</v>
      </c>
      <c r="Y5" s="969" t="s">
        <v>32</v>
      </c>
      <c r="Z5" s="969" t="s">
        <v>32</v>
      </c>
      <c r="AA5" s="1007"/>
      <c r="AB5" s="1007"/>
      <c r="AC5" s="527"/>
      <c r="AD5" s="527"/>
      <c r="AE5" s="527"/>
      <c r="AF5" s="527"/>
      <c r="AG5" s="527"/>
      <c r="AH5" s="527"/>
      <c r="AI5" s="527"/>
      <c r="AJ5" s="527"/>
      <c r="AK5" s="527"/>
      <c r="AL5" s="527"/>
      <c r="AM5" s="365"/>
      <c r="AN5" s="365"/>
      <c r="AO5" s="365"/>
      <c r="AP5" s="365"/>
      <c r="AQ5" s="365"/>
      <c r="AR5" s="365"/>
      <c r="AS5" s="365"/>
      <c r="AT5" s="365"/>
      <c r="AU5" s="365"/>
      <c r="AV5" s="365"/>
    </row>
    <row r="6" spans="1:48">
      <c r="A6" s="976" t="s">
        <v>33</v>
      </c>
      <c r="B6" s="976" t="s">
        <v>1369</v>
      </c>
      <c r="C6" s="1013" t="s">
        <v>35</v>
      </c>
      <c r="D6" s="1020"/>
      <c r="E6" s="1021"/>
      <c r="F6" s="1021"/>
      <c r="G6" s="1021"/>
      <c r="H6" s="1021"/>
      <c r="I6" s="1021"/>
      <c r="J6" s="1016">
        <v>4192000000000</v>
      </c>
      <c r="K6" s="1016">
        <v>4929000000000</v>
      </c>
      <c r="L6" s="1016">
        <v>6868000000000</v>
      </c>
      <c r="M6" s="1016">
        <v>6807000000000</v>
      </c>
      <c r="N6" s="1016">
        <v>8023000000000</v>
      </c>
      <c r="O6" s="1017">
        <v>8114000000000</v>
      </c>
      <c r="P6" s="1017">
        <f>P7+P18</f>
        <v>9589000000000</v>
      </c>
      <c r="Q6" s="1017">
        <f t="shared" ref="Q6:Z6" si="0">Q7+Q18</f>
        <v>11372000000000</v>
      </c>
      <c r="R6" s="1017">
        <f t="shared" si="0"/>
        <v>13395000000000</v>
      </c>
      <c r="S6" s="1017">
        <f t="shared" si="0"/>
        <v>13838000000000</v>
      </c>
      <c r="T6" s="1017">
        <f t="shared" si="0"/>
        <v>16215000000000</v>
      </c>
      <c r="U6" s="1017">
        <f t="shared" si="0"/>
        <v>17617000000000</v>
      </c>
      <c r="V6" s="1017">
        <f t="shared" si="0"/>
        <v>19510000000000</v>
      </c>
      <c r="W6" s="1017">
        <f t="shared" si="0"/>
        <v>21758000000000</v>
      </c>
      <c r="X6" s="1017">
        <f t="shared" si="0"/>
        <v>24431000000000</v>
      </c>
      <c r="Y6" s="1017">
        <f t="shared" si="0"/>
        <v>26970000000000</v>
      </c>
      <c r="Z6" s="1017">
        <f t="shared" si="0"/>
        <v>29877000000000</v>
      </c>
      <c r="AC6" s="527"/>
      <c r="AD6" s="527"/>
      <c r="AE6" s="527"/>
      <c r="AF6" s="527"/>
      <c r="AG6" s="527"/>
      <c r="AH6" s="527"/>
      <c r="AI6" s="527"/>
      <c r="AJ6" s="527"/>
      <c r="AK6" s="527"/>
      <c r="AL6" s="527"/>
      <c r="AM6" s="365"/>
      <c r="AN6" s="365"/>
      <c r="AO6" s="365"/>
      <c r="AP6" s="365"/>
      <c r="AQ6" s="365"/>
      <c r="AR6" s="365"/>
      <c r="AS6" s="365"/>
      <c r="AT6" s="365"/>
      <c r="AU6" s="365"/>
      <c r="AV6" s="365"/>
    </row>
    <row r="7" spans="1:48">
      <c r="A7" s="980" t="s">
        <v>370</v>
      </c>
      <c r="B7" s="981" t="s">
        <v>36</v>
      </c>
      <c r="C7" s="982" t="s">
        <v>38</v>
      </c>
      <c r="E7" s="983"/>
      <c r="F7" s="984"/>
      <c r="G7" s="984"/>
      <c r="H7" s="984"/>
      <c r="I7" s="984"/>
      <c r="J7" s="978">
        <v>3431000000000</v>
      </c>
      <c r="K7" s="978">
        <v>4165000000000</v>
      </c>
      <c r="L7" s="978">
        <v>5463000000000</v>
      </c>
      <c r="M7" s="978">
        <v>4978000000000</v>
      </c>
      <c r="N7" s="978">
        <v>5698000000000</v>
      </c>
      <c r="O7" s="979">
        <f t="shared" ref="O7" si="1">O10+O15</f>
        <v>6436000000000</v>
      </c>
      <c r="P7" s="985">
        <f>P10+P15</f>
        <v>8017000000000</v>
      </c>
      <c r="Q7" s="985">
        <f t="shared" ref="Q7:Z7" si="2">Q10+Q15</f>
        <v>8971000000000</v>
      </c>
      <c r="R7" s="985">
        <f t="shared" si="2"/>
        <v>11398000000000</v>
      </c>
      <c r="S7" s="985">
        <f t="shared" si="2"/>
        <v>12169000000000</v>
      </c>
      <c r="T7" s="985">
        <f t="shared" si="2"/>
        <v>14590000000000</v>
      </c>
      <c r="U7" s="985">
        <f t="shared" si="2"/>
        <v>16227000000000</v>
      </c>
      <c r="V7" s="985">
        <f t="shared" si="2"/>
        <v>18053000000000</v>
      </c>
      <c r="W7" s="985">
        <f t="shared" si="2"/>
        <v>20231000000000</v>
      </c>
      <c r="X7" s="985">
        <f t="shared" si="2"/>
        <v>22898000000000</v>
      </c>
      <c r="Y7" s="985">
        <f t="shared" si="2"/>
        <v>25436000000000</v>
      </c>
      <c r="Z7" s="985">
        <f t="shared" si="2"/>
        <v>28270000000000</v>
      </c>
      <c r="AC7" s="527"/>
      <c r="AD7" s="527"/>
      <c r="AE7" s="527"/>
      <c r="AF7" s="527"/>
      <c r="AG7" s="527"/>
      <c r="AH7" s="527"/>
      <c r="AI7" s="527"/>
      <c r="AJ7" s="527"/>
      <c r="AK7" s="527"/>
      <c r="AL7" s="527"/>
      <c r="AM7" s="365"/>
      <c r="AN7" s="365"/>
      <c r="AO7" s="365"/>
      <c r="AP7" s="365"/>
      <c r="AQ7" s="365"/>
      <c r="AR7" s="365"/>
      <c r="AS7" s="365"/>
      <c r="AT7" s="365"/>
      <c r="AU7" s="365"/>
      <c r="AV7" s="365"/>
    </row>
    <row r="8" spans="1:48">
      <c r="A8" s="972" t="s">
        <v>76</v>
      </c>
      <c r="B8" s="981" t="s">
        <v>1370</v>
      </c>
      <c r="C8" s="981"/>
      <c r="E8" s="983"/>
      <c r="F8" s="983"/>
      <c r="G8" s="983"/>
      <c r="H8" s="983"/>
      <c r="I8" s="983"/>
      <c r="J8" s="978">
        <v>3240000000000</v>
      </c>
      <c r="K8" s="978">
        <v>3962000000000</v>
      </c>
      <c r="L8" s="978">
        <v>5188000000000</v>
      </c>
      <c r="M8" s="978">
        <v>0</v>
      </c>
      <c r="N8" s="978">
        <v>0</v>
      </c>
      <c r="O8" s="978">
        <v>0</v>
      </c>
      <c r="P8" s="978"/>
      <c r="Q8" s="978"/>
      <c r="R8" s="978"/>
      <c r="S8" s="986"/>
      <c r="T8" s="1008"/>
      <c r="U8" s="1008"/>
      <c r="V8" s="1008"/>
      <c r="W8" s="1008"/>
      <c r="X8" s="1008"/>
      <c r="Y8" s="1008"/>
      <c r="Z8" s="1008"/>
      <c r="AC8" s="527"/>
      <c r="AD8" s="527"/>
      <c r="AE8" s="527"/>
      <c r="AF8" s="527"/>
      <c r="AG8" s="527"/>
      <c r="AH8" s="527"/>
      <c r="AI8" s="527"/>
      <c r="AJ8" s="527"/>
      <c r="AK8" s="527"/>
      <c r="AL8" s="527"/>
      <c r="AM8" s="365"/>
      <c r="AN8" s="365"/>
      <c r="AO8" s="365"/>
      <c r="AP8" s="365"/>
      <c r="AQ8" s="365"/>
      <c r="AR8" s="365"/>
      <c r="AS8" s="365"/>
      <c r="AT8" s="365"/>
      <c r="AU8" s="365"/>
      <c r="AV8" s="365"/>
    </row>
    <row r="9" spans="1:48">
      <c r="A9" s="972" t="s">
        <v>76</v>
      </c>
      <c r="B9" s="981" t="s">
        <v>1371</v>
      </c>
      <c r="C9" s="981"/>
      <c r="E9" s="983"/>
      <c r="F9" s="983"/>
      <c r="G9" s="983"/>
      <c r="H9" s="983"/>
      <c r="I9" s="983"/>
      <c r="J9" s="987"/>
      <c r="K9" s="987"/>
      <c r="L9" s="987"/>
      <c r="M9" s="978">
        <v>4978000000000</v>
      </c>
      <c r="N9" s="978">
        <v>5698000000000</v>
      </c>
      <c r="O9" s="979">
        <v>6436000000000</v>
      </c>
      <c r="P9" s="979">
        <v>8017000000000</v>
      </c>
      <c r="Q9" s="979">
        <v>8971000000000</v>
      </c>
      <c r="R9" s="979">
        <v>11398000000000</v>
      </c>
      <c r="S9" s="979">
        <v>12169000000000</v>
      </c>
      <c r="T9" s="1008">
        <v>14589000000000</v>
      </c>
      <c r="U9" s="1008">
        <v>16226000000000</v>
      </c>
      <c r="V9" s="1008">
        <v>18053000000000</v>
      </c>
      <c r="W9" s="1008">
        <v>20231000000000</v>
      </c>
      <c r="X9" s="1008">
        <v>22898000000000</v>
      </c>
      <c r="Y9" s="1008">
        <v>25436000000000</v>
      </c>
      <c r="Z9" s="1008">
        <v>28271000000000</v>
      </c>
      <c r="AC9" s="527"/>
      <c r="AD9" s="527"/>
      <c r="AE9" s="527"/>
      <c r="AF9" s="527"/>
      <c r="AG9" s="527"/>
      <c r="AH9" s="527"/>
      <c r="AI9" s="527"/>
      <c r="AJ9" s="527"/>
      <c r="AK9" s="527"/>
      <c r="AL9" s="527"/>
      <c r="AM9" s="365"/>
      <c r="AN9" s="365"/>
      <c r="AO9" s="365"/>
      <c r="AP9" s="365"/>
      <c r="AQ9" s="365"/>
      <c r="AR9" s="365"/>
      <c r="AS9" s="365"/>
      <c r="AT9" s="365"/>
      <c r="AU9" s="365"/>
      <c r="AV9" s="365"/>
    </row>
    <row r="10" spans="1:48">
      <c r="A10" s="980" t="s">
        <v>39</v>
      </c>
      <c r="B10" s="981" t="s">
        <v>1372</v>
      </c>
      <c r="C10" s="982" t="s">
        <v>41</v>
      </c>
      <c r="E10" s="984"/>
      <c r="F10" s="984"/>
      <c r="G10" s="984"/>
      <c r="H10" s="984"/>
      <c r="I10" s="984"/>
      <c r="J10" s="978">
        <v>2372000000000</v>
      </c>
      <c r="K10" s="978">
        <v>3343000000000</v>
      </c>
      <c r="L10" s="978">
        <v>4494000000000</v>
      </c>
      <c r="M10" s="978">
        <v>4156000000000</v>
      </c>
      <c r="N10" s="978">
        <v>4751000000000</v>
      </c>
      <c r="O10" s="979">
        <v>5289000000000</v>
      </c>
      <c r="P10" s="979">
        <v>6424000000000</v>
      </c>
      <c r="Q10" s="979">
        <v>7265000000000</v>
      </c>
      <c r="R10" s="979">
        <v>9297000000000</v>
      </c>
      <c r="S10" s="979">
        <v>10719000000000</v>
      </c>
      <c r="T10" s="1008">
        <v>12521000000000</v>
      </c>
      <c r="U10" s="1008">
        <v>13796000000000</v>
      </c>
      <c r="V10" s="1008">
        <v>15249000000000</v>
      </c>
      <c r="W10" s="1008">
        <v>16855000000000</v>
      </c>
      <c r="X10" s="1008">
        <v>18795000000000</v>
      </c>
      <c r="Y10" s="1008">
        <v>20916000000000</v>
      </c>
      <c r="Z10" s="1008">
        <v>23163000000000</v>
      </c>
      <c r="AC10" s="527"/>
      <c r="AD10" s="527"/>
      <c r="AE10" s="527"/>
      <c r="AF10" s="527"/>
      <c r="AG10" s="527"/>
      <c r="AH10" s="527"/>
      <c r="AI10" s="527"/>
      <c r="AJ10" s="527"/>
      <c r="AK10" s="527"/>
      <c r="AL10" s="527"/>
      <c r="AM10" s="365"/>
      <c r="AN10" s="365"/>
      <c r="AO10" s="365"/>
      <c r="AP10" s="365"/>
      <c r="AQ10" s="365"/>
      <c r="AR10" s="365"/>
      <c r="AS10" s="365"/>
      <c r="AT10" s="365"/>
      <c r="AU10" s="365"/>
      <c r="AV10" s="365"/>
    </row>
    <row r="11" spans="1:48">
      <c r="A11" s="980" t="s">
        <v>42</v>
      </c>
      <c r="B11" s="988" t="s">
        <v>1373</v>
      </c>
      <c r="C11" s="972" t="s">
        <v>44</v>
      </c>
      <c r="E11" s="984"/>
      <c r="F11" s="984"/>
      <c r="G11" s="984"/>
      <c r="H11" s="984"/>
      <c r="I11" s="984"/>
      <c r="J11" s="978">
        <v>331000000000</v>
      </c>
      <c r="K11" s="978">
        <v>480000000000</v>
      </c>
      <c r="L11" s="978">
        <v>654000000000</v>
      </c>
      <c r="M11" s="978">
        <v>744000000000</v>
      </c>
      <c r="N11" s="978">
        <v>800000000000</v>
      </c>
      <c r="O11" s="979">
        <v>960000000000</v>
      </c>
      <c r="P11" s="979">
        <v>1276000000000</v>
      </c>
      <c r="Q11" s="979">
        <v>1561000000000</v>
      </c>
      <c r="R11" s="979">
        <v>1964000000000</v>
      </c>
      <c r="S11" s="979">
        <v>2472000000000</v>
      </c>
      <c r="T11" s="1008">
        <v>2953000000000</v>
      </c>
      <c r="U11" s="1008">
        <v>3374000000000</v>
      </c>
      <c r="V11" s="1008">
        <v>3835000000000</v>
      </c>
      <c r="W11" s="1008">
        <v>4280000000000</v>
      </c>
      <c r="X11" s="1008">
        <v>4856000000000</v>
      </c>
      <c r="Y11" s="1008">
        <v>5448000000000</v>
      </c>
      <c r="Z11" s="1008">
        <v>6212000000000</v>
      </c>
      <c r="AC11" s="527"/>
      <c r="AD11" s="527"/>
      <c r="AE11" s="527"/>
      <c r="AF11" s="527"/>
      <c r="AG11" s="527"/>
      <c r="AH11" s="527"/>
      <c r="AI11" s="527"/>
      <c r="AJ11" s="527"/>
      <c r="AK11" s="527"/>
      <c r="AL11" s="527"/>
      <c r="AM11" s="365"/>
      <c r="AN11" s="365"/>
      <c r="AO11" s="365"/>
      <c r="AP11" s="365"/>
      <c r="AQ11" s="365"/>
      <c r="AR11" s="365"/>
      <c r="AS11" s="365"/>
      <c r="AT11" s="365"/>
      <c r="AU11" s="365"/>
      <c r="AV11" s="365"/>
    </row>
    <row r="12" spans="1:48">
      <c r="A12" s="980" t="s">
        <v>47</v>
      </c>
      <c r="B12" s="988" t="s">
        <v>1374</v>
      </c>
      <c r="C12" s="972" t="s">
        <v>44</v>
      </c>
      <c r="E12" s="984"/>
      <c r="F12" s="984"/>
      <c r="G12" s="984"/>
      <c r="H12" s="984"/>
      <c r="I12" s="984"/>
      <c r="J12" s="978">
        <v>1920000000000</v>
      </c>
      <c r="K12" s="978">
        <v>2676000000000</v>
      </c>
      <c r="L12" s="978">
        <v>3582000000000</v>
      </c>
      <c r="M12" s="978">
        <v>2348000000000</v>
      </c>
      <c r="N12" s="978">
        <v>2792000000000</v>
      </c>
      <c r="O12" s="979">
        <v>3123000000000</v>
      </c>
      <c r="P12" s="979">
        <v>3815000000000</v>
      </c>
      <c r="Q12" s="979">
        <v>4210000000000</v>
      </c>
      <c r="R12" s="979">
        <v>5450000000000</v>
      </c>
      <c r="S12" s="979">
        <v>6238000000000</v>
      </c>
      <c r="T12" s="1008">
        <v>7423000000000</v>
      </c>
      <c r="U12" s="1008">
        <v>8156000000000</v>
      </c>
      <c r="V12" s="1008">
        <v>9012000000000</v>
      </c>
      <c r="W12" s="1008">
        <v>9908000000000</v>
      </c>
      <c r="X12" s="1008">
        <v>11000000000000</v>
      </c>
      <c r="Y12" s="1008">
        <v>12205000000000</v>
      </c>
      <c r="Z12" s="1008">
        <v>13373000000000</v>
      </c>
      <c r="AC12" s="527"/>
      <c r="AD12" s="527"/>
      <c r="AE12" s="527"/>
      <c r="AF12" s="527"/>
      <c r="AG12" s="527"/>
      <c r="AH12" s="527"/>
      <c r="AI12" s="527"/>
      <c r="AJ12" s="527"/>
      <c r="AK12" s="527"/>
      <c r="AL12" s="527"/>
      <c r="AM12" s="365"/>
      <c r="AN12" s="365"/>
      <c r="AO12" s="365"/>
      <c r="AP12" s="365"/>
      <c r="AQ12" s="365"/>
      <c r="AR12" s="365"/>
      <c r="AS12" s="365"/>
      <c r="AT12" s="365"/>
      <c r="AU12" s="365"/>
      <c r="AV12" s="365"/>
    </row>
    <row r="13" spans="1:48">
      <c r="A13" s="980" t="s">
        <v>45</v>
      </c>
      <c r="B13" s="988" t="s">
        <v>1375</v>
      </c>
      <c r="C13" s="972" t="s">
        <v>44</v>
      </c>
      <c r="E13" s="984"/>
      <c r="F13" s="984"/>
      <c r="G13" s="984"/>
      <c r="H13" s="984"/>
      <c r="I13" s="984"/>
      <c r="J13" s="989"/>
      <c r="K13" s="989"/>
      <c r="L13" s="989"/>
      <c r="M13" s="978">
        <v>1064000000000</v>
      </c>
      <c r="N13" s="978">
        <v>1159000000000</v>
      </c>
      <c r="O13" s="979">
        <v>1206000000000</v>
      </c>
      <c r="P13" s="979">
        <v>1333000000000</v>
      </c>
      <c r="Q13" s="979">
        <v>1493000000000</v>
      </c>
      <c r="R13" s="979">
        <v>1883000000000</v>
      </c>
      <c r="S13" s="979">
        <v>2009000000000</v>
      </c>
      <c r="T13" s="1008">
        <v>2145000000000</v>
      </c>
      <c r="U13" s="1008">
        <v>2266000000000</v>
      </c>
      <c r="V13" s="1008">
        <v>2402000000000</v>
      </c>
      <c r="W13" s="1008">
        <v>2667000000000</v>
      </c>
      <c r="X13" s="1008">
        <v>2938000000000</v>
      </c>
      <c r="Y13" s="1008">
        <v>3264000000000</v>
      </c>
      <c r="Z13" s="1008">
        <v>3579000000000</v>
      </c>
      <c r="AC13" s="527"/>
      <c r="AD13" s="527"/>
      <c r="AE13" s="527"/>
      <c r="AF13" s="527"/>
      <c r="AG13" s="527"/>
      <c r="AH13" s="527"/>
      <c r="AI13" s="527"/>
      <c r="AJ13" s="527"/>
      <c r="AK13" s="527"/>
      <c r="AL13" s="527"/>
      <c r="AM13" s="365"/>
      <c r="AN13" s="365"/>
      <c r="AO13" s="365"/>
      <c r="AP13" s="365"/>
      <c r="AQ13" s="365"/>
      <c r="AR13" s="365"/>
      <c r="AS13" s="365"/>
      <c r="AT13" s="365"/>
      <c r="AU13" s="365"/>
      <c r="AV13" s="365"/>
    </row>
    <row r="14" spans="1:48">
      <c r="A14" s="988" t="s">
        <v>1376</v>
      </c>
      <c r="B14" s="988" t="s">
        <v>1377</v>
      </c>
      <c r="C14" s="972" t="s">
        <v>44</v>
      </c>
      <c r="E14" s="983"/>
      <c r="F14" s="983"/>
      <c r="G14" s="983"/>
      <c r="H14" s="983"/>
      <c r="I14" s="983"/>
      <c r="J14" s="978">
        <v>121000000000</v>
      </c>
      <c r="K14" s="978">
        <v>187000000000</v>
      </c>
      <c r="L14" s="978">
        <v>259000000000</v>
      </c>
      <c r="M14" s="978"/>
      <c r="N14" s="978"/>
      <c r="O14" s="978"/>
      <c r="P14" s="978"/>
      <c r="Q14" s="978"/>
      <c r="R14" s="978"/>
      <c r="S14" s="986"/>
      <c r="T14" s="1008"/>
      <c r="U14" s="1008"/>
      <c r="V14" s="1008"/>
      <c r="W14" s="1008"/>
      <c r="X14" s="1008"/>
      <c r="Y14" s="1008"/>
      <c r="Z14" s="1008"/>
      <c r="AC14" s="527"/>
      <c r="AD14" s="527"/>
      <c r="AE14" s="527"/>
      <c r="AF14" s="527"/>
      <c r="AG14" s="527"/>
      <c r="AH14" s="527"/>
      <c r="AI14" s="527"/>
      <c r="AJ14" s="527"/>
      <c r="AK14" s="527"/>
      <c r="AL14" s="527"/>
      <c r="AM14" s="365"/>
      <c r="AN14" s="365"/>
      <c r="AO14" s="365"/>
      <c r="AP14" s="365"/>
      <c r="AQ14" s="365"/>
      <c r="AR14" s="365"/>
      <c r="AS14" s="365"/>
      <c r="AT14" s="365"/>
      <c r="AU14" s="365"/>
      <c r="AV14" s="365"/>
    </row>
    <row r="15" spans="1:48">
      <c r="A15" s="981" t="s">
        <v>51</v>
      </c>
      <c r="B15" s="981" t="s">
        <v>1378</v>
      </c>
      <c r="C15" s="982" t="s">
        <v>41</v>
      </c>
      <c r="E15" s="984"/>
      <c r="F15" s="984"/>
      <c r="G15" s="984"/>
      <c r="H15" s="984"/>
      <c r="I15" s="984"/>
      <c r="J15" s="978">
        <v>681000000000</v>
      </c>
      <c r="K15" s="978">
        <v>705000000000</v>
      </c>
      <c r="L15" s="978">
        <v>769000000000</v>
      </c>
      <c r="M15" s="978">
        <v>822000000000</v>
      </c>
      <c r="N15" s="978">
        <v>947000000000</v>
      </c>
      <c r="O15" s="979">
        <v>1147000000000</v>
      </c>
      <c r="P15" s="995">
        <v>1593000000000</v>
      </c>
      <c r="Q15" s="995">
        <v>1706000000000</v>
      </c>
      <c r="R15" s="995">
        <v>2101000000000</v>
      </c>
      <c r="S15" s="995">
        <v>1450000000000</v>
      </c>
      <c r="T15" s="1008">
        <v>2069000000000</v>
      </c>
      <c r="U15" s="1008">
        <v>2431000000000</v>
      </c>
      <c r="V15" s="1008">
        <v>2804000000000</v>
      </c>
      <c r="W15" s="1008">
        <v>3376000000000</v>
      </c>
      <c r="X15" s="1008">
        <v>4103000000000</v>
      </c>
      <c r="Y15" s="1008">
        <v>4520000000000</v>
      </c>
      <c r="Z15" s="1008">
        <v>5107000000000</v>
      </c>
      <c r="AC15" s="527"/>
      <c r="AD15" s="527"/>
      <c r="AE15" s="527"/>
      <c r="AF15" s="527"/>
      <c r="AG15" s="527"/>
      <c r="AH15" s="527"/>
      <c r="AI15" s="527"/>
      <c r="AJ15" s="527"/>
      <c r="AK15" s="527"/>
      <c r="AL15" s="527"/>
      <c r="AM15" s="365"/>
      <c r="AN15" s="365"/>
      <c r="AO15" s="365"/>
      <c r="AP15" s="365"/>
      <c r="AQ15" s="365"/>
      <c r="AR15" s="365"/>
      <c r="AS15" s="365"/>
      <c r="AT15" s="365"/>
      <c r="AU15" s="365"/>
      <c r="AV15" s="365"/>
    </row>
    <row r="16" spans="1:48">
      <c r="A16" s="981" t="s">
        <v>1379</v>
      </c>
      <c r="B16" s="981" t="s">
        <v>1380</v>
      </c>
      <c r="C16" s="982" t="s">
        <v>41</v>
      </c>
      <c r="E16" s="984"/>
      <c r="F16" s="984"/>
      <c r="G16" s="984"/>
      <c r="H16" s="984"/>
      <c r="I16" s="984"/>
      <c r="J16" s="978">
        <v>377000000000</v>
      </c>
      <c r="K16" s="978">
        <v>117000000000</v>
      </c>
      <c r="L16" s="978">
        <v>200000000000</v>
      </c>
      <c r="M16" s="990"/>
      <c r="N16" s="990"/>
      <c r="O16" s="990"/>
      <c r="P16" s="990"/>
      <c r="Q16" s="990"/>
      <c r="R16" s="990"/>
      <c r="S16" s="986"/>
      <c r="T16" s="1008"/>
      <c r="U16" s="1008"/>
      <c r="V16" s="1008"/>
      <c r="W16" s="1008"/>
      <c r="X16" s="1008"/>
      <c r="Y16" s="1008"/>
      <c r="Z16" s="1008"/>
      <c r="AC16" s="527"/>
      <c r="AD16" s="527"/>
      <c r="AE16" s="527"/>
      <c r="AF16" s="527"/>
      <c r="AG16" s="527"/>
      <c r="AH16" s="527"/>
      <c r="AI16" s="527"/>
      <c r="AJ16" s="527"/>
      <c r="AK16" s="527"/>
      <c r="AL16" s="527"/>
      <c r="AM16" s="365"/>
      <c r="AN16" s="365"/>
      <c r="AO16" s="365"/>
      <c r="AP16" s="365"/>
      <c r="AQ16" s="365"/>
      <c r="AR16" s="365"/>
      <c r="AS16" s="365"/>
      <c r="AT16" s="365"/>
      <c r="AU16" s="365"/>
      <c r="AV16" s="365"/>
    </row>
    <row r="17" spans="1:48">
      <c r="A17" s="972" t="s">
        <v>76</v>
      </c>
      <c r="B17" s="981" t="s">
        <v>1381</v>
      </c>
      <c r="C17" s="981"/>
      <c r="E17" s="983"/>
      <c r="F17" s="983"/>
      <c r="G17" s="983"/>
      <c r="H17" s="983"/>
      <c r="I17" s="983"/>
      <c r="J17" s="978">
        <v>341000000000</v>
      </c>
      <c r="K17" s="978">
        <v>0</v>
      </c>
      <c r="L17" s="978">
        <v>0</v>
      </c>
      <c r="M17" s="978"/>
      <c r="N17" s="978"/>
      <c r="O17" s="978"/>
      <c r="P17" s="978"/>
      <c r="Q17" s="978"/>
      <c r="R17" s="978"/>
      <c r="S17" s="986"/>
      <c r="T17" s="1008"/>
      <c r="U17" s="1008"/>
      <c r="V17" s="1008"/>
      <c r="W17" s="1008"/>
      <c r="X17" s="1008"/>
      <c r="Y17" s="1008"/>
      <c r="Z17" s="1008"/>
      <c r="AC17" s="527"/>
      <c r="AD17" s="527"/>
      <c r="AE17" s="527"/>
      <c r="AF17" s="527"/>
      <c r="AG17" s="527"/>
      <c r="AH17" s="527"/>
      <c r="AI17" s="527"/>
      <c r="AJ17" s="527"/>
      <c r="AK17" s="527"/>
      <c r="AL17" s="527"/>
      <c r="AM17" s="365"/>
      <c r="AN17" s="365"/>
      <c r="AO17" s="365"/>
      <c r="AP17" s="365"/>
      <c r="AQ17" s="365"/>
      <c r="AR17" s="365"/>
      <c r="AS17" s="365"/>
      <c r="AT17" s="365"/>
      <c r="AU17" s="365"/>
      <c r="AV17" s="365"/>
    </row>
    <row r="18" spans="1:48" s="9" customFormat="1">
      <c r="A18" s="991" t="s">
        <v>53</v>
      </c>
      <c r="B18" s="991" t="s">
        <v>53</v>
      </c>
      <c r="C18" s="992" t="s">
        <v>38</v>
      </c>
      <c r="D18" s="977"/>
      <c r="E18" s="993"/>
      <c r="F18" s="993"/>
      <c r="G18" s="993"/>
      <c r="H18" s="993"/>
      <c r="I18" s="993"/>
      <c r="J18" s="994">
        <v>761000000000</v>
      </c>
      <c r="K18" s="994">
        <v>764000000000</v>
      </c>
      <c r="L18" s="994">
        <v>1405000000000</v>
      </c>
      <c r="M18" s="994">
        <v>1829000000000</v>
      </c>
      <c r="N18" s="994">
        <v>2325000000000</v>
      </c>
      <c r="O18" s="1019">
        <v>1678000000000</v>
      </c>
      <c r="P18" s="1019">
        <v>1572000000000</v>
      </c>
      <c r="Q18" s="1019">
        <v>2401000000000</v>
      </c>
      <c r="R18" s="1019">
        <v>1997000000000</v>
      </c>
      <c r="S18" s="1019">
        <v>1669000000000</v>
      </c>
      <c r="T18" s="1011">
        <v>1625000000000</v>
      </c>
      <c r="U18" s="1011">
        <v>1390000000000</v>
      </c>
      <c r="V18" s="1011">
        <v>1457000000000</v>
      </c>
      <c r="W18" s="1011">
        <v>1527000000000</v>
      </c>
      <c r="X18" s="1011">
        <v>1533000000000</v>
      </c>
      <c r="Y18" s="1011">
        <v>1534000000000</v>
      </c>
      <c r="Z18" s="1011">
        <v>1607000000000</v>
      </c>
      <c r="AA18"/>
      <c r="AB18"/>
      <c r="AC18" s="527"/>
      <c r="AD18" s="527"/>
      <c r="AE18" s="527"/>
      <c r="AF18" s="527"/>
      <c r="AG18" s="527"/>
      <c r="AH18" s="527"/>
      <c r="AI18" s="527"/>
      <c r="AJ18" s="527"/>
      <c r="AK18" s="527"/>
      <c r="AL18" s="527"/>
      <c r="AM18" s="365"/>
      <c r="AN18" s="365"/>
      <c r="AO18" s="365"/>
      <c r="AP18" s="365"/>
      <c r="AQ18" s="365"/>
      <c r="AR18" s="365"/>
      <c r="AS18" s="365"/>
      <c r="AT18" s="365"/>
      <c r="AU18" s="365"/>
      <c r="AV18" s="365"/>
    </row>
    <row r="19" spans="1:48" s="15" customFormat="1">
      <c r="A19" s="1012" t="s">
        <v>198</v>
      </c>
      <c r="B19" s="1012" t="s">
        <v>1382</v>
      </c>
      <c r="C19" s="1012" t="s">
        <v>35</v>
      </c>
      <c r="D19" s="1013"/>
      <c r="E19" s="1014"/>
      <c r="F19" s="1015"/>
      <c r="G19" s="1015"/>
      <c r="H19" s="1015"/>
      <c r="I19" s="1015"/>
      <c r="J19" s="1016">
        <v>4244000000000</v>
      </c>
      <c r="K19" s="1016">
        <v>5164000000000</v>
      </c>
      <c r="L19" s="1016">
        <v>6751000000000</v>
      </c>
      <c r="M19" s="1016">
        <v>8634000000000</v>
      </c>
      <c r="N19" s="1016">
        <f>N20+N29</f>
        <v>9365000000000</v>
      </c>
      <c r="O19" s="1017">
        <v>10236000000000</v>
      </c>
      <c r="P19" s="1017">
        <v>11741000000000</v>
      </c>
      <c r="Q19" s="1017">
        <v>12686000000000</v>
      </c>
      <c r="R19" s="1017">
        <v>14160000000000</v>
      </c>
      <c r="S19" s="1017">
        <v>15000000000000</v>
      </c>
      <c r="T19" s="1018">
        <v>18524000000000</v>
      </c>
      <c r="U19" s="1018">
        <v>20943000000000</v>
      </c>
      <c r="V19" s="1018">
        <v>24054000000000</v>
      </c>
      <c r="W19" s="1018">
        <v>26601000000000</v>
      </c>
      <c r="X19" s="1018">
        <v>29297000000000</v>
      </c>
      <c r="Y19" s="1018">
        <v>32266000000000</v>
      </c>
      <c r="Z19" s="1018">
        <v>35455000000000</v>
      </c>
      <c r="AA19"/>
      <c r="AB19"/>
      <c r="AC19" s="527"/>
      <c r="AD19" s="527"/>
      <c r="AE19" s="527"/>
      <c r="AF19" s="527"/>
      <c r="AG19" s="527"/>
      <c r="AH19" s="527"/>
      <c r="AI19" s="527"/>
      <c r="AJ19" s="527"/>
      <c r="AK19" s="527"/>
      <c r="AL19" s="527"/>
      <c r="AM19" s="365"/>
      <c r="AN19" s="365"/>
      <c r="AO19" s="365"/>
      <c r="AP19" s="365"/>
      <c r="AQ19" s="365"/>
      <c r="AR19" s="365"/>
      <c r="AS19" s="365"/>
      <c r="AT19" s="365"/>
      <c r="AU19" s="365"/>
      <c r="AV19" s="365"/>
    </row>
    <row r="20" spans="1:48">
      <c r="A20" s="996" t="s">
        <v>73</v>
      </c>
      <c r="B20" s="981" t="s">
        <v>382</v>
      </c>
      <c r="C20" s="982" t="s">
        <v>75</v>
      </c>
      <c r="E20" s="984"/>
      <c r="F20" s="984"/>
      <c r="G20" s="984"/>
      <c r="H20" s="984"/>
      <c r="I20" s="984"/>
      <c r="J20" s="978">
        <v>2527000000000</v>
      </c>
      <c r="K20" s="978">
        <v>3043000000000</v>
      </c>
      <c r="L20" s="978">
        <v>4097000000000</v>
      </c>
      <c r="M20" s="978">
        <v>4963000000000</v>
      </c>
      <c r="N20" s="978">
        <f>N21+N24+N25+N28</f>
        <v>5070000000000</v>
      </c>
      <c r="O20" s="979">
        <v>5888000000000</v>
      </c>
      <c r="P20" s="979">
        <v>6818000000000</v>
      </c>
      <c r="Q20" s="979">
        <v>7351000000000</v>
      </c>
      <c r="R20" s="979">
        <v>8838000000000</v>
      </c>
      <c r="S20" s="979">
        <v>9740000000000</v>
      </c>
      <c r="T20" s="1008">
        <v>12149000000000</v>
      </c>
      <c r="U20" s="1008">
        <v>13543000000000</v>
      </c>
      <c r="V20" s="1008">
        <v>15527000000000</v>
      </c>
      <c r="W20" s="1008">
        <v>17265000000000</v>
      </c>
      <c r="X20" s="1008">
        <v>19006000000000</v>
      </c>
      <c r="Y20" s="1008">
        <v>20904000000000</v>
      </c>
      <c r="Z20" s="1008">
        <v>22955000000000</v>
      </c>
      <c r="AC20" s="527"/>
      <c r="AD20" s="527"/>
      <c r="AE20" s="527"/>
      <c r="AF20" s="527"/>
      <c r="AG20" s="527"/>
      <c r="AH20" s="527"/>
      <c r="AI20" s="527"/>
      <c r="AJ20" s="527"/>
      <c r="AK20" s="527"/>
      <c r="AL20" s="527"/>
      <c r="AM20" s="365"/>
      <c r="AN20" s="365"/>
      <c r="AO20" s="365"/>
      <c r="AP20" s="365"/>
      <c r="AQ20" s="365"/>
      <c r="AR20" s="365"/>
      <c r="AS20" s="365"/>
      <c r="AT20" s="365"/>
      <c r="AU20" s="365"/>
      <c r="AV20" s="365"/>
    </row>
    <row r="21" spans="1:48">
      <c r="A21" s="988" t="s">
        <v>797</v>
      </c>
      <c r="B21" s="988" t="s">
        <v>1383</v>
      </c>
      <c r="C21" s="982" t="s">
        <v>81</v>
      </c>
      <c r="E21" s="984"/>
      <c r="F21" s="984"/>
      <c r="G21" s="984"/>
      <c r="H21" s="984"/>
      <c r="I21" s="984"/>
      <c r="J21" s="978">
        <v>975000000000</v>
      </c>
      <c r="K21" s="978">
        <v>1058000000000</v>
      </c>
      <c r="L21" s="978">
        <v>1438000000000</v>
      </c>
      <c r="M21" s="978">
        <v>2103000000000</v>
      </c>
      <c r="N21" s="978">
        <v>2135000000000</v>
      </c>
      <c r="O21" s="979">
        <v>2290000000000</v>
      </c>
      <c r="P21" s="979">
        <v>2660000000000</v>
      </c>
      <c r="Q21" s="979">
        <v>3119000000000</v>
      </c>
      <c r="R21" s="979">
        <v>3952000000000</v>
      </c>
      <c r="S21" s="979">
        <v>4941000000000</v>
      </c>
      <c r="T21" s="1008">
        <v>5805000000000</v>
      </c>
      <c r="U21" s="1008">
        <v>7134000000000</v>
      </c>
      <c r="V21" s="1008">
        <v>8337000000000</v>
      </c>
      <c r="W21" s="1008">
        <v>9212000000000</v>
      </c>
      <c r="X21" s="1008">
        <v>10147000000000</v>
      </c>
      <c r="Y21" s="1008">
        <v>11160000000000</v>
      </c>
      <c r="Z21" s="1008">
        <v>12236900000000</v>
      </c>
      <c r="AC21" s="527"/>
      <c r="AD21" s="527"/>
      <c r="AE21" s="527"/>
      <c r="AF21" s="527"/>
      <c r="AG21" s="527"/>
      <c r="AH21" s="527"/>
      <c r="AI21" s="527"/>
      <c r="AJ21" s="527"/>
      <c r="AK21" s="527"/>
      <c r="AL21" s="527"/>
      <c r="AM21" s="365"/>
      <c r="AN21" s="365"/>
      <c r="AO21" s="365"/>
      <c r="AP21" s="365"/>
      <c r="AQ21" s="365"/>
      <c r="AR21" s="365"/>
      <c r="AS21" s="365"/>
      <c r="AT21" s="365"/>
      <c r="AU21" s="365"/>
      <c r="AV21" s="365"/>
    </row>
    <row r="22" spans="1:48">
      <c r="A22" s="972" t="s">
        <v>76</v>
      </c>
      <c r="B22" s="997" t="s">
        <v>1384</v>
      </c>
      <c r="C22" s="981"/>
      <c r="E22" s="984"/>
      <c r="F22" s="984"/>
      <c r="G22" s="984"/>
      <c r="H22" s="984"/>
      <c r="I22" s="984"/>
      <c r="J22" s="978"/>
      <c r="K22" s="978"/>
      <c r="L22" s="978"/>
      <c r="M22" s="978"/>
      <c r="N22" s="978"/>
      <c r="O22" s="978"/>
      <c r="P22" s="978"/>
      <c r="Q22" s="978"/>
      <c r="R22" s="978"/>
      <c r="S22" s="986"/>
      <c r="T22" s="1008"/>
      <c r="U22" s="1008"/>
      <c r="V22" s="1008"/>
      <c r="W22" s="1008"/>
      <c r="X22" s="1008"/>
      <c r="Y22" s="1008"/>
      <c r="Z22" s="1008"/>
      <c r="AC22" s="527"/>
      <c r="AD22" s="527"/>
      <c r="AE22" s="527"/>
      <c r="AF22" s="527"/>
      <c r="AG22" s="527"/>
      <c r="AH22" s="527"/>
      <c r="AI22" s="527"/>
      <c r="AJ22" s="527"/>
      <c r="AK22" s="527"/>
      <c r="AL22" s="527"/>
      <c r="AM22" s="365"/>
      <c r="AN22" s="365"/>
      <c r="AO22" s="365"/>
      <c r="AP22" s="365"/>
      <c r="AQ22" s="365"/>
      <c r="AR22" s="365"/>
      <c r="AS22" s="365"/>
      <c r="AT22" s="365"/>
      <c r="AU22" s="365"/>
      <c r="AV22" s="365"/>
    </row>
    <row r="23" spans="1:48">
      <c r="A23" s="972" t="s">
        <v>76</v>
      </c>
      <c r="B23" s="997" t="s">
        <v>1385</v>
      </c>
      <c r="C23" s="981"/>
      <c r="E23" s="984"/>
      <c r="F23" s="984"/>
      <c r="G23" s="984"/>
      <c r="H23" s="984"/>
      <c r="I23" s="984"/>
      <c r="J23" s="978"/>
      <c r="K23" s="978"/>
      <c r="L23" s="978"/>
      <c r="M23" s="978"/>
      <c r="N23" s="978"/>
      <c r="O23" s="978"/>
      <c r="P23" s="978"/>
      <c r="Q23" s="978"/>
      <c r="R23" s="978"/>
      <c r="S23" s="986"/>
      <c r="T23" s="1008"/>
      <c r="U23" s="1008"/>
      <c r="V23" s="1008"/>
      <c r="W23" s="1008"/>
      <c r="X23" s="1008"/>
      <c r="Y23" s="1008"/>
      <c r="Z23" s="1008"/>
      <c r="AC23" s="527"/>
      <c r="AD23" s="527"/>
      <c r="AE23" s="527"/>
      <c r="AF23" s="527"/>
      <c r="AG23" s="527"/>
      <c r="AH23" s="527"/>
      <c r="AI23" s="527"/>
      <c r="AJ23" s="527"/>
      <c r="AK23" s="527"/>
      <c r="AL23" s="527"/>
      <c r="AM23" s="365"/>
      <c r="AN23" s="365"/>
      <c r="AO23" s="365"/>
      <c r="AP23" s="365"/>
      <c r="AQ23" s="365"/>
      <c r="AR23" s="365"/>
      <c r="AS23" s="365"/>
      <c r="AT23" s="365"/>
      <c r="AU23" s="365"/>
      <c r="AV23" s="365"/>
    </row>
    <row r="24" spans="1:48">
      <c r="A24" s="980" t="s">
        <v>83</v>
      </c>
      <c r="B24" s="988" t="s">
        <v>1386</v>
      </c>
      <c r="C24" s="982" t="s">
        <v>81</v>
      </c>
      <c r="E24" s="984"/>
      <c r="F24" s="984"/>
      <c r="G24" s="984"/>
      <c r="H24" s="984"/>
      <c r="I24" s="984"/>
      <c r="J24" s="978">
        <v>1372000000000</v>
      </c>
      <c r="K24" s="978">
        <v>1766000000000</v>
      </c>
      <c r="L24" s="978">
        <v>2311000000000</v>
      </c>
      <c r="M24" s="978">
        <v>1697000000000</v>
      </c>
      <c r="N24" s="978">
        <v>1742000000000</v>
      </c>
      <c r="O24" s="979">
        <v>1962000000000</v>
      </c>
      <c r="P24" s="979">
        <v>2310000000000</v>
      </c>
      <c r="Q24" s="979">
        <v>2400000000000</v>
      </c>
      <c r="R24" s="979">
        <v>2798000000000</v>
      </c>
      <c r="S24" s="979">
        <v>2941000000000</v>
      </c>
      <c r="T24" s="1008">
        <v>3256000000000</v>
      </c>
      <c r="U24" s="1008">
        <v>4347000000000</v>
      </c>
      <c r="V24" s="1008">
        <v>4801000000000</v>
      </c>
      <c r="W24" s="1008">
        <v>5305000000000</v>
      </c>
      <c r="X24" s="1008">
        <v>5844000000000</v>
      </c>
      <c r="Y24" s="1008">
        <v>6427000000000</v>
      </c>
      <c r="Z24" s="1008">
        <v>7047000000000</v>
      </c>
      <c r="AC24" s="527"/>
      <c r="AD24" s="527"/>
      <c r="AE24" s="527"/>
      <c r="AF24" s="527"/>
      <c r="AG24" s="527"/>
      <c r="AH24" s="527"/>
      <c r="AI24" s="527"/>
      <c r="AJ24" s="527"/>
      <c r="AK24" s="527"/>
      <c r="AL24" s="527"/>
      <c r="AM24" s="365"/>
      <c r="AN24" s="365"/>
      <c r="AO24" s="365"/>
      <c r="AP24" s="365"/>
      <c r="AQ24" s="365"/>
      <c r="AR24" s="365"/>
      <c r="AS24" s="365"/>
      <c r="AT24" s="365"/>
      <c r="AU24" s="365"/>
      <c r="AV24" s="365"/>
    </row>
    <row r="25" spans="1:48">
      <c r="A25" s="980" t="s">
        <v>90</v>
      </c>
      <c r="B25" s="988" t="s">
        <v>91</v>
      </c>
      <c r="C25" s="982" t="s">
        <v>81</v>
      </c>
      <c r="E25" s="984"/>
      <c r="F25" s="984"/>
      <c r="G25" s="984"/>
      <c r="H25" s="984"/>
      <c r="I25" s="984"/>
      <c r="J25" s="998"/>
      <c r="K25" s="998"/>
      <c r="L25" s="998"/>
      <c r="M25" s="978">
        <v>86000000000</v>
      </c>
      <c r="N25" s="978">
        <v>143000000000</v>
      </c>
      <c r="O25" s="979">
        <v>160000000000</v>
      </c>
      <c r="P25" s="979">
        <v>305000000000</v>
      </c>
      <c r="Q25" s="979">
        <v>439000000000</v>
      </c>
      <c r="R25" s="979">
        <v>232000000000</v>
      </c>
      <c r="S25" s="979">
        <v>223000000000</v>
      </c>
      <c r="T25" s="1008">
        <v>336000000000</v>
      </c>
      <c r="U25" s="1008">
        <v>342000000000</v>
      </c>
      <c r="V25" s="1008">
        <v>424000000000</v>
      </c>
      <c r="W25" s="1008">
        <v>421000000000</v>
      </c>
      <c r="X25" s="1008">
        <v>399000000000</v>
      </c>
      <c r="Y25" s="1008">
        <v>431000000000</v>
      </c>
      <c r="Z25" s="1008">
        <v>436000000000</v>
      </c>
      <c r="AC25" s="527"/>
      <c r="AD25" s="527"/>
      <c r="AE25" s="527"/>
      <c r="AF25" s="527"/>
      <c r="AG25" s="527"/>
      <c r="AH25" s="527"/>
      <c r="AI25" s="527"/>
      <c r="AJ25" s="527"/>
      <c r="AK25" s="527"/>
      <c r="AL25" s="527"/>
      <c r="AM25" s="365"/>
      <c r="AN25" s="365"/>
      <c r="AO25" s="365"/>
      <c r="AP25" s="365"/>
      <c r="AQ25" s="365"/>
      <c r="AR25" s="365"/>
      <c r="AS25" s="365"/>
      <c r="AT25" s="365"/>
      <c r="AU25" s="365"/>
      <c r="AV25" s="365"/>
    </row>
    <row r="26" spans="1:48">
      <c r="A26" s="988" t="s">
        <v>1387</v>
      </c>
      <c r="B26" s="988" t="s">
        <v>1388</v>
      </c>
      <c r="C26" s="982" t="s">
        <v>81</v>
      </c>
      <c r="E26" s="984"/>
      <c r="F26" s="984"/>
      <c r="G26" s="984"/>
      <c r="H26" s="984"/>
      <c r="I26" s="984"/>
      <c r="J26" s="978"/>
      <c r="K26" s="978"/>
      <c r="L26" s="978"/>
      <c r="M26" s="978"/>
      <c r="N26" s="978"/>
      <c r="O26" s="978"/>
      <c r="P26" s="978"/>
      <c r="Q26" s="978"/>
      <c r="R26" s="978"/>
      <c r="S26" s="986"/>
      <c r="T26" s="1008"/>
      <c r="U26" s="1008"/>
      <c r="V26" s="1008"/>
      <c r="W26" s="1008"/>
      <c r="X26" s="1008"/>
      <c r="Y26" s="1008"/>
      <c r="Z26" s="1008"/>
      <c r="AC26" s="527"/>
      <c r="AD26" s="527"/>
      <c r="AE26" s="527"/>
      <c r="AF26" s="527"/>
      <c r="AG26" s="527"/>
      <c r="AH26" s="527"/>
      <c r="AI26" s="527"/>
      <c r="AJ26" s="527"/>
      <c r="AK26" s="527"/>
      <c r="AL26" s="527"/>
      <c r="AM26" s="365"/>
      <c r="AN26" s="365"/>
      <c r="AO26" s="365"/>
      <c r="AP26" s="365"/>
      <c r="AQ26" s="365"/>
      <c r="AR26" s="365"/>
      <c r="AS26" s="365"/>
      <c r="AT26" s="365"/>
      <c r="AU26" s="365"/>
      <c r="AV26" s="365"/>
    </row>
    <row r="27" spans="1:48">
      <c r="A27" s="988" t="s">
        <v>1389</v>
      </c>
      <c r="B27" s="988" t="s">
        <v>1390</v>
      </c>
      <c r="C27" s="982" t="s">
        <v>81</v>
      </c>
      <c r="E27" s="984"/>
      <c r="F27" s="984"/>
      <c r="G27" s="984"/>
      <c r="H27" s="984"/>
      <c r="I27" s="984"/>
      <c r="J27" s="978">
        <v>180000000000</v>
      </c>
      <c r="K27" s="978">
        <v>220000000000</v>
      </c>
      <c r="L27" s="978">
        <v>347000000000</v>
      </c>
      <c r="M27" s="978"/>
      <c r="N27" s="978"/>
      <c r="O27" s="978"/>
      <c r="P27" s="978"/>
      <c r="Q27" s="978"/>
      <c r="R27" s="978"/>
      <c r="S27" s="986"/>
      <c r="T27" s="1008"/>
      <c r="U27" s="1008"/>
      <c r="V27" s="1008"/>
      <c r="W27" s="1008"/>
      <c r="X27" s="1008"/>
      <c r="Y27" s="1008"/>
      <c r="Z27" s="1008"/>
      <c r="AC27" s="527"/>
      <c r="AD27" s="527"/>
      <c r="AE27" s="527"/>
      <c r="AF27" s="527"/>
      <c r="AG27" s="527"/>
      <c r="AH27" s="527"/>
      <c r="AI27" s="527"/>
      <c r="AJ27" s="527"/>
      <c r="AK27" s="527"/>
      <c r="AL27" s="527"/>
      <c r="AM27" s="365"/>
      <c r="AN27" s="365"/>
      <c r="AO27" s="365"/>
      <c r="AP27" s="365"/>
      <c r="AQ27" s="365"/>
      <c r="AR27" s="365"/>
      <c r="AS27" s="365"/>
      <c r="AT27" s="365"/>
      <c r="AU27" s="365"/>
      <c r="AV27" s="365"/>
    </row>
    <row r="28" spans="1:48">
      <c r="A28" s="980" t="s">
        <v>391</v>
      </c>
      <c r="B28" s="988" t="s">
        <v>1391</v>
      </c>
      <c r="C28" s="982" t="s">
        <v>81</v>
      </c>
      <c r="E28" s="983"/>
      <c r="F28" s="983"/>
      <c r="G28" s="983"/>
      <c r="H28" s="983"/>
      <c r="I28" s="983"/>
      <c r="J28" s="987"/>
      <c r="K28" s="987"/>
      <c r="L28" s="987"/>
      <c r="M28" s="978">
        <v>1077000000000</v>
      </c>
      <c r="N28" s="978">
        <v>1050000000000</v>
      </c>
      <c r="O28" s="979">
        <v>1476000000000</v>
      </c>
      <c r="P28" s="979">
        <v>1543000000000</v>
      </c>
      <c r="Q28" s="979">
        <v>1393000000000</v>
      </c>
      <c r="R28" s="979">
        <v>1856000000000</v>
      </c>
      <c r="S28" s="979">
        <v>1635000000000</v>
      </c>
      <c r="T28" s="1008">
        <v>2752000000000</v>
      </c>
      <c r="U28" s="1008">
        <v>1720000000000</v>
      </c>
      <c r="V28" s="1008">
        <v>1965000000000</v>
      </c>
      <c r="W28" s="1008">
        <v>2327000000000</v>
      </c>
      <c r="X28" s="1008">
        <v>2616000000000</v>
      </c>
      <c r="Y28" s="1008">
        <v>2886000000000</v>
      </c>
      <c r="Z28" s="1008">
        <v>3235000000000</v>
      </c>
      <c r="AC28" s="527"/>
      <c r="AD28" s="527"/>
      <c r="AE28" s="527"/>
      <c r="AF28" s="527"/>
      <c r="AG28" s="527"/>
      <c r="AH28" s="527"/>
      <c r="AI28" s="527"/>
      <c r="AJ28" s="527"/>
      <c r="AK28" s="527"/>
      <c r="AL28" s="527"/>
      <c r="AM28" s="365"/>
      <c r="AN28" s="365"/>
      <c r="AO28" s="365"/>
      <c r="AP28" s="365"/>
      <c r="AQ28" s="365"/>
      <c r="AR28" s="365"/>
      <c r="AS28" s="365"/>
      <c r="AT28" s="365"/>
      <c r="AU28" s="365"/>
      <c r="AV28" s="365"/>
    </row>
    <row r="29" spans="1:48">
      <c r="A29" s="996" t="s">
        <v>237</v>
      </c>
      <c r="B29" s="981" t="s">
        <v>1392</v>
      </c>
      <c r="C29" s="982" t="s">
        <v>75</v>
      </c>
      <c r="E29" s="984"/>
      <c r="F29" s="984"/>
      <c r="G29" s="984"/>
      <c r="H29" s="984"/>
      <c r="I29" s="984"/>
      <c r="J29" s="978">
        <v>1716000000000</v>
      </c>
      <c r="K29" s="978">
        <v>2121000000000</v>
      </c>
      <c r="L29" s="978">
        <v>2654000000000</v>
      </c>
      <c r="M29" s="978">
        <v>3671000000000</v>
      </c>
      <c r="N29" s="978">
        <v>4295000000000</v>
      </c>
      <c r="O29" s="979">
        <v>4348000000000</v>
      </c>
      <c r="P29" s="979">
        <v>4922000000000</v>
      </c>
      <c r="Q29" s="979">
        <v>5335000000000</v>
      </c>
      <c r="R29" s="979">
        <v>5322000000000</v>
      </c>
      <c r="S29" s="979">
        <v>5260000000000</v>
      </c>
      <c r="T29" s="1008">
        <v>6375000000000</v>
      </c>
      <c r="U29" s="1008">
        <v>7400000000000</v>
      </c>
      <c r="V29" s="1008">
        <v>8527000000000</v>
      </c>
      <c r="W29" s="1008">
        <v>9337000000000</v>
      </c>
      <c r="X29" s="1008">
        <v>10291000000000</v>
      </c>
      <c r="Y29" s="1008">
        <v>11361000000000</v>
      </c>
      <c r="Z29" s="1008">
        <v>12499000000000</v>
      </c>
      <c r="AC29" s="527"/>
      <c r="AD29" s="527"/>
      <c r="AE29" s="527"/>
      <c r="AF29" s="527"/>
      <c r="AG29" s="527"/>
      <c r="AH29" s="527"/>
      <c r="AI29" s="527"/>
      <c r="AJ29" s="527"/>
      <c r="AK29" s="527"/>
      <c r="AL29" s="527"/>
      <c r="AM29" s="365"/>
      <c r="AN29" s="365"/>
      <c r="AO29" s="365"/>
      <c r="AP29" s="365"/>
      <c r="AQ29" s="365"/>
      <c r="AR29" s="365"/>
      <c r="AS29" s="365"/>
      <c r="AT29" s="365"/>
      <c r="AU29" s="365"/>
      <c r="AV29" s="365"/>
    </row>
    <row r="30" spans="1:48">
      <c r="A30" s="980" t="s">
        <v>239</v>
      </c>
      <c r="B30" s="988" t="s">
        <v>1393</v>
      </c>
      <c r="C30" s="982" t="s">
        <v>95</v>
      </c>
      <c r="E30" s="984"/>
      <c r="F30" s="984"/>
      <c r="G30" s="984"/>
      <c r="H30" s="984"/>
      <c r="I30" s="984"/>
      <c r="J30" s="978">
        <v>381000000000</v>
      </c>
      <c r="K30" s="978">
        <v>436000000000</v>
      </c>
      <c r="L30" s="978">
        <v>701000000000</v>
      </c>
      <c r="M30" s="990">
        <f t="shared" ref="M30:S30" si="3">M29-M32</f>
        <v>922000000000</v>
      </c>
      <c r="N30" s="990">
        <f t="shared" si="3"/>
        <v>875000000000</v>
      </c>
      <c r="O30" s="990">
        <f t="shared" si="3"/>
        <v>945000000000</v>
      </c>
      <c r="P30" s="990">
        <f>P29-P32</f>
        <v>899000000000</v>
      </c>
      <c r="Q30" s="990">
        <f t="shared" si="3"/>
        <v>1029000000000</v>
      </c>
      <c r="R30" s="990">
        <f t="shared" si="3"/>
        <v>1175000000000</v>
      </c>
      <c r="S30" s="990">
        <f t="shared" si="3"/>
        <v>1694000000000</v>
      </c>
      <c r="T30" s="1009">
        <f t="shared" ref="T30:Z30" si="4">T29-T32</f>
        <v>2019000000000</v>
      </c>
      <c r="U30" s="1009">
        <f t="shared" si="4"/>
        <v>2183000000000</v>
      </c>
      <c r="V30" s="1009">
        <f t="shared" si="4"/>
        <v>2843000000000</v>
      </c>
      <c r="W30" s="1009">
        <f t="shared" si="4"/>
        <v>3301000000000</v>
      </c>
      <c r="X30" s="1009">
        <f t="shared" si="4"/>
        <v>3897000000000</v>
      </c>
      <c r="Y30" s="1009">
        <f t="shared" si="4"/>
        <v>4417000000000</v>
      </c>
      <c r="Z30" s="1009">
        <f t="shared" si="4"/>
        <v>5019000000000</v>
      </c>
      <c r="AC30" s="527"/>
      <c r="AD30" s="527"/>
      <c r="AE30" s="527"/>
      <c r="AF30" s="527"/>
      <c r="AG30" s="527"/>
      <c r="AH30" s="527"/>
      <c r="AI30" s="527"/>
      <c r="AJ30" s="527"/>
      <c r="AK30" s="527"/>
      <c r="AL30" s="527"/>
      <c r="AM30" s="365"/>
      <c r="AN30" s="365"/>
      <c r="AO30" s="365"/>
      <c r="AP30" s="365"/>
      <c r="AQ30" s="365"/>
      <c r="AR30" s="365"/>
      <c r="AS30" s="365"/>
      <c r="AT30" s="365"/>
      <c r="AU30" s="365"/>
      <c r="AV30" s="365"/>
    </row>
    <row r="31" spans="1:48">
      <c r="A31" s="988" t="s">
        <v>1394</v>
      </c>
      <c r="B31" s="988" t="s">
        <v>1395</v>
      </c>
      <c r="C31" s="982" t="s">
        <v>95</v>
      </c>
      <c r="E31" s="983"/>
      <c r="F31" s="983"/>
      <c r="G31" s="983"/>
      <c r="H31" s="983"/>
      <c r="I31" s="983"/>
      <c r="J31" s="978">
        <v>0</v>
      </c>
      <c r="K31" s="978">
        <v>2000000000</v>
      </c>
      <c r="L31" s="978">
        <v>10000000000</v>
      </c>
      <c r="M31" s="978"/>
      <c r="N31" s="978"/>
      <c r="O31" s="978"/>
      <c r="P31" s="978"/>
      <c r="Q31" s="978"/>
      <c r="R31" s="978"/>
      <c r="S31" s="986"/>
      <c r="T31" s="1008"/>
      <c r="U31" s="1008"/>
      <c r="V31" s="1008"/>
      <c r="W31" s="1008"/>
      <c r="X31" s="1008"/>
      <c r="Y31" s="1008"/>
      <c r="Z31" s="1008"/>
      <c r="AC31" s="527"/>
      <c r="AD31" s="527"/>
      <c r="AE31" s="527"/>
      <c r="AF31" s="527"/>
      <c r="AG31" s="527"/>
      <c r="AH31" s="527"/>
      <c r="AI31" s="527"/>
      <c r="AJ31" s="527"/>
      <c r="AK31" s="527"/>
      <c r="AL31" s="527"/>
      <c r="AM31" s="365"/>
      <c r="AN31" s="365"/>
      <c r="AO31" s="365"/>
      <c r="AP31" s="365"/>
      <c r="AQ31" s="365"/>
      <c r="AR31" s="365"/>
      <c r="AS31" s="365"/>
      <c r="AT31" s="365"/>
      <c r="AU31" s="365"/>
      <c r="AV31" s="365"/>
    </row>
    <row r="32" spans="1:48">
      <c r="A32" s="980" t="s">
        <v>395</v>
      </c>
      <c r="B32" s="988" t="s">
        <v>1396</v>
      </c>
      <c r="C32" s="982" t="s">
        <v>95</v>
      </c>
      <c r="E32" s="984"/>
      <c r="F32" s="984"/>
      <c r="G32" s="984"/>
      <c r="H32" s="984"/>
      <c r="I32" s="984"/>
      <c r="J32" s="978">
        <v>1336000000000</v>
      </c>
      <c r="K32" s="978">
        <v>1682000000000</v>
      </c>
      <c r="L32" s="978">
        <v>1943000000000</v>
      </c>
      <c r="M32" s="978">
        <v>2749000000000</v>
      </c>
      <c r="N32" s="978">
        <v>3420000000000</v>
      </c>
      <c r="O32" s="979">
        <v>3403000000000</v>
      </c>
      <c r="P32" s="979">
        <v>4023000000000</v>
      </c>
      <c r="Q32" s="979">
        <v>4306000000000</v>
      </c>
      <c r="R32" s="979">
        <v>4147000000000</v>
      </c>
      <c r="S32" s="979">
        <v>3566000000000</v>
      </c>
      <c r="T32" s="1008">
        <v>4356000000000</v>
      </c>
      <c r="U32" s="1008">
        <v>5217000000000</v>
      </c>
      <c r="V32" s="1008">
        <v>5684000000000</v>
      </c>
      <c r="W32" s="1008">
        <v>6036000000000</v>
      </c>
      <c r="X32" s="1008">
        <v>6394000000000</v>
      </c>
      <c r="Y32" s="1008">
        <v>6944000000000</v>
      </c>
      <c r="Z32" s="1008">
        <v>7480000000000</v>
      </c>
      <c r="AC32" s="527"/>
      <c r="AD32" s="527"/>
      <c r="AE32" s="527"/>
      <c r="AF32" s="527"/>
      <c r="AG32" s="527"/>
      <c r="AH32" s="527"/>
      <c r="AI32" s="527"/>
      <c r="AJ32" s="527"/>
      <c r="AK32" s="527"/>
      <c r="AL32" s="527"/>
      <c r="AM32" s="365"/>
      <c r="AN32" s="365"/>
      <c r="AO32" s="365"/>
      <c r="AP32" s="365"/>
      <c r="AQ32" s="365"/>
      <c r="AR32" s="365"/>
      <c r="AS32" s="365"/>
      <c r="AT32" s="365"/>
      <c r="AU32" s="365"/>
      <c r="AV32" s="365"/>
    </row>
    <row r="33" spans="1:48">
      <c r="A33" s="972" t="s">
        <v>76</v>
      </c>
      <c r="B33" s="981" t="s">
        <v>1397</v>
      </c>
      <c r="C33" s="981"/>
      <c r="E33" s="983"/>
      <c r="F33" s="983"/>
      <c r="G33" s="983"/>
      <c r="H33" s="983"/>
      <c r="I33" s="983"/>
      <c r="J33" s="987"/>
      <c r="K33" s="987"/>
      <c r="L33" s="987"/>
      <c r="M33" s="978">
        <v>-1827000000000</v>
      </c>
      <c r="N33" s="978">
        <v>-1340000000000</v>
      </c>
      <c r="O33" s="979">
        <v>-2122000000000</v>
      </c>
      <c r="P33" s="979">
        <v>-2151000000000</v>
      </c>
      <c r="Q33" s="979">
        <v>-1314000000000</v>
      </c>
      <c r="R33" s="979">
        <v>-765000000000</v>
      </c>
      <c r="S33" s="979">
        <v>-1161000000000</v>
      </c>
      <c r="T33" s="1008">
        <v>-2309000000000</v>
      </c>
      <c r="U33" s="1008">
        <v>-3326000000000</v>
      </c>
      <c r="V33" s="1008">
        <v>-4543000000000</v>
      </c>
      <c r="W33" s="1008">
        <v>-4843000000000</v>
      </c>
      <c r="X33" s="1008">
        <v>-4866000000000</v>
      </c>
      <c r="Y33" s="1008">
        <v>-5296000000000</v>
      </c>
      <c r="Z33" s="1008">
        <v>-5576000000000</v>
      </c>
      <c r="AC33" s="527"/>
      <c r="AD33" s="527"/>
      <c r="AE33" s="527"/>
      <c r="AF33" s="527"/>
      <c r="AG33" s="527"/>
      <c r="AH33" s="527"/>
      <c r="AI33" s="527"/>
      <c r="AJ33" s="527"/>
      <c r="AK33" s="527"/>
      <c r="AL33" s="527"/>
      <c r="AM33" s="365"/>
      <c r="AN33" s="365"/>
      <c r="AO33" s="365"/>
      <c r="AP33" s="365"/>
      <c r="AQ33" s="365"/>
      <c r="AR33" s="365"/>
      <c r="AS33" s="365"/>
      <c r="AT33" s="365"/>
      <c r="AU33" s="365"/>
      <c r="AV33" s="365"/>
    </row>
    <row r="34" spans="1:48">
      <c r="A34" s="972" t="s">
        <v>76</v>
      </c>
      <c r="B34" s="981" t="s">
        <v>1398</v>
      </c>
      <c r="C34" s="981"/>
      <c r="E34" s="984"/>
      <c r="F34" s="984"/>
      <c r="G34" s="984"/>
      <c r="H34" s="984"/>
      <c r="I34" s="984"/>
      <c r="J34" s="978">
        <v>526000000000</v>
      </c>
      <c r="K34" s="978">
        <v>1005000000000</v>
      </c>
      <c r="L34" s="978">
        <v>1166000000000</v>
      </c>
      <c r="M34" s="987"/>
      <c r="N34" s="987"/>
      <c r="O34" s="987"/>
      <c r="P34" s="987"/>
      <c r="Q34" s="987"/>
      <c r="R34" s="987"/>
      <c r="S34" s="986"/>
      <c r="T34" s="1008"/>
      <c r="U34" s="1008"/>
      <c r="V34" s="1008"/>
      <c r="W34" s="1008"/>
      <c r="X34" s="1008"/>
      <c r="Y34" s="1008"/>
      <c r="Z34" s="1008"/>
      <c r="AC34" s="527"/>
      <c r="AD34" s="527"/>
      <c r="AE34" s="527"/>
      <c r="AF34" s="527"/>
      <c r="AG34" s="527"/>
      <c r="AH34" s="527"/>
      <c r="AI34" s="527"/>
      <c r="AJ34" s="527"/>
      <c r="AK34" s="527"/>
      <c r="AL34" s="527"/>
      <c r="AM34" s="365"/>
      <c r="AN34" s="365"/>
      <c r="AO34" s="365"/>
      <c r="AP34" s="365"/>
      <c r="AQ34" s="365"/>
      <c r="AR34" s="365"/>
      <c r="AS34" s="365"/>
      <c r="AT34" s="365"/>
      <c r="AU34" s="365"/>
      <c r="AV34" s="365"/>
    </row>
    <row r="35" spans="1:48">
      <c r="A35" s="972" t="s">
        <v>76</v>
      </c>
      <c r="B35" s="981" t="s">
        <v>1399</v>
      </c>
      <c r="C35" s="981"/>
      <c r="E35" s="984"/>
      <c r="F35" s="984"/>
      <c r="G35" s="984"/>
      <c r="H35" s="984"/>
      <c r="I35" s="984"/>
      <c r="J35" s="978">
        <v>-813000000000</v>
      </c>
      <c r="K35" s="978">
        <v>-999000000000</v>
      </c>
      <c r="L35" s="978">
        <v>-1288000000000</v>
      </c>
      <c r="M35" s="987"/>
      <c r="N35" s="987"/>
      <c r="O35" s="987"/>
      <c r="P35" s="987"/>
      <c r="Q35" s="987"/>
      <c r="R35" s="987"/>
      <c r="S35" s="986"/>
      <c r="T35" s="1008"/>
      <c r="U35" s="1008"/>
      <c r="V35" s="1008"/>
      <c r="W35" s="1008"/>
      <c r="X35" s="1008"/>
      <c r="Y35" s="1008"/>
      <c r="Z35" s="1008"/>
      <c r="AC35" s="527"/>
      <c r="AD35" s="527"/>
      <c r="AE35" s="527"/>
      <c r="AF35" s="527"/>
      <c r="AG35" s="527"/>
      <c r="AH35" s="527"/>
      <c r="AI35" s="527"/>
      <c r="AJ35" s="527"/>
      <c r="AK35" s="527"/>
      <c r="AL35" s="527"/>
      <c r="AM35" s="365"/>
      <c r="AN35" s="365"/>
      <c r="AO35" s="365"/>
      <c r="AP35" s="365"/>
      <c r="AQ35" s="365"/>
      <c r="AR35" s="365"/>
      <c r="AS35" s="365"/>
      <c r="AT35" s="365"/>
      <c r="AU35" s="365"/>
      <c r="AV35" s="365"/>
    </row>
    <row r="36" spans="1:48">
      <c r="A36" s="972" t="s">
        <v>76</v>
      </c>
      <c r="B36" s="981" t="s">
        <v>1400</v>
      </c>
      <c r="C36" s="981"/>
      <c r="E36" s="984"/>
      <c r="F36" s="984"/>
      <c r="G36" s="984"/>
      <c r="H36" s="984"/>
      <c r="I36" s="984"/>
      <c r="J36" s="978">
        <v>0</v>
      </c>
      <c r="K36" s="978">
        <v>0</v>
      </c>
      <c r="L36" s="978">
        <v>0</v>
      </c>
      <c r="M36" s="987"/>
      <c r="N36" s="987"/>
      <c r="O36" s="987"/>
      <c r="P36" s="987"/>
      <c r="Q36" s="987"/>
      <c r="R36" s="987"/>
      <c r="S36" s="986"/>
      <c r="T36" s="1008"/>
      <c r="U36" s="1008"/>
      <c r="V36" s="1008"/>
      <c r="W36" s="1008"/>
      <c r="X36" s="1008"/>
      <c r="Y36" s="1008"/>
      <c r="Z36" s="1008"/>
      <c r="AC36" s="527"/>
      <c r="AD36" s="527"/>
      <c r="AE36" s="527"/>
      <c r="AF36" s="527"/>
      <c r="AG36" s="527"/>
      <c r="AH36" s="527"/>
      <c r="AI36" s="527"/>
      <c r="AJ36" s="527"/>
      <c r="AK36" s="527"/>
      <c r="AL36" s="527"/>
      <c r="AM36" s="365"/>
      <c r="AN36" s="365"/>
      <c r="AO36" s="365"/>
      <c r="AP36" s="365"/>
      <c r="AQ36" s="365"/>
      <c r="AR36" s="365"/>
      <c r="AS36" s="365"/>
      <c r="AT36" s="365"/>
      <c r="AU36" s="365"/>
      <c r="AV36" s="365"/>
    </row>
    <row r="37" spans="1:48">
      <c r="A37" s="1012" t="s">
        <v>115</v>
      </c>
      <c r="B37" s="1012" t="s">
        <v>115</v>
      </c>
      <c r="C37" s="1012" t="s">
        <v>35</v>
      </c>
      <c r="D37" s="1013"/>
      <c r="E37" s="1015"/>
      <c r="F37" s="1015"/>
      <c r="G37" s="1015"/>
      <c r="H37" s="1015"/>
      <c r="I37" s="1015"/>
      <c r="J37" s="1016">
        <f>813000000000-J41</f>
        <v>52000000000</v>
      </c>
      <c r="K37" s="1016">
        <f>999000000000-K41</f>
        <v>235000000000</v>
      </c>
      <c r="L37" s="1016">
        <f>1288000000000-L41</f>
        <v>-117000000000</v>
      </c>
      <c r="M37" s="1022">
        <v>277000000000</v>
      </c>
      <c r="N37" s="1022">
        <v>799000000000</v>
      </c>
      <c r="O37" s="1022">
        <f t="shared" ref="O37:S37" si="5">O47+O48</f>
        <v>2122000000000</v>
      </c>
      <c r="P37" s="1022">
        <f t="shared" si="5"/>
        <v>2151000000000</v>
      </c>
      <c r="Q37" s="1022">
        <f t="shared" si="5"/>
        <v>1315000000000</v>
      </c>
      <c r="R37" s="1022">
        <f t="shared" si="5"/>
        <v>765000000000</v>
      </c>
      <c r="S37" s="1022">
        <f t="shared" si="5"/>
        <v>1161000000000</v>
      </c>
      <c r="T37" s="1023">
        <f t="shared" ref="T37:Z37" si="6">T47+T48</f>
        <v>2309000000000</v>
      </c>
      <c r="U37" s="1023">
        <f t="shared" si="6"/>
        <v>3326000000000</v>
      </c>
      <c r="V37" s="1023">
        <f t="shared" si="6"/>
        <v>4543000000000</v>
      </c>
      <c r="W37" s="1023">
        <f t="shared" si="6"/>
        <v>4842000000000</v>
      </c>
      <c r="X37" s="1023">
        <f t="shared" si="6"/>
        <v>4866000000000</v>
      </c>
      <c r="Y37" s="1023">
        <f t="shared" si="6"/>
        <v>5297000000000</v>
      </c>
      <c r="Z37" s="1023">
        <f t="shared" si="6"/>
        <v>5576000000000</v>
      </c>
      <c r="AC37" s="527"/>
      <c r="AD37" s="527"/>
      <c r="AE37" s="527"/>
      <c r="AF37" s="527"/>
      <c r="AG37" s="527"/>
      <c r="AH37" s="527"/>
      <c r="AI37" s="527"/>
      <c r="AJ37" s="527"/>
      <c r="AK37" s="527"/>
      <c r="AL37" s="527"/>
      <c r="AM37" s="365"/>
      <c r="AN37" s="365"/>
      <c r="AO37" s="365"/>
      <c r="AP37" s="365"/>
      <c r="AQ37" s="365"/>
      <c r="AR37" s="365"/>
      <c r="AS37" s="365"/>
      <c r="AT37" s="365"/>
      <c r="AU37" s="365"/>
      <c r="AV37" s="365"/>
    </row>
    <row r="38" spans="1:48">
      <c r="A38" s="972" t="s">
        <v>76</v>
      </c>
      <c r="B38" s="981" t="s">
        <v>1401</v>
      </c>
      <c r="C38" s="981"/>
      <c r="E38" s="984"/>
      <c r="F38" s="984"/>
      <c r="G38" s="984"/>
      <c r="H38" s="984"/>
      <c r="I38" s="984"/>
      <c r="J38" s="978">
        <v>1418000000000</v>
      </c>
      <c r="K38" s="978">
        <v>1768000000000</v>
      </c>
      <c r="L38" s="978">
        <v>2423000000000</v>
      </c>
      <c r="M38" s="978">
        <v>1012000000000</v>
      </c>
      <c r="N38" s="978">
        <v>924000000000</v>
      </c>
      <c r="O38" s="978"/>
      <c r="P38" s="978"/>
      <c r="Q38" s="978"/>
      <c r="R38" s="978"/>
      <c r="S38" s="986"/>
      <c r="T38" s="1008"/>
      <c r="U38" s="1008"/>
      <c r="V38" s="1008"/>
      <c r="W38" s="1008"/>
      <c r="X38" s="1008"/>
      <c r="Y38" s="1008"/>
      <c r="Z38" s="1008"/>
      <c r="AC38" s="527"/>
      <c r="AD38" s="527"/>
      <c r="AE38" s="527"/>
      <c r="AF38" s="527"/>
      <c r="AG38" s="527"/>
      <c r="AH38" s="527"/>
      <c r="AI38" s="527"/>
      <c r="AJ38" s="527"/>
      <c r="AK38" s="527"/>
      <c r="AL38" s="527"/>
      <c r="AM38" s="365"/>
      <c r="AN38" s="365"/>
      <c r="AO38" s="365"/>
      <c r="AP38" s="365"/>
      <c r="AQ38" s="365"/>
      <c r="AR38" s="365"/>
      <c r="AS38" s="365"/>
      <c r="AT38" s="365"/>
      <c r="AU38" s="365"/>
      <c r="AV38" s="365"/>
    </row>
    <row r="39" spans="1:48">
      <c r="A39" s="980" t="s">
        <v>117</v>
      </c>
      <c r="B39" s="981" t="s">
        <v>1402</v>
      </c>
      <c r="C39" s="982" t="s">
        <v>119</v>
      </c>
      <c r="E39" s="984"/>
      <c r="F39" s="984"/>
      <c r="G39" s="984"/>
      <c r="H39" s="984"/>
      <c r="I39" s="984"/>
      <c r="J39" s="978">
        <v>657000000000</v>
      </c>
      <c r="K39" s="978">
        <v>1004000000000</v>
      </c>
      <c r="L39" s="978">
        <v>1018000000000</v>
      </c>
      <c r="M39" s="978">
        <v>1012000000000</v>
      </c>
      <c r="N39" s="978">
        <v>924000000000</v>
      </c>
      <c r="O39" s="990">
        <f t="shared" ref="O39:S39" si="7">O49</f>
        <v>1779000000000</v>
      </c>
      <c r="P39" s="990">
        <f t="shared" si="7"/>
        <v>2350000000000</v>
      </c>
      <c r="Q39" s="990">
        <f t="shared" si="7"/>
        <v>1943000000000</v>
      </c>
      <c r="R39" s="990">
        <f t="shared" si="7"/>
        <v>2115000000000</v>
      </c>
      <c r="S39" s="990">
        <f t="shared" si="7"/>
        <v>1806000000000</v>
      </c>
      <c r="T39" s="1009">
        <f t="shared" ref="T39:Z39" si="8">T49</f>
        <v>2296000000000</v>
      </c>
      <c r="U39" s="1009">
        <f t="shared" si="8"/>
        <v>3465000000000</v>
      </c>
      <c r="V39" s="1009">
        <f t="shared" si="8"/>
        <v>3720000000000</v>
      </c>
      <c r="W39" s="1009">
        <f t="shared" si="8"/>
        <v>3866000000000</v>
      </c>
      <c r="X39" s="1009">
        <f t="shared" si="8"/>
        <v>4008000000000</v>
      </c>
      <c r="Y39" s="1009">
        <f t="shared" si="8"/>
        <v>4463000000000</v>
      </c>
      <c r="Z39" s="1009">
        <f t="shared" si="8"/>
        <v>4784000000000</v>
      </c>
      <c r="AC39" s="527"/>
      <c r="AD39" s="527"/>
      <c r="AE39" s="527"/>
      <c r="AF39" s="527"/>
      <c r="AG39" s="527"/>
      <c r="AH39" s="527"/>
      <c r="AI39" s="527"/>
      <c r="AJ39" s="527"/>
      <c r="AK39" s="527"/>
      <c r="AL39" s="527"/>
      <c r="AM39" s="365"/>
      <c r="AN39" s="365"/>
      <c r="AO39" s="365"/>
      <c r="AP39" s="365"/>
      <c r="AQ39" s="365"/>
      <c r="AR39" s="365"/>
      <c r="AS39" s="365"/>
      <c r="AT39" s="365"/>
      <c r="AU39" s="365"/>
      <c r="AV39" s="365"/>
    </row>
    <row r="40" spans="1:48">
      <c r="A40" s="972" t="s">
        <v>76</v>
      </c>
      <c r="B40" s="981" t="s">
        <v>415</v>
      </c>
      <c r="C40" s="981"/>
      <c r="E40" s="983"/>
      <c r="F40" s="983"/>
      <c r="G40" s="983"/>
      <c r="H40" s="983"/>
      <c r="I40" s="983"/>
      <c r="J40" s="978">
        <v>1474000000000</v>
      </c>
      <c r="K40" s="978">
        <v>1870000000000</v>
      </c>
      <c r="L40" s="978">
        <v>2526000000000</v>
      </c>
      <c r="M40" s="987"/>
      <c r="N40" s="987"/>
      <c r="O40" s="987"/>
      <c r="P40" s="987"/>
      <c r="Q40" s="987"/>
      <c r="R40" s="987"/>
      <c r="S40" s="986"/>
      <c r="T40" s="1008"/>
      <c r="U40" s="1008"/>
      <c r="V40" s="1008"/>
      <c r="W40" s="1008"/>
      <c r="X40" s="1008"/>
      <c r="Y40" s="1008"/>
      <c r="Z40" s="1008"/>
      <c r="AC40" s="527"/>
      <c r="AD40" s="527"/>
      <c r="AE40" s="527"/>
      <c r="AF40" s="527"/>
      <c r="AG40" s="527"/>
      <c r="AH40" s="527"/>
      <c r="AI40" s="527"/>
      <c r="AJ40" s="527"/>
      <c r="AK40" s="527"/>
      <c r="AL40" s="527"/>
      <c r="AM40" s="365"/>
      <c r="AN40" s="365"/>
      <c r="AO40" s="365"/>
      <c r="AP40" s="365"/>
      <c r="AQ40" s="365"/>
      <c r="AR40" s="365"/>
      <c r="AS40" s="365"/>
      <c r="AT40" s="365"/>
      <c r="AU40" s="365"/>
      <c r="AV40" s="365"/>
    </row>
    <row r="41" spans="1:48">
      <c r="A41" s="972" t="s">
        <v>76</v>
      </c>
      <c r="B41" s="981" t="s">
        <v>53</v>
      </c>
      <c r="C41" s="981"/>
      <c r="E41" s="983"/>
      <c r="F41" s="983"/>
      <c r="G41" s="983"/>
      <c r="H41" s="983"/>
      <c r="I41" s="983"/>
      <c r="J41" s="978">
        <v>761000000000</v>
      </c>
      <c r="K41" s="978">
        <v>764000000000</v>
      </c>
      <c r="L41" s="978">
        <v>1405000000000</v>
      </c>
      <c r="M41" s="987"/>
      <c r="N41" s="987"/>
      <c r="O41" s="987"/>
      <c r="P41" s="987"/>
      <c r="Q41" s="987"/>
      <c r="R41" s="987"/>
      <c r="S41" s="986"/>
      <c r="T41" s="1008"/>
      <c r="U41" s="1008"/>
      <c r="V41" s="1008"/>
      <c r="W41" s="1008"/>
      <c r="X41" s="1008"/>
      <c r="Y41" s="1008"/>
      <c r="Z41" s="1008"/>
      <c r="AC41" s="527"/>
      <c r="AD41" s="527"/>
      <c r="AE41" s="527"/>
      <c r="AF41" s="527"/>
      <c r="AG41" s="527"/>
      <c r="AH41" s="527"/>
      <c r="AI41" s="527"/>
      <c r="AJ41" s="527"/>
      <c r="AK41" s="527"/>
      <c r="AL41" s="527"/>
      <c r="AM41" s="365"/>
      <c r="AN41" s="365"/>
      <c r="AO41" s="365"/>
      <c r="AP41" s="365"/>
      <c r="AQ41" s="365"/>
      <c r="AR41" s="365"/>
      <c r="AS41" s="365"/>
      <c r="AT41" s="365"/>
      <c r="AU41" s="365"/>
      <c r="AV41" s="365"/>
    </row>
    <row r="42" spans="1:48">
      <c r="A42" s="988" t="s">
        <v>444</v>
      </c>
      <c r="B42" s="988" t="s">
        <v>444</v>
      </c>
      <c r="C42" s="981" t="s">
        <v>264</v>
      </c>
      <c r="E42" s="983"/>
      <c r="F42" s="983"/>
      <c r="G42" s="983"/>
      <c r="H42" s="983"/>
      <c r="I42" s="983"/>
      <c r="J42" s="978">
        <v>712000000000</v>
      </c>
      <c r="K42" s="978">
        <v>1106000000000</v>
      </c>
      <c r="L42" s="978">
        <v>1121000000000</v>
      </c>
      <c r="M42" s="987"/>
      <c r="N42" s="999">
        <v>1064000000000</v>
      </c>
      <c r="O42" s="999"/>
      <c r="P42" s="999"/>
      <c r="Q42" s="999"/>
      <c r="R42" s="999"/>
      <c r="S42" s="986"/>
      <c r="T42" s="1008"/>
      <c r="U42" s="1008"/>
      <c r="V42" s="1008"/>
      <c r="W42" s="1008"/>
      <c r="X42" s="1008"/>
      <c r="Y42" s="1008"/>
      <c r="Z42" s="1008"/>
      <c r="AC42" s="527"/>
      <c r="AD42" s="527"/>
      <c r="AE42" s="527"/>
      <c r="AF42" s="527"/>
      <c r="AG42" s="527"/>
      <c r="AH42" s="527"/>
      <c r="AI42" s="527"/>
      <c r="AJ42" s="527"/>
      <c r="AK42" s="527"/>
      <c r="AL42" s="527"/>
      <c r="AM42" s="365"/>
      <c r="AN42" s="365"/>
      <c r="AO42" s="365"/>
      <c r="AP42" s="365"/>
      <c r="AQ42" s="365"/>
      <c r="AR42" s="365"/>
      <c r="AS42" s="365"/>
      <c r="AT42" s="365"/>
      <c r="AU42" s="365"/>
      <c r="AV42" s="365"/>
    </row>
    <row r="43" spans="1:48">
      <c r="A43" s="988" t="s">
        <v>258</v>
      </c>
      <c r="B43" s="988" t="s">
        <v>258</v>
      </c>
      <c r="C43" s="981" t="s">
        <v>264</v>
      </c>
      <c r="E43" s="983"/>
      <c r="F43" s="983"/>
      <c r="G43" s="983"/>
      <c r="H43" s="983"/>
      <c r="I43" s="983"/>
      <c r="J43" s="978">
        <v>-55000000000</v>
      </c>
      <c r="K43" s="978">
        <v>-102000000000</v>
      </c>
      <c r="L43" s="978">
        <v>-102000000000</v>
      </c>
      <c r="M43" s="987"/>
      <c r="N43" s="999">
        <v>-140000000000</v>
      </c>
      <c r="O43" s="999"/>
      <c r="P43" s="999"/>
      <c r="Q43" s="999"/>
      <c r="R43" s="999"/>
      <c r="S43" s="986"/>
      <c r="T43" s="1008"/>
      <c r="U43" s="1008"/>
      <c r="V43" s="1008"/>
      <c r="W43" s="1008"/>
      <c r="X43" s="1008"/>
      <c r="Y43" s="1008"/>
      <c r="Z43" s="1008"/>
      <c r="AC43" s="527"/>
      <c r="AD43" s="527"/>
      <c r="AE43" s="527"/>
      <c r="AF43" s="527"/>
      <c r="AG43" s="527"/>
      <c r="AH43" s="527"/>
      <c r="AI43" s="527"/>
      <c r="AJ43" s="527"/>
      <c r="AK43" s="527"/>
      <c r="AL43" s="527"/>
      <c r="AM43" s="365"/>
      <c r="AN43" s="365"/>
      <c r="AO43" s="365"/>
      <c r="AP43" s="365"/>
      <c r="AQ43" s="365"/>
      <c r="AR43" s="365"/>
      <c r="AS43" s="365"/>
      <c r="AT43" s="365"/>
      <c r="AU43" s="365"/>
      <c r="AV43" s="365"/>
    </row>
    <row r="44" spans="1:48">
      <c r="A44" s="980" t="s">
        <v>120</v>
      </c>
      <c r="B44" s="981" t="s">
        <v>1403</v>
      </c>
      <c r="C44" s="982" t="s">
        <v>119</v>
      </c>
      <c r="E44" s="984"/>
      <c r="F44" s="984"/>
      <c r="G44" s="984"/>
      <c r="H44" s="984"/>
      <c r="I44" s="984"/>
      <c r="J44" s="978">
        <v>-606000000000</v>
      </c>
      <c r="K44" s="978">
        <v>-769000000000</v>
      </c>
      <c r="L44" s="978">
        <v>-1135000000000</v>
      </c>
      <c r="M44" s="978">
        <v>-735000000000</v>
      </c>
      <c r="N44" s="978">
        <v>-125000000000</v>
      </c>
      <c r="O44" s="990">
        <f t="shared" ref="O44:S44" si="9">O47+O48-O49</f>
        <v>343000000000</v>
      </c>
      <c r="P44" s="990">
        <f>P47+P48-P49</f>
        <v>-199000000000</v>
      </c>
      <c r="Q44" s="990">
        <f t="shared" si="9"/>
        <v>-628000000000</v>
      </c>
      <c r="R44" s="990">
        <f t="shared" si="9"/>
        <v>-1350000000000</v>
      </c>
      <c r="S44" s="990">
        <f t="shared" si="9"/>
        <v>-645000000000</v>
      </c>
      <c r="T44" s="1009">
        <f t="shared" ref="T44:Z44" si="10">T47+T48-T49</f>
        <v>13000000000</v>
      </c>
      <c r="U44" s="1009">
        <f t="shared" si="10"/>
        <v>-139000000000</v>
      </c>
      <c r="V44" s="1009">
        <f t="shared" si="10"/>
        <v>823000000000</v>
      </c>
      <c r="W44" s="1009">
        <f t="shared" si="10"/>
        <v>976000000000</v>
      </c>
      <c r="X44" s="1009">
        <f t="shared" si="10"/>
        <v>858000000000</v>
      </c>
      <c r="Y44" s="1009">
        <f t="shared" si="10"/>
        <v>834000000000</v>
      </c>
      <c r="Z44" s="1009">
        <f t="shared" si="10"/>
        <v>792000000000</v>
      </c>
      <c r="AC44" s="527"/>
      <c r="AD44" s="527"/>
      <c r="AE44" s="527"/>
      <c r="AF44" s="527"/>
      <c r="AG44" s="527"/>
      <c r="AH44" s="527"/>
      <c r="AI44" s="527"/>
      <c r="AJ44" s="527"/>
      <c r="AK44" s="527"/>
      <c r="AL44" s="527"/>
      <c r="AM44" s="365"/>
      <c r="AN44" s="365"/>
      <c r="AO44" s="365"/>
      <c r="AP44" s="365"/>
      <c r="AQ44" s="365"/>
      <c r="AR44" s="365"/>
      <c r="AS44" s="365"/>
      <c r="AT44" s="365"/>
      <c r="AU44" s="365"/>
      <c r="AV44" s="365"/>
    </row>
    <row r="45" spans="1:48">
      <c r="A45" s="980" t="s">
        <v>122</v>
      </c>
      <c r="B45" s="988" t="s">
        <v>1404</v>
      </c>
      <c r="C45" s="981" t="s">
        <v>124</v>
      </c>
      <c r="E45" s="984"/>
      <c r="F45" s="984"/>
      <c r="G45" s="984"/>
      <c r="H45" s="984"/>
      <c r="I45" s="984"/>
      <c r="J45" s="978">
        <v>-532000000000</v>
      </c>
      <c r="K45" s="978">
        <v>-863000000000</v>
      </c>
      <c r="L45" s="978">
        <v>-1171000000000</v>
      </c>
      <c r="M45" s="987"/>
      <c r="N45" s="987"/>
      <c r="O45" s="987"/>
      <c r="P45" s="987"/>
      <c r="Q45" s="987"/>
      <c r="R45" s="987"/>
      <c r="S45" s="986"/>
      <c r="T45" s="1008"/>
      <c r="U45" s="1008"/>
      <c r="V45" s="1008"/>
      <c r="W45" s="1008"/>
      <c r="X45" s="1008"/>
      <c r="Y45" s="1008"/>
      <c r="Z45" s="1008"/>
      <c r="AC45" s="527"/>
      <c r="AD45" s="527"/>
      <c r="AE45" s="527"/>
      <c r="AF45" s="527"/>
      <c r="AG45" s="527"/>
      <c r="AH45" s="527"/>
      <c r="AI45" s="527"/>
      <c r="AJ45" s="527"/>
      <c r="AK45" s="527"/>
      <c r="AL45" s="527"/>
      <c r="AM45" s="365"/>
      <c r="AN45" s="365"/>
      <c r="AO45" s="365"/>
      <c r="AP45" s="365"/>
      <c r="AQ45" s="365"/>
      <c r="AR45" s="365"/>
      <c r="AS45" s="365"/>
      <c r="AT45" s="365"/>
      <c r="AU45" s="365"/>
      <c r="AV45" s="365"/>
    </row>
    <row r="46" spans="1:48">
      <c r="A46" s="980" t="s">
        <v>428</v>
      </c>
      <c r="B46" s="988" t="s">
        <v>350</v>
      </c>
      <c r="C46" s="981" t="s">
        <v>124</v>
      </c>
      <c r="E46" s="984"/>
      <c r="F46" s="984"/>
      <c r="G46" s="984"/>
      <c r="H46" s="984"/>
      <c r="I46" s="984"/>
      <c r="J46" s="998">
        <f>J44-J45</f>
        <v>-74000000000</v>
      </c>
      <c r="K46" s="998">
        <f>K44-K45</f>
        <v>94000000000</v>
      </c>
      <c r="L46" s="998">
        <f>L44-L45</f>
        <v>36000000000</v>
      </c>
      <c r="M46" s="987"/>
      <c r="N46" s="987"/>
      <c r="O46" s="987"/>
      <c r="P46" s="987"/>
      <c r="Q46" s="987"/>
      <c r="R46" s="987"/>
      <c r="S46" s="987"/>
      <c r="T46" s="987"/>
      <c r="U46" s="987"/>
      <c r="V46" s="987"/>
      <c r="W46" s="987"/>
      <c r="X46" s="987"/>
      <c r="Y46" s="987"/>
      <c r="Z46" s="987"/>
      <c r="AC46" s="527"/>
      <c r="AD46" s="527"/>
      <c r="AE46" s="527"/>
      <c r="AF46" s="527"/>
      <c r="AG46" s="527"/>
      <c r="AH46" s="527"/>
      <c r="AI46" s="527"/>
      <c r="AJ46" s="527"/>
      <c r="AK46" s="527"/>
      <c r="AL46" s="527"/>
      <c r="AM46" s="365"/>
      <c r="AN46" s="365"/>
      <c r="AO46" s="365"/>
      <c r="AP46" s="365"/>
      <c r="AQ46" s="365"/>
      <c r="AR46" s="365"/>
      <c r="AS46" s="365"/>
      <c r="AT46" s="365"/>
      <c r="AU46" s="365"/>
      <c r="AV46" s="365"/>
    </row>
    <row r="47" spans="1:48">
      <c r="A47" s="972" t="s">
        <v>76</v>
      </c>
      <c r="B47" s="981" t="s">
        <v>1405</v>
      </c>
      <c r="C47" s="981"/>
      <c r="E47" s="983"/>
      <c r="F47" s="983"/>
      <c r="G47" s="983"/>
      <c r="H47" s="983"/>
      <c r="I47" s="983"/>
      <c r="J47" s="987"/>
      <c r="K47" s="987"/>
      <c r="L47" s="987"/>
      <c r="M47" s="978">
        <v>-735000000000</v>
      </c>
      <c r="N47" s="978">
        <v>-125000000000</v>
      </c>
      <c r="O47" s="979">
        <v>3000000000</v>
      </c>
      <c r="P47" s="979">
        <v>-363000000000</v>
      </c>
      <c r="Q47" s="979">
        <v>-308000000000</v>
      </c>
      <c r="R47" s="979">
        <v>-1564000000000</v>
      </c>
      <c r="S47" s="979">
        <v>-2070000000000</v>
      </c>
      <c r="T47" s="1010">
        <v>-1720000000000</v>
      </c>
      <c r="U47" s="1010">
        <v>-500000000000</v>
      </c>
      <c r="V47" s="1010">
        <v>480000000000</v>
      </c>
      <c r="W47" s="1010">
        <v>514000000000</v>
      </c>
      <c r="X47" s="1010">
        <v>204000000000</v>
      </c>
      <c r="Y47" s="1010">
        <v>105000000000</v>
      </c>
      <c r="Z47" s="1010">
        <v>-56000000000</v>
      </c>
    </row>
    <row r="48" spans="1:48">
      <c r="A48" s="972" t="s">
        <v>76</v>
      </c>
      <c r="B48" s="981" t="s">
        <v>1406</v>
      </c>
      <c r="C48" s="981"/>
      <c r="E48" s="983"/>
      <c r="F48" s="983"/>
      <c r="G48" s="983"/>
      <c r="H48" s="983"/>
      <c r="I48" s="983"/>
      <c r="J48" s="987"/>
      <c r="K48" s="987"/>
      <c r="L48" s="987"/>
      <c r="M48" s="978">
        <v>1092000000000</v>
      </c>
      <c r="N48" s="978">
        <v>1215000000000</v>
      </c>
      <c r="O48" s="979">
        <v>2119000000000</v>
      </c>
      <c r="P48" s="979">
        <v>2514000000000</v>
      </c>
      <c r="Q48" s="979">
        <v>1623000000000</v>
      </c>
      <c r="R48" s="979">
        <v>2329000000000</v>
      </c>
      <c r="S48" s="979">
        <v>3231000000000</v>
      </c>
      <c r="T48" s="1010">
        <v>4029000000000</v>
      </c>
      <c r="U48" s="1010">
        <v>3826000000000</v>
      </c>
      <c r="V48" s="1010">
        <v>4063000000000</v>
      </c>
      <c r="W48" s="1010">
        <v>4328000000000</v>
      </c>
      <c r="X48" s="1010">
        <v>4662000000000</v>
      </c>
      <c r="Y48" s="1010">
        <v>5192000000000</v>
      </c>
      <c r="Z48" s="1010">
        <v>5632000000000</v>
      </c>
    </row>
    <row r="49" spans="1:26">
      <c r="A49" s="972" t="s">
        <v>76</v>
      </c>
      <c r="B49" s="981" t="s">
        <v>1407</v>
      </c>
      <c r="C49" s="981"/>
      <c r="E49" s="983"/>
      <c r="F49" s="983"/>
      <c r="G49" s="983"/>
      <c r="H49" s="983"/>
      <c r="I49" s="983"/>
      <c r="J49" s="987"/>
      <c r="K49" s="987"/>
      <c r="L49" s="987"/>
      <c r="M49" s="978">
        <v>1012000000000</v>
      </c>
      <c r="N49" s="978">
        <v>924000000000</v>
      </c>
      <c r="O49" s="979">
        <v>1779000000000</v>
      </c>
      <c r="P49" s="979">
        <v>2350000000000</v>
      </c>
      <c r="Q49" s="979">
        <v>1943000000000</v>
      </c>
      <c r="R49" s="979">
        <v>2115000000000</v>
      </c>
      <c r="S49" s="979">
        <v>1806000000000</v>
      </c>
      <c r="T49" s="1010">
        <v>2296000000000</v>
      </c>
      <c r="U49" s="1010">
        <v>3465000000000</v>
      </c>
      <c r="V49" s="1010">
        <v>3720000000000</v>
      </c>
      <c r="W49" s="1010">
        <v>3866000000000</v>
      </c>
      <c r="X49" s="1010">
        <v>4008000000000</v>
      </c>
      <c r="Y49" s="1010">
        <v>4463000000000</v>
      </c>
      <c r="Z49" s="1010">
        <v>4784000000000</v>
      </c>
    </row>
    <row r="50" spans="1:26">
      <c r="E50" s="983"/>
      <c r="F50" s="983"/>
      <c r="G50" s="983"/>
      <c r="H50" s="983"/>
      <c r="I50" s="983"/>
      <c r="J50" s="983"/>
      <c r="K50" s="983"/>
      <c r="L50" s="983"/>
      <c r="M50" s="983"/>
      <c r="N50" s="983"/>
      <c r="O50" s="983"/>
      <c r="P50" s="983"/>
      <c r="Q50" s="983"/>
      <c r="R50" s="983"/>
      <c r="S50" s="983"/>
      <c r="T50" s="1010"/>
      <c r="U50" s="1010"/>
      <c r="V50" s="1010"/>
      <c r="W50" s="1010"/>
      <c r="X50" s="1010"/>
      <c r="Y50" s="1010"/>
      <c r="Z50" s="1010"/>
    </row>
    <row r="51" spans="1:26">
      <c r="E51" s="983"/>
      <c r="F51" s="983"/>
      <c r="G51" s="983"/>
      <c r="H51" s="983"/>
      <c r="I51" s="983"/>
      <c r="J51" s="983" t="s">
        <v>139</v>
      </c>
      <c r="K51" s="983" t="s">
        <v>139</v>
      </c>
      <c r="L51" s="983" t="s">
        <v>139</v>
      </c>
      <c r="M51" s="983" t="s">
        <v>139</v>
      </c>
      <c r="N51" s="983" t="s">
        <v>139</v>
      </c>
      <c r="O51" s="983" t="s">
        <v>139</v>
      </c>
      <c r="P51" s="983" t="s">
        <v>139</v>
      </c>
      <c r="Q51" s="983" t="s">
        <v>139</v>
      </c>
      <c r="R51" s="983" t="s">
        <v>139</v>
      </c>
      <c r="S51" s="983" t="s">
        <v>139</v>
      </c>
      <c r="T51" s="983" t="s">
        <v>139</v>
      </c>
      <c r="U51" s="983" t="s">
        <v>139</v>
      </c>
      <c r="V51" s="983" t="s">
        <v>139</v>
      </c>
      <c r="W51" s="983" t="s">
        <v>139</v>
      </c>
      <c r="X51" s="983" t="s">
        <v>139</v>
      </c>
      <c r="Y51" s="983" t="s">
        <v>139</v>
      </c>
      <c r="Z51" s="983" t="s">
        <v>139</v>
      </c>
    </row>
    <row r="52" spans="1:26">
      <c r="E52" s="983"/>
      <c r="F52" s="983"/>
      <c r="G52" s="983"/>
      <c r="H52" s="983"/>
      <c r="I52" s="983"/>
      <c r="J52" s="983"/>
      <c r="K52" s="983"/>
      <c r="L52" s="983"/>
      <c r="M52" s="983"/>
      <c r="O52" s="983"/>
      <c r="P52" s="983"/>
      <c r="Q52" s="983"/>
      <c r="R52" s="983"/>
      <c r="S52" s="983"/>
      <c r="T52" s="1010"/>
      <c r="U52" s="1010"/>
      <c r="V52" s="1010"/>
      <c r="W52" s="1010"/>
      <c r="X52" s="1010"/>
      <c r="Y52" s="1010"/>
      <c r="Z52" s="1010"/>
    </row>
    <row r="53" spans="1:26">
      <c r="D53" s="1000"/>
      <c r="E53" s="983"/>
      <c r="F53" s="983"/>
      <c r="G53" s="983"/>
      <c r="H53" s="983"/>
      <c r="I53" s="983"/>
      <c r="J53" s="983"/>
      <c r="K53" s="983"/>
      <c r="L53" s="983"/>
      <c r="M53" s="983"/>
      <c r="N53" s="983"/>
      <c r="O53" s="983"/>
      <c r="P53" s="983"/>
      <c r="Q53" s="983"/>
      <c r="R53" s="983"/>
      <c r="S53" s="983"/>
      <c r="T53" s="1010"/>
      <c r="U53" s="1010"/>
      <c r="V53" s="1010"/>
      <c r="W53" s="1010"/>
      <c r="X53" s="1010"/>
      <c r="Y53" s="1010"/>
      <c r="Z53" s="1010"/>
    </row>
    <row r="54" spans="1:26">
      <c r="B54" s="972" t="s">
        <v>140</v>
      </c>
      <c r="D54" s="1000"/>
      <c r="E54" s="983"/>
      <c r="F54" s="983"/>
      <c r="G54" s="983"/>
      <c r="H54" s="983"/>
      <c r="I54" s="983"/>
      <c r="J54" s="983">
        <f t="shared" ref="J54:Z54" si="11">J6-J7-J18</f>
        <v>0</v>
      </c>
      <c r="K54" s="983">
        <f t="shared" si="11"/>
        <v>0</v>
      </c>
      <c r="L54" s="983">
        <f t="shared" si="11"/>
        <v>0</v>
      </c>
      <c r="M54" s="983">
        <f t="shared" si="11"/>
        <v>0</v>
      </c>
      <c r="N54" s="983">
        <f t="shared" si="11"/>
        <v>0</v>
      </c>
      <c r="O54" s="983">
        <f t="shared" si="11"/>
        <v>0</v>
      </c>
      <c r="P54" s="983">
        <f t="shared" si="11"/>
        <v>0</v>
      </c>
      <c r="Q54" s="983">
        <f t="shared" si="11"/>
        <v>0</v>
      </c>
      <c r="R54" s="983">
        <f t="shared" si="11"/>
        <v>0</v>
      </c>
      <c r="S54" s="983">
        <f t="shared" si="11"/>
        <v>0</v>
      </c>
      <c r="T54" s="983">
        <f t="shared" si="11"/>
        <v>0</v>
      </c>
      <c r="U54" s="983">
        <f t="shared" si="11"/>
        <v>0</v>
      </c>
      <c r="V54" s="983">
        <f t="shared" si="11"/>
        <v>0</v>
      </c>
      <c r="W54" s="983">
        <f t="shared" si="11"/>
        <v>0</v>
      </c>
      <c r="X54" s="983">
        <f t="shared" si="11"/>
        <v>0</v>
      </c>
      <c r="Y54" s="983">
        <f t="shared" si="11"/>
        <v>0</v>
      </c>
      <c r="Z54" s="983">
        <f t="shared" si="11"/>
        <v>0</v>
      </c>
    </row>
    <row r="55" spans="1:26">
      <c r="B55" s="972" t="s">
        <v>141</v>
      </c>
      <c r="D55" s="1000"/>
      <c r="E55" s="983"/>
      <c r="F55" s="983"/>
      <c r="G55" s="983"/>
      <c r="H55" s="983"/>
      <c r="I55" s="983"/>
      <c r="J55" s="983" t="e">
        <f>J7-J10-J15-J16-#REF!</f>
        <v>#REF!</v>
      </c>
      <c r="K55" s="983" t="e">
        <f>K7-K10-K15-K16-#REF!</f>
        <v>#REF!</v>
      </c>
      <c r="L55" s="983" t="e">
        <f>L7-L10-L15-L16-#REF!</f>
        <v>#REF!</v>
      </c>
      <c r="M55" s="1001" t="e">
        <f>M7-M10-M15-M16-#REF!</f>
        <v>#REF!</v>
      </c>
      <c r="N55" s="983" t="e">
        <f>N7-N10-N15-N16-#REF!</f>
        <v>#REF!</v>
      </c>
      <c r="O55" s="983" t="e">
        <f>O7-O10-O15-O16-#REF!</f>
        <v>#REF!</v>
      </c>
      <c r="P55" s="983" t="e">
        <f>P7-P10-P15-P16-#REF!</f>
        <v>#REF!</v>
      </c>
      <c r="Q55" s="983" t="e">
        <f>Q7-Q10-Q15-Q16-#REF!</f>
        <v>#REF!</v>
      </c>
      <c r="R55" s="983" t="e">
        <f>R7-R10-R15-R16-#REF!</f>
        <v>#REF!</v>
      </c>
      <c r="S55" s="983" t="e">
        <f>S7-S10-S15-S16-#REF!</f>
        <v>#REF!</v>
      </c>
      <c r="T55" s="983" t="e">
        <f>T7-T10-T15-T16-#REF!</f>
        <v>#REF!</v>
      </c>
      <c r="U55" s="983" t="e">
        <f>U7-U10-U15-U16-#REF!</f>
        <v>#REF!</v>
      </c>
      <c r="V55" s="983" t="e">
        <f>V7-V10-V15-V16-#REF!</f>
        <v>#REF!</v>
      </c>
      <c r="W55" s="983" t="e">
        <f>W7-W10-W15-W16-#REF!</f>
        <v>#REF!</v>
      </c>
      <c r="X55" s="983" t="e">
        <f>X7-X10-X15-X16-#REF!</f>
        <v>#REF!</v>
      </c>
      <c r="Y55" s="983" t="e">
        <f>Y7-Y10-Y15-Y16-#REF!</f>
        <v>#REF!</v>
      </c>
      <c r="Z55" s="983" t="e">
        <f>Z7-Z10-Z15-Z16-#REF!</f>
        <v>#REF!</v>
      </c>
    </row>
    <row r="56" spans="1:26">
      <c r="B56" s="972" t="s">
        <v>142</v>
      </c>
      <c r="D56" s="1002"/>
      <c r="E56" s="983"/>
      <c r="F56" s="983"/>
      <c r="G56" s="983"/>
      <c r="H56" s="983"/>
      <c r="I56" s="983"/>
      <c r="J56" s="983">
        <f t="shared" ref="J56:Z56" si="12">J10-J11-J12-J13-J14</f>
        <v>0</v>
      </c>
      <c r="K56" s="983">
        <f t="shared" si="12"/>
        <v>0</v>
      </c>
      <c r="L56" s="983">
        <f t="shared" si="12"/>
        <v>-1000000000</v>
      </c>
      <c r="M56" s="983">
        <f t="shared" si="12"/>
        <v>0</v>
      </c>
      <c r="N56" s="983">
        <f t="shared" si="12"/>
        <v>0</v>
      </c>
      <c r="O56" s="983">
        <f t="shared" si="12"/>
        <v>0</v>
      </c>
      <c r="P56" s="983">
        <f t="shared" si="12"/>
        <v>0</v>
      </c>
      <c r="Q56" s="983">
        <f t="shared" si="12"/>
        <v>1000000000</v>
      </c>
      <c r="R56" s="983">
        <f t="shared" si="12"/>
        <v>0</v>
      </c>
      <c r="S56" s="983">
        <f t="shared" si="12"/>
        <v>0</v>
      </c>
      <c r="T56" s="983">
        <f t="shared" si="12"/>
        <v>0</v>
      </c>
      <c r="U56" s="983">
        <f t="shared" si="12"/>
        <v>0</v>
      </c>
      <c r="V56" s="983">
        <f t="shared" si="12"/>
        <v>0</v>
      </c>
      <c r="W56" s="983">
        <f t="shared" si="12"/>
        <v>0</v>
      </c>
      <c r="X56" s="983">
        <f t="shared" si="12"/>
        <v>1000000000</v>
      </c>
      <c r="Y56" s="983">
        <f t="shared" si="12"/>
        <v>-1000000000</v>
      </c>
      <c r="Z56" s="983">
        <f t="shared" si="12"/>
        <v>-1000000000</v>
      </c>
    </row>
    <row r="57" spans="1:26">
      <c r="B57" s="972" t="s">
        <v>145</v>
      </c>
      <c r="J57" s="995">
        <f>J19-J20-J29</f>
        <v>1000000000</v>
      </c>
      <c r="K57" s="995">
        <f>K19-K20-K29</f>
        <v>0</v>
      </c>
      <c r="L57" s="995">
        <f>L19-L20-L29</f>
        <v>0</v>
      </c>
      <c r="M57" s="995">
        <f>M19-M20-M29</f>
        <v>0</v>
      </c>
      <c r="N57" s="995">
        <f>N19-N20-N29</f>
        <v>0</v>
      </c>
      <c r="O57" s="995">
        <f t="shared" ref="O57:S57" si="13">O19-O20-O29</f>
        <v>0</v>
      </c>
      <c r="P57" s="995">
        <f t="shared" si="13"/>
        <v>1000000000</v>
      </c>
      <c r="Q57" s="995">
        <f t="shared" si="13"/>
        <v>0</v>
      </c>
      <c r="R57" s="995">
        <f t="shared" si="13"/>
        <v>0</v>
      </c>
      <c r="S57" s="995">
        <f t="shared" si="13"/>
        <v>0</v>
      </c>
      <c r="T57" s="995">
        <f t="shared" ref="T57:Z57" si="14">T19-T20-T29</f>
        <v>0</v>
      </c>
      <c r="U57" s="995">
        <f t="shared" si="14"/>
        <v>0</v>
      </c>
      <c r="V57" s="995">
        <f t="shared" si="14"/>
        <v>0</v>
      </c>
      <c r="W57" s="995">
        <f t="shared" si="14"/>
        <v>-1000000000</v>
      </c>
      <c r="X57" s="995">
        <f t="shared" si="14"/>
        <v>0</v>
      </c>
      <c r="Y57" s="995">
        <f t="shared" si="14"/>
        <v>1000000000</v>
      </c>
      <c r="Z57" s="995">
        <f t="shared" si="14"/>
        <v>1000000000</v>
      </c>
    </row>
    <row r="58" spans="1:26">
      <c r="B58" s="972" t="s">
        <v>826</v>
      </c>
      <c r="J58" s="995">
        <f>J20-J21-J24-J25-J26-J27-J28</f>
        <v>0</v>
      </c>
      <c r="K58" s="995">
        <f>K20-K21-K24-K25-K26-K27-K28</f>
        <v>-1000000000</v>
      </c>
      <c r="L58" s="995">
        <f>L20-L21-L24-L25-L26-L27-L28</f>
        <v>1000000000</v>
      </c>
      <c r="M58" s="995">
        <f>M20-M21-M24-M25-M26-M27-M28</f>
        <v>0</v>
      </c>
      <c r="N58" s="995">
        <f>N20-N21-N24-N25-N26-N27-N28</f>
        <v>0</v>
      </c>
      <c r="O58" s="995">
        <f t="shared" ref="O58:S58" si="15">O20-O21-O24-O25-O26-O27-O28</f>
        <v>0</v>
      </c>
      <c r="P58" s="995">
        <f t="shared" si="15"/>
        <v>0</v>
      </c>
      <c r="Q58" s="995">
        <f t="shared" si="15"/>
        <v>0</v>
      </c>
      <c r="R58" s="995">
        <f t="shared" si="15"/>
        <v>0</v>
      </c>
      <c r="S58" s="995">
        <f t="shared" si="15"/>
        <v>0</v>
      </c>
      <c r="T58" s="995">
        <f t="shared" ref="T58:Z58" si="16">T20-T21-T24-T25-T26-T27-T28</f>
        <v>0</v>
      </c>
      <c r="U58" s="995">
        <f t="shared" si="16"/>
        <v>0</v>
      </c>
      <c r="V58" s="995">
        <f t="shared" si="16"/>
        <v>0</v>
      </c>
      <c r="W58" s="995">
        <f t="shared" si="16"/>
        <v>0</v>
      </c>
      <c r="X58" s="995">
        <f t="shared" si="16"/>
        <v>0</v>
      </c>
      <c r="Y58" s="995">
        <f t="shared" si="16"/>
        <v>0</v>
      </c>
      <c r="Z58" s="995">
        <f t="shared" si="16"/>
        <v>100000000</v>
      </c>
    </row>
    <row r="59" spans="1:26">
      <c r="B59" s="972" t="s">
        <v>876</v>
      </c>
      <c r="J59" s="995">
        <f t="shared" ref="J59:S59" si="17">J29-J30-J32-J31</f>
        <v>-1000000000</v>
      </c>
      <c r="K59" s="995">
        <f t="shared" si="17"/>
        <v>1000000000</v>
      </c>
      <c r="L59" s="995">
        <f t="shared" si="17"/>
        <v>0</v>
      </c>
      <c r="M59" s="995">
        <f t="shared" si="17"/>
        <v>0</v>
      </c>
      <c r="N59" s="995">
        <f t="shared" si="17"/>
        <v>0</v>
      </c>
      <c r="O59" s="995">
        <f t="shared" si="17"/>
        <v>0</v>
      </c>
      <c r="P59" s="995">
        <f t="shared" si="17"/>
        <v>0</v>
      </c>
      <c r="Q59" s="995">
        <f t="shared" si="17"/>
        <v>0</v>
      </c>
      <c r="R59" s="995">
        <f t="shared" si="17"/>
        <v>0</v>
      </c>
      <c r="S59" s="995">
        <f t="shared" si="17"/>
        <v>0</v>
      </c>
      <c r="T59" s="995">
        <f t="shared" ref="T59:Z59" si="18">T29-T30-T32-T31</f>
        <v>0</v>
      </c>
      <c r="U59" s="995">
        <f t="shared" si="18"/>
        <v>0</v>
      </c>
      <c r="V59" s="995">
        <f t="shared" si="18"/>
        <v>0</v>
      </c>
      <c r="W59" s="995">
        <f t="shared" si="18"/>
        <v>0</v>
      </c>
      <c r="X59" s="995">
        <f t="shared" si="18"/>
        <v>0</v>
      </c>
      <c r="Y59" s="995">
        <f t="shared" si="18"/>
        <v>0</v>
      </c>
      <c r="Z59" s="995">
        <f t="shared" si="18"/>
        <v>0</v>
      </c>
    </row>
    <row r="60" spans="1:26">
      <c r="B60" s="972" t="s">
        <v>148</v>
      </c>
      <c r="J60" s="995">
        <f t="shared" ref="J60:S60" si="19">J37-J39-J44</f>
        <v>1000000000</v>
      </c>
      <c r="K60" s="995">
        <f t="shared" si="19"/>
        <v>0</v>
      </c>
      <c r="L60" s="995">
        <f t="shared" si="19"/>
        <v>0</v>
      </c>
      <c r="M60" s="995">
        <f t="shared" si="19"/>
        <v>0</v>
      </c>
      <c r="N60" s="995">
        <f t="shared" si="19"/>
        <v>0</v>
      </c>
      <c r="O60" s="995">
        <f t="shared" si="19"/>
        <v>0</v>
      </c>
      <c r="P60" s="995">
        <f t="shared" si="19"/>
        <v>0</v>
      </c>
      <c r="Q60" s="995">
        <f t="shared" si="19"/>
        <v>0</v>
      </c>
      <c r="R60" s="995">
        <f t="shared" si="19"/>
        <v>0</v>
      </c>
      <c r="S60" s="995">
        <f t="shared" si="19"/>
        <v>0</v>
      </c>
      <c r="T60" s="995">
        <f t="shared" ref="T60:Z60" si="20">T37-T39-T44</f>
        <v>0</v>
      </c>
      <c r="U60" s="995">
        <f t="shared" si="20"/>
        <v>0</v>
      </c>
      <c r="V60" s="995">
        <f t="shared" si="20"/>
        <v>0</v>
      </c>
      <c r="W60" s="995">
        <f t="shared" si="20"/>
        <v>0</v>
      </c>
      <c r="X60" s="995">
        <f t="shared" si="20"/>
        <v>0</v>
      </c>
      <c r="Y60" s="995">
        <f t="shared" si="20"/>
        <v>0</v>
      </c>
      <c r="Z60" s="995">
        <f t="shared" si="20"/>
        <v>0</v>
      </c>
    </row>
    <row r="61" spans="1:26">
      <c r="B61" s="972" t="s">
        <v>1171</v>
      </c>
      <c r="J61" s="995">
        <f t="shared" ref="J61:S61" si="21">J39-J42-J43</f>
        <v>0</v>
      </c>
      <c r="K61" s="995">
        <f t="shared" si="21"/>
        <v>0</v>
      </c>
      <c r="L61" s="995">
        <f t="shared" si="21"/>
        <v>-1000000000</v>
      </c>
      <c r="M61" s="1003">
        <f t="shared" si="21"/>
        <v>1012000000000</v>
      </c>
      <c r="N61" s="995">
        <f t="shared" si="21"/>
        <v>0</v>
      </c>
      <c r="O61" s="1004">
        <f t="shared" si="21"/>
        <v>1779000000000</v>
      </c>
      <c r="P61" s="1004">
        <f t="shared" si="21"/>
        <v>2350000000000</v>
      </c>
      <c r="Q61" s="1004">
        <f t="shared" si="21"/>
        <v>1943000000000</v>
      </c>
      <c r="R61" s="1004">
        <f t="shared" si="21"/>
        <v>2115000000000</v>
      </c>
      <c r="S61" s="1004">
        <f t="shared" si="21"/>
        <v>1806000000000</v>
      </c>
      <c r="T61" s="1004">
        <f t="shared" ref="T61:Z61" si="22">T39-T42-T43</f>
        <v>2296000000000</v>
      </c>
      <c r="U61" s="1004">
        <f t="shared" si="22"/>
        <v>3465000000000</v>
      </c>
      <c r="V61" s="1004">
        <f t="shared" si="22"/>
        <v>3720000000000</v>
      </c>
      <c r="W61" s="1004">
        <f t="shared" si="22"/>
        <v>3866000000000</v>
      </c>
      <c r="X61" s="1004">
        <f t="shared" si="22"/>
        <v>4008000000000</v>
      </c>
      <c r="Y61" s="1004">
        <f t="shared" si="22"/>
        <v>4463000000000</v>
      </c>
      <c r="Z61" s="1004">
        <f t="shared" si="22"/>
        <v>4784000000000</v>
      </c>
    </row>
    <row r="62" spans="1:26">
      <c r="B62" s="972" t="s">
        <v>297</v>
      </c>
      <c r="J62" s="995">
        <f>J44-J45-J46</f>
        <v>0</v>
      </c>
      <c r="K62" s="995">
        <f>K44-K45-K46</f>
        <v>0</v>
      </c>
      <c r="L62" s="995">
        <f>L44-L45-L46</f>
        <v>0</v>
      </c>
      <c r="M62" s="1003">
        <f>M44-M45-M46</f>
        <v>-735000000000</v>
      </c>
      <c r="N62" s="1003">
        <f>N44-N45-N46</f>
        <v>-125000000000</v>
      </c>
      <c r="O62" s="1003">
        <f t="shared" ref="O62:S62" si="23">O44-O45-O46</f>
        <v>343000000000</v>
      </c>
      <c r="P62" s="1003">
        <f t="shared" si="23"/>
        <v>-199000000000</v>
      </c>
      <c r="Q62" s="1003">
        <f t="shared" si="23"/>
        <v>-628000000000</v>
      </c>
      <c r="R62" s="1003">
        <f t="shared" si="23"/>
        <v>-1350000000000</v>
      </c>
      <c r="S62" s="1003">
        <f t="shared" si="23"/>
        <v>-645000000000</v>
      </c>
      <c r="T62" s="1003">
        <f t="shared" ref="T62:Z62" si="24">T44-T45-T46</f>
        <v>13000000000</v>
      </c>
      <c r="U62" s="1003">
        <f t="shared" si="24"/>
        <v>-139000000000</v>
      </c>
      <c r="V62" s="1003">
        <f t="shared" si="24"/>
        <v>823000000000</v>
      </c>
      <c r="W62" s="1003">
        <f t="shared" si="24"/>
        <v>976000000000</v>
      </c>
      <c r="X62" s="1003">
        <f t="shared" si="24"/>
        <v>858000000000</v>
      </c>
      <c r="Y62" s="1003">
        <f t="shared" si="24"/>
        <v>834000000000</v>
      </c>
      <c r="Z62" s="1003">
        <f t="shared" si="24"/>
        <v>792000000000</v>
      </c>
    </row>
    <row r="63" spans="1:26">
      <c r="T63" s="1010"/>
      <c r="U63" s="1010"/>
      <c r="V63" s="1010"/>
      <c r="W63" s="1010"/>
      <c r="X63" s="1010"/>
      <c r="Y63" s="1010"/>
      <c r="Z63" s="1010"/>
    </row>
    <row r="64" spans="1:26">
      <c r="T64" s="1010"/>
      <c r="U64" s="1010"/>
      <c r="V64" s="1010"/>
      <c r="W64" s="1010"/>
      <c r="X64" s="1010"/>
      <c r="Y64" s="1010"/>
      <c r="Z64" s="1010"/>
    </row>
    <row r="65" spans="2:26">
      <c r="B65" s="972" t="s">
        <v>623</v>
      </c>
      <c r="D65" s="1005"/>
      <c r="E65" s="1005"/>
      <c r="F65" s="1005"/>
      <c r="G65" s="1005"/>
      <c r="H65" s="1005"/>
      <c r="I65" s="1005"/>
      <c r="J65" s="1005">
        <v>29849485000000</v>
      </c>
      <c r="K65" s="1005">
        <v>35042180999999.996</v>
      </c>
      <c r="L65" s="1005">
        <v>41968385000000</v>
      </c>
      <c r="M65" s="1005">
        <v>43107777000000</v>
      </c>
      <c r="N65" s="1005">
        <v>47101583000000</v>
      </c>
      <c r="O65" s="1005">
        <v>52154085000000</v>
      </c>
      <c r="P65" s="1005">
        <v>56650000000000</v>
      </c>
      <c r="Q65" s="1005">
        <v>61414000000000</v>
      </c>
      <c r="R65" s="1005">
        <v>67485000000000</v>
      </c>
      <c r="S65" s="1005">
        <v>73694000000000</v>
      </c>
      <c r="T65" s="1010">
        <v>81703000000000</v>
      </c>
      <c r="U65" s="1010">
        <v>90325000000000</v>
      </c>
      <c r="V65" s="1010">
        <v>99753000000000</v>
      </c>
      <c r="W65" s="1010">
        <v>110221000000000</v>
      </c>
      <c r="X65" s="1010">
        <v>121416000000000</v>
      </c>
      <c r="Y65" s="1010">
        <v>133535000000000</v>
      </c>
      <c r="Z65" s="1010">
        <v>146417000000000</v>
      </c>
    </row>
    <row r="66" spans="2:26">
      <c r="B66" s="972" t="s">
        <v>151</v>
      </c>
      <c r="J66" s="1006">
        <f t="shared" ref="J66:R66" si="25">(J6/J65)*100</f>
        <v>14.043793385380015</v>
      </c>
      <c r="K66" s="1006">
        <f t="shared" si="25"/>
        <v>14.06590531565373</v>
      </c>
      <c r="L66" s="1006">
        <f t="shared" si="25"/>
        <v>16.36469928494985</v>
      </c>
      <c r="M66" s="1006">
        <f t="shared" si="25"/>
        <v>15.790654201444903</v>
      </c>
      <c r="N66" s="1006">
        <f t="shared" si="25"/>
        <v>17.033397794719555</v>
      </c>
      <c r="O66" s="1006">
        <f t="shared" si="25"/>
        <v>15.55774586017567</v>
      </c>
      <c r="P66" s="1006">
        <f t="shared" si="25"/>
        <v>16.926743159752871</v>
      </c>
      <c r="Q66" s="1006">
        <f t="shared" si="25"/>
        <v>18.516950532451883</v>
      </c>
      <c r="R66" s="1006">
        <f t="shared" si="25"/>
        <v>19.848855301178041</v>
      </c>
    </row>
    <row r="67" spans="2:26">
      <c r="B67" s="972" t="s">
        <v>152</v>
      </c>
      <c r="J67" s="1006">
        <f t="shared" ref="J67:R67" si="26">(J19/J65)*100</f>
        <v>14.218000746076523</v>
      </c>
      <c r="K67" s="1006">
        <f t="shared" si="26"/>
        <v>14.736525674586295</v>
      </c>
      <c r="L67" s="1006">
        <f t="shared" si="26"/>
        <v>16.085918007090338</v>
      </c>
      <c r="M67" s="1006">
        <f t="shared" si="26"/>
        <v>20.028868572833158</v>
      </c>
      <c r="N67" s="1006">
        <f t="shared" si="26"/>
        <v>19.882558936501134</v>
      </c>
      <c r="O67" s="1006">
        <f t="shared" si="26"/>
        <v>19.626458790332531</v>
      </c>
      <c r="P67" s="1006">
        <f t="shared" si="26"/>
        <v>20.725507502206529</v>
      </c>
      <c r="Q67" s="1006">
        <f t="shared" si="26"/>
        <v>20.656527827531182</v>
      </c>
      <c r="R67" s="1006">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972" bestFit="1" customWidth="1"/>
    <col min="2" max="2" width="42.140625" style="972" bestFit="1" customWidth="1"/>
    <col min="3" max="3" width="27.42578125" style="972" customWidth="1"/>
    <col min="4" max="5" width="8.85546875" style="972"/>
    <col min="6" max="16" width="24.85546875" style="972" customWidth="1"/>
    <col min="17" max="17" width="27.42578125" style="972" customWidth="1"/>
    <col min="18" max="18" width="26.28515625" style="972" customWidth="1"/>
    <col min="19" max="24" width="24.85546875" style="972" customWidth="1"/>
    <col min="25" max="26" width="26.140625" style="972" bestFit="1" customWidth="1"/>
    <col min="27" max="27" width="15.5703125" customWidth="1"/>
    <col min="28" max="34" width="20.85546875" customWidth="1"/>
    <col min="36" max="36" width="16.5703125" bestFit="1" customWidth="1"/>
  </cols>
  <sheetData>
    <row r="1" spans="1:41">
      <c r="A1" s="966" t="s">
        <v>1408</v>
      </c>
      <c r="B1" s="967" t="s">
        <v>1409</v>
      </c>
      <c r="C1" s="967"/>
      <c r="D1" s="968"/>
      <c r="E1" s="968"/>
      <c r="F1" s="968"/>
      <c r="G1" s="968"/>
      <c r="H1" s="968"/>
      <c r="I1" s="968"/>
      <c r="J1" s="968"/>
      <c r="K1" s="968"/>
      <c r="L1" s="968"/>
      <c r="M1" s="968"/>
      <c r="N1" s="968"/>
      <c r="O1" s="969"/>
      <c r="P1" s="969"/>
      <c r="Q1" s="969"/>
      <c r="R1" s="970"/>
      <c r="S1" s="969"/>
      <c r="T1" s="969"/>
      <c r="U1" s="969"/>
      <c r="V1" s="969"/>
      <c r="W1" s="969"/>
      <c r="X1" s="969"/>
      <c r="Y1" s="969"/>
    </row>
    <row r="2" spans="1:41">
      <c r="B2" s="973" t="s">
        <v>1410</v>
      </c>
      <c r="C2" s="973"/>
      <c r="D2" s="969"/>
      <c r="E2" s="969"/>
      <c r="F2" s="969"/>
      <c r="G2" s="969"/>
      <c r="H2" s="969"/>
      <c r="I2" s="969"/>
      <c r="J2" s="969"/>
      <c r="K2" s="969"/>
      <c r="L2" s="969"/>
      <c r="M2" s="969"/>
      <c r="N2" s="969"/>
      <c r="O2" s="969"/>
      <c r="P2" s="969"/>
      <c r="Q2" s="969"/>
      <c r="R2" s="974"/>
      <c r="S2" s="1046"/>
      <c r="T2" s="1047"/>
      <c r="U2" s="969"/>
      <c r="V2" s="969"/>
      <c r="W2" s="969"/>
      <c r="X2" s="969"/>
      <c r="Y2" s="969"/>
      <c r="Z2" s="981"/>
      <c r="AA2" s="90"/>
      <c r="AB2" s="90"/>
      <c r="AC2" s="90"/>
      <c r="AD2" s="90"/>
      <c r="AE2" s="90"/>
      <c r="AF2" s="90"/>
      <c r="AG2" s="90"/>
      <c r="AH2" s="90"/>
    </row>
    <row r="3" spans="1:41"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0"/>
      <c r="AB3" s="151"/>
      <c r="AC3" s="151"/>
      <c r="AD3" s="151"/>
      <c r="AE3" s="151"/>
      <c r="AF3" s="151"/>
      <c r="AG3" s="151"/>
      <c r="AH3" s="151"/>
    </row>
    <row r="4" spans="1:41" ht="16.5">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88" t="s">
        <v>27</v>
      </c>
      <c r="AA4" s="90"/>
      <c r="AB4" s="139"/>
      <c r="AC4" s="90"/>
      <c r="AD4" s="90"/>
      <c r="AE4" s="139"/>
      <c r="AF4" s="90"/>
      <c r="AG4" s="90"/>
      <c r="AH4" s="90"/>
    </row>
    <row r="5" spans="1:41">
      <c r="A5" s="972" t="s">
        <v>28</v>
      </c>
      <c r="B5" s="968" t="s">
        <v>29</v>
      </c>
      <c r="C5" s="968"/>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369</v>
      </c>
      <c r="U5" s="969" t="s">
        <v>32</v>
      </c>
      <c r="V5" s="969" t="s">
        <v>32</v>
      </c>
      <c r="W5" s="969" t="s">
        <v>32</v>
      </c>
      <c r="X5" s="969" t="s">
        <v>32</v>
      </c>
      <c r="Y5" s="969" t="s">
        <v>32</v>
      </c>
      <c r="Z5" s="969" t="s">
        <v>32</v>
      </c>
    </row>
    <row r="6" spans="1:41" s="848" customFormat="1" ht="16.5">
      <c r="A6" s="1012" t="s">
        <v>1411</v>
      </c>
      <c r="B6" s="1012" t="s">
        <v>1412</v>
      </c>
      <c r="C6" s="1012" t="s">
        <v>35</v>
      </c>
      <c r="D6" s="1013"/>
      <c r="E6" s="1013"/>
      <c r="F6" s="1054">
        <v>1350000000000</v>
      </c>
      <c r="G6" s="1054">
        <f>G7+G16</f>
        <v>1506000000000</v>
      </c>
      <c r="H6" s="1055">
        <v>1286000000000</v>
      </c>
      <c r="I6" s="1055">
        <v>1590000000000</v>
      </c>
      <c r="J6" s="1055">
        <v>4472000000000</v>
      </c>
      <c r="K6" s="1055">
        <v>1985000000000</v>
      </c>
      <c r="L6" s="1055">
        <v>2214000000000</v>
      </c>
      <c r="M6" s="1055">
        <v>1925000000000</v>
      </c>
      <c r="N6" s="1055">
        <v>1940000000000</v>
      </c>
      <c r="O6" s="1055">
        <v>2250000000000</v>
      </c>
      <c r="P6" s="1054">
        <v>2426000000000</v>
      </c>
      <c r="Q6" s="1054">
        <v>2623000000000</v>
      </c>
      <c r="R6" s="1054">
        <v>2870000000000</v>
      </c>
      <c r="S6" s="1054">
        <v>3013000000000</v>
      </c>
      <c r="T6" s="1054">
        <v>2866000000000</v>
      </c>
      <c r="U6" s="1054">
        <v>2897000000000</v>
      </c>
      <c r="V6" s="1054">
        <v>3142000000000</v>
      </c>
      <c r="W6" s="1054">
        <v>3406000000000</v>
      </c>
      <c r="X6" s="1056">
        <v>3694000000000</v>
      </c>
      <c r="Y6" s="1018">
        <v>3985000000000</v>
      </c>
      <c r="Z6" s="1067">
        <v>4298000000000</v>
      </c>
      <c r="AA6" s="909"/>
      <c r="AB6" s="1057"/>
      <c r="AC6" s="1057"/>
      <c r="AD6" s="1057"/>
      <c r="AE6" s="1057"/>
      <c r="AF6" s="1057"/>
      <c r="AG6" s="1057"/>
      <c r="AH6" s="1057"/>
      <c r="AI6" s="916"/>
      <c r="AJ6" s="916"/>
      <c r="AK6" s="916"/>
      <c r="AL6" s="916"/>
      <c r="AM6" s="916"/>
      <c r="AN6" s="916"/>
      <c r="AO6" s="916"/>
    </row>
    <row r="7" spans="1:41" ht="16.5">
      <c r="A7" s="981" t="s">
        <v>36</v>
      </c>
      <c r="B7" s="981" t="s">
        <v>1413</v>
      </c>
      <c r="C7" s="982" t="s">
        <v>38</v>
      </c>
      <c r="D7" s="969"/>
      <c r="E7" s="969"/>
      <c r="F7" s="1048">
        <v>1325000000000</v>
      </c>
      <c r="G7" s="1048">
        <f>G8+G9</f>
        <v>1448000000000</v>
      </c>
      <c r="H7" s="1050">
        <v>1267000000000</v>
      </c>
      <c r="I7" s="1050">
        <v>1543000000000</v>
      </c>
      <c r="J7" s="1050">
        <v>1808000000000</v>
      </c>
      <c r="K7" s="1050">
        <v>1867000000000</v>
      </c>
      <c r="L7" s="1050">
        <v>2122000000000</v>
      </c>
      <c r="M7" s="1050">
        <v>1839000000000</v>
      </c>
      <c r="N7" s="1050">
        <v>1869000000000</v>
      </c>
      <c r="O7" s="1050">
        <v>2190000000000</v>
      </c>
      <c r="P7" s="1048">
        <v>2370000000000</v>
      </c>
      <c r="Q7" s="1048">
        <v>2576000000000</v>
      </c>
      <c r="R7" s="1048">
        <v>2825000000000</v>
      </c>
      <c r="S7" s="1048">
        <v>3002000000000</v>
      </c>
      <c r="T7" s="1048">
        <v>2812000000000</v>
      </c>
      <c r="U7" s="1048">
        <v>2829000000000</v>
      </c>
      <c r="V7" s="1048">
        <v>3078000000000</v>
      </c>
      <c r="W7" s="1048">
        <v>3346000000000</v>
      </c>
      <c r="X7" s="1046">
        <v>3635000000000</v>
      </c>
      <c r="Y7" s="1008">
        <v>3928000000000</v>
      </c>
      <c r="Z7" s="1068">
        <v>4243000000000</v>
      </c>
      <c r="AA7" s="90"/>
      <c r="AB7" s="410"/>
      <c r="AC7" s="410"/>
      <c r="AD7" s="410"/>
      <c r="AE7" s="410"/>
      <c r="AF7" s="410"/>
      <c r="AG7" s="410"/>
      <c r="AH7" s="410"/>
      <c r="AI7" s="365"/>
      <c r="AJ7" s="365"/>
      <c r="AK7" s="365"/>
      <c r="AL7" s="365"/>
      <c r="AM7" s="365"/>
      <c r="AN7" s="365"/>
      <c r="AO7" s="365"/>
    </row>
    <row r="8" spans="1:41" ht="16.5">
      <c r="A8" s="988" t="s">
        <v>1414</v>
      </c>
      <c r="B8" s="988" t="s">
        <v>1415</v>
      </c>
      <c r="C8" s="981" t="s">
        <v>41</v>
      </c>
      <c r="D8" s="969"/>
      <c r="E8" s="969"/>
      <c r="F8" s="1048">
        <v>350000000000</v>
      </c>
      <c r="G8" s="1048">
        <v>326000000000</v>
      </c>
      <c r="H8" s="1051">
        <v>325000000000</v>
      </c>
      <c r="I8" s="1050">
        <v>439000000000</v>
      </c>
      <c r="J8" s="1050">
        <v>643000000000</v>
      </c>
      <c r="K8" s="1050">
        <v>631000000000</v>
      </c>
      <c r="L8" s="1050">
        <v>810000000000</v>
      </c>
      <c r="M8" s="1050">
        <v>507000000000</v>
      </c>
      <c r="N8" s="1051">
        <v>497000000000</v>
      </c>
      <c r="O8" s="1051">
        <v>638000000000</v>
      </c>
      <c r="P8" s="1048">
        <v>693000000000</v>
      </c>
      <c r="Q8" s="1048">
        <v>700000000000</v>
      </c>
      <c r="R8" s="1048">
        <v>679000000000</v>
      </c>
      <c r="S8" s="1048">
        <v>556000000000</v>
      </c>
      <c r="T8" s="1048">
        <v>425000000000</v>
      </c>
      <c r="U8" s="1048">
        <v>370000000000</v>
      </c>
      <c r="V8" s="1048">
        <v>380000000000</v>
      </c>
      <c r="W8" s="1048">
        <v>393000000000</v>
      </c>
      <c r="X8" s="1046">
        <v>413000000000</v>
      </c>
      <c r="Y8" s="1008">
        <v>416000000000</v>
      </c>
      <c r="Z8" s="1068">
        <v>418000000000</v>
      </c>
      <c r="AA8" s="90"/>
      <c r="AB8" s="151"/>
      <c r="AC8" s="151"/>
      <c r="AD8" s="151"/>
      <c r="AE8" s="151"/>
      <c r="AF8" s="151"/>
      <c r="AG8" s="151"/>
      <c r="AH8" s="151"/>
      <c r="AI8" s="365"/>
      <c r="AJ8" s="365"/>
      <c r="AK8" s="365"/>
      <c r="AL8" s="365"/>
      <c r="AM8" s="365"/>
      <c r="AN8" s="365"/>
      <c r="AO8" s="365"/>
    </row>
    <row r="9" spans="1:41" ht="16.5">
      <c r="A9" s="988" t="s">
        <v>1416</v>
      </c>
      <c r="B9" s="988" t="s">
        <v>1417</v>
      </c>
      <c r="C9" s="981" t="s">
        <v>41</v>
      </c>
      <c r="D9" s="969"/>
      <c r="E9" s="969"/>
      <c r="F9" s="1048">
        <v>975000000000</v>
      </c>
      <c r="G9" s="1048">
        <v>1122000000000</v>
      </c>
      <c r="H9" s="1051">
        <v>942000000000</v>
      </c>
      <c r="I9" s="1050">
        <v>1104000000000</v>
      </c>
      <c r="J9" s="1050">
        <v>1165000000000</v>
      </c>
      <c r="K9" s="1050">
        <v>1236000000000</v>
      </c>
      <c r="L9" s="1050">
        <v>1312000000000</v>
      </c>
      <c r="M9" s="1050">
        <v>1331000000000</v>
      </c>
      <c r="N9" s="1051">
        <v>1372000000000</v>
      </c>
      <c r="O9" s="1051">
        <v>1552000000000</v>
      </c>
      <c r="P9" s="1048">
        <v>1677000000000</v>
      </c>
      <c r="Q9" s="1048">
        <v>1877000000000</v>
      </c>
      <c r="R9" s="1048">
        <v>2146000000000</v>
      </c>
      <c r="S9" s="1048">
        <v>2446000000000</v>
      </c>
      <c r="T9" s="1048">
        <v>2387000000000</v>
      </c>
      <c r="U9" s="1048">
        <v>2459000000000</v>
      </c>
      <c r="V9" s="1048">
        <v>2698000000000</v>
      </c>
      <c r="W9" s="1048">
        <v>2953000000000</v>
      </c>
      <c r="X9" s="1046">
        <v>3223000000000</v>
      </c>
      <c r="Y9" s="1008">
        <v>3512000000000</v>
      </c>
      <c r="Z9" s="1068">
        <v>3825000000000</v>
      </c>
      <c r="AA9" s="90"/>
      <c r="AB9" s="410"/>
      <c r="AC9" s="410"/>
      <c r="AD9" s="410"/>
      <c r="AE9" s="410"/>
      <c r="AF9" s="410"/>
      <c r="AG9" s="410"/>
      <c r="AH9" s="410"/>
      <c r="AI9" s="365"/>
      <c r="AJ9" s="365"/>
      <c r="AK9" s="365"/>
      <c r="AL9" s="365"/>
      <c r="AM9" s="365"/>
      <c r="AN9" s="365"/>
      <c r="AO9" s="365"/>
    </row>
    <row r="10" spans="1:41" ht="16.5">
      <c r="A10" s="997" t="s">
        <v>989</v>
      </c>
      <c r="B10" s="997" t="s">
        <v>1418</v>
      </c>
      <c r="C10" s="968" t="s">
        <v>7049</v>
      </c>
      <c r="D10" s="969"/>
      <c r="E10" s="969"/>
      <c r="F10" s="1050"/>
      <c r="G10" s="1050"/>
      <c r="H10" s="1050"/>
      <c r="I10" s="1050"/>
      <c r="J10" s="1050"/>
      <c r="K10" s="1050"/>
      <c r="L10" s="1050"/>
      <c r="M10" s="1050">
        <v>335000000000</v>
      </c>
      <c r="N10" s="1051">
        <v>343000000000</v>
      </c>
      <c r="O10" s="1051">
        <v>405000000000</v>
      </c>
      <c r="P10" s="1048">
        <v>471000000000</v>
      </c>
      <c r="Q10" s="1048">
        <v>513000000000</v>
      </c>
      <c r="R10" s="1048">
        <v>613000000000</v>
      </c>
      <c r="S10" s="1048">
        <v>684000000000</v>
      </c>
      <c r="T10" s="1048">
        <v>636000000000</v>
      </c>
      <c r="U10" s="1048">
        <v>629000000000</v>
      </c>
      <c r="V10" s="1048">
        <v>660000000000</v>
      </c>
      <c r="W10" s="1048">
        <v>710000000000</v>
      </c>
      <c r="X10" s="1046">
        <v>767000000000</v>
      </c>
      <c r="Y10" s="1008">
        <v>822000000000</v>
      </c>
      <c r="Z10" s="1068">
        <v>893000000000</v>
      </c>
      <c r="AA10" s="90"/>
      <c r="AB10" s="151"/>
      <c r="AC10" s="151"/>
      <c r="AD10" s="151"/>
      <c r="AE10" s="151"/>
      <c r="AF10" s="151"/>
      <c r="AG10" s="151"/>
      <c r="AH10" s="410"/>
      <c r="AI10" s="365"/>
      <c r="AJ10" s="365"/>
      <c r="AK10" s="365"/>
      <c r="AL10" s="365"/>
      <c r="AM10" s="365"/>
      <c r="AN10" s="365"/>
      <c r="AO10" s="365"/>
    </row>
    <row r="11" spans="1:41" ht="16.5">
      <c r="A11" s="997" t="s">
        <v>1419</v>
      </c>
      <c r="B11" s="997" t="s">
        <v>1420</v>
      </c>
      <c r="C11" s="968" t="s">
        <v>7049</v>
      </c>
      <c r="D11" s="969"/>
      <c r="E11" s="969"/>
      <c r="F11" s="1050"/>
      <c r="G11" s="1050"/>
      <c r="H11" s="1050"/>
      <c r="I11" s="1050"/>
      <c r="J11" s="1050"/>
      <c r="K11" s="1050"/>
      <c r="L11" s="1050"/>
      <c r="M11" s="1050">
        <v>78000000000</v>
      </c>
      <c r="N11" s="1051">
        <v>83000000000</v>
      </c>
      <c r="O11" s="1051">
        <v>85000000000</v>
      </c>
      <c r="P11" s="1048">
        <v>97000000000</v>
      </c>
      <c r="Q11" s="1048">
        <v>110000000000</v>
      </c>
      <c r="R11" s="1048">
        <v>119000000000</v>
      </c>
      <c r="S11" s="1048">
        <v>104000000000</v>
      </c>
      <c r="T11" s="1048">
        <v>106000000000</v>
      </c>
      <c r="U11" s="1048">
        <v>128000000000</v>
      </c>
      <c r="V11" s="1048">
        <v>128000000000</v>
      </c>
      <c r="W11" s="1048">
        <v>146000000000</v>
      </c>
      <c r="X11" s="1046">
        <v>165000000000</v>
      </c>
      <c r="Y11" s="1008">
        <v>186000000000</v>
      </c>
      <c r="Z11" s="1068">
        <v>200000000000</v>
      </c>
      <c r="AA11" s="90"/>
      <c r="AB11" s="151"/>
      <c r="AC11" s="151"/>
      <c r="AD11" s="151"/>
      <c r="AE11" s="151"/>
      <c r="AF11" s="151"/>
      <c r="AG11" s="151"/>
      <c r="AH11" s="151"/>
      <c r="AI11" s="365"/>
      <c r="AJ11" s="365"/>
      <c r="AK11" s="365"/>
      <c r="AL11" s="365"/>
      <c r="AM11" s="365"/>
      <c r="AN11" s="365"/>
      <c r="AO11" s="365"/>
    </row>
    <row r="12" spans="1:41" ht="16.5">
      <c r="A12" s="997" t="s">
        <v>1421</v>
      </c>
      <c r="B12" s="997" t="s">
        <v>1422</v>
      </c>
      <c r="C12" s="968" t="s">
        <v>7049</v>
      </c>
      <c r="D12" s="969"/>
      <c r="E12" s="969"/>
      <c r="F12" s="1050"/>
      <c r="G12" s="1050"/>
      <c r="H12" s="1050"/>
      <c r="I12" s="1050"/>
      <c r="J12" s="1050"/>
      <c r="K12" s="1050"/>
      <c r="L12" s="1050"/>
      <c r="M12" s="1050">
        <v>601000000000</v>
      </c>
      <c r="N12" s="1051">
        <v>612000000000</v>
      </c>
      <c r="O12" s="1051">
        <v>701000000000</v>
      </c>
      <c r="P12" s="1048">
        <v>720000000000</v>
      </c>
      <c r="Q12" s="1048">
        <v>852000000000</v>
      </c>
      <c r="R12" s="1048">
        <v>938000000000</v>
      </c>
      <c r="S12" s="1048">
        <v>1024000000000</v>
      </c>
      <c r="T12" s="1048">
        <v>1152000000000</v>
      </c>
      <c r="U12" s="1048">
        <v>1177000000000</v>
      </c>
      <c r="V12" s="1048">
        <v>1330000000000</v>
      </c>
      <c r="W12" s="1048">
        <v>1468000000000</v>
      </c>
      <c r="X12" s="1046">
        <v>1603000000000</v>
      </c>
      <c r="Y12" s="1008">
        <v>1749000000000</v>
      </c>
      <c r="Z12" s="1068">
        <v>1898000000000</v>
      </c>
      <c r="AA12" s="90"/>
      <c r="AB12" s="151"/>
      <c r="AC12" s="410"/>
      <c r="AD12" s="410"/>
      <c r="AE12" s="410"/>
      <c r="AF12" s="410"/>
      <c r="AG12" s="410"/>
      <c r="AH12" s="410"/>
      <c r="AI12" s="365"/>
      <c r="AJ12" s="365"/>
      <c r="AK12" s="365"/>
      <c r="AL12" s="365"/>
      <c r="AM12" s="365"/>
      <c r="AN12" s="365"/>
      <c r="AO12" s="365"/>
    </row>
    <row r="13" spans="1:41" ht="16.5">
      <c r="A13" s="997" t="s">
        <v>643</v>
      </c>
      <c r="B13" s="997" t="s">
        <v>1423</v>
      </c>
      <c r="C13" s="968" t="s">
        <v>7049</v>
      </c>
      <c r="D13" s="969"/>
      <c r="E13" s="969"/>
      <c r="F13" s="1050"/>
      <c r="G13" s="1050"/>
      <c r="H13" s="1050"/>
      <c r="I13" s="1050"/>
      <c r="J13" s="1050"/>
      <c r="K13" s="1050"/>
      <c r="L13" s="1050"/>
      <c r="M13" s="1050">
        <v>236000000000</v>
      </c>
      <c r="N13" s="1051">
        <v>253000000000</v>
      </c>
      <c r="O13" s="1051">
        <v>274000000000</v>
      </c>
      <c r="P13" s="1048">
        <v>294000000000</v>
      </c>
      <c r="Q13" s="1048">
        <v>290000000000</v>
      </c>
      <c r="R13" s="1048">
        <v>357000000000</v>
      </c>
      <c r="S13" s="1048">
        <v>338000000000</v>
      </c>
      <c r="T13" s="1048">
        <v>348000000000</v>
      </c>
      <c r="U13" s="1048">
        <v>369000000000</v>
      </c>
      <c r="V13" s="1048">
        <v>411000000000</v>
      </c>
      <c r="W13" s="1048">
        <v>448000000000</v>
      </c>
      <c r="X13" s="1046">
        <v>489000000000</v>
      </c>
      <c r="Y13" s="1008">
        <v>537000000000</v>
      </c>
      <c r="Z13" s="1068">
        <v>591000000000</v>
      </c>
      <c r="AA13" s="90"/>
      <c r="AB13" s="151"/>
      <c r="AC13" s="151"/>
      <c r="AD13" s="151"/>
      <c r="AE13" s="151"/>
      <c r="AF13" s="151"/>
      <c r="AG13" s="151"/>
      <c r="AH13" s="151"/>
      <c r="AI13" s="365"/>
      <c r="AJ13" s="365"/>
      <c r="AK13" s="365"/>
      <c r="AL13" s="365"/>
      <c r="AM13" s="365"/>
      <c r="AN13" s="365"/>
      <c r="AO13" s="365"/>
    </row>
    <row r="14" spans="1:41" ht="16.5">
      <c r="A14" s="997" t="s">
        <v>188</v>
      </c>
      <c r="B14" s="997" t="s">
        <v>1424</v>
      </c>
      <c r="C14" s="968" t="s">
        <v>7049</v>
      </c>
      <c r="D14" s="969"/>
      <c r="E14" s="969"/>
      <c r="F14" s="1050"/>
      <c r="G14" s="1050"/>
      <c r="H14" s="1050"/>
      <c r="I14" s="1050"/>
      <c r="J14" s="1050"/>
      <c r="K14" s="1050"/>
      <c r="L14" s="1050"/>
      <c r="M14" s="1050">
        <v>82000000000</v>
      </c>
      <c r="N14" s="1051">
        <v>81000000000</v>
      </c>
      <c r="O14" s="1051">
        <v>88000000000</v>
      </c>
      <c r="P14" s="1048">
        <v>94000000000</v>
      </c>
      <c r="Q14" s="1048">
        <v>112000000000</v>
      </c>
      <c r="R14" s="1048">
        <v>119000000000</v>
      </c>
      <c r="S14" s="1048">
        <v>154000000000</v>
      </c>
      <c r="T14" s="1048">
        <v>146000000000</v>
      </c>
      <c r="U14" s="1048">
        <v>155000000000</v>
      </c>
      <c r="V14" s="1048">
        <v>168000000000</v>
      </c>
      <c r="W14" s="1048">
        <v>181000000000</v>
      </c>
      <c r="X14" s="1046">
        <v>198000000000</v>
      </c>
      <c r="Y14" s="1008">
        <v>218000000000</v>
      </c>
      <c r="Z14" s="1068">
        <v>242000000000</v>
      </c>
      <c r="AA14" s="90"/>
      <c r="AB14" s="151"/>
      <c r="AC14" s="151"/>
      <c r="AD14" s="151"/>
      <c r="AE14" s="151"/>
      <c r="AF14" s="151"/>
      <c r="AG14" s="151"/>
      <c r="AH14" s="151"/>
      <c r="AI14" s="365"/>
      <c r="AJ14" s="365"/>
      <c r="AK14" s="365"/>
      <c r="AL14" s="365"/>
      <c r="AM14" s="365"/>
      <c r="AN14" s="365"/>
      <c r="AO14" s="365"/>
    </row>
    <row r="15" spans="1:41" ht="16.5">
      <c r="A15" s="997" t="s">
        <v>1425</v>
      </c>
      <c r="B15" s="997" t="s">
        <v>1425</v>
      </c>
      <c r="C15" s="968" t="s">
        <v>7049</v>
      </c>
      <c r="D15" s="969"/>
      <c r="E15" s="969"/>
      <c r="F15" s="1050"/>
      <c r="G15" s="1050"/>
      <c r="H15" s="1050"/>
      <c r="I15" s="1050"/>
      <c r="J15" s="1050"/>
      <c r="K15" s="1050"/>
      <c r="L15" s="1050"/>
      <c r="M15" s="1050"/>
      <c r="N15" s="1051"/>
      <c r="O15" s="1051"/>
      <c r="P15" s="1048"/>
      <c r="Q15" s="1048"/>
      <c r="R15" s="1048">
        <v>0</v>
      </c>
      <c r="S15" s="1048">
        <v>143000000000</v>
      </c>
      <c r="T15" s="1048">
        <v>0</v>
      </c>
      <c r="U15" s="1048">
        <v>0</v>
      </c>
      <c r="V15" s="1048">
        <v>0</v>
      </c>
      <c r="W15" s="1048">
        <v>0</v>
      </c>
      <c r="X15" s="1046">
        <v>0</v>
      </c>
      <c r="Y15" s="1008">
        <v>0</v>
      </c>
      <c r="Z15" s="1068">
        <v>0</v>
      </c>
      <c r="AA15" s="90"/>
      <c r="AB15" s="151"/>
      <c r="AC15" s="151"/>
      <c r="AD15" s="151"/>
      <c r="AE15" s="151"/>
      <c r="AF15" s="151"/>
      <c r="AG15" s="151"/>
      <c r="AH15" s="151"/>
      <c r="AI15" s="365"/>
      <c r="AJ15" s="365"/>
      <c r="AK15" s="365"/>
      <c r="AL15" s="365"/>
      <c r="AM15" s="365"/>
      <c r="AN15" s="365"/>
      <c r="AO15" s="365"/>
    </row>
    <row r="16" spans="1:41" s="848" customFormat="1" ht="16.5">
      <c r="A16" s="1012" t="s">
        <v>53</v>
      </c>
      <c r="B16" s="1012" t="s">
        <v>1426</v>
      </c>
      <c r="C16" s="1058" t="s">
        <v>38</v>
      </c>
      <c r="D16" s="1013"/>
      <c r="E16" s="1013"/>
      <c r="F16" s="1054">
        <v>24000000000</v>
      </c>
      <c r="G16" s="1054">
        <v>58000000000</v>
      </c>
      <c r="H16" s="1055">
        <v>19000000000</v>
      </c>
      <c r="I16" s="1055">
        <v>47000000000</v>
      </c>
      <c r="J16" s="1055">
        <v>2664000000000</v>
      </c>
      <c r="K16" s="1055">
        <v>118000000000</v>
      </c>
      <c r="L16" s="1055">
        <v>92000000000</v>
      </c>
      <c r="M16" s="1055">
        <v>87000000000</v>
      </c>
      <c r="N16" s="1055">
        <v>71000000000</v>
      </c>
      <c r="O16" s="1059">
        <v>60000000000</v>
      </c>
      <c r="P16" s="1054">
        <v>56000000000</v>
      </c>
      <c r="Q16" s="1054">
        <v>46000000000</v>
      </c>
      <c r="R16" s="1054">
        <v>45000000000</v>
      </c>
      <c r="S16" s="1054">
        <v>11000000000</v>
      </c>
      <c r="T16" s="1054">
        <v>54000000000</v>
      </c>
      <c r="U16" s="1054">
        <v>69000000000</v>
      </c>
      <c r="V16" s="1054">
        <v>64000000000</v>
      </c>
      <c r="W16" s="1054">
        <v>60000000000</v>
      </c>
      <c r="X16" s="1056">
        <v>58000000000</v>
      </c>
      <c r="Y16" s="1018">
        <v>57000000000</v>
      </c>
      <c r="Z16" s="1067">
        <v>55000000000</v>
      </c>
      <c r="AA16" s="909"/>
      <c r="AB16" s="1060"/>
      <c r="AC16" s="1060"/>
      <c r="AD16" s="1060"/>
      <c r="AE16" s="1060"/>
      <c r="AF16" s="1060"/>
      <c r="AG16" s="1060"/>
      <c r="AH16" s="1060"/>
      <c r="AI16" s="916"/>
      <c r="AJ16" s="916"/>
      <c r="AK16" s="916"/>
      <c r="AL16" s="916"/>
      <c r="AM16" s="916"/>
      <c r="AN16" s="916"/>
      <c r="AO16" s="916"/>
    </row>
    <row r="17" spans="1:41" ht="16.5">
      <c r="A17" s="988" t="s">
        <v>1427</v>
      </c>
      <c r="B17" s="988" t="s">
        <v>1427</v>
      </c>
      <c r="C17" s="982" t="s">
        <v>57</v>
      </c>
      <c r="D17" s="969"/>
      <c r="E17" s="969"/>
      <c r="F17" s="1051"/>
      <c r="G17" s="1051"/>
      <c r="H17" s="1051"/>
      <c r="I17" s="1051"/>
      <c r="J17" s="1051"/>
      <c r="K17" s="1050">
        <v>23000000000</v>
      </c>
      <c r="L17" s="1050">
        <v>26000000000</v>
      </c>
      <c r="M17" s="1050">
        <v>28000000000</v>
      </c>
      <c r="N17" s="1051">
        <v>10000000000</v>
      </c>
      <c r="O17" s="1051">
        <v>8000000000</v>
      </c>
      <c r="P17" s="1048">
        <v>13000000000</v>
      </c>
      <c r="Q17" s="1048">
        <v>6000000000</v>
      </c>
      <c r="R17" s="1048">
        <v>6000000000</v>
      </c>
      <c r="S17" s="1048">
        <v>11000000000</v>
      </c>
      <c r="T17" s="1048">
        <v>36000000000</v>
      </c>
      <c r="U17" s="1048">
        <v>36000000000</v>
      </c>
      <c r="V17" s="1048">
        <v>36000000000</v>
      </c>
      <c r="W17" s="1048">
        <v>36000000000</v>
      </c>
      <c r="X17" s="1046">
        <v>36000000000</v>
      </c>
      <c r="Y17" s="1008">
        <v>36000000000</v>
      </c>
      <c r="Z17" s="1068">
        <v>36000000000</v>
      </c>
      <c r="AA17" s="90"/>
      <c r="AB17" s="151"/>
      <c r="AC17" s="151"/>
      <c r="AD17" s="151"/>
      <c r="AE17" s="151"/>
      <c r="AF17" s="151"/>
      <c r="AG17" s="151"/>
      <c r="AH17" s="151"/>
      <c r="AI17" s="365"/>
      <c r="AJ17" s="365"/>
      <c r="AK17" s="365"/>
      <c r="AL17" s="365"/>
      <c r="AM17" s="365"/>
      <c r="AN17" s="365"/>
      <c r="AO17" s="365"/>
    </row>
    <row r="18" spans="1:41">
      <c r="A18" s="988" t="s">
        <v>1428</v>
      </c>
      <c r="B18" s="988" t="s">
        <v>1428</v>
      </c>
      <c r="C18" s="982" t="s">
        <v>57</v>
      </c>
      <c r="D18" s="969"/>
      <c r="E18" s="969"/>
      <c r="F18" s="1051"/>
      <c r="G18" s="1051"/>
      <c r="H18" s="1051"/>
      <c r="I18" s="1051"/>
      <c r="J18" s="1051"/>
      <c r="K18" s="1050">
        <v>0</v>
      </c>
      <c r="L18" s="1050">
        <v>0</v>
      </c>
      <c r="M18" s="1051"/>
      <c r="N18" s="1051"/>
      <c r="O18" s="1051"/>
      <c r="P18" s="1048"/>
      <c r="Q18" s="1048"/>
      <c r="R18" s="1048"/>
      <c r="S18" s="1048"/>
      <c r="T18" s="1048"/>
      <c r="U18" s="1048"/>
      <c r="V18" s="1048"/>
      <c r="W18" s="1048"/>
      <c r="X18" s="1046"/>
      <c r="Y18" s="1008"/>
      <c r="Z18" s="1010"/>
      <c r="AI18" s="365"/>
      <c r="AJ18" s="365"/>
      <c r="AK18" s="365"/>
      <c r="AL18" s="365"/>
      <c r="AM18" s="365"/>
      <c r="AN18" s="365"/>
      <c r="AO18" s="365"/>
    </row>
    <row r="19" spans="1:41" ht="16.5">
      <c r="A19" s="988" t="s">
        <v>236</v>
      </c>
      <c r="B19" s="988" t="s">
        <v>1429</v>
      </c>
      <c r="C19" s="982" t="s">
        <v>57</v>
      </c>
      <c r="D19" s="969"/>
      <c r="E19" s="969"/>
      <c r="F19" s="1051"/>
      <c r="G19" s="1051"/>
      <c r="H19" s="1051"/>
      <c r="I19" s="1051"/>
      <c r="J19" s="1051"/>
      <c r="K19" s="1050">
        <v>95000000000</v>
      </c>
      <c r="L19" s="1050">
        <v>66000000000</v>
      </c>
      <c r="M19" s="1050">
        <v>59000000000</v>
      </c>
      <c r="N19" s="1051">
        <v>62000000000</v>
      </c>
      <c r="O19" s="1051">
        <v>53000000000</v>
      </c>
      <c r="P19" s="1048">
        <v>43000000000</v>
      </c>
      <c r="Q19" s="1048">
        <v>40000000000</v>
      </c>
      <c r="R19" s="1048">
        <v>39000000000</v>
      </c>
      <c r="S19" s="1048">
        <v>0</v>
      </c>
      <c r="T19" s="1048">
        <v>18000000000</v>
      </c>
      <c r="U19" s="1048">
        <v>32000000000</v>
      </c>
      <c r="V19" s="1048">
        <v>28000000000</v>
      </c>
      <c r="W19" s="1048">
        <v>23000000000</v>
      </c>
      <c r="X19" s="1046">
        <v>22000000000</v>
      </c>
      <c r="Y19" s="1008">
        <v>20000000000</v>
      </c>
      <c r="Z19" s="1068">
        <v>19000000000</v>
      </c>
      <c r="AA19" s="90"/>
      <c r="AB19" s="151"/>
      <c r="AC19" s="151"/>
      <c r="AD19" s="151"/>
      <c r="AE19" s="151"/>
      <c r="AF19" s="151"/>
      <c r="AG19" s="151"/>
      <c r="AH19" s="151"/>
      <c r="AI19" s="365"/>
      <c r="AJ19" s="365"/>
      <c r="AK19" s="365"/>
      <c r="AL19" s="365"/>
      <c r="AM19" s="365"/>
      <c r="AN19" s="365"/>
      <c r="AO19" s="365"/>
    </row>
    <row r="20" spans="1:41" ht="16.5">
      <c r="A20" s="972" t="s">
        <v>76</v>
      </c>
      <c r="B20" s="981" t="s">
        <v>1382</v>
      </c>
      <c r="F20" s="1048">
        <v>1232000000000</v>
      </c>
      <c r="G20" s="1048">
        <v>1285000000000</v>
      </c>
      <c r="H20" s="1050">
        <v>1331000000000</v>
      </c>
      <c r="I20" s="1050">
        <v>1278000000000</v>
      </c>
      <c r="J20" s="1050">
        <v>1366000000000</v>
      </c>
      <c r="K20" s="1050">
        <v>1542000000000</v>
      </c>
      <c r="L20" s="1050">
        <v>1966000000000</v>
      </c>
      <c r="M20" s="1050">
        <v>1931000000000</v>
      </c>
      <c r="N20" s="1050">
        <v>2067000000000</v>
      </c>
      <c r="O20" s="1051">
        <v>2603000000000</v>
      </c>
      <c r="P20" s="1048">
        <v>2641000000000</v>
      </c>
      <c r="Q20" s="1048">
        <v>3200000000000</v>
      </c>
      <c r="R20" s="1048"/>
      <c r="S20" s="1048"/>
      <c r="T20" s="1048"/>
      <c r="U20" s="1048"/>
      <c r="V20" s="1048"/>
      <c r="W20" s="1048"/>
      <c r="X20" s="1000"/>
      <c r="Y20" s="1008"/>
      <c r="Z20" s="1068"/>
      <c r="AA20" s="90"/>
      <c r="AB20" s="410"/>
      <c r="AC20" s="410"/>
      <c r="AD20" s="410"/>
      <c r="AE20" s="410"/>
      <c r="AF20" s="410"/>
      <c r="AG20" s="410"/>
      <c r="AH20" s="410"/>
      <c r="AI20" s="365"/>
      <c r="AJ20" s="365"/>
      <c r="AK20" s="365"/>
      <c r="AL20" s="365"/>
      <c r="AM20" s="365"/>
      <c r="AN20" s="365"/>
      <c r="AO20" s="365"/>
    </row>
    <row r="21" spans="1:41" s="848" customFormat="1">
      <c r="A21" s="1012" t="s">
        <v>198</v>
      </c>
      <c r="B21" s="1012" t="s">
        <v>1430</v>
      </c>
      <c r="C21" s="1013" t="s">
        <v>35</v>
      </c>
      <c r="D21" s="1013"/>
      <c r="E21" s="1013"/>
      <c r="F21" s="1054">
        <f>F22+F34+F40+F41</f>
        <v>1231000000000</v>
      </c>
      <c r="G21" s="1054">
        <f t="shared" ref="G21:Z21" si="0">G22+G34+G40+G41</f>
        <v>1285000000000</v>
      </c>
      <c r="H21" s="1054">
        <f t="shared" si="0"/>
        <v>1336000000000</v>
      </c>
      <c r="I21" s="1054">
        <f t="shared" si="0"/>
        <v>1261000000000</v>
      </c>
      <c r="J21" s="1054">
        <f t="shared" si="0"/>
        <v>1370000000000</v>
      </c>
      <c r="K21" s="1054">
        <f t="shared" si="0"/>
        <v>1554000000000</v>
      </c>
      <c r="L21" s="1054">
        <f t="shared" si="0"/>
        <v>1984000000000</v>
      </c>
      <c r="M21" s="1054">
        <f t="shared" si="0"/>
        <v>1931000000000</v>
      </c>
      <c r="N21" s="1054">
        <f t="shared" si="0"/>
        <v>2067000000000</v>
      </c>
      <c r="O21" s="1054">
        <f t="shared" si="0"/>
        <v>2603000000000</v>
      </c>
      <c r="P21" s="1054">
        <f t="shared" si="0"/>
        <v>2641000000000</v>
      </c>
      <c r="Q21" s="1054">
        <f t="shared" si="0"/>
        <v>3200000000000</v>
      </c>
      <c r="R21" s="1054">
        <f t="shared" si="0"/>
        <v>3605000000000</v>
      </c>
      <c r="S21" s="1054">
        <f t="shared" si="0"/>
        <v>3822000000000</v>
      </c>
      <c r="T21" s="1054">
        <f t="shared" si="0"/>
        <v>4044000000000</v>
      </c>
      <c r="U21" s="1054">
        <f t="shared" si="0"/>
        <v>3514000000000</v>
      </c>
      <c r="V21" s="1054">
        <f t="shared" si="0"/>
        <v>3624000000000</v>
      </c>
      <c r="W21" s="1054">
        <f t="shared" si="0"/>
        <v>3797000000000</v>
      </c>
      <c r="X21" s="1054">
        <f t="shared" si="0"/>
        <v>4027000000000</v>
      </c>
      <c r="Y21" s="1054">
        <f t="shared" si="0"/>
        <v>4261000000000</v>
      </c>
      <c r="Z21" s="1054">
        <f t="shared" si="0"/>
        <v>4567000000000</v>
      </c>
      <c r="AI21" s="916"/>
      <c r="AJ21" s="916"/>
      <c r="AK21" s="916"/>
      <c r="AL21" s="916"/>
      <c r="AM21" s="916"/>
      <c r="AN21" s="916"/>
      <c r="AO21" s="916"/>
    </row>
    <row r="22" spans="1:41" ht="16.5">
      <c r="A22" s="996" t="s">
        <v>73</v>
      </c>
      <c r="B22" s="981" t="s">
        <v>1431</v>
      </c>
      <c r="C22" s="981" t="s">
        <v>201</v>
      </c>
      <c r="D22" s="969"/>
      <c r="E22" s="969"/>
      <c r="F22" s="1048">
        <v>1017000000000</v>
      </c>
      <c r="G22" s="1048">
        <v>1051000000000</v>
      </c>
      <c r="H22" s="1050">
        <v>1169000000000</v>
      </c>
      <c r="I22" s="1050">
        <v>1055000000000</v>
      </c>
      <c r="J22" s="1050">
        <v>1097000000000</v>
      </c>
      <c r="K22" s="1050">
        <v>1151000000000</v>
      </c>
      <c r="L22" s="1050">
        <v>1395000000000</v>
      </c>
      <c r="M22" s="1050">
        <v>1490000000000</v>
      </c>
      <c r="N22" s="1051">
        <v>1611000000000</v>
      </c>
      <c r="O22" s="1051">
        <v>1842000000000</v>
      </c>
      <c r="P22" s="1048">
        <v>1807000000000</v>
      </c>
      <c r="Q22" s="1048">
        <v>2133000000000</v>
      </c>
      <c r="R22" s="1048">
        <v>2286000000000</v>
      </c>
      <c r="S22" s="1048">
        <v>2433000000000</v>
      </c>
      <c r="T22" s="1048">
        <v>2406000000000</v>
      </c>
      <c r="U22" s="1048">
        <v>2225000000000</v>
      </c>
      <c r="V22" s="1048">
        <v>2332000000000</v>
      </c>
      <c r="W22" s="1048">
        <v>2451000000000</v>
      </c>
      <c r="X22" s="1046">
        <v>2594000000000</v>
      </c>
      <c r="Y22" s="1008">
        <v>2750000000000</v>
      </c>
      <c r="Z22" s="1068">
        <v>2944000000000</v>
      </c>
      <c r="AA22" s="90"/>
      <c r="AB22" s="410"/>
      <c r="AC22" s="410"/>
      <c r="AD22" s="410"/>
      <c r="AE22" s="410"/>
      <c r="AF22" s="410"/>
      <c r="AG22" s="410"/>
      <c r="AH22" s="410"/>
      <c r="AI22" s="365"/>
      <c r="AJ22" s="365"/>
      <c r="AK22" s="365"/>
      <c r="AL22" s="365"/>
      <c r="AM22" s="365"/>
      <c r="AN22" s="365"/>
      <c r="AO22" s="365"/>
    </row>
    <row r="23" spans="1:41" ht="16.5">
      <c r="A23" s="988" t="s">
        <v>79</v>
      </c>
      <c r="B23" s="988" t="s">
        <v>1432</v>
      </c>
      <c r="C23" s="981" t="s">
        <v>204</v>
      </c>
      <c r="D23" s="969"/>
      <c r="E23" s="969"/>
      <c r="F23" s="1048">
        <v>395000000000</v>
      </c>
      <c r="G23" s="1048">
        <v>438000000000</v>
      </c>
      <c r="H23" s="1050">
        <v>450000000000</v>
      </c>
      <c r="I23" s="1050">
        <v>414000000000</v>
      </c>
      <c r="J23" s="1050">
        <v>419000000000</v>
      </c>
      <c r="K23" s="1050">
        <v>435000000000</v>
      </c>
      <c r="L23" s="1050">
        <v>561000000000</v>
      </c>
      <c r="M23" s="1050">
        <v>629000000000</v>
      </c>
      <c r="N23" s="1051">
        <v>634000000000</v>
      </c>
      <c r="O23" s="1051">
        <v>685000000000</v>
      </c>
      <c r="P23" s="1048">
        <v>706000000000</v>
      </c>
      <c r="Q23" s="1048">
        <v>790000000000</v>
      </c>
      <c r="R23" s="1048">
        <v>852000000000</v>
      </c>
      <c r="S23" s="1048">
        <v>917000000000</v>
      </c>
      <c r="T23" s="1048">
        <v>948000000000</v>
      </c>
      <c r="U23" s="1048">
        <v>975000000000</v>
      </c>
      <c r="V23" s="1048">
        <v>1024000000000</v>
      </c>
      <c r="W23" s="1048">
        <v>1100000000000</v>
      </c>
      <c r="X23" s="1046">
        <v>1173000000000</v>
      </c>
      <c r="Y23" s="1008">
        <v>1263000000000</v>
      </c>
      <c r="Z23" s="1068">
        <v>1361000000000</v>
      </c>
      <c r="AA23" s="90"/>
      <c r="AB23" s="151"/>
      <c r="AC23" s="151"/>
      <c r="AD23" s="151"/>
      <c r="AE23" s="410"/>
      <c r="AF23" s="410"/>
      <c r="AG23" s="410"/>
      <c r="AH23" s="410"/>
      <c r="AI23" s="365"/>
      <c r="AJ23" s="365"/>
      <c r="AK23" s="365"/>
      <c r="AL23" s="365"/>
      <c r="AM23" s="365"/>
      <c r="AN23" s="365"/>
      <c r="AO23" s="365"/>
    </row>
    <row r="24" spans="1:41" ht="16.5">
      <c r="A24" s="988" t="s">
        <v>83</v>
      </c>
      <c r="B24" s="988" t="s">
        <v>1433</v>
      </c>
      <c r="C24" s="981" t="s">
        <v>204</v>
      </c>
      <c r="D24" s="969"/>
      <c r="E24" s="969"/>
      <c r="F24" s="1048">
        <v>310000000000</v>
      </c>
      <c r="G24" s="1048">
        <v>319000000000</v>
      </c>
      <c r="H24" s="1050">
        <v>414000000000</v>
      </c>
      <c r="I24" s="1050">
        <v>337000000000</v>
      </c>
      <c r="J24" s="1050">
        <v>381000000000</v>
      </c>
      <c r="K24" s="1050">
        <v>436000000000</v>
      </c>
      <c r="L24" s="1050">
        <v>512000000000</v>
      </c>
      <c r="M24" s="1050">
        <v>540000000000</v>
      </c>
      <c r="N24" s="1051">
        <v>613000000000</v>
      </c>
      <c r="O24" s="1051">
        <v>550000000000</v>
      </c>
      <c r="P24" s="1048">
        <v>575000000000</v>
      </c>
      <c r="Q24" s="1048">
        <v>677000000000</v>
      </c>
      <c r="R24" s="1048">
        <v>768000000000</v>
      </c>
      <c r="S24" s="1048">
        <v>841000000000</v>
      </c>
      <c r="T24" s="1048">
        <v>829000000000</v>
      </c>
      <c r="U24" s="1048">
        <v>680000000000</v>
      </c>
      <c r="V24" s="1048">
        <v>761000000000</v>
      </c>
      <c r="W24" s="1048">
        <v>791000000000</v>
      </c>
      <c r="X24" s="1046">
        <v>845000000000</v>
      </c>
      <c r="Y24" s="1008">
        <v>893000000000</v>
      </c>
      <c r="Z24" s="1068">
        <v>955000000000</v>
      </c>
      <c r="AA24" s="90"/>
      <c r="AB24" s="151"/>
      <c r="AC24" s="151"/>
      <c r="AD24" s="151"/>
      <c r="AE24" s="410"/>
      <c r="AF24" s="410"/>
      <c r="AG24" s="410"/>
      <c r="AH24" s="410"/>
      <c r="AI24" s="365"/>
      <c r="AJ24" s="365"/>
      <c r="AK24" s="365"/>
      <c r="AL24" s="365"/>
      <c r="AM24" s="365"/>
      <c r="AN24" s="365"/>
      <c r="AO24" s="365"/>
    </row>
    <row r="25" spans="1:41">
      <c r="A25" s="997" t="s">
        <v>1434</v>
      </c>
      <c r="B25" s="997" t="s">
        <v>1435</v>
      </c>
      <c r="C25" s="968" t="s">
        <v>1436</v>
      </c>
      <c r="D25" s="969"/>
      <c r="E25" s="969"/>
      <c r="F25" s="1050"/>
      <c r="G25" s="1050"/>
      <c r="H25" s="1050">
        <v>33000000000</v>
      </c>
      <c r="I25" s="1050">
        <v>22000000000</v>
      </c>
      <c r="J25" s="1050">
        <v>19000000000</v>
      </c>
      <c r="K25" s="1050">
        <v>17000000000</v>
      </c>
      <c r="L25" s="1050"/>
      <c r="M25" s="1050"/>
      <c r="N25" s="1051"/>
      <c r="O25" s="1051"/>
      <c r="P25" s="1048"/>
      <c r="Q25" s="1048"/>
      <c r="R25" s="1048"/>
      <c r="S25" s="1048"/>
      <c r="T25" s="1048"/>
      <c r="U25" s="1048"/>
      <c r="V25" s="1048"/>
      <c r="W25" s="1048"/>
      <c r="X25" s="1046"/>
      <c r="Y25" s="1008"/>
      <c r="Z25" s="1010"/>
      <c r="AI25" s="365"/>
      <c r="AJ25" s="365"/>
      <c r="AK25" s="365"/>
      <c r="AL25" s="365"/>
      <c r="AM25" s="365"/>
      <c r="AN25" s="365"/>
      <c r="AO25" s="365"/>
    </row>
    <row r="26" spans="1:41">
      <c r="A26" s="997" t="s">
        <v>50</v>
      </c>
      <c r="B26" s="997" t="s">
        <v>50</v>
      </c>
      <c r="C26" s="968" t="s">
        <v>1436</v>
      </c>
      <c r="D26" s="969"/>
      <c r="E26" s="969"/>
      <c r="F26" s="1050"/>
      <c r="G26" s="1050"/>
      <c r="H26" s="1050">
        <f>H24-H25</f>
        <v>381000000000</v>
      </c>
      <c r="I26" s="1050">
        <f>I24-I25</f>
        <v>315000000000</v>
      </c>
      <c r="J26" s="1050">
        <v>362000000000</v>
      </c>
      <c r="K26" s="1050">
        <v>418000000000</v>
      </c>
      <c r="L26" s="1050"/>
      <c r="M26" s="1050"/>
      <c r="N26" s="1051"/>
      <c r="O26" s="1051"/>
      <c r="P26" s="1048"/>
      <c r="Q26" s="1048"/>
      <c r="R26" s="1048"/>
      <c r="S26" s="1048"/>
      <c r="T26" s="1048"/>
      <c r="U26" s="1048"/>
      <c r="V26" s="1048"/>
      <c r="W26" s="1048"/>
      <c r="X26" s="1046"/>
      <c r="Y26" s="1008"/>
      <c r="Z26" s="1010"/>
      <c r="AI26" s="365"/>
      <c r="AJ26" s="365"/>
      <c r="AK26" s="365"/>
      <c r="AL26" s="365"/>
      <c r="AM26" s="365"/>
      <c r="AN26" s="365"/>
      <c r="AO26" s="365"/>
    </row>
    <row r="27" spans="1:41" ht="16.5">
      <c r="A27" s="988" t="s">
        <v>1437</v>
      </c>
      <c r="B27" s="988" t="s">
        <v>1438</v>
      </c>
      <c r="C27" s="981" t="s">
        <v>204</v>
      </c>
      <c r="D27" s="969"/>
      <c r="E27" s="969"/>
      <c r="F27" s="1048">
        <v>113000000000</v>
      </c>
      <c r="G27" s="1048">
        <v>129000000000</v>
      </c>
      <c r="H27" s="1050">
        <v>141000000000</v>
      </c>
      <c r="I27" s="1050">
        <v>175000000000</v>
      </c>
      <c r="J27" s="1050">
        <v>211000000000</v>
      </c>
      <c r="K27" s="1050">
        <v>230000000000</v>
      </c>
      <c r="L27" s="1050">
        <v>286000000000</v>
      </c>
      <c r="M27" s="1050">
        <v>289000000000</v>
      </c>
      <c r="N27" s="1051">
        <v>331000000000</v>
      </c>
      <c r="O27" s="1051">
        <v>563000000000</v>
      </c>
      <c r="P27" s="1048">
        <v>474000000000</v>
      </c>
      <c r="Q27" s="1048">
        <v>608000000000</v>
      </c>
      <c r="R27" s="1048">
        <v>597000000000</v>
      </c>
      <c r="S27" s="1048">
        <v>604000000000</v>
      </c>
      <c r="T27" s="1048">
        <v>485000000000</v>
      </c>
      <c r="U27" s="1048">
        <v>368000000000</v>
      </c>
      <c r="V27" s="1048">
        <v>380000000000</v>
      </c>
      <c r="W27" s="1048">
        <v>403000000000</v>
      </c>
      <c r="X27" s="1046">
        <v>430000000000</v>
      </c>
      <c r="Y27" s="1008">
        <v>452000000000</v>
      </c>
      <c r="Z27" s="1068">
        <v>472000000000</v>
      </c>
      <c r="AA27" s="90"/>
      <c r="AB27" s="151"/>
      <c r="AC27" s="151"/>
      <c r="AD27" s="151"/>
      <c r="AE27" s="151"/>
      <c r="AF27" s="151"/>
      <c r="AG27" s="151"/>
      <c r="AH27" s="151"/>
      <c r="AI27" s="365"/>
      <c r="AJ27" s="365"/>
      <c r="AK27" s="365"/>
      <c r="AL27" s="365"/>
      <c r="AM27" s="365"/>
      <c r="AN27" s="365"/>
      <c r="AO27" s="365"/>
    </row>
    <row r="28" spans="1:41" ht="16.5">
      <c r="A28" s="997" t="s">
        <v>1439</v>
      </c>
      <c r="B28" s="997" t="s">
        <v>1440</v>
      </c>
      <c r="C28" s="968" t="s">
        <v>1441</v>
      </c>
      <c r="D28" s="969"/>
      <c r="E28" s="969"/>
      <c r="F28" s="1050"/>
      <c r="G28" s="1050"/>
      <c r="H28" s="1050"/>
      <c r="I28" s="1050">
        <v>17000000000</v>
      </c>
      <c r="J28" s="1050">
        <v>22000000000</v>
      </c>
      <c r="K28" s="1050">
        <v>16000000000</v>
      </c>
      <c r="L28" s="1050">
        <v>58000000000</v>
      </c>
      <c r="M28" s="1050">
        <v>18000000000</v>
      </c>
      <c r="N28" s="1051">
        <v>17000000000</v>
      </c>
      <c r="O28" s="1051">
        <v>117000000000</v>
      </c>
      <c r="P28" s="1048">
        <v>103000000000</v>
      </c>
      <c r="Q28" s="1048">
        <v>207000000000</v>
      </c>
      <c r="R28" s="1048"/>
      <c r="S28" s="1048"/>
      <c r="T28" s="1048"/>
      <c r="U28" s="1048"/>
      <c r="V28" s="1048"/>
      <c r="W28" s="1048"/>
      <c r="X28" s="1046"/>
      <c r="Y28" s="1008"/>
      <c r="Z28" s="1068"/>
      <c r="AA28" s="525"/>
      <c r="AB28" s="151"/>
      <c r="AC28" s="151"/>
      <c r="AD28" s="151"/>
      <c r="AE28" s="151"/>
      <c r="AF28" s="151"/>
      <c r="AG28" s="151"/>
      <c r="AH28" s="151"/>
      <c r="AI28" s="365"/>
      <c r="AJ28" s="365"/>
      <c r="AK28" s="365"/>
      <c r="AL28" s="365"/>
      <c r="AM28" s="365"/>
      <c r="AN28" s="365"/>
      <c r="AO28" s="365"/>
    </row>
    <row r="29" spans="1:41" ht="16.5">
      <c r="A29" s="997" t="s">
        <v>87</v>
      </c>
      <c r="B29" s="997" t="s">
        <v>87</v>
      </c>
      <c r="C29" s="968" t="s">
        <v>1441</v>
      </c>
      <c r="D29" s="969"/>
      <c r="E29" s="969"/>
      <c r="F29" s="1050"/>
      <c r="G29" s="1050"/>
      <c r="H29" s="1050">
        <v>64000000000</v>
      </c>
      <c r="I29" s="1050">
        <v>77000000000</v>
      </c>
      <c r="J29" s="1050">
        <v>72000000000</v>
      </c>
      <c r="K29" s="1050">
        <v>84000000000</v>
      </c>
      <c r="L29" s="1050">
        <v>94000000000</v>
      </c>
      <c r="M29" s="1050">
        <v>104000000000</v>
      </c>
      <c r="N29" s="1051">
        <v>117000000000</v>
      </c>
      <c r="O29" s="1051">
        <v>138000000000</v>
      </c>
      <c r="P29" s="1048">
        <v>137000000000</v>
      </c>
      <c r="Q29" s="1048">
        <v>154000000000</v>
      </c>
      <c r="R29" s="1048"/>
      <c r="S29" s="1048"/>
      <c r="T29" s="1048"/>
      <c r="U29" s="1048"/>
      <c r="V29" s="1048"/>
      <c r="W29" s="1048"/>
      <c r="X29" s="1046"/>
      <c r="Y29" s="1008"/>
      <c r="Z29" s="1068"/>
      <c r="AA29" s="90"/>
      <c r="AB29" s="151"/>
      <c r="AC29" s="151"/>
      <c r="AD29" s="151"/>
      <c r="AE29" s="151"/>
      <c r="AF29" s="151"/>
      <c r="AG29" s="151"/>
      <c r="AH29" s="151"/>
      <c r="AI29" s="365"/>
      <c r="AJ29" s="365"/>
      <c r="AK29" s="365"/>
      <c r="AL29" s="365"/>
      <c r="AM29" s="365"/>
      <c r="AN29" s="365"/>
      <c r="AO29" s="365"/>
    </row>
    <row r="30" spans="1:41" ht="16.5">
      <c r="A30" s="997" t="s">
        <v>50</v>
      </c>
      <c r="B30" s="997" t="s">
        <v>50</v>
      </c>
      <c r="C30" s="968" t="s">
        <v>1441</v>
      </c>
      <c r="D30" s="969"/>
      <c r="E30" s="969"/>
      <c r="F30" s="1050"/>
      <c r="G30" s="1050"/>
      <c r="H30" s="1061">
        <f t="shared" ref="H30:M30" si="1">H27-H28-H29</f>
        <v>77000000000</v>
      </c>
      <c r="I30" s="1061">
        <f t="shared" si="1"/>
        <v>81000000000</v>
      </c>
      <c r="J30" s="1061">
        <f t="shared" si="1"/>
        <v>117000000000</v>
      </c>
      <c r="K30" s="1061">
        <f t="shared" si="1"/>
        <v>130000000000</v>
      </c>
      <c r="L30" s="1061">
        <f t="shared" si="1"/>
        <v>134000000000</v>
      </c>
      <c r="M30" s="1061">
        <f t="shared" si="1"/>
        <v>167000000000</v>
      </c>
      <c r="N30" s="1051">
        <v>197000000000</v>
      </c>
      <c r="O30" s="1051">
        <v>308000000000</v>
      </c>
      <c r="P30" s="1048">
        <v>234000000000</v>
      </c>
      <c r="Q30" s="1048">
        <v>247000000000</v>
      </c>
      <c r="R30" s="1048"/>
      <c r="S30" s="1048"/>
      <c r="T30" s="1048"/>
      <c r="U30" s="1048"/>
      <c r="V30" s="1048"/>
      <c r="W30" s="1048"/>
      <c r="X30" s="1046"/>
      <c r="Y30" s="1008"/>
      <c r="Z30" s="1068"/>
      <c r="AA30" s="90"/>
      <c r="AB30" s="151"/>
      <c r="AC30" s="151"/>
      <c r="AD30" s="151"/>
      <c r="AE30" s="151"/>
      <c r="AF30" s="151"/>
      <c r="AG30" s="151"/>
      <c r="AH30" s="151"/>
      <c r="AI30" s="365"/>
      <c r="AJ30" s="365"/>
      <c r="AK30" s="365"/>
      <c r="AL30" s="365"/>
      <c r="AM30" s="365"/>
      <c r="AN30" s="365"/>
      <c r="AO30" s="365"/>
    </row>
    <row r="31" spans="1:41" ht="16.5">
      <c r="A31" s="988" t="s">
        <v>91</v>
      </c>
      <c r="B31" s="988" t="s">
        <v>91</v>
      </c>
      <c r="C31" s="981" t="s">
        <v>204</v>
      </c>
      <c r="D31" s="969"/>
      <c r="E31" s="969"/>
      <c r="F31" s="1048">
        <v>199000000000</v>
      </c>
      <c r="G31" s="1048">
        <v>166000000000</v>
      </c>
      <c r="H31" s="1050">
        <v>164000000000</v>
      </c>
      <c r="I31" s="1050">
        <v>129000000000</v>
      </c>
      <c r="J31" s="1050">
        <v>87000000000</v>
      </c>
      <c r="K31" s="1050">
        <v>50000000000</v>
      </c>
      <c r="L31" s="1050">
        <v>36000000000</v>
      </c>
      <c r="M31" s="1050">
        <v>33000000000</v>
      </c>
      <c r="N31" s="1051">
        <v>33000000000</v>
      </c>
      <c r="O31" s="1051">
        <v>45000000000</v>
      </c>
      <c r="P31" s="1048">
        <v>51000000000</v>
      </c>
      <c r="Q31" s="1048">
        <v>58000000000</v>
      </c>
      <c r="R31" s="1048">
        <v>69000000000</v>
      </c>
      <c r="S31" s="1048">
        <v>70000000000</v>
      </c>
      <c r="T31" s="1048">
        <v>145000000000</v>
      </c>
      <c r="U31" s="1048">
        <v>203000000000</v>
      </c>
      <c r="V31" s="1048">
        <v>167000000000</v>
      </c>
      <c r="W31" s="1048">
        <v>157000000000</v>
      </c>
      <c r="X31" s="1046">
        <v>145000000000</v>
      </c>
      <c r="Y31" s="1008">
        <v>141000000000</v>
      </c>
      <c r="Z31" s="1068">
        <v>156000000000</v>
      </c>
      <c r="AA31" s="90"/>
      <c r="AB31" s="151"/>
      <c r="AC31" s="151"/>
      <c r="AD31" s="151"/>
      <c r="AE31" s="151"/>
      <c r="AF31" s="151"/>
      <c r="AG31" s="151"/>
      <c r="AH31" s="151"/>
      <c r="AI31" s="365"/>
      <c r="AJ31" s="365"/>
      <c r="AK31" s="365"/>
      <c r="AL31" s="365"/>
      <c r="AM31" s="365"/>
      <c r="AN31" s="365"/>
      <c r="AO31" s="365"/>
    </row>
    <row r="32" spans="1:41" ht="16.5">
      <c r="A32" s="997" t="s">
        <v>280</v>
      </c>
      <c r="B32" s="997" t="s">
        <v>280</v>
      </c>
      <c r="C32" s="968" t="s">
        <v>211</v>
      </c>
      <c r="D32" s="969"/>
      <c r="E32" s="969"/>
      <c r="F32" s="1050"/>
      <c r="G32" s="1050"/>
      <c r="H32" s="1050">
        <v>138000000000</v>
      </c>
      <c r="I32" s="1050">
        <v>111000000000</v>
      </c>
      <c r="J32" s="1050">
        <v>72000000000</v>
      </c>
      <c r="K32" s="1050">
        <v>37000000000</v>
      </c>
      <c r="L32" s="1050">
        <v>32000000000</v>
      </c>
      <c r="M32" s="1050">
        <v>29000000000</v>
      </c>
      <c r="N32" s="1051">
        <v>26000000000</v>
      </c>
      <c r="O32" s="1051">
        <v>31000000000</v>
      </c>
      <c r="P32" s="1048">
        <v>38000000000</v>
      </c>
      <c r="Q32" s="1048">
        <v>47000000000</v>
      </c>
      <c r="R32" s="1048">
        <v>56000000000</v>
      </c>
      <c r="S32" s="1048">
        <v>52000000000</v>
      </c>
      <c r="T32" s="1048">
        <v>131000000000</v>
      </c>
      <c r="U32" s="1048">
        <v>174000000000</v>
      </c>
      <c r="V32" s="1048">
        <v>126000000000</v>
      </c>
      <c r="W32" s="1048">
        <v>139000000000</v>
      </c>
      <c r="X32" s="1046">
        <v>131000000000</v>
      </c>
      <c r="Y32" s="1008">
        <v>128000000000</v>
      </c>
      <c r="Z32" s="1068">
        <v>143000000000</v>
      </c>
      <c r="AA32" s="90"/>
      <c r="AB32" s="151"/>
      <c r="AC32" s="151"/>
      <c r="AD32" s="151"/>
      <c r="AE32" s="151"/>
      <c r="AF32" s="151"/>
      <c r="AG32" s="151"/>
      <c r="AH32" s="151"/>
      <c r="AI32" s="365"/>
      <c r="AJ32" s="365"/>
      <c r="AK32" s="365"/>
      <c r="AL32" s="365"/>
      <c r="AM32" s="365"/>
      <c r="AN32" s="365"/>
      <c r="AO32" s="365"/>
    </row>
    <row r="33" spans="1:41" ht="16.5">
      <c r="A33" s="997" t="s">
        <v>209</v>
      </c>
      <c r="B33" s="997" t="s">
        <v>209</v>
      </c>
      <c r="C33" s="968" t="s">
        <v>211</v>
      </c>
      <c r="D33" s="969"/>
      <c r="E33" s="969"/>
      <c r="F33" s="1050"/>
      <c r="G33" s="1050"/>
      <c r="H33" s="1050">
        <v>26000000000</v>
      </c>
      <c r="I33" s="1050">
        <v>18000000000</v>
      </c>
      <c r="J33" s="1050">
        <v>15000000000</v>
      </c>
      <c r="K33" s="1050">
        <v>14000000000</v>
      </c>
      <c r="L33" s="1050">
        <v>4000000000</v>
      </c>
      <c r="M33" s="1050">
        <v>4000000000</v>
      </c>
      <c r="N33" s="1051">
        <v>6000000000</v>
      </c>
      <c r="O33" s="1051">
        <v>14000000000</v>
      </c>
      <c r="P33" s="1048">
        <v>13000000000</v>
      </c>
      <c r="Q33" s="1048">
        <v>11000000000</v>
      </c>
      <c r="R33" s="1048">
        <v>13000000000</v>
      </c>
      <c r="S33" s="1048">
        <v>18000000000</v>
      </c>
      <c r="T33" s="1048">
        <v>14000000000</v>
      </c>
      <c r="U33" s="1048">
        <v>30000000000</v>
      </c>
      <c r="V33" s="1048">
        <v>41000000000</v>
      </c>
      <c r="W33" s="1048">
        <v>18000000000</v>
      </c>
      <c r="X33" s="1046">
        <v>15000000000</v>
      </c>
      <c r="Y33" s="1008">
        <v>13000000000</v>
      </c>
      <c r="Z33" s="1068">
        <v>12000000000</v>
      </c>
      <c r="AA33" s="90"/>
      <c r="AB33" s="151"/>
      <c r="AC33" s="151"/>
      <c r="AD33" s="151"/>
      <c r="AE33" s="151"/>
      <c r="AF33" s="151"/>
      <c r="AG33" s="151"/>
      <c r="AH33" s="151"/>
      <c r="AI33" s="365"/>
      <c r="AJ33" s="365"/>
      <c r="AK33" s="365"/>
      <c r="AL33" s="365"/>
      <c r="AM33" s="365"/>
      <c r="AN33" s="365"/>
      <c r="AO33" s="365"/>
    </row>
    <row r="34" spans="1:41" ht="16.5">
      <c r="A34" s="981" t="s">
        <v>237</v>
      </c>
      <c r="B34" s="981" t="s">
        <v>1442</v>
      </c>
      <c r="C34" s="981" t="s">
        <v>201</v>
      </c>
      <c r="D34" s="969"/>
      <c r="E34" s="969"/>
      <c r="F34" s="1048">
        <v>214000000000</v>
      </c>
      <c r="G34" s="1048">
        <v>234000000000</v>
      </c>
      <c r="H34" s="1050">
        <v>167000000000</v>
      </c>
      <c r="I34" s="1050">
        <v>206000000000</v>
      </c>
      <c r="J34" s="1050">
        <v>273000000000</v>
      </c>
      <c r="K34" s="1050">
        <v>389000000000</v>
      </c>
      <c r="L34" s="1050">
        <v>589000000000</v>
      </c>
      <c r="M34" s="1050">
        <v>441000000000</v>
      </c>
      <c r="N34" s="1051">
        <v>456000000000</v>
      </c>
      <c r="O34" s="1051">
        <v>761000000000</v>
      </c>
      <c r="P34" s="1048">
        <v>834000000000</v>
      </c>
      <c r="Q34" s="1048">
        <v>1067000000000</v>
      </c>
      <c r="R34" s="1048">
        <v>1319000000000</v>
      </c>
      <c r="S34" s="1048">
        <v>1389000000000</v>
      </c>
      <c r="T34" s="1048">
        <v>1608000000000</v>
      </c>
      <c r="U34" s="1048">
        <v>1289000000000</v>
      </c>
      <c r="V34" s="1048">
        <v>1292000000000</v>
      </c>
      <c r="W34" s="1048">
        <v>1346000000000</v>
      </c>
      <c r="X34" s="1046">
        <v>1433000000000</v>
      </c>
      <c r="Y34" s="1008">
        <v>1511000000000</v>
      </c>
      <c r="Z34" s="1068">
        <v>1623000000000</v>
      </c>
      <c r="AA34" s="90"/>
      <c r="AB34" s="410"/>
      <c r="AC34" s="410"/>
      <c r="AD34" s="410"/>
      <c r="AE34" s="410"/>
      <c r="AF34" s="410"/>
      <c r="AG34" s="410"/>
      <c r="AH34" s="410"/>
      <c r="AI34" s="365"/>
      <c r="AJ34" s="365"/>
      <c r="AK34" s="365"/>
      <c r="AL34" s="365"/>
      <c r="AM34" s="365"/>
      <c r="AN34" s="365"/>
      <c r="AO34" s="365"/>
    </row>
    <row r="35" spans="1:41" ht="16.5">
      <c r="A35" s="988" t="s">
        <v>1443</v>
      </c>
      <c r="B35" s="988" t="s">
        <v>1444</v>
      </c>
      <c r="C35" s="981" t="s">
        <v>241</v>
      </c>
      <c r="D35" s="969"/>
      <c r="E35" s="969"/>
      <c r="F35" s="1048">
        <v>142000000000</v>
      </c>
      <c r="G35" s="1048">
        <v>155000000000</v>
      </c>
      <c r="H35" s="1050">
        <v>90000000000</v>
      </c>
      <c r="I35" s="1050">
        <v>159000000000</v>
      </c>
      <c r="J35" s="1050">
        <v>177000000000</v>
      </c>
      <c r="K35" s="1050">
        <v>280000000000</v>
      </c>
      <c r="L35" s="1050">
        <v>410000000000</v>
      </c>
      <c r="M35" s="1050">
        <v>356000000000</v>
      </c>
      <c r="N35" s="1051">
        <v>315000000000</v>
      </c>
      <c r="O35" s="1051">
        <v>563000000000</v>
      </c>
      <c r="P35" s="1048">
        <v>513000000000</v>
      </c>
      <c r="Q35" s="1048">
        <v>514000000000</v>
      </c>
      <c r="R35" s="1048">
        <v>615000000000</v>
      </c>
      <c r="S35" s="1048">
        <v>809000000000</v>
      </c>
      <c r="T35" s="1048">
        <v>1070000000000</v>
      </c>
      <c r="U35" s="1048">
        <v>634000000000</v>
      </c>
      <c r="V35" s="1048">
        <v>658000000000</v>
      </c>
      <c r="W35" s="1048">
        <v>699000000000</v>
      </c>
      <c r="X35" s="1046">
        <v>746000000000</v>
      </c>
      <c r="Y35" s="1008">
        <v>775000000000</v>
      </c>
      <c r="Z35" s="1068">
        <v>832000000000</v>
      </c>
      <c r="AA35" s="90"/>
      <c r="AB35" s="151"/>
      <c r="AC35" s="151"/>
      <c r="AD35" s="151"/>
      <c r="AE35" s="151"/>
      <c r="AF35" s="151"/>
      <c r="AG35" s="151"/>
      <c r="AH35" s="151"/>
      <c r="AI35" s="365"/>
      <c r="AJ35" s="365"/>
      <c r="AK35" s="365"/>
      <c r="AL35" s="365"/>
      <c r="AM35" s="365"/>
      <c r="AN35" s="365"/>
      <c r="AO35" s="365"/>
    </row>
    <row r="36" spans="1:41">
      <c r="A36" s="997" t="s">
        <v>1445</v>
      </c>
      <c r="B36" s="997" t="s">
        <v>1446</v>
      </c>
      <c r="C36" s="968" t="s">
        <v>1447</v>
      </c>
      <c r="D36" s="969"/>
      <c r="E36" s="969"/>
      <c r="F36" s="1050"/>
      <c r="G36" s="1050"/>
      <c r="H36" s="1050">
        <v>80000000000</v>
      </c>
      <c r="I36" s="1050">
        <v>107000000000</v>
      </c>
      <c r="J36" s="1050">
        <v>143000000000</v>
      </c>
      <c r="K36" s="1050"/>
      <c r="L36" s="1050"/>
      <c r="M36" s="1050"/>
      <c r="N36" s="1051"/>
      <c r="O36" s="1051"/>
      <c r="P36" s="1048"/>
      <c r="Q36" s="1048"/>
      <c r="AI36" s="365"/>
      <c r="AJ36" s="365"/>
      <c r="AK36" s="365"/>
      <c r="AL36" s="365"/>
      <c r="AM36" s="365"/>
      <c r="AN36" s="365"/>
      <c r="AO36" s="365"/>
    </row>
    <row r="37" spans="1:41">
      <c r="A37" s="997" t="s">
        <v>1448</v>
      </c>
      <c r="B37" s="997" t="s">
        <v>1449</v>
      </c>
      <c r="C37" s="968" t="s">
        <v>1447</v>
      </c>
      <c r="D37" s="969"/>
      <c r="E37" s="969"/>
      <c r="F37" s="1050"/>
      <c r="G37" s="1050"/>
      <c r="H37" s="1050">
        <v>10000000000</v>
      </c>
      <c r="I37" s="1050">
        <v>52000000000</v>
      </c>
      <c r="J37" s="1050">
        <v>34000000000</v>
      </c>
      <c r="K37" s="1050"/>
      <c r="L37" s="1050"/>
      <c r="M37" s="1050"/>
      <c r="N37" s="1051"/>
      <c r="O37" s="1051"/>
      <c r="P37" s="1048"/>
      <c r="Q37" s="1048"/>
      <c r="R37" s="1048"/>
      <c r="S37" s="1048"/>
      <c r="T37" s="1048"/>
      <c r="U37" s="1048"/>
      <c r="V37" s="1048"/>
      <c r="W37" s="1048"/>
      <c r="X37" s="1046"/>
      <c r="Y37" s="1008"/>
      <c r="Z37" s="1010"/>
      <c r="AI37" s="365"/>
      <c r="AJ37" s="365"/>
      <c r="AK37" s="365"/>
      <c r="AL37" s="365"/>
      <c r="AM37" s="365"/>
      <c r="AN37" s="365"/>
      <c r="AO37" s="365"/>
    </row>
    <row r="38" spans="1:41" ht="16.5">
      <c r="A38" s="988" t="s">
        <v>1450</v>
      </c>
      <c r="B38" s="988" t="s">
        <v>1451</v>
      </c>
      <c r="C38" s="981" t="s">
        <v>241</v>
      </c>
      <c r="D38" s="969"/>
      <c r="E38" s="969"/>
      <c r="F38" s="1048">
        <v>49000000000</v>
      </c>
      <c r="G38" s="1048">
        <v>62000000000</v>
      </c>
      <c r="H38" s="1050">
        <v>67000000000</v>
      </c>
      <c r="I38" s="1050">
        <v>44000000000</v>
      </c>
      <c r="J38" s="1050">
        <v>64000000000</v>
      </c>
      <c r="K38" s="1050">
        <v>62000000000</v>
      </c>
      <c r="L38" s="1050">
        <v>99000000000</v>
      </c>
      <c r="M38" s="1050">
        <v>73000000000</v>
      </c>
      <c r="N38" s="1051">
        <v>100000000000</v>
      </c>
      <c r="O38" s="1051">
        <v>163000000000</v>
      </c>
      <c r="P38" s="1048">
        <v>259000000000</v>
      </c>
      <c r="Q38" s="1048">
        <v>493000000000</v>
      </c>
      <c r="R38" s="1048">
        <v>655000000000</v>
      </c>
      <c r="S38" s="1048">
        <v>523000000000</v>
      </c>
      <c r="T38" s="1048">
        <v>489000000000</v>
      </c>
      <c r="U38" s="1048">
        <v>630000000000</v>
      </c>
      <c r="V38" s="1048">
        <v>596000000000</v>
      </c>
      <c r="W38" s="1048">
        <v>607000000000</v>
      </c>
      <c r="X38" s="1046">
        <v>645000000000</v>
      </c>
      <c r="Y38" s="1008">
        <v>690000000000</v>
      </c>
      <c r="Z38" s="1010">
        <v>743000000000</v>
      </c>
      <c r="AA38" s="90"/>
      <c r="AB38" s="151"/>
      <c r="AC38" s="151"/>
      <c r="AD38" s="151"/>
      <c r="AE38" s="151"/>
      <c r="AF38" s="151"/>
      <c r="AG38" s="151"/>
      <c r="AH38" s="151"/>
      <c r="AI38" s="365"/>
      <c r="AJ38" s="365"/>
      <c r="AK38" s="365"/>
      <c r="AL38" s="365"/>
      <c r="AM38" s="365"/>
      <c r="AN38" s="365"/>
      <c r="AO38" s="365"/>
    </row>
    <row r="39" spans="1:41" ht="16.5">
      <c r="A39" s="988" t="s">
        <v>1452</v>
      </c>
      <c r="B39" s="988" t="s">
        <v>1453</v>
      </c>
      <c r="C39" s="981" t="s">
        <v>241</v>
      </c>
      <c r="D39" s="969"/>
      <c r="E39" s="969"/>
      <c r="F39" s="1048">
        <v>23000000000</v>
      </c>
      <c r="G39" s="1048">
        <v>18000000000</v>
      </c>
      <c r="H39" s="1050">
        <v>10000000000</v>
      </c>
      <c r="I39" s="1050">
        <v>3000000000</v>
      </c>
      <c r="J39" s="1050">
        <v>33000000000</v>
      </c>
      <c r="K39" s="1050">
        <v>47000000000</v>
      </c>
      <c r="L39" s="1050">
        <v>80000000000</v>
      </c>
      <c r="M39" s="1050">
        <v>12000000000</v>
      </c>
      <c r="N39" s="1051">
        <v>42000000000</v>
      </c>
      <c r="O39" s="1051">
        <v>35000000000</v>
      </c>
      <c r="P39" s="1048">
        <v>61000000000</v>
      </c>
      <c r="Q39" s="1048">
        <v>60000000000</v>
      </c>
      <c r="R39" s="1048">
        <v>49000000000</v>
      </c>
      <c r="S39" s="1048">
        <v>57000000000</v>
      </c>
      <c r="T39" s="1048">
        <v>49000000000</v>
      </c>
      <c r="U39" s="1048">
        <v>25000000000</v>
      </c>
      <c r="V39" s="1048">
        <v>38000000000</v>
      </c>
      <c r="W39" s="1048">
        <v>40000000000</v>
      </c>
      <c r="X39" s="1046">
        <v>42000000000</v>
      </c>
      <c r="Y39" s="1008">
        <v>46000000000</v>
      </c>
      <c r="Z39" s="1068">
        <v>49000000000</v>
      </c>
      <c r="AA39" s="90"/>
      <c r="AB39" s="151"/>
      <c r="AC39" s="151"/>
      <c r="AD39" s="151"/>
      <c r="AE39" s="151"/>
      <c r="AF39" s="151"/>
      <c r="AG39" s="151"/>
      <c r="AH39" s="151"/>
      <c r="AI39" s="365"/>
      <c r="AJ39" s="365"/>
      <c r="AK39" s="365"/>
      <c r="AL39" s="365"/>
      <c r="AM39" s="365"/>
      <c r="AN39" s="365"/>
      <c r="AO39" s="365"/>
    </row>
    <row r="40" spans="1:41" ht="16.5">
      <c r="A40" s="981" t="s">
        <v>244</v>
      </c>
      <c r="B40" s="981" t="s">
        <v>244</v>
      </c>
      <c r="C40" s="981" t="s">
        <v>201</v>
      </c>
      <c r="D40" s="969"/>
      <c r="E40" s="969"/>
      <c r="F40" s="1050"/>
      <c r="G40" s="1050"/>
      <c r="H40" s="1050">
        <v>0</v>
      </c>
      <c r="I40" s="1050">
        <v>0</v>
      </c>
      <c r="J40" s="1050">
        <v>0</v>
      </c>
      <c r="K40" s="1050">
        <v>14000000000</v>
      </c>
      <c r="L40" s="2651">
        <v>0</v>
      </c>
      <c r="M40" s="1050"/>
      <c r="N40" s="1051"/>
      <c r="O40" s="1051"/>
      <c r="P40" s="1048"/>
      <c r="Q40" s="1048"/>
      <c r="R40" s="1048">
        <v>0</v>
      </c>
      <c r="S40" s="1048">
        <v>0</v>
      </c>
      <c r="T40" s="1048">
        <v>30000000000</v>
      </c>
      <c r="U40" s="1048">
        <v>0</v>
      </c>
      <c r="V40" s="1048">
        <v>0</v>
      </c>
      <c r="W40" s="1048">
        <v>0</v>
      </c>
      <c r="X40" s="1046">
        <v>0</v>
      </c>
      <c r="Y40" s="1008">
        <v>0</v>
      </c>
      <c r="Z40" s="1068">
        <v>0</v>
      </c>
      <c r="AA40" s="90"/>
      <c r="AB40" s="151"/>
      <c r="AC40" s="151"/>
      <c r="AD40" s="151"/>
      <c r="AE40" s="151"/>
      <c r="AF40" s="151"/>
      <c r="AG40" s="151"/>
      <c r="AH40" s="151"/>
      <c r="AI40" s="365"/>
      <c r="AJ40" s="365"/>
      <c r="AK40" s="365"/>
      <c r="AL40" s="365"/>
      <c r="AM40" s="365"/>
      <c r="AN40" s="365"/>
      <c r="AO40" s="365"/>
    </row>
    <row r="41" spans="1:41" ht="16.5">
      <c r="A41" s="972" t="s">
        <v>76</v>
      </c>
      <c r="B41" s="981" t="s">
        <v>1454</v>
      </c>
      <c r="C41" s="981" t="s">
        <v>201</v>
      </c>
      <c r="D41" s="969"/>
      <c r="E41" s="969"/>
      <c r="F41" s="1048">
        <v>0</v>
      </c>
      <c r="G41" s="1048">
        <v>0</v>
      </c>
      <c r="H41" s="2651">
        <v>0</v>
      </c>
      <c r="I41" s="2651">
        <v>0</v>
      </c>
      <c r="J41" s="2651">
        <v>0</v>
      </c>
      <c r="K41" s="2651">
        <v>0</v>
      </c>
      <c r="L41" s="2651">
        <v>0</v>
      </c>
      <c r="M41" s="1050"/>
      <c r="N41" s="1051"/>
      <c r="O41" s="1051"/>
      <c r="P41" s="1048"/>
      <c r="Q41" s="1048"/>
      <c r="R41" s="2652">
        <v>0</v>
      </c>
      <c r="S41" s="1048">
        <v>0</v>
      </c>
      <c r="T41" s="1048">
        <v>0</v>
      </c>
      <c r="U41" s="1048">
        <v>0</v>
      </c>
      <c r="V41" s="1048">
        <v>0</v>
      </c>
      <c r="W41" s="1048">
        <v>0</v>
      </c>
      <c r="X41" s="1046">
        <v>0</v>
      </c>
      <c r="Y41" s="1008">
        <v>0</v>
      </c>
      <c r="Z41" s="1068">
        <v>0</v>
      </c>
      <c r="AA41" s="90"/>
      <c r="AB41" s="90"/>
      <c r="AC41" s="90"/>
      <c r="AD41" s="90"/>
      <c r="AE41" s="90"/>
      <c r="AF41" s="90"/>
      <c r="AG41" s="90"/>
      <c r="AH41" s="151"/>
      <c r="AI41" s="365"/>
      <c r="AJ41" s="365"/>
      <c r="AK41" s="365"/>
      <c r="AL41" s="365"/>
      <c r="AM41" s="365"/>
      <c r="AN41" s="365"/>
      <c r="AO41" s="365"/>
    </row>
    <row r="42" spans="1:41">
      <c r="B42" s="981" t="s">
        <v>1455</v>
      </c>
      <c r="C42" s="981"/>
      <c r="D42" s="969"/>
      <c r="E42" s="969"/>
      <c r="F42" s="1048"/>
      <c r="G42" s="1048"/>
      <c r="H42" s="1050"/>
      <c r="I42" s="1050"/>
      <c r="J42" s="1050"/>
      <c r="K42" s="1050"/>
      <c r="L42" s="1050"/>
      <c r="M42" s="1050"/>
      <c r="N42" s="1051"/>
      <c r="O42" s="1051"/>
      <c r="P42" s="1048"/>
      <c r="Q42" s="1048"/>
      <c r="R42" s="1048"/>
      <c r="S42" s="1048"/>
      <c r="T42" s="1048"/>
      <c r="U42" s="1048"/>
      <c r="V42" s="1048"/>
      <c r="W42" s="1048"/>
      <c r="X42" s="1046"/>
      <c r="Y42" s="1008"/>
      <c r="Z42" s="1068"/>
      <c r="AA42" s="90"/>
      <c r="AB42" s="90"/>
      <c r="AC42" s="90"/>
      <c r="AD42" s="90"/>
      <c r="AE42" s="90"/>
      <c r="AF42" s="90"/>
      <c r="AG42" s="90"/>
      <c r="AH42" s="90"/>
      <c r="AI42" s="365"/>
      <c r="AJ42" s="365"/>
      <c r="AK42" s="365"/>
      <c r="AL42" s="365"/>
      <c r="AM42" s="365"/>
      <c r="AN42" s="365"/>
      <c r="AO42" s="365"/>
    </row>
    <row r="43" spans="1:41" ht="16.5">
      <c r="B43" s="981" t="s">
        <v>1456</v>
      </c>
      <c r="C43" s="981"/>
      <c r="D43" s="969"/>
      <c r="E43" s="969"/>
      <c r="F43" s="1048"/>
      <c r="G43" s="1048"/>
      <c r="H43" s="1050"/>
      <c r="I43" s="1050"/>
      <c r="J43" s="1050"/>
      <c r="K43" s="1050"/>
      <c r="L43" s="1050"/>
      <c r="M43" s="1050"/>
      <c r="N43" s="1051"/>
      <c r="O43" s="1051"/>
      <c r="P43" s="1048"/>
      <c r="Q43" s="1048"/>
      <c r="R43" s="1048">
        <v>-766000000000</v>
      </c>
      <c r="S43" s="1048">
        <v>-820000000000</v>
      </c>
      <c r="T43" s="1048">
        <v>-1232000000000</v>
      </c>
      <c r="U43" s="1048">
        <v>-686000000000</v>
      </c>
      <c r="V43" s="1048">
        <v>-546000000000</v>
      </c>
      <c r="W43" s="1048">
        <v>-451000000000</v>
      </c>
      <c r="X43" s="1046">
        <v>-391000000000</v>
      </c>
      <c r="Y43" s="1008">
        <v>-332000000000</v>
      </c>
      <c r="Z43" s="1068">
        <v>-325000000000</v>
      </c>
      <c r="AA43" s="90"/>
      <c r="AB43" s="151"/>
      <c r="AC43" s="151"/>
      <c r="AD43" s="410"/>
      <c r="AE43" s="410"/>
      <c r="AF43" s="410"/>
      <c r="AG43" s="151"/>
      <c r="AH43" s="151"/>
      <c r="AI43" s="365"/>
      <c r="AJ43" s="365"/>
      <c r="AK43" s="365"/>
      <c r="AL43" s="365"/>
      <c r="AM43" s="365"/>
      <c r="AN43" s="365"/>
      <c r="AO43" s="365"/>
    </row>
    <row r="44" spans="1:41" ht="16.5">
      <c r="B44" s="981" t="s">
        <v>1457</v>
      </c>
      <c r="C44" s="981"/>
      <c r="D44" s="969"/>
      <c r="E44" s="969"/>
      <c r="F44" s="1048"/>
      <c r="G44" s="1048"/>
      <c r="H44" s="1050"/>
      <c r="I44" s="1050"/>
      <c r="J44" s="1050"/>
      <c r="K44" s="1050"/>
      <c r="L44" s="1050"/>
      <c r="M44" s="1050"/>
      <c r="N44" s="1051"/>
      <c r="O44" s="1051"/>
      <c r="P44" s="1048"/>
      <c r="Q44" s="1048"/>
      <c r="R44" s="1048">
        <v>-721000000000</v>
      </c>
      <c r="S44" s="1048">
        <v>-809000000000</v>
      </c>
      <c r="T44" s="1048">
        <v>-1178000000000</v>
      </c>
      <c r="U44" s="1048">
        <v>-617000000000</v>
      </c>
      <c r="V44" s="1048">
        <v>-482000000000</v>
      </c>
      <c r="W44" s="1048">
        <v>-392000000000</v>
      </c>
      <c r="X44" s="1046">
        <v>-333000000000</v>
      </c>
      <c r="Y44" s="1008">
        <v>-276000000000</v>
      </c>
      <c r="Z44" s="1068">
        <v>-270000000000</v>
      </c>
      <c r="AA44" s="90"/>
      <c r="AB44" s="151"/>
      <c r="AC44" s="151"/>
      <c r="AD44" s="410"/>
      <c r="AE44" s="410"/>
      <c r="AF44" s="410"/>
      <c r="AG44" s="151"/>
      <c r="AH44" s="151"/>
      <c r="AI44" s="365"/>
      <c r="AJ44" s="365"/>
      <c r="AK44" s="365"/>
      <c r="AL44" s="365"/>
      <c r="AM44" s="365"/>
      <c r="AN44" s="365"/>
      <c r="AO44" s="365"/>
    </row>
    <row r="45" spans="1:41" ht="16.5">
      <c r="A45" s="972" t="s">
        <v>76</v>
      </c>
      <c r="B45" s="981" t="s">
        <v>1458</v>
      </c>
      <c r="C45" s="981"/>
      <c r="D45" s="969"/>
      <c r="E45" s="969"/>
      <c r="F45" s="1048">
        <v>-29000000000</v>
      </c>
      <c r="G45" s="1048">
        <v>-45000000000</v>
      </c>
      <c r="H45" s="1050">
        <v>31000000000</v>
      </c>
      <c r="I45" s="1050">
        <v>-73000000000</v>
      </c>
      <c r="J45" s="1050">
        <v>-170000000000</v>
      </c>
      <c r="K45" s="1050">
        <v>-78000000000</v>
      </c>
      <c r="L45" s="1050">
        <v>-37000000000</v>
      </c>
      <c r="M45" s="1050">
        <v>-17000000000</v>
      </c>
      <c r="N45" s="1051">
        <v>-125000000000</v>
      </c>
      <c r="O45" s="1051">
        <v>-75000000000</v>
      </c>
      <c r="P45" s="1048">
        <v>-116000000000</v>
      </c>
      <c r="Q45" s="1048">
        <v>-18000000000</v>
      </c>
      <c r="R45" s="1048">
        <v>-14000000000</v>
      </c>
      <c r="S45" s="1048">
        <v>356000000000</v>
      </c>
      <c r="T45" s="1048">
        <v>201000000000</v>
      </c>
      <c r="U45" s="1048">
        <v>-156000000000</v>
      </c>
      <c r="V45" s="1048">
        <v>-249000000000</v>
      </c>
      <c r="W45" s="1048">
        <v>-146000000000</v>
      </c>
      <c r="X45" s="1046">
        <v>-146000000000</v>
      </c>
      <c r="Y45" s="1008">
        <v>0</v>
      </c>
      <c r="Z45" s="1068">
        <v>0</v>
      </c>
      <c r="AA45" s="90"/>
      <c r="AB45" s="151"/>
      <c r="AC45" s="151"/>
      <c r="AD45" s="151"/>
      <c r="AE45" s="151"/>
      <c r="AF45" s="151"/>
      <c r="AG45" s="151"/>
      <c r="AH45" s="151"/>
      <c r="AI45" s="365"/>
      <c r="AJ45" s="365"/>
      <c r="AK45" s="365"/>
      <c r="AL45" s="365"/>
      <c r="AM45" s="365"/>
      <c r="AN45" s="365"/>
      <c r="AO45" s="365"/>
    </row>
    <row r="46" spans="1:41">
      <c r="A46" s="972" t="s">
        <v>76</v>
      </c>
      <c r="B46" s="981" t="s">
        <v>280</v>
      </c>
      <c r="C46" s="981"/>
      <c r="D46" s="969"/>
      <c r="E46" s="969"/>
      <c r="F46" s="1048">
        <v>0</v>
      </c>
      <c r="G46" s="1048">
        <v>0</v>
      </c>
      <c r="H46" s="1050">
        <v>34000000000</v>
      </c>
      <c r="I46" s="1050">
        <v>-11000000000</v>
      </c>
      <c r="J46" s="1050">
        <v>3000000000</v>
      </c>
      <c r="K46" s="1050">
        <v>0</v>
      </c>
      <c r="L46" s="1050">
        <v>0</v>
      </c>
      <c r="M46" s="1050">
        <v>0</v>
      </c>
      <c r="N46" s="1051"/>
      <c r="O46" s="1051"/>
      <c r="P46" s="1048"/>
      <c r="Q46" s="1048"/>
      <c r="R46" s="1048">
        <v>0</v>
      </c>
      <c r="S46" s="1048">
        <v>0</v>
      </c>
      <c r="T46" s="1048">
        <v>203000000000</v>
      </c>
      <c r="U46" s="1048">
        <v>-99000000000</v>
      </c>
      <c r="V46" s="1048">
        <v>-103000000000</v>
      </c>
      <c r="W46" s="1048">
        <v>0</v>
      </c>
      <c r="X46" s="1046">
        <v>0</v>
      </c>
      <c r="Y46" s="1008">
        <v>0</v>
      </c>
      <c r="Z46" s="1010">
        <v>0</v>
      </c>
      <c r="AI46" s="365"/>
      <c r="AJ46" s="365"/>
      <c r="AK46" s="365"/>
      <c r="AL46" s="365"/>
      <c r="AM46" s="365"/>
      <c r="AN46" s="365"/>
      <c r="AO46" s="365"/>
    </row>
    <row r="47" spans="1:41">
      <c r="A47" s="972" t="s">
        <v>76</v>
      </c>
      <c r="B47" s="981" t="s">
        <v>209</v>
      </c>
      <c r="C47" s="981"/>
      <c r="D47" s="969"/>
      <c r="E47" s="969"/>
      <c r="F47" s="1048">
        <v>-29000000000</v>
      </c>
      <c r="G47" s="1048">
        <v>-45000000000</v>
      </c>
      <c r="H47" s="1050">
        <v>-4000000000</v>
      </c>
      <c r="I47" s="1050">
        <v>-62000000000</v>
      </c>
      <c r="J47" s="1050">
        <v>-173000000000</v>
      </c>
      <c r="K47" s="1050">
        <v>-78000000000</v>
      </c>
      <c r="L47" s="1050">
        <v>-37000000000</v>
      </c>
      <c r="M47" s="1050">
        <v>-17000000000</v>
      </c>
      <c r="N47" s="1051"/>
      <c r="O47" s="1051"/>
      <c r="P47" s="1048"/>
      <c r="Q47" s="1048"/>
      <c r="R47" s="1048"/>
      <c r="S47" s="1048"/>
      <c r="T47" s="1048"/>
      <c r="U47" s="1048"/>
      <c r="V47" s="1048"/>
      <c r="W47" s="1048"/>
      <c r="X47" s="1046"/>
      <c r="Y47" s="1008"/>
      <c r="Z47" s="1010"/>
      <c r="AI47" s="365"/>
      <c r="AJ47" s="365"/>
      <c r="AK47" s="365"/>
      <c r="AL47" s="365"/>
      <c r="AM47" s="365"/>
      <c r="AN47" s="365"/>
      <c r="AO47" s="365"/>
    </row>
    <row r="48" spans="1:41">
      <c r="A48" s="972" t="s">
        <v>76</v>
      </c>
      <c r="B48" s="988" t="s">
        <v>1459</v>
      </c>
      <c r="C48" s="981"/>
      <c r="D48" s="969"/>
      <c r="E48" s="969"/>
      <c r="F48" s="1051"/>
      <c r="G48" s="1051"/>
      <c r="H48" s="1051"/>
      <c r="I48" s="1051"/>
      <c r="J48" s="1051"/>
      <c r="K48" s="1051"/>
      <c r="L48" s="1051"/>
      <c r="M48" s="1050">
        <v>-17000000000</v>
      </c>
      <c r="N48" s="1051">
        <v>-35000000000</v>
      </c>
      <c r="O48" s="1051">
        <v>-15000000000</v>
      </c>
      <c r="P48" s="1048">
        <v>-24000000000</v>
      </c>
      <c r="Q48" s="1048">
        <v>-18000000000</v>
      </c>
      <c r="R48" s="1048"/>
      <c r="S48" s="1048"/>
      <c r="T48" s="1048"/>
      <c r="U48" s="1048"/>
      <c r="V48" s="1048"/>
      <c r="W48" s="1048"/>
      <c r="X48" s="1046"/>
      <c r="Y48" s="1008"/>
      <c r="Z48" s="1010"/>
      <c r="AI48" s="365"/>
      <c r="AJ48" s="365"/>
      <c r="AK48" s="365"/>
      <c r="AL48" s="365"/>
      <c r="AM48" s="365"/>
      <c r="AN48" s="365"/>
      <c r="AO48" s="365"/>
    </row>
    <row r="49" spans="1:41">
      <c r="A49" s="972" t="s">
        <v>76</v>
      </c>
      <c r="B49" s="988" t="s">
        <v>1460</v>
      </c>
      <c r="C49" s="981"/>
      <c r="D49" s="969"/>
      <c r="E49" s="969"/>
      <c r="F49" s="1051"/>
      <c r="G49" s="1051"/>
      <c r="H49" s="1051"/>
      <c r="I49" s="1051"/>
      <c r="J49" s="1051"/>
      <c r="K49" s="1051"/>
      <c r="L49" s="1051"/>
      <c r="M49" s="1051"/>
      <c r="N49" s="1050"/>
      <c r="O49" s="1051">
        <v>-60000000000</v>
      </c>
      <c r="P49" s="1048">
        <v>-93000000000</v>
      </c>
      <c r="Q49" s="1048">
        <v>0</v>
      </c>
      <c r="R49" s="1048"/>
      <c r="S49" s="1048"/>
      <c r="T49" s="1048"/>
      <c r="U49" s="1048"/>
      <c r="V49" s="1048"/>
      <c r="W49" s="1048"/>
      <c r="X49" s="1046"/>
      <c r="Y49" s="1008"/>
      <c r="Z49" s="1010"/>
      <c r="AI49" s="365"/>
      <c r="AJ49" s="365"/>
      <c r="AK49" s="365"/>
      <c r="AL49" s="365"/>
      <c r="AM49" s="365"/>
      <c r="AN49" s="365"/>
      <c r="AO49" s="365"/>
    </row>
    <row r="50" spans="1:41">
      <c r="A50" s="972" t="s">
        <v>76</v>
      </c>
      <c r="B50" s="981" t="s">
        <v>1461</v>
      </c>
      <c r="C50" s="981"/>
      <c r="D50" s="969"/>
      <c r="E50" s="969"/>
      <c r="F50" s="1050"/>
      <c r="G50" s="1050"/>
      <c r="H50" s="1050"/>
      <c r="I50" s="1050"/>
      <c r="J50" s="1050"/>
      <c r="K50" s="1050"/>
      <c r="L50" s="1050"/>
      <c r="M50" s="1050"/>
      <c r="N50" s="1051"/>
      <c r="O50" s="1050"/>
      <c r="P50" s="1048">
        <v>0</v>
      </c>
      <c r="Q50" s="1048">
        <v>0</v>
      </c>
      <c r="R50" s="1048">
        <v>0</v>
      </c>
      <c r="S50" s="1048">
        <v>0</v>
      </c>
      <c r="T50" s="1048">
        <v>0</v>
      </c>
      <c r="U50" s="1048">
        <v>0</v>
      </c>
      <c r="V50" s="1048">
        <v>0</v>
      </c>
      <c r="W50" s="1048">
        <v>0</v>
      </c>
      <c r="X50" s="1046">
        <v>0</v>
      </c>
      <c r="Y50" s="1008">
        <v>0</v>
      </c>
      <c r="Z50" s="1068">
        <v>0</v>
      </c>
      <c r="AA50" s="90"/>
      <c r="AB50" s="90"/>
      <c r="AC50" s="90"/>
      <c r="AD50" s="90"/>
      <c r="AE50" s="90"/>
      <c r="AF50" s="90"/>
      <c r="AG50" s="90"/>
      <c r="AH50" s="90"/>
      <c r="AI50" s="365"/>
      <c r="AJ50" s="365"/>
      <c r="AK50" s="365"/>
      <c r="AL50" s="365"/>
      <c r="AM50" s="365"/>
      <c r="AN50" s="365"/>
      <c r="AO50" s="365"/>
    </row>
    <row r="51" spans="1:41" ht="16.5">
      <c r="A51" s="972" t="s">
        <v>76</v>
      </c>
      <c r="B51" s="981" t="s">
        <v>1456</v>
      </c>
      <c r="C51" s="981"/>
      <c r="D51" s="969"/>
      <c r="E51" s="969"/>
      <c r="F51" s="1048">
        <v>65000000000</v>
      </c>
      <c r="G51" s="1048">
        <v>74000000000</v>
      </c>
      <c r="H51" s="1050">
        <v>-34000000000</v>
      </c>
      <c r="I51" s="1050">
        <v>192000000000</v>
      </c>
      <c r="J51" s="1050">
        <v>272000000000</v>
      </c>
      <c r="K51" s="1050">
        <v>248000000000</v>
      </c>
      <c r="L51" s="1050">
        <v>119000000000</v>
      </c>
      <c r="M51" s="1050">
        <v>-109000000000</v>
      </c>
      <c r="N51" s="1051">
        <v>-323000000000</v>
      </c>
      <c r="O51" s="1050">
        <v>-489000000000</v>
      </c>
      <c r="P51" s="1048">
        <v>-387000000000</v>
      </c>
      <c r="Q51" s="1048">
        <v>-642000000000</v>
      </c>
      <c r="R51" s="1048">
        <v>-780000000000</v>
      </c>
      <c r="S51" s="1048">
        <v>-463000000000</v>
      </c>
      <c r="T51" s="1048">
        <v>-1031000000000</v>
      </c>
      <c r="U51" s="1048">
        <v>-842000000000</v>
      </c>
      <c r="V51" s="1048">
        <v>-796000000000</v>
      </c>
      <c r="W51" s="1048">
        <v>-597000000000</v>
      </c>
      <c r="X51" s="1046">
        <v>-537000000000</v>
      </c>
      <c r="Y51" s="1008">
        <v>-332000000000</v>
      </c>
      <c r="Z51" s="1068">
        <v>-325000000000</v>
      </c>
      <c r="AA51" s="90"/>
      <c r="AB51" s="151"/>
      <c r="AC51" s="151"/>
      <c r="AD51" s="410"/>
      <c r="AE51" s="410"/>
      <c r="AF51" s="410"/>
      <c r="AG51" s="151"/>
      <c r="AH51" s="151"/>
      <c r="AI51" s="365"/>
      <c r="AJ51" s="365"/>
      <c r="AK51" s="365"/>
      <c r="AL51" s="365"/>
      <c r="AM51" s="365"/>
      <c r="AN51" s="365"/>
      <c r="AO51" s="365"/>
    </row>
    <row r="52" spans="1:41" ht="16.5">
      <c r="A52" s="972" t="s">
        <v>76</v>
      </c>
      <c r="B52" s="981" t="s">
        <v>1457</v>
      </c>
      <c r="C52" s="981"/>
      <c r="D52" s="969"/>
      <c r="E52" s="969"/>
      <c r="F52" s="1048">
        <v>89000000000</v>
      </c>
      <c r="G52" s="1048">
        <v>132000000000</v>
      </c>
      <c r="H52" s="1050">
        <v>-15000000000</v>
      </c>
      <c r="I52" s="1050">
        <v>239000000000</v>
      </c>
      <c r="J52" s="1050">
        <v>2936000000000</v>
      </c>
      <c r="K52" s="1050">
        <v>366000000000</v>
      </c>
      <c r="L52" s="1050">
        <v>211000000000</v>
      </c>
      <c r="M52" s="1050">
        <v>-22000000000</v>
      </c>
      <c r="N52" s="1051">
        <v>-252000000000</v>
      </c>
      <c r="O52" s="1050">
        <v>-428000000000</v>
      </c>
      <c r="P52" s="1048">
        <v>-331000000000</v>
      </c>
      <c r="Q52" s="1048">
        <v>-595000000000</v>
      </c>
      <c r="R52" s="1048">
        <v>-734000000000</v>
      </c>
      <c r="S52" s="1048">
        <v>-452000000000</v>
      </c>
      <c r="T52" s="1048">
        <v>-977000000000</v>
      </c>
      <c r="U52" s="1048">
        <v>-774000000000</v>
      </c>
      <c r="V52" s="1048">
        <v>-732000000000</v>
      </c>
      <c r="W52" s="1048">
        <v>-538000000000</v>
      </c>
      <c r="X52" s="1046">
        <v>-479000000000</v>
      </c>
      <c r="Y52" s="1008">
        <v>-276000000000</v>
      </c>
      <c r="Z52" s="1068">
        <v>-270000000000</v>
      </c>
      <c r="AA52" s="90"/>
      <c r="AB52" s="151"/>
      <c r="AC52" s="151"/>
      <c r="AD52" s="410"/>
      <c r="AE52" s="410"/>
      <c r="AF52" s="410"/>
      <c r="AG52" s="151"/>
      <c r="AH52" s="151"/>
      <c r="AI52" s="365"/>
      <c r="AJ52" s="365"/>
      <c r="AK52" s="365"/>
      <c r="AL52" s="365"/>
      <c r="AM52" s="365"/>
      <c r="AN52" s="365"/>
      <c r="AO52" s="365"/>
    </row>
    <row r="53" spans="1:41" s="848" customFormat="1" ht="16.5">
      <c r="A53" s="1012" t="s">
        <v>115</v>
      </c>
      <c r="B53" s="1012" t="s">
        <v>115</v>
      </c>
      <c r="C53" s="1012" t="s">
        <v>35</v>
      </c>
      <c r="D53" s="1013"/>
      <c r="E53" s="1013"/>
      <c r="F53" s="1054">
        <v>-89000000000</v>
      </c>
      <c r="G53" s="1054">
        <v>-133000000000</v>
      </c>
      <c r="H53" s="1055">
        <v>15000000000</v>
      </c>
      <c r="I53" s="1055">
        <v>-239000000000</v>
      </c>
      <c r="J53" s="1055">
        <v>-2938000000000</v>
      </c>
      <c r="K53" s="1055">
        <v>-366000000000</v>
      </c>
      <c r="L53" s="1055">
        <v>-211000000000</v>
      </c>
      <c r="M53" s="1055">
        <v>23000000000</v>
      </c>
      <c r="N53" s="1055">
        <v>252000000000</v>
      </c>
      <c r="O53" s="1055">
        <v>428000000000</v>
      </c>
      <c r="P53" s="1054">
        <v>331000000000</v>
      </c>
      <c r="Q53" s="1054">
        <v>595000000000</v>
      </c>
      <c r="R53" s="1054">
        <v>734000000000</v>
      </c>
      <c r="S53" s="1054">
        <v>452000000000</v>
      </c>
      <c r="T53" s="1054">
        <v>977000000000</v>
      </c>
      <c r="U53" s="1054">
        <v>287000000000</v>
      </c>
      <c r="V53" s="1054">
        <v>396000000000</v>
      </c>
      <c r="W53" s="1054">
        <v>196000000000</v>
      </c>
      <c r="X53" s="1056">
        <v>436000000000</v>
      </c>
      <c r="Y53" s="1018">
        <v>276000000000</v>
      </c>
      <c r="Z53" s="1067">
        <v>270000000000</v>
      </c>
      <c r="AA53" s="909"/>
      <c r="AB53" s="1060"/>
      <c r="AC53" s="1060"/>
      <c r="AD53" s="1060"/>
      <c r="AE53" s="1060"/>
      <c r="AF53" s="1060"/>
      <c r="AG53" s="1060"/>
      <c r="AH53" s="1060"/>
      <c r="AI53" s="916"/>
      <c r="AJ53" s="916"/>
      <c r="AK53" s="916"/>
      <c r="AL53" s="916"/>
      <c r="AM53" s="916"/>
      <c r="AN53" s="916"/>
      <c r="AO53" s="916"/>
    </row>
    <row r="54" spans="1:41" ht="16.5">
      <c r="A54" s="980" t="s">
        <v>117</v>
      </c>
      <c r="B54" s="981" t="s">
        <v>1462</v>
      </c>
      <c r="C54" s="982" t="s">
        <v>119</v>
      </c>
      <c r="D54" s="969"/>
      <c r="E54" s="969"/>
      <c r="F54" s="1048">
        <v>57000000000</v>
      </c>
      <c r="G54" s="1048">
        <v>58000000000</v>
      </c>
      <c r="H54" s="1050">
        <v>51000000000</v>
      </c>
      <c r="I54" s="1050">
        <v>-35000000000</v>
      </c>
      <c r="J54" s="1050">
        <v>-2476000000000</v>
      </c>
      <c r="K54" s="1050">
        <v>-47000000000</v>
      </c>
      <c r="L54" s="1050">
        <v>-7000000000</v>
      </c>
      <c r="M54" s="1050">
        <v>-23000000000</v>
      </c>
      <c r="N54" s="1050">
        <v>40000000000</v>
      </c>
      <c r="O54" s="1050">
        <v>98000000000</v>
      </c>
      <c r="P54" s="1048">
        <v>183000000000</v>
      </c>
      <c r="Q54" s="1048">
        <v>426000000000</v>
      </c>
      <c r="R54" s="1048">
        <v>579000000000</v>
      </c>
      <c r="S54" s="1048">
        <v>880000000000</v>
      </c>
      <c r="T54" s="1048">
        <v>340000000000</v>
      </c>
      <c r="U54" s="1048">
        <v>464000000000</v>
      </c>
      <c r="V54" s="1048">
        <v>347000000000</v>
      </c>
      <c r="W54" s="1048">
        <v>343000000000</v>
      </c>
      <c r="X54" s="1046">
        <v>379000000000</v>
      </c>
      <c r="Y54" s="1008">
        <v>420000000000</v>
      </c>
      <c r="Z54" s="1068">
        <v>386000000000</v>
      </c>
      <c r="AA54" s="90"/>
      <c r="AB54" s="151"/>
      <c r="AC54" s="151"/>
      <c r="AD54" s="151"/>
      <c r="AE54" s="151"/>
      <c r="AF54" s="151"/>
      <c r="AG54" s="151"/>
      <c r="AH54" s="151"/>
      <c r="AI54" s="365"/>
      <c r="AJ54" s="365"/>
      <c r="AK54" s="365"/>
      <c r="AL54" s="365"/>
      <c r="AM54" s="365"/>
      <c r="AN54" s="365"/>
      <c r="AO54" s="365"/>
    </row>
    <row r="55" spans="1:41" ht="16.5">
      <c r="A55" s="988" t="s">
        <v>258</v>
      </c>
      <c r="B55" s="988" t="s">
        <v>258</v>
      </c>
      <c r="C55" s="981" t="s">
        <v>264</v>
      </c>
      <c r="D55" s="969"/>
      <c r="E55" s="969"/>
      <c r="F55" s="1048">
        <v>-348000000000</v>
      </c>
      <c r="G55" s="1048">
        <v>-325000000000</v>
      </c>
      <c r="H55" s="1050">
        <v>-296000000000</v>
      </c>
      <c r="I55" s="1050">
        <v>-273000000000</v>
      </c>
      <c r="J55" s="1050">
        <v>-2635000000000</v>
      </c>
      <c r="K55" s="1050">
        <v>-87000000000</v>
      </c>
      <c r="L55" s="1050">
        <v>-80000000000</v>
      </c>
      <c r="M55" s="1050">
        <v>-68000000000</v>
      </c>
      <c r="N55" s="1050">
        <v>-60000000000</v>
      </c>
      <c r="O55" s="1050">
        <v>-58000000000</v>
      </c>
      <c r="P55" s="1048">
        <v>-63000000000</v>
      </c>
      <c r="Q55" s="1048">
        <v>-60000000000</v>
      </c>
      <c r="R55" s="1048">
        <v>-70000000000</v>
      </c>
      <c r="S55" s="1048">
        <v>-82000000000</v>
      </c>
      <c r="T55" s="1048">
        <v>-113000000000</v>
      </c>
      <c r="U55" s="1048">
        <v>-170000000000</v>
      </c>
      <c r="V55" s="1048">
        <v>-213000000000</v>
      </c>
      <c r="W55" s="1048">
        <v>-228000000000</v>
      </c>
      <c r="X55" s="1046">
        <v>-229000000000</v>
      </c>
      <c r="Y55" s="1008">
        <v>-234000000000</v>
      </c>
      <c r="Z55" s="1068">
        <v>-250000000000</v>
      </c>
      <c r="AA55" s="90"/>
      <c r="AB55" s="151"/>
      <c r="AC55" s="151"/>
      <c r="AD55" s="151"/>
      <c r="AE55" s="151"/>
      <c r="AF55" s="151"/>
      <c r="AG55" s="151"/>
      <c r="AH55" s="151"/>
      <c r="AI55" s="365"/>
      <c r="AJ55" s="365"/>
      <c r="AK55" s="365"/>
      <c r="AL55" s="365"/>
      <c r="AM55" s="365"/>
      <c r="AN55" s="365"/>
      <c r="AO55" s="365"/>
    </row>
    <row r="56" spans="1:41" ht="16.5">
      <c r="A56" s="988" t="s">
        <v>1104</v>
      </c>
      <c r="B56" s="988" t="s">
        <v>1104</v>
      </c>
      <c r="C56" s="981" t="s">
        <v>264</v>
      </c>
      <c r="D56" s="969"/>
      <c r="E56" s="969"/>
      <c r="F56" s="1048">
        <v>404000000000</v>
      </c>
      <c r="G56" s="1048">
        <v>369000000000</v>
      </c>
      <c r="H56" s="1050">
        <v>94000000000</v>
      </c>
      <c r="I56" s="1050">
        <v>38000000000</v>
      </c>
      <c r="J56" s="1050">
        <v>38000000000</v>
      </c>
      <c r="K56" s="1050">
        <v>40000000000</v>
      </c>
      <c r="L56" s="1050">
        <v>73000000000</v>
      </c>
      <c r="M56" s="1050">
        <v>45000000000</v>
      </c>
      <c r="N56" s="1050">
        <v>100000000000</v>
      </c>
      <c r="O56" s="1050">
        <v>156000000000</v>
      </c>
      <c r="P56" s="1048">
        <v>247000000000</v>
      </c>
      <c r="Q56" s="1048">
        <v>487000000000</v>
      </c>
      <c r="R56" s="1048">
        <v>649000000000</v>
      </c>
      <c r="S56" s="1048">
        <v>962000000000</v>
      </c>
      <c r="T56" s="1048">
        <v>453000000000</v>
      </c>
      <c r="U56" s="1048">
        <v>634000000000</v>
      </c>
      <c r="V56" s="1048">
        <v>560000000000</v>
      </c>
      <c r="W56" s="1048">
        <v>571000000000</v>
      </c>
      <c r="X56" s="1046">
        <v>608000000000</v>
      </c>
      <c r="Y56" s="1008">
        <v>654000000000</v>
      </c>
      <c r="Z56" s="1068">
        <v>636000000000</v>
      </c>
      <c r="AA56" s="90"/>
      <c r="AB56" s="151"/>
      <c r="AC56" s="151"/>
      <c r="AD56" s="151"/>
      <c r="AE56" s="151"/>
      <c r="AF56" s="151"/>
      <c r="AG56" s="151"/>
      <c r="AH56" s="151"/>
      <c r="AI56" s="365"/>
      <c r="AJ56" s="365"/>
      <c r="AK56" s="365"/>
      <c r="AL56" s="365"/>
      <c r="AM56" s="365"/>
      <c r="AN56" s="365"/>
      <c r="AO56" s="365"/>
    </row>
    <row r="57" spans="1:41">
      <c r="A57" s="997" t="s">
        <v>1463</v>
      </c>
      <c r="B57" s="997" t="s">
        <v>925</v>
      </c>
      <c r="C57" s="981" t="s">
        <v>499</v>
      </c>
      <c r="D57" s="969"/>
      <c r="E57" s="969"/>
      <c r="F57" s="1048">
        <v>49000000000</v>
      </c>
      <c r="G57" s="1048">
        <v>62000000000</v>
      </c>
      <c r="H57" s="1050">
        <v>0</v>
      </c>
      <c r="I57" s="1050">
        <v>38000000000</v>
      </c>
      <c r="J57" s="1050">
        <v>38000000000</v>
      </c>
      <c r="K57" s="1050">
        <v>40000000000</v>
      </c>
      <c r="L57" s="1050">
        <v>73000000000</v>
      </c>
      <c r="M57" s="1050"/>
      <c r="N57" s="1050"/>
      <c r="O57" s="1050"/>
      <c r="P57" s="1048"/>
      <c r="Q57" s="1048"/>
      <c r="R57" s="1048"/>
      <c r="S57" s="1048"/>
      <c r="T57" s="1048"/>
      <c r="U57" s="1048"/>
      <c r="V57" s="1048"/>
      <c r="W57" s="1048"/>
      <c r="X57" s="1046"/>
      <c r="Y57" s="1008"/>
      <c r="Z57" s="1010"/>
      <c r="AI57" s="365"/>
      <c r="AJ57" s="365"/>
      <c r="AK57" s="365"/>
      <c r="AL57" s="365"/>
      <c r="AM57" s="365"/>
      <c r="AN57" s="365"/>
      <c r="AO57" s="365"/>
    </row>
    <row r="58" spans="1:41">
      <c r="A58" s="997" t="s">
        <v>1464</v>
      </c>
      <c r="B58" s="997" t="s">
        <v>1465</v>
      </c>
      <c r="C58" s="981" t="s">
        <v>499</v>
      </c>
      <c r="D58" s="969"/>
      <c r="E58" s="969"/>
      <c r="F58" s="1048">
        <v>44000000000</v>
      </c>
      <c r="G58" s="1048">
        <v>47000000000</v>
      </c>
      <c r="H58" s="1050">
        <v>43000000000</v>
      </c>
      <c r="I58" s="1050">
        <v>0</v>
      </c>
      <c r="J58" s="1050">
        <v>0</v>
      </c>
      <c r="K58" s="1050">
        <v>0</v>
      </c>
      <c r="L58" s="1050">
        <v>0</v>
      </c>
      <c r="M58" s="1050"/>
      <c r="N58" s="1050"/>
      <c r="O58" s="1050"/>
      <c r="P58" s="1048"/>
      <c r="Q58" s="1048"/>
      <c r="R58" s="1048"/>
      <c r="S58" s="1048"/>
      <c r="T58" s="1048"/>
      <c r="U58" s="1048"/>
      <c r="V58" s="1048"/>
      <c r="W58" s="1048"/>
      <c r="X58" s="1046"/>
      <c r="Y58" s="1008"/>
      <c r="Z58" s="1010"/>
      <c r="AI58" s="365"/>
      <c r="AJ58" s="365"/>
      <c r="AK58" s="365"/>
      <c r="AL58" s="365"/>
      <c r="AM58" s="365"/>
      <c r="AN58" s="365"/>
      <c r="AO58" s="365"/>
    </row>
    <row r="59" spans="1:41">
      <c r="A59" s="997" t="s">
        <v>50</v>
      </c>
      <c r="B59" s="997" t="s">
        <v>50</v>
      </c>
      <c r="C59" s="981" t="s">
        <v>499</v>
      </c>
      <c r="D59" s="969"/>
      <c r="E59" s="969"/>
      <c r="F59" s="1048">
        <f>F56-F57-F58</f>
        <v>311000000000</v>
      </c>
      <c r="G59" s="1048">
        <f t="shared" ref="G59:H59" si="2">G56-G57-G58</f>
        <v>260000000000</v>
      </c>
      <c r="H59" s="1048">
        <f t="shared" si="2"/>
        <v>51000000000</v>
      </c>
      <c r="I59" s="1048"/>
      <c r="J59" s="1050"/>
      <c r="K59" s="1050"/>
      <c r="L59" s="1050"/>
      <c r="M59" s="1050"/>
      <c r="N59" s="1050"/>
      <c r="O59" s="1050"/>
      <c r="P59" s="1048"/>
      <c r="Q59" s="1048"/>
      <c r="R59" s="1048"/>
      <c r="S59" s="1048"/>
      <c r="T59" s="1048"/>
      <c r="U59" s="1048"/>
      <c r="V59" s="1048"/>
      <c r="W59" s="1048"/>
      <c r="X59" s="1046"/>
      <c r="Y59" s="1008"/>
      <c r="Z59" s="1010"/>
      <c r="AI59" s="365"/>
      <c r="AJ59" s="365"/>
      <c r="AK59" s="365"/>
      <c r="AL59" s="365"/>
      <c r="AM59" s="365"/>
      <c r="AN59" s="365"/>
      <c r="AO59" s="365"/>
    </row>
    <row r="60" spans="1:41">
      <c r="A60" s="988" t="s">
        <v>1466</v>
      </c>
      <c r="B60" s="988" t="s">
        <v>1467</v>
      </c>
      <c r="C60" s="981" t="s">
        <v>264</v>
      </c>
      <c r="D60" s="969"/>
      <c r="E60" s="969"/>
      <c r="F60" s="1048">
        <v>311000000000</v>
      </c>
      <c r="G60" s="1048">
        <v>261000000000</v>
      </c>
      <c r="H60" s="1050">
        <v>0</v>
      </c>
      <c r="I60" s="1050">
        <v>0</v>
      </c>
      <c r="J60" s="1050">
        <v>14000000000</v>
      </c>
      <c r="K60" s="1050"/>
      <c r="L60" s="1050"/>
      <c r="M60" s="1050"/>
      <c r="N60" s="1050"/>
      <c r="O60" s="1050"/>
      <c r="P60" s="1048"/>
      <c r="Q60" s="1048"/>
      <c r="R60" s="1048"/>
      <c r="S60" s="1048"/>
      <c r="T60" s="1048"/>
      <c r="U60" s="1048"/>
      <c r="V60" s="1048"/>
      <c r="W60" s="1048"/>
      <c r="X60" s="1046"/>
      <c r="Y60" s="1008"/>
      <c r="Z60" s="1010"/>
      <c r="AI60" s="365"/>
      <c r="AJ60" s="365"/>
      <c r="AK60" s="365"/>
      <c r="AL60" s="365"/>
      <c r="AM60" s="365"/>
      <c r="AN60" s="365"/>
      <c r="AO60" s="365"/>
    </row>
    <row r="61" spans="1:41">
      <c r="A61" s="988" t="s">
        <v>1468</v>
      </c>
      <c r="B61" s="988" t="s">
        <v>1469</v>
      </c>
      <c r="C61" s="981" t="s">
        <v>264</v>
      </c>
      <c r="D61" s="969"/>
      <c r="E61" s="969"/>
      <c r="F61" s="1048">
        <v>0</v>
      </c>
      <c r="G61" s="1048">
        <v>0</v>
      </c>
      <c r="H61" s="1050">
        <v>252000000000</v>
      </c>
      <c r="I61" s="1050">
        <v>200000000000</v>
      </c>
      <c r="J61" s="1050">
        <v>107000000000</v>
      </c>
      <c r="K61" s="1050"/>
      <c r="L61" s="1050"/>
      <c r="M61" s="1050"/>
      <c r="N61" s="1050"/>
      <c r="O61" s="1050"/>
      <c r="P61" s="1048"/>
      <c r="Q61" s="1048"/>
      <c r="R61" s="1048"/>
      <c r="S61" s="1048"/>
      <c r="T61" s="1048"/>
      <c r="U61" s="1048"/>
      <c r="V61" s="1048"/>
      <c r="W61" s="1048"/>
      <c r="X61" s="1046"/>
      <c r="Y61" s="1008"/>
      <c r="Z61" s="1010"/>
      <c r="AI61" s="365"/>
      <c r="AJ61" s="365"/>
      <c r="AK61" s="365"/>
      <c r="AL61" s="365"/>
      <c r="AM61" s="365"/>
      <c r="AN61" s="365"/>
      <c r="AO61" s="365"/>
    </row>
    <row r="62" spans="1:41">
      <c r="A62" s="1062" t="s">
        <v>421</v>
      </c>
      <c r="B62" s="1062" t="s">
        <v>421</v>
      </c>
      <c r="C62" s="981" t="s">
        <v>264</v>
      </c>
      <c r="D62" s="969"/>
      <c r="E62" s="969"/>
      <c r="F62" s="1048">
        <f>F54-F55-F56-F60-F61</f>
        <v>-310000000000</v>
      </c>
      <c r="G62" s="1048">
        <f>G54-G55-G56-G60-G61</f>
        <v>-247000000000</v>
      </c>
      <c r="H62" s="1048">
        <f>H54-H55-H56-H60-H61</f>
        <v>1000000000</v>
      </c>
      <c r="I62" s="1048">
        <f>I54-I55-I56-I60-I61</f>
        <v>0</v>
      </c>
      <c r="J62" s="1048">
        <f>J54-J55-J56-J60-J61</f>
        <v>0</v>
      </c>
      <c r="K62" s="1050"/>
      <c r="L62" s="1050"/>
      <c r="M62" s="1050"/>
      <c r="N62" s="1050"/>
      <c r="O62" s="1050"/>
      <c r="P62" s="1048"/>
      <c r="Q62" s="1048"/>
      <c r="R62" s="1048"/>
      <c r="S62" s="1048"/>
      <c r="T62" s="1048"/>
      <c r="U62" s="1048"/>
      <c r="V62" s="1048"/>
      <c r="W62" s="1048"/>
      <c r="X62" s="1046"/>
      <c r="Y62" s="1008"/>
      <c r="Z62" s="1010"/>
      <c r="AI62" s="365"/>
      <c r="AJ62" s="365"/>
      <c r="AK62" s="365"/>
      <c r="AL62" s="365"/>
      <c r="AM62" s="365"/>
      <c r="AN62" s="365"/>
      <c r="AO62" s="365"/>
    </row>
    <row r="63" spans="1:41" ht="16.5">
      <c r="A63" s="981" t="s">
        <v>120</v>
      </c>
      <c r="B63" s="981" t="s">
        <v>1470</v>
      </c>
      <c r="C63" s="982" t="s">
        <v>119</v>
      </c>
      <c r="D63" s="969"/>
      <c r="E63" s="969"/>
      <c r="F63" s="1048">
        <v>-146000000000</v>
      </c>
      <c r="G63" s="1048">
        <v>-164000000000</v>
      </c>
      <c r="H63" s="1050">
        <v>-36000000000</v>
      </c>
      <c r="I63" s="1050">
        <v>-204000000000</v>
      </c>
      <c r="J63" s="1050">
        <v>-462000000000</v>
      </c>
      <c r="K63" s="1050">
        <v>-318000000000</v>
      </c>
      <c r="L63" s="1050">
        <v>-204000000000</v>
      </c>
      <c r="M63" s="1050">
        <v>45000000000</v>
      </c>
      <c r="N63" s="1050">
        <v>212000000000</v>
      </c>
      <c r="O63" s="1050">
        <v>306000000000</v>
      </c>
      <c r="P63" s="1048">
        <v>154000000000</v>
      </c>
      <c r="Q63" s="1048">
        <v>172000000000</v>
      </c>
      <c r="R63" s="1048">
        <v>137000000000</v>
      </c>
      <c r="S63" s="1048">
        <v>-429000000000</v>
      </c>
      <c r="T63" s="1048">
        <v>578000000000</v>
      </c>
      <c r="U63" s="1048">
        <v>-177000000000</v>
      </c>
      <c r="V63" s="1048">
        <v>49000000000</v>
      </c>
      <c r="W63" s="1048">
        <v>-146000000000</v>
      </c>
      <c r="X63" s="1046">
        <v>58000000000</v>
      </c>
      <c r="Y63" s="1008">
        <v>-144000000000</v>
      </c>
      <c r="Z63" s="1068">
        <v>-116000000000</v>
      </c>
      <c r="AA63" s="90"/>
      <c r="AB63" s="151"/>
      <c r="AC63" s="151"/>
      <c r="AD63" s="151"/>
      <c r="AE63" s="151"/>
      <c r="AF63" s="151"/>
      <c r="AG63" s="151"/>
      <c r="AH63" s="151"/>
      <c r="AI63" s="365"/>
      <c r="AJ63" s="365"/>
      <c r="AK63" s="365"/>
      <c r="AL63" s="365"/>
      <c r="AM63" s="365"/>
      <c r="AN63" s="365"/>
      <c r="AO63" s="365"/>
    </row>
    <row r="64" spans="1:41" ht="16.5">
      <c r="A64" s="988" t="s">
        <v>861</v>
      </c>
      <c r="B64" s="988" t="s">
        <v>1471</v>
      </c>
      <c r="C64" s="981" t="s">
        <v>124</v>
      </c>
      <c r="D64" s="969"/>
      <c r="E64" s="969"/>
      <c r="F64" s="1048">
        <v>35000000000</v>
      </c>
      <c r="G64" s="1048">
        <v>-20000000000</v>
      </c>
      <c r="H64" s="1050">
        <v>13000000000</v>
      </c>
      <c r="I64" s="1050">
        <v>-139000000000</v>
      </c>
      <c r="J64" s="1050">
        <v>-305000000000</v>
      </c>
      <c r="K64" s="1050">
        <v>-217000000000</v>
      </c>
      <c r="L64" s="1050">
        <v>-155000000000</v>
      </c>
      <c r="M64" s="1050">
        <v>76000000000</v>
      </c>
      <c r="N64" s="1050">
        <v>-62000000000</v>
      </c>
      <c r="O64" s="1050">
        <v>154000000000</v>
      </c>
      <c r="P64" s="1048">
        <v>103000000000</v>
      </c>
      <c r="Q64" s="1048">
        <v>24000000000</v>
      </c>
      <c r="R64" s="1048"/>
      <c r="S64" s="1048"/>
      <c r="T64" s="1048"/>
      <c r="U64" s="1048"/>
      <c r="V64" s="1048"/>
      <c r="W64" s="1048"/>
      <c r="X64" s="1046"/>
      <c r="Y64" s="1008"/>
      <c r="Z64" s="1068"/>
      <c r="AA64" s="90"/>
      <c r="AB64" s="151"/>
      <c r="AC64" s="151"/>
      <c r="AD64" s="151"/>
      <c r="AE64" s="151"/>
      <c r="AF64" s="151"/>
      <c r="AG64" s="151"/>
      <c r="AH64" s="151"/>
      <c r="AI64" s="365"/>
      <c r="AJ64" s="365"/>
      <c r="AK64" s="365"/>
      <c r="AL64" s="365"/>
      <c r="AM64" s="365"/>
      <c r="AN64" s="365"/>
      <c r="AO64" s="365"/>
    </row>
    <row r="65" spans="1:41">
      <c r="A65" s="972" t="s">
        <v>76</v>
      </c>
      <c r="B65" s="997" t="s">
        <v>1472</v>
      </c>
      <c r="C65" s="981"/>
      <c r="D65" s="969"/>
      <c r="E65" s="969"/>
      <c r="F65" s="1050"/>
      <c r="G65" s="1050"/>
      <c r="H65" s="1050">
        <v>-7000000000</v>
      </c>
      <c r="I65" s="1050">
        <v>-151000000000</v>
      </c>
      <c r="J65" s="1050">
        <v>-238000000000</v>
      </c>
      <c r="K65" s="1050">
        <v>-191000000000</v>
      </c>
      <c r="L65" s="1050">
        <v>-140000000000</v>
      </c>
      <c r="M65" s="1050"/>
      <c r="N65" s="1050"/>
      <c r="O65" s="1050"/>
      <c r="P65" s="1048"/>
      <c r="Q65" s="1048"/>
      <c r="R65" s="1048"/>
      <c r="S65" s="1048"/>
      <c r="T65" s="1048"/>
      <c r="U65" s="1048"/>
      <c r="V65" s="1048"/>
      <c r="W65" s="1048"/>
      <c r="X65" s="1046"/>
      <c r="Y65" s="1008"/>
      <c r="Z65" s="1010"/>
      <c r="AI65" s="365"/>
      <c r="AJ65" s="365"/>
      <c r="AK65" s="365"/>
      <c r="AL65" s="365"/>
      <c r="AM65" s="365"/>
      <c r="AN65" s="365"/>
      <c r="AO65" s="365"/>
    </row>
    <row r="66" spans="1:41">
      <c r="A66" s="972" t="s">
        <v>76</v>
      </c>
      <c r="B66" s="997" t="s">
        <v>1473</v>
      </c>
      <c r="C66" s="981"/>
      <c r="D66" s="969"/>
      <c r="E66" s="969"/>
      <c r="F66" s="1050"/>
      <c r="G66" s="1050"/>
      <c r="H66" s="1050">
        <v>20000000000</v>
      </c>
      <c r="I66" s="1050">
        <v>12000000000</v>
      </c>
      <c r="J66" s="1050">
        <v>-2000000000</v>
      </c>
      <c r="K66" s="1050"/>
      <c r="L66" s="1050"/>
      <c r="M66" s="1050"/>
      <c r="N66" s="1050"/>
      <c r="O66" s="1050"/>
      <c r="P66" s="1048"/>
      <c r="Q66" s="1048"/>
      <c r="R66" s="1048"/>
      <c r="S66" s="1048"/>
      <c r="T66" s="1048"/>
      <c r="U66" s="1048"/>
      <c r="V66" s="1048"/>
      <c r="W66" s="1048"/>
      <c r="X66" s="1046"/>
      <c r="Y66" s="1008"/>
      <c r="Z66" s="1010"/>
      <c r="AI66" s="365"/>
      <c r="AJ66" s="365"/>
      <c r="AK66" s="365"/>
      <c r="AL66" s="365"/>
      <c r="AM66" s="365"/>
      <c r="AN66" s="365"/>
      <c r="AO66" s="365"/>
    </row>
    <row r="67" spans="1:41">
      <c r="A67" s="972" t="s">
        <v>76</v>
      </c>
      <c r="B67" s="997" t="s">
        <v>1474</v>
      </c>
      <c r="C67" s="981"/>
      <c r="D67" s="969"/>
      <c r="E67" s="969"/>
      <c r="F67" s="1050"/>
      <c r="G67" s="1050"/>
      <c r="H67" s="1050"/>
      <c r="I67" s="1050"/>
      <c r="J67" s="1050">
        <v>-65000000000</v>
      </c>
      <c r="K67" s="1050"/>
      <c r="L67" s="1050"/>
      <c r="M67" s="1050"/>
      <c r="N67" s="1050"/>
      <c r="O67" s="1050"/>
      <c r="P67" s="1048"/>
      <c r="Q67" s="1048"/>
      <c r="R67" s="1048"/>
      <c r="S67" s="1048"/>
      <c r="T67" s="1048"/>
      <c r="U67" s="1048"/>
      <c r="V67" s="1048"/>
      <c r="W67" s="1048"/>
      <c r="X67" s="1046"/>
      <c r="Y67" s="1008"/>
      <c r="Z67" s="1010"/>
      <c r="AI67" s="365"/>
      <c r="AJ67" s="365"/>
      <c r="AK67" s="365"/>
      <c r="AL67" s="365"/>
      <c r="AM67" s="365"/>
      <c r="AN67" s="365"/>
      <c r="AO67" s="365"/>
    </row>
    <row r="68" spans="1:41">
      <c r="A68" s="988" t="s">
        <v>1475</v>
      </c>
      <c r="B68" s="988" t="s">
        <v>1475</v>
      </c>
      <c r="C68" s="981" t="s">
        <v>124</v>
      </c>
      <c r="D68" s="969"/>
      <c r="E68" s="969"/>
      <c r="F68" s="1050"/>
      <c r="G68" s="1050"/>
      <c r="H68" s="1050"/>
      <c r="I68" s="1050"/>
      <c r="J68" s="1050"/>
      <c r="K68" s="1050"/>
      <c r="L68" s="1050"/>
      <c r="M68" s="1050"/>
      <c r="N68" s="1050"/>
      <c r="O68" s="1050"/>
      <c r="P68" s="1048"/>
      <c r="Q68" s="1048"/>
      <c r="R68" s="1048"/>
      <c r="S68" s="1048"/>
      <c r="T68" s="1048"/>
      <c r="U68" s="1048"/>
      <c r="V68" s="1048"/>
      <c r="W68" s="1048"/>
      <c r="X68" s="1046"/>
      <c r="Y68" s="1008"/>
      <c r="Z68" s="1010"/>
      <c r="AI68" s="365"/>
      <c r="AJ68" s="365"/>
      <c r="AK68" s="365"/>
      <c r="AL68" s="365"/>
      <c r="AM68" s="365"/>
      <c r="AN68" s="365"/>
      <c r="AO68" s="365"/>
    </row>
    <row r="69" spans="1:41">
      <c r="A69" s="988" t="s">
        <v>1476</v>
      </c>
      <c r="B69" s="988" t="s">
        <v>1477</v>
      </c>
      <c r="C69" s="981" t="s">
        <v>124</v>
      </c>
      <c r="D69" s="969"/>
      <c r="E69" s="969"/>
      <c r="F69" s="1051"/>
      <c r="G69" s="1051"/>
      <c r="H69" s="1051"/>
      <c r="I69" s="1051"/>
      <c r="J69" s="1051"/>
      <c r="K69" s="1051"/>
      <c r="L69" s="1051"/>
      <c r="M69" s="1051"/>
      <c r="N69" s="1050">
        <v>103000000000</v>
      </c>
      <c r="O69" s="1051"/>
      <c r="P69" s="1048"/>
      <c r="Q69" s="1048"/>
      <c r="R69" s="1048"/>
      <c r="S69" s="1048"/>
      <c r="T69" s="1048"/>
      <c r="U69" s="1048"/>
      <c r="V69" s="1048"/>
      <c r="W69" s="1048"/>
      <c r="X69" s="1046"/>
      <c r="Y69" s="1008"/>
      <c r="Z69" s="1010"/>
      <c r="AI69" s="365"/>
      <c r="AJ69" s="365"/>
      <c r="AK69" s="365"/>
      <c r="AL69" s="365"/>
      <c r="AM69" s="365"/>
      <c r="AN69" s="365"/>
      <c r="AO69" s="365"/>
    </row>
    <row r="70" spans="1:41" ht="16.5">
      <c r="A70" s="988" t="s">
        <v>1478</v>
      </c>
      <c r="B70" s="988" t="s">
        <v>1479</v>
      </c>
      <c r="C70" s="981" t="s">
        <v>124</v>
      </c>
      <c r="D70" s="969"/>
      <c r="E70" s="969"/>
      <c r="F70" s="1051"/>
      <c r="G70" s="1051"/>
      <c r="H70" s="1051"/>
      <c r="I70" s="1051"/>
      <c r="J70" s="1051"/>
      <c r="K70" s="1051"/>
      <c r="L70" s="1051"/>
      <c r="M70" s="1051"/>
      <c r="N70" s="1050">
        <v>200000000000</v>
      </c>
      <c r="O70" s="1050">
        <v>0</v>
      </c>
      <c r="P70" s="1048">
        <v>0</v>
      </c>
      <c r="Q70" s="1048">
        <v>80000000000</v>
      </c>
      <c r="R70" s="1048"/>
      <c r="S70" s="1048"/>
      <c r="T70" s="1048"/>
      <c r="U70" s="1048"/>
      <c r="V70" s="1048"/>
      <c r="W70" s="1048"/>
      <c r="X70" s="1046"/>
      <c r="Y70" s="1008"/>
      <c r="Z70" s="1068"/>
      <c r="AA70" s="90"/>
      <c r="AB70" s="151"/>
      <c r="AC70" s="151"/>
      <c r="AD70" s="151"/>
      <c r="AE70" s="151"/>
      <c r="AF70" s="151"/>
      <c r="AG70" s="151"/>
      <c r="AH70" s="151"/>
      <c r="AI70" s="365"/>
      <c r="AJ70" s="365"/>
      <c r="AK70" s="365"/>
      <c r="AL70" s="365"/>
      <c r="AM70" s="365"/>
      <c r="AN70" s="365"/>
      <c r="AO70" s="365"/>
    </row>
    <row r="71" spans="1:41" ht="16.5">
      <c r="A71" s="988" t="s">
        <v>1480</v>
      </c>
      <c r="B71" s="988" t="s">
        <v>1481</v>
      </c>
      <c r="C71" s="981" t="s">
        <v>124</v>
      </c>
      <c r="D71" s="969"/>
      <c r="E71" s="969"/>
      <c r="F71" s="1051"/>
      <c r="G71" s="1051"/>
      <c r="H71" s="1050">
        <v>-33000000000</v>
      </c>
      <c r="I71" s="1050">
        <v>-69000000000</v>
      </c>
      <c r="J71" s="1050">
        <v>-159000000000</v>
      </c>
      <c r="K71" s="1050">
        <v>-106000000000</v>
      </c>
      <c r="L71" s="1050">
        <v>-59000000000</v>
      </c>
      <c r="M71" s="1050">
        <v>-31000000000</v>
      </c>
      <c r="N71" s="1050">
        <v>-34000000000</v>
      </c>
      <c r="O71" s="1050">
        <v>-47000000000</v>
      </c>
      <c r="P71" s="1048">
        <v>-101000000000</v>
      </c>
      <c r="Q71" s="1048">
        <v>-86000000000</v>
      </c>
      <c r="R71" s="1048"/>
      <c r="S71" s="1048"/>
      <c r="T71" s="1048"/>
      <c r="U71" s="1048"/>
      <c r="V71" s="1048"/>
      <c r="W71" s="1048"/>
      <c r="X71" s="1046"/>
      <c r="Y71" s="1008"/>
      <c r="Z71" s="1068"/>
      <c r="AA71" s="90"/>
      <c r="AB71" s="151"/>
      <c r="AC71" s="151"/>
      <c r="AD71" s="151"/>
      <c r="AE71" s="151"/>
      <c r="AF71" s="151"/>
      <c r="AG71" s="151"/>
      <c r="AH71" s="151"/>
      <c r="AI71" s="365"/>
      <c r="AJ71" s="365"/>
      <c r="AK71" s="365"/>
      <c r="AL71" s="365"/>
      <c r="AM71" s="365"/>
      <c r="AN71" s="365"/>
      <c r="AO71" s="365"/>
    </row>
    <row r="72" spans="1:41" ht="16.5">
      <c r="A72" s="988" t="s">
        <v>1482</v>
      </c>
      <c r="B72" s="988" t="s">
        <v>1483</v>
      </c>
      <c r="C72" s="981" t="s">
        <v>124</v>
      </c>
      <c r="D72" s="969"/>
      <c r="E72" s="969"/>
      <c r="F72" s="1051"/>
      <c r="G72" s="1051"/>
      <c r="H72" s="1051"/>
      <c r="I72" s="1051"/>
      <c r="J72" s="1051"/>
      <c r="K72" s="1051"/>
      <c r="L72" s="1051"/>
      <c r="M72" s="1051"/>
      <c r="N72" s="1050">
        <v>0</v>
      </c>
      <c r="O72" s="1050">
        <v>80000000000</v>
      </c>
      <c r="P72" s="1048">
        <v>85000000000</v>
      </c>
      <c r="Q72" s="1048">
        <v>0</v>
      </c>
      <c r="R72" s="1048"/>
      <c r="S72" s="1048"/>
      <c r="T72" s="1048"/>
      <c r="U72" s="1048"/>
      <c r="V72" s="1048"/>
      <c r="W72" s="1048"/>
      <c r="X72" s="1046"/>
      <c r="Y72" s="1008"/>
      <c r="Z72" s="1068"/>
      <c r="AA72" s="90"/>
      <c r="AB72" s="151"/>
      <c r="AC72" s="151"/>
      <c r="AD72" s="151"/>
      <c r="AE72" s="151"/>
      <c r="AF72" s="151"/>
      <c r="AG72" s="151"/>
      <c r="AH72" s="151"/>
      <c r="AI72" s="365"/>
      <c r="AJ72" s="365"/>
      <c r="AK72" s="365"/>
      <c r="AL72" s="365"/>
      <c r="AM72" s="365"/>
      <c r="AN72" s="365"/>
      <c r="AO72" s="365"/>
    </row>
    <row r="73" spans="1:41" ht="16.5">
      <c r="A73" s="988" t="s">
        <v>1094</v>
      </c>
      <c r="B73" s="988" t="s">
        <v>1484</v>
      </c>
      <c r="C73" s="981" t="s">
        <v>124</v>
      </c>
      <c r="D73" s="969"/>
      <c r="E73" s="969"/>
      <c r="F73" s="1048">
        <v>-181000000000</v>
      </c>
      <c r="G73" s="1048">
        <v>-144000000000</v>
      </c>
      <c r="H73" s="1050">
        <v>-16000000000</v>
      </c>
      <c r="I73" s="1050">
        <v>5000000000</v>
      </c>
      <c r="J73" s="1050">
        <v>2000000000</v>
      </c>
      <c r="K73" s="1050">
        <v>4000000000</v>
      </c>
      <c r="L73" s="1050">
        <v>10000000000</v>
      </c>
      <c r="M73" s="1050">
        <v>0</v>
      </c>
      <c r="N73" s="1050">
        <v>5000000000</v>
      </c>
      <c r="O73" s="1050">
        <v>118000000000</v>
      </c>
      <c r="P73" s="1048">
        <v>66000000000</v>
      </c>
      <c r="Q73" s="1048">
        <v>154000000000</v>
      </c>
      <c r="R73" s="1048"/>
      <c r="S73" s="1048"/>
      <c r="T73" s="1048"/>
      <c r="U73" s="1048"/>
      <c r="V73" s="1048"/>
      <c r="W73" s="1048"/>
      <c r="X73" s="1046"/>
      <c r="Y73" s="1008"/>
      <c r="Z73" s="1068"/>
      <c r="AA73" s="90"/>
      <c r="AB73" s="151"/>
      <c r="AC73" s="151"/>
      <c r="AD73" s="151"/>
      <c r="AE73" s="151"/>
      <c r="AF73" s="151"/>
      <c r="AG73" s="151"/>
      <c r="AH73" s="151"/>
      <c r="AI73" s="365"/>
      <c r="AJ73" s="365"/>
      <c r="AK73" s="365"/>
      <c r="AL73" s="365"/>
      <c r="AM73" s="365"/>
      <c r="AN73" s="365"/>
      <c r="AO73" s="365"/>
    </row>
    <row r="74" spans="1:41">
      <c r="A74" s="972" t="s">
        <v>76</v>
      </c>
      <c r="B74" s="988" t="s">
        <v>1485</v>
      </c>
      <c r="C74" s="981"/>
      <c r="D74" s="969"/>
      <c r="E74" s="969"/>
      <c r="F74" s="1051"/>
      <c r="G74" s="1051"/>
      <c r="H74" s="1050">
        <v>0</v>
      </c>
      <c r="I74" s="1050">
        <v>5000000000</v>
      </c>
      <c r="J74" s="1050">
        <v>0</v>
      </c>
      <c r="K74" s="1050">
        <v>0</v>
      </c>
      <c r="L74" s="1050">
        <v>0</v>
      </c>
      <c r="M74" s="1051"/>
      <c r="N74" s="1050"/>
      <c r="O74" s="1050"/>
      <c r="P74" s="1048"/>
      <c r="Q74" s="1048"/>
      <c r="R74" s="1048"/>
      <c r="S74" s="1048"/>
      <c r="T74" s="1048"/>
      <c r="U74" s="1048"/>
      <c r="V74" s="1048"/>
      <c r="W74" s="1048"/>
      <c r="X74" s="1046"/>
      <c r="Y74" s="1008"/>
      <c r="Z74" s="1010"/>
      <c r="AJ74" s="365"/>
      <c r="AK74" s="365"/>
      <c r="AL74" s="365"/>
      <c r="AM74" s="365"/>
      <c r="AN74" s="365"/>
      <c r="AO74" s="365"/>
    </row>
    <row r="75" spans="1:41" ht="16.5">
      <c r="A75" s="981" t="s">
        <v>1486</v>
      </c>
      <c r="B75" s="981" t="s">
        <v>1487</v>
      </c>
      <c r="C75" s="982" t="s">
        <v>119</v>
      </c>
      <c r="D75" s="969"/>
      <c r="E75" s="969"/>
      <c r="F75" s="1051"/>
      <c r="G75" s="1053">
        <f>G53-G54-G63</f>
        <v>-27000000000</v>
      </c>
      <c r="H75" s="1051"/>
      <c r="I75" s="1050">
        <v>0</v>
      </c>
      <c r="J75" s="1051"/>
      <c r="K75" s="1051"/>
      <c r="L75" s="1051"/>
      <c r="M75" s="1051"/>
      <c r="N75" s="1050">
        <v>0</v>
      </c>
      <c r="O75" s="1050">
        <v>25000000000</v>
      </c>
      <c r="P75" s="1048">
        <v>-6000000000</v>
      </c>
      <c r="Q75" s="1048">
        <v>-3000000000</v>
      </c>
      <c r="R75" s="1048">
        <v>19000000000</v>
      </c>
      <c r="S75" s="1048">
        <v>1000000000</v>
      </c>
      <c r="T75" s="1048">
        <v>59000000000</v>
      </c>
      <c r="U75" s="1048">
        <v>0</v>
      </c>
      <c r="V75" s="1048">
        <v>0</v>
      </c>
      <c r="W75" s="1048">
        <v>0</v>
      </c>
      <c r="X75" s="1046">
        <v>0</v>
      </c>
      <c r="Y75" s="1008">
        <v>0</v>
      </c>
      <c r="Z75" s="1068">
        <v>0</v>
      </c>
      <c r="AA75" s="90"/>
      <c r="AB75" s="151"/>
      <c r="AC75" s="151"/>
      <c r="AD75" s="151"/>
      <c r="AE75" s="151"/>
      <c r="AF75" s="151"/>
      <c r="AG75" s="151"/>
      <c r="AH75" s="151"/>
      <c r="AI75" s="365"/>
      <c r="AJ75" s="365"/>
      <c r="AK75" s="365"/>
      <c r="AL75" s="365"/>
      <c r="AM75" s="365"/>
      <c r="AN75" s="365"/>
      <c r="AO75" s="365"/>
    </row>
    <row r="76" spans="1:41" ht="16.5">
      <c r="B76" s="981" t="s">
        <v>1488</v>
      </c>
      <c r="D76" s="969"/>
      <c r="E76" s="969"/>
      <c r="F76" s="1051"/>
      <c r="G76" s="1051"/>
      <c r="H76" s="1051"/>
      <c r="I76" s="1051"/>
      <c r="J76" s="1051"/>
      <c r="K76" s="1050">
        <v>0</v>
      </c>
      <c r="L76" s="1050">
        <v>0</v>
      </c>
      <c r="M76" s="1051"/>
      <c r="N76" s="1050">
        <v>0</v>
      </c>
      <c r="O76" s="1050">
        <v>0</v>
      </c>
      <c r="P76" s="1048">
        <v>0</v>
      </c>
      <c r="Q76" s="1048">
        <v>0</v>
      </c>
      <c r="R76" s="1048"/>
      <c r="S76" s="1048"/>
      <c r="T76" s="1048"/>
      <c r="U76" s="1048">
        <v>486000000000</v>
      </c>
      <c r="V76" s="1048">
        <v>335000000000</v>
      </c>
      <c r="W76" s="1048">
        <v>341000000000</v>
      </c>
      <c r="X76" s="1046">
        <v>42000000000</v>
      </c>
      <c r="Y76" s="1008">
        <v>0</v>
      </c>
      <c r="Z76" s="1068">
        <v>0</v>
      </c>
      <c r="AA76" s="90"/>
      <c r="AB76" s="151"/>
      <c r="AC76" s="151"/>
      <c r="AD76" s="151"/>
      <c r="AE76" s="151"/>
      <c r="AF76" s="151"/>
      <c r="AG76" s="151"/>
      <c r="AH76" s="410"/>
      <c r="AI76" s="365"/>
      <c r="AJ76" s="365"/>
      <c r="AK76" s="365"/>
      <c r="AL76" s="365"/>
      <c r="AM76" s="365"/>
      <c r="AN76" s="365"/>
      <c r="AO76" s="365"/>
    </row>
    <row r="77" spans="1:41" ht="16.5">
      <c r="B77" s="981"/>
      <c r="D77" s="969"/>
      <c r="E77" s="969"/>
      <c r="F77" s="1051"/>
      <c r="G77" s="1051"/>
      <c r="H77" s="1051"/>
      <c r="I77" s="1051"/>
      <c r="J77" s="1051"/>
      <c r="K77" s="1050"/>
      <c r="L77" s="1050"/>
      <c r="M77" s="1051"/>
      <c r="N77" s="1050"/>
      <c r="O77" s="1050"/>
      <c r="P77" s="1048"/>
      <c r="Q77" s="1048"/>
      <c r="R77" s="1048"/>
      <c r="S77" s="1048"/>
      <c r="T77" s="1048"/>
      <c r="U77" s="1048">
        <v>167000000000</v>
      </c>
      <c r="V77" s="1048">
        <v>86000000000</v>
      </c>
      <c r="W77" s="1048">
        <v>85000000000</v>
      </c>
      <c r="X77" s="1046">
        <v>43000000000</v>
      </c>
      <c r="Y77" s="1008">
        <v>0</v>
      </c>
      <c r="Z77" s="1068">
        <v>0</v>
      </c>
      <c r="AA77" s="90"/>
      <c r="AB77" s="151"/>
      <c r="AC77" s="151"/>
      <c r="AD77" s="151"/>
      <c r="AE77" s="151"/>
      <c r="AF77" s="151"/>
      <c r="AG77" s="151"/>
      <c r="AH77" s="410"/>
      <c r="AI77" s="365"/>
      <c r="AJ77" s="365"/>
      <c r="AK77" s="365"/>
      <c r="AL77" s="365"/>
      <c r="AM77" s="365"/>
      <c r="AN77" s="365"/>
      <c r="AO77" s="365"/>
    </row>
    <row r="78" spans="1:41" ht="16.5">
      <c r="B78" s="981"/>
      <c r="D78" s="969"/>
      <c r="E78" s="969"/>
      <c r="F78" s="1051"/>
      <c r="G78" s="1051"/>
      <c r="H78" s="1051"/>
      <c r="I78" s="1051"/>
      <c r="J78" s="1051"/>
      <c r="K78" s="1050"/>
      <c r="L78" s="1050"/>
      <c r="M78" s="1051"/>
      <c r="N78" s="1050"/>
      <c r="O78" s="1050"/>
      <c r="P78" s="1048"/>
      <c r="Q78" s="1048"/>
      <c r="R78" s="1048"/>
      <c r="S78" s="1048"/>
      <c r="T78" s="1048"/>
      <c r="U78" s="1048">
        <v>319000000000</v>
      </c>
      <c r="V78" s="1048">
        <v>250000000000</v>
      </c>
      <c r="W78" s="1048">
        <v>256000000000</v>
      </c>
      <c r="X78" s="1046">
        <v>0</v>
      </c>
      <c r="Y78" s="1008">
        <v>0</v>
      </c>
      <c r="Z78" s="1068">
        <v>0</v>
      </c>
      <c r="AA78" s="90"/>
      <c r="AB78" s="151"/>
      <c r="AC78" s="151"/>
      <c r="AD78" s="151"/>
      <c r="AE78" s="151"/>
      <c r="AF78" s="151"/>
      <c r="AG78" s="151"/>
      <c r="AH78" s="410"/>
      <c r="AI78" s="365"/>
      <c r="AJ78" s="365"/>
      <c r="AK78" s="365"/>
      <c r="AL78" s="365"/>
      <c r="AM78" s="365"/>
      <c r="AN78" s="365"/>
      <c r="AO78" s="365"/>
    </row>
    <row r="79" spans="1:41">
      <c r="B79" s="981" t="s">
        <v>1489</v>
      </c>
      <c r="C79" s="981"/>
      <c r="D79" s="969"/>
      <c r="E79" s="969"/>
      <c r="F79" s="1051"/>
      <c r="G79" s="1051"/>
      <c r="H79" s="1051"/>
      <c r="I79" s="1051"/>
      <c r="J79" s="1051"/>
      <c r="K79" s="1051"/>
      <c r="L79" s="1051"/>
      <c r="M79" s="1051"/>
      <c r="N79" s="1051"/>
      <c r="O79" s="1051"/>
      <c r="P79" s="972">
        <f t="shared" ref="P79:V79" si="3">(P16/P6)*100</f>
        <v>2.3083264633140974</v>
      </c>
      <c r="Q79" s="972">
        <f t="shared" si="3"/>
        <v>1.7537171178040414</v>
      </c>
      <c r="R79" s="972">
        <f t="shared" si="3"/>
        <v>1.5679442508710801</v>
      </c>
      <c r="S79" s="972">
        <f t="shared" si="3"/>
        <v>0.36508463325589113</v>
      </c>
      <c r="T79" s="972">
        <f t="shared" si="3"/>
        <v>1.884159106769016</v>
      </c>
      <c r="U79" s="972">
        <f t="shared" si="3"/>
        <v>2.3817742492233345</v>
      </c>
      <c r="V79" s="972">
        <f t="shared" si="3"/>
        <v>2.0369191597708465</v>
      </c>
      <c r="W79" s="972">
        <f>(W16/W6)*100</f>
        <v>1.7615971814445095</v>
      </c>
      <c r="X79" s="972">
        <f>(X16/X6)*100</f>
        <v>1.570113697888468</v>
      </c>
      <c r="Y79" s="1007"/>
      <c r="Z79" s="981"/>
      <c r="AA79" s="90"/>
      <c r="AB79" s="90"/>
      <c r="AC79" s="90"/>
      <c r="AD79" s="90"/>
      <c r="AE79" s="90"/>
      <c r="AF79" s="90"/>
      <c r="AG79" s="90"/>
      <c r="AH79" s="90"/>
      <c r="AI79" s="365"/>
      <c r="AJ79" s="365"/>
      <c r="AK79" s="365"/>
      <c r="AL79" s="365"/>
      <c r="AM79" s="365"/>
      <c r="AN79" s="365"/>
      <c r="AO79" s="365"/>
    </row>
    <row r="80" spans="1:41" ht="16.5">
      <c r="B80" s="981"/>
      <c r="C80" s="981"/>
      <c r="D80" s="969"/>
      <c r="E80" s="969"/>
      <c r="F80" s="969"/>
      <c r="G80" s="969"/>
      <c r="H80" s="969"/>
      <c r="I80" s="969"/>
      <c r="J80" s="969"/>
      <c r="K80" s="969"/>
      <c r="L80" s="969"/>
      <c r="M80" s="969"/>
      <c r="N80" s="969"/>
      <c r="O80" s="969"/>
      <c r="P80" s="969"/>
      <c r="Q80" s="969"/>
      <c r="R80" s="969"/>
      <c r="S80" s="969"/>
      <c r="T80" s="969"/>
      <c r="U80" s="969"/>
      <c r="V80" s="969"/>
      <c r="W80" s="969"/>
      <c r="X80" s="969"/>
      <c r="Y80" s="1007"/>
      <c r="Z80" s="981"/>
      <c r="AA80" s="90"/>
      <c r="AB80" s="151"/>
      <c r="AC80" s="151"/>
      <c r="AD80" s="410"/>
      <c r="AE80" s="151"/>
      <c r="AF80" s="151"/>
      <c r="AG80" s="151"/>
      <c r="AH80" s="151"/>
      <c r="AI80" s="365"/>
      <c r="AJ80" s="365"/>
      <c r="AK80" s="365"/>
      <c r="AL80" s="365"/>
      <c r="AM80" s="365"/>
      <c r="AN80" s="365"/>
      <c r="AO80" s="365"/>
    </row>
    <row r="81" spans="2:35" ht="16.5">
      <c r="B81" s="981"/>
      <c r="C81" s="981"/>
      <c r="D81" s="969"/>
      <c r="E81" s="969"/>
      <c r="F81" s="972" t="s">
        <v>139</v>
      </c>
      <c r="G81" s="972" t="s">
        <v>139</v>
      </c>
      <c r="H81" s="972" t="s">
        <v>139</v>
      </c>
      <c r="I81" s="972" t="s">
        <v>139</v>
      </c>
      <c r="J81" s="972" t="s">
        <v>139</v>
      </c>
      <c r="K81" s="972" t="s">
        <v>139</v>
      </c>
      <c r="L81" s="972" t="s">
        <v>139</v>
      </c>
      <c r="M81" s="972" t="s">
        <v>139</v>
      </c>
      <c r="N81" s="972" t="s">
        <v>139</v>
      </c>
      <c r="O81" s="972" t="s">
        <v>139</v>
      </c>
      <c r="P81" s="972" t="s">
        <v>139</v>
      </c>
      <c r="Q81" s="972" t="s">
        <v>139</v>
      </c>
      <c r="R81" s="972" t="s">
        <v>139</v>
      </c>
      <c r="S81" s="972" t="s">
        <v>139</v>
      </c>
      <c r="T81" s="972" t="s">
        <v>139</v>
      </c>
      <c r="U81" s="972" t="s">
        <v>139</v>
      </c>
      <c r="V81" s="972" t="s">
        <v>139</v>
      </c>
      <c r="W81" s="972" t="s">
        <v>139</v>
      </c>
      <c r="X81" s="972" t="s">
        <v>139</v>
      </c>
      <c r="Y81" s="972" t="s">
        <v>139</v>
      </c>
      <c r="Z81" s="972" t="s">
        <v>139</v>
      </c>
      <c r="AA81" s="90"/>
      <c r="AB81" s="410"/>
      <c r="AC81" s="410"/>
      <c r="AD81" s="410"/>
      <c r="AE81" s="410"/>
      <c r="AF81" s="410"/>
      <c r="AG81" s="410"/>
      <c r="AH81" s="410"/>
      <c r="AI81" s="365"/>
    </row>
    <row r="82" spans="2:35">
      <c r="B82" s="981"/>
      <c r="C82" s="981"/>
      <c r="D82" s="969"/>
      <c r="E82" s="969"/>
      <c r="F82" s="969"/>
      <c r="G82" s="969"/>
      <c r="H82" s="969"/>
      <c r="I82" s="969"/>
      <c r="J82" s="969"/>
      <c r="K82" s="969"/>
      <c r="L82" s="969"/>
      <c r="M82" s="969"/>
      <c r="N82" s="969"/>
      <c r="O82" s="969"/>
      <c r="P82" s="969"/>
      <c r="Q82" s="969"/>
      <c r="R82" s="969"/>
      <c r="S82" s="969"/>
      <c r="T82" s="969"/>
      <c r="U82" s="969"/>
      <c r="V82" s="969"/>
      <c r="W82" s="969"/>
      <c r="X82" s="969"/>
      <c r="Y82" s="969"/>
    </row>
    <row r="83" spans="2:35">
      <c r="B83" s="972" t="s">
        <v>615</v>
      </c>
      <c r="C83" s="981"/>
      <c r="D83" s="995">
        <f t="shared" ref="D83:O83" si="4">D6-D7-D16</f>
        <v>0</v>
      </c>
      <c r="E83" s="995">
        <f t="shared" si="4"/>
        <v>0</v>
      </c>
      <c r="F83" s="995">
        <f t="shared" si="4"/>
        <v>1000000000</v>
      </c>
      <c r="G83" s="995">
        <f t="shared" si="4"/>
        <v>0</v>
      </c>
      <c r="H83" s="995">
        <f t="shared" si="4"/>
        <v>0</v>
      </c>
      <c r="I83" s="995">
        <f t="shared" si="4"/>
        <v>0</v>
      </c>
      <c r="J83" s="995">
        <f t="shared" si="4"/>
        <v>0</v>
      </c>
      <c r="K83" s="995">
        <f t="shared" si="4"/>
        <v>0</v>
      </c>
      <c r="L83" s="995">
        <f t="shared" si="4"/>
        <v>0</v>
      </c>
      <c r="M83" s="995">
        <f t="shared" si="4"/>
        <v>-1000000000</v>
      </c>
      <c r="N83" s="995">
        <f t="shared" si="4"/>
        <v>0</v>
      </c>
      <c r="O83" s="995">
        <f t="shared" si="4"/>
        <v>0</v>
      </c>
      <c r="P83" s="995">
        <f t="shared" ref="P83:V83" si="5">P6-P7-P16</f>
        <v>0</v>
      </c>
      <c r="Q83" s="995">
        <f t="shared" si="5"/>
        <v>1000000000</v>
      </c>
      <c r="R83" s="995">
        <f t="shared" si="5"/>
        <v>0</v>
      </c>
      <c r="S83" s="995">
        <f t="shared" si="5"/>
        <v>0</v>
      </c>
      <c r="T83" s="995">
        <f t="shared" si="5"/>
        <v>0</v>
      </c>
      <c r="U83" s="995">
        <f t="shared" si="5"/>
        <v>-1000000000</v>
      </c>
      <c r="V83" s="995">
        <f t="shared" si="5"/>
        <v>0</v>
      </c>
      <c r="W83" s="995">
        <f>W6-W7-W16</f>
        <v>0</v>
      </c>
      <c r="X83" s="995">
        <f>X6-X7-X16</f>
        <v>1000000000</v>
      </c>
      <c r="Y83" s="995">
        <f t="shared" ref="Y83:Z83" si="6">Y6-Y7-Y16</f>
        <v>0</v>
      </c>
      <c r="Z83" s="995">
        <f t="shared" si="6"/>
        <v>0</v>
      </c>
    </row>
    <row r="84" spans="2:35">
      <c r="B84" s="972" t="s">
        <v>450</v>
      </c>
      <c r="C84" s="981"/>
      <c r="D84" s="995">
        <f t="shared" ref="D84:O84" si="7">D7-D8-D9</f>
        <v>0</v>
      </c>
      <c r="E84" s="995">
        <f t="shared" si="7"/>
        <v>0</v>
      </c>
      <c r="F84" s="995">
        <f t="shared" si="7"/>
        <v>0</v>
      </c>
      <c r="G84" s="995">
        <f t="shared" si="7"/>
        <v>0</v>
      </c>
      <c r="H84" s="995">
        <f t="shared" si="7"/>
        <v>0</v>
      </c>
      <c r="I84" s="995">
        <f t="shared" si="7"/>
        <v>0</v>
      </c>
      <c r="J84" s="995">
        <f t="shared" si="7"/>
        <v>0</v>
      </c>
      <c r="K84" s="995">
        <f t="shared" si="7"/>
        <v>0</v>
      </c>
      <c r="L84" s="995">
        <f t="shared" si="7"/>
        <v>0</v>
      </c>
      <c r="M84" s="995">
        <f t="shared" si="7"/>
        <v>1000000000</v>
      </c>
      <c r="N84" s="995">
        <f t="shared" si="7"/>
        <v>0</v>
      </c>
      <c r="O84" s="995">
        <f t="shared" si="7"/>
        <v>0</v>
      </c>
      <c r="P84" s="995">
        <f t="shared" ref="P84:V84" si="8">P7-P8-P9</f>
        <v>0</v>
      </c>
      <c r="Q84" s="995">
        <f t="shared" si="8"/>
        <v>-1000000000</v>
      </c>
      <c r="R84" s="995">
        <f t="shared" si="8"/>
        <v>0</v>
      </c>
      <c r="S84" s="995">
        <f t="shared" si="8"/>
        <v>0</v>
      </c>
      <c r="T84" s="995">
        <f t="shared" si="8"/>
        <v>0</v>
      </c>
      <c r="U84" s="995">
        <f t="shared" si="8"/>
        <v>0</v>
      </c>
      <c r="V84" s="995">
        <f t="shared" si="8"/>
        <v>0</v>
      </c>
      <c r="W84" s="995">
        <f>W7-W8-W9</f>
        <v>0</v>
      </c>
      <c r="X84" s="995">
        <f>X7-X8-X9</f>
        <v>-1000000000</v>
      </c>
      <c r="Y84" s="995">
        <f t="shared" ref="Y84:Z84" si="9">Y7-Y8-Y9</f>
        <v>0</v>
      </c>
      <c r="Z84" s="995">
        <f t="shared" si="9"/>
        <v>0</v>
      </c>
    </row>
    <row r="85" spans="2:35">
      <c r="B85" s="972" t="s">
        <v>1490</v>
      </c>
      <c r="C85" s="981"/>
      <c r="D85" s="972">
        <f t="shared" ref="D85:O85" si="10">D9-D10-D11-D12-D13-D14</f>
        <v>0</v>
      </c>
      <c r="E85" s="972">
        <f t="shared" si="10"/>
        <v>0</v>
      </c>
      <c r="F85" s="1003">
        <f t="shared" si="10"/>
        <v>975000000000</v>
      </c>
      <c r="G85" s="1003">
        <f t="shared" si="10"/>
        <v>1122000000000</v>
      </c>
      <c r="H85" s="1003">
        <f t="shared" si="10"/>
        <v>942000000000</v>
      </c>
      <c r="I85" s="1003">
        <f t="shared" si="10"/>
        <v>1104000000000</v>
      </c>
      <c r="J85" s="1003">
        <f t="shared" si="10"/>
        <v>1165000000000</v>
      </c>
      <c r="K85" s="1003">
        <f t="shared" si="10"/>
        <v>1236000000000</v>
      </c>
      <c r="L85" s="1003">
        <f t="shared" si="10"/>
        <v>1312000000000</v>
      </c>
      <c r="M85" s="995">
        <f t="shared" si="10"/>
        <v>-1000000000</v>
      </c>
      <c r="N85" s="995">
        <f t="shared" si="10"/>
        <v>0</v>
      </c>
      <c r="O85" s="995">
        <f t="shared" si="10"/>
        <v>-1000000000</v>
      </c>
      <c r="P85" s="995">
        <f t="shared" ref="P85:V85" si="11">P9-P10-P11-P12-P13-P14</f>
        <v>1000000000</v>
      </c>
      <c r="Q85" s="995">
        <f t="shared" si="11"/>
        <v>0</v>
      </c>
      <c r="R85" s="995">
        <f t="shared" si="11"/>
        <v>0</v>
      </c>
      <c r="S85" s="995">
        <f t="shared" si="11"/>
        <v>142000000000</v>
      </c>
      <c r="T85" s="995">
        <f t="shared" si="11"/>
        <v>-1000000000</v>
      </c>
      <c r="U85" s="995">
        <f t="shared" si="11"/>
        <v>1000000000</v>
      </c>
      <c r="V85" s="995">
        <f t="shared" si="11"/>
        <v>1000000000</v>
      </c>
      <c r="W85" s="995">
        <f>W9-W10-W11-W12-W13-W14</f>
        <v>0</v>
      </c>
      <c r="X85" s="995">
        <f>X9-X10-X11-X12-X13-X14</f>
        <v>1000000000</v>
      </c>
      <c r="Y85" s="995">
        <f t="shared" ref="Y85:Z85" si="12">Y9-Y10-Y11-Y12-Y13-Y14</f>
        <v>0</v>
      </c>
      <c r="Z85" s="995">
        <f t="shared" si="12"/>
        <v>1000000000</v>
      </c>
    </row>
    <row r="86" spans="2:35">
      <c r="B86" s="972" t="s">
        <v>143</v>
      </c>
      <c r="C86" s="981"/>
      <c r="D86" s="972">
        <f t="shared" ref="D86:O86" si="13">D16-D17-D19</f>
        <v>0</v>
      </c>
      <c r="E86" s="972">
        <f t="shared" si="13"/>
        <v>0</v>
      </c>
      <c r="F86" s="1003">
        <f t="shared" si="13"/>
        <v>24000000000</v>
      </c>
      <c r="G86" s="1003">
        <f t="shared" si="13"/>
        <v>58000000000</v>
      </c>
      <c r="H86" s="1003">
        <f t="shared" si="13"/>
        <v>19000000000</v>
      </c>
      <c r="I86" s="1003">
        <f t="shared" si="13"/>
        <v>47000000000</v>
      </c>
      <c r="J86" s="1003">
        <f t="shared" si="13"/>
        <v>2664000000000</v>
      </c>
      <c r="K86" s="995">
        <f t="shared" si="13"/>
        <v>0</v>
      </c>
      <c r="L86" s="995">
        <f t="shared" si="13"/>
        <v>0</v>
      </c>
      <c r="M86" s="995">
        <f t="shared" si="13"/>
        <v>0</v>
      </c>
      <c r="N86" s="995">
        <f t="shared" si="13"/>
        <v>-1000000000</v>
      </c>
      <c r="O86" s="995">
        <f t="shared" si="13"/>
        <v>-1000000000</v>
      </c>
      <c r="P86" s="995">
        <f t="shared" ref="P86:W86" si="14">P16-P17-P19</f>
        <v>0</v>
      </c>
      <c r="Q86" s="995">
        <f t="shared" si="14"/>
        <v>0</v>
      </c>
      <c r="R86" s="995">
        <f t="shared" si="14"/>
        <v>0</v>
      </c>
      <c r="S86" s="995">
        <f t="shared" si="14"/>
        <v>0</v>
      </c>
      <c r="T86" s="995">
        <f t="shared" si="14"/>
        <v>0</v>
      </c>
      <c r="U86" s="995">
        <f t="shared" si="14"/>
        <v>1000000000</v>
      </c>
      <c r="V86" s="995">
        <f>V16-V17-V19</f>
        <v>0</v>
      </c>
      <c r="W86" s="995">
        <f t="shared" si="14"/>
        <v>1000000000</v>
      </c>
      <c r="X86" s="995">
        <f>X16-X17-X19</f>
        <v>0</v>
      </c>
      <c r="Y86" s="995">
        <f t="shared" ref="Y86:Z86" si="15">Y16-Y17-Y19</f>
        <v>1000000000</v>
      </c>
      <c r="Z86" s="995">
        <f t="shared" si="15"/>
        <v>0</v>
      </c>
    </row>
    <row r="87" spans="2:35">
      <c r="B87" s="972" t="s">
        <v>145</v>
      </c>
      <c r="C87" s="981"/>
      <c r="D87" s="972">
        <f>D20-D22-D34-D40-D41</f>
        <v>0</v>
      </c>
      <c r="E87" s="972">
        <f>E20-E22-E34-E40-E41</f>
        <v>0</v>
      </c>
      <c r="F87" s="995">
        <f>F21-F34-F22-F40</f>
        <v>0</v>
      </c>
      <c r="G87" s="995">
        <f t="shared" ref="G87:Q87" si="16">G21-G34-G22-G40</f>
        <v>0</v>
      </c>
      <c r="H87" s="995">
        <f t="shared" si="16"/>
        <v>0</v>
      </c>
      <c r="I87" s="995">
        <f t="shared" si="16"/>
        <v>0</v>
      </c>
      <c r="J87" s="995">
        <f t="shared" si="16"/>
        <v>0</v>
      </c>
      <c r="K87" s="995">
        <f t="shared" si="16"/>
        <v>0</v>
      </c>
      <c r="L87" s="995">
        <f t="shared" si="16"/>
        <v>0</v>
      </c>
      <c r="M87" s="995">
        <f t="shared" si="16"/>
        <v>0</v>
      </c>
      <c r="N87" s="995">
        <f t="shared" si="16"/>
        <v>0</v>
      </c>
      <c r="O87" s="995">
        <f t="shared" si="16"/>
        <v>0</v>
      </c>
      <c r="P87" s="995">
        <f t="shared" si="16"/>
        <v>0</v>
      </c>
      <c r="Q87" s="995">
        <f t="shared" si="16"/>
        <v>0</v>
      </c>
      <c r="R87" s="995">
        <f>R21-R34-R22-R40-R41</f>
        <v>0</v>
      </c>
      <c r="S87" s="995">
        <f t="shared" ref="S87:Z87" si="17">S21-S34-S22-S40-S41</f>
        <v>0</v>
      </c>
      <c r="T87" s="995">
        <f t="shared" si="17"/>
        <v>0</v>
      </c>
      <c r="U87" s="995">
        <f t="shared" si="17"/>
        <v>0</v>
      </c>
      <c r="V87" s="995">
        <f t="shared" si="17"/>
        <v>0</v>
      </c>
      <c r="W87" s="995">
        <f t="shared" si="17"/>
        <v>0</v>
      </c>
      <c r="X87" s="995">
        <f t="shared" si="17"/>
        <v>0</v>
      </c>
      <c r="Y87" s="995">
        <f t="shared" si="17"/>
        <v>0</v>
      </c>
      <c r="Z87" s="995">
        <f t="shared" si="17"/>
        <v>0</v>
      </c>
    </row>
    <row r="88" spans="2:35">
      <c r="B88" s="972" t="s">
        <v>292</v>
      </c>
      <c r="C88" s="981"/>
      <c r="D88" s="972">
        <f t="shared" ref="D88:O88" si="18">D27-D28-D29-D30</f>
        <v>0</v>
      </c>
      <c r="E88" s="972">
        <f t="shared" si="18"/>
        <v>0</v>
      </c>
      <c r="F88" s="1003">
        <f t="shared" si="18"/>
        <v>113000000000</v>
      </c>
      <c r="G88" s="1003">
        <f t="shared" si="18"/>
        <v>129000000000</v>
      </c>
      <c r="H88" s="995">
        <f t="shared" si="18"/>
        <v>0</v>
      </c>
      <c r="I88" s="995">
        <f t="shared" si="18"/>
        <v>0</v>
      </c>
      <c r="J88" s="995">
        <f t="shared" si="18"/>
        <v>0</v>
      </c>
      <c r="K88" s="995">
        <f t="shared" si="18"/>
        <v>0</v>
      </c>
      <c r="L88" s="995">
        <f t="shared" si="18"/>
        <v>0</v>
      </c>
      <c r="M88" s="995">
        <f t="shared" si="18"/>
        <v>0</v>
      </c>
      <c r="N88" s="995">
        <f t="shared" si="18"/>
        <v>0</v>
      </c>
      <c r="O88" s="995">
        <f t="shared" si="18"/>
        <v>0</v>
      </c>
      <c r="P88" s="995">
        <f t="shared" ref="P88:W88" si="19">P27-P28-P29-P30</f>
        <v>0</v>
      </c>
      <c r="Q88" s="995">
        <f t="shared" si="19"/>
        <v>0</v>
      </c>
      <c r="R88" s="1070">
        <f t="shared" si="19"/>
        <v>597000000000</v>
      </c>
      <c r="S88" s="1070">
        <f t="shared" si="19"/>
        <v>604000000000</v>
      </c>
      <c r="T88" s="1070">
        <f t="shared" si="19"/>
        <v>485000000000</v>
      </c>
      <c r="U88" s="1070">
        <f t="shared" si="19"/>
        <v>368000000000</v>
      </c>
      <c r="V88" s="1070">
        <f t="shared" si="19"/>
        <v>380000000000</v>
      </c>
      <c r="W88" s="1070">
        <f t="shared" si="19"/>
        <v>403000000000</v>
      </c>
      <c r="X88" s="1070">
        <f>X27-X28-X29-X30</f>
        <v>430000000000</v>
      </c>
      <c r="Y88" s="1070">
        <f t="shared" ref="Y88:Z88" si="20">Y27-Y28-Y29-Y30</f>
        <v>452000000000</v>
      </c>
      <c r="Z88" s="1070">
        <f t="shared" si="20"/>
        <v>472000000000</v>
      </c>
    </row>
    <row r="89" spans="2:35">
      <c r="B89" s="972" t="s">
        <v>1491</v>
      </c>
      <c r="C89" s="981"/>
      <c r="D89" s="972">
        <f t="shared" ref="D89:O89" si="21">D31-D32-D33</f>
        <v>0</v>
      </c>
      <c r="E89" s="972">
        <f t="shared" si="21"/>
        <v>0</v>
      </c>
      <c r="F89" s="1003">
        <f t="shared" si="21"/>
        <v>199000000000</v>
      </c>
      <c r="G89" s="1003">
        <f t="shared" si="21"/>
        <v>166000000000</v>
      </c>
      <c r="H89" s="995">
        <f t="shared" si="21"/>
        <v>0</v>
      </c>
      <c r="I89" s="995">
        <f t="shared" si="21"/>
        <v>0</v>
      </c>
      <c r="J89" s="995">
        <f t="shared" si="21"/>
        <v>0</v>
      </c>
      <c r="K89" s="995">
        <f t="shared" si="21"/>
        <v>-1000000000</v>
      </c>
      <c r="L89" s="995">
        <f t="shared" si="21"/>
        <v>0</v>
      </c>
      <c r="M89" s="995">
        <f t="shared" si="21"/>
        <v>0</v>
      </c>
      <c r="N89" s="995">
        <f t="shared" si="21"/>
        <v>1000000000</v>
      </c>
      <c r="O89" s="995">
        <f t="shared" si="21"/>
        <v>0</v>
      </c>
      <c r="P89" s="995">
        <f t="shared" ref="P89:V89" si="22">P31-P32-P33</f>
        <v>0</v>
      </c>
      <c r="Q89" s="995">
        <f t="shared" si="22"/>
        <v>0</v>
      </c>
      <c r="R89" s="995">
        <f t="shared" si="22"/>
        <v>0</v>
      </c>
      <c r="S89" s="995">
        <f t="shared" si="22"/>
        <v>0</v>
      </c>
      <c r="T89" s="995">
        <f t="shared" si="22"/>
        <v>0</v>
      </c>
      <c r="U89" s="995">
        <f t="shared" si="22"/>
        <v>-1000000000</v>
      </c>
      <c r="V89" s="995">
        <f t="shared" si="22"/>
        <v>0</v>
      </c>
      <c r="W89" s="995">
        <f>W31-W32-W33</f>
        <v>0</v>
      </c>
      <c r="X89" s="995">
        <f>X31-X32-X33</f>
        <v>-1000000000</v>
      </c>
      <c r="Y89" s="995">
        <f t="shared" ref="Y89:Z89" si="23">Y31-Y32-Y33</f>
        <v>0</v>
      </c>
      <c r="Z89" s="995">
        <f t="shared" si="23"/>
        <v>1000000000</v>
      </c>
    </row>
    <row r="90" spans="2:35">
      <c r="B90" s="972" t="s">
        <v>876</v>
      </c>
      <c r="C90" s="981"/>
      <c r="D90" s="972">
        <f t="shared" ref="D90:O90" si="24">D34-D35-D38-D39</f>
        <v>0</v>
      </c>
      <c r="E90" s="972">
        <f t="shared" si="24"/>
        <v>0</v>
      </c>
      <c r="F90" s="995">
        <f t="shared" si="24"/>
        <v>0</v>
      </c>
      <c r="G90" s="995">
        <f t="shared" si="24"/>
        <v>-1000000000</v>
      </c>
      <c r="H90" s="995">
        <f t="shared" si="24"/>
        <v>0</v>
      </c>
      <c r="I90" s="995">
        <f t="shared" si="24"/>
        <v>0</v>
      </c>
      <c r="J90" s="995">
        <f t="shared" si="24"/>
        <v>-1000000000</v>
      </c>
      <c r="K90" s="995">
        <f t="shared" si="24"/>
        <v>0</v>
      </c>
      <c r="L90" s="995">
        <f t="shared" si="24"/>
        <v>0</v>
      </c>
      <c r="M90" s="995">
        <f t="shared" si="24"/>
        <v>0</v>
      </c>
      <c r="N90" s="995">
        <f t="shared" si="24"/>
        <v>-1000000000</v>
      </c>
      <c r="O90" s="995">
        <f t="shared" si="24"/>
        <v>0</v>
      </c>
      <c r="P90" s="995">
        <f t="shared" ref="P90:Z90" si="25">P34-P35-P38-P39</f>
        <v>1000000000</v>
      </c>
      <c r="Q90" s="995">
        <f t="shared" si="25"/>
        <v>0</v>
      </c>
      <c r="R90" s="995">
        <f t="shared" si="25"/>
        <v>0</v>
      </c>
      <c r="S90" s="995">
        <f t="shared" si="25"/>
        <v>0</v>
      </c>
      <c r="T90" s="995">
        <f t="shared" si="25"/>
        <v>0</v>
      </c>
      <c r="U90" s="995">
        <f t="shared" si="25"/>
        <v>0</v>
      </c>
      <c r="V90" s="995">
        <f t="shared" si="25"/>
        <v>0</v>
      </c>
      <c r="W90" s="995">
        <f t="shared" si="25"/>
        <v>0</v>
      </c>
      <c r="X90" s="995">
        <f t="shared" si="25"/>
        <v>0</v>
      </c>
      <c r="Y90" s="995">
        <f t="shared" si="25"/>
        <v>0</v>
      </c>
      <c r="Z90" s="995">
        <f t="shared" si="25"/>
        <v>-1000000000</v>
      </c>
    </row>
    <row r="91" spans="2:35">
      <c r="B91" s="972" t="s">
        <v>1492</v>
      </c>
      <c r="C91" s="981"/>
      <c r="D91" s="995">
        <f t="shared" ref="D91:Z91" si="26">D35-D36-D37</f>
        <v>0</v>
      </c>
      <c r="E91" s="995">
        <f t="shared" si="26"/>
        <v>0</v>
      </c>
      <c r="F91" s="1003">
        <f t="shared" si="26"/>
        <v>142000000000</v>
      </c>
      <c r="G91" s="1003">
        <f t="shared" si="26"/>
        <v>155000000000</v>
      </c>
      <c r="H91" s="995">
        <f t="shared" si="26"/>
        <v>0</v>
      </c>
      <c r="I91" s="995">
        <f t="shared" si="26"/>
        <v>0</v>
      </c>
      <c r="J91" s="995">
        <f t="shared" si="26"/>
        <v>0</v>
      </c>
      <c r="K91" s="1003">
        <f t="shared" si="26"/>
        <v>280000000000</v>
      </c>
      <c r="L91" s="1003">
        <f t="shared" si="26"/>
        <v>410000000000</v>
      </c>
      <c r="M91" s="1003">
        <f t="shared" si="26"/>
        <v>356000000000</v>
      </c>
      <c r="N91" s="1003">
        <f t="shared" si="26"/>
        <v>315000000000</v>
      </c>
      <c r="O91" s="1003">
        <f t="shared" si="26"/>
        <v>563000000000</v>
      </c>
      <c r="P91" s="1003">
        <f t="shared" si="26"/>
        <v>513000000000</v>
      </c>
      <c r="Q91" s="1003">
        <f t="shared" si="26"/>
        <v>514000000000</v>
      </c>
      <c r="R91" s="1003">
        <f t="shared" si="26"/>
        <v>615000000000</v>
      </c>
      <c r="S91" s="1003">
        <f t="shared" si="26"/>
        <v>809000000000</v>
      </c>
      <c r="T91" s="1003">
        <f t="shared" si="26"/>
        <v>1070000000000</v>
      </c>
      <c r="U91" s="1003">
        <f t="shared" si="26"/>
        <v>634000000000</v>
      </c>
      <c r="V91" s="1003">
        <f t="shared" si="26"/>
        <v>658000000000</v>
      </c>
      <c r="W91" s="1003">
        <f t="shared" si="26"/>
        <v>699000000000</v>
      </c>
      <c r="X91" s="1003">
        <f t="shared" si="26"/>
        <v>746000000000</v>
      </c>
      <c r="Y91" s="1003">
        <f t="shared" si="26"/>
        <v>775000000000</v>
      </c>
      <c r="Z91" s="1003">
        <f t="shared" si="26"/>
        <v>832000000000</v>
      </c>
    </row>
    <row r="92" spans="2:35">
      <c r="B92" s="972" t="s">
        <v>148</v>
      </c>
      <c r="C92" s="981"/>
      <c r="D92" s="972">
        <f t="shared" ref="D92:W92" si="27">D53-D54-D63-D75</f>
        <v>0</v>
      </c>
      <c r="E92" s="972">
        <f t="shared" si="27"/>
        <v>0</v>
      </c>
      <c r="F92" s="995">
        <f t="shared" si="27"/>
        <v>0</v>
      </c>
      <c r="G92" s="995">
        <f t="shared" si="27"/>
        <v>0</v>
      </c>
      <c r="H92" s="995">
        <f t="shared" si="27"/>
        <v>0</v>
      </c>
      <c r="I92" s="995">
        <f t="shared" si="27"/>
        <v>0</v>
      </c>
      <c r="J92" s="995">
        <f t="shared" si="27"/>
        <v>0</v>
      </c>
      <c r="K92" s="995">
        <f t="shared" si="27"/>
        <v>-1000000000</v>
      </c>
      <c r="L92" s="995">
        <f t="shared" si="27"/>
        <v>0</v>
      </c>
      <c r="M92" s="995">
        <f t="shared" si="27"/>
        <v>1000000000</v>
      </c>
      <c r="N92" s="995">
        <f t="shared" si="27"/>
        <v>0</v>
      </c>
      <c r="O92" s="995">
        <f t="shared" si="27"/>
        <v>-1000000000</v>
      </c>
      <c r="P92" s="995">
        <f t="shared" si="27"/>
        <v>0</v>
      </c>
      <c r="Q92" s="995">
        <f t="shared" si="27"/>
        <v>0</v>
      </c>
      <c r="R92" s="995">
        <f t="shared" si="27"/>
        <v>-1000000000</v>
      </c>
      <c r="S92" s="995">
        <f t="shared" si="27"/>
        <v>0</v>
      </c>
      <c r="T92" s="995">
        <f t="shared" si="27"/>
        <v>0</v>
      </c>
      <c r="U92" s="995">
        <f t="shared" si="27"/>
        <v>0</v>
      </c>
      <c r="V92" s="995">
        <f t="shared" si="27"/>
        <v>0</v>
      </c>
      <c r="W92" s="995">
        <f t="shared" si="27"/>
        <v>-1000000000</v>
      </c>
      <c r="X92" s="995">
        <f>X53-X54-X63-X75</f>
        <v>-1000000000</v>
      </c>
      <c r="Y92" s="995">
        <f t="shared" ref="Y92:Z92" si="28">Y53-Y54-Y63-Y75</f>
        <v>0</v>
      </c>
      <c r="Z92" s="995">
        <f t="shared" si="28"/>
        <v>0</v>
      </c>
    </row>
    <row r="93" spans="2:35">
      <c r="B93" s="972" t="s">
        <v>1493</v>
      </c>
      <c r="C93" s="981"/>
      <c r="E93" s="995">
        <f>E54-E55-E56-E61</f>
        <v>0</v>
      </c>
      <c r="F93" s="995">
        <f>F54-F55-F56-F61-F60-F62</f>
        <v>0</v>
      </c>
      <c r="G93" s="995">
        <f>G54-G55-G56-G61-G60-G62</f>
        <v>0</v>
      </c>
      <c r="H93" s="995">
        <f t="shared" ref="H93:W93" si="29">H54-H55-H56-H61-H60-H62</f>
        <v>0</v>
      </c>
      <c r="I93" s="995">
        <f t="shared" si="29"/>
        <v>0</v>
      </c>
      <c r="J93" s="995">
        <f t="shared" si="29"/>
        <v>0</v>
      </c>
      <c r="K93" s="995">
        <f t="shared" si="29"/>
        <v>0</v>
      </c>
      <c r="L93" s="995">
        <f t="shared" si="29"/>
        <v>0</v>
      </c>
      <c r="M93" s="995">
        <f t="shared" si="29"/>
        <v>0</v>
      </c>
      <c r="N93" s="995">
        <f t="shared" si="29"/>
        <v>0</v>
      </c>
      <c r="O93" s="995">
        <f t="shared" si="29"/>
        <v>0</v>
      </c>
      <c r="P93" s="995">
        <f t="shared" si="29"/>
        <v>-1000000000</v>
      </c>
      <c r="Q93" s="995">
        <f t="shared" si="29"/>
        <v>-1000000000</v>
      </c>
      <c r="R93" s="995">
        <f t="shared" si="29"/>
        <v>0</v>
      </c>
      <c r="S93" s="995">
        <f t="shared" si="29"/>
        <v>0</v>
      </c>
      <c r="T93" s="995">
        <f t="shared" si="29"/>
        <v>0</v>
      </c>
      <c r="U93" s="995">
        <f t="shared" si="29"/>
        <v>0</v>
      </c>
      <c r="V93" s="995">
        <f t="shared" si="29"/>
        <v>0</v>
      </c>
      <c r="W93" s="995">
        <f t="shared" si="29"/>
        <v>0</v>
      </c>
      <c r="X93" s="995">
        <f>X54-X55-X56-X61-X60-X62</f>
        <v>0</v>
      </c>
      <c r="Y93" s="995">
        <f t="shared" ref="Y93:Z93" si="30">Y54-Y55-Y56-Y61-Y60-Y62</f>
        <v>0</v>
      </c>
      <c r="Z93" s="995">
        <f t="shared" si="30"/>
        <v>0</v>
      </c>
    </row>
    <row r="94" spans="2:35">
      <c r="B94" s="972" t="s">
        <v>297</v>
      </c>
      <c r="C94" s="981"/>
      <c r="F94" s="995">
        <f>F63-F64-F73-F71-F70-F69-F72</f>
        <v>0</v>
      </c>
      <c r="G94" s="995">
        <f t="shared" ref="G94:N94" si="31">G63-G64-G73-G71-G70-G69-G72</f>
        <v>0</v>
      </c>
      <c r="H94" s="995">
        <f t="shared" si="31"/>
        <v>0</v>
      </c>
      <c r="I94" s="995">
        <f>I63-I64-I73-I71-I70-I69-I72</f>
        <v>-1000000000</v>
      </c>
      <c r="J94" s="995">
        <f t="shared" si="31"/>
        <v>0</v>
      </c>
      <c r="K94" s="995">
        <f t="shared" si="31"/>
        <v>1000000000</v>
      </c>
      <c r="L94" s="995">
        <f t="shared" si="31"/>
        <v>0</v>
      </c>
      <c r="M94" s="995">
        <f t="shared" si="31"/>
        <v>0</v>
      </c>
      <c r="N94" s="995">
        <f t="shared" si="31"/>
        <v>0</v>
      </c>
      <c r="O94" s="995">
        <f>O63-O64-O73-O71-O70-O69-O72</f>
        <v>1000000000</v>
      </c>
      <c r="P94" s="995">
        <f>P63-P64-P73-P71-P70-P69-P72</f>
        <v>1000000000</v>
      </c>
      <c r="Q94" s="995">
        <f t="shared" ref="Q94:Z94" si="32">Q63-Q64-Q73-Q71-Q70-Q69-Q72</f>
        <v>0</v>
      </c>
      <c r="R94" s="1070">
        <f t="shared" si="32"/>
        <v>137000000000</v>
      </c>
      <c r="S94" s="1070">
        <f t="shared" si="32"/>
        <v>-429000000000</v>
      </c>
      <c r="T94" s="1070">
        <f t="shared" si="32"/>
        <v>578000000000</v>
      </c>
      <c r="U94" s="1070">
        <f t="shared" si="32"/>
        <v>-177000000000</v>
      </c>
      <c r="V94" s="1070">
        <f t="shared" si="32"/>
        <v>49000000000</v>
      </c>
      <c r="W94" s="1070">
        <f t="shared" si="32"/>
        <v>-146000000000</v>
      </c>
      <c r="X94" s="1070">
        <f t="shared" si="32"/>
        <v>58000000000</v>
      </c>
      <c r="Y94" s="1070">
        <f t="shared" si="32"/>
        <v>-144000000000</v>
      </c>
      <c r="Z94" s="1070">
        <f t="shared" si="32"/>
        <v>-116000000000</v>
      </c>
    </row>
    <row r="95" spans="2:35">
      <c r="C95" s="981"/>
      <c r="X95" s="969"/>
      <c r="Y95" s="969"/>
    </row>
    <row r="96" spans="2:35">
      <c r="C96" s="981"/>
      <c r="F96" s="995"/>
      <c r="X96" s="969"/>
      <c r="Y96" s="969"/>
    </row>
    <row r="97" spans="2:25">
      <c r="B97" s="972" t="s">
        <v>150</v>
      </c>
      <c r="C97" s="981"/>
      <c r="D97" s="1005"/>
      <c r="E97" s="1005"/>
      <c r="F97" s="1005">
        <v>7583077000000</v>
      </c>
      <c r="G97" s="1005">
        <v>7917000000000</v>
      </c>
      <c r="H97" s="1005">
        <v>8333880999999.999</v>
      </c>
      <c r="I97" s="1005">
        <v>8749600000000</v>
      </c>
      <c r="J97" s="1005">
        <v>9387500000000</v>
      </c>
      <c r="K97" s="1005">
        <v>9792273000000</v>
      </c>
      <c r="L97" s="1005">
        <v>10443829000000</v>
      </c>
      <c r="M97" s="1005">
        <v>11040329000000</v>
      </c>
      <c r="N97" s="1005">
        <v>11699685000000</v>
      </c>
      <c r="O97" s="1005">
        <v>12545700000000</v>
      </c>
      <c r="P97" s="1005">
        <v>13514687000000</v>
      </c>
      <c r="Q97" s="1005">
        <v>14454336000000</v>
      </c>
      <c r="R97" s="1071">
        <v>15575881000000</v>
      </c>
      <c r="S97" s="1071">
        <v>16795521000000</v>
      </c>
      <c r="T97" s="1071">
        <v>18122119000000</v>
      </c>
      <c r="U97" s="1071">
        <v>19490697000000</v>
      </c>
      <c r="V97" s="1071">
        <v>20977938000000</v>
      </c>
      <c r="W97" s="1071">
        <v>22567565000000</v>
      </c>
      <c r="X97" s="1072">
        <v>23943000000000</v>
      </c>
      <c r="Y97" s="969"/>
    </row>
    <row r="98" spans="2:25">
      <c r="B98" s="972" t="s">
        <v>151</v>
      </c>
      <c r="F98" s="972">
        <f t="shared" ref="F98:X98" si="33">(F6/F97)*100</f>
        <v>17.802799575950502</v>
      </c>
      <c r="G98" s="972">
        <f t="shared" si="33"/>
        <v>19.022356953391437</v>
      </c>
      <c r="H98" s="972">
        <f t="shared" si="33"/>
        <v>15.430985875608258</v>
      </c>
      <c r="I98" s="972">
        <f t="shared" si="33"/>
        <v>18.172259303282438</v>
      </c>
      <c r="J98" s="972">
        <f t="shared" si="33"/>
        <v>47.637816245006661</v>
      </c>
      <c r="K98" s="972">
        <f t="shared" si="33"/>
        <v>20.271085170930181</v>
      </c>
      <c r="L98" s="972">
        <f t="shared" si="33"/>
        <v>21.199121509936631</v>
      </c>
      <c r="M98" s="972">
        <f t="shared" si="33"/>
        <v>17.436074595240775</v>
      </c>
      <c r="N98" s="972">
        <f t="shared" si="33"/>
        <v>16.58164301004685</v>
      </c>
      <c r="O98" s="972">
        <f t="shared" si="33"/>
        <v>17.934431717640305</v>
      </c>
      <c r="P98" s="972">
        <f t="shared" si="33"/>
        <v>17.950841184853189</v>
      </c>
      <c r="Q98" s="972">
        <f t="shared" si="33"/>
        <v>18.146803837962533</v>
      </c>
      <c r="R98" s="972">
        <f t="shared" si="33"/>
        <v>18.425924029594217</v>
      </c>
      <c r="S98" s="972">
        <f t="shared" si="33"/>
        <v>17.939306556789752</v>
      </c>
      <c r="T98" s="972">
        <f t="shared" si="33"/>
        <v>15.81492760311308</v>
      </c>
      <c r="U98" s="972">
        <f t="shared" si="33"/>
        <v>14.863501289871778</v>
      </c>
      <c r="V98" s="972">
        <f t="shared" si="33"/>
        <v>14.977639842390611</v>
      </c>
      <c r="W98" s="972">
        <f t="shared" si="33"/>
        <v>15.092456806926224</v>
      </c>
      <c r="X98" s="972">
        <f t="shared" si="33"/>
        <v>15.428308900304891</v>
      </c>
    </row>
    <row r="99" spans="2:25">
      <c r="B99" s="972" t="s">
        <v>1494</v>
      </c>
      <c r="F99" s="972">
        <f t="shared" ref="F99:X99" si="34">(F20/F97)*100</f>
        <v>16.246703020422977</v>
      </c>
      <c r="G99" s="972">
        <f t="shared" si="34"/>
        <v>16.230895541240368</v>
      </c>
      <c r="H99" s="972">
        <f t="shared" si="34"/>
        <v>15.970950389140429</v>
      </c>
      <c r="I99" s="972">
        <f t="shared" si="34"/>
        <v>14.606382006034563</v>
      </c>
      <c r="J99" s="972">
        <f t="shared" si="34"/>
        <v>14.551264980026632</v>
      </c>
      <c r="K99" s="972">
        <f t="shared" si="34"/>
        <v>15.747109991725109</v>
      </c>
      <c r="L99" s="972">
        <f t="shared" si="34"/>
        <v>18.824513499790164</v>
      </c>
      <c r="M99" s="972">
        <f t="shared" si="34"/>
        <v>17.490420801771396</v>
      </c>
      <c r="N99" s="972">
        <f t="shared" si="34"/>
        <v>17.667142320498371</v>
      </c>
      <c r="O99" s="972">
        <f t="shared" si="34"/>
        <v>20.74814478267454</v>
      </c>
      <c r="P99" s="972">
        <f t="shared" si="34"/>
        <v>19.541703037591621</v>
      </c>
      <c r="Q99" s="972">
        <f t="shared" si="34"/>
        <v>22.138685581959628</v>
      </c>
      <c r="R99" s="972">
        <f t="shared" si="34"/>
        <v>0</v>
      </c>
      <c r="S99" s="972">
        <f t="shared" si="34"/>
        <v>0</v>
      </c>
      <c r="T99" s="972">
        <f t="shared" si="34"/>
        <v>0</v>
      </c>
      <c r="U99" s="972">
        <f t="shared" si="34"/>
        <v>0</v>
      </c>
      <c r="V99" s="972">
        <f t="shared" si="34"/>
        <v>0</v>
      </c>
      <c r="W99" s="972">
        <f t="shared" si="34"/>
        <v>0</v>
      </c>
      <c r="X99" s="972">
        <f t="shared" si="34"/>
        <v>0</v>
      </c>
    </row>
    <row r="102" spans="2:25" ht="13.5" customHeight="1">
      <c r="B102" s="972" t="s">
        <v>153</v>
      </c>
      <c r="D102" s="972" t="b">
        <f>IF(D40&lt;0, (D40/D20)*100)</f>
        <v>0</v>
      </c>
      <c r="E102" s="972" t="b">
        <f>IF(E40&lt;0, (E40/E20)*100)</f>
        <v>0</v>
      </c>
      <c r="F102" s="972" t="b">
        <f>IF(F40&lt;0, (F40/F20)*100)</f>
        <v>0</v>
      </c>
      <c r="G102" s="972" t="b">
        <f t="shared" ref="G102:X102" si="35">IF(G40&lt;0, (G40/G20)*100)</f>
        <v>0</v>
      </c>
      <c r="H102" s="972" t="b">
        <f t="shared" si="35"/>
        <v>0</v>
      </c>
      <c r="I102" s="972" t="b">
        <f t="shared" si="35"/>
        <v>0</v>
      </c>
      <c r="J102" s="972" t="b">
        <f t="shared" si="35"/>
        <v>0</v>
      </c>
      <c r="K102" s="972" t="b">
        <f t="shared" si="35"/>
        <v>0</v>
      </c>
      <c r="L102" s="972" t="b">
        <f>IF(L40&lt;0, (L40/L20)*100)</f>
        <v>0</v>
      </c>
      <c r="M102" s="972" t="b">
        <f t="shared" si="35"/>
        <v>0</v>
      </c>
      <c r="N102" s="972" t="b">
        <f t="shared" si="35"/>
        <v>0</v>
      </c>
      <c r="O102" s="972" t="b">
        <f t="shared" si="35"/>
        <v>0</v>
      </c>
      <c r="P102" s="972" t="b">
        <f t="shared" si="35"/>
        <v>0</v>
      </c>
      <c r="Q102" s="972" t="b">
        <f t="shared" si="35"/>
        <v>0</v>
      </c>
      <c r="R102" s="972" t="b">
        <f t="shared" si="35"/>
        <v>0</v>
      </c>
      <c r="S102" s="972" t="b">
        <f t="shared" si="35"/>
        <v>0</v>
      </c>
      <c r="T102" s="972" t="b">
        <f t="shared" si="35"/>
        <v>0</v>
      </c>
      <c r="U102" s="972" t="b">
        <f t="shared" si="35"/>
        <v>0</v>
      </c>
      <c r="V102" s="972" t="b">
        <f t="shared" si="35"/>
        <v>0</v>
      </c>
      <c r="W102" s="972" t="b">
        <f t="shared" si="35"/>
        <v>0</v>
      </c>
      <c r="X102" s="972" t="b">
        <f t="shared" si="35"/>
        <v>0</v>
      </c>
    </row>
    <row r="105" spans="2:25">
      <c r="Q105" s="1000"/>
      <c r="R105" s="995"/>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W7" sqref="W7"/>
    </sheetView>
  </sheetViews>
  <sheetFormatPr defaultRowHeight="15"/>
  <cols>
    <col min="1" max="1" width="40" style="930" bestFit="1" customWidth="1"/>
    <col min="2" max="2" width="53.42578125" style="930" bestFit="1" customWidth="1"/>
    <col min="3" max="3" width="24.5703125" style="930" bestFit="1" customWidth="1"/>
    <col min="4" max="4" width="9.28515625" style="930" bestFit="1" customWidth="1"/>
    <col min="5" max="10" width="19.85546875" style="930" bestFit="1" customWidth="1"/>
    <col min="11" max="11" width="20.140625" style="930" customWidth="1"/>
    <col min="12" max="12" width="21" style="930" bestFit="1" customWidth="1"/>
    <col min="13" max="14" width="20.7109375" style="930" bestFit="1" customWidth="1"/>
    <col min="15" max="17" width="21.85546875" style="930" bestFit="1" customWidth="1"/>
    <col min="18" max="18" width="21.28515625" style="930" bestFit="1" customWidth="1"/>
    <col min="19" max="19" width="20.7109375" style="930" bestFit="1" customWidth="1"/>
    <col min="20" max="20" width="21.28515625" style="930" bestFit="1" customWidth="1"/>
    <col min="21" max="21" width="20.7109375" style="930" bestFit="1" customWidth="1"/>
    <col min="22" max="27" width="22.42578125" style="930" bestFit="1" customWidth="1"/>
  </cols>
  <sheetData>
    <row r="1" spans="1:47">
      <c r="A1" s="924" t="s">
        <v>1495</v>
      </c>
      <c r="B1" s="964" t="s">
        <v>1496</v>
      </c>
      <c r="C1" s="925"/>
      <c r="D1" s="926"/>
      <c r="E1" s="926"/>
      <c r="F1" s="926"/>
      <c r="G1" s="926"/>
      <c r="H1" s="926"/>
      <c r="I1" s="926"/>
      <c r="J1" s="926"/>
      <c r="K1" s="926"/>
      <c r="L1" s="926"/>
      <c r="M1" s="926"/>
      <c r="N1" s="926"/>
      <c r="O1" s="927"/>
      <c r="P1" s="927"/>
      <c r="Q1" s="927"/>
      <c r="R1" s="928"/>
      <c r="S1" s="929"/>
      <c r="T1" s="927"/>
      <c r="U1" s="927"/>
      <c r="V1" s="927"/>
      <c r="W1" s="927"/>
      <c r="X1" s="927"/>
    </row>
    <row r="2" spans="1:47">
      <c r="B2" s="965" t="s">
        <v>1497</v>
      </c>
      <c r="C2" s="931"/>
      <c r="D2" s="927"/>
      <c r="E2" s="927"/>
      <c r="F2" s="927"/>
      <c r="G2" s="927"/>
      <c r="H2" s="927"/>
      <c r="I2" s="927"/>
      <c r="J2" s="927"/>
      <c r="K2" s="927"/>
      <c r="L2" s="927"/>
      <c r="M2" s="927"/>
      <c r="N2" s="927"/>
      <c r="O2" s="927"/>
      <c r="P2" s="927"/>
      <c r="Q2" s="927"/>
      <c r="R2" s="932"/>
      <c r="S2" s="933"/>
      <c r="T2" s="934"/>
      <c r="U2" s="927"/>
      <c r="V2" s="927"/>
      <c r="W2" s="927"/>
      <c r="X2" s="927"/>
    </row>
    <row r="3" spans="1:47">
      <c r="B3" s="926" t="s">
        <v>3</v>
      </c>
      <c r="C3" s="926"/>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927">
        <v>2021</v>
      </c>
      <c r="Z3" s="927">
        <v>2022</v>
      </c>
      <c r="AA3" s="927">
        <v>2023</v>
      </c>
      <c r="AB3" s="28"/>
    </row>
    <row r="4" spans="1:47">
      <c r="B4" s="926" t="s">
        <v>4</v>
      </c>
      <c r="C4" s="926"/>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927" t="s">
        <v>26</v>
      </c>
      <c r="Z4" s="927" t="s">
        <v>27</v>
      </c>
      <c r="AA4" s="927" t="s">
        <v>1137</v>
      </c>
    </row>
    <row r="5" spans="1:47">
      <c r="A5" s="930" t="s">
        <v>28</v>
      </c>
      <c r="B5" s="926" t="s">
        <v>29</v>
      </c>
      <c r="C5" s="926"/>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369</v>
      </c>
      <c r="R5" s="927" t="s">
        <v>30</v>
      </c>
      <c r="S5" s="927" t="s">
        <v>30</v>
      </c>
      <c r="T5" s="927" t="s">
        <v>368</v>
      </c>
      <c r="U5" s="927" t="s">
        <v>369</v>
      </c>
      <c r="V5" s="927" t="s">
        <v>32</v>
      </c>
      <c r="W5" s="927" t="s">
        <v>32</v>
      </c>
      <c r="X5" s="927" t="s">
        <v>32</v>
      </c>
      <c r="Y5" s="927" t="s">
        <v>32</v>
      </c>
      <c r="Z5" s="927" t="s">
        <v>32</v>
      </c>
      <c r="AA5" s="927" t="s">
        <v>32</v>
      </c>
    </row>
    <row r="6" spans="1:47" s="848" customFormat="1">
      <c r="A6" s="935" t="s">
        <v>1498</v>
      </c>
      <c r="B6" s="935" t="s">
        <v>1499</v>
      </c>
      <c r="C6" s="935" t="s">
        <v>35</v>
      </c>
      <c r="D6" s="935"/>
      <c r="E6" s="936">
        <v>18900000000</v>
      </c>
      <c r="F6" s="936">
        <v>23000000000</v>
      </c>
      <c r="G6" s="936">
        <v>21900000000</v>
      </c>
      <c r="H6" s="936">
        <v>28000000000</v>
      </c>
      <c r="I6" s="936">
        <v>26779000000</v>
      </c>
      <c r="J6" s="936">
        <v>31044000000</v>
      </c>
      <c r="K6" s="937">
        <v>35131000000</v>
      </c>
      <c r="L6" s="936">
        <v>39187000000</v>
      </c>
      <c r="M6" s="936">
        <v>36540000000</v>
      </c>
      <c r="N6" s="936">
        <v>38695000000</v>
      </c>
      <c r="O6" s="936">
        <v>37916000000</v>
      </c>
      <c r="P6" s="936">
        <v>35050000000</v>
      </c>
      <c r="Q6" s="936">
        <v>37259000000</v>
      </c>
      <c r="R6" s="936">
        <v>35327000000</v>
      </c>
      <c r="S6" s="936">
        <v>42678000000</v>
      </c>
      <c r="T6" s="936">
        <v>44107000000</v>
      </c>
      <c r="U6" s="938">
        <v>48233000000</v>
      </c>
      <c r="V6" s="938">
        <v>53565000000</v>
      </c>
      <c r="W6" s="938">
        <f>W7+W16</f>
        <v>53359000000</v>
      </c>
      <c r="X6" s="939">
        <v>55345000000</v>
      </c>
      <c r="Y6" s="939">
        <v>58138000000</v>
      </c>
      <c r="Z6" s="939">
        <v>62694000000</v>
      </c>
      <c r="AA6" s="939">
        <v>66480000000</v>
      </c>
      <c r="AC6" s="916"/>
      <c r="AD6" s="916"/>
      <c r="AE6" s="916"/>
      <c r="AF6" s="916"/>
      <c r="AG6" s="916"/>
      <c r="AH6" s="916"/>
      <c r="AI6" s="916"/>
      <c r="AJ6" s="916"/>
      <c r="AK6" s="916"/>
      <c r="AL6" s="916"/>
      <c r="AM6" s="916"/>
      <c r="AN6" s="916"/>
      <c r="AO6" s="916"/>
      <c r="AP6" s="916"/>
      <c r="AQ6" s="916"/>
      <c r="AR6" s="916"/>
      <c r="AS6" s="916"/>
      <c r="AT6" s="916"/>
      <c r="AU6" s="916"/>
    </row>
    <row r="7" spans="1:47">
      <c r="A7" s="940" t="s">
        <v>159</v>
      </c>
      <c r="B7" s="940" t="s">
        <v>1500</v>
      </c>
      <c r="C7" s="941" t="s">
        <v>38</v>
      </c>
      <c r="D7" s="940"/>
      <c r="E7" s="942">
        <v>14800000000</v>
      </c>
      <c r="F7" s="942">
        <v>16700000000</v>
      </c>
      <c r="G7" s="942">
        <v>17500000000</v>
      </c>
      <c r="H7" s="942">
        <v>19000000000</v>
      </c>
      <c r="I7" s="942">
        <v>21123000000</v>
      </c>
      <c r="J7" s="942">
        <v>25255000000</v>
      </c>
      <c r="K7" s="943">
        <v>29559000000</v>
      </c>
      <c r="L7" s="942">
        <v>32757000000</v>
      </c>
      <c r="M7" s="942">
        <v>29690000000</v>
      </c>
      <c r="N7" s="942">
        <v>30033000000</v>
      </c>
      <c r="O7" s="942">
        <f>(O8+O19)</f>
        <v>33574000000</v>
      </c>
      <c r="P7" s="942">
        <f t="shared" ref="P7:Q7" si="0">(P8+P19)</f>
        <v>32283000000</v>
      </c>
      <c r="Q7" s="942">
        <f t="shared" si="0"/>
        <v>33551000000</v>
      </c>
      <c r="R7" s="942">
        <f t="shared" ref="R7" si="1">R6-R16</f>
        <v>32540000000</v>
      </c>
      <c r="S7" s="944">
        <f t="shared" ref="S7:T7" si="2">S8+S19</f>
        <v>38719000000</v>
      </c>
      <c r="T7" s="944">
        <f t="shared" si="2"/>
        <v>39599000000</v>
      </c>
      <c r="U7" s="944">
        <f>U8+U19</f>
        <v>42286000000</v>
      </c>
      <c r="V7" s="944">
        <f t="shared" ref="V7:AA7" si="3">V8+V19</f>
        <v>50150000000</v>
      </c>
      <c r="W7" s="944">
        <f t="shared" si="3"/>
        <v>50978000000</v>
      </c>
      <c r="X7" s="944">
        <f t="shared" si="3"/>
        <v>53420000000</v>
      </c>
      <c r="Y7" s="944">
        <f t="shared" si="3"/>
        <v>56212000000</v>
      </c>
      <c r="Z7" s="944">
        <f t="shared" si="3"/>
        <v>60582000000</v>
      </c>
      <c r="AA7" s="944">
        <f t="shared" si="3"/>
        <v>64368000000</v>
      </c>
      <c r="AC7" s="365"/>
      <c r="AD7" s="365"/>
      <c r="AE7" s="365"/>
      <c r="AF7" s="365"/>
      <c r="AG7" s="365"/>
      <c r="AH7" s="365"/>
      <c r="AI7" s="365"/>
      <c r="AJ7" s="365"/>
      <c r="AK7" s="365"/>
      <c r="AL7" s="365"/>
      <c r="AM7" s="365"/>
      <c r="AN7" s="365"/>
      <c r="AO7" s="365"/>
      <c r="AP7" s="365"/>
      <c r="AQ7" s="365"/>
      <c r="AR7" s="365"/>
      <c r="AS7" s="365"/>
      <c r="AT7" s="365"/>
      <c r="AU7" s="365"/>
    </row>
    <row r="8" spans="1:47">
      <c r="A8" s="946" t="s">
        <v>371</v>
      </c>
      <c r="B8" s="946" t="s">
        <v>371</v>
      </c>
      <c r="C8" s="940" t="s">
        <v>41</v>
      </c>
      <c r="D8" s="940"/>
      <c r="E8" s="942">
        <v>13000000000</v>
      </c>
      <c r="F8" s="942">
        <v>14700000000</v>
      </c>
      <c r="G8" s="942">
        <v>15500000000</v>
      </c>
      <c r="H8" s="942">
        <v>16600000000.000002</v>
      </c>
      <c r="I8" s="942">
        <v>18601000000</v>
      </c>
      <c r="J8" s="942">
        <v>22828000000</v>
      </c>
      <c r="K8" s="943">
        <v>26423000000</v>
      </c>
      <c r="L8" s="942">
        <v>29585000000</v>
      </c>
      <c r="M8" s="942">
        <v>25676000000</v>
      </c>
      <c r="N8" s="942">
        <v>26391000000</v>
      </c>
      <c r="O8" s="942">
        <v>29581000000</v>
      </c>
      <c r="P8" s="942">
        <v>27515000000</v>
      </c>
      <c r="Q8" s="942">
        <v>28031000000</v>
      </c>
      <c r="R8" s="942">
        <v>27060000000</v>
      </c>
      <c r="S8" s="942">
        <v>30516000000</v>
      </c>
      <c r="T8" s="942">
        <v>32274000000</v>
      </c>
      <c r="U8" s="944">
        <f>U9+U12+U13+U14</f>
        <v>35910000000</v>
      </c>
      <c r="V8" s="944">
        <f t="shared" ref="V8:AA8" si="4">V9+V12+V13+V14</f>
        <v>40520000000</v>
      </c>
      <c r="W8" s="944">
        <f t="shared" si="4"/>
        <v>42063000000</v>
      </c>
      <c r="X8" s="944">
        <f t="shared" si="4"/>
        <v>45386000000</v>
      </c>
      <c r="Y8" s="944">
        <f t="shared" si="4"/>
        <v>49001000000</v>
      </c>
      <c r="Z8" s="944">
        <f t="shared" si="4"/>
        <v>52907000000</v>
      </c>
      <c r="AA8" s="944">
        <f t="shared" si="4"/>
        <v>56229000000</v>
      </c>
      <c r="AC8" s="365"/>
      <c r="AD8" s="365"/>
      <c r="AE8" s="365"/>
      <c r="AF8" s="365"/>
      <c r="AG8" s="365"/>
      <c r="AH8" s="365"/>
      <c r="AI8" s="365"/>
      <c r="AJ8" s="365"/>
      <c r="AK8" s="365"/>
      <c r="AL8" s="365"/>
      <c r="AM8" s="365"/>
      <c r="AN8" s="365"/>
      <c r="AO8" s="365"/>
      <c r="AP8" s="365"/>
      <c r="AQ8" s="365"/>
      <c r="AR8" s="365"/>
      <c r="AS8" s="365"/>
      <c r="AT8" s="365"/>
      <c r="AU8" s="365"/>
    </row>
    <row r="9" spans="1:47">
      <c r="A9" s="947" t="s">
        <v>317</v>
      </c>
      <c r="B9" s="947" t="s">
        <v>1501</v>
      </c>
      <c r="C9" s="926" t="s">
        <v>552</v>
      </c>
      <c r="D9" s="940"/>
      <c r="E9" s="942">
        <v>4800000000</v>
      </c>
      <c r="F9" s="942">
        <v>5100000000</v>
      </c>
      <c r="G9" s="942">
        <v>5300000000</v>
      </c>
      <c r="H9" s="942">
        <v>5400000000</v>
      </c>
      <c r="I9" s="942">
        <v>5822000000</v>
      </c>
      <c r="J9" s="942">
        <v>6952000000</v>
      </c>
      <c r="K9" s="943">
        <v>7656000000</v>
      </c>
      <c r="L9" s="942">
        <v>8525000000</v>
      </c>
      <c r="M9" s="942">
        <v>8059000000</v>
      </c>
      <c r="N9" s="942">
        <v>7865000000</v>
      </c>
      <c r="O9" s="942">
        <v>8678000000</v>
      </c>
      <c r="P9" s="942">
        <v>8626000000</v>
      </c>
      <c r="Q9" s="942">
        <v>8541000000</v>
      </c>
      <c r="R9" s="942">
        <v>7747000000</v>
      </c>
      <c r="S9" s="942">
        <v>9669000000</v>
      </c>
      <c r="T9" s="942">
        <v>10049000000</v>
      </c>
      <c r="U9" s="944">
        <v>11297000000</v>
      </c>
      <c r="V9" s="944">
        <v>12180000000</v>
      </c>
      <c r="W9" s="944">
        <v>13123000000</v>
      </c>
      <c r="X9" s="945">
        <v>14191000000</v>
      </c>
      <c r="Y9" s="945">
        <v>15358000000</v>
      </c>
      <c r="Z9" s="945">
        <v>16620000000</v>
      </c>
      <c r="AA9" s="945">
        <v>17635000000</v>
      </c>
      <c r="AC9" s="365"/>
      <c r="AD9" s="365"/>
      <c r="AE9" s="365"/>
      <c r="AF9" s="365"/>
      <c r="AG9" s="365"/>
      <c r="AH9" s="365"/>
      <c r="AI9" s="365"/>
      <c r="AJ9" s="365"/>
      <c r="AK9" s="365"/>
      <c r="AL9" s="365"/>
      <c r="AM9" s="365"/>
      <c r="AN9" s="365"/>
      <c r="AO9" s="365"/>
      <c r="AP9" s="365"/>
      <c r="AQ9" s="365"/>
      <c r="AR9" s="365"/>
      <c r="AS9" s="365"/>
      <c r="AT9" s="365"/>
      <c r="AU9" s="365"/>
    </row>
    <row r="10" spans="1:47">
      <c r="A10" s="947" t="s">
        <v>170</v>
      </c>
      <c r="B10" s="947" t="s">
        <v>1502</v>
      </c>
      <c r="C10" s="926" t="s">
        <v>1503</v>
      </c>
      <c r="D10" s="940"/>
      <c r="E10" s="943"/>
      <c r="F10" s="943"/>
      <c r="G10" s="943"/>
      <c r="H10" s="943"/>
      <c r="I10" s="943"/>
      <c r="J10" s="943"/>
      <c r="K10" s="943"/>
      <c r="L10" s="942">
        <v>4824000000</v>
      </c>
      <c r="M10" s="942"/>
      <c r="N10" s="942"/>
      <c r="O10" s="942"/>
      <c r="P10" s="942"/>
      <c r="Q10" s="942"/>
      <c r="R10" s="942"/>
      <c r="S10" s="942"/>
      <c r="T10" s="942"/>
      <c r="U10" s="944"/>
      <c r="V10" s="944"/>
      <c r="W10" s="944"/>
      <c r="X10" s="945"/>
      <c r="Y10" s="945"/>
      <c r="Z10" s="945"/>
      <c r="AA10" s="945"/>
      <c r="AC10" s="365"/>
      <c r="AD10" s="365"/>
      <c r="AE10" s="365"/>
      <c r="AF10" s="365"/>
      <c r="AG10" s="365"/>
      <c r="AH10" s="365"/>
      <c r="AI10" s="365"/>
      <c r="AJ10" s="365"/>
      <c r="AK10" s="365"/>
      <c r="AL10" s="365"/>
      <c r="AM10" s="365"/>
      <c r="AN10" s="365"/>
      <c r="AO10" s="365"/>
      <c r="AP10" s="365"/>
      <c r="AQ10" s="365"/>
      <c r="AR10" s="365"/>
      <c r="AS10" s="365"/>
      <c r="AT10" s="365"/>
      <c r="AU10" s="365"/>
    </row>
    <row r="11" spans="1:47">
      <c r="A11" s="947" t="s">
        <v>1504</v>
      </c>
      <c r="B11" s="947" t="s">
        <v>1505</v>
      </c>
      <c r="C11" s="926" t="s">
        <v>1503</v>
      </c>
      <c r="D11" s="940"/>
      <c r="E11" s="943"/>
      <c r="F11" s="943"/>
      <c r="G11" s="943"/>
      <c r="H11" s="943"/>
      <c r="I11" s="943"/>
      <c r="J11" s="943"/>
      <c r="K11" s="943"/>
      <c r="L11" s="942">
        <v>3701000000</v>
      </c>
      <c r="M11" s="942"/>
      <c r="N11" s="942"/>
      <c r="O11" s="942"/>
      <c r="P11" s="942"/>
      <c r="Q11" s="942"/>
      <c r="R11" s="942"/>
      <c r="S11" s="942"/>
      <c r="T11" s="942"/>
      <c r="U11" s="944"/>
      <c r="V11" s="944"/>
      <c r="W11" s="944"/>
      <c r="X11" s="945"/>
      <c r="Y11" s="945"/>
      <c r="Z11" s="945"/>
      <c r="AA11" s="945"/>
      <c r="AC11" s="365"/>
      <c r="AD11" s="365"/>
      <c r="AE11" s="365"/>
      <c r="AF11" s="365"/>
      <c r="AG11" s="365"/>
      <c r="AH11" s="365"/>
      <c r="AI11" s="365"/>
      <c r="AJ11" s="365"/>
      <c r="AK11" s="365"/>
      <c r="AL11" s="365"/>
      <c r="AM11" s="365"/>
      <c r="AN11" s="365"/>
      <c r="AO11" s="365"/>
      <c r="AP11" s="365"/>
      <c r="AQ11" s="365"/>
      <c r="AR11" s="365"/>
      <c r="AS11" s="365"/>
      <c r="AT11" s="365"/>
      <c r="AU11" s="365"/>
    </row>
    <row r="12" spans="1:47">
      <c r="A12" s="947" t="s">
        <v>47</v>
      </c>
      <c r="B12" s="947" t="s">
        <v>1506</v>
      </c>
      <c r="C12" s="926" t="s">
        <v>552</v>
      </c>
      <c r="D12" s="940"/>
      <c r="E12" s="942">
        <v>2100000000</v>
      </c>
      <c r="F12" s="942">
        <v>2500000000</v>
      </c>
      <c r="G12" s="942">
        <v>2500000000</v>
      </c>
      <c r="H12" s="942">
        <v>6300000000</v>
      </c>
      <c r="I12" s="942">
        <v>7390000000</v>
      </c>
      <c r="J12" s="942">
        <v>9821000000</v>
      </c>
      <c r="K12" s="943">
        <v>11565000000</v>
      </c>
      <c r="L12" s="942">
        <v>13300000000</v>
      </c>
      <c r="M12" s="942">
        <v>11300000000</v>
      </c>
      <c r="N12" s="942">
        <v>12221000000</v>
      </c>
      <c r="O12" s="942">
        <v>13840000000</v>
      </c>
      <c r="P12" s="942">
        <v>12443000000</v>
      </c>
      <c r="Q12" s="942">
        <v>13123000000</v>
      </c>
      <c r="R12" s="942">
        <v>12870000000</v>
      </c>
      <c r="S12" s="942">
        <v>14047000000</v>
      </c>
      <c r="T12" s="942">
        <v>14940000000</v>
      </c>
      <c r="U12" s="944">
        <v>16845000000</v>
      </c>
      <c r="V12" s="944">
        <v>19611000000</v>
      </c>
      <c r="W12" s="944">
        <v>19568000000</v>
      </c>
      <c r="X12" s="945">
        <v>21161000000</v>
      </c>
      <c r="Y12" s="945">
        <v>22901000000</v>
      </c>
      <c r="Z12" s="945">
        <v>24782000000</v>
      </c>
      <c r="AA12" s="945">
        <v>26296000000</v>
      </c>
      <c r="AC12" s="365"/>
      <c r="AD12" s="365"/>
      <c r="AE12" s="365"/>
      <c r="AF12" s="365"/>
      <c r="AG12" s="365"/>
      <c r="AH12" s="365"/>
      <c r="AI12" s="365"/>
      <c r="AJ12" s="365"/>
      <c r="AK12" s="365"/>
      <c r="AL12" s="365"/>
      <c r="AM12" s="365"/>
      <c r="AN12" s="365"/>
      <c r="AO12" s="365"/>
      <c r="AP12" s="365"/>
      <c r="AQ12" s="365"/>
      <c r="AR12" s="365"/>
      <c r="AS12" s="365"/>
      <c r="AT12" s="365"/>
      <c r="AU12" s="365"/>
    </row>
    <row r="13" spans="1:47">
      <c r="A13" s="947" t="s">
        <v>643</v>
      </c>
      <c r="B13" s="947" t="s">
        <v>1507</v>
      </c>
      <c r="C13" s="926" t="s">
        <v>552</v>
      </c>
      <c r="D13" s="940"/>
      <c r="E13" s="942">
        <v>5300000000</v>
      </c>
      <c r="F13" s="942">
        <v>6100000000</v>
      </c>
      <c r="G13" s="942">
        <v>6800000000</v>
      </c>
      <c r="H13" s="942">
        <v>3900000000</v>
      </c>
      <c r="I13" s="942">
        <v>4231000000</v>
      </c>
      <c r="J13" s="942">
        <v>4889000000</v>
      </c>
      <c r="K13" s="943">
        <v>5592000000</v>
      </c>
      <c r="L13" s="942">
        <v>6110000000</v>
      </c>
      <c r="M13" s="942">
        <v>5219000000</v>
      </c>
      <c r="N13" s="942">
        <v>5388000000</v>
      </c>
      <c r="O13" s="942">
        <v>6228000000</v>
      </c>
      <c r="P13" s="942">
        <v>5778000000</v>
      </c>
      <c r="Q13" s="942">
        <v>5700000000</v>
      </c>
      <c r="R13" s="942">
        <v>5754000000</v>
      </c>
      <c r="S13" s="942">
        <v>6082000000</v>
      </c>
      <c r="T13" s="942">
        <v>6813000000</v>
      </c>
      <c r="U13" s="944">
        <v>7224000000</v>
      </c>
      <c r="V13" s="944">
        <v>8143000000</v>
      </c>
      <c r="W13" s="944">
        <v>8741000000</v>
      </c>
      <c r="X13" s="945">
        <v>9351000000</v>
      </c>
      <c r="Y13" s="945">
        <v>10003000000</v>
      </c>
      <c r="Z13" s="945">
        <v>10705000000</v>
      </c>
      <c r="AA13" s="945">
        <v>11449000000</v>
      </c>
      <c r="AC13" s="365"/>
      <c r="AD13" s="365"/>
      <c r="AE13" s="365"/>
      <c r="AF13" s="365"/>
      <c r="AG13" s="365"/>
      <c r="AH13" s="365"/>
      <c r="AI13" s="365"/>
      <c r="AJ13" s="365"/>
      <c r="AK13" s="365"/>
      <c r="AL13" s="365"/>
      <c r="AM13" s="365"/>
      <c r="AN13" s="365"/>
      <c r="AO13" s="365"/>
      <c r="AP13" s="365"/>
      <c r="AQ13" s="365"/>
      <c r="AR13" s="365"/>
      <c r="AS13" s="365"/>
      <c r="AT13" s="365"/>
      <c r="AU13" s="365"/>
    </row>
    <row r="14" spans="1:47">
      <c r="A14" s="947" t="s">
        <v>49</v>
      </c>
      <c r="B14" s="947" t="s">
        <v>1508</v>
      </c>
      <c r="C14" s="926" t="s">
        <v>552</v>
      </c>
      <c r="D14" s="940"/>
      <c r="E14" s="942">
        <v>800000000</v>
      </c>
      <c r="F14" s="942">
        <v>900000000</v>
      </c>
      <c r="G14" s="942">
        <v>900000000</v>
      </c>
      <c r="H14" s="942">
        <v>1000000000</v>
      </c>
      <c r="I14" s="942">
        <v>1158000000</v>
      </c>
      <c r="J14" s="942">
        <v>1166000000</v>
      </c>
      <c r="K14" s="943">
        <v>1611000000</v>
      </c>
      <c r="L14" s="942">
        <v>1650000000</v>
      </c>
      <c r="M14" s="942">
        <v>1098000000</v>
      </c>
      <c r="N14" s="942">
        <v>916000000</v>
      </c>
      <c r="O14" s="942">
        <v>835000000</v>
      </c>
      <c r="P14" s="942">
        <v>667000000</v>
      </c>
      <c r="Q14" s="942">
        <v>668000000</v>
      </c>
      <c r="R14" s="942">
        <v>688000000</v>
      </c>
      <c r="S14" s="942">
        <v>719000000</v>
      </c>
      <c r="T14" s="942">
        <v>472000000</v>
      </c>
      <c r="U14" s="944">
        <v>544000000</v>
      </c>
      <c r="V14" s="944">
        <v>586000000</v>
      </c>
      <c r="W14" s="944">
        <v>631000000</v>
      </c>
      <c r="X14" s="945">
        <v>683000000</v>
      </c>
      <c r="Y14" s="945">
        <v>739000000</v>
      </c>
      <c r="Z14" s="945">
        <v>800000000</v>
      </c>
      <c r="AA14" s="945">
        <v>849000000</v>
      </c>
      <c r="AC14" s="365"/>
      <c r="AD14" s="365"/>
      <c r="AE14" s="365"/>
      <c r="AF14" s="365"/>
      <c r="AG14" s="365"/>
      <c r="AH14" s="365"/>
      <c r="AI14" s="365"/>
      <c r="AJ14" s="365"/>
      <c r="AK14" s="365"/>
      <c r="AL14" s="365"/>
      <c r="AM14" s="365"/>
      <c r="AN14" s="365"/>
      <c r="AO14" s="365"/>
      <c r="AP14" s="365"/>
      <c r="AQ14" s="365"/>
      <c r="AR14" s="365"/>
      <c r="AS14" s="365"/>
      <c r="AT14" s="365"/>
      <c r="AU14" s="365"/>
    </row>
    <row r="15" spans="1:47">
      <c r="A15" s="946" t="s">
        <v>244</v>
      </c>
      <c r="B15" s="946" t="s">
        <v>907</v>
      </c>
      <c r="C15" s="940" t="s">
        <v>41</v>
      </c>
      <c r="D15" s="940"/>
      <c r="E15" s="942">
        <v>300000000</v>
      </c>
      <c r="F15" s="942">
        <v>200000000</v>
      </c>
      <c r="G15" s="942">
        <v>500000000</v>
      </c>
      <c r="H15" s="942">
        <v>200000000</v>
      </c>
      <c r="I15" s="942">
        <v>147000000</v>
      </c>
      <c r="J15" s="942">
        <v>301000000</v>
      </c>
      <c r="K15" s="943">
        <v>293000000</v>
      </c>
      <c r="L15" s="948">
        <v>70000000</v>
      </c>
      <c r="M15" s="942"/>
      <c r="N15" s="942"/>
      <c r="O15" s="942"/>
      <c r="P15" s="942"/>
      <c r="Q15" s="942"/>
      <c r="R15" s="942"/>
      <c r="S15" s="942"/>
      <c r="T15" s="942"/>
      <c r="U15" s="944"/>
      <c r="V15" s="944"/>
      <c r="W15" s="944"/>
      <c r="X15" s="945"/>
      <c r="Y15" s="945"/>
      <c r="Z15" s="945"/>
      <c r="AA15" s="945"/>
      <c r="AC15" s="365"/>
      <c r="AD15" s="365"/>
      <c r="AE15" s="365"/>
      <c r="AF15" s="365"/>
      <c r="AG15" s="365"/>
      <c r="AH15" s="365"/>
      <c r="AI15" s="365"/>
      <c r="AJ15" s="365"/>
      <c r="AK15" s="365"/>
      <c r="AL15" s="365"/>
      <c r="AM15" s="365"/>
      <c r="AN15" s="365"/>
      <c r="AO15" s="365"/>
      <c r="AP15" s="365"/>
      <c r="AQ15" s="365"/>
      <c r="AR15" s="365"/>
      <c r="AS15" s="365"/>
      <c r="AT15" s="365"/>
      <c r="AU15" s="365"/>
    </row>
    <row r="16" spans="1:47" s="848" customFormat="1">
      <c r="A16" s="935" t="s">
        <v>53</v>
      </c>
      <c r="B16" s="935" t="s">
        <v>53</v>
      </c>
      <c r="C16" s="949" t="s">
        <v>38</v>
      </c>
      <c r="D16" s="935"/>
      <c r="E16" s="936">
        <v>4099999999.9999995</v>
      </c>
      <c r="F16" s="936">
        <v>6300000000</v>
      </c>
      <c r="G16" s="936">
        <v>4400000000</v>
      </c>
      <c r="H16" s="936">
        <v>8900000000</v>
      </c>
      <c r="I16" s="936">
        <v>5657000000</v>
      </c>
      <c r="J16" s="936">
        <v>5789000000</v>
      </c>
      <c r="K16" s="937">
        <v>5572000000</v>
      </c>
      <c r="L16" s="936">
        <v>6430000000</v>
      </c>
      <c r="M16" s="936">
        <v>6850000000</v>
      </c>
      <c r="N16" s="936">
        <v>8662000000</v>
      </c>
      <c r="O16" s="936">
        <v>4342000000</v>
      </c>
      <c r="P16" s="936">
        <v>2768000000</v>
      </c>
      <c r="Q16" s="936">
        <v>3708000000</v>
      </c>
      <c r="R16" s="936">
        <v>2787000000</v>
      </c>
      <c r="S16" s="936">
        <v>3958000000</v>
      </c>
      <c r="T16" s="936">
        <v>4507000000</v>
      </c>
      <c r="U16" s="938">
        <v>5948000000</v>
      </c>
      <c r="V16" s="938">
        <v>3415000000</v>
      </c>
      <c r="W16" s="938">
        <v>2381000000</v>
      </c>
      <c r="X16" s="939">
        <v>1926000000</v>
      </c>
      <c r="Y16" s="939">
        <v>1926000000</v>
      </c>
      <c r="Z16" s="939">
        <v>2112000000</v>
      </c>
      <c r="AA16" s="939">
        <v>2112000000</v>
      </c>
      <c r="AC16" s="916"/>
      <c r="AD16" s="916"/>
      <c r="AE16" s="916"/>
      <c r="AF16" s="916"/>
      <c r="AG16" s="916"/>
      <c r="AH16" s="916"/>
      <c r="AI16" s="916"/>
      <c r="AJ16" s="916"/>
      <c r="AK16" s="916"/>
      <c r="AL16" s="916"/>
      <c r="AM16" s="916"/>
      <c r="AN16" s="916"/>
      <c r="AO16" s="916"/>
      <c r="AP16" s="916"/>
      <c r="AQ16" s="916"/>
      <c r="AR16" s="916"/>
      <c r="AS16" s="916"/>
      <c r="AT16" s="916"/>
      <c r="AU16" s="916"/>
    </row>
    <row r="17" spans="1:47">
      <c r="A17" s="946" t="s">
        <v>473</v>
      </c>
      <c r="B17" s="946" t="s">
        <v>1509</v>
      </c>
      <c r="C17" s="941" t="s">
        <v>57</v>
      </c>
      <c r="D17" s="940"/>
      <c r="E17" s="942">
        <v>4099999999.9999995</v>
      </c>
      <c r="F17" s="942">
        <v>5200000000</v>
      </c>
      <c r="G17" s="942">
        <v>3600000000</v>
      </c>
      <c r="H17" s="942">
        <v>7700000000</v>
      </c>
      <c r="I17" s="942">
        <v>5106000000</v>
      </c>
      <c r="J17" s="942">
        <v>4035000000</v>
      </c>
      <c r="K17" s="943">
        <v>4009000000</v>
      </c>
      <c r="L17" s="942">
        <v>4790000000</v>
      </c>
      <c r="M17" s="942"/>
      <c r="N17" s="942"/>
      <c r="O17" s="942"/>
      <c r="P17" s="942"/>
      <c r="Q17" s="942"/>
      <c r="R17" s="942"/>
      <c r="S17" s="942"/>
      <c r="T17" s="942"/>
      <c r="U17" s="944"/>
      <c r="V17" s="944"/>
      <c r="W17" s="944"/>
      <c r="X17" s="945"/>
      <c r="Y17" s="945"/>
      <c r="Z17" s="945"/>
      <c r="AA17" s="945"/>
      <c r="AC17" s="365"/>
      <c r="AD17" s="365"/>
      <c r="AE17" s="365"/>
      <c r="AF17" s="365"/>
      <c r="AG17" s="365"/>
      <c r="AH17" s="365"/>
      <c r="AI17" s="365"/>
      <c r="AJ17" s="365"/>
      <c r="AK17" s="365"/>
      <c r="AL17" s="365"/>
      <c r="AM17" s="365"/>
      <c r="AN17" s="365"/>
      <c r="AO17" s="365"/>
      <c r="AP17" s="365"/>
      <c r="AQ17" s="365"/>
      <c r="AR17" s="365"/>
      <c r="AS17" s="365"/>
      <c r="AT17" s="365"/>
      <c r="AU17" s="365"/>
    </row>
    <row r="18" spans="1:47">
      <c r="A18" s="946" t="s">
        <v>1510</v>
      </c>
      <c r="B18" s="946" t="s">
        <v>1511</v>
      </c>
      <c r="C18" s="941" t="s">
        <v>57</v>
      </c>
      <c r="D18" s="940"/>
      <c r="E18" s="942">
        <v>0</v>
      </c>
      <c r="F18" s="942">
        <v>1200000000</v>
      </c>
      <c r="G18" s="942">
        <v>800000000</v>
      </c>
      <c r="H18" s="942">
        <v>1200000000</v>
      </c>
      <c r="I18" s="942">
        <v>551000000</v>
      </c>
      <c r="J18" s="942">
        <v>1755000000</v>
      </c>
      <c r="K18" s="943">
        <v>1563000000</v>
      </c>
      <c r="L18" s="942">
        <v>1640000000</v>
      </c>
      <c r="M18" s="942"/>
      <c r="N18" s="942"/>
      <c r="O18" s="942"/>
      <c r="P18" s="942"/>
      <c r="Q18" s="942"/>
      <c r="R18" s="942"/>
      <c r="S18" s="942"/>
      <c r="T18" s="942"/>
      <c r="U18" s="944"/>
      <c r="V18" s="944"/>
      <c r="W18" s="944"/>
      <c r="X18" s="945"/>
      <c r="Y18" s="945"/>
      <c r="Z18" s="945"/>
      <c r="AA18" s="945"/>
      <c r="AC18" s="365"/>
      <c r="AD18" s="365"/>
      <c r="AE18" s="365"/>
      <c r="AF18" s="365"/>
      <c r="AG18" s="365"/>
      <c r="AH18" s="365"/>
      <c r="AI18" s="365"/>
      <c r="AJ18" s="365"/>
      <c r="AK18" s="365"/>
      <c r="AL18" s="365"/>
      <c r="AM18" s="365"/>
      <c r="AN18" s="365"/>
      <c r="AO18" s="365"/>
      <c r="AP18" s="365"/>
      <c r="AQ18" s="365"/>
      <c r="AR18" s="365"/>
      <c r="AS18" s="365"/>
      <c r="AT18" s="365"/>
      <c r="AU18" s="365"/>
    </row>
    <row r="19" spans="1:47">
      <c r="A19" s="940" t="s">
        <v>560</v>
      </c>
      <c r="B19" s="940" t="s">
        <v>1512</v>
      </c>
      <c r="C19" s="940" t="s">
        <v>41</v>
      </c>
      <c r="D19" s="940"/>
      <c r="E19" s="942">
        <v>1500000000</v>
      </c>
      <c r="F19" s="942">
        <v>1800000000</v>
      </c>
      <c r="G19" s="942">
        <v>1500000000</v>
      </c>
      <c r="H19" s="942">
        <v>1900000000</v>
      </c>
      <c r="I19" s="942">
        <v>2375000000</v>
      </c>
      <c r="J19" s="942">
        <v>2126000000</v>
      </c>
      <c r="K19" s="943">
        <v>2843000000</v>
      </c>
      <c r="L19" s="942">
        <v>3102000000</v>
      </c>
      <c r="M19" s="942">
        <v>4014000000</v>
      </c>
      <c r="N19" s="942">
        <v>3642000000</v>
      </c>
      <c r="O19" s="942">
        <v>3993000000</v>
      </c>
      <c r="P19" s="942">
        <v>4768000000</v>
      </c>
      <c r="Q19" s="942">
        <v>5520000000</v>
      </c>
      <c r="R19" s="942">
        <v>5480000000</v>
      </c>
      <c r="S19" s="942">
        <v>8203000000</v>
      </c>
      <c r="T19" s="942">
        <v>7325000000</v>
      </c>
      <c r="U19" s="944">
        <v>6376000000</v>
      </c>
      <c r="V19" s="944">
        <v>9630000000</v>
      </c>
      <c r="W19" s="944">
        <v>8915000000</v>
      </c>
      <c r="X19" s="945">
        <v>8034000000</v>
      </c>
      <c r="Y19" s="945">
        <v>7211000000</v>
      </c>
      <c r="Z19" s="945">
        <v>7675000000</v>
      </c>
      <c r="AA19" s="945">
        <v>8139000000</v>
      </c>
      <c r="AC19" s="365"/>
      <c r="AD19" s="365"/>
      <c r="AE19" s="365"/>
      <c r="AF19" s="365"/>
      <c r="AG19" s="365"/>
      <c r="AH19" s="365"/>
      <c r="AI19" s="365"/>
      <c r="AJ19" s="365"/>
      <c r="AK19" s="365"/>
      <c r="AL19" s="365"/>
      <c r="AM19" s="365"/>
      <c r="AN19" s="365"/>
      <c r="AO19" s="365"/>
      <c r="AP19" s="365"/>
      <c r="AQ19" s="365"/>
      <c r="AR19" s="365"/>
      <c r="AS19" s="365"/>
      <c r="AT19" s="365"/>
      <c r="AU19" s="365"/>
    </row>
    <row r="20" spans="1:47">
      <c r="A20" s="946" t="s">
        <v>1513</v>
      </c>
      <c r="B20" s="946" t="s">
        <v>1514</v>
      </c>
      <c r="C20" s="926" t="s">
        <v>1515</v>
      </c>
      <c r="D20" s="940"/>
      <c r="E20" s="942">
        <v>300000000</v>
      </c>
      <c r="F20" s="942">
        <v>300000000</v>
      </c>
      <c r="G20" s="942">
        <v>400000000</v>
      </c>
      <c r="H20" s="942">
        <v>500000000</v>
      </c>
      <c r="I20" s="943"/>
      <c r="J20" s="943"/>
      <c r="K20" s="943"/>
      <c r="L20" s="943"/>
      <c r="M20" s="942"/>
      <c r="N20" s="942"/>
      <c r="O20" s="942">
        <v>280000000</v>
      </c>
      <c r="P20" s="942">
        <v>365000000</v>
      </c>
      <c r="Q20" s="942">
        <v>430000000</v>
      </c>
      <c r="R20" s="942">
        <v>706000000</v>
      </c>
      <c r="S20" s="942">
        <v>404000000</v>
      </c>
      <c r="T20" s="942">
        <v>679000000</v>
      </c>
      <c r="U20" s="944">
        <v>463000000</v>
      </c>
      <c r="V20" s="944">
        <v>489000000</v>
      </c>
      <c r="W20" s="944">
        <v>517000000</v>
      </c>
      <c r="X20" s="945">
        <v>548000000</v>
      </c>
      <c r="Y20" s="945">
        <v>581000000</v>
      </c>
      <c r="Z20" s="945">
        <v>617000000</v>
      </c>
      <c r="AA20" s="945">
        <v>655000000</v>
      </c>
      <c r="AC20" s="365"/>
      <c r="AD20" s="365"/>
      <c r="AE20" s="365"/>
      <c r="AF20" s="365"/>
      <c r="AG20" s="365"/>
      <c r="AH20" s="365"/>
      <c r="AI20" s="365"/>
      <c r="AJ20" s="365"/>
      <c r="AK20" s="365"/>
      <c r="AL20" s="365"/>
      <c r="AM20" s="365"/>
      <c r="AN20" s="365"/>
      <c r="AO20" s="365"/>
      <c r="AP20" s="365"/>
      <c r="AQ20" s="365"/>
      <c r="AR20" s="365"/>
      <c r="AS20" s="365"/>
      <c r="AT20" s="365"/>
      <c r="AU20" s="365"/>
    </row>
    <row r="21" spans="1:47">
      <c r="A21" s="946" t="s">
        <v>1516</v>
      </c>
      <c r="B21" s="946" t="s">
        <v>1517</v>
      </c>
      <c r="C21" s="926" t="s">
        <v>1515</v>
      </c>
      <c r="D21" s="940"/>
      <c r="E21" s="942">
        <v>600000000</v>
      </c>
      <c r="F21" s="942">
        <v>600000000</v>
      </c>
      <c r="G21" s="942">
        <v>900000000</v>
      </c>
      <c r="H21" s="942">
        <v>1400000000</v>
      </c>
      <c r="I21" s="943"/>
      <c r="J21" s="943"/>
      <c r="K21" s="943"/>
      <c r="L21" s="943"/>
      <c r="M21" s="942"/>
      <c r="N21" s="942"/>
      <c r="O21" s="963">
        <f>O19-O20</f>
        <v>3713000000</v>
      </c>
      <c r="P21" s="963">
        <f t="shared" ref="P21:AA21" si="5">P19-P20</f>
        <v>4403000000</v>
      </c>
      <c r="Q21" s="963">
        <f t="shared" si="5"/>
        <v>5090000000</v>
      </c>
      <c r="R21" s="963">
        <f t="shared" si="5"/>
        <v>4774000000</v>
      </c>
      <c r="S21" s="963">
        <f t="shared" si="5"/>
        <v>7799000000</v>
      </c>
      <c r="T21" s="963">
        <f t="shared" si="5"/>
        <v>6646000000</v>
      </c>
      <c r="U21" s="963">
        <f t="shared" si="5"/>
        <v>5913000000</v>
      </c>
      <c r="V21" s="963">
        <f t="shared" si="5"/>
        <v>9141000000</v>
      </c>
      <c r="W21" s="963">
        <f t="shared" si="5"/>
        <v>8398000000</v>
      </c>
      <c r="X21" s="963">
        <f t="shared" si="5"/>
        <v>7486000000</v>
      </c>
      <c r="Y21" s="963">
        <f t="shared" si="5"/>
        <v>6630000000</v>
      </c>
      <c r="Z21" s="963">
        <f t="shared" si="5"/>
        <v>7058000000</v>
      </c>
      <c r="AA21" s="963">
        <f t="shared" si="5"/>
        <v>7484000000</v>
      </c>
      <c r="AC21" s="365"/>
      <c r="AD21" s="365"/>
      <c r="AE21" s="365"/>
      <c r="AF21" s="365"/>
      <c r="AG21" s="365"/>
      <c r="AH21" s="365"/>
      <c r="AI21" s="365"/>
      <c r="AJ21" s="365"/>
      <c r="AK21" s="365"/>
      <c r="AL21" s="365"/>
      <c r="AM21" s="365"/>
      <c r="AN21" s="365"/>
      <c r="AO21" s="365"/>
      <c r="AP21" s="365"/>
      <c r="AQ21" s="365"/>
      <c r="AR21" s="365"/>
      <c r="AS21" s="365"/>
      <c r="AT21" s="365"/>
      <c r="AU21" s="365"/>
    </row>
    <row r="22" spans="1:47">
      <c r="A22" s="946" t="s">
        <v>1518</v>
      </c>
      <c r="B22" s="946" t="s">
        <v>1519</v>
      </c>
      <c r="C22" s="926" t="s">
        <v>1515</v>
      </c>
      <c r="D22" s="940"/>
      <c r="E22" s="942">
        <v>600000000</v>
      </c>
      <c r="F22" s="942">
        <v>800000000</v>
      </c>
      <c r="G22" s="942">
        <v>300000000</v>
      </c>
      <c r="H22" s="942">
        <v>0</v>
      </c>
      <c r="I22" s="943"/>
      <c r="J22" s="943"/>
      <c r="K22" s="943"/>
      <c r="L22" s="943"/>
      <c r="M22" s="942"/>
      <c r="N22" s="942"/>
      <c r="O22" s="942"/>
      <c r="P22" s="942"/>
      <c r="Q22" s="942"/>
      <c r="R22" s="942"/>
      <c r="S22" s="942"/>
      <c r="T22" s="942"/>
      <c r="U22" s="944"/>
      <c r="V22" s="944"/>
      <c r="W22" s="944"/>
      <c r="X22" s="945"/>
      <c r="Y22" s="945"/>
      <c r="Z22" s="945"/>
      <c r="AA22" s="945"/>
      <c r="AC22" s="365"/>
      <c r="AD22" s="365"/>
      <c r="AE22" s="365"/>
      <c r="AF22" s="365"/>
      <c r="AG22" s="365"/>
      <c r="AH22" s="365"/>
      <c r="AI22" s="365"/>
      <c r="AJ22" s="365"/>
      <c r="AK22" s="365"/>
      <c r="AL22" s="365"/>
      <c r="AM22" s="365"/>
      <c r="AN22" s="365"/>
      <c r="AO22" s="365"/>
      <c r="AP22" s="365"/>
      <c r="AQ22" s="365"/>
      <c r="AR22" s="365"/>
      <c r="AS22" s="365"/>
      <c r="AT22" s="365"/>
      <c r="AU22" s="365"/>
    </row>
    <row r="23" spans="1:47">
      <c r="A23" s="946" t="s">
        <v>1520</v>
      </c>
      <c r="B23" s="946" t="s">
        <v>1521</v>
      </c>
      <c r="C23" s="940" t="s">
        <v>41</v>
      </c>
      <c r="D23" s="940"/>
      <c r="E23" s="951">
        <v>0</v>
      </c>
      <c r="F23" s="951">
        <v>0</v>
      </c>
      <c r="G23" s="951">
        <v>0</v>
      </c>
      <c r="H23" s="951">
        <v>200000000</v>
      </c>
      <c r="I23" s="943"/>
      <c r="J23" s="943"/>
      <c r="K23" s="943"/>
      <c r="L23" s="943"/>
      <c r="M23" s="942"/>
      <c r="N23" s="942"/>
      <c r="O23" s="942"/>
      <c r="P23" s="942"/>
      <c r="Q23" s="942"/>
      <c r="R23" s="942"/>
      <c r="S23" s="942"/>
      <c r="T23" s="942"/>
      <c r="U23" s="944"/>
      <c r="V23" s="944"/>
      <c r="W23" s="944"/>
      <c r="X23" s="945"/>
      <c r="Y23" s="945"/>
      <c r="Z23" s="945"/>
      <c r="AA23" s="945"/>
      <c r="AC23" s="365"/>
      <c r="AD23" s="365"/>
      <c r="AE23" s="365"/>
      <c r="AF23" s="365"/>
      <c r="AG23" s="365"/>
      <c r="AH23" s="365"/>
      <c r="AI23" s="365"/>
      <c r="AJ23" s="365"/>
      <c r="AK23" s="365"/>
      <c r="AL23" s="365"/>
      <c r="AM23" s="365"/>
      <c r="AN23" s="365"/>
      <c r="AO23" s="365"/>
      <c r="AP23" s="365"/>
      <c r="AQ23" s="365"/>
      <c r="AR23" s="365"/>
      <c r="AS23" s="365"/>
      <c r="AT23" s="365"/>
      <c r="AU23" s="365"/>
    </row>
    <row r="24" spans="1:47" s="848" customFormat="1">
      <c r="A24" s="935" t="s">
        <v>198</v>
      </c>
      <c r="B24" s="935" t="s">
        <v>535</v>
      </c>
      <c r="C24" s="935" t="s">
        <v>35</v>
      </c>
      <c r="D24" s="935"/>
      <c r="E24" s="936">
        <v>22100000000</v>
      </c>
      <c r="F24" s="936">
        <v>25100000000</v>
      </c>
      <c r="G24" s="936">
        <v>24700000000</v>
      </c>
      <c r="H24" s="936">
        <v>31300000000</v>
      </c>
      <c r="I24" s="936">
        <v>32437000000</v>
      </c>
      <c r="J24" s="936">
        <v>36252000000</v>
      </c>
      <c r="K24" s="937">
        <v>35986000000</v>
      </c>
      <c r="L24" s="936">
        <v>40715000000</v>
      </c>
      <c r="M24" s="936">
        <v>44493000000</v>
      </c>
      <c r="N24" s="936">
        <v>53366000000</v>
      </c>
      <c r="O24" s="936">
        <v>49650000000</v>
      </c>
      <c r="P24" s="936">
        <v>50118000000</v>
      </c>
      <c r="Q24" s="936">
        <v>49469000000</v>
      </c>
      <c r="R24" s="936">
        <v>47082000000</v>
      </c>
      <c r="S24" s="936">
        <v>49907000000</v>
      </c>
      <c r="T24" s="936">
        <v>49139000000</v>
      </c>
      <c r="U24" s="938">
        <v>53408000000</v>
      </c>
      <c r="V24" s="938">
        <v>59332000000</v>
      </c>
      <c r="W24" s="938">
        <v>64647000000</v>
      </c>
      <c r="X24" s="939">
        <v>65834000000</v>
      </c>
      <c r="Y24" s="939">
        <v>67998000000</v>
      </c>
      <c r="Z24" s="939">
        <v>71934000000</v>
      </c>
      <c r="AA24" s="939">
        <f>AA25+AA36</f>
        <v>76289000000</v>
      </c>
      <c r="AC24" s="916"/>
      <c r="AD24" s="916"/>
      <c r="AE24" s="916"/>
      <c r="AF24" s="916"/>
      <c r="AG24" s="916"/>
      <c r="AH24" s="916"/>
      <c r="AI24" s="916"/>
      <c r="AJ24" s="916"/>
      <c r="AK24" s="916"/>
      <c r="AL24" s="916"/>
      <c r="AM24" s="916"/>
      <c r="AN24" s="916"/>
      <c r="AO24" s="916"/>
      <c r="AP24" s="916"/>
      <c r="AQ24" s="916"/>
      <c r="AR24" s="916"/>
      <c r="AS24" s="916"/>
      <c r="AT24" s="916"/>
      <c r="AU24" s="916"/>
    </row>
    <row r="25" spans="1:47">
      <c r="A25" s="940" t="s">
        <v>73</v>
      </c>
      <c r="B25" s="940" t="s">
        <v>1522</v>
      </c>
      <c r="C25" s="940" t="s">
        <v>201</v>
      </c>
      <c r="D25" s="940"/>
      <c r="E25" s="942">
        <v>14800000000</v>
      </c>
      <c r="F25" s="942">
        <v>15500000000</v>
      </c>
      <c r="G25" s="942">
        <v>16399999999.999998</v>
      </c>
      <c r="H25" s="942">
        <v>16899999999.999998</v>
      </c>
      <c r="I25" s="942">
        <v>18948000000</v>
      </c>
      <c r="J25" s="942">
        <v>18887000000</v>
      </c>
      <c r="K25" s="943">
        <v>22308000000</v>
      </c>
      <c r="L25" s="942">
        <v>23264000000</v>
      </c>
      <c r="M25" s="942">
        <v>26670000000</v>
      </c>
      <c r="N25" s="942">
        <v>27440000000</v>
      </c>
      <c r="O25" s="942">
        <v>34738000000</v>
      </c>
      <c r="P25" s="942">
        <v>34166000000</v>
      </c>
      <c r="Q25" s="942">
        <v>35200000000</v>
      </c>
      <c r="R25" s="942">
        <v>37542000000</v>
      </c>
      <c r="S25" s="942">
        <v>41068000000</v>
      </c>
      <c r="T25" s="942">
        <v>43567000000</v>
      </c>
      <c r="U25" s="944">
        <v>44853000000</v>
      </c>
      <c r="V25" s="944">
        <v>52717000000</v>
      </c>
      <c r="W25" s="944">
        <v>54256000000</v>
      </c>
      <c r="X25" s="945">
        <v>56093000000</v>
      </c>
      <c r="Y25" s="945">
        <v>58002000000</v>
      </c>
      <c r="Z25" s="945">
        <v>61319000000</v>
      </c>
      <c r="AA25" s="945">
        <v>65106000000</v>
      </c>
      <c r="AC25" s="365"/>
      <c r="AD25" s="365"/>
      <c r="AE25" s="365"/>
      <c r="AF25" s="365"/>
      <c r="AG25" s="365"/>
      <c r="AH25" s="365"/>
      <c r="AI25" s="365"/>
      <c r="AJ25" s="365"/>
      <c r="AK25" s="365"/>
      <c r="AL25" s="365"/>
      <c r="AM25" s="365"/>
      <c r="AN25" s="365"/>
      <c r="AO25" s="365"/>
      <c r="AP25" s="365"/>
      <c r="AQ25" s="365"/>
      <c r="AR25" s="365"/>
      <c r="AS25" s="365"/>
      <c r="AT25" s="365"/>
      <c r="AU25" s="365"/>
    </row>
    <row r="26" spans="1:47">
      <c r="A26" s="946" t="s">
        <v>797</v>
      </c>
      <c r="B26" s="946" t="s">
        <v>1523</v>
      </c>
      <c r="C26" s="940" t="s">
        <v>204</v>
      </c>
      <c r="D26" s="940"/>
      <c r="E26" s="942">
        <v>6600000000</v>
      </c>
      <c r="F26" s="942">
        <v>7100000000</v>
      </c>
      <c r="G26" s="942">
        <v>9400000000</v>
      </c>
      <c r="H26" s="942">
        <v>9800000000</v>
      </c>
      <c r="I26" s="942">
        <v>10733000000</v>
      </c>
      <c r="J26" s="942">
        <v>11547000000</v>
      </c>
      <c r="K26" s="943">
        <v>12491000000</v>
      </c>
      <c r="L26" s="942">
        <v>13518000000</v>
      </c>
      <c r="M26" s="942">
        <v>14844000000</v>
      </c>
      <c r="N26" s="942">
        <v>16180000000</v>
      </c>
      <c r="O26" s="942">
        <v>15679000000</v>
      </c>
      <c r="P26" s="942">
        <v>15801000000</v>
      </c>
      <c r="Q26" s="942">
        <v>16110000000</v>
      </c>
      <c r="R26" s="942">
        <v>17172000000</v>
      </c>
      <c r="S26" s="942">
        <v>17530000000</v>
      </c>
      <c r="T26" s="942">
        <v>18365000000</v>
      </c>
      <c r="U26" s="944">
        <v>19016000000</v>
      </c>
      <c r="V26" s="944">
        <v>21672000000</v>
      </c>
      <c r="W26" s="944">
        <v>22197000000</v>
      </c>
      <c r="X26" s="945">
        <v>22641000000</v>
      </c>
      <c r="Y26" s="945">
        <v>23094000000</v>
      </c>
      <c r="Z26" s="945">
        <v>24501000000</v>
      </c>
      <c r="AA26" s="945">
        <v>25998000000</v>
      </c>
      <c r="AC26" s="365"/>
      <c r="AD26" s="365"/>
      <c r="AE26" s="365"/>
      <c r="AF26" s="365"/>
      <c r="AG26" s="365"/>
      <c r="AH26" s="365"/>
      <c r="AI26" s="365"/>
      <c r="AJ26" s="365"/>
      <c r="AK26" s="365"/>
      <c r="AL26" s="365"/>
      <c r="AM26" s="365"/>
      <c r="AN26" s="365"/>
      <c r="AO26" s="365"/>
      <c r="AP26" s="365"/>
      <c r="AQ26" s="365"/>
      <c r="AR26" s="365"/>
      <c r="AS26" s="365"/>
      <c r="AT26" s="365"/>
      <c r="AU26" s="365"/>
    </row>
    <row r="27" spans="1:47">
      <c r="A27" s="946" t="s">
        <v>1059</v>
      </c>
      <c r="B27" s="946" t="s">
        <v>1524</v>
      </c>
      <c r="C27" s="940" t="s">
        <v>204</v>
      </c>
      <c r="D27" s="940"/>
      <c r="E27" s="942">
        <v>600000000</v>
      </c>
      <c r="F27" s="942">
        <v>600000000</v>
      </c>
      <c r="G27" s="942">
        <v>1300000000</v>
      </c>
      <c r="H27" s="942">
        <v>1000000000</v>
      </c>
      <c r="I27" s="942">
        <v>1157000000</v>
      </c>
      <c r="J27" s="942">
        <v>1197000000</v>
      </c>
      <c r="K27" s="943">
        <v>1853000000</v>
      </c>
      <c r="L27" s="942">
        <v>2048000000</v>
      </c>
      <c r="M27" s="942">
        <v>2341000000</v>
      </c>
      <c r="N27" s="942">
        <v>2613000000</v>
      </c>
      <c r="O27" s="942">
        <v>5248000000</v>
      </c>
      <c r="P27" s="942">
        <v>4498000000</v>
      </c>
      <c r="Q27" s="942">
        <v>4396000000</v>
      </c>
      <c r="R27" s="942">
        <v>5744000000</v>
      </c>
      <c r="S27" s="942">
        <v>7433000000</v>
      </c>
      <c r="T27" s="942">
        <v>7563000000</v>
      </c>
      <c r="U27" s="944">
        <v>7095000000</v>
      </c>
      <c r="V27" s="944">
        <v>8339000000</v>
      </c>
      <c r="W27" s="944">
        <v>8464000000</v>
      </c>
      <c r="X27" s="945">
        <v>8633000000</v>
      </c>
      <c r="Y27" s="945">
        <v>8806000000</v>
      </c>
      <c r="Z27" s="945">
        <v>9128000000</v>
      </c>
      <c r="AA27" s="945">
        <v>9685000000</v>
      </c>
      <c r="AC27" s="365"/>
      <c r="AD27" s="365"/>
      <c r="AE27" s="365"/>
      <c r="AF27" s="365"/>
      <c r="AG27" s="365"/>
      <c r="AH27" s="365"/>
      <c r="AI27" s="365"/>
      <c r="AJ27" s="365"/>
      <c r="AK27" s="365"/>
      <c r="AL27" s="365"/>
      <c r="AM27" s="365"/>
      <c r="AN27" s="365"/>
      <c r="AO27" s="365"/>
      <c r="AP27" s="365"/>
      <c r="AQ27" s="365"/>
      <c r="AR27" s="365"/>
      <c r="AS27" s="365"/>
      <c r="AT27" s="365"/>
      <c r="AU27" s="365"/>
    </row>
    <row r="28" spans="1:47">
      <c r="A28" s="946" t="s">
        <v>91</v>
      </c>
      <c r="B28" s="946" t="s">
        <v>91</v>
      </c>
      <c r="C28" s="940" t="s">
        <v>204</v>
      </c>
      <c r="D28" s="940"/>
      <c r="E28" s="943">
        <f t="shared" ref="E28:K28" si="6">(E29+E30)</f>
        <v>1400000000</v>
      </c>
      <c r="F28" s="943">
        <f t="shared" si="6"/>
        <v>2100000000</v>
      </c>
      <c r="G28" s="943">
        <f t="shared" si="6"/>
        <v>2000000000</v>
      </c>
      <c r="H28" s="943">
        <f t="shared" si="6"/>
        <v>2000000000</v>
      </c>
      <c r="I28" s="943">
        <f t="shared" si="6"/>
        <v>1930000000</v>
      </c>
      <c r="J28" s="943">
        <f t="shared" si="6"/>
        <v>1920000000</v>
      </c>
      <c r="K28" s="943">
        <f t="shared" si="6"/>
        <v>1880000000</v>
      </c>
      <c r="L28" s="943">
        <f>(L29+L30)</f>
        <v>1896000000</v>
      </c>
      <c r="M28" s="942">
        <v>1897000000</v>
      </c>
      <c r="N28" s="942">
        <v>2174000000</v>
      </c>
      <c r="O28" s="942">
        <v>2277000000</v>
      </c>
      <c r="P28" s="942">
        <v>2866000000</v>
      </c>
      <c r="Q28" s="942">
        <v>3404000000</v>
      </c>
      <c r="R28" s="942">
        <v>3444000000</v>
      </c>
      <c r="S28" s="942">
        <v>4134000000</v>
      </c>
      <c r="T28" s="942">
        <v>4223000000</v>
      </c>
      <c r="U28" s="944">
        <v>4522000000</v>
      </c>
      <c r="V28" s="944">
        <v>5496000000</v>
      </c>
      <c r="W28" s="944">
        <v>5767000000</v>
      </c>
      <c r="X28" s="945">
        <v>6195000000</v>
      </c>
      <c r="Y28" s="945">
        <v>6613000000</v>
      </c>
      <c r="Z28" s="945">
        <v>7013000000</v>
      </c>
      <c r="AA28" s="945">
        <v>7483000000</v>
      </c>
      <c r="AC28" s="365"/>
      <c r="AD28" s="365"/>
      <c r="AE28" s="365"/>
      <c r="AF28" s="365"/>
      <c r="AG28" s="365"/>
      <c r="AH28" s="365"/>
      <c r="AI28" s="365"/>
      <c r="AJ28" s="365"/>
      <c r="AK28" s="365"/>
      <c r="AL28" s="365"/>
      <c r="AM28" s="365"/>
      <c r="AN28" s="365"/>
      <c r="AO28" s="365"/>
      <c r="AP28" s="365"/>
      <c r="AQ28" s="365"/>
      <c r="AR28" s="365"/>
      <c r="AS28" s="365"/>
      <c r="AT28" s="365"/>
      <c r="AU28" s="365"/>
    </row>
    <row r="29" spans="1:47">
      <c r="A29" s="947" t="s">
        <v>209</v>
      </c>
      <c r="B29" s="947" t="s">
        <v>209</v>
      </c>
      <c r="C29" s="926" t="s">
        <v>211</v>
      </c>
      <c r="D29" s="940"/>
      <c r="E29" s="942">
        <v>900000000</v>
      </c>
      <c r="F29" s="942">
        <v>1400000000</v>
      </c>
      <c r="G29" s="942">
        <v>1500000000</v>
      </c>
      <c r="H29" s="942">
        <v>1500000000</v>
      </c>
      <c r="I29" s="942">
        <v>1384000000</v>
      </c>
      <c r="J29" s="942">
        <v>1398000000</v>
      </c>
      <c r="K29" s="943">
        <v>1361000000</v>
      </c>
      <c r="L29" s="942">
        <v>1348000000</v>
      </c>
      <c r="M29" s="942">
        <v>1305000000</v>
      </c>
      <c r="N29" s="942">
        <v>1476000000</v>
      </c>
      <c r="O29" s="942"/>
      <c r="P29" s="942"/>
      <c r="Q29" s="942"/>
      <c r="R29" s="942"/>
      <c r="S29" s="942"/>
      <c r="T29" s="942"/>
      <c r="U29" s="944"/>
      <c r="V29" s="944"/>
      <c r="W29" s="944"/>
      <c r="X29" s="945"/>
      <c r="Y29" s="945"/>
      <c r="Z29" s="945"/>
      <c r="AA29" s="945"/>
      <c r="AC29" s="365"/>
      <c r="AD29" s="365"/>
      <c r="AE29" s="365"/>
      <c r="AF29" s="365"/>
      <c r="AG29" s="365"/>
      <c r="AH29" s="365"/>
      <c r="AI29" s="365"/>
      <c r="AJ29" s="365"/>
      <c r="AK29" s="365"/>
      <c r="AL29" s="365"/>
      <c r="AM29" s="365"/>
      <c r="AN29" s="365"/>
      <c r="AO29" s="365"/>
      <c r="AP29" s="365"/>
      <c r="AQ29" s="365"/>
      <c r="AR29" s="365"/>
      <c r="AS29" s="365"/>
      <c r="AT29" s="365"/>
      <c r="AU29" s="365"/>
    </row>
    <row r="30" spans="1:47">
      <c r="A30" s="947" t="s">
        <v>280</v>
      </c>
      <c r="B30" s="947" t="s">
        <v>280</v>
      </c>
      <c r="C30" s="926" t="s">
        <v>1525</v>
      </c>
      <c r="D30" s="940"/>
      <c r="E30" s="942">
        <v>500000000</v>
      </c>
      <c r="F30" s="942">
        <v>700000000</v>
      </c>
      <c r="G30" s="942">
        <v>500000000</v>
      </c>
      <c r="H30" s="942">
        <v>500000000</v>
      </c>
      <c r="I30" s="942">
        <v>546000000</v>
      </c>
      <c r="J30" s="942">
        <v>522000000</v>
      </c>
      <c r="K30" s="943">
        <v>519000000</v>
      </c>
      <c r="L30" s="942">
        <v>548000000</v>
      </c>
      <c r="M30" s="942">
        <v>592000000</v>
      </c>
      <c r="N30" s="942">
        <v>698000000</v>
      </c>
      <c r="O30" s="942"/>
      <c r="P30" s="942"/>
      <c r="Q30" s="942"/>
      <c r="R30" s="942"/>
      <c r="S30" s="942"/>
      <c r="T30" s="942"/>
      <c r="U30" s="944"/>
      <c r="V30" s="944"/>
      <c r="W30" s="944"/>
      <c r="X30" s="945"/>
      <c r="Y30" s="945"/>
      <c r="Z30" s="945"/>
      <c r="AA30" s="945"/>
      <c r="AC30" s="365"/>
      <c r="AD30" s="365"/>
      <c r="AE30" s="365"/>
      <c r="AF30" s="365"/>
      <c r="AG30" s="365"/>
      <c r="AH30" s="365"/>
      <c r="AI30" s="365"/>
      <c r="AJ30" s="365"/>
      <c r="AK30" s="365"/>
      <c r="AL30" s="365"/>
      <c r="AM30" s="365"/>
      <c r="AN30" s="365"/>
      <c r="AO30" s="365"/>
      <c r="AP30" s="365"/>
      <c r="AQ30" s="365"/>
      <c r="AR30" s="365"/>
      <c r="AS30" s="365"/>
      <c r="AT30" s="365"/>
      <c r="AU30" s="365"/>
    </row>
    <row r="31" spans="1:47">
      <c r="A31" s="946" t="s">
        <v>1526</v>
      </c>
      <c r="B31" s="946" t="s">
        <v>1527</v>
      </c>
      <c r="C31" s="940" t="s">
        <v>204</v>
      </c>
      <c r="D31" s="940"/>
      <c r="E31" s="942">
        <v>5700000000</v>
      </c>
      <c r="F31" s="942">
        <v>4900000000</v>
      </c>
      <c r="G31" s="942">
        <v>3000000000</v>
      </c>
      <c r="H31" s="942">
        <v>3000000000</v>
      </c>
      <c r="I31" s="942">
        <v>3149000000</v>
      </c>
      <c r="J31" s="942">
        <v>3464000000</v>
      </c>
      <c r="K31" s="943">
        <v>5219000000</v>
      </c>
      <c r="L31" s="942">
        <v>4781000000</v>
      </c>
      <c r="M31" s="942">
        <v>4874000000</v>
      </c>
      <c r="N31" s="942">
        <v>5140000000</v>
      </c>
      <c r="O31" s="963">
        <f>O32+O33</f>
        <v>5303000000</v>
      </c>
      <c r="P31" s="963">
        <f t="shared" ref="P31:AA31" si="7">P32+P33</f>
        <v>4328000000</v>
      </c>
      <c r="Q31" s="963">
        <f t="shared" si="7"/>
        <v>4180000000</v>
      </c>
      <c r="R31" s="963">
        <f t="shared" si="7"/>
        <v>4496000000</v>
      </c>
      <c r="S31" s="963">
        <f t="shared" si="7"/>
        <v>4916000000</v>
      </c>
      <c r="T31" s="963">
        <f t="shared" si="7"/>
        <v>5062000000</v>
      </c>
      <c r="U31" s="963">
        <f t="shared" si="7"/>
        <v>5965000000</v>
      </c>
      <c r="V31" s="963">
        <f t="shared" si="7"/>
        <v>6359000000</v>
      </c>
      <c r="W31" s="963">
        <f t="shared" si="7"/>
        <v>6504000000</v>
      </c>
      <c r="X31" s="963">
        <f t="shared" si="7"/>
        <v>6991000000</v>
      </c>
      <c r="Y31" s="963">
        <f t="shared" si="7"/>
        <v>7396000000</v>
      </c>
      <c r="Z31" s="963">
        <f t="shared" si="7"/>
        <v>7846000000</v>
      </c>
      <c r="AA31" s="963">
        <f t="shared" si="7"/>
        <v>8325000000</v>
      </c>
      <c r="AC31" s="365"/>
      <c r="AD31" s="365"/>
      <c r="AE31" s="365"/>
      <c r="AF31" s="365"/>
      <c r="AG31" s="365"/>
      <c r="AH31" s="365"/>
      <c r="AI31" s="365"/>
      <c r="AJ31" s="365"/>
      <c r="AK31" s="365"/>
      <c r="AL31" s="365"/>
      <c r="AM31" s="365"/>
      <c r="AN31" s="365"/>
      <c r="AO31" s="365"/>
      <c r="AP31" s="365"/>
      <c r="AQ31" s="365"/>
      <c r="AR31" s="365"/>
      <c r="AS31" s="365"/>
      <c r="AT31" s="365"/>
      <c r="AU31" s="365"/>
    </row>
    <row r="32" spans="1:47">
      <c r="A32" s="947" t="s">
        <v>215</v>
      </c>
      <c r="B32" s="947" t="s">
        <v>215</v>
      </c>
      <c r="C32" s="926" t="s">
        <v>388</v>
      </c>
      <c r="D32" s="940"/>
      <c r="E32" s="943"/>
      <c r="F32" s="943"/>
      <c r="G32" s="943"/>
      <c r="H32" s="943"/>
      <c r="I32" s="942">
        <v>533000000</v>
      </c>
      <c r="J32" s="943">
        <v>292000000</v>
      </c>
      <c r="K32" s="943">
        <v>1910000000</v>
      </c>
      <c r="L32" s="942">
        <v>871000000</v>
      </c>
      <c r="M32" s="943"/>
      <c r="N32" s="943"/>
      <c r="O32" s="942">
        <v>994000000</v>
      </c>
      <c r="P32" s="942">
        <v>274000000</v>
      </c>
      <c r="Q32" s="942">
        <v>101000000</v>
      </c>
      <c r="R32" s="942">
        <v>107000000</v>
      </c>
      <c r="S32" s="942">
        <v>161000000</v>
      </c>
      <c r="T32" s="942">
        <v>167000000</v>
      </c>
      <c r="U32" s="944">
        <v>120000000</v>
      </c>
      <c r="V32" s="944">
        <v>253000000</v>
      </c>
      <c r="W32" s="944">
        <v>253000000</v>
      </c>
      <c r="X32" s="945">
        <v>253000000</v>
      </c>
      <c r="Y32" s="945">
        <v>253000000</v>
      </c>
      <c r="Z32" s="945">
        <v>268000000</v>
      </c>
      <c r="AA32" s="945">
        <v>284000000</v>
      </c>
      <c r="AC32" s="365"/>
      <c r="AD32" s="365"/>
      <c r="AE32" s="365"/>
      <c r="AF32" s="365"/>
      <c r="AG32" s="365"/>
      <c r="AH32" s="365"/>
      <c r="AI32" s="365"/>
      <c r="AJ32" s="365"/>
      <c r="AK32" s="365"/>
      <c r="AL32" s="365"/>
      <c r="AM32" s="365"/>
      <c r="AN32" s="365"/>
      <c r="AO32" s="365"/>
      <c r="AP32" s="365"/>
      <c r="AQ32" s="365"/>
      <c r="AR32" s="365"/>
      <c r="AS32" s="365"/>
      <c r="AT32" s="365"/>
      <c r="AU32" s="365"/>
    </row>
    <row r="33" spans="1:47">
      <c r="A33" s="947" t="s">
        <v>339</v>
      </c>
      <c r="B33" s="947" t="s">
        <v>1528</v>
      </c>
      <c r="C33" s="926" t="s">
        <v>388</v>
      </c>
      <c r="D33" s="940"/>
      <c r="E33" s="943"/>
      <c r="F33" s="943"/>
      <c r="G33" s="943"/>
      <c r="H33" s="943"/>
      <c r="I33" s="942">
        <v>2616000000</v>
      </c>
      <c r="J33" s="942">
        <v>3172000000</v>
      </c>
      <c r="K33" s="943">
        <v>3309000000</v>
      </c>
      <c r="L33" s="942">
        <v>3910000000</v>
      </c>
      <c r="M33" s="943"/>
      <c r="N33" s="943"/>
      <c r="O33" s="942">
        <v>4309000000</v>
      </c>
      <c r="P33" s="942">
        <v>4054000000</v>
      </c>
      <c r="Q33" s="942">
        <v>4079000000</v>
      </c>
      <c r="R33" s="942">
        <v>4389000000</v>
      </c>
      <c r="S33" s="942">
        <v>4755000000</v>
      </c>
      <c r="T33" s="942">
        <v>4895000000</v>
      </c>
      <c r="U33" s="944">
        <v>5845000000</v>
      </c>
      <c r="V33" s="944">
        <v>6106000000</v>
      </c>
      <c r="W33" s="944">
        <v>6251000000</v>
      </c>
      <c r="X33" s="945">
        <v>6738000000</v>
      </c>
      <c r="Y33" s="945">
        <v>7143000000</v>
      </c>
      <c r="Z33" s="945">
        <v>7578000000</v>
      </c>
      <c r="AA33" s="945">
        <v>8041000000</v>
      </c>
      <c r="AC33" s="365"/>
      <c r="AD33" s="365"/>
      <c r="AE33" s="365"/>
      <c r="AF33" s="365"/>
      <c r="AG33" s="365"/>
      <c r="AH33" s="365"/>
      <c r="AI33" s="365"/>
      <c r="AJ33" s="365"/>
      <c r="AK33" s="365"/>
      <c r="AL33" s="365"/>
      <c r="AM33" s="365"/>
      <c r="AN33" s="365"/>
      <c r="AO33" s="365"/>
      <c r="AP33" s="365"/>
      <c r="AQ33" s="365"/>
      <c r="AR33" s="365"/>
      <c r="AS33" s="365"/>
      <c r="AT33" s="365"/>
      <c r="AU33" s="365"/>
    </row>
    <row r="34" spans="1:47">
      <c r="A34" s="946" t="s">
        <v>806</v>
      </c>
      <c r="B34" s="946" t="s">
        <v>1529</v>
      </c>
      <c r="C34" s="940" t="s">
        <v>204</v>
      </c>
      <c r="D34" s="940"/>
      <c r="E34" s="943"/>
      <c r="F34" s="943"/>
      <c r="G34" s="943"/>
      <c r="H34" s="943"/>
      <c r="I34" s="943"/>
      <c r="J34" s="943"/>
      <c r="K34" s="943"/>
      <c r="L34" s="943"/>
      <c r="M34" s="943"/>
      <c r="N34" s="943"/>
      <c r="O34" s="942">
        <v>3716000000</v>
      </c>
      <c r="P34" s="942">
        <v>3916000000</v>
      </c>
      <c r="Q34" s="942">
        <v>4141000000</v>
      </c>
      <c r="R34" s="942">
        <v>4348000000</v>
      </c>
      <c r="S34" s="942">
        <v>4735000000</v>
      </c>
      <c r="T34" s="942">
        <v>5165000000</v>
      </c>
      <c r="U34" s="944">
        <v>5542000000</v>
      </c>
      <c r="V34" s="944">
        <v>5660000000</v>
      </c>
      <c r="W34" s="944">
        <v>5841000000</v>
      </c>
      <c r="X34" s="945">
        <v>5819000000</v>
      </c>
      <c r="Y34" s="945">
        <v>5925000000</v>
      </c>
      <c r="Z34" s="945">
        <v>6286000000</v>
      </c>
      <c r="AA34" s="945">
        <v>6670000000</v>
      </c>
      <c r="AC34" s="365"/>
      <c r="AD34" s="365"/>
      <c r="AE34" s="365"/>
      <c r="AF34" s="365"/>
      <c r="AG34" s="365"/>
      <c r="AH34" s="365"/>
      <c r="AI34" s="365"/>
      <c r="AJ34" s="365"/>
      <c r="AK34" s="365"/>
      <c r="AL34" s="365"/>
      <c r="AM34" s="365"/>
      <c r="AN34" s="365"/>
      <c r="AO34" s="365"/>
      <c r="AP34" s="365"/>
      <c r="AQ34" s="365"/>
      <c r="AR34" s="365"/>
      <c r="AS34" s="365"/>
      <c r="AT34" s="365"/>
      <c r="AU34" s="365"/>
    </row>
    <row r="35" spans="1:47">
      <c r="A35" s="946" t="s">
        <v>1011</v>
      </c>
      <c r="B35" s="946" t="s">
        <v>1530</v>
      </c>
      <c r="C35" s="940" t="s">
        <v>204</v>
      </c>
      <c r="D35" s="940"/>
      <c r="E35" s="942">
        <v>500000000</v>
      </c>
      <c r="F35" s="942">
        <v>700000000</v>
      </c>
      <c r="G35" s="942">
        <v>800000000</v>
      </c>
      <c r="H35" s="942">
        <v>1100000000</v>
      </c>
      <c r="I35" s="942">
        <v>1979000000</v>
      </c>
      <c r="J35" s="942">
        <v>760000000</v>
      </c>
      <c r="K35" s="943">
        <v>864000000</v>
      </c>
      <c r="L35" s="943">
        <v>1020000000</v>
      </c>
      <c r="M35" s="942">
        <v>2714000000</v>
      </c>
      <c r="N35" s="942">
        <v>1334000000</v>
      </c>
      <c r="O35" s="942">
        <v>2515000000</v>
      </c>
      <c r="P35" s="942">
        <v>2756000000</v>
      </c>
      <c r="Q35" s="942">
        <v>2968000000</v>
      </c>
      <c r="R35" s="942">
        <v>2339000000</v>
      </c>
      <c r="S35" s="942">
        <v>2320000000</v>
      </c>
      <c r="T35" s="942">
        <v>3189000000</v>
      </c>
      <c r="U35" s="944">
        <v>2712000000</v>
      </c>
      <c r="V35" s="944">
        <v>5192000000</v>
      </c>
      <c r="W35" s="944">
        <v>5484000000</v>
      </c>
      <c r="X35" s="945">
        <v>5814000000</v>
      </c>
      <c r="Y35" s="945">
        <v>6169000000</v>
      </c>
      <c r="Z35" s="945">
        <v>6545000000</v>
      </c>
      <c r="AA35" s="945">
        <v>6945000000</v>
      </c>
      <c r="AC35" s="365"/>
      <c r="AD35" s="365"/>
      <c r="AE35" s="365"/>
      <c r="AF35" s="365"/>
      <c r="AG35" s="365"/>
      <c r="AH35" s="365"/>
      <c r="AI35" s="365"/>
      <c r="AJ35" s="365"/>
      <c r="AK35" s="365"/>
      <c r="AL35" s="365"/>
      <c r="AM35" s="365"/>
      <c r="AN35" s="365"/>
      <c r="AO35" s="365"/>
      <c r="AP35" s="365"/>
      <c r="AQ35" s="365"/>
      <c r="AR35" s="365"/>
      <c r="AS35" s="365"/>
      <c r="AT35" s="365"/>
      <c r="AU35" s="365"/>
    </row>
    <row r="36" spans="1:47">
      <c r="A36" s="940" t="s">
        <v>237</v>
      </c>
      <c r="B36" s="940" t="s">
        <v>1531</v>
      </c>
      <c r="C36" s="940" t="s">
        <v>201</v>
      </c>
      <c r="D36" s="940"/>
      <c r="E36" s="942">
        <v>7300000000</v>
      </c>
      <c r="F36" s="942">
        <v>9400000000</v>
      </c>
      <c r="G36" s="942">
        <v>7700000000</v>
      </c>
      <c r="H36" s="942">
        <v>11200000000</v>
      </c>
      <c r="I36" s="942">
        <v>11073000000</v>
      </c>
      <c r="J36" s="942">
        <v>12415000000</v>
      </c>
      <c r="K36" s="943">
        <v>12237000000</v>
      </c>
      <c r="L36" s="943">
        <v>16264000000</v>
      </c>
      <c r="M36" s="942">
        <v>17823000000</v>
      </c>
      <c r="N36" s="942">
        <v>25926000000</v>
      </c>
      <c r="O36" s="942">
        <v>14912000000</v>
      </c>
      <c r="P36" s="942">
        <v>15952000000</v>
      </c>
      <c r="Q36" s="942">
        <v>14269000000</v>
      </c>
      <c r="R36" s="942">
        <v>9540000000</v>
      </c>
      <c r="S36" s="942">
        <v>8839000000</v>
      </c>
      <c r="T36" s="942">
        <v>5572000000</v>
      </c>
      <c r="U36" s="944">
        <v>8555000000</v>
      </c>
      <c r="V36" s="944">
        <v>6614000000</v>
      </c>
      <c r="W36" s="952">
        <v>10391000000</v>
      </c>
      <c r="X36" s="945">
        <v>9741000000</v>
      </c>
      <c r="Y36" s="945">
        <v>9996000000</v>
      </c>
      <c r="Z36" s="945">
        <v>10615000000</v>
      </c>
      <c r="AA36" s="945">
        <v>11183000000</v>
      </c>
      <c r="AC36" s="365"/>
      <c r="AD36" s="365"/>
      <c r="AE36" s="365"/>
      <c r="AF36" s="365"/>
      <c r="AG36" s="365"/>
      <c r="AH36" s="365"/>
      <c r="AI36" s="365"/>
      <c r="AJ36" s="365"/>
      <c r="AK36" s="365"/>
      <c r="AL36" s="365"/>
      <c r="AM36" s="365"/>
      <c r="AN36" s="365"/>
      <c r="AO36" s="365"/>
      <c r="AP36" s="365"/>
      <c r="AQ36" s="365"/>
      <c r="AR36" s="365"/>
      <c r="AS36" s="365"/>
      <c r="AT36" s="365"/>
      <c r="AU36" s="365"/>
    </row>
    <row r="37" spans="1:47">
      <c r="A37" s="946" t="s">
        <v>242</v>
      </c>
      <c r="B37" s="946" t="s">
        <v>1532</v>
      </c>
      <c r="C37" s="940" t="s">
        <v>241</v>
      </c>
      <c r="D37" s="940"/>
      <c r="E37" s="942">
        <v>6200000000</v>
      </c>
      <c r="F37" s="942">
        <v>8600000000</v>
      </c>
      <c r="G37" s="942">
        <v>6900000000</v>
      </c>
      <c r="H37" s="942">
        <v>10300000000</v>
      </c>
      <c r="I37" s="942">
        <v>9204000000</v>
      </c>
      <c r="J37" s="942">
        <v>11173000000</v>
      </c>
      <c r="K37" s="943">
        <v>9599000000</v>
      </c>
      <c r="L37" s="942">
        <v>11701000000</v>
      </c>
      <c r="M37" s="942"/>
      <c r="N37" s="942"/>
      <c r="O37" s="942"/>
      <c r="P37" s="942"/>
      <c r="Q37" s="942"/>
      <c r="R37" s="942"/>
      <c r="S37" s="942"/>
      <c r="T37" s="942"/>
      <c r="U37" s="944"/>
      <c r="V37" s="944"/>
      <c r="W37" s="952"/>
      <c r="X37" s="945"/>
      <c r="Y37" s="945"/>
      <c r="Z37" s="945"/>
      <c r="AA37" s="945"/>
      <c r="AC37" s="365"/>
      <c r="AD37" s="365"/>
      <c r="AE37" s="365"/>
      <c r="AF37" s="365"/>
      <c r="AG37" s="365"/>
      <c r="AH37" s="365"/>
      <c r="AI37" s="365"/>
      <c r="AJ37" s="365"/>
      <c r="AK37" s="365"/>
      <c r="AL37" s="365"/>
      <c r="AM37" s="365"/>
      <c r="AN37" s="365"/>
      <c r="AO37" s="365"/>
      <c r="AP37" s="365"/>
      <c r="AQ37" s="365"/>
      <c r="AR37" s="365"/>
      <c r="AS37" s="365"/>
      <c r="AT37" s="365"/>
      <c r="AU37" s="365"/>
    </row>
    <row r="38" spans="1:47">
      <c r="A38" s="946" t="s">
        <v>239</v>
      </c>
      <c r="B38" s="946" t="s">
        <v>1533</v>
      </c>
      <c r="C38" s="940" t="s">
        <v>241</v>
      </c>
      <c r="D38" s="940"/>
      <c r="E38" s="942">
        <v>1100000000</v>
      </c>
      <c r="F38" s="942">
        <v>700000000</v>
      </c>
      <c r="G38" s="942">
        <v>800000000</v>
      </c>
      <c r="H38" s="942">
        <v>900000000</v>
      </c>
      <c r="I38" s="942">
        <v>1869000000</v>
      </c>
      <c r="J38" s="942">
        <v>1242000000</v>
      </c>
      <c r="K38" s="943">
        <v>2638000000</v>
      </c>
      <c r="L38" s="942">
        <v>4562000000</v>
      </c>
      <c r="M38" s="942"/>
      <c r="N38" s="942"/>
      <c r="O38" s="942"/>
      <c r="P38" s="942"/>
      <c r="Q38" s="942"/>
      <c r="R38" s="942"/>
      <c r="S38" s="942"/>
      <c r="T38" s="942"/>
      <c r="U38" s="944"/>
      <c r="V38" s="944"/>
      <c r="W38" s="952"/>
      <c r="X38" s="945"/>
      <c r="Y38" s="945"/>
      <c r="Z38" s="945"/>
      <c r="AA38" s="945"/>
      <c r="AC38" s="365"/>
      <c r="AD38" s="365"/>
      <c r="AE38" s="365"/>
      <c r="AF38" s="365"/>
      <c r="AG38" s="365"/>
      <c r="AH38" s="365"/>
      <c r="AI38" s="365"/>
      <c r="AJ38" s="365"/>
      <c r="AK38" s="365"/>
      <c r="AL38" s="365"/>
      <c r="AM38" s="365"/>
      <c r="AN38" s="365"/>
      <c r="AO38" s="365"/>
      <c r="AP38" s="365"/>
      <c r="AQ38" s="365"/>
      <c r="AR38" s="365"/>
      <c r="AS38" s="365"/>
      <c r="AT38" s="365"/>
      <c r="AU38" s="365"/>
    </row>
    <row r="39" spans="1:47">
      <c r="A39" s="940" t="s">
        <v>1534</v>
      </c>
      <c r="B39" s="940" t="s">
        <v>1535</v>
      </c>
      <c r="C39" s="940" t="s">
        <v>201</v>
      </c>
      <c r="D39" s="940"/>
      <c r="E39" s="942">
        <v>0</v>
      </c>
      <c r="F39" s="942">
        <v>200000000</v>
      </c>
      <c r="G39" s="942">
        <v>600000000</v>
      </c>
      <c r="H39" s="950">
        <v>3200000000.0000019</v>
      </c>
      <c r="I39" s="942">
        <v>2416000000</v>
      </c>
      <c r="J39" s="942">
        <v>4950000000</v>
      </c>
      <c r="K39" s="943">
        <v>1440000000</v>
      </c>
      <c r="L39" s="942">
        <v>1188000000</v>
      </c>
      <c r="M39" s="942"/>
      <c r="N39" s="942"/>
      <c r="O39" s="942"/>
      <c r="P39" s="942"/>
      <c r="Q39" s="942"/>
      <c r="R39" s="942"/>
      <c r="S39" s="942"/>
      <c r="T39" s="942"/>
      <c r="U39" s="944"/>
      <c r="V39" s="944"/>
      <c r="W39" s="952"/>
      <c r="X39" s="945"/>
      <c r="Y39" s="945"/>
      <c r="Z39" s="945"/>
      <c r="AA39" s="945"/>
      <c r="AC39" s="365"/>
      <c r="AD39" s="365"/>
      <c r="AE39" s="365"/>
      <c r="AF39" s="365"/>
      <c r="AG39" s="365"/>
      <c r="AH39" s="365"/>
      <c r="AI39" s="365"/>
      <c r="AJ39" s="365"/>
      <c r="AK39" s="365"/>
      <c r="AL39" s="365"/>
      <c r="AM39" s="365"/>
      <c r="AN39" s="365"/>
      <c r="AO39" s="365"/>
      <c r="AP39" s="365"/>
      <c r="AQ39" s="365"/>
      <c r="AR39" s="365"/>
      <c r="AS39" s="365"/>
      <c r="AT39" s="365"/>
      <c r="AU39" s="365"/>
    </row>
    <row r="40" spans="1:47">
      <c r="A40" s="930" t="s">
        <v>76</v>
      </c>
      <c r="B40" s="946" t="s">
        <v>1536</v>
      </c>
      <c r="C40" s="940"/>
      <c r="D40" s="940"/>
      <c r="E40" s="942">
        <v>0</v>
      </c>
      <c r="F40" s="942">
        <v>0</v>
      </c>
      <c r="G40" s="942">
        <v>0</v>
      </c>
      <c r="H40" s="942">
        <v>0</v>
      </c>
      <c r="I40" s="942"/>
      <c r="J40" s="942"/>
      <c r="K40" s="943"/>
      <c r="L40" s="942"/>
      <c r="M40" s="942"/>
      <c r="N40" s="942"/>
      <c r="O40" s="942"/>
      <c r="P40" s="942"/>
      <c r="Q40" s="942"/>
      <c r="R40" s="942"/>
      <c r="S40" s="942"/>
      <c r="T40" s="942"/>
      <c r="U40" s="944"/>
      <c r="V40" s="944"/>
      <c r="W40" s="952"/>
      <c r="X40" s="945"/>
      <c r="Y40" s="945"/>
      <c r="Z40" s="945"/>
      <c r="AA40" s="945"/>
      <c r="AC40" s="365"/>
      <c r="AD40" s="365"/>
      <c r="AE40" s="365"/>
      <c r="AF40" s="365"/>
      <c r="AG40" s="365"/>
      <c r="AH40" s="365"/>
      <c r="AI40" s="365"/>
      <c r="AJ40" s="365"/>
      <c r="AK40" s="365"/>
      <c r="AL40" s="365"/>
      <c r="AM40" s="365"/>
      <c r="AN40" s="365"/>
      <c r="AO40" s="365"/>
      <c r="AP40" s="365"/>
      <c r="AQ40" s="365"/>
      <c r="AR40" s="365"/>
      <c r="AS40" s="365"/>
      <c r="AT40" s="365"/>
      <c r="AU40" s="365"/>
    </row>
    <row r="41" spans="1:47">
      <c r="A41" s="930" t="s">
        <v>76</v>
      </c>
      <c r="B41" s="946" t="s">
        <v>1537</v>
      </c>
      <c r="C41" s="940"/>
      <c r="D41" s="940"/>
      <c r="E41" s="942">
        <v>0</v>
      </c>
      <c r="F41" s="942">
        <v>200000000</v>
      </c>
      <c r="G41" s="942">
        <v>600000000</v>
      </c>
      <c r="H41" s="942">
        <v>0</v>
      </c>
      <c r="I41" s="942"/>
      <c r="J41" s="942"/>
      <c r="K41" s="943"/>
      <c r="L41" s="942"/>
      <c r="M41" s="942"/>
      <c r="N41" s="942"/>
      <c r="O41" s="942"/>
      <c r="P41" s="942"/>
      <c r="Q41" s="942"/>
      <c r="R41" s="942"/>
      <c r="S41" s="942"/>
      <c r="T41" s="942"/>
      <c r="U41" s="944"/>
      <c r="V41" s="944"/>
      <c r="W41" s="952"/>
      <c r="X41" s="945"/>
      <c r="Y41" s="945"/>
      <c r="Z41" s="945"/>
      <c r="AA41" s="945"/>
      <c r="AC41" s="365"/>
      <c r="AD41" s="365"/>
      <c r="AE41" s="365"/>
      <c r="AF41" s="365"/>
      <c r="AG41" s="365"/>
      <c r="AH41" s="365"/>
      <c r="AI41" s="365"/>
      <c r="AJ41" s="365"/>
      <c r="AK41" s="365"/>
      <c r="AL41" s="365"/>
      <c r="AM41" s="365"/>
      <c r="AN41" s="365"/>
      <c r="AO41" s="365"/>
      <c r="AP41" s="365"/>
      <c r="AQ41" s="365"/>
      <c r="AR41" s="365"/>
      <c r="AS41" s="365"/>
      <c r="AT41" s="365"/>
      <c r="AU41" s="365"/>
    </row>
    <row r="42" spans="1:47">
      <c r="A42" s="930" t="s">
        <v>76</v>
      </c>
      <c r="B42" s="940" t="s">
        <v>1538</v>
      </c>
      <c r="C42" s="940"/>
      <c r="D42" s="940"/>
      <c r="E42" s="942">
        <v>-3200000000</v>
      </c>
      <c r="F42" s="942">
        <v>-2100000000</v>
      </c>
      <c r="G42" s="942">
        <v>-2800000000</v>
      </c>
      <c r="H42" s="942">
        <v>-3300000000</v>
      </c>
      <c r="I42" s="942">
        <v>-5657000000</v>
      </c>
      <c r="J42" s="942">
        <v>-5208000000</v>
      </c>
      <c r="K42" s="943">
        <v>-855000000</v>
      </c>
      <c r="L42" s="942">
        <v>-1529000000</v>
      </c>
      <c r="M42" s="942"/>
      <c r="N42" s="942"/>
      <c r="O42" s="942">
        <v>-11734000000</v>
      </c>
      <c r="P42" s="942">
        <v>-15067000000</v>
      </c>
      <c r="Q42" s="942">
        <v>-12210000000</v>
      </c>
      <c r="R42" s="942">
        <v>-11756000000</v>
      </c>
      <c r="S42" s="942">
        <v>-7229000000</v>
      </c>
      <c r="T42" s="942">
        <v>-5032000000</v>
      </c>
      <c r="U42" s="944">
        <v>-5174000000</v>
      </c>
      <c r="V42" s="944">
        <v>-5766000000</v>
      </c>
      <c r="W42" s="952">
        <v>-11287000000</v>
      </c>
      <c r="X42" s="945">
        <v>-10489000000</v>
      </c>
      <c r="Y42" s="945">
        <v>-9860000000</v>
      </c>
      <c r="Z42" s="945">
        <v>-9240000000</v>
      </c>
      <c r="AA42" s="945">
        <v>-9810000000</v>
      </c>
      <c r="AC42" s="365"/>
      <c r="AD42" s="365"/>
      <c r="AE42" s="365"/>
      <c r="AF42" s="365"/>
      <c r="AG42" s="365"/>
      <c r="AH42" s="365"/>
      <c r="AI42" s="365"/>
      <c r="AJ42" s="365"/>
      <c r="AK42" s="365"/>
      <c r="AL42" s="365"/>
      <c r="AM42" s="365"/>
      <c r="AN42" s="365"/>
      <c r="AO42" s="365"/>
      <c r="AP42" s="365"/>
      <c r="AQ42" s="365"/>
      <c r="AR42" s="365"/>
      <c r="AS42" s="365"/>
      <c r="AT42" s="365"/>
      <c r="AU42" s="365"/>
    </row>
    <row r="43" spans="1:47" s="848" customFormat="1">
      <c r="A43" s="935" t="s">
        <v>115</v>
      </c>
      <c r="B43" s="935" t="s">
        <v>1539</v>
      </c>
      <c r="C43" s="935" t="s">
        <v>35</v>
      </c>
      <c r="D43" s="935"/>
      <c r="E43" s="936">
        <v>3200000000</v>
      </c>
      <c r="F43" s="936">
        <v>2100000000</v>
      </c>
      <c r="G43" s="936">
        <v>3000000000</v>
      </c>
      <c r="H43" s="936">
        <v>3300000000</v>
      </c>
      <c r="I43" s="936">
        <v>5657000000</v>
      </c>
      <c r="J43" s="936">
        <v>5208000000</v>
      </c>
      <c r="K43" s="937">
        <v>855000000</v>
      </c>
      <c r="L43" s="936">
        <v>1529000000</v>
      </c>
      <c r="M43" s="936">
        <v>7953000000</v>
      </c>
      <c r="N43" s="936">
        <v>14671000000</v>
      </c>
      <c r="O43" s="936">
        <v>11734000000</v>
      </c>
      <c r="P43" s="936">
        <v>15067000000</v>
      </c>
      <c r="Q43" s="936">
        <v>12210000000</v>
      </c>
      <c r="R43" s="936">
        <f>R71+R72</f>
        <v>16513000000</v>
      </c>
      <c r="S43" s="936">
        <f t="shared" ref="S43:AA43" si="8">S71+S72</f>
        <v>12178000000</v>
      </c>
      <c r="T43" s="936">
        <f t="shared" si="8"/>
        <v>9225000000</v>
      </c>
      <c r="U43" s="936">
        <f t="shared" si="8"/>
        <v>7451000000</v>
      </c>
      <c r="V43" s="936">
        <f t="shared" si="8"/>
        <v>15941000000</v>
      </c>
      <c r="W43" s="936">
        <f t="shared" si="8"/>
        <v>16354000000</v>
      </c>
      <c r="X43" s="936">
        <f t="shared" si="8"/>
        <v>12668000000</v>
      </c>
      <c r="Y43" s="936">
        <f t="shared" si="8"/>
        <v>11285000000</v>
      </c>
      <c r="Z43" s="936">
        <f t="shared" si="8"/>
        <v>10673000000</v>
      </c>
      <c r="AA43" s="936">
        <f t="shared" si="8"/>
        <v>11331000000</v>
      </c>
      <c r="AC43" s="916"/>
      <c r="AD43" s="916"/>
      <c r="AE43" s="916"/>
      <c r="AF43" s="916"/>
      <c r="AG43" s="916"/>
      <c r="AH43" s="916"/>
      <c r="AI43" s="916"/>
      <c r="AJ43" s="916"/>
      <c r="AK43" s="916"/>
      <c r="AL43" s="916"/>
      <c r="AM43" s="916"/>
      <c r="AN43" s="916"/>
      <c r="AO43" s="916"/>
      <c r="AP43" s="916"/>
      <c r="AQ43" s="916"/>
      <c r="AR43" s="916"/>
      <c r="AS43" s="916"/>
      <c r="AT43" s="916"/>
      <c r="AU43" s="916"/>
    </row>
    <row r="44" spans="1:47">
      <c r="A44" s="953" t="s">
        <v>117</v>
      </c>
      <c r="B44" s="940" t="s">
        <v>1540</v>
      </c>
      <c r="C44" s="941" t="s">
        <v>119</v>
      </c>
      <c r="D44" s="940"/>
      <c r="E44" s="950">
        <f>E45+E51</f>
        <v>-500000000</v>
      </c>
      <c r="F44" s="942">
        <v>-1000000000</v>
      </c>
      <c r="G44" s="942">
        <v>2000000000</v>
      </c>
      <c r="H44" s="942">
        <v>800000000</v>
      </c>
      <c r="I44" s="942">
        <v>2785000000</v>
      </c>
      <c r="J44" s="942">
        <v>3130000000</v>
      </c>
      <c r="K44" s="943">
        <v>2326000000</v>
      </c>
      <c r="L44" s="942">
        <v>3495000000</v>
      </c>
      <c r="M44" s="942">
        <v>6301000000</v>
      </c>
      <c r="N44" s="942">
        <v>14614000000</v>
      </c>
      <c r="O44" s="942">
        <v>8933000000</v>
      </c>
      <c r="P44" s="942">
        <v>11511000000</v>
      </c>
      <c r="Q44" s="942">
        <v>9723000000</v>
      </c>
      <c r="R44" s="942"/>
      <c r="S44" s="942"/>
      <c r="T44" s="942"/>
      <c r="U44" s="944"/>
      <c r="V44" s="944"/>
      <c r="W44" s="952"/>
      <c r="X44" s="945"/>
      <c r="Y44" s="945"/>
      <c r="Z44" s="945"/>
      <c r="AA44" s="945"/>
      <c r="AC44" s="365"/>
      <c r="AD44" s="365"/>
      <c r="AE44" s="365"/>
      <c r="AF44" s="365"/>
      <c r="AG44" s="365"/>
      <c r="AH44" s="365"/>
      <c r="AI44" s="365"/>
      <c r="AJ44" s="365"/>
      <c r="AK44" s="365"/>
      <c r="AL44" s="365"/>
      <c r="AM44" s="365"/>
      <c r="AN44" s="365"/>
      <c r="AO44" s="365"/>
      <c r="AP44" s="365"/>
      <c r="AQ44" s="365"/>
      <c r="AR44" s="365"/>
      <c r="AS44" s="365"/>
      <c r="AT44" s="365"/>
      <c r="AU44" s="365"/>
    </row>
    <row r="45" spans="1:47">
      <c r="A45" s="946" t="s">
        <v>1104</v>
      </c>
      <c r="B45" s="946" t="s">
        <v>1104</v>
      </c>
      <c r="C45" s="940" t="s">
        <v>264</v>
      </c>
      <c r="D45" s="940"/>
      <c r="E45" s="942">
        <v>1900000000</v>
      </c>
      <c r="F45" s="942">
        <v>2800000000</v>
      </c>
      <c r="G45" s="942">
        <v>4100000000</v>
      </c>
      <c r="H45" s="942">
        <v>3100000000</v>
      </c>
      <c r="I45" s="943"/>
      <c r="J45" s="942">
        <v>5104000000</v>
      </c>
      <c r="K45" s="943">
        <v>4145000000</v>
      </c>
      <c r="L45" s="942">
        <v>5381000000</v>
      </c>
      <c r="M45" s="942">
        <v>8248000000</v>
      </c>
      <c r="N45" s="942">
        <v>16594000000</v>
      </c>
      <c r="O45" s="942"/>
      <c r="P45" s="942"/>
      <c r="Q45" s="942"/>
      <c r="R45" s="942"/>
      <c r="S45" s="942"/>
      <c r="T45" s="942"/>
      <c r="U45" s="944"/>
      <c r="V45" s="944"/>
      <c r="W45" s="952"/>
      <c r="X45" s="945"/>
      <c r="Y45" s="945"/>
      <c r="Z45" s="945"/>
      <c r="AA45" s="945"/>
      <c r="AC45" s="365"/>
      <c r="AD45" s="365"/>
      <c r="AE45" s="365"/>
      <c r="AF45" s="365"/>
      <c r="AG45" s="365"/>
      <c r="AH45" s="365"/>
      <c r="AI45" s="365"/>
      <c r="AJ45" s="365"/>
      <c r="AK45" s="365"/>
      <c r="AL45" s="365"/>
      <c r="AM45" s="365"/>
      <c r="AN45" s="365"/>
      <c r="AO45" s="365"/>
      <c r="AP45" s="365"/>
      <c r="AQ45" s="365"/>
      <c r="AR45" s="365"/>
      <c r="AS45" s="365"/>
      <c r="AT45" s="365"/>
      <c r="AU45" s="365"/>
    </row>
    <row r="46" spans="1:47">
      <c r="A46" s="930" t="s">
        <v>76</v>
      </c>
      <c r="B46" s="947" t="s">
        <v>1541</v>
      </c>
      <c r="C46" s="940"/>
      <c r="D46" s="940"/>
      <c r="E46" s="942">
        <v>-1200000000</v>
      </c>
      <c r="F46" s="942">
        <v>100000000</v>
      </c>
      <c r="G46" s="942">
        <v>1300000000</v>
      </c>
      <c r="H46" s="942">
        <v>700000000</v>
      </c>
      <c r="I46" s="943"/>
      <c r="J46" s="942"/>
      <c r="K46" s="943"/>
      <c r="L46" s="942"/>
      <c r="M46" s="942"/>
      <c r="N46" s="942"/>
      <c r="O46" s="942"/>
      <c r="P46" s="942"/>
      <c r="Q46" s="942"/>
      <c r="R46" s="942"/>
      <c r="S46" s="942"/>
      <c r="T46" s="942"/>
      <c r="U46" s="944"/>
      <c r="V46" s="944"/>
      <c r="W46" s="952"/>
      <c r="X46" s="945"/>
      <c r="Y46" s="945"/>
      <c r="Z46" s="945"/>
      <c r="AA46" s="945"/>
      <c r="AC46" s="365"/>
      <c r="AD46" s="365"/>
      <c r="AE46" s="365"/>
      <c r="AF46" s="365"/>
      <c r="AG46" s="365"/>
      <c r="AH46" s="365"/>
      <c r="AI46" s="365"/>
      <c r="AJ46" s="365"/>
      <c r="AK46" s="365"/>
      <c r="AL46" s="365"/>
      <c r="AM46" s="365"/>
      <c r="AN46" s="365"/>
      <c r="AO46" s="365"/>
      <c r="AP46" s="365"/>
      <c r="AQ46" s="365"/>
      <c r="AR46" s="365"/>
      <c r="AS46" s="365"/>
      <c r="AT46" s="365"/>
      <c r="AU46" s="365"/>
    </row>
    <row r="47" spans="1:47">
      <c r="A47" s="930" t="s">
        <v>76</v>
      </c>
      <c r="B47" s="947" t="s">
        <v>1542</v>
      </c>
      <c r="C47" s="940"/>
      <c r="D47" s="940"/>
      <c r="E47" s="942">
        <v>0</v>
      </c>
      <c r="F47" s="942">
        <v>500000000</v>
      </c>
      <c r="G47" s="942">
        <v>0</v>
      </c>
      <c r="H47" s="942">
        <v>0</v>
      </c>
      <c r="I47" s="943"/>
      <c r="J47" s="942"/>
      <c r="K47" s="943"/>
      <c r="L47" s="942"/>
      <c r="M47" s="942"/>
      <c r="N47" s="942"/>
      <c r="O47" s="942"/>
      <c r="P47" s="942"/>
      <c r="Q47" s="942"/>
      <c r="R47" s="942"/>
      <c r="S47" s="942"/>
      <c r="T47" s="942"/>
      <c r="U47" s="944"/>
      <c r="V47" s="944"/>
      <c r="W47" s="952"/>
      <c r="X47" s="945"/>
      <c r="Y47" s="945"/>
      <c r="Z47" s="945"/>
      <c r="AA47" s="945"/>
      <c r="AC47" s="365"/>
      <c r="AD47" s="365"/>
      <c r="AE47" s="365"/>
      <c r="AF47" s="365"/>
      <c r="AG47" s="365"/>
      <c r="AH47" s="365"/>
      <c r="AI47" s="365"/>
      <c r="AJ47" s="365"/>
      <c r="AK47" s="365"/>
      <c r="AL47" s="365"/>
      <c r="AM47" s="365"/>
      <c r="AN47" s="365"/>
      <c r="AO47" s="365"/>
      <c r="AP47" s="365"/>
      <c r="AQ47" s="365"/>
      <c r="AR47" s="365"/>
      <c r="AS47" s="365"/>
      <c r="AT47" s="365"/>
      <c r="AU47" s="365"/>
    </row>
    <row r="48" spans="1:47">
      <c r="A48" s="930" t="s">
        <v>76</v>
      </c>
      <c r="B48" s="947" t="s">
        <v>1543</v>
      </c>
      <c r="C48" s="940"/>
      <c r="D48" s="940"/>
      <c r="E48" s="942">
        <v>600000000</v>
      </c>
      <c r="F48" s="942">
        <v>600000000</v>
      </c>
      <c r="G48" s="942">
        <v>600000000</v>
      </c>
      <c r="H48" s="942">
        <v>500000000</v>
      </c>
      <c r="I48" s="943"/>
      <c r="J48" s="942"/>
      <c r="K48" s="943"/>
      <c r="L48" s="942"/>
      <c r="M48" s="942"/>
      <c r="N48" s="942"/>
      <c r="O48" s="942"/>
      <c r="P48" s="942"/>
      <c r="Q48" s="942"/>
      <c r="R48" s="942"/>
      <c r="S48" s="942"/>
      <c r="T48" s="942"/>
      <c r="U48" s="944"/>
      <c r="V48" s="944"/>
      <c r="W48" s="952"/>
      <c r="X48" s="945"/>
      <c r="Y48" s="945"/>
      <c r="Z48" s="945"/>
      <c r="AA48" s="945"/>
      <c r="AC48" s="365"/>
      <c r="AD48" s="365"/>
      <c r="AE48" s="365"/>
      <c r="AF48" s="365"/>
      <c r="AG48" s="365"/>
      <c r="AH48" s="365"/>
      <c r="AI48" s="365"/>
      <c r="AJ48" s="365"/>
      <c r="AK48" s="365"/>
      <c r="AL48" s="365"/>
      <c r="AM48" s="365"/>
      <c r="AN48" s="365"/>
      <c r="AO48" s="365"/>
      <c r="AP48" s="365"/>
      <c r="AQ48" s="365"/>
      <c r="AR48" s="365"/>
      <c r="AS48" s="365"/>
      <c r="AT48" s="365"/>
      <c r="AU48" s="365"/>
    </row>
    <row r="49" spans="1:47">
      <c r="A49" s="930" t="s">
        <v>76</v>
      </c>
      <c r="B49" s="947" t="s">
        <v>50</v>
      </c>
      <c r="C49" s="940"/>
      <c r="D49" s="940"/>
      <c r="E49" s="942">
        <v>-1800000000</v>
      </c>
      <c r="F49" s="942">
        <v>-1000000000</v>
      </c>
      <c r="G49" s="942">
        <v>800000000</v>
      </c>
      <c r="H49" s="942">
        <v>-200000000</v>
      </c>
      <c r="I49" s="943"/>
      <c r="J49" s="942"/>
      <c r="K49" s="943"/>
      <c r="L49" s="942"/>
      <c r="M49" s="942"/>
      <c r="N49" s="942"/>
      <c r="O49" s="942"/>
      <c r="P49" s="942"/>
      <c r="Q49" s="942"/>
      <c r="R49" s="942"/>
      <c r="S49" s="942"/>
      <c r="T49" s="942"/>
      <c r="U49" s="927"/>
      <c r="V49" s="944"/>
      <c r="W49" s="952"/>
      <c r="X49" s="945"/>
      <c r="Y49" s="945"/>
      <c r="Z49" s="945"/>
      <c r="AA49" s="945"/>
      <c r="AC49" s="365"/>
      <c r="AD49" s="365"/>
      <c r="AE49" s="365"/>
      <c r="AF49" s="365"/>
      <c r="AG49" s="365"/>
      <c r="AH49" s="365"/>
      <c r="AI49" s="365"/>
      <c r="AJ49" s="365"/>
      <c r="AK49" s="365"/>
      <c r="AL49" s="365"/>
      <c r="AM49" s="365"/>
      <c r="AN49" s="365"/>
      <c r="AO49" s="365"/>
      <c r="AP49" s="365"/>
      <c r="AQ49" s="365"/>
      <c r="AR49" s="365"/>
      <c r="AS49" s="365"/>
      <c r="AT49" s="365"/>
      <c r="AU49" s="365"/>
    </row>
    <row r="50" spans="1:47">
      <c r="A50" s="930" t="s">
        <v>76</v>
      </c>
      <c r="B50" s="947" t="s">
        <v>1544</v>
      </c>
      <c r="C50" s="940"/>
      <c r="D50" s="940"/>
      <c r="E50" s="942">
        <v>3100000000</v>
      </c>
      <c r="F50" s="942">
        <v>2700000000</v>
      </c>
      <c r="G50" s="942">
        <v>2800000000</v>
      </c>
      <c r="H50" s="942">
        <v>2400000000</v>
      </c>
      <c r="I50" s="943"/>
      <c r="J50" s="942"/>
      <c r="K50" s="943"/>
      <c r="L50" s="942"/>
      <c r="M50" s="942"/>
      <c r="N50" s="942"/>
      <c r="O50" s="942"/>
      <c r="P50" s="942"/>
      <c r="Q50" s="942"/>
      <c r="R50" s="942"/>
      <c r="S50" s="942"/>
      <c r="T50" s="942"/>
      <c r="U50" s="927"/>
      <c r="V50" s="944"/>
      <c r="W50" s="952"/>
      <c r="X50" s="945"/>
      <c r="Y50" s="945"/>
      <c r="Z50" s="945"/>
      <c r="AA50" s="945"/>
      <c r="AC50" s="365"/>
      <c r="AD50" s="365"/>
      <c r="AE50" s="365"/>
      <c r="AF50" s="365"/>
      <c r="AG50" s="365"/>
      <c r="AH50" s="365"/>
      <c r="AI50" s="365"/>
      <c r="AJ50" s="365"/>
      <c r="AK50" s="365"/>
      <c r="AL50" s="365"/>
      <c r="AM50" s="365"/>
      <c r="AN50" s="365"/>
      <c r="AO50" s="365"/>
      <c r="AP50" s="365"/>
      <c r="AQ50" s="365"/>
      <c r="AR50" s="365"/>
      <c r="AS50" s="365"/>
      <c r="AT50" s="365"/>
      <c r="AU50" s="365"/>
    </row>
    <row r="51" spans="1:47">
      <c r="A51" s="946" t="s">
        <v>258</v>
      </c>
      <c r="B51" s="946" t="s">
        <v>258</v>
      </c>
      <c r="C51" s="940" t="s">
        <v>264</v>
      </c>
      <c r="D51" s="940"/>
      <c r="E51" s="942">
        <v>-2400000000</v>
      </c>
      <c r="F51" s="942">
        <v>-2200000000</v>
      </c>
      <c r="G51" s="942">
        <v>-2100000000</v>
      </c>
      <c r="H51" s="942">
        <v>-2300000000</v>
      </c>
      <c r="I51" s="943"/>
      <c r="J51" s="942">
        <v>-1974000000</v>
      </c>
      <c r="K51" s="943">
        <v>-1819000000</v>
      </c>
      <c r="L51" s="942">
        <v>-1886000000</v>
      </c>
      <c r="M51" s="942">
        <v>-1947000000</v>
      </c>
      <c r="N51" s="942">
        <v>-1981000000</v>
      </c>
      <c r="O51" s="942"/>
      <c r="P51" s="942"/>
      <c r="Q51" s="942"/>
      <c r="R51" s="942"/>
      <c r="S51" s="942"/>
      <c r="T51" s="942"/>
      <c r="U51" s="927"/>
      <c r="V51" s="944"/>
      <c r="W51" s="952"/>
      <c r="X51" s="945"/>
      <c r="Y51" s="945"/>
      <c r="Z51" s="945"/>
      <c r="AA51" s="945"/>
      <c r="AC51" s="365"/>
      <c r="AD51" s="365"/>
      <c r="AE51" s="365"/>
      <c r="AF51" s="365"/>
      <c r="AG51" s="365"/>
      <c r="AH51" s="365"/>
      <c r="AI51" s="365"/>
      <c r="AJ51" s="365"/>
      <c r="AK51" s="365"/>
      <c r="AL51" s="365"/>
      <c r="AM51" s="365"/>
      <c r="AN51" s="365"/>
      <c r="AO51" s="365"/>
      <c r="AP51" s="365"/>
      <c r="AQ51" s="365"/>
      <c r="AR51" s="365"/>
      <c r="AS51" s="365"/>
      <c r="AT51" s="365"/>
      <c r="AU51" s="365"/>
    </row>
    <row r="52" spans="1:47">
      <c r="A52" s="930" t="s">
        <v>76</v>
      </c>
      <c r="B52" s="947" t="s">
        <v>1545</v>
      </c>
      <c r="C52" s="940"/>
      <c r="D52" s="940"/>
      <c r="E52" s="942">
        <v>-1800000000</v>
      </c>
      <c r="F52" s="942">
        <v>-1100000000</v>
      </c>
      <c r="G52" s="942">
        <v>-1100000000</v>
      </c>
      <c r="H52" s="942">
        <v>-1100000000</v>
      </c>
      <c r="I52" s="943"/>
      <c r="J52" s="942"/>
      <c r="K52" s="943"/>
      <c r="L52" s="942"/>
      <c r="M52" s="942"/>
      <c r="N52" s="942"/>
      <c r="O52" s="942"/>
      <c r="P52" s="942"/>
      <c r="Q52" s="942"/>
      <c r="R52" s="942"/>
      <c r="S52" s="942"/>
      <c r="T52" s="942"/>
      <c r="U52" s="927"/>
      <c r="V52" s="944"/>
      <c r="W52" s="952"/>
      <c r="X52" s="945"/>
      <c r="Y52" s="945"/>
      <c r="Z52" s="945"/>
      <c r="AA52" s="945"/>
      <c r="AC52" s="365"/>
      <c r="AD52" s="365"/>
      <c r="AE52" s="365"/>
      <c r="AF52" s="365"/>
      <c r="AG52" s="365"/>
      <c r="AH52" s="365"/>
      <c r="AI52" s="365"/>
      <c r="AJ52" s="365"/>
      <c r="AK52" s="365"/>
      <c r="AL52" s="365"/>
      <c r="AM52" s="365"/>
      <c r="AN52" s="365"/>
      <c r="AO52" s="365"/>
      <c r="AP52" s="365"/>
      <c r="AQ52" s="365"/>
      <c r="AR52" s="365"/>
      <c r="AS52" s="365"/>
      <c r="AT52" s="365"/>
      <c r="AU52" s="365"/>
    </row>
    <row r="53" spans="1:47">
      <c r="A53" s="930" t="s">
        <v>76</v>
      </c>
      <c r="B53" s="947" t="s">
        <v>50</v>
      </c>
      <c r="C53" s="940"/>
      <c r="D53" s="940"/>
      <c r="E53" s="942">
        <v>-700000000</v>
      </c>
      <c r="F53" s="942">
        <v>-1100000000</v>
      </c>
      <c r="G53" s="942">
        <v>-1000000000</v>
      </c>
      <c r="H53" s="942">
        <v>-1300000000</v>
      </c>
      <c r="I53" s="943"/>
      <c r="J53" s="942"/>
      <c r="K53" s="943"/>
      <c r="L53" s="942"/>
      <c r="M53" s="942"/>
      <c r="N53" s="942"/>
      <c r="O53" s="942"/>
      <c r="P53" s="942"/>
      <c r="Q53" s="942"/>
      <c r="R53" s="942"/>
      <c r="S53" s="942"/>
      <c r="T53" s="942"/>
      <c r="U53" s="927"/>
      <c r="V53" s="944"/>
      <c r="W53" s="952"/>
      <c r="X53" s="945"/>
      <c r="Y53" s="945"/>
      <c r="Z53" s="945"/>
      <c r="AA53" s="945"/>
      <c r="AC53" s="365"/>
      <c r="AD53" s="365"/>
      <c r="AE53" s="365"/>
      <c r="AF53" s="365"/>
      <c r="AG53" s="365"/>
      <c r="AH53" s="365"/>
      <c r="AI53" s="365"/>
      <c r="AJ53" s="365"/>
      <c r="AK53" s="365"/>
      <c r="AL53" s="365"/>
      <c r="AM53" s="365"/>
      <c r="AN53" s="365"/>
      <c r="AO53" s="365"/>
      <c r="AP53" s="365"/>
      <c r="AQ53" s="365"/>
      <c r="AR53" s="365"/>
      <c r="AS53" s="365"/>
      <c r="AT53" s="365"/>
      <c r="AU53" s="365"/>
    </row>
    <row r="54" spans="1:47">
      <c r="A54" s="930" t="s">
        <v>76</v>
      </c>
      <c r="B54" s="946" t="s">
        <v>1546</v>
      </c>
      <c r="C54" s="940"/>
      <c r="D54" s="940"/>
      <c r="E54" s="942">
        <v>1400000000</v>
      </c>
      <c r="F54" s="942">
        <v>0</v>
      </c>
      <c r="G54" s="942">
        <v>0</v>
      </c>
      <c r="H54" s="942">
        <v>0</v>
      </c>
      <c r="I54" s="943"/>
      <c r="J54" s="942"/>
      <c r="K54" s="943"/>
      <c r="L54" s="942"/>
      <c r="M54" s="942"/>
      <c r="N54" s="942"/>
      <c r="O54" s="942"/>
      <c r="P54" s="942"/>
      <c r="Q54" s="942"/>
      <c r="R54" s="942"/>
      <c r="S54" s="942"/>
      <c r="T54" s="942"/>
      <c r="U54" s="927"/>
      <c r="V54" s="944"/>
      <c r="W54" s="952"/>
      <c r="X54" s="945"/>
      <c r="Y54" s="945"/>
      <c r="Z54" s="945"/>
      <c r="AA54" s="945"/>
      <c r="AC54" s="365"/>
      <c r="AD54" s="365"/>
      <c r="AE54" s="365"/>
      <c r="AF54" s="365"/>
      <c r="AG54" s="365"/>
      <c r="AH54" s="365"/>
      <c r="AI54" s="365"/>
      <c r="AJ54" s="365"/>
      <c r="AK54" s="365"/>
      <c r="AL54" s="365"/>
      <c r="AM54" s="365"/>
      <c r="AN54" s="365"/>
      <c r="AO54" s="365"/>
      <c r="AP54" s="365"/>
      <c r="AQ54" s="365"/>
      <c r="AR54" s="365"/>
      <c r="AS54" s="365"/>
      <c r="AT54" s="365"/>
      <c r="AU54" s="365"/>
    </row>
    <row r="55" spans="1:47">
      <c r="A55" s="946" t="s">
        <v>1547</v>
      </c>
      <c r="B55" s="946" t="s">
        <v>1547</v>
      </c>
      <c r="C55" s="940" t="s">
        <v>264</v>
      </c>
      <c r="D55" s="940"/>
      <c r="E55" s="942">
        <f>E44-E45-E51</f>
        <v>0</v>
      </c>
      <c r="F55" s="942">
        <f>F44-F45-F51</f>
        <v>-1600000000</v>
      </c>
      <c r="G55" s="942">
        <f t="shared" ref="G55:N55" si="9">G44-G45-G51</f>
        <v>0</v>
      </c>
      <c r="H55" s="942">
        <f t="shared" si="9"/>
        <v>0</v>
      </c>
      <c r="I55" s="942">
        <f t="shared" si="9"/>
        <v>2785000000</v>
      </c>
      <c r="J55" s="942">
        <f t="shared" si="9"/>
        <v>0</v>
      </c>
      <c r="K55" s="942">
        <f t="shared" si="9"/>
        <v>0</v>
      </c>
      <c r="L55" s="942">
        <f t="shared" si="9"/>
        <v>0</v>
      </c>
      <c r="M55" s="942">
        <f t="shared" si="9"/>
        <v>0</v>
      </c>
      <c r="N55" s="942">
        <f t="shared" si="9"/>
        <v>1000000</v>
      </c>
      <c r="O55" s="942"/>
      <c r="P55" s="942"/>
      <c r="Q55" s="942"/>
      <c r="R55" s="942"/>
      <c r="S55" s="942"/>
      <c r="T55" s="942"/>
      <c r="U55" s="927"/>
      <c r="V55" s="944"/>
      <c r="W55" s="952"/>
      <c r="X55" s="945"/>
      <c r="Y55" s="945"/>
      <c r="Z55" s="945"/>
      <c r="AA55" s="945"/>
      <c r="AC55" s="365"/>
      <c r="AD55" s="365"/>
      <c r="AE55" s="365"/>
      <c r="AF55" s="365"/>
      <c r="AG55" s="365"/>
      <c r="AH55" s="365"/>
      <c r="AI55" s="365"/>
      <c r="AJ55" s="365"/>
      <c r="AK55" s="365"/>
      <c r="AL55" s="365"/>
      <c r="AM55" s="365"/>
      <c r="AN55" s="365"/>
      <c r="AO55" s="365"/>
      <c r="AP55" s="365"/>
      <c r="AQ55" s="365"/>
      <c r="AR55" s="365"/>
      <c r="AS55" s="365"/>
      <c r="AT55" s="365"/>
      <c r="AU55" s="365"/>
    </row>
    <row r="56" spans="1:47">
      <c r="A56" s="940" t="s">
        <v>120</v>
      </c>
      <c r="B56" s="940" t="s">
        <v>1548</v>
      </c>
      <c r="C56" s="941" t="s">
        <v>119</v>
      </c>
      <c r="D56" s="954"/>
      <c r="E56" s="942">
        <v>1400000000</v>
      </c>
      <c r="F56" s="942">
        <v>4700000000</v>
      </c>
      <c r="G56" s="942">
        <v>1000000000</v>
      </c>
      <c r="H56" s="942">
        <v>3100000000</v>
      </c>
      <c r="I56" s="942">
        <v>713000000</v>
      </c>
      <c r="J56" s="942">
        <v>3027000000</v>
      </c>
      <c r="K56" s="943">
        <v>-889000000</v>
      </c>
      <c r="L56" s="942">
        <v>-1138000000</v>
      </c>
      <c r="M56" s="942">
        <v>965000000</v>
      </c>
      <c r="N56" s="942">
        <v>789000000</v>
      </c>
      <c r="O56" s="942">
        <v>2111000000</v>
      </c>
      <c r="P56" s="942">
        <v>2835000000</v>
      </c>
      <c r="Q56" s="942">
        <v>1880000000</v>
      </c>
      <c r="R56" s="942"/>
      <c r="S56" s="942"/>
      <c r="T56" s="942"/>
      <c r="U56" s="927"/>
      <c r="V56" s="944"/>
      <c r="W56" s="952"/>
      <c r="X56" s="945"/>
      <c r="Y56" s="945"/>
      <c r="Z56" s="945"/>
      <c r="AA56" s="945"/>
      <c r="AC56" s="365"/>
      <c r="AD56" s="365"/>
      <c r="AE56" s="365"/>
      <c r="AF56" s="365"/>
      <c r="AG56" s="365"/>
      <c r="AH56" s="365"/>
      <c r="AI56" s="365"/>
      <c r="AJ56" s="365"/>
      <c r="AK56" s="365"/>
      <c r="AL56" s="365"/>
      <c r="AM56" s="365"/>
      <c r="AN56" s="365"/>
      <c r="AO56" s="365"/>
      <c r="AP56" s="365"/>
      <c r="AQ56" s="365"/>
      <c r="AR56" s="365"/>
      <c r="AS56" s="365"/>
      <c r="AT56" s="365"/>
      <c r="AU56" s="365"/>
    </row>
    <row r="57" spans="1:47">
      <c r="A57" s="940" t="s">
        <v>1549</v>
      </c>
      <c r="B57" s="940" t="s">
        <v>1550</v>
      </c>
      <c r="C57" s="940"/>
      <c r="D57" s="954"/>
      <c r="E57" s="943"/>
      <c r="F57" s="943"/>
      <c r="G57" s="943"/>
      <c r="H57" s="943"/>
      <c r="I57" s="942">
        <v>713000000</v>
      </c>
      <c r="J57" s="942">
        <v>1638000000</v>
      </c>
      <c r="K57" s="943">
        <v>-2567000000</v>
      </c>
      <c r="L57" s="942">
        <v>-1972000000</v>
      </c>
      <c r="M57" s="942"/>
      <c r="N57" s="942"/>
      <c r="O57" s="942"/>
      <c r="P57" s="942"/>
      <c r="Q57" s="942"/>
      <c r="R57" s="942"/>
      <c r="S57" s="942"/>
      <c r="T57" s="942"/>
      <c r="U57" s="927"/>
      <c r="V57" s="944"/>
      <c r="W57" s="952"/>
      <c r="X57" s="945"/>
      <c r="Y57" s="945"/>
      <c r="Z57" s="945"/>
      <c r="AA57" s="945"/>
      <c r="AC57" s="365"/>
      <c r="AD57" s="365"/>
      <c r="AE57" s="365"/>
      <c r="AF57" s="365"/>
      <c r="AG57" s="365"/>
      <c r="AH57" s="365"/>
      <c r="AI57" s="365"/>
      <c r="AJ57" s="365"/>
      <c r="AK57" s="365"/>
      <c r="AL57" s="365"/>
      <c r="AM57" s="365"/>
      <c r="AN57" s="365"/>
      <c r="AO57" s="365"/>
      <c r="AP57" s="365"/>
      <c r="AQ57" s="365"/>
      <c r="AR57" s="365"/>
      <c r="AS57" s="365"/>
      <c r="AT57" s="365"/>
      <c r="AU57" s="365"/>
    </row>
    <row r="58" spans="1:47">
      <c r="A58" s="946" t="s">
        <v>861</v>
      </c>
      <c r="B58" s="946" t="s">
        <v>1551</v>
      </c>
      <c r="C58" s="940" t="s">
        <v>124</v>
      </c>
      <c r="D58" s="954"/>
      <c r="E58" s="942">
        <v>100000000</v>
      </c>
      <c r="F58" s="942">
        <v>2700000000</v>
      </c>
      <c r="G58" s="942">
        <v>900000000</v>
      </c>
      <c r="H58" s="942">
        <v>600000000</v>
      </c>
      <c r="I58" s="942">
        <v>141000000</v>
      </c>
      <c r="J58" s="942">
        <v>164000000</v>
      </c>
      <c r="K58" s="943">
        <v>-9685000000</v>
      </c>
      <c r="L58" s="942">
        <v>-2008000000</v>
      </c>
      <c r="M58" s="942">
        <v>518000000</v>
      </c>
      <c r="N58" s="942">
        <v>310000000</v>
      </c>
      <c r="O58" s="942"/>
      <c r="P58" s="942"/>
      <c r="Q58" s="942"/>
      <c r="R58" s="942"/>
      <c r="S58" s="942"/>
      <c r="T58" s="942"/>
      <c r="U58" s="927"/>
      <c r="V58" s="944"/>
      <c r="W58" s="952"/>
      <c r="X58" s="945"/>
      <c r="Y58" s="945"/>
      <c r="Z58" s="945"/>
      <c r="AA58" s="945"/>
      <c r="AC58" s="365"/>
      <c r="AD58" s="365"/>
      <c r="AE58" s="365"/>
      <c r="AF58" s="365"/>
      <c r="AG58" s="365"/>
      <c r="AH58" s="365"/>
      <c r="AI58" s="365"/>
      <c r="AJ58" s="365"/>
      <c r="AK58" s="365"/>
      <c r="AL58" s="365"/>
      <c r="AM58" s="365"/>
      <c r="AN58" s="365"/>
      <c r="AO58" s="365"/>
      <c r="AP58" s="365"/>
      <c r="AQ58" s="365"/>
      <c r="AR58" s="365"/>
      <c r="AS58" s="365"/>
      <c r="AT58" s="365"/>
      <c r="AU58" s="365"/>
    </row>
    <row r="59" spans="1:47">
      <c r="A59" s="946" t="s">
        <v>597</v>
      </c>
      <c r="B59" s="946" t="s">
        <v>597</v>
      </c>
      <c r="C59" s="940" t="s">
        <v>124</v>
      </c>
      <c r="D59" s="954"/>
      <c r="E59" s="942">
        <v>1300000000</v>
      </c>
      <c r="F59" s="942">
        <v>2000000000</v>
      </c>
      <c r="G59" s="942">
        <v>700000000</v>
      </c>
      <c r="H59" s="942">
        <v>1000000000</v>
      </c>
      <c r="I59" s="942">
        <v>572000000</v>
      </c>
      <c r="J59" s="942">
        <v>1474000000</v>
      </c>
      <c r="K59" s="943">
        <v>7117000000</v>
      </c>
      <c r="L59" s="942">
        <v>36000000</v>
      </c>
      <c r="M59" s="942">
        <v>1382000000</v>
      </c>
      <c r="N59" s="942">
        <v>1562000000</v>
      </c>
      <c r="O59" s="942"/>
      <c r="P59" s="942"/>
      <c r="Q59" s="942"/>
      <c r="R59" s="942"/>
      <c r="S59" s="942"/>
      <c r="T59" s="942"/>
      <c r="U59" s="927"/>
      <c r="V59" s="944"/>
      <c r="W59" s="952"/>
      <c r="X59" s="945"/>
      <c r="Y59" s="945"/>
      <c r="Z59" s="945"/>
      <c r="AA59" s="945"/>
      <c r="AC59" s="365"/>
      <c r="AD59" s="365"/>
      <c r="AE59" s="365"/>
      <c r="AF59" s="365"/>
      <c r="AG59" s="365"/>
      <c r="AH59" s="365"/>
      <c r="AI59" s="365"/>
      <c r="AJ59" s="365"/>
      <c r="AK59" s="365"/>
      <c r="AL59" s="365"/>
      <c r="AM59" s="365"/>
      <c r="AN59" s="365"/>
      <c r="AO59" s="365"/>
      <c r="AP59" s="365"/>
      <c r="AQ59" s="365"/>
      <c r="AR59" s="365"/>
      <c r="AS59" s="365"/>
      <c r="AT59" s="365"/>
      <c r="AU59" s="365"/>
    </row>
    <row r="60" spans="1:47">
      <c r="A60" s="946" t="s">
        <v>1552</v>
      </c>
      <c r="B60" s="946" t="s">
        <v>1553</v>
      </c>
      <c r="C60" s="940" t="s">
        <v>124</v>
      </c>
      <c r="D60" s="954"/>
      <c r="E60" s="943"/>
      <c r="F60" s="943"/>
      <c r="G60" s="943"/>
      <c r="H60" s="943"/>
      <c r="I60" s="943"/>
      <c r="J60" s="943"/>
      <c r="K60" s="943"/>
      <c r="L60" s="943"/>
      <c r="M60" s="942">
        <v>-829000000</v>
      </c>
      <c r="N60" s="942">
        <v>-862000000</v>
      </c>
      <c r="O60" s="942"/>
      <c r="P60" s="942"/>
      <c r="Q60" s="942"/>
      <c r="R60" s="942"/>
      <c r="S60" s="942"/>
      <c r="T60" s="942"/>
      <c r="U60" s="927"/>
      <c r="V60" s="944"/>
      <c r="W60" s="952"/>
      <c r="X60" s="945"/>
      <c r="Y60" s="945"/>
      <c r="Z60" s="945"/>
      <c r="AA60" s="945"/>
      <c r="AC60" s="365"/>
      <c r="AD60" s="365"/>
      <c r="AE60" s="365"/>
      <c r="AF60" s="365"/>
      <c r="AG60" s="365"/>
      <c r="AH60" s="365"/>
      <c r="AI60" s="365"/>
      <c r="AJ60" s="365"/>
      <c r="AK60" s="365"/>
      <c r="AL60" s="365"/>
      <c r="AM60" s="365"/>
      <c r="AN60" s="365"/>
      <c r="AO60" s="365"/>
      <c r="AP60" s="365"/>
      <c r="AQ60" s="365"/>
      <c r="AR60" s="365"/>
      <c r="AS60" s="365"/>
      <c r="AT60" s="365"/>
      <c r="AU60" s="365"/>
    </row>
    <row r="61" spans="1:47">
      <c r="A61" s="946" t="s">
        <v>1554</v>
      </c>
      <c r="B61" s="946" t="s">
        <v>1555</v>
      </c>
      <c r="C61" s="940" t="s">
        <v>124</v>
      </c>
      <c r="D61" s="940"/>
      <c r="E61" s="943"/>
      <c r="F61" s="943"/>
      <c r="G61" s="943"/>
      <c r="H61" s="943"/>
      <c r="I61" s="942">
        <v>816000000</v>
      </c>
      <c r="J61" s="942">
        <v>456000000</v>
      </c>
      <c r="K61" s="943">
        <v>3598000000</v>
      </c>
      <c r="L61" s="942">
        <v>834000000</v>
      </c>
      <c r="M61" s="942">
        <v>-106000000</v>
      </c>
      <c r="N61" s="942">
        <v>-221000000</v>
      </c>
      <c r="O61" s="942">
        <v>-46000000</v>
      </c>
      <c r="P61" s="942">
        <v>-1044000000</v>
      </c>
      <c r="Q61" s="942">
        <v>-600000000</v>
      </c>
      <c r="R61" s="942"/>
      <c r="S61" s="942"/>
      <c r="T61" s="942"/>
      <c r="U61" s="927"/>
      <c r="V61" s="944"/>
      <c r="W61" s="952"/>
      <c r="X61" s="945"/>
      <c r="Y61" s="945"/>
      <c r="Z61" s="945"/>
      <c r="AA61" s="945"/>
      <c r="AC61" s="365"/>
      <c r="AD61" s="365"/>
      <c r="AE61" s="365"/>
      <c r="AF61" s="365"/>
      <c r="AG61" s="365"/>
      <c r="AH61" s="365"/>
      <c r="AI61" s="365"/>
      <c r="AJ61" s="365"/>
      <c r="AK61" s="365"/>
      <c r="AL61" s="365"/>
      <c r="AM61" s="365"/>
      <c r="AN61" s="365"/>
      <c r="AO61" s="365"/>
      <c r="AP61" s="365"/>
      <c r="AQ61" s="365"/>
      <c r="AR61" s="365"/>
      <c r="AS61" s="365"/>
      <c r="AT61" s="365"/>
      <c r="AU61" s="365"/>
    </row>
    <row r="62" spans="1:47">
      <c r="A62" s="946" t="s">
        <v>1556</v>
      </c>
      <c r="B62" s="946" t="s">
        <v>1557</v>
      </c>
      <c r="C62" s="940" t="s">
        <v>124</v>
      </c>
      <c r="D62" s="940"/>
      <c r="E62" s="943"/>
      <c r="F62" s="943"/>
      <c r="G62" s="943"/>
      <c r="H62" s="943"/>
      <c r="I62" s="942">
        <v>30000000</v>
      </c>
      <c r="J62" s="942">
        <v>933000000</v>
      </c>
      <c r="K62" s="943">
        <v>-1919000000</v>
      </c>
      <c r="L62" s="942">
        <v>0</v>
      </c>
      <c r="M62" s="942"/>
      <c r="N62" s="942"/>
      <c r="O62" s="942"/>
      <c r="P62" s="942"/>
      <c r="Q62" s="942"/>
      <c r="R62" s="942"/>
      <c r="S62" s="942"/>
      <c r="T62" s="942"/>
      <c r="U62" s="927"/>
      <c r="V62" s="944"/>
      <c r="W62" s="952"/>
      <c r="X62" s="945"/>
      <c r="Y62" s="945"/>
      <c r="Z62" s="945"/>
      <c r="AA62" s="945"/>
      <c r="AC62" s="365"/>
      <c r="AD62" s="365"/>
      <c r="AE62" s="365"/>
      <c r="AF62" s="365"/>
      <c r="AG62" s="365"/>
      <c r="AH62" s="365"/>
      <c r="AI62" s="365"/>
      <c r="AJ62" s="365"/>
      <c r="AK62" s="365"/>
      <c r="AL62" s="365"/>
      <c r="AM62" s="365"/>
      <c r="AN62" s="365"/>
      <c r="AO62" s="365"/>
      <c r="AP62" s="365"/>
      <c r="AQ62" s="365"/>
      <c r="AR62" s="365"/>
      <c r="AS62" s="365"/>
      <c r="AT62" s="365"/>
      <c r="AU62" s="365"/>
    </row>
    <row r="63" spans="1:47">
      <c r="A63" s="946" t="s">
        <v>1558</v>
      </c>
      <c r="B63" s="946" t="s">
        <v>1559</v>
      </c>
      <c r="C63" s="940" t="s">
        <v>124</v>
      </c>
      <c r="D63" s="940"/>
      <c r="E63" s="942">
        <v>0</v>
      </c>
      <c r="F63" s="942">
        <v>0</v>
      </c>
      <c r="G63" s="942">
        <v>-600000000</v>
      </c>
      <c r="H63" s="942">
        <v>1500000000</v>
      </c>
      <c r="I63" s="942"/>
      <c r="J63" s="942"/>
      <c r="K63" s="943"/>
      <c r="L63" s="942"/>
      <c r="M63" s="942"/>
      <c r="N63" s="942"/>
      <c r="O63" s="942"/>
      <c r="P63" s="942"/>
      <c r="Q63" s="942"/>
      <c r="R63" s="942"/>
      <c r="S63" s="942"/>
      <c r="T63" s="942"/>
      <c r="U63" s="927"/>
      <c r="V63" s="944"/>
      <c r="W63" s="952"/>
      <c r="X63" s="945"/>
      <c r="Y63" s="945"/>
      <c r="Z63" s="945"/>
      <c r="AA63" s="945"/>
      <c r="AC63" s="365"/>
      <c r="AD63" s="365"/>
      <c r="AE63" s="365"/>
      <c r="AF63" s="365"/>
      <c r="AG63" s="365"/>
      <c r="AH63" s="365"/>
      <c r="AI63" s="365"/>
      <c r="AJ63" s="365"/>
      <c r="AK63" s="365"/>
      <c r="AL63" s="365"/>
      <c r="AM63" s="365"/>
      <c r="AN63" s="365"/>
      <c r="AO63" s="365"/>
      <c r="AP63" s="365"/>
      <c r="AQ63" s="365"/>
      <c r="AR63" s="365"/>
      <c r="AS63" s="365"/>
      <c r="AT63" s="365"/>
      <c r="AU63" s="365"/>
    </row>
    <row r="64" spans="1:47">
      <c r="A64" s="955" t="s">
        <v>1036</v>
      </c>
      <c r="B64" s="955" t="s">
        <v>1036</v>
      </c>
      <c r="C64" s="940" t="s">
        <v>124</v>
      </c>
      <c r="D64" s="940"/>
      <c r="E64" s="942">
        <f>E56-E58-E59-E60-E61-E62-E63</f>
        <v>0</v>
      </c>
      <c r="F64" s="942">
        <f>F56-F58-F59-F60-F61-F62-F63</f>
        <v>0</v>
      </c>
      <c r="G64" s="942">
        <f>G56-G58-G59-G60-G61-G62-G63</f>
        <v>0</v>
      </c>
      <c r="H64" s="942">
        <f>H56-H58-H59-H60-H61-H62-H63</f>
        <v>0</v>
      </c>
      <c r="I64" s="942">
        <f>I56-I58-I59-I60-I61-I62-I63</f>
        <v>-846000000</v>
      </c>
      <c r="J64" s="942">
        <f t="shared" ref="J64:Q64" si="10">J56-J58-J59-J60-J61-J62-J63</f>
        <v>0</v>
      </c>
      <c r="K64" s="942">
        <f t="shared" si="10"/>
        <v>0</v>
      </c>
      <c r="L64" s="942">
        <f t="shared" si="10"/>
        <v>0</v>
      </c>
      <c r="M64" s="942">
        <f t="shared" si="10"/>
        <v>0</v>
      </c>
      <c r="N64" s="942">
        <f t="shared" si="10"/>
        <v>0</v>
      </c>
      <c r="O64" s="942">
        <f t="shared" si="10"/>
        <v>2157000000</v>
      </c>
      <c r="P64" s="942">
        <f t="shared" si="10"/>
        <v>3879000000</v>
      </c>
      <c r="Q64" s="942">
        <f t="shared" si="10"/>
        <v>2480000000</v>
      </c>
      <c r="R64" s="942"/>
      <c r="S64" s="942"/>
      <c r="T64" s="942"/>
      <c r="U64" s="927"/>
      <c r="V64" s="944"/>
      <c r="W64" s="952"/>
      <c r="X64" s="945"/>
      <c r="Y64" s="945"/>
      <c r="Z64" s="945"/>
      <c r="AA64" s="945"/>
      <c r="AC64" s="365"/>
      <c r="AD64" s="365"/>
      <c r="AE64" s="365"/>
      <c r="AF64" s="365"/>
      <c r="AG64" s="365"/>
      <c r="AH64" s="365"/>
      <c r="AI64" s="365"/>
      <c r="AJ64" s="365"/>
      <c r="AK64" s="365"/>
      <c r="AL64" s="365"/>
      <c r="AM64" s="365"/>
      <c r="AN64" s="365"/>
      <c r="AO64" s="365"/>
      <c r="AP64" s="365"/>
      <c r="AQ64" s="365"/>
      <c r="AR64" s="365"/>
      <c r="AS64" s="365"/>
      <c r="AT64" s="365"/>
      <c r="AU64" s="365"/>
    </row>
    <row r="65" spans="1:27">
      <c r="A65" s="940" t="s">
        <v>1560</v>
      </c>
      <c r="B65" s="940" t="s">
        <v>1560</v>
      </c>
      <c r="C65" s="941" t="s">
        <v>119</v>
      </c>
      <c r="D65" s="940"/>
      <c r="E65" s="942"/>
      <c r="F65" s="942"/>
      <c r="G65" s="942"/>
      <c r="H65" s="942"/>
      <c r="I65" s="942"/>
      <c r="J65" s="942"/>
      <c r="K65" s="942"/>
      <c r="L65" s="942"/>
      <c r="M65" s="942">
        <v>687000000</v>
      </c>
      <c r="N65" s="942">
        <v>-731000000</v>
      </c>
      <c r="O65" s="963">
        <f>O43-O44-O56-O66</f>
        <v>408000000</v>
      </c>
      <c r="P65" s="963">
        <f t="shared" ref="P65:Q65" si="11">P43-P44-P56-P66</f>
        <v>-1000000</v>
      </c>
      <c r="Q65" s="963">
        <f t="shared" si="11"/>
        <v>-1828000000</v>
      </c>
      <c r="R65" s="963"/>
      <c r="S65" s="963"/>
      <c r="T65" s="963"/>
      <c r="U65" s="963"/>
      <c r="V65" s="963"/>
      <c r="W65" s="963"/>
      <c r="X65" s="963"/>
      <c r="Y65" s="963"/>
      <c r="Z65" s="963"/>
      <c r="AA65" s="963"/>
    </row>
    <row r="66" spans="1:27">
      <c r="A66" s="940" t="s">
        <v>1561</v>
      </c>
      <c r="B66" s="940" t="s">
        <v>1562</v>
      </c>
      <c r="C66" s="941" t="s">
        <v>119</v>
      </c>
      <c r="D66" s="940"/>
      <c r="E66" s="942">
        <v>2200000000</v>
      </c>
      <c r="F66" s="942">
        <v>-1600000000</v>
      </c>
      <c r="G66" s="942"/>
      <c r="H66" s="942">
        <v>-600000000</v>
      </c>
      <c r="I66" s="942">
        <v>2160000000</v>
      </c>
      <c r="J66" s="942">
        <v>-949000000</v>
      </c>
      <c r="K66" s="943">
        <v>-582000000</v>
      </c>
      <c r="L66" s="943">
        <v>-828000000</v>
      </c>
      <c r="M66" s="943"/>
      <c r="N66" s="943"/>
      <c r="O66" s="942">
        <v>282000000</v>
      </c>
      <c r="P66" s="942">
        <v>722000000</v>
      </c>
      <c r="Q66" s="942">
        <v>2435000000</v>
      </c>
      <c r="R66" s="942"/>
      <c r="S66" s="942"/>
      <c r="T66" s="957"/>
      <c r="U66" s="927"/>
      <c r="V66" s="944"/>
      <c r="W66" s="952"/>
      <c r="X66" s="956"/>
      <c r="Y66" s="956"/>
      <c r="Z66" s="956"/>
      <c r="AA66" s="956"/>
    </row>
    <row r="67" spans="1:27">
      <c r="A67" s="940" t="s">
        <v>1563</v>
      </c>
      <c r="B67" s="940" t="s">
        <v>1563</v>
      </c>
      <c r="C67" s="941"/>
      <c r="D67" s="940"/>
      <c r="E67" s="942"/>
      <c r="F67" s="942"/>
      <c r="G67" s="942"/>
      <c r="H67" s="942"/>
      <c r="I67" s="942"/>
      <c r="J67" s="942"/>
      <c r="K67" s="942"/>
      <c r="L67" s="942"/>
      <c r="M67" s="942"/>
      <c r="N67" s="942"/>
      <c r="O67" s="942">
        <v>-5304000000</v>
      </c>
      <c r="P67" s="942">
        <v>-5714000000</v>
      </c>
      <c r="Q67" s="942">
        <v>-10322000000</v>
      </c>
      <c r="R67" s="942">
        <f>R68+R69</f>
        <v>-5009000000</v>
      </c>
      <c r="S67" s="942">
        <f t="shared" ref="S67:AA67" si="12">S68+S69</f>
        <v>-5113000000</v>
      </c>
      <c r="T67" s="942">
        <f t="shared" si="12"/>
        <v>-6034000000</v>
      </c>
      <c r="U67" s="942">
        <f t="shared" si="12"/>
        <v>-1961000000</v>
      </c>
      <c r="V67" s="942">
        <f t="shared" si="12"/>
        <v>-11253000000</v>
      </c>
      <c r="W67" s="942">
        <f t="shared" si="12"/>
        <v>-5068000000</v>
      </c>
      <c r="X67" s="942">
        <f t="shared" si="12"/>
        <v>-2180000000</v>
      </c>
      <c r="Y67" s="942">
        <f t="shared" si="12"/>
        <v>-1425000000</v>
      </c>
      <c r="Z67" s="942">
        <f t="shared" si="12"/>
        <v>-1433000000</v>
      </c>
      <c r="AA67" s="942">
        <f t="shared" si="12"/>
        <v>-1521000000</v>
      </c>
    </row>
    <row r="68" spans="1:27">
      <c r="B68" s="940" t="s">
        <v>1564</v>
      </c>
      <c r="C68" s="940"/>
      <c r="D68" s="940"/>
      <c r="E68" s="942"/>
      <c r="F68" s="942"/>
      <c r="G68" s="942"/>
      <c r="H68" s="942"/>
      <c r="I68" s="942"/>
      <c r="J68" s="942"/>
      <c r="K68" s="942"/>
      <c r="L68" s="942"/>
      <c r="M68" s="942"/>
      <c r="N68" s="942"/>
      <c r="O68" s="942">
        <v>-5304000000</v>
      </c>
      <c r="P68" s="942">
        <v>-5714000000</v>
      </c>
      <c r="Q68" s="942">
        <v>-8495000000</v>
      </c>
      <c r="R68" s="942">
        <v>-4908000000</v>
      </c>
      <c r="S68" s="942">
        <v>-3656000000</v>
      </c>
      <c r="T68" s="942">
        <v>-4526000000</v>
      </c>
      <c r="U68" s="927">
        <v>-1179000000</v>
      </c>
      <c r="V68" s="944">
        <v>-7238000000</v>
      </c>
      <c r="W68" s="952">
        <v>-1986000000</v>
      </c>
      <c r="X68" s="956">
        <v>-829000000</v>
      </c>
      <c r="Y68" s="956">
        <v>-74000000</v>
      </c>
      <c r="Z68" s="956">
        <v>0</v>
      </c>
      <c r="AA68" s="956">
        <v>0</v>
      </c>
    </row>
    <row r="69" spans="1:27">
      <c r="B69" s="940" t="s">
        <v>7048</v>
      </c>
      <c r="C69" s="940"/>
      <c r="D69" s="940"/>
      <c r="E69" s="942"/>
      <c r="F69" s="942"/>
      <c r="G69" s="942"/>
      <c r="H69" s="942"/>
      <c r="I69" s="942"/>
      <c r="J69" s="942"/>
      <c r="K69" s="942"/>
      <c r="L69" s="942"/>
      <c r="M69" s="942"/>
      <c r="N69" s="942"/>
      <c r="O69" s="942"/>
      <c r="P69" s="942"/>
      <c r="Q69" s="942"/>
      <c r="R69" s="942">
        <v>-101000000</v>
      </c>
      <c r="S69" s="942">
        <v>-1457000000</v>
      </c>
      <c r="T69" s="942">
        <v>-1508000000</v>
      </c>
      <c r="U69" s="927">
        <v>-782000000</v>
      </c>
      <c r="V69" s="944">
        <v>-4015000000</v>
      </c>
      <c r="W69" s="952">
        <v>-3082000000</v>
      </c>
      <c r="X69" s="956">
        <v>-1351000000</v>
      </c>
      <c r="Y69" s="956">
        <v>-1351000000</v>
      </c>
      <c r="Z69" s="956">
        <v>-1433000000</v>
      </c>
      <c r="AA69" s="956">
        <v>-1521000000</v>
      </c>
    </row>
    <row r="70" spans="1:27">
      <c r="B70" s="940" t="s">
        <v>1565</v>
      </c>
      <c r="C70" s="941"/>
      <c r="D70" s="940"/>
      <c r="E70" s="942"/>
      <c r="F70" s="942"/>
      <c r="G70" s="942"/>
      <c r="H70" s="942"/>
      <c r="I70" s="942"/>
      <c r="J70" s="942"/>
      <c r="K70" s="942"/>
      <c r="L70" s="942"/>
      <c r="M70" s="942"/>
      <c r="N70" s="942"/>
      <c r="O70" s="942">
        <v>17038000000</v>
      </c>
      <c r="P70" s="942">
        <v>20782000000</v>
      </c>
      <c r="Q70" s="942">
        <v>22532000000</v>
      </c>
      <c r="R70" s="942">
        <v>16513000000</v>
      </c>
      <c r="S70" s="942">
        <v>12178000000</v>
      </c>
      <c r="T70" s="942">
        <v>9225000000</v>
      </c>
      <c r="U70" s="944">
        <v>7451000000</v>
      </c>
      <c r="V70" s="944">
        <v>15941000000</v>
      </c>
      <c r="W70" s="952">
        <v>16354000000</v>
      </c>
      <c r="X70" s="956">
        <v>12668000000</v>
      </c>
      <c r="Y70" s="956">
        <v>11285000000</v>
      </c>
      <c r="Z70" s="956">
        <v>10673000000</v>
      </c>
      <c r="AA70" s="956">
        <v>11331000000</v>
      </c>
    </row>
    <row r="71" spans="1:27">
      <c r="A71" s="940" t="s">
        <v>2257</v>
      </c>
      <c r="B71" s="940" t="s">
        <v>1566</v>
      </c>
      <c r="C71" s="941" t="s">
        <v>119</v>
      </c>
      <c r="D71" s="940"/>
      <c r="E71" s="942"/>
      <c r="F71" s="942"/>
      <c r="G71" s="942"/>
      <c r="H71" s="942"/>
      <c r="I71" s="942"/>
      <c r="J71" s="942"/>
      <c r="K71" s="942"/>
      <c r="L71" s="942"/>
      <c r="M71" s="942"/>
      <c r="N71" s="942"/>
      <c r="O71" s="942"/>
      <c r="P71" s="942"/>
      <c r="Q71" s="942"/>
      <c r="R71" s="942">
        <v>908000000</v>
      </c>
      <c r="S71" s="942">
        <v>1599000000</v>
      </c>
      <c r="T71" s="942">
        <v>4771000000</v>
      </c>
      <c r="U71" s="944">
        <v>1493000000</v>
      </c>
      <c r="V71" s="944">
        <v>4146000000</v>
      </c>
      <c r="W71" s="952">
        <v>5696000000</v>
      </c>
      <c r="X71" s="956">
        <v>6039000000</v>
      </c>
      <c r="Y71" s="956">
        <v>6408000000</v>
      </c>
      <c r="Z71" s="956">
        <v>6798000000</v>
      </c>
      <c r="AA71" s="956">
        <v>7213000000</v>
      </c>
    </row>
    <row r="72" spans="1:27">
      <c r="A72" s="940" t="s">
        <v>1567</v>
      </c>
      <c r="B72" s="940" t="s">
        <v>1567</v>
      </c>
      <c r="C72" s="941" t="s">
        <v>119</v>
      </c>
      <c r="D72" s="940"/>
      <c r="E72" s="942"/>
      <c r="F72" s="942"/>
      <c r="G72" s="942"/>
      <c r="H72" s="942"/>
      <c r="I72" s="942"/>
      <c r="J72" s="942"/>
      <c r="K72" s="942"/>
      <c r="L72" s="942"/>
      <c r="M72" s="942"/>
      <c r="N72" s="942"/>
      <c r="O72" s="942"/>
      <c r="P72" s="942"/>
      <c r="Q72" s="942"/>
      <c r="R72" s="942">
        <v>15605000000</v>
      </c>
      <c r="S72" s="942">
        <v>10579000000</v>
      </c>
      <c r="T72" s="942">
        <v>4454000000</v>
      </c>
      <c r="U72" s="944">
        <v>5958000000</v>
      </c>
      <c r="V72" s="944">
        <v>11795000000</v>
      </c>
      <c r="W72" s="952">
        <v>10658000000</v>
      </c>
      <c r="X72" s="956">
        <v>6629000000</v>
      </c>
      <c r="Y72" s="956">
        <v>4877000000</v>
      </c>
      <c r="Z72" s="956">
        <v>3875000000</v>
      </c>
      <c r="AA72" s="956">
        <v>4118000000</v>
      </c>
    </row>
    <row r="73" spans="1:27">
      <c r="B73" s="940" t="s">
        <v>614</v>
      </c>
      <c r="C73" s="940"/>
      <c r="D73" s="940"/>
      <c r="E73" s="930">
        <f t="shared" ref="E73:R73" si="13">(E16/E6)*100</f>
        <v>21.693121693121693</v>
      </c>
      <c r="F73" s="930">
        <f t="shared" si="13"/>
        <v>27.391304347826086</v>
      </c>
      <c r="G73" s="930">
        <f t="shared" si="13"/>
        <v>20.091324200913242</v>
      </c>
      <c r="H73" s="930">
        <f t="shared" si="13"/>
        <v>31.785714285714285</v>
      </c>
      <c r="I73" s="930">
        <f t="shared" si="13"/>
        <v>21.124761940326376</v>
      </c>
      <c r="J73" s="930">
        <f t="shared" si="13"/>
        <v>18.647725808529827</v>
      </c>
      <c r="K73" s="930">
        <f t="shared" si="13"/>
        <v>15.86063590561043</v>
      </c>
      <c r="L73" s="930">
        <f t="shared" si="13"/>
        <v>16.408502819812693</v>
      </c>
      <c r="M73" s="930">
        <f t="shared" si="13"/>
        <v>18.74657909140668</v>
      </c>
      <c r="N73" s="930">
        <f t="shared" si="13"/>
        <v>22.385321100917434</v>
      </c>
      <c r="O73" s="930">
        <f t="shared" si="13"/>
        <v>11.451629918767804</v>
      </c>
      <c r="P73" s="930">
        <f t="shared" si="13"/>
        <v>7.8972895863052788</v>
      </c>
      <c r="Q73" s="930">
        <f t="shared" si="13"/>
        <v>9.9519579162081655</v>
      </c>
      <c r="R73" s="930">
        <f t="shared" si="13"/>
        <v>7.8891499419707305</v>
      </c>
      <c r="S73" s="930">
        <f>(R16/R6)*100</f>
        <v>7.8891499419707305</v>
      </c>
      <c r="T73" s="930">
        <f>(S16/S6)*100</f>
        <v>9.2740990674352126</v>
      </c>
      <c r="U73" s="930">
        <f>(T16/T6)*100</f>
        <v>10.218332690956084</v>
      </c>
      <c r="V73" s="927"/>
      <c r="W73" s="927"/>
      <c r="X73" s="958"/>
    </row>
    <row r="74" spans="1:27">
      <c r="B74" s="940"/>
      <c r="C74" s="940"/>
      <c r="D74" s="940"/>
      <c r="E74" s="940"/>
      <c r="F74" s="940"/>
      <c r="G74" s="940"/>
      <c r="H74" s="940"/>
      <c r="I74" s="940"/>
      <c r="J74" s="940"/>
      <c r="K74" s="940"/>
      <c r="L74" s="940"/>
      <c r="M74" s="954"/>
      <c r="N74" s="954"/>
      <c r="O74" s="940"/>
      <c r="P74" s="940"/>
      <c r="Q74" s="940"/>
      <c r="R74" s="940"/>
      <c r="S74" s="940"/>
      <c r="T74" s="940"/>
      <c r="U74" s="940"/>
      <c r="V74" s="927"/>
      <c r="W74" s="927"/>
      <c r="X74" s="958"/>
    </row>
    <row r="75" spans="1:27">
      <c r="B75" s="940"/>
      <c r="C75" s="940"/>
      <c r="D75" s="940"/>
      <c r="E75" s="930" t="s">
        <v>139</v>
      </c>
      <c r="F75" s="930" t="s">
        <v>139</v>
      </c>
      <c r="G75" s="930" t="s">
        <v>139</v>
      </c>
      <c r="H75" s="930" t="s">
        <v>139</v>
      </c>
      <c r="I75" s="930" t="s">
        <v>139</v>
      </c>
      <c r="J75" s="930" t="s">
        <v>139</v>
      </c>
      <c r="K75" s="930" t="s">
        <v>139</v>
      </c>
      <c r="L75" s="930" t="s">
        <v>139</v>
      </c>
      <c r="M75" s="930" t="s">
        <v>139</v>
      </c>
      <c r="N75" s="930" t="s">
        <v>139</v>
      </c>
      <c r="O75" s="930" t="s">
        <v>139</v>
      </c>
      <c r="P75" s="930" t="s">
        <v>139</v>
      </c>
      <c r="Q75" s="930" t="s">
        <v>139</v>
      </c>
      <c r="R75" s="930" t="s">
        <v>139</v>
      </c>
      <c r="S75" s="930" t="s">
        <v>139</v>
      </c>
      <c r="T75" s="930" t="s">
        <v>139</v>
      </c>
      <c r="U75" s="930" t="s">
        <v>139</v>
      </c>
      <c r="V75" s="930" t="s">
        <v>139</v>
      </c>
      <c r="W75" s="930" t="s">
        <v>139</v>
      </c>
      <c r="X75" s="930" t="s">
        <v>139</v>
      </c>
      <c r="Y75" s="930" t="s">
        <v>139</v>
      </c>
      <c r="Z75" s="930" t="s">
        <v>139</v>
      </c>
      <c r="AA75" s="930" t="s">
        <v>139</v>
      </c>
    </row>
    <row r="76" spans="1:27">
      <c r="B76" s="940"/>
      <c r="C76" s="940"/>
      <c r="D76" s="940"/>
      <c r="E76" s="940"/>
      <c r="F76" s="940"/>
      <c r="G76" s="940"/>
      <c r="H76" s="940"/>
      <c r="I76" s="940"/>
      <c r="J76" s="940"/>
      <c r="K76" s="940"/>
      <c r="L76" s="940"/>
      <c r="M76" s="954"/>
      <c r="N76" s="954"/>
      <c r="O76" s="940"/>
      <c r="P76" s="940"/>
      <c r="Q76" s="940"/>
      <c r="R76" s="940"/>
      <c r="S76" s="940" t="s">
        <v>1568</v>
      </c>
      <c r="T76" s="940" t="s">
        <v>1568</v>
      </c>
      <c r="U76" s="940" t="s">
        <v>1568</v>
      </c>
      <c r="V76" s="940" t="s">
        <v>1568</v>
      </c>
      <c r="W76" s="940" t="s">
        <v>1568</v>
      </c>
      <c r="X76" s="940" t="s">
        <v>1568</v>
      </c>
      <c r="Y76" s="940" t="s">
        <v>1568</v>
      </c>
      <c r="Z76" s="940" t="s">
        <v>1568</v>
      </c>
      <c r="AA76" s="940" t="s">
        <v>1568</v>
      </c>
    </row>
    <row r="77" spans="1:27">
      <c r="B77" s="940" t="s">
        <v>1569</v>
      </c>
      <c r="C77" s="940"/>
      <c r="D77" s="940"/>
      <c r="E77" s="959">
        <f t="shared" ref="E77:AA77" si="14">E6-E7-E16</f>
        <v>0</v>
      </c>
      <c r="F77" s="959">
        <f t="shared" si="14"/>
        <v>0</v>
      </c>
      <c r="G77" s="959">
        <f t="shared" si="14"/>
        <v>0</v>
      </c>
      <c r="H77" s="959">
        <f t="shared" si="14"/>
        <v>100000000</v>
      </c>
      <c r="I77" s="959">
        <f t="shared" si="14"/>
        <v>-1000000</v>
      </c>
      <c r="J77" s="959">
        <f t="shared" si="14"/>
        <v>0</v>
      </c>
      <c r="K77" s="959">
        <f t="shared" si="14"/>
        <v>0</v>
      </c>
      <c r="L77" s="959">
        <f t="shared" si="14"/>
        <v>0</v>
      </c>
      <c r="M77" s="959">
        <f t="shared" si="14"/>
        <v>0</v>
      </c>
      <c r="N77" s="959">
        <f t="shared" si="14"/>
        <v>0</v>
      </c>
      <c r="O77" s="959">
        <f t="shared" si="14"/>
        <v>0</v>
      </c>
      <c r="P77" s="959">
        <f t="shared" si="14"/>
        <v>-1000000</v>
      </c>
      <c r="Q77" s="959">
        <f t="shared" si="14"/>
        <v>0</v>
      </c>
      <c r="R77" s="959">
        <f t="shared" si="14"/>
        <v>0</v>
      </c>
      <c r="S77" s="959">
        <f t="shared" si="14"/>
        <v>1000000</v>
      </c>
      <c r="T77" s="959">
        <f t="shared" si="14"/>
        <v>1000000</v>
      </c>
      <c r="U77" s="959">
        <f t="shared" si="14"/>
        <v>-1000000</v>
      </c>
      <c r="V77" s="959">
        <f t="shared" si="14"/>
        <v>0</v>
      </c>
      <c r="W77" s="959">
        <f t="shared" si="14"/>
        <v>0</v>
      </c>
      <c r="X77" s="959">
        <f t="shared" si="14"/>
        <v>-1000000</v>
      </c>
      <c r="Y77" s="959">
        <f t="shared" si="14"/>
        <v>0</v>
      </c>
      <c r="Z77" s="959">
        <f t="shared" si="14"/>
        <v>0</v>
      </c>
      <c r="AA77" s="959">
        <f t="shared" si="14"/>
        <v>0</v>
      </c>
    </row>
    <row r="78" spans="1:27">
      <c r="B78" s="930" t="s">
        <v>141</v>
      </c>
      <c r="C78" s="940"/>
      <c r="D78" s="940"/>
      <c r="E78" s="959">
        <f>E7-E8-E19-E15-E23</f>
        <v>0</v>
      </c>
      <c r="F78" s="959">
        <f>F7-F8-F19-F15-F23</f>
        <v>0</v>
      </c>
      <c r="G78" s="959">
        <f>G7-G8-G19-G15-G23</f>
        <v>0</v>
      </c>
      <c r="H78" s="959">
        <f>H7-H8-H19-H15-H23</f>
        <v>99999999.999998093</v>
      </c>
      <c r="I78" s="959">
        <f t="shared" ref="I78:AA78" si="15">I7-I8-I19-I15</f>
        <v>0</v>
      </c>
      <c r="J78" s="959">
        <f t="shared" si="15"/>
        <v>0</v>
      </c>
      <c r="K78" s="959">
        <f t="shared" si="15"/>
        <v>0</v>
      </c>
      <c r="L78" s="959">
        <f t="shared" si="15"/>
        <v>0</v>
      </c>
      <c r="M78" s="959">
        <f t="shared" si="15"/>
        <v>0</v>
      </c>
      <c r="N78" s="959">
        <f t="shared" si="15"/>
        <v>0</v>
      </c>
      <c r="O78" s="959">
        <f t="shared" si="15"/>
        <v>0</v>
      </c>
      <c r="P78" s="959">
        <f t="shared" si="15"/>
        <v>0</v>
      </c>
      <c r="Q78" s="959">
        <f t="shared" si="15"/>
        <v>0</v>
      </c>
      <c r="R78" s="959">
        <f t="shared" si="15"/>
        <v>0</v>
      </c>
      <c r="S78" s="959">
        <f t="shared" si="15"/>
        <v>0</v>
      </c>
      <c r="T78" s="959">
        <f t="shared" si="15"/>
        <v>0</v>
      </c>
      <c r="U78" s="959">
        <f t="shared" si="15"/>
        <v>0</v>
      </c>
      <c r="V78" s="959">
        <f t="shared" si="15"/>
        <v>0</v>
      </c>
      <c r="W78" s="959">
        <f t="shared" si="15"/>
        <v>0</v>
      </c>
      <c r="X78" s="959">
        <f t="shared" si="15"/>
        <v>0</v>
      </c>
      <c r="Y78" s="959">
        <f t="shared" si="15"/>
        <v>0</v>
      </c>
      <c r="Z78" s="959">
        <f t="shared" si="15"/>
        <v>0</v>
      </c>
      <c r="AA78" s="959">
        <f t="shared" si="15"/>
        <v>0</v>
      </c>
    </row>
    <row r="79" spans="1:27" ht="17.25" customHeight="1">
      <c r="B79" s="930" t="s">
        <v>142</v>
      </c>
      <c r="C79" s="940"/>
      <c r="D79" s="940"/>
      <c r="E79" s="959">
        <f t="shared" ref="E79:AA79" si="16">E8-E9-E12-E13-E14</f>
        <v>0</v>
      </c>
      <c r="F79" s="959">
        <f t="shared" si="16"/>
        <v>100000000</v>
      </c>
      <c r="G79" s="959">
        <f t="shared" si="16"/>
        <v>0</v>
      </c>
      <c r="H79" s="959">
        <f t="shared" si="16"/>
        <v>1.9073486328125E-6</v>
      </c>
      <c r="I79" s="959">
        <f t="shared" si="16"/>
        <v>0</v>
      </c>
      <c r="J79" s="959">
        <f t="shared" si="16"/>
        <v>0</v>
      </c>
      <c r="K79" s="959">
        <f t="shared" si="16"/>
        <v>-1000000</v>
      </c>
      <c r="L79" s="959">
        <f t="shared" si="16"/>
        <v>0</v>
      </c>
      <c r="M79" s="959">
        <f t="shared" si="16"/>
        <v>0</v>
      </c>
      <c r="N79" s="959">
        <f t="shared" si="16"/>
        <v>1000000</v>
      </c>
      <c r="O79" s="959">
        <f t="shared" si="16"/>
        <v>0</v>
      </c>
      <c r="P79" s="959">
        <f t="shared" si="16"/>
        <v>1000000</v>
      </c>
      <c r="Q79" s="959">
        <f t="shared" si="16"/>
        <v>-1000000</v>
      </c>
      <c r="R79" s="959">
        <f t="shared" si="16"/>
        <v>1000000</v>
      </c>
      <c r="S79" s="959">
        <f t="shared" si="16"/>
        <v>-1000000</v>
      </c>
      <c r="T79" s="959">
        <f t="shared" si="16"/>
        <v>0</v>
      </c>
      <c r="U79" s="959">
        <f t="shared" si="16"/>
        <v>0</v>
      </c>
      <c r="V79" s="959">
        <f t="shared" si="16"/>
        <v>0</v>
      </c>
      <c r="W79" s="959">
        <f t="shared" si="16"/>
        <v>0</v>
      </c>
      <c r="X79" s="959">
        <f t="shared" si="16"/>
        <v>0</v>
      </c>
      <c r="Y79" s="959">
        <f t="shared" si="16"/>
        <v>0</v>
      </c>
      <c r="Z79" s="959">
        <f t="shared" si="16"/>
        <v>0</v>
      </c>
      <c r="AA79" s="959">
        <f t="shared" si="16"/>
        <v>0</v>
      </c>
    </row>
    <row r="80" spans="1:27" ht="17.25" customHeight="1">
      <c r="B80" s="940" t="s">
        <v>1570</v>
      </c>
      <c r="C80" s="940"/>
      <c r="D80" s="940"/>
      <c r="E80" s="960">
        <f t="shared" ref="E80:AA80" si="17">E9-E10-E11</f>
        <v>4800000000</v>
      </c>
      <c r="F80" s="960">
        <f t="shared" si="17"/>
        <v>5100000000</v>
      </c>
      <c r="G80" s="960">
        <f t="shared" si="17"/>
        <v>5300000000</v>
      </c>
      <c r="H80" s="960">
        <f t="shared" si="17"/>
        <v>5400000000</v>
      </c>
      <c r="I80" s="960">
        <f t="shared" si="17"/>
        <v>5822000000</v>
      </c>
      <c r="J80" s="960">
        <f t="shared" si="17"/>
        <v>6952000000</v>
      </c>
      <c r="K80" s="960">
        <f t="shared" si="17"/>
        <v>7656000000</v>
      </c>
      <c r="L80" s="959">
        <f t="shared" si="17"/>
        <v>0</v>
      </c>
      <c r="M80" s="960">
        <f t="shared" si="17"/>
        <v>8059000000</v>
      </c>
      <c r="N80" s="960">
        <f t="shared" si="17"/>
        <v>7865000000</v>
      </c>
      <c r="O80" s="960">
        <f t="shared" si="17"/>
        <v>8678000000</v>
      </c>
      <c r="P80" s="960">
        <f t="shared" si="17"/>
        <v>8626000000</v>
      </c>
      <c r="Q80" s="960">
        <f t="shared" si="17"/>
        <v>8541000000</v>
      </c>
      <c r="R80" s="960">
        <f t="shared" si="17"/>
        <v>7747000000</v>
      </c>
      <c r="S80" s="960">
        <f t="shared" si="17"/>
        <v>9669000000</v>
      </c>
      <c r="T80" s="960">
        <f t="shared" si="17"/>
        <v>10049000000</v>
      </c>
      <c r="U80" s="960">
        <f t="shared" si="17"/>
        <v>11297000000</v>
      </c>
      <c r="V80" s="960">
        <f t="shared" si="17"/>
        <v>12180000000</v>
      </c>
      <c r="W80" s="960">
        <f t="shared" si="17"/>
        <v>13123000000</v>
      </c>
      <c r="X80" s="960">
        <f t="shared" si="17"/>
        <v>14191000000</v>
      </c>
      <c r="Y80" s="960">
        <f t="shared" si="17"/>
        <v>15358000000</v>
      </c>
      <c r="Z80" s="960">
        <f t="shared" si="17"/>
        <v>16620000000</v>
      </c>
      <c r="AA80" s="960">
        <f t="shared" si="17"/>
        <v>17635000000</v>
      </c>
    </row>
    <row r="81" spans="2:27" ht="17.25" customHeight="1">
      <c r="B81" s="940" t="s">
        <v>1571</v>
      </c>
      <c r="C81" s="940"/>
      <c r="D81" s="940"/>
      <c r="E81" s="959">
        <f t="shared" ref="E81:AA81" si="18">E19-E20-E21-E22</f>
        <v>0</v>
      </c>
      <c r="F81" s="959">
        <f t="shared" si="18"/>
        <v>100000000</v>
      </c>
      <c r="G81" s="959">
        <f t="shared" si="18"/>
        <v>-100000000</v>
      </c>
      <c r="H81" s="959">
        <f t="shared" si="18"/>
        <v>0</v>
      </c>
      <c r="I81" s="960">
        <f t="shared" si="18"/>
        <v>2375000000</v>
      </c>
      <c r="J81" s="960">
        <f t="shared" si="18"/>
        <v>2126000000</v>
      </c>
      <c r="K81" s="960">
        <f t="shared" si="18"/>
        <v>2843000000</v>
      </c>
      <c r="L81" s="960">
        <f t="shared" si="18"/>
        <v>3102000000</v>
      </c>
      <c r="M81" s="960">
        <f t="shared" si="18"/>
        <v>4014000000</v>
      </c>
      <c r="N81" s="960">
        <f t="shared" si="18"/>
        <v>3642000000</v>
      </c>
      <c r="O81" s="959">
        <f t="shared" si="18"/>
        <v>0</v>
      </c>
      <c r="P81" s="959">
        <f t="shared" si="18"/>
        <v>0</v>
      </c>
      <c r="Q81" s="959">
        <f t="shared" si="18"/>
        <v>0</v>
      </c>
      <c r="R81" s="959">
        <f t="shared" si="18"/>
        <v>0</v>
      </c>
      <c r="S81" s="959">
        <f t="shared" si="18"/>
        <v>0</v>
      </c>
      <c r="T81" s="959">
        <f t="shared" si="18"/>
        <v>0</v>
      </c>
      <c r="U81" s="959">
        <f t="shared" si="18"/>
        <v>0</v>
      </c>
      <c r="V81" s="959">
        <f t="shared" si="18"/>
        <v>0</v>
      </c>
      <c r="W81" s="959">
        <f t="shared" si="18"/>
        <v>0</v>
      </c>
      <c r="X81" s="959">
        <f t="shared" si="18"/>
        <v>0</v>
      </c>
      <c r="Y81" s="959">
        <f t="shared" si="18"/>
        <v>0</v>
      </c>
      <c r="Z81" s="959">
        <f t="shared" si="18"/>
        <v>0</v>
      </c>
      <c r="AA81" s="959">
        <f t="shared" si="18"/>
        <v>0</v>
      </c>
    </row>
    <row r="82" spans="2:27">
      <c r="B82" s="930" t="s">
        <v>145</v>
      </c>
      <c r="C82" s="940"/>
      <c r="D82" s="940"/>
      <c r="E82" s="959">
        <f t="shared" ref="E82:AA82" si="19">E24-E25-E36-E39</f>
        <v>0</v>
      </c>
      <c r="F82" s="959">
        <f t="shared" si="19"/>
        <v>0</v>
      </c>
      <c r="G82" s="959">
        <f t="shared" si="19"/>
        <v>1.9073486328125E-6</v>
      </c>
      <c r="H82" s="959">
        <f t="shared" si="19"/>
        <v>0</v>
      </c>
      <c r="I82" s="959">
        <f t="shared" si="19"/>
        <v>0</v>
      </c>
      <c r="J82" s="959">
        <f t="shared" si="19"/>
        <v>0</v>
      </c>
      <c r="K82" s="959">
        <f t="shared" si="19"/>
        <v>1000000</v>
      </c>
      <c r="L82" s="959">
        <f t="shared" si="19"/>
        <v>-1000000</v>
      </c>
      <c r="M82" s="959">
        <f t="shared" si="19"/>
        <v>0</v>
      </c>
      <c r="N82" s="959">
        <f t="shared" si="19"/>
        <v>0</v>
      </c>
      <c r="O82" s="959">
        <f t="shared" si="19"/>
        <v>0</v>
      </c>
      <c r="P82" s="959">
        <f t="shared" si="19"/>
        <v>0</v>
      </c>
      <c r="Q82" s="959">
        <f t="shared" si="19"/>
        <v>0</v>
      </c>
      <c r="R82" s="959">
        <f t="shared" si="19"/>
        <v>0</v>
      </c>
      <c r="S82" s="959">
        <f t="shared" si="19"/>
        <v>0</v>
      </c>
      <c r="T82" s="959">
        <f t="shared" si="19"/>
        <v>0</v>
      </c>
      <c r="U82" s="959">
        <f t="shared" si="19"/>
        <v>0</v>
      </c>
      <c r="V82" s="959">
        <f t="shared" si="19"/>
        <v>1000000</v>
      </c>
      <c r="W82" s="959">
        <f t="shared" si="19"/>
        <v>0</v>
      </c>
      <c r="X82" s="959">
        <f t="shared" si="19"/>
        <v>0</v>
      </c>
      <c r="Y82" s="959">
        <f t="shared" si="19"/>
        <v>0</v>
      </c>
      <c r="Z82" s="959">
        <f t="shared" si="19"/>
        <v>0</v>
      </c>
      <c r="AA82" s="959">
        <f t="shared" si="19"/>
        <v>0</v>
      </c>
    </row>
    <row r="83" spans="2:27">
      <c r="B83" s="930" t="s">
        <v>1572</v>
      </c>
      <c r="C83" s="940"/>
      <c r="D83" s="940"/>
      <c r="E83" s="959">
        <f t="shared" ref="E83:AA83" si="20">E25-E26-E27-E28-E31-E34-E35</f>
        <v>0</v>
      </c>
      <c r="F83" s="959">
        <f t="shared" si="20"/>
        <v>100000000</v>
      </c>
      <c r="G83" s="959">
        <f t="shared" si="20"/>
        <v>-100000000.00000191</v>
      </c>
      <c r="H83" s="959">
        <f t="shared" si="20"/>
        <v>-1.9073486328125E-6</v>
      </c>
      <c r="I83" s="959">
        <f t="shared" si="20"/>
        <v>0</v>
      </c>
      <c r="J83" s="959">
        <f t="shared" si="20"/>
        <v>-1000000</v>
      </c>
      <c r="K83" s="959">
        <f t="shared" si="20"/>
        <v>1000000</v>
      </c>
      <c r="L83" s="959">
        <f t="shared" si="20"/>
        <v>1000000</v>
      </c>
      <c r="M83" s="959">
        <f t="shared" si="20"/>
        <v>0</v>
      </c>
      <c r="N83" s="959">
        <f t="shared" si="20"/>
        <v>-1000000</v>
      </c>
      <c r="O83" s="959">
        <f t="shared" si="20"/>
        <v>0</v>
      </c>
      <c r="P83" s="959">
        <f t="shared" si="20"/>
        <v>1000000</v>
      </c>
      <c r="Q83" s="959">
        <f t="shared" si="20"/>
        <v>1000000</v>
      </c>
      <c r="R83" s="959">
        <f t="shared" si="20"/>
        <v>-1000000</v>
      </c>
      <c r="S83" s="959">
        <f t="shared" si="20"/>
        <v>0</v>
      </c>
      <c r="T83" s="959">
        <f t="shared" si="20"/>
        <v>0</v>
      </c>
      <c r="U83" s="959">
        <f t="shared" si="20"/>
        <v>1000000</v>
      </c>
      <c r="V83" s="959">
        <f t="shared" si="20"/>
        <v>-1000000</v>
      </c>
      <c r="W83" s="959">
        <f t="shared" si="20"/>
        <v>-1000000</v>
      </c>
      <c r="X83" s="959">
        <f t="shared" si="20"/>
        <v>0</v>
      </c>
      <c r="Y83" s="959">
        <f t="shared" si="20"/>
        <v>-1000000</v>
      </c>
      <c r="Z83" s="959">
        <f t="shared" si="20"/>
        <v>0</v>
      </c>
      <c r="AA83" s="959">
        <f t="shared" si="20"/>
        <v>0</v>
      </c>
    </row>
    <row r="84" spans="2:27">
      <c r="B84" s="930" t="s">
        <v>1573</v>
      </c>
      <c r="C84" s="940"/>
      <c r="D84" s="940"/>
      <c r="E84" s="959">
        <f t="shared" ref="E84:AA84" si="21">E28-E29-E30</f>
        <v>0</v>
      </c>
      <c r="F84" s="959">
        <f t="shared" si="21"/>
        <v>0</v>
      </c>
      <c r="G84" s="959">
        <f t="shared" si="21"/>
        <v>0</v>
      </c>
      <c r="H84" s="959">
        <f t="shared" si="21"/>
        <v>0</v>
      </c>
      <c r="I84" s="959">
        <f t="shared" si="21"/>
        <v>0</v>
      </c>
      <c r="J84" s="959">
        <f t="shared" si="21"/>
        <v>0</v>
      </c>
      <c r="K84" s="959">
        <f t="shared" si="21"/>
        <v>0</v>
      </c>
      <c r="L84" s="959">
        <f t="shared" si="21"/>
        <v>0</v>
      </c>
      <c r="M84" s="959">
        <f t="shared" si="21"/>
        <v>0</v>
      </c>
      <c r="N84" s="959">
        <f t="shared" si="21"/>
        <v>0</v>
      </c>
      <c r="O84" s="960">
        <f t="shared" si="21"/>
        <v>2277000000</v>
      </c>
      <c r="P84" s="960">
        <f t="shared" si="21"/>
        <v>2866000000</v>
      </c>
      <c r="Q84" s="960">
        <f t="shared" si="21"/>
        <v>3404000000</v>
      </c>
      <c r="R84" s="960">
        <f t="shared" si="21"/>
        <v>3444000000</v>
      </c>
      <c r="S84" s="960">
        <f t="shared" si="21"/>
        <v>4134000000</v>
      </c>
      <c r="T84" s="960">
        <f t="shared" si="21"/>
        <v>4223000000</v>
      </c>
      <c r="U84" s="960">
        <f t="shared" si="21"/>
        <v>4522000000</v>
      </c>
      <c r="V84" s="960">
        <f t="shared" si="21"/>
        <v>5496000000</v>
      </c>
      <c r="W84" s="960">
        <f t="shared" si="21"/>
        <v>5767000000</v>
      </c>
      <c r="X84" s="960">
        <f t="shared" si="21"/>
        <v>6195000000</v>
      </c>
      <c r="Y84" s="960">
        <f t="shared" si="21"/>
        <v>6613000000</v>
      </c>
      <c r="Z84" s="960">
        <f t="shared" si="21"/>
        <v>7013000000</v>
      </c>
      <c r="AA84" s="960">
        <f t="shared" si="21"/>
        <v>7483000000</v>
      </c>
    </row>
    <row r="85" spans="2:27">
      <c r="B85" s="930" t="s">
        <v>1574</v>
      </c>
      <c r="C85" s="940"/>
      <c r="D85" s="940"/>
      <c r="E85" s="960">
        <f t="shared" ref="E85:AA85" si="22">E31-E32-E33</f>
        <v>5700000000</v>
      </c>
      <c r="F85" s="960">
        <f t="shared" si="22"/>
        <v>4900000000</v>
      </c>
      <c r="G85" s="960">
        <f t="shared" si="22"/>
        <v>3000000000</v>
      </c>
      <c r="H85" s="960">
        <f t="shared" si="22"/>
        <v>3000000000</v>
      </c>
      <c r="I85" s="959">
        <f t="shared" si="22"/>
        <v>0</v>
      </c>
      <c r="J85" s="959">
        <f t="shared" si="22"/>
        <v>0</v>
      </c>
      <c r="K85" s="959">
        <f t="shared" si="22"/>
        <v>0</v>
      </c>
      <c r="L85" s="959">
        <f t="shared" si="22"/>
        <v>0</v>
      </c>
      <c r="M85" s="960">
        <f t="shared" si="22"/>
        <v>4874000000</v>
      </c>
      <c r="N85" s="960">
        <f t="shared" si="22"/>
        <v>5140000000</v>
      </c>
      <c r="O85" s="959">
        <f t="shared" si="22"/>
        <v>0</v>
      </c>
      <c r="P85" s="959">
        <f t="shared" si="22"/>
        <v>0</v>
      </c>
      <c r="Q85" s="959">
        <f t="shared" si="22"/>
        <v>0</v>
      </c>
      <c r="R85" s="959">
        <f t="shared" si="22"/>
        <v>0</v>
      </c>
      <c r="S85" s="959">
        <f t="shared" si="22"/>
        <v>0</v>
      </c>
      <c r="T85" s="959">
        <f t="shared" si="22"/>
        <v>0</v>
      </c>
      <c r="U85" s="959">
        <f t="shared" si="22"/>
        <v>0</v>
      </c>
      <c r="V85" s="959">
        <f t="shared" si="22"/>
        <v>0</v>
      </c>
      <c r="W85" s="959">
        <f t="shared" si="22"/>
        <v>0</v>
      </c>
      <c r="X85" s="959">
        <f t="shared" si="22"/>
        <v>0</v>
      </c>
      <c r="Y85" s="959">
        <f t="shared" si="22"/>
        <v>0</v>
      </c>
      <c r="Z85" s="959">
        <f t="shared" si="22"/>
        <v>0</v>
      </c>
      <c r="AA85" s="959">
        <f t="shared" si="22"/>
        <v>0</v>
      </c>
    </row>
    <row r="86" spans="2:27">
      <c r="B86" s="930" t="s">
        <v>876</v>
      </c>
      <c r="C86" s="940"/>
      <c r="D86" s="940"/>
      <c r="E86" s="959">
        <f t="shared" ref="E86:AA86" si="23">E36-E37-E38</f>
        <v>0</v>
      </c>
      <c r="F86" s="959">
        <f t="shared" si="23"/>
        <v>100000000</v>
      </c>
      <c r="G86" s="959">
        <f t="shared" si="23"/>
        <v>0</v>
      </c>
      <c r="H86" s="959">
        <f t="shared" si="23"/>
        <v>0</v>
      </c>
      <c r="I86" s="959">
        <f t="shared" si="23"/>
        <v>0</v>
      </c>
      <c r="J86" s="959">
        <f t="shared" si="23"/>
        <v>0</v>
      </c>
      <c r="K86" s="959">
        <f t="shared" si="23"/>
        <v>0</v>
      </c>
      <c r="L86" s="959">
        <f t="shared" si="23"/>
        <v>1000000</v>
      </c>
      <c r="M86" s="960">
        <f t="shared" si="23"/>
        <v>17823000000</v>
      </c>
      <c r="N86" s="960">
        <f t="shared" si="23"/>
        <v>25926000000</v>
      </c>
      <c r="O86" s="960">
        <f t="shared" si="23"/>
        <v>14912000000</v>
      </c>
      <c r="P86" s="960">
        <f t="shared" si="23"/>
        <v>15952000000</v>
      </c>
      <c r="Q86" s="960">
        <f t="shared" si="23"/>
        <v>14269000000</v>
      </c>
      <c r="R86" s="960">
        <f t="shared" si="23"/>
        <v>9540000000</v>
      </c>
      <c r="S86" s="960">
        <f t="shared" si="23"/>
        <v>8839000000</v>
      </c>
      <c r="T86" s="960">
        <f t="shared" si="23"/>
        <v>5572000000</v>
      </c>
      <c r="U86" s="960">
        <f t="shared" si="23"/>
        <v>8555000000</v>
      </c>
      <c r="V86" s="960">
        <f t="shared" si="23"/>
        <v>6614000000</v>
      </c>
      <c r="W86" s="960">
        <f t="shared" si="23"/>
        <v>10391000000</v>
      </c>
      <c r="X86" s="960">
        <f t="shared" si="23"/>
        <v>9741000000</v>
      </c>
      <c r="Y86" s="960">
        <f t="shared" si="23"/>
        <v>9996000000</v>
      </c>
      <c r="Z86" s="960">
        <f t="shared" si="23"/>
        <v>10615000000</v>
      </c>
      <c r="AA86" s="960">
        <f t="shared" si="23"/>
        <v>11183000000</v>
      </c>
    </row>
    <row r="87" spans="2:27">
      <c r="B87" s="930" t="s">
        <v>148</v>
      </c>
      <c r="C87" s="940"/>
      <c r="D87" s="940"/>
      <c r="E87" s="959">
        <f t="shared" ref="E87:AA87" si="24">E43-E44-E56-E65-E66</f>
        <v>100000000</v>
      </c>
      <c r="F87" s="959">
        <f t="shared" si="24"/>
        <v>0</v>
      </c>
      <c r="G87" s="959">
        <f t="shared" si="24"/>
        <v>0</v>
      </c>
      <c r="H87" s="959">
        <f t="shared" si="24"/>
        <v>0</v>
      </c>
      <c r="I87" s="959">
        <f t="shared" si="24"/>
        <v>-1000000</v>
      </c>
      <c r="J87" s="959">
        <f t="shared" si="24"/>
        <v>0</v>
      </c>
      <c r="K87" s="959">
        <f t="shared" si="24"/>
        <v>0</v>
      </c>
      <c r="L87" s="959">
        <f t="shared" si="24"/>
        <v>0</v>
      </c>
      <c r="M87" s="959">
        <f t="shared" si="24"/>
        <v>0</v>
      </c>
      <c r="N87" s="959">
        <f t="shared" si="24"/>
        <v>-1000000</v>
      </c>
      <c r="O87" s="959">
        <f t="shared" si="24"/>
        <v>0</v>
      </c>
      <c r="P87" s="959">
        <f t="shared" si="24"/>
        <v>0</v>
      </c>
      <c r="Q87" s="959">
        <f t="shared" si="24"/>
        <v>0</v>
      </c>
      <c r="R87" s="959">
        <f t="shared" si="24"/>
        <v>16513000000</v>
      </c>
      <c r="S87" s="959">
        <f t="shared" si="24"/>
        <v>12178000000</v>
      </c>
      <c r="T87" s="959">
        <f t="shared" si="24"/>
        <v>9225000000</v>
      </c>
      <c r="U87" s="959">
        <f t="shared" si="24"/>
        <v>7451000000</v>
      </c>
      <c r="V87" s="959">
        <f t="shared" si="24"/>
        <v>15941000000</v>
      </c>
      <c r="W87" s="959">
        <f t="shared" si="24"/>
        <v>16354000000</v>
      </c>
      <c r="X87" s="959">
        <f t="shared" si="24"/>
        <v>12668000000</v>
      </c>
      <c r="Y87" s="959">
        <f t="shared" si="24"/>
        <v>11285000000</v>
      </c>
      <c r="Z87" s="959">
        <f t="shared" si="24"/>
        <v>10673000000</v>
      </c>
      <c r="AA87" s="959">
        <f t="shared" si="24"/>
        <v>11331000000</v>
      </c>
    </row>
    <row r="88" spans="2:27">
      <c r="B88" s="930" t="s">
        <v>1575</v>
      </c>
      <c r="C88" s="940"/>
      <c r="D88" s="940"/>
      <c r="E88" s="959">
        <f t="shared" ref="E88:AA88" si="25">E44-E45-E51-E55</f>
        <v>0</v>
      </c>
      <c r="F88" s="959">
        <f t="shared" si="25"/>
        <v>0</v>
      </c>
      <c r="G88" s="959">
        <f t="shared" si="25"/>
        <v>0</v>
      </c>
      <c r="H88" s="959">
        <f t="shared" si="25"/>
        <v>0</v>
      </c>
      <c r="I88" s="959">
        <f t="shared" si="25"/>
        <v>0</v>
      </c>
      <c r="J88" s="959">
        <f t="shared" si="25"/>
        <v>0</v>
      </c>
      <c r="K88" s="959">
        <f t="shared" si="25"/>
        <v>0</v>
      </c>
      <c r="L88" s="959">
        <f t="shared" si="25"/>
        <v>0</v>
      </c>
      <c r="M88" s="959">
        <f t="shared" si="25"/>
        <v>0</v>
      </c>
      <c r="N88" s="959">
        <f t="shared" si="25"/>
        <v>0</v>
      </c>
      <c r="O88" s="960">
        <f t="shared" si="25"/>
        <v>8933000000</v>
      </c>
      <c r="P88" s="960">
        <f t="shared" si="25"/>
        <v>11511000000</v>
      </c>
      <c r="Q88" s="960">
        <f t="shared" si="25"/>
        <v>9723000000</v>
      </c>
      <c r="R88" s="960">
        <f t="shared" si="25"/>
        <v>0</v>
      </c>
      <c r="S88" s="960">
        <f t="shared" si="25"/>
        <v>0</v>
      </c>
      <c r="T88" s="960">
        <f t="shared" si="25"/>
        <v>0</v>
      </c>
      <c r="U88" s="960">
        <f t="shared" si="25"/>
        <v>0</v>
      </c>
      <c r="V88" s="960">
        <f t="shared" si="25"/>
        <v>0</v>
      </c>
      <c r="W88" s="960">
        <f t="shared" si="25"/>
        <v>0</v>
      </c>
      <c r="X88" s="960">
        <f t="shared" si="25"/>
        <v>0</v>
      </c>
      <c r="Y88" s="960">
        <f t="shared" si="25"/>
        <v>0</v>
      </c>
      <c r="Z88" s="960">
        <f t="shared" si="25"/>
        <v>0</v>
      </c>
      <c r="AA88" s="960">
        <f t="shared" si="25"/>
        <v>0</v>
      </c>
    </row>
    <row r="89" spans="2:27" ht="15.75" customHeight="1">
      <c r="B89" s="930" t="s">
        <v>297</v>
      </c>
      <c r="C89" s="940"/>
      <c r="D89" s="940"/>
      <c r="E89" s="959">
        <f t="shared" ref="E89:AA89" si="26">E56-E58-E59-E60-E61-E62-E63-E64</f>
        <v>0</v>
      </c>
      <c r="F89" s="959">
        <f t="shared" si="26"/>
        <v>0</v>
      </c>
      <c r="G89" s="959">
        <f t="shared" si="26"/>
        <v>0</v>
      </c>
      <c r="H89" s="959">
        <f t="shared" si="26"/>
        <v>0</v>
      </c>
      <c r="I89" s="959">
        <f t="shared" si="26"/>
        <v>0</v>
      </c>
      <c r="J89" s="959">
        <f t="shared" si="26"/>
        <v>0</v>
      </c>
      <c r="K89" s="959">
        <f t="shared" si="26"/>
        <v>0</v>
      </c>
      <c r="L89" s="959">
        <f t="shared" si="26"/>
        <v>0</v>
      </c>
      <c r="M89" s="959">
        <f t="shared" si="26"/>
        <v>0</v>
      </c>
      <c r="N89" s="959">
        <f t="shared" si="26"/>
        <v>0</v>
      </c>
      <c r="O89" s="959">
        <f t="shared" si="26"/>
        <v>0</v>
      </c>
      <c r="P89" s="959">
        <f t="shared" si="26"/>
        <v>0</v>
      </c>
      <c r="Q89" s="959">
        <f t="shared" si="26"/>
        <v>0</v>
      </c>
      <c r="R89" s="959">
        <f t="shared" si="26"/>
        <v>0</v>
      </c>
      <c r="S89" s="959">
        <f t="shared" si="26"/>
        <v>0</v>
      </c>
      <c r="T89" s="959">
        <f t="shared" si="26"/>
        <v>0</v>
      </c>
      <c r="U89" s="959">
        <f t="shared" si="26"/>
        <v>0</v>
      </c>
      <c r="V89" s="959">
        <f t="shared" si="26"/>
        <v>0</v>
      </c>
      <c r="W89" s="959">
        <f t="shared" si="26"/>
        <v>0</v>
      </c>
      <c r="X89" s="959">
        <f t="shared" si="26"/>
        <v>0</v>
      </c>
      <c r="Y89" s="959">
        <f t="shared" si="26"/>
        <v>0</v>
      </c>
      <c r="Z89" s="959">
        <f t="shared" si="26"/>
        <v>0</v>
      </c>
      <c r="AA89" s="959">
        <f t="shared" si="26"/>
        <v>0</v>
      </c>
    </row>
    <row r="90" spans="2:27">
      <c r="C90" s="940"/>
      <c r="D90" s="940"/>
      <c r="V90" s="927"/>
      <c r="W90" s="927"/>
      <c r="X90" s="958"/>
    </row>
    <row r="91" spans="2:27">
      <c r="C91" s="940"/>
      <c r="D91" s="940"/>
      <c r="V91" s="927"/>
      <c r="W91" s="927"/>
      <c r="X91" s="958"/>
    </row>
    <row r="93" spans="2:27">
      <c r="B93" s="930" t="s">
        <v>623</v>
      </c>
      <c r="E93" s="930">
        <v>75848000000</v>
      </c>
      <c r="F93" s="930">
        <v>79597000000</v>
      </c>
      <c r="G93" s="930">
        <v>87090000000</v>
      </c>
      <c r="H93" s="930">
        <v>90811000000</v>
      </c>
      <c r="I93" s="930">
        <v>96690000000</v>
      </c>
      <c r="J93" s="930">
        <v>108722000000</v>
      </c>
      <c r="K93" s="930">
        <v>121974000000</v>
      </c>
      <c r="L93" s="930">
        <v>134698000000</v>
      </c>
      <c r="M93" s="930">
        <v>135878999999.99998</v>
      </c>
      <c r="N93" s="930">
        <v>138569000000</v>
      </c>
      <c r="O93" s="930">
        <v>147924000000</v>
      </c>
      <c r="P93" s="930">
        <v>150605000000</v>
      </c>
      <c r="Q93" s="930">
        <v>154462000000</v>
      </c>
      <c r="R93" s="930">
        <v>159140000000</v>
      </c>
      <c r="S93" s="956">
        <v>158699000000</v>
      </c>
      <c r="T93" s="956">
        <v>163381000000</v>
      </c>
      <c r="U93" s="956">
        <v>170053000000</v>
      </c>
      <c r="V93" s="956">
        <v>179751000000</v>
      </c>
      <c r="W93" s="956">
        <v>189882000000</v>
      </c>
      <c r="X93" s="956">
        <v>201305000000</v>
      </c>
      <c r="Y93" s="956">
        <v>213586000000</v>
      </c>
      <c r="Z93" s="956">
        <v>226602000000</v>
      </c>
      <c r="AA93" s="956">
        <v>240447000000</v>
      </c>
    </row>
    <row r="94" spans="2:27">
      <c r="B94" s="930" t="s">
        <v>141</v>
      </c>
      <c r="E94" s="930">
        <f t="shared" ref="E94:Q94" si="27">(E6/E93)*100</f>
        <v>24.918257567767114</v>
      </c>
      <c r="F94" s="930">
        <f t="shared" si="27"/>
        <v>28.895561390504664</v>
      </c>
      <c r="G94" s="930">
        <f t="shared" si="27"/>
        <v>25.14640027557699</v>
      </c>
      <c r="H94" s="930">
        <f t="shared" si="27"/>
        <v>30.833269097356048</v>
      </c>
      <c r="I94" s="930">
        <f t="shared" si="27"/>
        <v>27.695728617230326</v>
      </c>
      <c r="J94" s="930">
        <f t="shared" si="27"/>
        <v>28.553558617391143</v>
      </c>
      <c r="K94" s="930">
        <f t="shared" si="27"/>
        <v>28.802039778969291</v>
      </c>
      <c r="L94" s="930">
        <f t="shared" si="27"/>
        <v>29.092488381416203</v>
      </c>
      <c r="M94" s="930">
        <f t="shared" si="27"/>
        <v>26.891572649195243</v>
      </c>
      <c r="N94" s="930">
        <f t="shared" si="27"/>
        <v>27.924716206366501</v>
      </c>
      <c r="O94" s="930">
        <f t="shared" si="27"/>
        <v>25.632081339066008</v>
      </c>
      <c r="P94" s="930">
        <f t="shared" si="27"/>
        <v>23.272799707845024</v>
      </c>
      <c r="Q94" s="930">
        <f t="shared" si="27"/>
        <v>24.121790472737629</v>
      </c>
      <c r="R94" s="930" t="e">
        <f>(#REF!/R93)*100</f>
        <v>#REF!</v>
      </c>
      <c r="S94" s="2420">
        <f t="shared" ref="S94:AA94" si="28">(R6/S93)*100</f>
        <v>22.260379712537571</v>
      </c>
      <c r="T94" s="2420">
        <f t="shared" si="28"/>
        <v>26.121764464656234</v>
      </c>
      <c r="U94" s="2420">
        <f t="shared" si="28"/>
        <v>25.937207811682239</v>
      </c>
      <c r="V94" s="2420">
        <f t="shared" si="28"/>
        <v>26.83323041318268</v>
      </c>
      <c r="W94" s="2420">
        <f t="shared" si="28"/>
        <v>28.209624924953392</v>
      </c>
      <c r="X94" s="2420">
        <f t="shared" si="28"/>
        <v>26.506544795211244</v>
      </c>
      <c r="Y94" s="2420">
        <f t="shared" si="28"/>
        <v>25.91227889468411</v>
      </c>
      <c r="Z94" s="2420">
        <f t="shared" si="28"/>
        <v>25.656437277693929</v>
      </c>
      <c r="AA94" s="2420">
        <f t="shared" si="28"/>
        <v>26.073937291794035</v>
      </c>
    </row>
    <row r="95" spans="2:27">
      <c r="B95" s="930" t="s">
        <v>145</v>
      </c>
      <c r="E95" s="930">
        <f t="shared" ref="E95:Q95" si="29">(E24/E93)*100</f>
        <v>29.137221812045144</v>
      </c>
      <c r="F95" s="930">
        <f t="shared" si="29"/>
        <v>31.533851778333354</v>
      </c>
      <c r="G95" s="930">
        <f t="shared" si="29"/>
        <v>28.361465150993226</v>
      </c>
      <c r="H95" s="930">
        <f t="shared" si="29"/>
        <v>34.467190098115871</v>
      </c>
      <c r="I95" s="930">
        <f t="shared" si="29"/>
        <v>33.54741958837522</v>
      </c>
      <c r="J95" s="930">
        <f t="shared" si="29"/>
        <v>33.343757473188504</v>
      </c>
      <c r="K95" s="930">
        <f t="shared" si="29"/>
        <v>29.503008837949068</v>
      </c>
      <c r="L95" s="930">
        <f t="shared" si="29"/>
        <v>30.226877904645949</v>
      </c>
      <c r="M95" s="930">
        <f t="shared" si="29"/>
        <v>32.744574216766395</v>
      </c>
      <c r="N95" s="930">
        <f t="shared" si="29"/>
        <v>38.512221348209195</v>
      </c>
      <c r="O95" s="930">
        <f t="shared" si="29"/>
        <v>33.564533138638758</v>
      </c>
      <c r="P95" s="930">
        <f t="shared" si="29"/>
        <v>33.277779622190501</v>
      </c>
      <c r="Q95" s="930">
        <f t="shared" si="29"/>
        <v>32.026647330735067</v>
      </c>
      <c r="R95" s="930" t="e">
        <f>(#REF!/R93)*100</f>
        <v>#REF!</v>
      </c>
      <c r="S95" s="2420">
        <f t="shared" ref="S95:AA95" si="30">(R24/S93)*100</f>
        <v>29.667483727055622</v>
      </c>
      <c r="T95" s="2420">
        <f t="shared" si="30"/>
        <v>30.546391563278476</v>
      </c>
      <c r="U95" s="2420">
        <f t="shared" si="30"/>
        <v>28.896285275766964</v>
      </c>
      <c r="V95" s="2420">
        <f t="shared" si="30"/>
        <v>29.71221300576909</v>
      </c>
      <c r="W95" s="2420">
        <f t="shared" si="30"/>
        <v>31.246774312467746</v>
      </c>
      <c r="X95" s="2420">
        <f t="shared" si="30"/>
        <v>32.113956434266413</v>
      </c>
      <c r="Y95" s="2420">
        <f t="shared" si="30"/>
        <v>30.823181294654145</v>
      </c>
      <c r="Z95" s="2420">
        <f t="shared" si="30"/>
        <v>30.007678661265125</v>
      </c>
      <c r="AA95" s="2420">
        <f t="shared" si="30"/>
        <v>29.916779997255112</v>
      </c>
    </row>
    <row r="97" spans="5:8">
      <c r="H97" s="961"/>
    </row>
    <row r="99" spans="5:8">
      <c r="F99" s="962"/>
    </row>
    <row r="101" spans="5:8">
      <c r="E101" s="961"/>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1576</v>
      </c>
      <c r="B1" s="82" t="s">
        <v>1577</v>
      </c>
      <c r="C1" s="82"/>
      <c r="D1" s="27"/>
      <c r="E1" s="27"/>
      <c r="F1" s="27"/>
      <c r="G1" s="27"/>
      <c r="H1" s="27"/>
      <c r="I1" s="27"/>
      <c r="J1" s="27"/>
      <c r="K1" s="27"/>
      <c r="L1" s="776"/>
      <c r="M1" s="27"/>
      <c r="N1" s="27"/>
      <c r="O1" s="28"/>
      <c r="P1" s="28"/>
      <c r="Q1" s="28"/>
      <c r="R1" s="29"/>
      <c r="S1" s="28"/>
      <c r="T1" s="298"/>
      <c r="U1" s="28"/>
      <c r="V1" s="28"/>
      <c r="W1" s="28"/>
      <c r="X1" s="2"/>
      <c r="Y1" s="365" t="str">
        <f>IF(A1&lt;0,A1,"")</f>
        <v/>
      </c>
      <c r="Z1" s="365" t="str">
        <f>IF(B1&lt;0,B1,"")</f>
        <v/>
      </c>
      <c r="AA1" s="365" t="str">
        <f>IF(C1&lt;0,C1,"")</f>
        <v/>
      </c>
      <c r="AB1" s="365" t="str">
        <f>IF(D1&lt;0,D1,"")</f>
        <v/>
      </c>
      <c r="AC1" s="365"/>
      <c r="AD1" s="365"/>
      <c r="AE1" s="365"/>
      <c r="AF1" s="365"/>
      <c r="AG1" s="365"/>
      <c r="AH1" s="365"/>
      <c r="AI1" s="365"/>
      <c r="AJ1" s="365"/>
      <c r="AK1" s="365"/>
      <c r="AL1" s="365"/>
      <c r="AM1" s="365"/>
      <c r="AN1" s="365"/>
      <c r="AO1" s="365"/>
      <c r="AP1" s="365"/>
      <c r="AQ1" s="365"/>
      <c r="AR1" s="365"/>
      <c r="AS1" s="365"/>
      <c r="AT1" s="365"/>
      <c r="AU1" s="365"/>
      <c r="AV1" s="365" t="str">
        <f>IF(Z1&lt;0,Z1,"")</f>
        <v/>
      </c>
      <c r="AW1" s="365" t="str">
        <f>IF(AA1&lt;0,AA1,"")</f>
        <v/>
      </c>
      <c r="AX1" s="365" t="str">
        <f>IF(AB1&lt;0,AB1,"")</f>
        <v/>
      </c>
      <c r="AY1" s="365"/>
      <c r="AZ1" s="365"/>
      <c r="BA1" s="365"/>
    </row>
    <row r="2" spans="1:53">
      <c r="B2" s="30" t="s">
        <v>1578</v>
      </c>
      <c r="C2" s="30"/>
      <c r="D2" s="28"/>
      <c r="E2" s="28"/>
      <c r="F2" s="28"/>
      <c r="G2" s="28"/>
      <c r="H2" s="28"/>
      <c r="I2" s="28"/>
      <c r="J2" s="28"/>
      <c r="K2" s="28"/>
      <c r="L2" s="28"/>
      <c r="M2" s="28"/>
      <c r="N2" s="28"/>
      <c r="O2" s="28"/>
      <c r="P2" s="28"/>
      <c r="Q2" s="28"/>
      <c r="R2" s="31"/>
      <c r="S2" s="32"/>
      <c r="T2" s="33"/>
      <c r="U2" s="28"/>
      <c r="V2" s="28"/>
      <c r="W2" s="28"/>
      <c r="X2" s="2"/>
      <c r="Y2" s="365" t="str">
        <f t="shared" ref="Y2" si="0">IF(A2&lt;0,A2,"")</f>
        <v/>
      </c>
      <c r="Z2" s="365" t="str">
        <f t="shared" ref="Z2" si="1">IF(B2&lt;0,B2,"")</f>
        <v/>
      </c>
      <c r="AA2" s="365" t="str">
        <f t="shared" ref="AA2" si="2">IF(C2&lt;0,C2,"")</f>
        <v/>
      </c>
      <c r="AB2" s="365" t="str">
        <f t="shared" ref="AB2:AB71" si="3">IF(D2&lt;0,D2,"")</f>
        <v/>
      </c>
      <c r="AC2" s="365"/>
      <c r="AD2" s="365"/>
      <c r="AE2" s="365"/>
      <c r="AF2" s="365"/>
      <c r="AG2" s="365"/>
      <c r="AH2" s="365"/>
      <c r="AI2" s="365"/>
      <c r="AJ2" s="365"/>
      <c r="AK2" s="365"/>
      <c r="AL2" s="365"/>
      <c r="AM2" s="365"/>
      <c r="AN2" s="365"/>
      <c r="AO2" s="365"/>
      <c r="AP2" s="365"/>
      <c r="AQ2" s="365"/>
      <c r="AR2" s="365"/>
      <c r="AS2" s="365"/>
      <c r="AT2" s="365"/>
      <c r="AU2" s="365"/>
      <c r="AV2" s="365" t="str">
        <f>IF(Z2&lt;0,Z2,"")</f>
        <v/>
      </c>
      <c r="AW2" s="365" t="str">
        <f t="shared" ref="AW2:AW3" si="4">IF(AA2&lt;0,AA2,"")</f>
        <v/>
      </c>
      <c r="AX2" s="365" t="str">
        <f t="shared" ref="AX2:AX3" si="5">IF(AB2&lt;0,AB2,"")</f>
        <v/>
      </c>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5" t="str">
        <f t="shared" si="3"/>
        <v/>
      </c>
      <c r="AC3" s="365"/>
      <c r="AD3" s="365"/>
      <c r="AE3" s="365"/>
      <c r="AF3" s="365"/>
      <c r="AG3" s="365"/>
      <c r="AH3" s="365"/>
      <c r="AI3" s="365"/>
      <c r="AJ3" s="365"/>
      <c r="AK3" s="365"/>
      <c r="AL3" s="365"/>
      <c r="AM3" s="365"/>
      <c r="AN3" s="365"/>
      <c r="AO3" s="365"/>
      <c r="AP3" s="365"/>
      <c r="AQ3" s="365"/>
      <c r="AR3" s="365"/>
      <c r="AS3" s="365"/>
      <c r="AT3" s="365"/>
      <c r="AU3" s="365"/>
      <c r="AV3" s="365" t="str">
        <f>IF(Z3&lt;0,Z3,"")</f>
        <v/>
      </c>
      <c r="AW3" s="365" t="str">
        <f t="shared" si="4"/>
        <v/>
      </c>
      <c r="AX3" s="365" t="str">
        <f t="shared" si="5"/>
        <v/>
      </c>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7" t="s">
        <v>26</v>
      </c>
      <c r="Z4" s="527" t="s">
        <v>27</v>
      </c>
      <c r="AA4" s="527" t="s">
        <v>1137</v>
      </c>
      <c r="AB4" s="365" t="str">
        <f t="shared" si="3"/>
        <v/>
      </c>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5" t="str">
        <f t="shared" si="3"/>
        <v/>
      </c>
      <c r="AC5" s="365"/>
      <c r="AD5" s="2496"/>
      <c r="AE5" s="2496"/>
      <c r="AF5" s="2496"/>
      <c r="AG5" s="2496"/>
      <c r="AH5" s="2496"/>
      <c r="AI5" s="2496"/>
      <c r="AJ5" s="2496"/>
      <c r="AK5" s="2496"/>
      <c r="AL5" s="2496"/>
      <c r="AM5" s="2496"/>
      <c r="AN5" s="2496"/>
      <c r="AO5" s="2496"/>
      <c r="AP5" s="2496"/>
      <c r="AQ5" s="2496"/>
      <c r="AR5" s="2496"/>
      <c r="AS5" s="2496"/>
      <c r="AT5" s="2496"/>
      <c r="AU5" s="2496"/>
      <c r="AV5" s="365"/>
      <c r="AW5" s="365"/>
      <c r="AX5" s="365"/>
      <c r="AY5" s="365"/>
      <c r="AZ5" s="365"/>
      <c r="BA5" s="365"/>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499">
        <v>132199999999.99998</v>
      </c>
      <c r="S6" s="2499">
        <v>134100000000</v>
      </c>
      <c r="T6" s="2499">
        <v>147100000000</v>
      </c>
      <c r="U6" s="2499">
        <v>154000000000</v>
      </c>
      <c r="V6" s="2499">
        <v>202700000000</v>
      </c>
      <c r="W6" s="2499">
        <v>225600000000</v>
      </c>
      <c r="X6" s="2499">
        <v>238900000000</v>
      </c>
      <c r="Y6" s="2499">
        <v>253200000000</v>
      </c>
      <c r="Z6" s="2499">
        <v>275700000000</v>
      </c>
      <c r="AA6" s="2499">
        <v>300100000000</v>
      </c>
      <c r="AB6" s="365" t="str">
        <f t="shared" si="3"/>
        <v/>
      </c>
      <c r="AC6" s="2493"/>
      <c r="AD6" s="2496"/>
      <c r="AE6" s="2496"/>
      <c r="AF6" s="2496"/>
      <c r="AG6" s="2496"/>
      <c r="AH6" s="2496"/>
      <c r="AI6" s="2496"/>
      <c r="AJ6" s="2496"/>
      <c r="AK6" s="2496"/>
      <c r="AL6" s="2496"/>
      <c r="AM6" s="2496"/>
      <c r="AN6" s="2496"/>
      <c r="AO6" s="2496"/>
      <c r="AP6" s="2496"/>
      <c r="AQ6" s="2496"/>
      <c r="AR6" s="2496"/>
      <c r="AS6" s="2496"/>
      <c r="AT6" s="2496"/>
      <c r="AU6" s="2496"/>
      <c r="AV6" s="365"/>
      <c r="AW6" s="365"/>
      <c r="AX6" s="365"/>
      <c r="AY6" s="365"/>
      <c r="AZ6" s="365"/>
      <c r="BA6" s="365"/>
    </row>
    <row r="7" spans="1:53" ht="15.75">
      <c r="A7" s="43" t="s">
        <v>36</v>
      </c>
      <c r="B7" s="117" t="s">
        <v>36</v>
      </c>
      <c r="C7" s="11" t="s">
        <v>38</v>
      </c>
      <c r="D7" s="247"/>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05">
        <f>Q8</f>
        <v>42200000000</v>
      </c>
      <c r="R7" s="2505">
        <f t="shared" ref="R7:T7" si="6">R8</f>
        <v>41300000000</v>
      </c>
      <c r="S7" s="2505">
        <f t="shared" si="6"/>
        <v>66500000000</v>
      </c>
      <c r="T7" s="2505">
        <f t="shared" si="6"/>
        <v>84900000000</v>
      </c>
      <c r="U7" s="2505">
        <f>U8</f>
        <v>93400000000</v>
      </c>
      <c r="V7" s="2505">
        <f t="shared" ref="V7:AA7" si="7">V8</f>
        <v>112000000000</v>
      </c>
      <c r="W7" s="2505">
        <f t="shared" si="7"/>
        <v>125500000000</v>
      </c>
      <c r="X7" s="2505">
        <f t="shared" si="7"/>
        <v>140200000000</v>
      </c>
      <c r="Y7" s="2505">
        <f t="shared" si="7"/>
        <v>156200000000</v>
      </c>
      <c r="Z7" s="2505">
        <f t="shared" si="7"/>
        <v>173400000000</v>
      </c>
      <c r="AA7" s="2505">
        <f t="shared" si="7"/>
        <v>192000000000</v>
      </c>
      <c r="AB7" s="365" t="str">
        <f t="shared" si="3"/>
        <v/>
      </c>
      <c r="AC7" s="2493"/>
      <c r="AD7" s="2496"/>
      <c r="AE7" s="2496"/>
      <c r="AF7" s="2496"/>
      <c r="AG7" s="2496"/>
      <c r="AH7" s="2496"/>
      <c r="AI7" s="2496"/>
      <c r="AJ7" s="2496"/>
      <c r="AK7" s="2496"/>
      <c r="AL7" s="2496"/>
      <c r="AM7" s="2496"/>
      <c r="AN7" s="2496"/>
      <c r="AO7" s="2496"/>
      <c r="AP7" s="2496"/>
      <c r="AQ7" s="2496"/>
      <c r="AR7" s="2496"/>
      <c r="AS7" s="2496"/>
      <c r="AT7" s="2496"/>
      <c r="AU7" s="2496"/>
      <c r="AV7" s="365"/>
      <c r="AW7" s="365"/>
      <c r="AX7" s="365"/>
      <c r="AY7" s="365"/>
      <c r="AZ7" s="365"/>
      <c r="BA7" s="365"/>
    </row>
    <row r="8" spans="1:53" ht="15.75">
      <c r="A8" t="s">
        <v>76</v>
      </c>
      <c r="B8" s="90" t="s">
        <v>1579</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00">
        <v>42200000000</v>
      </c>
      <c r="R8" s="2500">
        <v>41300000000</v>
      </c>
      <c r="S8" s="2500">
        <v>66500000000</v>
      </c>
      <c r="T8" s="2500">
        <v>84900000000</v>
      </c>
      <c r="U8" s="2500">
        <v>93400000000</v>
      </c>
      <c r="V8" s="2500">
        <v>112000000000</v>
      </c>
      <c r="W8" s="2500">
        <v>125500000000</v>
      </c>
      <c r="X8" s="2500">
        <v>140200000000</v>
      </c>
      <c r="Y8" s="2500">
        <v>156200000000</v>
      </c>
      <c r="Z8" s="2500">
        <v>173400000000</v>
      </c>
      <c r="AA8" s="2505">
        <v>192000000000</v>
      </c>
      <c r="AB8" s="365" t="str">
        <f t="shared" si="3"/>
        <v/>
      </c>
      <c r="AC8" s="2493"/>
      <c r="AD8" s="2496"/>
      <c r="AE8" s="2496"/>
      <c r="AF8" s="2496"/>
      <c r="AG8" s="2496"/>
      <c r="AH8" s="2496"/>
      <c r="AI8" s="2496"/>
      <c r="AJ8" s="2496"/>
      <c r="AK8" s="2496"/>
      <c r="AL8" s="2496"/>
      <c r="AM8" s="2496"/>
      <c r="AN8" s="2496"/>
      <c r="AO8" s="2496"/>
      <c r="AP8" s="2496"/>
      <c r="AQ8" s="2496"/>
      <c r="AR8" s="2496"/>
      <c r="AS8" s="2496"/>
      <c r="AT8" s="2496"/>
      <c r="AU8" s="2496"/>
      <c r="AV8" s="365"/>
      <c r="AW8" s="365"/>
      <c r="AX8" s="365"/>
      <c r="AY8" s="365"/>
      <c r="AZ8" s="365"/>
      <c r="BA8" s="365"/>
    </row>
    <row r="9" spans="1:53" ht="15.75">
      <c r="A9" s="20" t="s">
        <v>39</v>
      </c>
      <c r="B9" s="90" t="s">
        <v>465</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00">
        <v>38800000000</v>
      </c>
      <c r="R9" s="2500">
        <v>37100000000</v>
      </c>
      <c r="S9" s="2500">
        <v>60900000000</v>
      </c>
      <c r="T9" s="2500">
        <v>78000000000</v>
      </c>
      <c r="U9" s="2500">
        <v>84600000000</v>
      </c>
      <c r="V9" s="2500">
        <v>102300000000</v>
      </c>
      <c r="W9" s="2500">
        <v>114900000000</v>
      </c>
      <c r="X9" s="2500">
        <v>128800000000.00002</v>
      </c>
      <c r="Y9" s="2500">
        <v>143800000000</v>
      </c>
      <c r="Z9" s="2500">
        <v>160000000000</v>
      </c>
      <c r="AA9" s="2505">
        <v>177500000000</v>
      </c>
      <c r="AB9" s="365" t="str">
        <f t="shared" si="3"/>
        <v/>
      </c>
      <c r="AC9" s="2493"/>
      <c r="AD9" s="2496"/>
      <c r="AE9" s="2496"/>
      <c r="AF9" s="2496"/>
      <c r="AG9" s="2496"/>
      <c r="AH9" s="2496"/>
      <c r="AI9" s="2496"/>
      <c r="AJ9" s="2496"/>
      <c r="AK9" s="2496"/>
      <c r="AL9" s="2496"/>
      <c r="AM9" s="2496"/>
      <c r="AN9" s="2496"/>
      <c r="AO9" s="2496"/>
      <c r="AP9" s="2496"/>
      <c r="AQ9" s="2496"/>
      <c r="AR9" s="2496"/>
      <c r="AS9" s="2496"/>
      <c r="AT9" s="2496"/>
      <c r="AU9" s="2496"/>
      <c r="AV9" s="365"/>
      <c r="AW9" s="365"/>
      <c r="AX9" s="365"/>
      <c r="AY9" s="365"/>
      <c r="AZ9" s="365"/>
      <c r="BA9" s="365"/>
    </row>
    <row r="10" spans="1:53" ht="15.75">
      <c r="A10" s="99" t="s">
        <v>1580</v>
      </c>
      <c r="B10" s="99" t="s">
        <v>1581</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00">
        <v>7000000000</v>
      </c>
      <c r="R10" s="2500">
        <v>8100000000</v>
      </c>
      <c r="S10" s="2500">
        <v>13100000000</v>
      </c>
      <c r="T10" s="2500">
        <v>19200000000</v>
      </c>
      <c r="U10" s="2500">
        <v>21200000000</v>
      </c>
      <c r="V10" s="2500">
        <v>25300000000</v>
      </c>
      <c r="W10" s="2500">
        <v>27400000000</v>
      </c>
      <c r="X10" s="2500">
        <v>31700000000</v>
      </c>
      <c r="Y10" s="2500">
        <v>35300000000</v>
      </c>
      <c r="Z10" s="2500">
        <v>39100000000</v>
      </c>
      <c r="AA10" s="2505">
        <v>43200000000</v>
      </c>
      <c r="AB10" s="365" t="str">
        <f t="shared" si="3"/>
        <v/>
      </c>
      <c r="AC10" s="2493"/>
      <c r="AD10" s="2496"/>
      <c r="AE10" s="2496"/>
      <c r="AF10" s="2496"/>
      <c r="AG10" s="2496"/>
      <c r="AH10" s="2496"/>
      <c r="AI10" s="2496"/>
      <c r="AJ10" s="2496"/>
      <c r="AK10" s="2496"/>
      <c r="AL10" s="2496"/>
      <c r="AM10" s="2496"/>
      <c r="AN10" s="2496"/>
      <c r="AO10" s="2496"/>
      <c r="AP10" s="2496"/>
      <c r="AQ10" s="2496"/>
      <c r="AR10" s="2496"/>
      <c r="AS10" s="2496"/>
      <c r="AT10" s="2496"/>
      <c r="AU10" s="2496"/>
      <c r="AV10" s="365"/>
      <c r="AW10" s="365"/>
      <c r="AX10" s="365"/>
      <c r="AY10" s="365"/>
      <c r="AZ10" s="365"/>
      <c r="BA10" s="365"/>
    </row>
    <row r="11" spans="1:53" ht="15.75">
      <c r="A11" s="99" t="s">
        <v>47</v>
      </c>
      <c r="B11" s="179" t="s">
        <v>1582</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00">
        <f>Q14-Q13</f>
        <v>23300000000</v>
      </c>
      <c r="R11" s="2500">
        <f>R14-R13</f>
        <v>19800000000</v>
      </c>
      <c r="S11" s="2500">
        <f t="shared" ref="S11:T11" si="9">S14-S13</f>
        <v>32500000000</v>
      </c>
      <c r="T11" s="2500">
        <f t="shared" si="9"/>
        <v>39300000000</v>
      </c>
      <c r="U11" s="2500">
        <v>42200000000</v>
      </c>
      <c r="V11" s="2500">
        <v>51000000000</v>
      </c>
      <c r="W11" s="2500">
        <v>60000000000</v>
      </c>
      <c r="X11" s="2500">
        <v>62500000000</v>
      </c>
      <c r="Y11" s="2500">
        <v>69800000000</v>
      </c>
      <c r="Z11" s="2500">
        <v>77700000000</v>
      </c>
      <c r="AA11" s="2505">
        <v>86200000000</v>
      </c>
      <c r="AB11" s="365" t="str">
        <f t="shared" si="3"/>
        <v/>
      </c>
      <c r="AC11" s="2493"/>
      <c r="AD11" s="2496"/>
      <c r="AE11" s="2496"/>
      <c r="AF11" s="2496"/>
      <c r="AG11" s="2496"/>
      <c r="AH11" s="2496"/>
      <c r="AI11" s="2496"/>
      <c r="AJ11" s="2496"/>
      <c r="AK11" s="2496"/>
      <c r="AL11" s="2496"/>
      <c r="AM11" s="2496"/>
      <c r="AN11" s="2496"/>
      <c r="AO11" s="2496"/>
      <c r="AP11" s="2496"/>
      <c r="AQ11" s="2496"/>
      <c r="AR11" s="2496"/>
      <c r="AS11" s="2496"/>
      <c r="AT11" s="2496"/>
      <c r="AU11" s="2496"/>
      <c r="AV11" s="365"/>
      <c r="AW11" s="365"/>
      <c r="AX11" s="365"/>
      <c r="AY11" s="365"/>
      <c r="AZ11" s="365"/>
      <c r="BA11" s="365"/>
    </row>
    <row r="12" spans="1:53" ht="15.75">
      <c r="A12" s="2453" t="s">
        <v>1583</v>
      </c>
      <c r="B12" s="2453" t="s">
        <v>1583</v>
      </c>
      <c r="C12" s="2463"/>
      <c r="E12" s="158"/>
      <c r="F12" s="158"/>
      <c r="G12" s="158"/>
      <c r="H12" s="164"/>
      <c r="I12" s="164"/>
      <c r="J12" s="164"/>
      <c r="K12" s="164"/>
      <c r="L12" s="164"/>
      <c r="M12" s="164"/>
      <c r="N12" s="164"/>
      <c r="O12" s="164"/>
      <c r="P12" s="164"/>
      <c r="Q12" s="2500"/>
      <c r="R12" s="2500">
        <v>11200000000</v>
      </c>
      <c r="S12" s="2500">
        <v>19400000000</v>
      </c>
      <c r="T12" s="2500">
        <v>22800000000</v>
      </c>
      <c r="U12" s="2500">
        <v>24700000000</v>
      </c>
      <c r="V12" s="2500">
        <v>30200000000</v>
      </c>
      <c r="W12" s="2500">
        <v>36800000000</v>
      </c>
      <c r="X12" s="2500">
        <v>36800000000</v>
      </c>
      <c r="Y12" s="2500">
        <v>41200000000</v>
      </c>
      <c r="Z12" s="2500">
        <v>46000000000</v>
      </c>
      <c r="AA12" s="2505">
        <v>51200000000</v>
      </c>
      <c r="AB12" s="365"/>
      <c r="AC12" s="2494"/>
      <c r="AD12" s="2496"/>
      <c r="AE12" s="2496"/>
      <c r="AF12" s="2496"/>
      <c r="AG12" s="2496"/>
      <c r="AH12" s="2496"/>
      <c r="AI12" s="2496"/>
      <c r="AJ12" s="2496"/>
      <c r="AK12" s="2496"/>
      <c r="AL12" s="2496"/>
      <c r="AM12" s="2496"/>
      <c r="AN12" s="2496"/>
      <c r="AO12" s="2496"/>
      <c r="AP12" s="2496"/>
      <c r="AQ12" s="2496"/>
      <c r="AR12" s="2496"/>
      <c r="AS12" s="2496"/>
      <c r="AT12" s="2496"/>
      <c r="AU12" s="2496"/>
      <c r="AV12" s="365"/>
      <c r="AW12" s="365"/>
      <c r="AX12" s="365"/>
      <c r="AY12" s="365"/>
      <c r="AZ12" s="365"/>
      <c r="BA12" s="365"/>
    </row>
    <row r="13" spans="1:53" ht="15.75">
      <c r="A13" s="2453" t="s">
        <v>840</v>
      </c>
      <c r="B13" s="2453" t="s">
        <v>840</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00">
        <f>Q15</f>
        <v>8500000000</v>
      </c>
      <c r="R13" s="2500">
        <v>9200000000</v>
      </c>
      <c r="S13" s="2500">
        <v>15300000000</v>
      </c>
      <c r="T13" s="2500">
        <v>19500000000</v>
      </c>
      <c r="U13" s="2500">
        <v>21200000000</v>
      </c>
      <c r="V13" s="2500">
        <v>25900000000</v>
      </c>
      <c r="W13" s="2500">
        <v>27600000000</v>
      </c>
      <c r="X13" s="2500">
        <v>34600000000</v>
      </c>
      <c r="Y13" s="2500">
        <v>38700000000</v>
      </c>
      <c r="Z13" s="2500">
        <v>43200000000</v>
      </c>
      <c r="AA13" s="2505">
        <v>48100000000</v>
      </c>
      <c r="AB13" s="365"/>
      <c r="AC13" s="2494"/>
      <c r="AD13" s="2496"/>
      <c r="AE13" s="2496"/>
      <c r="AF13" s="2496"/>
      <c r="AG13" s="2496"/>
      <c r="AH13" s="2496"/>
      <c r="AI13" s="2496"/>
      <c r="AJ13" s="2496"/>
      <c r="AK13" s="2496"/>
      <c r="AL13" s="2496"/>
      <c r="AM13" s="2496"/>
      <c r="AN13" s="2496"/>
      <c r="AO13" s="2496"/>
      <c r="AP13" s="2496"/>
      <c r="AQ13" s="2496"/>
      <c r="AR13" s="2496"/>
      <c r="AS13" s="2496"/>
      <c r="AT13" s="2496"/>
      <c r="AU13" s="2496"/>
      <c r="AV13" s="365"/>
      <c r="AW13" s="365"/>
      <c r="AX13" s="365"/>
      <c r="AY13" s="365"/>
      <c r="AZ13" s="365"/>
      <c r="BA13" s="365"/>
    </row>
    <row r="14" spans="1:53" ht="15.75">
      <c r="A14" s="99" t="s">
        <v>76</v>
      </c>
      <c r="B14" s="99" t="s">
        <v>1585</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00">
        <v>31800000000</v>
      </c>
      <c r="R14" s="2500">
        <v>29000000000</v>
      </c>
      <c r="S14" s="2500">
        <v>47800000000</v>
      </c>
      <c r="T14" s="2500">
        <v>58800000000</v>
      </c>
      <c r="U14" s="2500"/>
      <c r="V14" s="2500"/>
      <c r="W14" s="2500"/>
      <c r="X14" s="2500"/>
      <c r="Y14" s="2500"/>
      <c r="Z14" s="2500"/>
      <c r="AA14" s="2505"/>
      <c r="AB14" s="365" t="str">
        <f t="shared" si="3"/>
        <v/>
      </c>
      <c r="AC14" s="2493"/>
      <c r="AD14" s="2496"/>
      <c r="AE14" s="2496"/>
      <c r="AF14" s="2496"/>
      <c r="AG14" s="2496"/>
      <c r="AH14" s="2496"/>
      <c r="AI14" s="2496"/>
      <c r="AJ14" s="2496"/>
      <c r="AK14" s="2496"/>
      <c r="AL14" s="2496"/>
      <c r="AM14" s="2496"/>
      <c r="AN14" s="2496"/>
      <c r="AO14" s="2496"/>
      <c r="AP14" s="2496"/>
      <c r="AQ14" s="2496"/>
      <c r="AR14" s="2496"/>
      <c r="AS14" s="2496"/>
      <c r="AT14" s="2496"/>
      <c r="AU14" s="2496"/>
      <c r="AV14" s="365"/>
      <c r="AW14" s="365"/>
      <c r="AX14" s="365"/>
      <c r="AY14" s="365"/>
      <c r="AZ14" s="365"/>
      <c r="BA14" s="365"/>
    </row>
    <row r="15" spans="1:53" ht="15.75">
      <c r="A15" t="s">
        <v>76</v>
      </c>
      <c r="B15" s="100" t="s">
        <v>1586</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00">
        <v>8500000000</v>
      </c>
      <c r="R15" s="2500"/>
      <c r="S15" s="2500"/>
      <c r="T15" s="2500"/>
      <c r="U15" s="2500"/>
      <c r="V15" s="2500"/>
      <c r="W15" s="2500"/>
      <c r="X15" s="2500"/>
      <c r="Y15" s="2500"/>
      <c r="Z15" s="2500"/>
      <c r="AA15" s="2505"/>
      <c r="AB15" s="365" t="str">
        <f t="shared" si="3"/>
        <v/>
      </c>
      <c r="AC15" s="2493"/>
      <c r="AD15" s="2496"/>
      <c r="AE15" s="2496"/>
      <c r="AF15" s="2496"/>
      <c r="AG15" s="2496"/>
      <c r="AH15" s="2496"/>
      <c r="AI15" s="2496"/>
      <c r="AJ15" s="2496"/>
      <c r="AK15" s="2496"/>
      <c r="AL15" s="2496"/>
      <c r="AM15" s="2496"/>
      <c r="AN15" s="2496"/>
      <c r="AO15" s="2496"/>
      <c r="AP15" s="2496"/>
      <c r="AQ15" s="2496"/>
      <c r="AR15" s="2496"/>
      <c r="AS15" s="2496"/>
      <c r="AT15" s="2496"/>
      <c r="AU15" s="2496"/>
      <c r="AV15" s="365"/>
      <c r="AW15" s="365"/>
      <c r="AX15" s="365"/>
      <c r="AY15" s="365"/>
      <c r="AZ15" s="365"/>
      <c r="BA15" s="365"/>
    </row>
    <row r="16" spans="1:53" ht="15.75">
      <c r="B16" s="100" t="s">
        <v>1587</v>
      </c>
      <c r="C16" s="90"/>
      <c r="E16" s="158">
        <v>7000000000</v>
      </c>
      <c r="F16" s="158">
        <v>7600000000</v>
      </c>
      <c r="G16" s="158">
        <v>7700000000</v>
      </c>
      <c r="H16" s="164"/>
      <c r="I16" s="164"/>
      <c r="J16" s="164"/>
      <c r="K16" s="164"/>
      <c r="L16" s="164"/>
      <c r="M16" s="164"/>
      <c r="N16" s="164"/>
      <c r="O16" s="164"/>
      <c r="P16" s="164"/>
      <c r="Q16" s="2500"/>
      <c r="R16" s="2500"/>
      <c r="S16" s="2500"/>
      <c r="T16" s="2500"/>
      <c r="U16" s="2500"/>
      <c r="V16" s="2500"/>
      <c r="W16" s="2500"/>
      <c r="X16" s="2500"/>
      <c r="Y16" s="2500"/>
      <c r="Z16" s="2500"/>
      <c r="AA16" s="2505"/>
      <c r="AB16" s="365" t="str">
        <f t="shared" si="3"/>
        <v/>
      </c>
      <c r="AC16" s="2493"/>
      <c r="AD16" s="2496"/>
      <c r="AE16" s="2496"/>
      <c r="AF16" s="2496"/>
      <c r="AG16" s="2496"/>
      <c r="AH16" s="2496"/>
      <c r="AI16" s="2496"/>
      <c r="AJ16" s="2496"/>
      <c r="AK16" s="2496"/>
      <c r="AL16" s="2496"/>
      <c r="AM16" s="2496"/>
      <c r="AN16" s="2496"/>
      <c r="AO16" s="2496"/>
      <c r="AP16" s="2496"/>
      <c r="AQ16" s="2496"/>
      <c r="AR16" s="2496"/>
      <c r="AS16" s="2496"/>
      <c r="AT16" s="2496"/>
      <c r="AU16" s="2496"/>
      <c r="AV16" s="365"/>
      <c r="AW16" s="365"/>
      <c r="AX16" s="365"/>
      <c r="AY16" s="365"/>
      <c r="AZ16" s="365"/>
      <c r="BA16" s="365"/>
    </row>
    <row r="17" spans="1:53" ht="15.75">
      <c r="A17" s="20" t="s">
        <v>51</v>
      </c>
      <c r="B17" s="90" t="s">
        <v>467</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00">
        <v>3400000000</v>
      </c>
      <c r="R17" s="2500">
        <v>4200000000</v>
      </c>
      <c r="S17" s="2500">
        <v>5600000000</v>
      </c>
      <c r="T17" s="2500">
        <v>6900000000</v>
      </c>
      <c r="U17" s="2500">
        <v>8900000000</v>
      </c>
      <c r="V17" s="2500">
        <v>9700000000</v>
      </c>
      <c r="W17" s="2500">
        <v>10600000000</v>
      </c>
      <c r="X17" s="2500">
        <v>11500000000</v>
      </c>
      <c r="Y17" s="2500">
        <v>12400000000</v>
      </c>
      <c r="Z17" s="2500">
        <v>13400000000</v>
      </c>
      <c r="AA17" s="2505">
        <v>14500000000</v>
      </c>
      <c r="AB17" s="365" t="str">
        <f t="shared" si="3"/>
        <v/>
      </c>
      <c r="AC17" s="2493"/>
      <c r="AD17" s="2496"/>
      <c r="AE17" s="2496"/>
      <c r="AF17" s="2496"/>
      <c r="AG17" s="2496"/>
      <c r="AH17" s="2496"/>
      <c r="AI17" s="2496"/>
      <c r="AJ17" s="2496"/>
      <c r="AK17" s="2496"/>
      <c r="AL17" s="2496"/>
      <c r="AM17" s="2496"/>
      <c r="AN17" s="2496"/>
      <c r="AO17" s="2496"/>
      <c r="AP17" s="2496"/>
      <c r="AQ17" s="2496"/>
      <c r="AR17" s="2496"/>
      <c r="AS17" s="2496"/>
      <c r="AT17" s="2496"/>
      <c r="AU17" s="2496"/>
      <c r="AV17" s="365"/>
      <c r="AW17" s="365"/>
      <c r="AX17" s="365"/>
      <c r="AY17" s="365"/>
      <c r="AZ17" s="365"/>
      <c r="BA17" s="365"/>
    </row>
    <row r="18" spans="1:53" ht="15.75">
      <c r="A18" t="s">
        <v>1588</v>
      </c>
      <c r="B18" s="99" t="s">
        <v>1589</v>
      </c>
      <c r="C18" s="58" t="s">
        <v>192</v>
      </c>
      <c r="E18" s="158">
        <v>4400000000</v>
      </c>
      <c r="F18" s="158">
        <v>2800000000</v>
      </c>
      <c r="G18" s="158">
        <v>0</v>
      </c>
      <c r="H18" s="164"/>
      <c r="I18" s="164"/>
      <c r="J18" s="164"/>
      <c r="K18" s="164"/>
      <c r="L18" s="164"/>
      <c r="M18" s="164"/>
      <c r="N18" s="164"/>
      <c r="O18" s="164"/>
      <c r="P18" s="164"/>
      <c r="Q18" s="2500"/>
      <c r="R18" s="2500"/>
      <c r="S18" s="2500"/>
      <c r="T18" s="214"/>
      <c r="U18" s="1936"/>
      <c r="V18" s="1936"/>
      <c r="W18" s="1936"/>
      <c r="X18" s="1936"/>
      <c r="Y18" s="1936"/>
      <c r="Z18" s="1936"/>
      <c r="AA18" s="2505"/>
      <c r="AB18" s="365" t="str">
        <f t="shared" si="3"/>
        <v/>
      </c>
      <c r="AC18" s="2493"/>
      <c r="AD18" s="2496"/>
      <c r="AE18" s="2496"/>
      <c r="AF18" s="2496"/>
      <c r="AG18" s="2496"/>
      <c r="AH18" s="2496"/>
      <c r="AI18" s="2496"/>
      <c r="AJ18" s="2496"/>
      <c r="AK18" s="2496"/>
      <c r="AL18" s="2496"/>
      <c r="AM18" s="2496"/>
      <c r="AN18" s="2496"/>
      <c r="AO18" s="2496"/>
      <c r="AP18" s="2496"/>
      <c r="AQ18" s="2496"/>
      <c r="AR18" s="2496"/>
      <c r="AS18" s="2496"/>
      <c r="AT18" s="2496"/>
      <c r="AU18" s="2496"/>
      <c r="AV18" s="365"/>
      <c r="AW18" s="365"/>
      <c r="AX18" s="365"/>
      <c r="AY18" s="365"/>
      <c r="AZ18" s="365"/>
      <c r="BA18" s="365"/>
    </row>
    <row r="19" spans="1:53" ht="15.75">
      <c r="A19" t="s">
        <v>1590</v>
      </c>
      <c r="B19" s="99" t="s">
        <v>1591</v>
      </c>
      <c r="C19" s="58" t="s">
        <v>192</v>
      </c>
      <c r="E19" s="175"/>
      <c r="F19" s="175"/>
      <c r="G19" s="175"/>
      <c r="H19" s="115"/>
      <c r="I19" s="115"/>
      <c r="J19" s="115"/>
      <c r="K19" s="115"/>
      <c r="L19" s="227">
        <v>0</v>
      </c>
      <c r="M19" s="164"/>
      <c r="N19" s="164"/>
      <c r="O19" s="164"/>
      <c r="P19" s="164"/>
      <c r="Q19" s="2500"/>
      <c r="R19" s="2500"/>
      <c r="S19" s="2500"/>
      <c r="T19" s="214"/>
      <c r="U19" s="1936"/>
      <c r="V19" s="1936"/>
      <c r="W19" s="1936"/>
      <c r="X19" s="1936"/>
      <c r="Y19" s="1936"/>
      <c r="Z19" s="1936"/>
      <c r="AA19" s="2505"/>
      <c r="AB19" s="365" t="str">
        <f t="shared" si="3"/>
        <v/>
      </c>
      <c r="AC19" s="2493"/>
      <c r="AD19" s="2496"/>
      <c r="AE19" s="2496"/>
      <c r="AF19" s="2496"/>
      <c r="AG19" s="2496"/>
      <c r="AH19" s="2496"/>
      <c r="AI19" s="2496"/>
      <c r="AJ19" s="2496"/>
      <c r="AK19" s="2496"/>
      <c r="AL19" s="2496"/>
      <c r="AM19" s="2496"/>
      <c r="AN19" s="2496"/>
      <c r="AO19" s="2496"/>
      <c r="AP19" s="2496"/>
      <c r="AQ19" s="2496"/>
      <c r="AR19" s="2496"/>
      <c r="AS19" s="2496"/>
      <c r="AT19" s="2496"/>
      <c r="AU19" s="2496"/>
      <c r="AV19" s="365"/>
      <c r="AW19" s="365"/>
      <c r="AX19" s="365"/>
      <c r="AY19" s="365"/>
      <c r="AZ19" s="365"/>
      <c r="BA19" s="365"/>
    </row>
    <row r="20" spans="1:53" ht="15.75">
      <c r="A20" s="90" t="s">
        <v>649</v>
      </c>
      <c r="B20" s="179" t="s">
        <v>649</v>
      </c>
      <c r="C20" s="58" t="s">
        <v>192</v>
      </c>
      <c r="E20" s="175">
        <f>E17-E18</f>
        <v>7000000000</v>
      </c>
      <c r="F20" s="175">
        <f>F17-F18</f>
        <v>14200000000</v>
      </c>
      <c r="G20" s="175">
        <f>G17-G18</f>
        <v>8400000000</v>
      </c>
      <c r="H20" s="175"/>
      <c r="I20" s="175"/>
      <c r="J20" s="175"/>
      <c r="K20" s="175"/>
      <c r="L20" s="175">
        <f>L17-L18</f>
        <v>21800000000</v>
      </c>
      <c r="M20" s="175"/>
      <c r="N20" s="175"/>
      <c r="O20" s="175"/>
      <c r="P20" s="175"/>
      <c r="Q20" s="2501"/>
      <c r="R20" s="2501"/>
      <c r="S20" s="2501"/>
      <c r="T20" s="214"/>
      <c r="U20" s="1936"/>
      <c r="V20" s="1936"/>
      <c r="W20" s="1936"/>
      <c r="X20" s="1936"/>
      <c r="Y20" s="1936"/>
      <c r="Z20" s="1936"/>
      <c r="AA20" s="2505"/>
      <c r="AB20" s="365" t="str">
        <f t="shared" si="3"/>
        <v/>
      </c>
      <c r="AC20" s="2493"/>
      <c r="AD20" s="2496"/>
      <c r="AE20" s="2496"/>
      <c r="AF20" s="2496"/>
      <c r="AG20" s="2496"/>
      <c r="AH20" s="2496"/>
      <c r="AI20" s="2496"/>
      <c r="AJ20" s="2496"/>
      <c r="AK20" s="2496"/>
      <c r="AL20" s="2496"/>
      <c r="AM20" s="2496"/>
      <c r="AN20" s="2496"/>
      <c r="AO20" s="2496"/>
      <c r="AP20" s="2496"/>
      <c r="AQ20" s="2496"/>
      <c r="AR20" s="2496"/>
      <c r="AS20" s="2496"/>
      <c r="AT20" s="2496"/>
      <c r="AU20" s="2496"/>
      <c r="AV20" s="365"/>
      <c r="AW20" s="365"/>
      <c r="AX20" s="365"/>
      <c r="AY20" s="365"/>
      <c r="AZ20" s="365"/>
      <c r="BA20" s="365"/>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02">
        <v>20700000000</v>
      </c>
      <c r="R21" s="2502">
        <v>90900000000</v>
      </c>
      <c r="S21" s="2502">
        <v>67599999999.999992</v>
      </c>
      <c r="T21" s="2502">
        <v>62200000000</v>
      </c>
      <c r="U21" s="2502">
        <v>60600000000</v>
      </c>
      <c r="V21" s="2502">
        <v>90600000000</v>
      </c>
      <c r="W21" s="2502">
        <v>100100000000</v>
      </c>
      <c r="X21" s="2502">
        <v>98700000000</v>
      </c>
      <c r="Y21" s="2502">
        <v>97000000000</v>
      </c>
      <c r="Z21" s="2502">
        <v>102300000000</v>
      </c>
      <c r="AA21" s="2502">
        <v>108100000000</v>
      </c>
      <c r="AB21" s="365" t="str">
        <f t="shared" si="3"/>
        <v/>
      </c>
      <c r="AC21" s="2493"/>
      <c r="AD21" s="2496"/>
      <c r="AE21" s="2496"/>
      <c r="AF21" s="2496"/>
      <c r="AG21" s="2496"/>
      <c r="AH21" s="2496"/>
      <c r="AI21" s="2496"/>
      <c r="AJ21" s="2496"/>
      <c r="AK21" s="2496"/>
      <c r="AL21" s="2496"/>
      <c r="AM21" s="2496"/>
      <c r="AN21" s="2496"/>
      <c r="AO21" s="2496"/>
      <c r="AP21" s="2496"/>
      <c r="AQ21" s="2496"/>
      <c r="AR21" s="2496"/>
      <c r="AS21" s="2496"/>
      <c r="AT21" s="2496"/>
      <c r="AU21" s="2496"/>
      <c r="AV21" s="365"/>
      <c r="AW21" s="365"/>
      <c r="AX21" s="365"/>
      <c r="AY21" s="365"/>
      <c r="AZ21" s="365"/>
      <c r="BA21" s="365"/>
    </row>
    <row r="22" spans="1:53" ht="15.75">
      <c r="A22" s="20" t="s">
        <v>1296</v>
      </c>
      <c r="B22" s="103" t="s">
        <v>1220</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00">
        <v>9700000000</v>
      </c>
      <c r="R22" s="2500">
        <v>73600000000</v>
      </c>
      <c r="S22" s="2500">
        <v>31000000000</v>
      </c>
      <c r="T22" s="2500">
        <v>38400000000</v>
      </c>
      <c r="U22" s="2500">
        <v>21200000000</v>
      </c>
      <c r="V22" s="2500">
        <v>39700000000</v>
      </c>
      <c r="W22" s="2500">
        <v>36400000000</v>
      </c>
      <c r="X22" s="2500">
        <v>27800000000</v>
      </c>
      <c r="Y22" s="2500">
        <v>27000000000</v>
      </c>
      <c r="Z22" s="2500">
        <v>26000000000</v>
      </c>
      <c r="AA22" s="2505">
        <v>25000000000</v>
      </c>
      <c r="AB22" s="365" t="str">
        <f t="shared" si="3"/>
        <v/>
      </c>
      <c r="AC22" s="2493"/>
      <c r="AD22" s="2496"/>
      <c r="AE22" s="2496"/>
      <c r="AF22" s="2496"/>
      <c r="AG22" s="2496"/>
      <c r="AH22" s="2496"/>
      <c r="AI22" s="2496"/>
      <c r="AJ22" s="2496"/>
      <c r="AK22" s="2496"/>
      <c r="AL22" s="2496"/>
      <c r="AM22" s="2496"/>
      <c r="AN22" s="2496"/>
      <c r="AO22" s="2496"/>
      <c r="AP22" s="2496"/>
      <c r="AQ22" s="2496"/>
      <c r="AR22" s="2496"/>
      <c r="AS22" s="2496"/>
      <c r="AT22" s="2496"/>
      <c r="AU22" s="2496"/>
      <c r="AV22" s="365"/>
      <c r="AW22" s="365"/>
      <c r="AX22" s="365"/>
      <c r="AY22" s="365"/>
      <c r="AZ22" s="365"/>
      <c r="BA22" s="365"/>
    </row>
    <row r="23" spans="1:53" ht="15.75">
      <c r="A23" s="20" t="s">
        <v>564</v>
      </c>
      <c r="B23" s="103" t="s">
        <v>1219</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00">
        <v>11000000000</v>
      </c>
      <c r="R23" s="2500">
        <v>17300000000</v>
      </c>
      <c r="S23" s="2500">
        <v>36600000000</v>
      </c>
      <c r="T23" s="2500">
        <v>23800000000</v>
      </c>
      <c r="U23" s="2500">
        <v>39400000000</v>
      </c>
      <c r="V23" s="2500">
        <v>50900000000</v>
      </c>
      <c r="W23" s="2500">
        <v>63700000000</v>
      </c>
      <c r="X23" s="2500">
        <v>70900000000</v>
      </c>
      <c r="Y23" s="2500">
        <v>70000000000</v>
      </c>
      <c r="Z23" s="2500">
        <v>76300000000</v>
      </c>
      <c r="AA23" s="2505">
        <v>83100000000</v>
      </c>
      <c r="AB23" s="365" t="str">
        <f t="shared" si="3"/>
        <v/>
      </c>
      <c r="AC23" s="2493"/>
      <c r="AD23" s="2496"/>
      <c r="AE23" s="2496"/>
      <c r="AF23" s="2496"/>
      <c r="AG23" s="2496"/>
      <c r="AH23" s="2496"/>
      <c r="AI23" s="2496"/>
      <c r="AJ23" s="2496"/>
      <c r="AK23" s="2496"/>
      <c r="AL23" s="2496"/>
      <c r="AM23" s="2496"/>
      <c r="AN23" s="2496"/>
      <c r="AO23" s="2496"/>
      <c r="AP23" s="2496"/>
      <c r="AQ23" s="2496"/>
      <c r="AR23" s="2496"/>
      <c r="AS23" s="2496"/>
      <c r="AT23" s="2496"/>
      <c r="AU23" s="2496"/>
      <c r="AV23" s="365"/>
      <c r="AW23" s="365"/>
      <c r="AX23" s="365"/>
      <c r="AY23" s="365"/>
      <c r="AZ23" s="365"/>
      <c r="BA23" s="365"/>
    </row>
    <row r="24" spans="1:53" s="15" customFormat="1" ht="15.75">
      <c r="A24" s="206" t="s">
        <v>71</v>
      </c>
      <c r="B24" s="97" t="s">
        <v>535</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499">
        <v>111900000000</v>
      </c>
      <c r="R24" s="2499">
        <v>107300000000</v>
      </c>
      <c r="S24" s="2499">
        <v>140000000000</v>
      </c>
      <c r="T24" s="2502">
        <v>130900000000</v>
      </c>
      <c r="U24" s="2502">
        <v>166800000000</v>
      </c>
      <c r="V24" s="2502">
        <v>192000000000</v>
      </c>
      <c r="W24" s="2502">
        <v>216600000000</v>
      </c>
      <c r="X24" s="2502">
        <v>236200000000</v>
      </c>
      <c r="Y24" s="2502">
        <v>249300000000</v>
      </c>
      <c r="Z24" s="2502">
        <v>270800000000</v>
      </c>
      <c r="AA24" s="2502">
        <v>292600000000</v>
      </c>
      <c r="AB24" s="21"/>
      <c r="AC24" s="2493"/>
      <c r="AD24" s="2496"/>
      <c r="AE24" s="2496"/>
      <c r="AF24" s="2496"/>
      <c r="AG24" s="2496"/>
      <c r="AH24" s="2496"/>
      <c r="AI24" s="2496"/>
      <c r="AJ24" s="2496"/>
      <c r="AK24" s="2496"/>
      <c r="AL24" s="2496"/>
      <c r="AM24" s="2496"/>
      <c r="AN24" s="2496"/>
      <c r="AO24" s="2496"/>
      <c r="AP24" s="2496"/>
      <c r="AQ24" s="2496"/>
      <c r="AR24" s="2496"/>
      <c r="AS24" s="2496"/>
      <c r="AT24" s="2496"/>
      <c r="AU24" s="2496"/>
      <c r="AV24" s="365"/>
      <c r="AW24" s="365"/>
      <c r="AX24" s="365"/>
      <c r="AY24" s="365"/>
      <c r="AZ24" s="365"/>
      <c r="BA24" s="365"/>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493"/>
      <c r="AD25" s="2496"/>
      <c r="AE25" s="2496"/>
      <c r="AF25" s="2496"/>
      <c r="AG25" s="2496"/>
      <c r="AH25" s="2496"/>
      <c r="AI25" s="2496"/>
      <c r="AJ25" s="2496"/>
      <c r="AK25" s="2496"/>
      <c r="AL25" s="2496"/>
      <c r="AM25" s="2496"/>
      <c r="AN25" s="2496"/>
      <c r="AO25" s="2496"/>
      <c r="AP25" s="2496"/>
      <c r="AQ25" s="2496"/>
      <c r="AR25" s="2496"/>
      <c r="AS25" s="2496"/>
      <c r="AT25" s="2496"/>
      <c r="AU25" s="2496"/>
      <c r="AV25" s="365"/>
      <c r="AW25" s="365"/>
      <c r="AX25" s="365"/>
      <c r="AY25" s="365"/>
      <c r="AZ25" s="365"/>
      <c r="BA25" s="365"/>
    </row>
    <row r="26" spans="1:53" ht="15.75">
      <c r="A26" s="103"/>
      <c r="B26" s="90" t="s">
        <v>1592</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00">
        <v>94300000000</v>
      </c>
      <c r="R26" s="2500">
        <v>83600000000</v>
      </c>
      <c r="S26" s="2500">
        <v>90900000000</v>
      </c>
      <c r="T26" s="2500">
        <v>93300000000</v>
      </c>
      <c r="U26" s="2500">
        <v>109200000000</v>
      </c>
      <c r="V26" s="2500">
        <v>111600000000</v>
      </c>
      <c r="W26" s="2500">
        <v>121200000000</v>
      </c>
      <c r="X26" s="2500">
        <v>131900000000</v>
      </c>
      <c r="Y26" s="2500">
        <v>144200000000</v>
      </c>
      <c r="Z26" s="2500">
        <v>157500000000</v>
      </c>
      <c r="AA26" s="2505">
        <v>170300000000</v>
      </c>
      <c r="AB26" s="21"/>
      <c r="AC26" s="2493"/>
      <c r="AD26" s="2496"/>
      <c r="AE26" s="2496"/>
      <c r="AF26" s="2496"/>
      <c r="AG26" s="2496"/>
      <c r="AH26" s="2496"/>
      <c r="AI26" s="2496"/>
      <c r="AJ26" s="2496"/>
      <c r="AK26" s="2496"/>
      <c r="AL26" s="2496"/>
      <c r="AM26" s="2496"/>
      <c r="AN26" s="2496"/>
      <c r="AO26" s="2496"/>
      <c r="AP26" s="2496"/>
      <c r="AQ26" s="2496"/>
      <c r="AR26" s="2496"/>
      <c r="AS26" s="2496"/>
      <c r="AT26" s="2496"/>
      <c r="AU26" s="2496"/>
      <c r="AV26" s="365"/>
      <c r="AW26" s="365"/>
      <c r="AX26" s="365"/>
      <c r="AY26" s="365"/>
      <c r="AZ26" s="365"/>
      <c r="BA26" s="365"/>
    </row>
    <row r="27" spans="1:53" ht="15.75">
      <c r="A27" s="103" t="s">
        <v>79</v>
      </c>
      <c r="B27" s="99" t="s">
        <v>479</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00">
        <v>53700000000</v>
      </c>
      <c r="R27" s="2500">
        <v>54900000000</v>
      </c>
      <c r="S27" s="2500">
        <v>56400000000</v>
      </c>
      <c r="T27" s="2500">
        <v>55900000000</v>
      </c>
      <c r="U27" s="2500">
        <v>57000000000</v>
      </c>
      <c r="V27" s="2500">
        <v>60600000000</v>
      </c>
      <c r="W27" s="2500">
        <v>65599999999.999992</v>
      </c>
      <c r="X27" s="2500">
        <v>71700000000</v>
      </c>
      <c r="Y27" s="2500">
        <v>77500000000</v>
      </c>
      <c r="Z27" s="2500">
        <v>83800000000</v>
      </c>
      <c r="AA27" s="2505">
        <v>90600000000</v>
      </c>
      <c r="AB27" s="21"/>
      <c r="AC27" s="2493"/>
      <c r="AD27" s="2496"/>
      <c r="AE27" s="2496"/>
      <c r="AF27" s="2496"/>
      <c r="AG27" s="2496"/>
      <c r="AH27" s="2496"/>
      <c r="AI27" s="2496"/>
      <c r="AJ27" s="2496"/>
      <c r="AK27" s="2496"/>
      <c r="AL27" s="2496"/>
      <c r="AM27" s="2496"/>
      <c r="AN27" s="2496"/>
      <c r="AO27" s="2496"/>
      <c r="AP27" s="2496"/>
      <c r="AQ27" s="2496"/>
      <c r="AR27" s="2496"/>
      <c r="AS27" s="2496"/>
      <c r="AT27" s="2496"/>
      <c r="AU27" s="2496"/>
      <c r="AV27" s="365"/>
      <c r="AW27" s="365"/>
      <c r="AX27" s="365"/>
      <c r="AY27" s="365"/>
      <c r="AZ27" s="365"/>
      <c r="BA27" s="365"/>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00">
        <v>17500000000</v>
      </c>
      <c r="R28" s="2500">
        <v>14500000000</v>
      </c>
      <c r="S28" s="2500">
        <v>19000000000</v>
      </c>
      <c r="T28" s="2500">
        <v>17600000000</v>
      </c>
      <c r="U28" s="2500">
        <v>24500000000</v>
      </c>
      <c r="V28" s="2500">
        <v>26600000000</v>
      </c>
      <c r="W28" s="2500">
        <v>28500000000</v>
      </c>
      <c r="X28" s="2500">
        <v>30800000000</v>
      </c>
      <c r="Y28" s="2500">
        <v>34900000000</v>
      </c>
      <c r="Z28" s="2500">
        <v>38500000000</v>
      </c>
      <c r="AA28" s="2505">
        <v>41700000000</v>
      </c>
      <c r="AB28" s="21"/>
      <c r="AC28" s="2493"/>
      <c r="AD28" s="2496"/>
      <c r="AE28" s="2496"/>
      <c r="AF28" s="2496"/>
      <c r="AG28" s="2496"/>
      <c r="AH28" s="2496"/>
      <c r="AI28" s="2496"/>
      <c r="AJ28" s="2496"/>
      <c r="AK28" s="2496"/>
      <c r="AL28" s="2496"/>
      <c r="AM28" s="2496"/>
      <c r="AN28" s="2496"/>
      <c r="AO28" s="2496"/>
      <c r="AP28" s="2496"/>
      <c r="AQ28" s="2496"/>
      <c r="AR28" s="2496"/>
      <c r="AS28" s="2496"/>
      <c r="AT28" s="2496"/>
      <c r="AU28" s="2496"/>
      <c r="AV28" s="365"/>
      <c r="AW28" s="365"/>
      <c r="AX28" s="365"/>
      <c r="AY28" s="365"/>
      <c r="AZ28" s="365"/>
      <c r="BA28" s="365"/>
    </row>
    <row r="29" spans="1:53" ht="15.75">
      <c r="A29" s="103" t="s">
        <v>83</v>
      </c>
      <c r="B29" s="99" t="s">
        <v>1593</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00">
        <v>23100000000</v>
      </c>
      <c r="R29" s="2500">
        <v>14200000000</v>
      </c>
      <c r="S29" s="2500">
        <v>15500000000</v>
      </c>
      <c r="T29" s="2500">
        <v>19800000000</v>
      </c>
      <c r="U29" s="2500">
        <v>27700000000</v>
      </c>
      <c r="V29" s="2500">
        <v>24400000000</v>
      </c>
      <c r="W29" s="2500">
        <v>27100000000</v>
      </c>
      <c r="X29" s="2500">
        <v>29400000000</v>
      </c>
      <c r="Y29" s="2500">
        <v>31800000000</v>
      </c>
      <c r="Z29" s="2500">
        <v>35200000000</v>
      </c>
      <c r="AA29" s="2505">
        <v>38000000000</v>
      </c>
      <c r="AB29" s="21"/>
      <c r="AC29" s="2493"/>
      <c r="AD29" s="2496"/>
      <c r="AE29" s="2496"/>
      <c r="AF29" s="2496"/>
      <c r="AG29" s="2496"/>
      <c r="AH29" s="2496"/>
      <c r="AI29" s="2496"/>
      <c r="AJ29" s="2496"/>
      <c r="AK29" s="2496"/>
      <c r="AL29" s="2496"/>
      <c r="AM29" s="2496"/>
      <c r="AN29" s="2496"/>
      <c r="AO29" s="2496"/>
      <c r="AP29" s="2496"/>
      <c r="AQ29" s="2496"/>
      <c r="AR29" s="2496"/>
      <c r="AS29" s="2496"/>
      <c r="AT29" s="2496"/>
      <c r="AU29" s="2496"/>
      <c r="AV29" s="365"/>
      <c r="AW29" s="365"/>
      <c r="AX29" s="365"/>
      <c r="AY29" s="365"/>
      <c r="AZ29" s="365"/>
      <c r="BA29" s="365"/>
    </row>
    <row r="30" spans="1:53" ht="15.75">
      <c r="A30" s="103" t="s">
        <v>5562</v>
      </c>
      <c r="B30" s="90" t="s">
        <v>1595</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00">
        <v>5000000000</v>
      </c>
      <c r="R30" s="2500">
        <v>5500000000</v>
      </c>
      <c r="S30" s="2500">
        <v>5400000000</v>
      </c>
      <c r="T30" s="2500">
        <v>5800000000</v>
      </c>
      <c r="U30" s="2500">
        <v>3800000000</v>
      </c>
      <c r="V30" s="2500">
        <v>4099999999.9999995</v>
      </c>
      <c r="W30" s="2500">
        <v>4300000000</v>
      </c>
      <c r="X30" s="2500">
        <v>4400000000</v>
      </c>
      <c r="Y30" s="2500">
        <v>4400000000</v>
      </c>
      <c r="Z30" s="2500">
        <v>4400000000</v>
      </c>
      <c r="AA30" s="2505">
        <v>4600000000</v>
      </c>
      <c r="AB30" s="21"/>
      <c r="AC30" s="2493"/>
      <c r="AD30" s="2496"/>
      <c r="AE30" s="2496"/>
      <c r="AF30" s="2496"/>
      <c r="AG30" s="2496"/>
      <c r="AH30" s="2496"/>
      <c r="AI30" s="2496"/>
      <c r="AJ30" s="2496"/>
      <c r="AK30" s="2496"/>
      <c r="AL30" s="2496"/>
      <c r="AM30" s="2496"/>
      <c r="AN30" s="2496"/>
      <c r="AO30" s="2496"/>
      <c r="AP30" s="2496"/>
      <c r="AQ30" s="2496"/>
      <c r="AR30" s="2496"/>
      <c r="AS30" s="2496"/>
      <c r="AT30" s="2496"/>
      <c r="AU30" s="2496"/>
      <c r="AV30" s="365"/>
      <c r="AW30" s="365"/>
      <c r="AX30" s="365"/>
      <c r="AY30" s="365"/>
      <c r="AZ30" s="365"/>
      <c r="BA30" s="365"/>
    </row>
    <row r="31" spans="1:53" ht="15.75">
      <c r="A31" s="103" t="s">
        <v>280</v>
      </c>
      <c r="B31" s="103" t="s">
        <v>280</v>
      </c>
      <c r="C31" s="117" t="s">
        <v>1525</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00">
        <v>2600000000</v>
      </c>
      <c r="R31" s="2500">
        <v>3200000000</v>
      </c>
      <c r="S31" s="2500">
        <v>3200000000</v>
      </c>
      <c r="T31" s="2500">
        <v>3600000000</v>
      </c>
      <c r="U31" s="2500">
        <v>2100000000</v>
      </c>
      <c r="V31" s="2500">
        <v>2200000000</v>
      </c>
      <c r="W31" s="2500">
        <v>2400000000</v>
      </c>
      <c r="X31" s="2500">
        <v>2600000000</v>
      </c>
      <c r="Y31" s="2500">
        <v>2600000000</v>
      </c>
      <c r="Z31" s="2500">
        <v>2600000000</v>
      </c>
      <c r="AA31" s="2505">
        <v>2900000000</v>
      </c>
      <c r="AB31" s="21"/>
      <c r="AC31" s="2493"/>
      <c r="AD31" s="2496"/>
      <c r="AE31" s="2496"/>
      <c r="AF31" s="2496"/>
      <c r="AG31" s="2496"/>
      <c r="AH31" s="2496"/>
      <c r="AI31" s="2496"/>
      <c r="AJ31" s="2496"/>
      <c r="AK31" s="2496"/>
      <c r="AL31" s="2496"/>
      <c r="AM31" s="2496"/>
      <c r="AN31" s="2496"/>
      <c r="AO31" s="2496"/>
      <c r="AP31" s="2496"/>
      <c r="AQ31" s="2496"/>
      <c r="AR31" s="2496"/>
      <c r="AS31" s="2496"/>
      <c r="AT31" s="2496"/>
      <c r="AU31" s="2496"/>
      <c r="AV31" s="365"/>
      <c r="AW31" s="365"/>
      <c r="AX31" s="365"/>
      <c r="AY31" s="365"/>
      <c r="AZ31" s="365"/>
      <c r="BA31" s="365"/>
    </row>
    <row r="32" spans="1:53" ht="15.75">
      <c r="A32" s="103" t="s">
        <v>209</v>
      </c>
      <c r="B32" s="103" t="s">
        <v>209</v>
      </c>
      <c r="C32" s="117" t="s">
        <v>1525</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00">
        <v>2400000000</v>
      </c>
      <c r="R32" s="2500">
        <v>2300000000</v>
      </c>
      <c r="S32" s="2500">
        <v>2200000000</v>
      </c>
      <c r="T32" s="2500">
        <v>2200000000</v>
      </c>
      <c r="U32" s="2500">
        <v>1700000000</v>
      </c>
      <c r="V32" s="2500">
        <v>1900000000</v>
      </c>
      <c r="W32" s="2500">
        <v>1900000000</v>
      </c>
      <c r="X32" s="2500">
        <v>1800000000</v>
      </c>
      <c r="Y32" s="2500">
        <v>1800000000</v>
      </c>
      <c r="Z32" s="2500">
        <v>1800000000</v>
      </c>
      <c r="AA32" s="2505">
        <v>1800000000</v>
      </c>
      <c r="AB32" s="21"/>
      <c r="AC32" s="2493"/>
      <c r="AD32" s="2496"/>
      <c r="AE32" s="2496"/>
      <c r="AF32" s="2496"/>
      <c r="AG32" s="2496"/>
      <c r="AH32" s="2496"/>
      <c r="AI32" s="2496"/>
      <c r="AJ32" s="2496"/>
      <c r="AK32" s="2496"/>
      <c r="AL32" s="2496"/>
      <c r="AM32" s="2496"/>
      <c r="AN32" s="2496"/>
      <c r="AO32" s="2496"/>
      <c r="AP32" s="2496"/>
      <c r="AQ32" s="2496"/>
      <c r="AR32" s="2496"/>
      <c r="AS32" s="2496"/>
      <c r="AT32" s="2496"/>
      <c r="AU32" s="2496"/>
      <c r="AV32" s="365"/>
      <c r="AW32" s="365"/>
      <c r="AX32" s="365"/>
      <c r="AY32" s="365"/>
      <c r="AZ32" s="365"/>
      <c r="BA32" s="365"/>
    </row>
    <row r="33" spans="1:53" ht="15.75">
      <c r="A33" s="103" t="s">
        <v>237</v>
      </c>
      <c r="B33" s="90" t="s">
        <v>1596</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00">
        <v>12700000000</v>
      </c>
      <c r="R33" s="2500">
        <v>18100000000</v>
      </c>
      <c r="S33" s="2500">
        <v>43700000000</v>
      </c>
      <c r="T33" s="2500">
        <v>31800000000</v>
      </c>
      <c r="U33" s="2500">
        <v>53800000000</v>
      </c>
      <c r="V33" s="2500">
        <v>76200000000</v>
      </c>
      <c r="W33" s="2500">
        <v>91100000000</v>
      </c>
      <c r="X33" s="2500">
        <v>99900000000</v>
      </c>
      <c r="Y33" s="2500">
        <v>100800000000</v>
      </c>
      <c r="Z33" s="2500">
        <v>108900000000</v>
      </c>
      <c r="AA33" s="2505">
        <v>117700000000</v>
      </c>
      <c r="AB33" s="21"/>
      <c r="AC33" s="2493"/>
      <c r="AD33" s="2496"/>
      <c r="AE33" s="2496"/>
      <c r="AF33" s="2496"/>
      <c r="AG33" s="2496"/>
      <c r="AH33" s="2496"/>
      <c r="AI33" s="2496"/>
      <c r="AJ33" s="2496"/>
      <c r="AK33" s="2496"/>
      <c r="AL33" s="2496"/>
      <c r="AM33" s="2496"/>
      <c r="AN33" s="2496"/>
      <c r="AO33" s="2496"/>
      <c r="AP33" s="2496"/>
      <c r="AQ33" s="2496"/>
      <c r="AR33" s="2496"/>
      <c r="AS33" s="2496"/>
      <c r="AT33" s="2496"/>
      <c r="AU33" s="2496"/>
      <c r="AV33" s="365"/>
      <c r="AW33" s="365"/>
      <c r="AX33" s="365"/>
      <c r="AY33" s="365"/>
      <c r="AZ33" s="365"/>
      <c r="BA33" s="365"/>
    </row>
    <row r="34" spans="1:53" ht="15.75">
      <c r="A34" s="103" t="s">
        <v>239</v>
      </c>
      <c r="B34" s="99" t="s">
        <v>1597</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00">
        <v>600000000</v>
      </c>
      <c r="R34" s="2500">
        <v>800000000</v>
      </c>
      <c r="S34" s="2500">
        <v>3300000000</v>
      </c>
      <c r="T34" s="2500">
        <v>2900000000</v>
      </c>
      <c r="U34" s="2500">
        <v>9000000000</v>
      </c>
      <c r="V34" s="2500">
        <v>17800000000</v>
      </c>
      <c r="W34" s="2500">
        <v>19900000000</v>
      </c>
      <c r="X34" s="2500">
        <v>21500000000</v>
      </c>
      <c r="Y34" s="2500">
        <v>23300000000</v>
      </c>
      <c r="Z34" s="2500">
        <v>25100000000</v>
      </c>
      <c r="AA34" s="2505">
        <v>27200000000</v>
      </c>
      <c r="AB34" s="21"/>
      <c r="AC34" s="2493"/>
      <c r="AD34" s="2496"/>
      <c r="AE34" s="2496"/>
      <c r="AF34" s="2496"/>
      <c r="AG34" s="2496"/>
      <c r="AH34" s="2496"/>
      <c r="AI34" s="2496"/>
      <c r="AJ34" s="2496"/>
      <c r="AK34" s="2496"/>
      <c r="AL34" s="2496"/>
      <c r="AM34" s="2496"/>
      <c r="AN34" s="2496"/>
      <c r="AO34" s="2496"/>
      <c r="AP34" s="2496"/>
      <c r="AQ34" s="2496"/>
      <c r="AR34" s="2496"/>
      <c r="AS34" s="2496"/>
      <c r="AT34" s="2496"/>
      <c r="AU34" s="2496"/>
      <c r="AV34" s="365"/>
      <c r="AW34" s="365"/>
      <c r="AX34" s="365"/>
      <c r="AY34" s="365"/>
      <c r="AZ34" s="365"/>
      <c r="BA34" s="365"/>
    </row>
    <row r="35" spans="1:53" ht="15.75">
      <c r="A35" s="103" t="s">
        <v>395</v>
      </c>
      <c r="B35" s="99" t="s">
        <v>1598</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00">
        <v>12100000000</v>
      </c>
      <c r="R35" s="2500">
        <v>17300000000</v>
      </c>
      <c r="S35" s="2500">
        <v>40400000000</v>
      </c>
      <c r="T35" s="2500">
        <v>28900000000</v>
      </c>
      <c r="U35" s="2500">
        <v>44900000000</v>
      </c>
      <c r="V35" s="2500">
        <v>58400000000</v>
      </c>
      <c r="W35" s="2500">
        <v>71200000000</v>
      </c>
      <c r="X35" s="2500">
        <v>78400000000</v>
      </c>
      <c r="Y35" s="2500">
        <v>77500000000</v>
      </c>
      <c r="Z35" s="2500">
        <v>83800000000</v>
      </c>
      <c r="AA35" s="2505">
        <v>90600000000</v>
      </c>
      <c r="AB35" s="21"/>
      <c r="AC35" s="2493"/>
      <c r="AD35" s="2496"/>
      <c r="AE35" s="2496"/>
      <c r="AF35" s="2496"/>
      <c r="AG35" s="2496"/>
      <c r="AH35" s="2496"/>
      <c r="AI35" s="2496"/>
      <c r="AJ35" s="2496"/>
      <c r="AK35" s="2496"/>
      <c r="AL35" s="2496"/>
      <c r="AM35" s="2496"/>
      <c r="AN35" s="2496"/>
      <c r="AO35" s="2496"/>
      <c r="AP35" s="2496"/>
      <c r="AQ35" s="2496"/>
      <c r="AR35" s="2496"/>
      <c r="AS35" s="2496"/>
      <c r="AT35" s="2496"/>
      <c r="AU35" s="2496"/>
      <c r="AV35" s="365"/>
      <c r="AW35" s="365"/>
      <c r="AX35" s="365"/>
      <c r="AY35" s="365"/>
      <c r="AZ35" s="365"/>
      <c r="BA35" s="365"/>
    </row>
    <row r="36" spans="1:53" ht="15.75">
      <c r="A36" t="s">
        <v>76</v>
      </c>
      <c r="B36" s="90" t="s">
        <v>1599</v>
      </c>
      <c r="C36" s="90"/>
      <c r="D36" s="90"/>
      <c r="E36" s="175"/>
      <c r="F36" s="175"/>
      <c r="G36" s="175"/>
      <c r="H36" s="175"/>
      <c r="I36" s="175"/>
      <c r="J36" s="175"/>
      <c r="K36" s="175"/>
      <c r="L36" s="175"/>
      <c r="M36" s="175"/>
      <c r="N36" s="175"/>
      <c r="O36" s="175"/>
      <c r="P36" s="175"/>
      <c r="Q36" s="2501">
        <v>0</v>
      </c>
      <c r="R36" s="2501">
        <v>0</v>
      </c>
      <c r="S36" s="2501">
        <v>0</v>
      </c>
      <c r="T36" s="2500">
        <v>0</v>
      </c>
      <c r="U36" s="2500"/>
      <c r="V36" s="2500"/>
      <c r="W36" s="2500"/>
      <c r="X36" s="2500"/>
      <c r="Y36" s="2500"/>
      <c r="Z36" s="2500"/>
      <c r="AA36" s="2505"/>
      <c r="AB36" s="365" t="str">
        <f t="shared" si="3"/>
        <v/>
      </c>
      <c r="AC36" s="2493"/>
      <c r="AD36" s="2496"/>
      <c r="AE36" s="2496"/>
      <c r="AF36" s="2496"/>
      <c r="AG36" s="2496"/>
      <c r="AH36" s="2496"/>
      <c r="AI36" s="2496"/>
      <c r="AJ36" s="2496"/>
      <c r="AK36" s="2496"/>
      <c r="AL36" s="2496"/>
      <c r="AM36" s="2496"/>
      <c r="AN36" s="2496"/>
      <c r="AO36" s="2496"/>
      <c r="AP36" s="2496"/>
      <c r="AQ36" s="2496"/>
      <c r="AR36" s="2496"/>
      <c r="AS36" s="2496"/>
      <c r="AT36" s="2496"/>
      <c r="AU36" s="2496"/>
      <c r="AV36" s="365"/>
      <c r="AW36" s="365"/>
      <c r="AX36" s="365"/>
      <c r="AY36" s="365"/>
      <c r="AZ36" s="365"/>
      <c r="BA36" s="365"/>
    </row>
    <row r="37" spans="1:53" ht="15.75">
      <c r="A37" t="s">
        <v>76</v>
      </c>
      <c r="B37" s="90" t="s">
        <v>1250</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00">
        <v>-69700000000</v>
      </c>
      <c r="R37" s="2500">
        <v>-65900000000.000008</v>
      </c>
      <c r="S37" s="2500">
        <v>-73500000000</v>
      </c>
      <c r="T37" s="2500">
        <v>-46000000000</v>
      </c>
      <c r="U37" s="2500">
        <v>-73400000000</v>
      </c>
      <c r="V37" s="2500">
        <v>-79900000000</v>
      </c>
      <c r="W37" s="2500">
        <v>-91100000000</v>
      </c>
      <c r="X37" s="2500">
        <v>-96000000000</v>
      </c>
      <c r="Y37" s="2500">
        <v>-93100000000</v>
      </c>
      <c r="Z37" s="2500">
        <v>-97400000000</v>
      </c>
      <c r="AA37" s="2505">
        <v>-100600000000</v>
      </c>
      <c r="AB37" s="365" t="str">
        <f t="shared" si="3"/>
        <v/>
      </c>
      <c r="AC37" s="2493"/>
      <c r="AD37" s="2496"/>
      <c r="AE37" s="2496"/>
      <c r="AF37" s="2496"/>
      <c r="AG37" s="2496"/>
      <c r="AH37" s="2496"/>
      <c r="AI37" s="2496"/>
      <c r="AJ37" s="2496"/>
      <c r="AK37" s="2496"/>
      <c r="AL37" s="2496"/>
      <c r="AM37" s="2496"/>
      <c r="AN37" s="2496"/>
      <c r="AO37" s="2496"/>
      <c r="AP37" s="2496"/>
      <c r="AQ37" s="2496"/>
      <c r="AR37" s="2496"/>
      <c r="AS37" s="2496"/>
      <c r="AT37" s="2496"/>
      <c r="AU37" s="2496"/>
      <c r="AV37" s="365"/>
      <c r="AW37" s="365"/>
      <c r="AX37" s="365"/>
      <c r="AY37" s="365"/>
      <c r="AZ37" s="365"/>
      <c r="BA37" s="365"/>
    </row>
    <row r="38" spans="1:53" ht="15.75">
      <c r="A38" t="s">
        <v>76</v>
      </c>
      <c r="B38" s="90" t="s">
        <v>1600</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00">
        <v>-52700000000</v>
      </c>
      <c r="R38" s="2500">
        <v>-43100000000</v>
      </c>
      <c r="S38" s="2500">
        <v>-27700000000</v>
      </c>
      <c r="T38" s="2500">
        <v>-11300000000</v>
      </c>
      <c r="U38" s="2500">
        <v>-24700000000</v>
      </c>
      <c r="V38" s="2500">
        <v>-17300000000</v>
      </c>
      <c r="W38" s="2500">
        <v>-15600000000</v>
      </c>
      <c r="X38" s="2500">
        <v>-13200000000</v>
      </c>
      <c r="Y38" s="2500">
        <v>-11200000000</v>
      </c>
      <c r="Z38" s="2500">
        <v>-9200000000</v>
      </c>
      <c r="AA38" s="2505">
        <v>-5400000000</v>
      </c>
      <c r="AB38" s="365" t="str">
        <f t="shared" si="3"/>
        <v/>
      </c>
      <c r="AC38" s="2494"/>
      <c r="AD38" s="2496"/>
      <c r="AE38" s="2496"/>
      <c r="AF38" s="2496"/>
      <c r="AG38" s="2496"/>
      <c r="AH38" s="2496"/>
      <c r="AI38" s="2496"/>
      <c r="AJ38" s="2496"/>
      <c r="AK38" s="2496"/>
      <c r="AL38" s="2496"/>
      <c r="AM38" s="2496"/>
      <c r="AN38" s="2496"/>
      <c r="AO38" s="2496"/>
      <c r="AP38" s="2496"/>
      <c r="AQ38" s="2496"/>
      <c r="AR38" s="2496"/>
      <c r="AS38" s="2496"/>
      <c r="AT38" s="2496"/>
      <c r="AU38" s="2496"/>
      <c r="AV38" s="365"/>
      <c r="AW38" s="365"/>
      <c r="AX38" s="365"/>
      <c r="AY38" s="365"/>
      <c r="AZ38" s="365"/>
      <c r="BA38" s="365"/>
    </row>
    <row r="39" spans="1:53" ht="15.75">
      <c r="A39" t="s">
        <v>76</v>
      </c>
      <c r="B39" s="90" t="s">
        <v>1601</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00">
        <v>-49000000000</v>
      </c>
      <c r="R39" s="2500">
        <v>25000000000</v>
      </c>
      <c r="S39" s="2500">
        <v>-5900000000</v>
      </c>
      <c r="T39" s="2500">
        <v>16200000000</v>
      </c>
      <c r="U39" s="2500">
        <v>-12800000000</v>
      </c>
      <c r="V39" s="2500">
        <v>10700000000</v>
      </c>
      <c r="W39" s="2500">
        <v>9000000000</v>
      </c>
      <c r="X39" s="2500">
        <v>2700000000</v>
      </c>
      <c r="Y39" s="2500">
        <v>3900000000</v>
      </c>
      <c r="Z39" s="2500">
        <v>4900000000</v>
      </c>
      <c r="AA39" s="2505">
        <v>7500000000</v>
      </c>
      <c r="AB39" s="365" t="str">
        <f t="shared" si="3"/>
        <v/>
      </c>
      <c r="AC39" s="2493"/>
      <c r="AD39" s="2496"/>
      <c r="AE39" s="2496"/>
      <c r="AF39" s="2496"/>
      <c r="AG39" s="2496"/>
      <c r="AH39" s="2496"/>
      <c r="AI39" s="2496"/>
      <c r="AJ39" s="2496"/>
      <c r="AK39" s="2496"/>
      <c r="AL39" s="2496"/>
      <c r="AM39" s="2496"/>
      <c r="AN39" s="2496"/>
      <c r="AO39" s="2496"/>
      <c r="AP39" s="2496"/>
      <c r="AQ39" s="2496"/>
      <c r="AR39" s="2496"/>
      <c r="AS39" s="2496"/>
      <c r="AT39" s="2496"/>
      <c r="AU39" s="2496"/>
      <c r="AV39" s="365"/>
      <c r="AW39" s="365"/>
      <c r="AX39" s="365"/>
      <c r="AY39" s="365"/>
      <c r="AZ39" s="365"/>
      <c r="BA39" s="365"/>
    </row>
    <row r="40" spans="1:53" ht="15.75">
      <c r="A40" t="s">
        <v>76</v>
      </c>
      <c r="B40" s="90" t="s">
        <v>1602</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00">
        <v>17400000000</v>
      </c>
      <c r="R40" s="2500">
        <v>-13900000000</v>
      </c>
      <c r="S40" s="2500">
        <v>-10100000000</v>
      </c>
      <c r="T40" s="2500">
        <v>-3500000000</v>
      </c>
      <c r="U40" s="2500">
        <v>-11500000000</v>
      </c>
      <c r="V40" s="2500">
        <v>-48900000000</v>
      </c>
      <c r="W40" s="2500">
        <v>-27800000000</v>
      </c>
      <c r="X40" s="2500">
        <v>0</v>
      </c>
      <c r="Y40" s="2500">
        <v>0</v>
      </c>
      <c r="Z40" s="2500">
        <v>0</v>
      </c>
      <c r="AA40" s="2505">
        <v>0</v>
      </c>
      <c r="AB40" s="365" t="str">
        <f t="shared" si="3"/>
        <v/>
      </c>
      <c r="AC40" s="2493"/>
      <c r="AD40" s="2496"/>
      <c r="AE40" s="2496"/>
      <c r="AF40" s="2496"/>
      <c r="AG40" s="2496"/>
      <c r="AH40" s="2496"/>
      <c r="AI40" s="2496"/>
      <c r="AJ40" s="2496"/>
      <c r="AK40" s="2496"/>
      <c r="AL40" s="2496"/>
      <c r="AM40" s="2496"/>
      <c r="AN40" s="2496"/>
      <c r="AO40" s="2496"/>
      <c r="AP40" s="2496"/>
      <c r="AQ40" s="2496"/>
      <c r="AR40" s="2496"/>
      <c r="AS40" s="2496"/>
      <c r="AT40" s="2496"/>
      <c r="AU40" s="2496"/>
      <c r="AV40" s="365"/>
      <c r="AW40" s="365"/>
      <c r="AX40" s="365"/>
      <c r="AY40" s="365"/>
      <c r="AZ40" s="365"/>
      <c r="BA40" s="365"/>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00">
        <v>17400000000</v>
      </c>
      <c r="R41" s="2500">
        <v>-12100000000</v>
      </c>
      <c r="S41" s="2500">
        <v>-10100000000</v>
      </c>
      <c r="T41" s="2500">
        <v>-6000000000</v>
      </c>
      <c r="U41" s="2500">
        <v>-9000000000</v>
      </c>
      <c r="V41" s="2500">
        <v>-47900000000</v>
      </c>
      <c r="W41" s="2500">
        <v>-27800000000</v>
      </c>
      <c r="X41" s="2500">
        <v>0</v>
      </c>
      <c r="Y41" s="2500">
        <v>0</v>
      </c>
      <c r="Z41" s="2500">
        <v>0</v>
      </c>
      <c r="AA41" s="2505">
        <v>0</v>
      </c>
      <c r="AB41" s="365" t="str">
        <f t="shared" si="3"/>
        <v/>
      </c>
      <c r="AC41" s="2493"/>
      <c r="AD41" s="2496"/>
      <c r="AE41" s="2496"/>
      <c r="AF41" s="2496"/>
      <c r="AG41" s="2496"/>
      <c r="AH41" s="2496"/>
      <c r="AI41" s="2496"/>
      <c r="AJ41" s="2496"/>
      <c r="AK41" s="2496"/>
      <c r="AL41" s="2496"/>
      <c r="AM41" s="2496"/>
      <c r="AN41" s="2496"/>
      <c r="AO41" s="2496"/>
      <c r="AP41" s="2496"/>
      <c r="AQ41" s="2496"/>
      <c r="AR41" s="2496"/>
      <c r="AS41" s="2496"/>
      <c r="AT41" s="2496"/>
      <c r="AU41" s="2496"/>
      <c r="AV41" s="365"/>
      <c r="AW41" s="365"/>
      <c r="AX41" s="365"/>
      <c r="AY41" s="365"/>
      <c r="AZ41" s="365"/>
      <c r="BA41" s="365"/>
    </row>
    <row r="42" spans="1:53" ht="15.75">
      <c r="A42" s="2463" t="s">
        <v>1603</v>
      </c>
      <c r="B42" s="2506" t="s">
        <v>1603</v>
      </c>
      <c r="C42" s="2506"/>
      <c r="E42" s="158"/>
      <c r="F42" s="158"/>
      <c r="G42" s="158"/>
      <c r="H42" s="164"/>
      <c r="I42" s="164"/>
      <c r="J42" s="164"/>
      <c r="K42" s="164"/>
      <c r="L42" s="164"/>
      <c r="M42" s="164"/>
      <c r="N42" s="164"/>
      <c r="O42" s="164"/>
      <c r="P42" s="164"/>
      <c r="Q42" s="2500"/>
      <c r="R42" s="2500">
        <v>0</v>
      </c>
      <c r="S42" s="2500">
        <v>0</v>
      </c>
      <c r="T42" s="2500">
        <v>0</v>
      </c>
      <c r="U42" s="2500">
        <v>-2400000000</v>
      </c>
      <c r="V42" s="2500">
        <v>-38700000000</v>
      </c>
      <c r="W42" s="2500">
        <v>-23800000000</v>
      </c>
      <c r="X42" s="2500"/>
      <c r="Y42" s="2500"/>
      <c r="Z42" s="2500"/>
      <c r="AA42" s="2505"/>
      <c r="AB42" s="365"/>
      <c r="AC42" s="2494"/>
      <c r="AE42" s="2496"/>
      <c r="AF42" s="2496"/>
      <c r="AG42" s="2496"/>
      <c r="AH42" s="2496"/>
      <c r="AI42" s="2496"/>
      <c r="AJ42" s="2496"/>
      <c r="AK42" s="2496"/>
      <c r="AL42" s="2496"/>
      <c r="AM42" s="2496"/>
      <c r="AN42" s="2496"/>
      <c r="AO42" s="2496"/>
      <c r="AP42" s="2496"/>
      <c r="AQ42" s="2496"/>
      <c r="AR42" s="2496"/>
      <c r="AS42" s="2496"/>
      <c r="AT42" s="2496"/>
      <c r="AU42" s="2496"/>
      <c r="AV42" s="365"/>
      <c r="AW42" s="365"/>
      <c r="AX42" s="365"/>
      <c r="AY42" s="365"/>
      <c r="AZ42" s="365"/>
      <c r="BA42" s="365"/>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00">
        <v>0</v>
      </c>
      <c r="R43" s="2500">
        <v>-1800000000</v>
      </c>
      <c r="S43" s="2500">
        <v>0</v>
      </c>
      <c r="T43" s="2500">
        <v>2500000000</v>
      </c>
      <c r="U43" s="2500">
        <v>-2500000000</v>
      </c>
      <c r="V43" s="2500">
        <v>-1000000000</v>
      </c>
      <c r="W43" s="2500">
        <v>0</v>
      </c>
      <c r="X43" s="2500">
        <v>0</v>
      </c>
      <c r="Y43" s="2500">
        <v>0</v>
      </c>
      <c r="Z43" s="2500">
        <v>0</v>
      </c>
      <c r="AA43" s="2505">
        <v>0</v>
      </c>
      <c r="AB43" s="365" t="str">
        <f t="shared" si="3"/>
        <v/>
      </c>
      <c r="AC43" s="2493"/>
      <c r="AD43" s="2496"/>
      <c r="AE43" s="2496"/>
      <c r="AF43" s="2496"/>
      <c r="AG43" s="2496"/>
      <c r="AH43" s="2496"/>
      <c r="AI43" s="2496"/>
      <c r="AJ43" s="2496"/>
      <c r="AK43" s="2496"/>
      <c r="AL43" s="2496"/>
      <c r="AM43" s="2496"/>
      <c r="AN43" s="2496"/>
      <c r="AO43" s="2496"/>
      <c r="AP43" s="2496"/>
      <c r="AQ43" s="2496"/>
      <c r="AR43" s="2496"/>
      <c r="AS43" s="2496"/>
      <c r="AT43" s="2496"/>
      <c r="AU43" s="2496"/>
      <c r="AV43" s="365"/>
      <c r="AW43" s="365"/>
      <c r="AX43" s="365"/>
      <c r="AY43" s="365"/>
      <c r="AZ43" s="365"/>
      <c r="BA43" s="365"/>
    </row>
    <row r="44" spans="1:53" ht="15.75">
      <c r="A44" t="s">
        <v>76</v>
      </c>
      <c r="B44" s="90" t="s">
        <v>1604</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00">
        <v>1200000000</v>
      </c>
      <c r="R44" s="2500">
        <v>-15300000000</v>
      </c>
      <c r="S44" s="2500">
        <v>-13000000000</v>
      </c>
      <c r="T44" s="2500">
        <v>1300000000</v>
      </c>
      <c r="U44" s="2500">
        <v>4900000000</v>
      </c>
      <c r="V44" s="2500">
        <v>0</v>
      </c>
      <c r="W44" s="2500">
        <v>0</v>
      </c>
      <c r="X44" s="2500">
        <v>0</v>
      </c>
      <c r="Y44" s="2500">
        <v>0</v>
      </c>
      <c r="Z44" s="2500">
        <v>0</v>
      </c>
      <c r="AA44" s="2505">
        <v>0</v>
      </c>
      <c r="AB44" s="365" t="str">
        <f t="shared" si="3"/>
        <v/>
      </c>
      <c r="AC44" s="2493"/>
      <c r="AD44" s="2496"/>
      <c r="AE44" s="2496"/>
      <c r="AF44" s="2496"/>
      <c r="AG44" s="2496"/>
      <c r="AH44" s="2496"/>
      <c r="AI44" s="2496"/>
      <c r="AJ44" s="2496"/>
      <c r="AK44" s="2496"/>
      <c r="AL44" s="2496"/>
      <c r="AM44" s="2496"/>
      <c r="AN44" s="2496"/>
      <c r="AO44" s="2496"/>
      <c r="AP44" s="2496"/>
      <c r="AQ44" s="2496"/>
      <c r="AR44" s="2496"/>
      <c r="AS44" s="2496"/>
      <c r="AT44" s="2496"/>
      <c r="AU44" s="2496"/>
      <c r="AV44" s="365"/>
      <c r="AW44" s="365"/>
      <c r="AX44" s="365"/>
      <c r="AY44" s="365"/>
      <c r="AZ44" s="365"/>
      <c r="BA44" s="365"/>
    </row>
    <row r="45" spans="1:53" ht="15.75">
      <c r="A45" t="s">
        <v>76</v>
      </c>
      <c r="B45" s="90" t="s">
        <v>1605</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00">
        <v>-30400000000</v>
      </c>
      <c r="R45" s="2500">
        <v>-4200000000</v>
      </c>
      <c r="S45" s="2500">
        <v>-29000000000</v>
      </c>
      <c r="T45" s="2500">
        <v>14000000000</v>
      </c>
      <c r="U45" s="2500">
        <v>-19500000000</v>
      </c>
      <c r="V45" s="2500">
        <v>-38200000000</v>
      </c>
      <c r="W45" s="2500">
        <v>-18800000000</v>
      </c>
      <c r="X45" s="2500">
        <v>2700000000</v>
      </c>
      <c r="Y45" s="2500">
        <v>3900000000</v>
      </c>
      <c r="Z45" s="2500">
        <v>4900000000</v>
      </c>
      <c r="AA45" s="2505">
        <v>7500000000</v>
      </c>
      <c r="AB45" s="365" t="str">
        <f t="shared" si="3"/>
        <v/>
      </c>
      <c r="AC45" s="2493"/>
      <c r="AD45" s="2496"/>
      <c r="AE45" s="2496"/>
      <c r="AF45" s="2496"/>
      <c r="AG45" s="2496"/>
      <c r="AH45" s="2496"/>
      <c r="AI45" s="2496"/>
      <c r="AJ45" s="2496"/>
      <c r="AK45" s="2496"/>
      <c r="AL45" s="2496"/>
      <c r="AM45" s="2496"/>
      <c r="AN45" s="2496"/>
      <c r="AO45" s="2496"/>
      <c r="AP45" s="2496"/>
      <c r="AQ45" s="2496"/>
      <c r="AR45" s="2496"/>
      <c r="AS45" s="2496"/>
      <c r="AT45" s="2496"/>
      <c r="AU45" s="2496"/>
      <c r="AV45" s="365"/>
      <c r="AW45" s="365"/>
      <c r="AX45" s="365"/>
      <c r="AY45" s="365"/>
      <c r="AZ45" s="365"/>
      <c r="BA45" s="365"/>
    </row>
    <row r="46" spans="1:53" s="15" customFormat="1" ht="15.75">
      <c r="A46" s="244" t="s">
        <v>115</v>
      </c>
      <c r="B46" s="128" t="s">
        <v>592</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03">
        <f t="shared" si="12"/>
        <v>30400000000</v>
      </c>
      <c r="R46" s="2503">
        <f t="shared" si="12"/>
        <v>4200000000</v>
      </c>
      <c r="S46" s="2503">
        <f t="shared" si="12"/>
        <v>29100000000</v>
      </c>
      <c r="T46" s="2503">
        <f t="shared" si="12"/>
        <v>-14100000000</v>
      </c>
      <c r="U46" s="2503">
        <f>U48+U60</f>
        <v>19600000000</v>
      </c>
      <c r="V46" s="2503">
        <f t="shared" ref="V46:AA46" si="13">V48+V60</f>
        <v>38200000000</v>
      </c>
      <c r="W46" s="2503">
        <f t="shared" si="13"/>
        <v>18800000000</v>
      </c>
      <c r="X46" s="2503">
        <f t="shared" si="13"/>
        <v>-2700000000</v>
      </c>
      <c r="Y46" s="2503">
        <f t="shared" si="13"/>
        <v>-3900000000</v>
      </c>
      <c r="Z46" s="2503">
        <f t="shared" si="13"/>
        <v>-4900000000</v>
      </c>
      <c r="AA46" s="2503">
        <f t="shared" si="13"/>
        <v>-7500000000</v>
      </c>
      <c r="AB46" s="365" t="str">
        <f t="shared" si="3"/>
        <v/>
      </c>
      <c r="AC46" s="2493"/>
      <c r="AD46" s="2496"/>
      <c r="AE46" s="2496"/>
      <c r="AF46" s="2496"/>
      <c r="AG46" s="2496"/>
      <c r="AH46" s="2496"/>
      <c r="AI46" s="2496"/>
      <c r="AJ46" s="2496"/>
      <c r="AK46" s="2496"/>
      <c r="AL46" s="2496"/>
      <c r="AM46" s="2496"/>
      <c r="AN46" s="2496"/>
      <c r="AO46" s="2496"/>
      <c r="AP46" s="2496"/>
      <c r="AQ46" s="2496"/>
      <c r="AR46" s="2496"/>
      <c r="AS46" s="2496"/>
      <c r="AT46" s="2496"/>
      <c r="AU46" s="2496"/>
      <c r="AV46" s="365"/>
      <c r="AW46" s="365"/>
      <c r="AX46" s="365"/>
      <c r="AY46" s="365"/>
      <c r="AZ46" s="365"/>
      <c r="BA46" s="365"/>
    </row>
    <row r="47" spans="1:53" ht="15.75">
      <c r="A47" s="245" t="s">
        <v>76</v>
      </c>
      <c r="B47" s="90" t="s">
        <v>1606</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00">
        <v>30400000000</v>
      </c>
      <c r="R47" s="2500">
        <v>4200000000</v>
      </c>
      <c r="S47" s="2500">
        <v>29100000000</v>
      </c>
      <c r="T47" s="2500">
        <v>-14100000000</v>
      </c>
      <c r="U47" s="2500">
        <v>19500000000</v>
      </c>
      <c r="V47" s="2500">
        <v>38200000000</v>
      </c>
      <c r="W47" s="2500">
        <v>18800000000</v>
      </c>
      <c r="X47" s="2500">
        <v>-2700000000</v>
      </c>
      <c r="Y47" s="2500">
        <v>-3900000000</v>
      </c>
      <c r="Z47" s="2500">
        <v>-4900000000</v>
      </c>
      <c r="AA47" s="2505">
        <v>-7500000000</v>
      </c>
      <c r="AB47" s="365" t="str">
        <f t="shared" si="3"/>
        <v/>
      </c>
      <c r="AC47" s="2493"/>
      <c r="AD47" s="2496"/>
      <c r="AE47" s="2496"/>
      <c r="AF47" s="2496"/>
      <c r="AG47" s="2496"/>
      <c r="AH47" s="2496"/>
      <c r="AI47" s="2496"/>
      <c r="AJ47" s="2496"/>
      <c r="AK47" s="2496"/>
      <c r="AL47" s="2496"/>
      <c r="AM47" s="2496"/>
      <c r="AN47" s="2496"/>
      <c r="AO47" s="2496"/>
      <c r="AP47" s="2496"/>
      <c r="AQ47" s="2496"/>
      <c r="AR47" s="2496"/>
      <c r="AS47" s="2496"/>
      <c r="AT47" s="2496"/>
      <c r="AU47" s="2496"/>
      <c r="AV47" s="365"/>
      <c r="AW47" s="365"/>
      <c r="AX47" s="365"/>
      <c r="AY47" s="365"/>
      <c r="AZ47" s="365"/>
      <c r="BA47" s="365"/>
    </row>
    <row r="48" spans="1:53" ht="15.75">
      <c r="A48" s="43" t="s">
        <v>117</v>
      </c>
      <c r="B48" s="90" t="s">
        <v>1607</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04">
        <f t="shared" si="14"/>
        <v>20500000000</v>
      </c>
      <c r="R48" s="2504">
        <f t="shared" si="14"/>
        <v>900000000</v>
      </c>
      <c r="S48" s="2504">
        <f t="shared" si="14"/>
        <v>6100000000</v>
      </c>
      <c r="T48" s="2500">
        <f t="shared" si="14"/>
        <v>-400000000</v>
      </c>
      <c r="U48" s="2500">
        <v>12600000000</v>
      </c>
      <c r="V48" s="2500">
        <v>1800000000</v>
      </c>
      <c r="W48" s="2500">
        <v>1800000000</v>
      </c>
      <c r="X48" s="2500">
        <v>1800000000</v>
      </c>
      <c r="Y48" s="2500">
        <v>2300000000</v>
      </c>
      <c r="Z48" s="2500">
        <v>2100000000</v>
      </c>
      <c r="AA48" s="2505">
        <v>3500000000</v>
      </c>
      <c r="AB48" s="365" t="str">
        <f t="shared" si="3"/>
        <v/>
      </c>
      <c r="AC48" s="2493"/>
      <c r="AD48" s="2496"/>
      <c r="AE48" s="2496"/>
      <c r="AF48" s="2496"/>
      <c r="AG48" s="2496"/>
      <c r="AH48" s="2496"/>
      <c r="AI48" s="2496"/>
      <c r="AJ48" s="2496"/>
      <c r="AK48" s="2496"/>
      <c r="AL48" s="2496"/>
      <c r="AM48" s="2496"/>
      <c r="AN48" s="2496"/>
      <c r="AO48" s="2496"/>
      <c r="AP48" s="2496"/>
      <c r="AQ48" s="2496"/>
      <c r="AR48" s="2496"/>
      <c r="AS48" s="2496"/>
      <c r="AT48" s="2496"/>
      <c r="AU48" s="2496"/>
      <c r="AV48" s="365"/>
      <c r="AW48" s="365"/>
      <c r="AX48" s="365"/>
      <c r="AY48" s="365"/>
      <c r="AZ48" s="365"/>
      <c r="BA48" s="365"/>
    </row>
    <row r="49" spans="1:53" ht="15.75">
      <c r="B49" s="90" t="s">
        <v>1608</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00">
        <v>20500000000</v>
      </c>
      <c r="R49" s="2500">
        <v>900000000</v>
      </c>
      <c r="S49" s="2500">
        <v>6100000000</v>
      </c>
      <c r="T49" s="2500">
        <v>-400000000</v>
      </c>
      <c r="U49" s="2500"/>
      <c r="V49" s="2500"/>
      <c r="W49" s="2500"/>
      <c r="X49" s="2500"/>
      <c r="Y49" s="2500"/>
      <c r="Z49" s="2500"/>
      <c r="AA49" s="2505"/>
      <c r="AB49" s="365" t="str">
        <f t="shared" si="3"/>
        <v/>
      </c>
      <c r="AC49" s="2493"/>
      <c r="AD49" s="2496"/>
      <c r="AE49" s="2496"/>
      <c r="AF49" s="2496"/>
      <c r="AG49" s="2496"/>
      <c r="AH49" s="2496"/>
      <c r="AI49" s="2496"/>
      <c r="AJ49" s="2496"/>
      <c r="AK49" s="2496"/>
      <c r="AL49" s="2496"/>
      <c r="AM49" s="2496"/>
      <c r="AN49" s="2496"/>
      <c r="AO49" s="2496"/>
      <c r="AP49" s="2496"/>
      <c r="AQ49" s="2496"/>
      <c r="AR49" s="2496"/>
      <c r="AS49" s="2496"/>
      <c r="AT49" s="2496"/>
      <c r="AU49" s="2496"/>
      <c r="AV49" s="365"/>
      <c r="AW49" s="365"/>
      <c r="AX49" s="365"/>
      <c r="AY49" s="365"/>
      <c r="AZ49" s="365"/>
      <c r="BA49" s="365"/>
    </row>
    <row r="50" spans="1:53" ht="15.75">
      <c r="A50" s="20" t="s">
        <v>76</v>
      </c>
      <c r="B50" s="99" t="s">
        <v>1427</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00"/>
      <c r="R50" s="2500"/>
      <c r="S50" s="2500"/>
      <c r="T50" s="2500"/>
      <c r="U50" s="2500"/>
      <c r="V50" s="2500"/>
      <c r="W50" s="2500"/>
      <c r="X50" s="2500"/>
      <c r="Y50" s="2500"/>
      <c r="Z50" s="2500"/>
      <c r="AA50" s="2505"/>
      <c r="AB50" s="365" t="str">
        <f t="shared" si="3"/>
        <v/>
      </c>
      <c r="AC50" s="2493"/>
      <c r="AD50" s="2496"/>
      <c r="AE50" s="2496"/>
      <c r="AF50" s="2496"/>
      <c r="AG50" s="2496"/>
      <c r="AH50" s="2496"/>
      <c r="AI50" s="2496"/>
      <c r="AJ50" s="2496"/>
      <c r="AK50" s="2496"/>
      <c r="AL50" s="2496"/>
      <c r="AM50" s="2496"/>
      <c r="AN50" s="2496"/>
      <c r="AO50" s="2496"/>
      <c r="AP50" s="2496"/>
      <c r="AQ50" s="2496"/>
      <c r="AR50" s="2496"/>
      <c r="AS50" s="2496"/>
      <c r="AT50" s="2496"/>
      <c r="AU50" s="2496"/>
      <c r="AV50" s="365"/>
      <c r="AW50" s="365"/>
      <c r="AX50" s="365"/>
      <c r="AY50" s="365"/>
      <c r="AZ50" s="365"/>
      <c r="BA50" s="365"/>
    </row>
    <row r="51" spans="1:53" ht="15.75">
      <c r="A51" t="s">
        <v>76</v>
      </c>
      <c r="B51" s="100" t="s">
        <v>564</v>
      </c>
      <c r="C51" s="90"/>
      <c r="D51" s="90"/>
      <c r="E51" s="158">
        <v>21800000000</v>
      </c>
      <c r="F51" s="158">
        <v>26500000000</v>
      </c>
      <c r="G51" s="158">
        <v>6000000000</v>
      </c>
      <c r="H51" s="164"/>
      <c r="I51" s="164"/>
      <c r="J51" s="164"/>
      <c r="K51" s="164"/>
      <c r="L51" s="164"/>
      <c r="M51" s="164"/>
      <c r="N51" s="164"/>
      <c r="O51" s="164"/>
      <c r="P51" s="164"/>
      <c r="Q51" s="2500"/>
      <c r="R51" s="2500"/>
      <c r="S51" s="2500"/>
      <c r="T51" s="2500"/>
      <c r="U51" s="2500"/>
      <c r="V51" s="2500"/>
      <c r="W51" s="2500"/>
      <c r="X51" s="2500"/>
      <c r="Y51" s="2500"/>
      <c r="Z51" s="2500"/>
      <c r="AA51" s="2505"/>
      <c r="AB51" s="365" t="str">
        <f t="shared" si="3"/>
        <v/>
      </c>
      <c r="AC51" s="2493"/>
      <c r="AD51" s="2496"/>
      <c r="AE51" s="2496"/>
      <c r="AF51" s="2496"/>
      <c r="AG51" s="2496"/>
      <c r="AH51" s="2496"/>
      <c r="AI51" s="2496"/>
      <c r="AJ51" s="2496"/>
      <c r="AK51" s="2496"/>
      <c r="AL51" s="2496"/>
      <c r="AM51" s="2496"/>
      <c r="AN51" s="2496"/>
      <c r="AO51" s="2496"/>
      <c r="AP51" s="2496"/>
      <c r="AQ51" s="2496"/>
      <c r="AR51" s="2496"/>
      <c r="AS51" s="2496"/>
      <c r="AT51" s="2496"/>
      <c r="AU51" s="2496"/>
      <c r="AV51" s="365"/>
      <c r="AW51" s="365"/>
      <c r="AX51" s="365"/>
      <c r="AY51" s="365"/>
      <c r="AZ51" s="365"/>
      <c r="BA51" s="365"/>
    </row>
    <row r="52" spans="1:53" ht="15.75">
      <c r="A52" s="20" t="s">
        <v>1253</v>
      </c>
      <c r="B52" s="100" t="s">
        <v>1344</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00">
        <v>1100000000</v>
      </c>
      <c r="R52" s="2500">
        <v>0</v>
      </c>
      <c r="S52" s="2500">
        <v>3800000000</v>
      </c>
      <c r="T52" s="2500">
        <v>5100000000</v>
      </c>
      <c r="U52" s="2500">
        <v>5500000000</v>
      </c>
      <c r="V52" s="2500">
        <v>7500000000</v>
      </c>
      <c r="W52" s="2500">
        <v>7500000000</v>
      </c>
      <c r="X52" s="2500">
        <v>7500000000</v>
      </c>
      <c r="Y52" s="2500">
        <v>7500000000</v>
      </c>
      <c r="Z52" s="2500">
        <v>7500000000</v>
      </c>
      <c r="AA52" s="2505">
        <v>7500000000</v>
      </c>
      <c r="AB52" s="365" t="str">
        <f t="shared" si="3"/>
        <v/>
      </c>
      <c r="AC52" s="2493"/>
      <c r="AD52" s="2496"/>
      <c r="AE52" s="2496"/>
      <c r="AF52" s="2496"/>
      <c r="AG52" s="2496"/>
      <c r="AH52" s="2496"/>
      <c r="AI52" s="2496"/>
      <c r="AJ52" s="2496"/>
      <c r="AK52" s="2496"/>
      <c r="AL52" s="2496"/>
      <c r="AM52" s="2496"/>
      <c r="AN52" s="2496"/>
      <c r="AO52" s="2496"/>
      <c r="AP52" s="2496"/>
      <c r="AQ52" s="2496"/>
      <c r="AR52" s="2496"/>
      <c r="AS52" s="2496"/>
      <c r="AT52" s="2496"/>
      <c r="AU52" s="2496"/>
      <c r="AV52" s="365"/>
      <c r="AW52" s="365"/>
      <c r="AX52" s="365"/>
      <c r="AY52" s="365"/>
      <c r="AZ52" s="365"/>
      <c r="BA52" s="365"/>
    </row>
    <row r="53" spans="1:53" ht="15.75">
      <c r="A53" s="20" t="s">
        <v>76</v>
      </c>
      <c r="B53" s="99" t="s">
        <v>1220</v>
      </c>
      <c r="C53" s="58"/>
      <c r="E53" s="158">
        <v>12200000000</v>
      </c>
      <c r="F53" s="158">
        <v>2300000000</v>
      </c>
      <c r="G53" s="158">
        <v>9100000000</v>
      </c>
      <c r="H53" s="164"/>
      <c r="I53" s="164"/>
      <c r="J53" s="164"/>
      <c r="K53" s="164"/>
      <c r="L53" s="164"/>
      <c r="M53" s="164"/>
      <c r="N53" s="164"/>
      <c r="O53" s="164"/>
      <c r="P53" s="164"/>
      <c r="Q53" s="2500"/>
      <c r="R53" s="2500"/>
      <c r="S53" s="2500"/>
      <c r="T53" s="2500"/>
      <c r="U53" s="2500"/>
      <c r="V53" s="2500"/>
      <c r="W53" s="2500"/>
      <c r="X53" s="2500"/>
      <c r="Y53" s="2500"/>
      <c r="Z53" s="2500"/>
      <c r="AA53" s="2505"/>
      <c r="AB53" s="365" t="str">
        <f t="shared" si="3"/>
        <v/>
      </c>
      <c r="AC53" s="2493"/>
      <c r="AD53" s="2496"/>
      <c r="AE53" s="2496"/>
      <c r="AF53" s="2496"/>
      <c r="AG53" s="2496"/>
      <c r="AH53" s="2496"/>
      <c r="AI53" s="2496"/>
      <c r="AJ53" s="2496"/>
      <c r="AK53" s="2496"/>
      <c r="AL53" s="2496"/>
      <c r="AM53" s="2496"/>
      <c r="AN53" s="2496"/>
      <c r="AO53" s="2496"/>
      <c r="AP53" s="2496"/>
      <c r="AQ53" s="2496"/>
      <c r="AR53" s="2496"/>
      <c r="AS53" s="2496"/>
      <c r="AT53" s="2496"/>
      <c r="AU53" s="2496"/>
      <c r="AV53" s="365"/>
      <c r="AW53" s="365"/>
      <c r="AX53" s="365"/>
      <c r="AY53" s="365"/>
      <c r="AZ53" s="365"/>
      <c r="BA53" s="365"/>
    </row>
    <row r="54" spans="1:53" ht="15.75">
      <c r="A54" t="s">
        <v>76</v>
      </c>
      <c r="B54" s="100" t="s">
        <v>1609</v>
      </c>
      <c r="C54" s="90"/>
      <c r="E54" s="158">
        <v>2500000000</v>
      </c>
      <c r="F54" s="158">
        <v>1000000000</v>
      </c>
      <c r="G54" s="158">
        <v>4099999999.9999995</v>
      </c>
      <c r="H54" s="164"/>
      <c r="I54" s="164"/>
      <c r="J54" s="164"/>
      <c r="K54" s="164"/>
      <c r="L54" s="164"/>
      <c r="M54" s="164"/>
      <c r="N54" s="164"/>
      <c r="O54" s="164"/>
      <c r="P54" s="164"/>
      <c r="Q54" s="2500"/>
      <c r="R54" s="2500"/>
      <c r="S54" s="2500"/>
      <c r="T54" s="2500"/>
      <c r="U54" s="2500"/>
      <c r="V54" s="2500"/>
      <c r="W54" s="2500"/>
      <c r="X54" s="2500"/>
      <c r="Y54" s="2500"/>
      <c r="Z54" s="2500"/>
      <c r="AA54" s="2505"/>
      <c r="AB54" s="365" t="str">
        <f t="shared" si="3"/>
        <v/>
      </c>
      <c r="AC54" s="2493"/>
      <c r="AD54" s="2496"/>
      <c r="AE54" s="2496"/>
      <c r="AF54" s="2496"/>
      <c r="AG54" s="2496"/>
      <c r="AH54" s="2496"/>
      <c r="AI54" s="2496"/>
      <c r="AJ54" s="2496"/>
      <c r="AK54" s="2496"/>
      <c r="AL54" s="2496"/>
      <c r="AM54" s="2496"/>
      <c r="AN54" s="2496"/>
      <c r="AO54" s="2496"/>
      <c r="AP54" s="2496"/>
      <c r="AQ54" s="2496"/>
      <c r="AR54" s="2496"/>
      <c r="AS54" s="2496"/>
      <c r="AT54" s="2496"/>
      <c r="AU54" s="2496"/>
      <c r="AV54" s="365"/>
      <c r="AW54" s="365"/>
      <c r="AX54" s="365"/>
      <c r="AY54" s="365"/>
      <c r="AZ54" s="365"/>
      <c r="BA54" s="365"/>
    </row>
    <row r="55" spans="1:53" ht="15.75">
      <c r="A55" s="20" t="s">
        <v>1258</v>
      </c>
      <c r="B55" s="100" t="s">
        <v>1343</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00">
        <v>25000000000</v>
      </c>
      <c r="R55" s="2500">
        <v>0</v>
      </c>
      <c r="S55" s="2500">
        <v>0</v>
      </c>
      <c r="T55" s="2500">
        <v>0</v>
      </c>
      <c r="U55" s="2500">
        <v>8800000000</v>
      </c>
      <c r="V55" s="2500">
        <v>0</v>
      </c>
      <c r="W55" s="2500">
        <v>0</v>
      </c>
      <c r="X55" s="2500">
        <v>0</v>
      </c>
      <c r="Y55" s="2500">
        <v>0</v>
      </c>
      <c r="Z55" s="2500">
        <v>0</v>
      </c>
      <c r="AA55" s="2505">
        <v>0</v>
      </c>
      <c r="AB55" s="365" t="str">
        <f t="shared" si="3"/>
        <v/>
      </c>
      <c r="AC55" s="2493"/>
      <c r="AD55" s="2496"/>
      <c r="AE55" s="2496"/>
      <c r="AF55" s="2496"/>
      <c r="AG55" s="2496"/>
      <c r="AH55" s="2496"/>
      <c r="AI55" s="2496"/>
      <c r="AJ55" s="2496"/>
      <c r="AK55" s="2496"/>
      <c r="AL55" s="2496"/>
      <c r="AM55" s="2496"/>
      <c r="AN55" s="2496"/>
      <c r="AO55" s="2496"/>
      <c r="AP55" s="2496"/>
      <c r="AQ55" s="2496"/>
      <c r="AR55" s="2496"/>
      <c r="AS55" s="2496"/>
      <c r="AT55" s="2496"/>
      <c r="AU55" s="2496"/>
      <c r="AV55" s="365"/>
      <c r="AW55" s="365"/>
      <c r="AX55" s="365"/>
      <c r="AY55" s="365"/>
      <c r="AZ55" s="365"/>
      <c r="BA55" s="365"/>
    </row>
    <row r="56" spans="1:53" ht="15.75">
      <c r="A56" s="103" t="s">
        <v>258</v>
      </c>
      <c r="B56" s="99" t="s">
        <v>1610</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00">
        <v>-5600000000</v>
      </c>
      <c r="R56" s="2500">
        <v>-5800000000</v>
      </c>
      <c r="S56" s="2500">
        <v>-6800000000</v>
      </c>
      <c r="T56" s="2500">
        <v>-8700000000</v>
      </c>
      <c r="U56" s="2500">
        <v>-1800000000</v>
      </c>
      <c r="V56" s="2500">
        <v>-5700000000</v>
      </c>
      <c r="W56" s="2500">
        <v>-5700000000</v>
      </c>
      <c r="X56" s="2500">
        <v>-5700000000</v>
      </c>
      <c r="Y56" s="2500">
        <v>-5200000000</v>
      </c>
      <c r="Z56" s="2500">
        <v>-5400000000</v>
      </c>
      <c r="AA56" s="2505">
        <v>-4000000000</v>
      </c>
      <c r="AB56" s="365" t="str">
        <f t="shared" si="3"/>
        <v/>
      </c>
      <c r="AC56" s="2493"/>
      <c r="AD56" s="2496"/>
      <c r="AE56" s="2496"/>
      <c r="AF56" s="2496"/>
      <c r="AG56" s="2496"/>
      <c r="AH56" s="2496"/>
      <c r="AI56" s="2496"/>
      <c r="AJ56" s="2496"/>
      <c r="AK56" s="2496"/>
      <c r="AL56" s="2496"/>
      <c r="AM56" s="2496"/>
      <c r="AN56" s="2496"/>
      <c r="AO56" s="2496"/>
      <c r="AP56" s="2496"/>
      <c r="AQ56" s="2496"/>
      <c r="AR56" s="2496"/>
      <c r="AS56" s="2496"/>
      <c r="AT56" s="2496"/>
      <c r="AU56" s="2496"/>
      <c r="AV56" s="365"/>
      <c r="AW56" s="365"/>
      <c r="AX56" s="365"/>
      <c r="AY56" s="365"/>
      <c r="AZ56" s="365"/>
      <c r="BA56" s="365"/>
    </row>
    <row r="57" spans="1:53" ht="15.75">
      <c r="A57" s="99" t="s">
        <v>1468</v>
      </c>
      <c r="B57" s="99" t="s">
        <v>1611</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00">
        <v>0</v>
      </c>
      <c r="R57" s="2500">
        <v>6700000000</v>
      </c>
      <c r="S57" s="2500">
        <v>9100000000</v>
      </c>
      <c r="T57" s="2500">
        <v>3200000000</v>
      </c>
      <c r="U57" s="2500">
        <v>0</v>
      </c>
      <c r="V57" s="2500">
        <v>0</v>
      </c>
      <c r="W57" s="2500">
        <v>0</v>
      </c>
      <c r="X57" s="2500">
        <v>0</v>
      </c>
      <c r="Y57" s="2500">
        <v>0</v>
      </c>
      <c r="Z57" s="2500">
        <v>0</v>
      </c>
      <c r="AA57" s="2505">
        <v>0</v>
      </c>
      <c r="AB57" s="365" t="str">
        <f t="shared" si="3"/>
        <v/>
      </c>
      <c r="AC57" s="2493"/>
      <c r="AD57" s="2496"/>
      <c r="AE57" s="2496"/>
      <c r="AF57" s="2496"/>
      <c r="AG57" s="2496"/>
      <c r="AH57" s="2496"/>
      <c r="AI57" s="2496"/>
      <c r="AJ57" s="2496"/>
      <c r="AK57" s="2496"/>
      <c r="AL57" s="2496"/>
      <c r="AM57" s="2496"/>
      <c r="AN57" s="2496"/>
      <c r="AO57" s="2496"/>
      <c r="AP57" s="2496"/>
      <c r="AQ57" s="2496"/>
      <c r="AR57" s="2496"/>
      <c r="AS57" s="2496"/>
      <c r="AT57" s="2496"/>
      <c r="AU57" s="2496"/>
      <c r="AV57" s="365"/>
      <c r="AW57" s="365"/>
      <c r="AX57" s="365"/>
      <c r="AY57" s="365"/>
      <c r="AZ57" s="365"/>
      <c r="BA57" s="365"/>
    </row>
    <row r="58" spans="1:53" ht="15.75">
      <c r="A58" t="s">
        <v>76</v>
      </c>
      <c r="B58" s="126" t="s">
        <v>1612</v>
      </c>
      <c r="C58" s="117"/>
      <c r="E58" s="175"/>
      <c r="F58" s="175"/>
      <c r="G58" s="175"/>
      <c r="H58" s="164">
        <v>0</v>
      </c>
      <c r="I58" s="164">
        <v>0</v>
      </c>
      <c r="J58" s="164">
        <v>0</v>
      </c>
      <c r="K58" s="164">
        <v>1500000000</v>
      </c>
      <c r="L58" s="164">
        <v>1000000000</v>
      </c>
      <c r="M58" s="175">
        <v>500000000</v>
      </c>
      <c r="N58" s="175">
        <v>0</v>
      </c>
      <c r="O58" s="175">
        <v>0</v>
      </c>
      <c r="P58" s="175">
        <v>0</v>
      </c>
      <c r="Q58" s="2501"/>
      <c r="R58" s="2501"/>
      <c r="S58" s="2501"/>
      <c r="T58" s="2500"/>
      <c r="U58" s="2500"/>
      <c r="V58" s="2500"/>
      <c r="W58" s="2500"/>
      <c r="X58" s="2500"/>
      <c r="Y58" s="2500"/>
      <c r="Z58" s="2500"/>
      <c r="AA58" s="2505"/>
      <c r="AB58" s="365" t="str">
        <f t="shared" si="3"/>
        <v/>
      </c>
      <c r="AC58" s="2493"/>
      <c r="AD58" s="2496"/>
      <c r="AE58" s="2496"/>
      <c r="AF58" s="2496"/>
      <c r="AG58" s="2496"/>
      <c r="AH58" s="2496"/>
      <c r="AI58" s="2496"/>
      <c r="AJ58" s="2496"/>
      <c r="AK58" s="2496"/>
      <c r="AL58" s="2496"/>
      <c r="AM58" s="2496"/>
      <c r="AN58" s="2496"/>
      <c r="AO58" s="2496"/>
      <c r="AP58" s="2496"/>
      <c r="AQ58" s="2496"/>
      <c r="AR58" s="2496"/>
      <c r="AS58" s="2496"/>
      <c r="AT58" s="2496"/>
      <c r="AU58" s="2496"/>
      <c r="AV58" s="365"/>
      <c r="AW58" s="365"/>
      <c r="AX58" s="365"/>
      <c r="AY58" s="365"/>
      <c r="AZ58" s="365"/>
      <c r="BA58" s="365"/>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01"/>
      <c r="R59" s="2501"/>
      <c r="S59" s="2501"/>
      <c r="T59" s="2500"/>
      <c r="U59" s="2500"/>
      <c r="V59" s="2500"/>
      <c r="W59" s="2500"/>
      <c r="X59" s="2500"/>
      <c r="Y59" s="2500"/>
      <c r="Z59" s="2500"/>
      <c r="AA59" s="2505"/>
      <c r="AB59" s="365" t="str">
        <f t="shared" si="3"/>
        <v/>
      </c>
      <c r="AC59" s="2493"/>
      <c r="AD59" s="2496"/>
      <c r="AE59" s="2496"/>
      <c r="AF59" s="2496"/>
      <c r="AG59" s="2496"/>
      <c r="AH59" s="2496"/>
      <c r="AI59" s="2496"/>
      <c r="AJ59" s="2496"/>
      <c r="AK59" s="2496"/>
      <c r="AL59" s="2496"/>
      <c r="AM59" s="2496"/>
      <c r="AN59" s="2496"/>
      <c r="AO59" s="2496"/>
      <c r="AP59" s="2496"/>
      <c r="AQ59" s="2496"/>
      <c r="AR59" s="2496"/>
      <c r="AS59" s="2496"/>
      <c r="AT59" s="2496"/>
      <c r="AU59" s="2496"/>
      <c r="AV59" s="365"/>
      <c r="AW59" s="365"/>
      <c r="AX59" s="365"/>
      <c r="AY59" s="365"/>
      <c r="AZ59" s="365"/>
      <c r="BA59" s="365"/>
    </row>
    <row r="60" spans="1:53" ht="15.75">
      <c r="A60" s="43" t="s">
        <v>120</v>
      </c>
      <c r="B60" s="90" t="s">
        <v>1613</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00">
        <v>9900000000</v>
      </c>
      <c r="R60" s="2500">
        <v>3300000000</v>
      </c>
      <c r="S60" s="2500">
        <v>23000000000</v>
      </c>
      <c r="T60" s="2500">
        <v>-13700000000</v>
      </c>
      <c r="U60" s="2500">
        <v>7000000000</v>
      </c>
      <c r="V60" s="2500">
        <v>36400000000</v>
      </c>
      <c r="W60" s="2500">
        <v>17000000000</v>
      </c>
      <c r="X60" s="2500">
        <v>-4500000000</v>
      </c>
      <c r="Y60" s="2500">
        <v>-6200000000</v>
      </c>
      <c r="Z60" s="2500">
        <v>-7000000000</v>
      </c>
      <c r="AA60" s="2505">
        <v>-11000000000</v>
      </c>
      <c r="AB60" s="365" t="str">
        <f t="shared" si="3"/>
        <v/>
      </c>
      <c r="AC60" s="2493"/>
      <c r="AD60" s="2496"/>
      <c r="AE60" s="2496"/>
      <c r="AF60" s="2496"/>
      <c r="AG60" s="2496"/>
      <c r="AH60" s="2496"/>
      <c r="AI60" s="2496"/>
      <c r="AJ60" s="2496"/>
      <c r="AK60" s="2496"/>
      <c r="AL60" s="2496"/>
      <c r="AM60" s="2496"/>
      <c r="AN60" s="2496"/>
      <c r="AO60" s="2496"/>
      <c r="AP60" s="2496"/>
      <c r="AQ60" s="2496"/>
      <c r="AR60" s="2496"/>
      <c r="AS60" s="2496"/>
      <c r="AT60" s="2496"/>
      <c r="AU60" s="2496"/>
      <c r="AV60" s="365"/>
      <c r="AW60" s="365"/>
      <c r="AX60" s="365"/>
      <c r="AY60" s="365"/>
      <c r="AZ60" s="365"/>
      <c r="BA60" s="365"/>
    </row>
    <row r="61" spans="1:53" ht="15.75">
      <c r="A61" s="20" t="s">
        <v>122</v>
      </c>
      <c r="B61" s="99" t="s">
        <v>1614</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00">
        <v>8800000000</v>
      </c>
      <c r="R61" s="2500">
        <v>3300000000</v>
      </c>
      <c r="S61" s="2500">
        <v>23000000000</v>
      </c>
      <c r="T61" s="2500">
        <v>-13700000000</v>
      </c>
      <c r="U61" s="2500">
        <v>600000000</v>
      </c>
      <c r="V61" s="2500">
        <v>36400000000</v>
      </c>
      <c r="W61" s="2500">
        <v>17000000000</v>
      </c>
      <c r="X61" s="2500">
        <v>-9500000000</v>
      </c>
      <c r="Y61" s="2500">
        <v>-11200000000</v>
      </c>
      <c r="Z61" s="2500">
        <v>-17000000000</v>
      </c>
      <c r="AA61" s="2505">
        <v>-26000000000</v>
      </c>
      <c r="AB61" s="365" t="str">
        <f t="shared" si="3"/>
        <v/>
      </c>
      <c r="AC61" s="2493"/>
      <c r="AD61" s="2496"/>
      <c r="AE61" s="2496"/>
      <c r="AF61" s="2496"/>
      <c r="AG61" s="2496"/>
      <c r="AH61" s="2496"/>
      <c r="AI61" s="2496"/>
      <c r="AJ61" s="2496"/>
      <c r="AK61" s="2496"/>
      <c r="AL61" s="2496"/>
      <c r="AM61" s="2496"/>
      <c r="AN61" s="2496"/>
      <c r="AO61" s="2496"/>
      <c r="AP61" s="2496"/>
      <c r="AQ61" s="2496"/>
      <c r="AR61" s="2496"/>
      <c r="AS61" s="2496"/>
      <c r="AT61" s="2496"/>
      <c r="AU61" s="2496"/>
      <c r="AV61" s="365"/>
      <c r="AW61" s="365"/>
      <c r="AX61" s="365"/>
      <c r="AY61" s="365"/>
      <c r="AZ61" s="365"/>
      <c r="BA61" s="365"/>
    </row>
    <row r="62" spans="1:53" ht="15.75">
      <c r="A62" s="2466" t="s">
        <v>1615</v>
      </c>
      <c r="B62" s="2453" t="s">
        <v>1615</v>
      </c>
      <c r="C62" s="2464"/>
      <c r="E62" s="158"/>
      <c r="F62" s="158"/>
      <c r="G62" s="158"/>
      <c r="H62" s="164"/>
      <c r="I62" s="164"/>
      <c r="J62" s="164"/>
      <c r="K62" s="164"/>
      <c r="L62" s="164"/>
      <c r="M62" s="164"/>
      <c r="N62" s="164"/>
      <c r="O62" s="164"/>
      <c r="P62" s="164"/>
      <c r="Q62" s="2500">
        <v>4500000000</v>
      </c>
      <c r="R62" s="2500">
        <v>-6600000000</v>
      </c>
      <c r="S62" s="2500">
        <v>17300000000</v>
      </c>
      <c r="T62" s="2500">
        <v>-7200000000</v>
      </c>
      <c r="U62" s="2500">
        <v>8199999999.999999</v>
      </c>
      <c r="V62" s="2500">
        <v>39200000000</v>
      </c>
      <c r="W62" s="2500">
        <v>19800000000</v>
      </c>
      <c r="X62" s="2500">
        <v>-6600000000</v>
      </c>
      <c r="Y62" s="2500">
        <v>-8199999999.999999</v>
      </c>
      <c r="Z62" s="2500">
        <v>-13800000000</v>
      </c>
      <c r="AA62" s="2505">
        <v>-22700000000</v>
      </c>
      <c r="AB62" s="365"/>
      <c r="AC62" s="2493"/>
      <c r="AD62" s="2496"/>
      <c r="AE62" s="2496"/>
      <c r="AF62" s="2496"/>
      <c r="AG62" s="2496"/>
      <c r="AH62" s="2496"/>
      <c r="AI62" s="2496"/>
      <c r="AJ62" s="2496"/>
      <c r="AK62" s="2496"/>
      <c r="AL62" s="2496"/>
      <c r="AM62" s="2496"/>
      <c r="AN62" s="2496"/>
      <c r="AO62" s="2496"/>
      <c r="AP62" s="2496"/>
      <c r="AQ62" s="2496"/>
      <c r="AR62" s="2496"/>
      <c r="AS62" s="2496"/>
      <c r="AT62" s="2496"/>
      <c r="AU62" s="2496"/>
      <c r="AV62" s="365"/>
      <c r="AW62" s="365"/>
      <c r="AX62" s="365"/>
      <c r="AY62" s="365"/>
      <c r="AZ62" s="365"/>
      <c r="BA62" s="365"/>
    </row>
    <row r="63" spans="1:53" ht="15.75">
      <c r="A63" s="2463" t="s">
        <v>76</v>
      </c>
      <c r="B63" s="2507" t="s">
        <v>1616</v>
      </c>
      <c r="C63" s="2464"/>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00">
        <v>1100000000</v>
      </c>
      <c r="R63" s="2500">
        <v>3600000000</v>
      </c>
      <c r="S63" s="2500">
        <v>4300000000</v>
      </c>
      <c r="T63" s="2500">
        <v>9000000000</v>
      </c>
      <c r="U63" s="2500">
        <v>21600000000</v>
      </c>
      <c r="V63" s="2500">
        <v>28800000000</v>
      </c>
      <c r="W63" s="2500">
        <v>11200000000</v>
      </c>
      <c r="X63" s="2500">
        <v>-4400000000</v>
      </c>
      <c r="Y63" s="2500">
        <v>-4800000000</v>
      </c>
      <c r="Z63" s="2500">
        <v>-8900000000</v>
      </c>
      <c r="AA63" s="2505">
        <v>-14300000000</v>
      </c>
      <c r="AB63" s="365" t="str">
        <f t="shared" si="3"/>
        <v/>
      </c>
      <c r="AC63" s="2494"/>
      <c r="AD63" s="2496"/>
      <c r="AE63" s="2496"/>
      <c r="AF63" s="2496"/>
      <c r="AG63" s="2496"/>
      <c r="AH63" s="2496"/>
      <c r="AI63" s="2496"/>
      <c r="AJ63" s="2496"/>
      <c r="AK63" s="2496"/>
      <c r="AL63" s="2496"/>
      <c r="AM63" s="2496"/>
      <c r="AN63" s="2496"/>
      <c r="AO63" s="2496"/>
      <c r="AP63" s="2496"/>
      <c r="AQ63" s="2496"/>
      <c r="AR63" s="2496"/>
      <c r="AS63" s="2496"/>
      <c r="AT63" s="2496"/>
      <c r="AU63" s="2496"/>
      <c r="AV63" s="365"/>
      <c r="AW63" s="365"/>
      <c r="AX63" s="365"/>
      <c r="AY63" s="365"/>
      <c r="AZ63" s="365"/>
      <c r="BA63" s="365"/>
    </row>
    <row r="64" spans="1:53" ht="15.75">
      <c r="A64" s="2463" t="s">
        <v>1617</v>
      </c>
      <c r="B64" s="2507" t="s">
        <v>1617</v>
      </c>
      <c r="C64" s="2464"/>
      <c r="E64" s="158"/>
      <c r="F64" s="158"/>
      <c r="G64" s="158"/>
      <c r="H64" s="164"/>
      <c r="I64" s="164"/>
      <c r="J64" s="164"/>
      <c r="K64" s="164"/>
      <c r="L64" s="164"/>
      <c r="M64" s="164"/>
      <c r="N64" s="164"/>
      <c r="O64" s="164"/>
      <c r="P64" s="164"/>
      <c r="Q64" s="2500"/>
      <c r="R64" s="2500"/>
      <c r="S64" s="2500"/>
      <c r="T64" s="2500"/>
      <c r="U64" s="2500">
        <v>0</v>
      </c>
      <c r="V64" s="2500">
        <v>0</v>
      </c>
      <c r="W64" s="2500">
        <v>0</v>
      </c>
      <c r="X64" s="2500">
        <v>0</v>
      </c>
      <c r="Y64" s="2500">
        <v>0</v>
      </c>
      <c r="Z64" s="2500">
        <v>-7300000000</v>
      </c>
      <c r="AA64" s="2505">
        <v>-7500000000</v>
      </c>
      <c r="AB64" s="365"/>
      <c r="AC64" s="2493"/>
      <c r="AD64" s="2496"/>
      <c r="AE64" s="2496"/>
      <c r="AF64" s="2496"/>
      <c r="AG64" s="2496"/>
      <c r="AH64" s="2496"/>
      <c r="AI64" s="2496"/>
      <c r="AJ64" s="2496"/>
      <c r="AK64" s="2496"/>
      <c r="AL64" s="2496"/>
      <c r="AM64" s="2496"/>
      <c r="AN64" s="2496"/>
      <c r="AO64" s="2496"/>
      <c r="AP64" s="2496"/>
      <c r="AQ64" s="2496"/>
      <c r="AR64" s="2496"/>
      <c r="AS64" s="2496"/>
      <c r="AT64" s="2496"/>
      <c r="AU64" s="2496"/>
      <c r="AV64" s="365"/>
      <c r="AW64" s="365"/>
      <c r="AX64" s="365"/>
      <c r="AY64" s="365"/>
      <c r="AZ64" s="365"/>
      <c r="BA64" s="365"/>
    </row>
    <row r="65" spans="1:53" ht="15.75">
      <c r="A65" t="s">
        <v>76</v>
      </c>
      <c r="B65" s="100" t="s">
        <v>1618</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00"/>
      <c r="R65" s="2500"/>
      <c r="S65" s="2500"/>
      <c r="T65" s="2500"/>
      <c r="U65" s="2500"/>
      <c r="V65" s="2500"/>
      <c r="W65" s="2500"/>
      <c r="X65" s="2500"/>
      <c r="Y65" s="2500"/>
      <c r="Z65" s="2500"/>
      <c r="AA65" s="2505"/>
      <c r="AB65" s="365" t="str">
        <f t="shared" si="3"/>
        <v/>
      </c>
      <c r="AC65" s="2493"/>
      <c r="AD65" s="2496"/>
      <c r="AE65" s="2496"/>
      <c r="AF65" s="2496"/>
      <c r="AG65" s="2496"/>
      <c r="AH65" s="2496"/>
      <c r="AI65" s="2496"/>
      <c r="AJ65" s="2496"/>
      <c r="AK65" s="2496"/>
      <c r="AL65" s="2496"/>
      <c r="AM65" s="2496"/>
      <c r="AN65" s="2496"/>
      <c r="AO65" s="2496"/>
      <c r="AP65" s="2496"/>
      <c r="AQ65" s="2496"/>
      <c r="AR65" s="2496"/>
      <c r="AS65" s="2496"/>
      <c r="AT65" s="2496"/>
      <c r="AU65" s="2496"/>
      <c r="AV65" s="365"/>
      <c r="AW65" s="365"/>
      <c r="AX65" s="365"/>
      <c r="AY65" s="365"/>
      <c r="AZ65" s="365"/>
      <c r="BA65" s="365"/>
    </row>
    <row r="66" spans="1:53" ht="15.75">
      <c r="A66" t="s">
        <v>76</v>
      </c>
      <c r="B66" s="100" t="s">
        <v>674</v>
      </c>
      <c r="C66" s="90"/>
      <c r="E66" s="158">
        <v>1700000000</v>
      </c>
      <c r="F66" s="158">
        <v>2100000000</v>
      </c>
      <c r="G66" s="158">
        <v>2900000000</v>
      </c>
      <c r="H66" s="164"/>
      <c r="I66" s="164"/>
      <c r="J66" s="164"/>
      <c r="K66" s="164"/>
      <c r="L66" s="164"/>
      <c r="M66" s="164"/>
      <c r="N66" s="164"/>
      <c r="O66" s="164"/>
      <c r="P66" s="164"/>
      <c r="Q66" s="2500"/>
      <c r="R66" s="2500"/>
      <c r="S66" s="2500"/>
      <c r="T66" s="2500"/>
      <c r="U66" s="2500"/>
      <c r="V66" s="2500"/>
      <c r="W66" s="2500"/>
      <c r="X66" s="2500"/>
      <c r="Y66" s="2500"/>
      <c r="Z66" s="2500"/>
      <c r="AA66" s="2505"/>
      <c r="AB66" s="365" t="str">
        <f t="shared" si="3"/>
        <v/>
      </c>
      <c r="AC66" s="2493"/>
      <c r="AD66" s="2496"/>
      <c r="AE66" s="2496"/>
      <c r="AF66" s="2496"/>
      <c r="AG66" s="2496"/>
      <c r="AH66" s="2496"/>
      <c r="AI66" s="2496"/>
      <c r="AJ66" s="2496"/>
      <c r="AK66" s="2496"/>
      <c r="AL66" s="2496"/>
      <c r="AM66" s="2496"/>
      <c r="AN66" s="2496"/>
      <c r="AO66" s="2496"/>
      <c r="AP66" s="2496"/>
      <c r="AQ66" s="2496"/>
      <c r="AR66" s="2496"/>
      <c r="AS66" s="2496"/>
      <c r="AT66" s="2496"/>
      <c r="AU66" s="2496"/>
      <c r="AV66" s="365"/>
      <c r="AW66" s="365"/>
      <c r="AX66" s="365"/>
      <c r="AY66" s="365"/>
      <c r="AZ66" s="365"/>
      <c r="BA66" s="365"/>
    </row>
    <row r="67" spans="1:53" ht="15.75">
      <c r="A67" t="s">
        <v>76</v>
      </c>
      <c r="B67" s="100" t="s">
        <v>1619</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00">
        <v>4300000000</v>
      </c>
      <c r="R67" s="2500">
        <v>10000000000</v>
      </c>
      <c r="S67" s="2500">
        <v>5600000000</v>
      </c>
      <c r="T67" s="2500">
        <v>-6400000000</v>
      </c>
      <c r="U67" s="2500">
        <v>-7600000000</v>
      </c>
      <c r="V67" s="2500">
        <v>-2800000000</v>
      </c>
      <c r="W67" s="2500">
        <v>-2800000000</v>
      </c>
      <c r="X67" s="2500">
        <v>-2900000000</v>
      </c>
      <c r="Y67" s="2500">
        <v>-3000000000</v>
      </c>
      <c r="Z67" s="2500">
        <v>-3200000000</v>
      </c>
      <c r="AA67" s="2505">
        <v>-3300000000</v>
      </c>
      <c r="AB67" s="365" t="str">
        <f t="shared" si="3"/>
        <v/>
      </c>
      <c r="AC67" s="2493"/>
      <c r="AD67" s="2496"/>
      <c r="AE67" s="2496"/>
      <c r="AF67" s="2496"/>
      <c r="AG67" s="2496"/>
      <c r="AH67" s="2496"/>
      <c r="AI67" s="2496"/>
      <c r="AJ67" s="2496"/>
      <c r="AK67" s="2496"/>
      <c r="AL67" s="2496"/>
      <c r="AM67" s="2496"/>
      <c r="AN67" s="2496"/>
      <c r="AO67" s="2496"/>
      <c r="AP67" s="2496"/>
      <c r="AQ67" s="2496"/>
      <c r="AR67" s="2496"/>
      <c r="AS67" s="2496"/>
      <c r="AT67" s="2496"/>
      <c r="AU67" s="2496"/>
      <c r="AV67" s="365"/>
      <c r="AW67" s="365"/>
      <c r="AX67" s="365"/>
      <c r="AY67" s="365"/>
      <c r="AZ67" s="365"/>
      <c r="BA67" s="365"/>
    </row>
    <row r="68" spans="1:53" ht="15.75">
      <c r="A68" t="s">
        <v>76</v>
      </c>
      <c r="B68" s="100" t="s">
        <v>1620</v>
      </c>
      <c r="C68" s="90"/>
      <c r="E68" s="115"/>
      <c r="F68" s="115"/>
      <c r="G68" s="115"/>
      <c r="H68" s="164"/>
      <c r="I68" s="164"/>
      <c r="J68" s="164"/>
      <c r="K68" s="164"/>
      <c r="L68" s="164">
        <v>0</v>
      </c>
      <c r="M68" s="164">
        <v>0</v>
      </c>
      <c r="N68" s="164">
        <v>0</v>
      </c>
      <c r="O68" s="164">
        <v>0</v>
      </c>
      <c r="P68" s="164">
        <v>0</v>
      </c>
      <c r="Q68" s="2500"/>
      <c r="R68" s="2500"/>
      <c r="S68" s="2500"/>
      <c r="T68" s="2500"/>
      <c r="U68" s="2500"/>
      <c r="V68" s="2500"/>
      <c r="W68" s="2500"/>
      <c r="X68" s="2500"/>
      <c r="Y68" s="2500"/>
      <c r="Z68" s="2500"/>
      <c r="AA68" s="2505"/>
      <c r="AB68" s="365" t="str">
        <f t="shared" si="3"/>
        <v/>
      </c>
      <c r="AC68" s="2493"/>
      <c r="AD68" s="2496"/>
      <c r="AE68" s="2496"/>
      <c r="AF68" s="2496"/>
      <c r="AG68" s="2496"/>
      <c r="AH68" s="2496"/>
      <c r="AI68" s="2496"/>
      <c r="AJ68" s="2496"/>
      <c r="AK68" s="2496"/>
      <c r="AL68" s="2496"/>
      <c r="AM68" s="2496"/>
      <c r="AN68" s="2496"/>
      <c r="AO68" s="2496"/>
      <c r="AP68" s="2496"/>
      <c r="AQ68" s="2496"/>
      <c r="AR68" s="2496"/>
      <c r="AS68" s="2496"/>
      <c r="AT68" s="2496"/>
      <c r="AU68" s="2496"/>
      <c r="AV68" s="365"/>
      <c r="AW68" s="365"/>
      <c r="AX68" s="365"/>
      <c r="AY68" s="365"/>
      <c r="AZ68" s="365"/>
      <c r="BA68" s="365"/>
    </row>
    <row r="69" spans="1:53" ht="15.75">
      <c r="A69" s="20" t="s">
        <v>428</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00">
        <v>1200000000</v>
      </c>
      <c r="R69" s="2500">
        <v>0</v>
      </c>
      <c r="S69" s="2500">
        <v>0</v>
      </c>
      <c r="T69" s="2500">
        <v>0</v>
      </c>
      <c r="U69" s="2500">
        <v>0</v>
      </c>
      <c r="V69" s="2500">
        <v>0</v>
      </c>
      <c r="W69" s="2500">
        <v>0</v>
      </c>
      <c r="X69" s="2500">
        <v>5000000000</v>
      </c>
      <c r="Y69" s="2500">
        <v>5000000000</v>
      </c>
      <c r="Z69" s="2500">
        <v>10000000000</v>
      </c>
      <c r="AA69" s="2505">
        <v>15000000000</v>
      </c>
      <c r="AB69" s="365" t="str">
        <f t="shared" si="3"/>
        <v/>
      </c>
      <c r="AC69" s="2493"/>
      <c r="AD69" s="2496"/>
      <c r="AE69" s="2496"/>
      <c r="AF69" s="2496"/>
      <c r="AG69" s="2496"/>
      <c r="AH69" s="2496"/>
      <c r="AI69" s="2496"/>
      <c r="AJ69" s="2496"/>
      <c r="AK69" s="2496"/>
      <c r="AL69" s="2496"/>
      <c r="AM69" s="2496"/>
      <c r="AN69" s="2496"/>
      <c r="AO69" s="2496"/>
      <c r="AP69" s="2496"/>
      <c r="AQ69" s="2496"/>
      <c r="AR69" s="2496"/>
      <c r="AS69" s="2496"/>
      <c r="AT69" s="2496"/>
      <c r="AU69" s="2496"/>
      <c r="AV69" s="365"/>
      <c r="AW69" s="365"/>
      <c r="AX69" s="365"/>
      <c r="AY69" s="365"/>
      <c r="AZ69" s="365"/>
      <c r="BA69" s="365"/>
    </row>
    <row r="70" spans="1:53" ht="15.75">
      <c r="A70" t="s">
        <v>76</v>
      </c>
      <c r="B70" s="126" t="s">
        <v>1620</v>
      </c>
      <c r="C70" s="117"/>
      <c r="E70" s="164"/>
      <c r="F70" s="164"/>
      <c r="G70" s="164"/>
      <c r="H70" s="115"/>
      <c r="I70" s="115" t="s">
        <v>1333</v>
      </c>
      <c r="J70" s="164"/>
      <c r="K70" s="164"/>
      <c r="L70" s="164"/>
      <c r="M70" s="164">
        <v>0</v>
      </c>
      <c r="N70" s="164">
        <v>0</v>
      </c>
      <c r="O70" s="164">
        <v>0</v>
      </c>
      <c r="P70" s="164">
        <v>0</v>
      </c>
      <c r="Q70" s="2500"/>
      <c r="R70" s="2500"/>
      <c r="S70" s="2500"/>
      <c r="T70" s="2500"/>
      <c r="U70" s="2500"/>
      <c r="V70" s="2500"/>
      <c r="W70" s="2500"/>
      <c r="X70" s="2500"/>
      <c r="Y70" s="2500"/>
      <c r="Z70" s="2500"/>
      <c r="AA70" s="2505"/>
      <c r="AB70" s="365" t="str">
        <f t="shared" si="3"/>
        <v/>
      </c>
      <c r="AN70" s="2496"/>
      <c r="AO70" s="2496"/>
      <c r="AP70" s="2496"/>
      <c r="AQ70" s="2496"/>
      <c r="AR70" s="2496"/>
      <c r="AS70" s="2496"/>
      <c r="AT70" s="2496"/>
      <c r="AU70" s="2496"/>
      <c r="AV70" s="365"/>
      <c r="AW70" s="365"/>
      <c r="AX70" s="365"/>
      <c r="AY70" s="365"/>
      <c r="AZ70" s="365"/>
      <c r="BA70" s="365"/>
    </row>
    <row r="71" spans="1:53" ht="15.75">
      <c r="A71" t="s">
        <v>76</v>
      </c>
      <c r="B71" s="90" t="s">
        <v>1621</v>
      </c>
      <c r="C71" s="90"/>
      <c r="D71" s="90"/>
      <c r="E71" s="175">
        <v>0</v>
      </c>
      <c r="F71" s="158">
        <v>0</v>
      </c>
      <c r="G71" s="158">
        <v>0</v>
      </c>
      <c r="H71" s="164">
        <v>0</v>
      </c>
      <c r="I71" s="164">
        <v>0</v>
      </c>
      <c r="J71" s="164">
        <v>0</v>
      </c>
      <c r="K71" s="164">
        <v>0</v>
      </c>
      <c r="L71" s="164">
        <v>0</v>
      </c>
      <c r="M71" s="164">
        <v>0</v>
      </c>
      <c r="N71" s="164">
        <v>0</v>
      </c>
      <c r="O71" s="164">
        <v>0</v>
      </c>
      <c r="P71" s="164">
        <v>0</v>
      </c>
      <c r="Q71" s="2500">
        <v>0</v>
      </c>
      <c r="R71" s="2500">
        <v>0</v>
      </c>
      <c r="S71" s="2500">
        <v>0</v>
      </c>
      <c r="T71" s="2500">
        <v>0</v>
      </c>
      <c r="U71" s="2500">
        <v>0</v>
      </c>
      <c r="V71" s="2500">
        <v>0</v>
      </c>
      <c r="W71" s="2500">
        <v>0</v>
      </c>
      <c r="X71" s="2500">
        <v>0</v>
      </c>
      <c r="Y71" s="2500">
        <v>100000000</v>
      </c>
      <c r="Z71" s="2500">
        <v>0</v>
      </c>
      <c r="AA71" s="2505">
        <v>0</v>
      </c>
      <c r="AB71" s="365" t="str">
        <f t="shared" si="3"/>
        <v/>
      </c>
      <c r="AC71" s="2493"/>
      <c r="AD71" s="2496"/>
      <c r="AE71" s="2496"/>
      <c r="AF71" s="2496"/>
      <c r="AG71" s="2496"/>
      <c r="AH71" s="2496"/>
      <c r="AI71" s="2496"/>
      <c r="AJ71" s="2496"/>
      <c r="AK71" s="2496"/>
      <c r="AL71" s="2496"/>
      <c r="AM71" s="2496"/>
      <c r="AN71" s="2496"/>
      <c r="AO71" s="2496"/>
      <c r="AP71" s="2496"/>
      <c r="AQ71" s="2496"/>
      <c r="AR71" s="2496"/>
      <c r="AS71" s="2496"/>
      <c r="AT71" s="2496"/>
      <c r="AU71" s="2496"/>
      <c r="AV71" s="365"/>
      <c r="AW71" s="365"/>
      <c r="AX71" s="365"/>
      <c r="AY71" s="365"/>
      <c r="AZ71" s="365"/>
      <c r="BA71" s="365"/>
    </row>
    <row r="72" spans="1:53" ht="15.75">
      <c r="A72" s="2493" t="s">
        <v>7027</v>
      </c>
      <c r="B72" s="2493" t="s">
        <v>7027</v>
      </c>
      <c r="C72" s="90" t="s">
        <v>124</v>
      </c>
      <c r="U72" s="2498">
        <v>6400000000</v>
      </c>
      <c r="V72" s="21">
        <v>0</v>
      </c>
      <c r="W72" s="21">
        <v>0</v>
      </c>
      <c r="X72" s="21">
        <v>0</v>
      </c>
      <c r="Y72" s="21">
        <v>0</v>
      </c>
      <c r="Z72" s="21">
        <v>0</v>
      </c>
      <c r="AA72" s="2505">
        <v>0</v>
      </c>
      <c r="AB72" s="365" t="str">
        <f t="shared" ref="AB72:AB93" si="16">IF(D72&lt;0,D72,"")</f>
        <v/>
      </c>
      <c r="AC72" s="2493"/>
      <c r="AD72" s="2496"/>
      <c r="AE72" s="2496"/>
      <c r="AF72" s="2496"/>
      <c r="AG72" s="2496"/>
      <c r="AH72" s="2496"/>
      <c r="AI72" s="2496"/>
      <c r="AJ72" s="2496"/>
      <c r="AK72" s="2496"/>
      <c r="AL72" s="2496"/>
      <c r="AM72" s="2496"/>
      <c r="AN72" s="2496"/>
      <c r="AO72" s="2496"/>
      <c r="AP72" s="2496"/>
      <c r="AQ72" s="2496"/>
      <c r="AR72" s="2496"/>
      <c r="AS72" s="2496"/>
      <c r="AT72" s="2496"/>
      <c r="AU72" s="2496"/>
      <c r="AV72" s="365"/>
      <c r="AW72" s="365"/>
      <c r="AX72" s="365"/>
      <c r="AY72" s="365"/>
      <c r="AZ72" s="365"/>
      <c r="BA72" s="365"/>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5" t="str">
        <f t="shared" si="16"/>
        <v/>
      </c>
      <c r="AC73" s="2493"/>
      <c r="AD73" s="2496"/>
      <c r="AE73" s="2496"/>
      <c r="AF73" s="2496"/>
      <c r="AG73" s="2496"/>
      <c r="AH73" s="2496"/>
      <c r="AI73" s="2496"/>
      <c r="AJ73" s="2496"/>
      <c r="AK73" s="2496"/>
      <c r="AL73" s="2496"/>
      <c r="AM73" s="2496"/>
      <c r="AN73" s="2496"/>
      <c r="AO73" s="2496"/>
      <c r="AP73" s="2496"/>
      <c r="AQ73" s="2496"/>
      <c r="AR73" s="2496"/>
      <c r="AS73" s="2496"/>
      <c r="AT73" s="2496"/>
      <c r="AU73" s="2496"/>
      <c r="AV73" s="365"/>
      <c r="AW73" s="365"/>
      <c r="AX73" s="365"/>
      <c r="AY73" s="365"/>
      <c r="AZ73" s="365"/>
      <c r="BA73" s="365"/>
    </row>
    <row r="74" spans="1:53" ht="15.75">
      <c r="Y74" s="365" t="str">
        <f t="shared" ref="Y74:Y93" si="17">IF(A74&lt;0,A74,"")</f>
        <v/>
      </c>
      <c r="Z74" s="365" t="str">
        <f t="shared" ref="Z74:Z93" si="18">IF(B74&lt;0,B74,"")</f>
        <v/>
      </c>
      <c r="AA74" s="365" t="str">
        <f t="shared" ref="AA74:AA93" si="19">IF(C74&lt;0,C74,"")</f>
        <v/>
      </c>
      <c r="AB74" s="365" t="str">
        <f t="shared" si="16"/>
        <v/>
      </c>
      <c r="AC74" s="2493"/>
      <c r="AD74" s="2496"/>
      <c r="AE74" s="2496"/>
      <c r="AF74" s="2496"/>
      <c r="AG74" s="2496"/>
      <c r="AH74" s="2496"/>
      <c r="AI74" s="2496"/>
      <c r="AJ74" s="2496"/>
      <c r="AK74" s="2496"/>
      <c r="AL74" s="2496"/>
      <c r="AM74" s="2496"/>
      <c r="AN74" s="2496"/>
      <c r="AO74" s="2496"/>
      <c r="AP74" s="2496"/>
      <c r="AQ74" s="2496"/>
      <c r="AR74" s="2496"/>
      <c r="AS74" s="2496"/>
      <c r="AT74" s="2496"/>
      <c r="AU74" s="2496"/>
      <c r="AV74" s="365"/>
      <c r="AW74" s="365"/>
      <c r="AX74" s="365"/>
      <c r="AY74" s="365"/>
      <c r="AZ74" s="365"/>
      <c r="BA74" s="365"/>
    </row>
    <row r="75" spans="1:53" ht="15.75">
      <c r="Y75" s="365" t="str">
        <f t="shared" si="17"/>
        <v/>
      </c>
      <c r="Z75" s="365" t="str">
        <f t="shared" si="18"/>
        <v/>
      </c>
      <c r="AA75" s="365" t="str">
        <f t="shared" si="19"/>
        <v/>
      </c>
      <c r="AB75" s="365" t="str">
        <f t="shared" si="16"/>
        <v/>
      </c>
      <c r="AC75" s="2495"/>
      <c r="AD75" s="2496"/>
      <c r="AE75" s="2496"/>
      <c r="AF75" s="2496"/>
      <c r="AG75" s="2496"/>
      <c r="AH75" s="2496"/>
      <c r="AI75" s="2496"/>
      <c r="AJ75" s="2496"/>
      <c r="AK75" s="2496"/>
      <c r="AL75" s="2496"/>
      <c r="AM75" s="2496"/>
      <c r="AN75" s="2496"/>
      <c r="AO75" s="2496"/>
      <c r="AP75" s="2496"/>
      <c r="AQ75" s="2496"/>
      <c r="AR75" s="2496"/>
      <c r="AS75" s="2496"/>
      <c r="AT75" s="2496"/>
      <c r="AU75" s="2496"/>
      <c r="AV75" s="365"/>
      <c r="AW75" s="365"/>
      <c r="AX75" s="365"/>
      <c r="AY75" s="365"/>
      <c r="AZ75" s="365"/>
      <c r="BA75" s="365"/>
    </row>
    <row r="76" spans="1:53">
      <c r="B76" t="s">
        <v>823</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5" t="str">
        <f t="shared" si="16"/>
        <v/>
      </c>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row>
    <row r="77" spans="1:53">
      <c r="B77" t="s">
        <v>1622</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5" t="str">
        <f t="shared" si="16"/>
        <v/>
      </c>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5" t="str">
        <f t="shared" si="16"/>
        <v/>
      </c>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row>
    <row r="79" spans="1:53">
      <c r="B79" t="s">
        <v>1362</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5" t="str">
        <f t="shared" si="16"/>
        <v/>
      </c>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row>
    <row r="80" spans="1:53">
      <c r="B80" t="s">
        <v>1207</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5" t="str">
        <f t="shared" si="16"/>
        <v/>
      </c>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5" t="str">
        <f t="shared" si="16"/>
        <v/>
      </c>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5" t="str">
        <f t="shared" si="16"/>
        <v/>
      </c>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row>
    <row r="83" spans="2:53">
      <c r="B83" t="s">
        <v>1623</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5" t="str">
        <f t="shared" si="16"/>
        <v/>
      </c>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row>
    <row r="84" spans="2:53">
      <c r="B84" t="s">
        <v>457</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5" t="str">
        <f t="shared" si="16"/>
        <v/>
      </c>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row>
    <row r="85" spans="2:53">
      <c r="B85" t="s">
        <v>978</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5" t="str">
        <f t="shared" si="16"/>
        <v/>
      </c>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row>
    <row r="86" spans="2:53">
      <c r="B86" t="s">
        <v>1193</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5" t="str">
        <f t="shared" si="16"/>
        <v/>
      </c>
      <c r="AC86" s="365"/>
      <c r="AD86" s="365"/>
      <c r="AE86" s="365"/>
      <c r="AF86" s="365"/>
      <c r="AG86" s="365"/>
      <c r="AH86" s="365"/>
      <c r="AI86" s="365"/>
      <c r="AJ86" s="365"/>
      <c r="AK86" s="365"/>
      <c r="AL86" s="365"/>
      <c r="AM86" s="365"/>
      <c r="AN86" s="365"/>
      <c r="AO86" s="365"/>
      <c r="AP86" s="365"/>
      <c r="AQ86" s="365"/>
      <c r="AR86" s="365"/>
      <c r="AS86" s="365"/>
      <c r="AT86" s="365"/>
      <c r="AU86" s="365"/>
      <c r="AV86" s="365" t="str">
        <f t="shared" ref="AV86:AV93" si="51">IF(Z86&lt;0,Z86,"")</f>
        <v/>
      </c>
      <c r="AW86" s="365" t="str">
        <f t="shared" ref="AW86:AW93" si="52">IF(AA86&lt;0,AA86,"")</f>
        <v/>
      </c>
      <c r="AX86" s="365" t="str">
        <f t="shared" ref="AX86:AX93" si="53">IF(AB86&lt;0,AB86,"")</f>
        <v/>
      </c>
      <c r="AY86" s="365"/>
      <c r="AZ86" s="365"/>
      <c r="BA86" s="365"/>
    </row>
    <row r="87" spans="2:53">
      <c r="Y87" s="365" t="str">
        <f t="shared" si="17"/>
        <v/>
      </c>
      <c r="Z87" s="365" t="str">
        <f t="shared" si="18"/>
        <v/>
      </c>
      <c r="AA87" s="365" t="str">
        <f t="shared" si="19"/>
        <v/>
      </c>
      <c r="AB87" s="365" t="str">
        <f t="shared" si="16"/>
        <v/>
      </c>
      <c r="AC87" s="365"/>
      <c r="AD87" s="365"/>
      <c r="AE87" s="365"/>
      <c r="AF87" s="365"/>
      <c r="AG87" s="365"/>
      <c r="AH87" s="365"/>
      <c r="AI87" s="365"/>
      <c r="AJ87" s="365"/>
      <c r="AK87" s="365"/>
      <c r="AL87" s="365"/>
      <c r="AM87" s="365"/>
      <c r="AN87" s="365"/>
      <c r="AO87" s="365"/>
      <c r="AP87" s="365"/>
      <c r="AQ87" s="365"/>
      <c r="AR87" s="365"/>
      <c r="AS87" s="365"/>
      <c r="AT87" s="365"/>
      <c r="AU87" s="365"/>
      <c r="AV87" s="365" t="str">
        <f t="shared" si="51"/>
        <v/>
      </c>
      <c r="AW87" s="365" t="str">
        <f t="shared" si="52"/>
        <v/>
      </c>
      <c r="AX87" s="365" t="str">
        <f t="shared" si="53"/>
        <v/>
      </c>
      <c r="AY87" s="365"/>
      <c r="AZ87" s="365"/>
      <c r="BA87" s="365"/>
    </row>
    <row r="88" spans="2:53" ht="15.75" thickBot="1">
      <c r="E88" s="21"/>
      <c r="Y88" s="365" t="str">
        <f t="shared" si="17"/>
        <v/>
      </c>
      <c r="Z88" s="365" t="str">
        <f t="shared" si="18"/>
        <v/>
      </c>
      <c r="AA88" s="365" t="str">
        <f t="shared" si="19"/>
        <v/>
      </c>
      <c r="AB88" s="365" t="str">
        <f t="shared" si="16"/>
        <v/>
      </c>
      <c r="AC88" s="365"/>
      <c r="AD88" s="365"/>
      <c r="AE88" s="365"/>
      <c r="AF88" s="365"/>
      <c r="AG88" s="365"/>
      <c r="AH88" s="365"/>
      <c r="AI88" s="365"/>
      <c r="AJ88" s="365"/>
      <c r="AK88" s="365"/>
      <c r="AL88" s="365"/>
      <c r="AM88" s="365"/>
      <c r="AN88" s="365"/>
      <c r="AO88" s="365"/>
      <c r="AP88" s="365"/>
      <c r="AQ88" s="365"/>
      <c r="AR88" s="365"/>
      <c r="AS88" s="365"/>
      <c r="AT88" s="365"/>
      <c r="AU88" s="365"/>
      <c r="AV88" s="365" t="str">
        <f t="shared" si="51"/>
        <v/>
      </c>
      <c r="AW88" s="365" t="str">
        <f t="shared" si="52"/>
        <v/>
      </c>
      <c r="AX88" s="365" t="str">
        <f t="shared" si="53"/>
        <v/>
      </c>
      <c r="AY88" s="365"/>
      <c r="AZ88" s="365"/>
      <c r="BA88" s="365"/>
    </row>
    <row r="89" spans="2:53" ht="15.75" thickBot="1">
      <c r="B89" t="s">
        <v>623</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5">
        <v>1550000000000</v>
      </c>
      <c r="Z89" s="365">
        <v>1676000000000</v>
      </c>
      <c r="AA89" s="365">
        <v>1811000000000</v>
      </c>
      <c r="AB89" s="365" t="str">
        <f t="shared" si="16"/>
        <v/>
      </c>
      <c r="AC89" s="365"/>
      <c r="AD89" s="365"/>
      <c r="AE89" s="365"/>
      <c r="AF89" s="365"/>
      <c r="AG89" s="365"/>
      <c r="AH89" s="365"/>
      <c r="AI89" s="365"/>
      <c r="AJ89" s="365"/>
      <c r="AK89" s="365"/>
      <c r="AL89" s="365"/>
      <c r="AM89" s="365"/>
      <c r="AN89" s="365"/>
      <c r="AO89" s="365"/>
      <c r="AP89" s="365"/>
      <c r="AQ89" s="365"/>
      <c r="AR89" s="365"/>
      <c r="AS89" s="365"/>
      <c r="AT89" s="365"/>
      <c r="AU89" s="365"/>
      <c r="AV89" s="365" t="str">
        <f t="shared" si="51"/>
        <v/>
      </c>
      <c r="AW89" s="365" t="str">
        <f t="shared" si="52"/>
        <v/>
      </c>
      <c r="AX89" s="365" t="str">
        <f t="shared" si="53"/>
        <v/>
      </c>
      <c r="AY89" s="365"/>
      <c r="AZ89" s="365"/>
      <c r="BA89" s="365"/>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5" t="str">
        <f t="shared" si="16"/>
        <v/>
      </c>
      <c r="AC90" s="365"/>
      <c r="AD90" s="365"/>
      <c r="AE90" s="365"/>
      <c r="AF90" s="365"/>
      <c r="AG90" s="365"/>
      <c r="AH90" s="365"/>
      <c r="AI90" s="365"/>
      <c r="AJ90" s="365"/>
      <c r="AK90" s="365"/>
      <c r="AL90" s="365"/>
      <c r="AM90" s="365"/>
      <c r="AN90" s="365"/>
      <c r="AO90" s="365"/>
      <c r="AP90" s="365"/>
      <c r="AQ90" s="365"/>
      <c r="AR90" s="365"/>
      <c r="AS90" s="365"/>
      <c r="AT90" s="365"/>
      <c r="AU90" s="365"/>
      <c r="AV90" s="365" t="str">
        <f t="shared" si="51"/>
        <v/>
      </c>
      <c r="AW90" s="365" t="str">
        <f t="shared" si="52"/>
        <v/>
      </c>
      <c r="AX90" s="365" t="str">
        <f t="shared" si="53"/>
        <v/>
      </c>
      <c r="AY90" s="365"/>
      <c r="AZ90" s="365"/>
      <c r="BA90" s="365"/>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5" t="str">
        <f t="shared" si="16"/>
        <v/>
      </c>
      <c r="AC91" s="365"/>
      <c r="AD91" s="365"/>
      <c r="AE91" s="365"/>
      <c r="AF91" s="365"/>
      <c r="AG91" s="365"/>
      <c r="AH91" s="365"/>
      <c r="AI91" s="365"/>
      <c r="AJ91" s="365"/>
      <c r="AK91" s="365"/>
      <c r="AL91" s="365"/>
      <c r="AM91" s="365"/>
      <c r="AN91" s="365"/>
      <c r="AO91" s="365"/>
      <c r="AP91" s="365"/>
      <c r="AQ91" s="365"/>
      <c r="AR91" s="365"/>
      <c r="AS91" s="365"/>
      <c r="AT91" s="365"/>
      <c r="AU91" s="365"/>
      <c r="AV91" s="365" t="str">
        <f t="shared" si="51"/>
        <v/>
      </c>
      <c r="AW91" s="365" t="str">
        <f t="shared" si="52"/>
        <v/>
      </c>
      <c r="AX91" s="365" t="str">
        <f t="shared" si="53"/>
        <v/>
      </c>
      <c r="AY91" s="365"/>
      <c r="AZ91" s="365"/>
      <c r="BA91" s="365"/>
    </row>
    <row r="92" spans="2:53">
      <c r="Y92" s="365" t="str">
        <f t="shared" si="17"/>
        <v/>
      </c>
      <c r="Z92" s="365" t="str">
        <f t="shared" si="18"/>
        <v/>
      </c>
      <c r="AA92" s="365" t="str">
        <f t="shared" si="19"/>
        <v/>
      </c>
      <c r="AB92" s="365" t="str">
        <f t="shared" si="16"/>
        <v/>
      </c>
      <c r="AC92" s="365"/>
      <c r="AD92" s="365"/>
      <c r="AE92" s="365"/>
      <c r="AF92" s="365"/>
      <c r="AG92" s="365"/>
      <c r="AH92" s="365"/>
      <c r="AI92" s="365"/>
      <c r="AJ92" s="365"/>
      <c r="AK92" s="365"/>
      <c r="AL92" s="365"/>
      <c r="AM92" s="365"/>
      <c r="AN92" s="365"/>
      <c r="AO92" s="365"/>
      <c r="AP92" s="365"/>
      <c r="AQ92" s="365"/>
      <c r="AR92" s="365"/>
      <c r="AS92" s="365"/>
      <c r="AT92" s="365"/>
      <c r="AU92" s="365"/>
      <c r="AV92" s="365" t="str">
        <f t="shared" si="51"/>
        <v/>
      </c>
      <c r="AW92" s="365" t="str">
        <f t="shared" si="52"/>
        <v/>
      </c>
      <c r="AX92" s="365" t="str">
        <f t="shared" si="53"/>
        <v/>
      </c>
      <c r="AY92" s="365"/>
      <c r="AZ92" s="365"/>
      <c r="BA92" s="365"/>
    </row>
    <row r="93" spans="2:53">
      <c r="Y93" s="365" t="str">
        <f t="shared" si="17"/>
        <v/>
      </c>
      <c r="Z93" s="365" t="str">
        <f t="shared" si="18"/>
        <v/>
      </c>
      <c r="AA93" s="365" t="str">
        <f t="shared" si="19"/>
        <v/>
      </c>
      <c r="AB93" s="365" t="str">
        <f t="shared" si="16"/>
        <v/>
      </c>
      <c r="AC93" s="365"/>
      <c r="AD93" s="365"/>
      <c r="AE93" s="365"/>
      <c r="AF93" s="365"/>
      <c r="AG93" s="365"/>
      <c r="AH93" s="365"/>
      <c r="AI93" s="365"/>
      <c r="AJ93" s="365"/>
      <c r="AK93" s="365"/>
      <c r="AL93" s="365"/>
      <c r="AM93" s="365"/>
      <c r="AN93" s="365"/>
      <c r="AO93" s="365"/>
      <c r="AP93" s="365"/>
      <c r="AQ93" s="365"/>
      <c r="AR93" s="365"/>
      <c r="AS93" s="365"/>
      <c r="AT93" s="365"/>
      <c r="AU93" s="365"/>
      <c r="AV93" s="365" t="str">
        <f t="shared" si="51"/>
        <v/>
      </c>
      <c r="AW93" s="365" t="str">
        <f t="shared" si="52"/>
        <v/>
      </c>
      <c r="AX93" s="365" t="str">
        <f t="shared" si="53"/>
        <v/>
      </c>
      <c r="AY93" s="365"/>
      <c r="AZ93" s="365"/>
      <c r="BA93" s="365"/>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5"/>
      <c r="AD94" s="365"/>
      <c r="AE94" s="365"/>
      <c r="AF94" s="365"/>
      <c r="AG94" s="365"/>
      <c r="AH94" s="365"/>
      <c r="AI94" s="365"/>
      <c r="AJ94" s="365"/>
      <c r="AK94" s="365"/>
      <c r="AL94" s="365"/>
      <c r="AM94" s="365"/>
    </row>
    <row r="95" spans="2:5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row>
    <row r="96" spans="2:53">
      <c r="AC96" s="365"/>
      <c r="AD96" s="365"/>
      <c r="AE96" s="365"/>
      <c r="AF96" s="365"/>
      <c r="AG96" s="365"/>
      <c r="AH96" s="365"/>
      <c r="AI96" s="365"/>
      <c r="AJ96" s="365"/>
      <c r="AK96" s="365"/>
      <c r="AL96" s="365"/>
      <c r="AM96" s="365"/>
    </row>
    <row r="97" spans="29:39">
      <c r="AC97" s="365"/>
      <c r="AD97" s="365"/>
      <c r="AE97" s="365"/>
      <c r="AF97" s="365"/>
      <c r="AG97" s="365"/>
      <c r="AH97" s="365"/>
      <c r="AI97" s="365"/>
      <c r="AJ97" s="365"/>
      <c r="AK97" s="365"/>
      <c r="AL97" s="365"/>
      <c r="AM97" s="365"/>
    </row>
    <row r="98" spans="29:39">
      <c r="AC98" s="365"/>
      <c r="AD98" s="365"/>
      <c r="AE98" s="365"/>
      <c r="AF98" s="365"/>
      <c r="AG98" s="365"/>
      <c r="AH98" s="365"/>
      <c r="AI98" s="365"/>
      <c r="AJ98" s="365"/>
      <c r="AK98" s="365"/>
      <c r="AL98" s="365"/>
      <c r="AM98" s="365"/>
    </row>
    <row r="99" spans="29:39">
      <c r="AC99" s="365"/>
      <c r="AD99" s="365"/>
      <c r="AE99" s="365"/>
      <c r="AF99" s="365"/>
      <c r="AG99" s="365"/>
      <c r="AH99" s="365"/>
      <c r="AI99" s="365"/>
      <c r="AJ99" s="365"/>
      <c r="AK99" s="365"/>
      <c r="AL99" s="365"/>
      <c r="AM99" s="365"/>
    </row>
    <row r="100" spans="29:39">
      <c r="AC100" s="365"/>
      <c r="AD100" s="365"/>
      <c r="AE100" s="365"/>
      <c r="AF100" s="365"/>
      <c r="AG100" s="365"/>
      <c r="AH100" s="365"/>
      <c r="AI100" s="365"/>
      <c r="AJ100" s="365"/>
      <c r="AK100" s="365"/>
      <c r="AL100" s="365"/>
      <c r="AM100" s="365"/>
    </row>
    <row r="101" spans="29:39">
      <c r="AC101" s="365"/>
      <c r="AD101" s="365"/>
      <c r="AE101" s="365"/>
      <c r="AF101" s="365"/>
      <c r="AG101" s="365"/>
      <c r="AH101" s="365"/>
      <c r="AI101" s="365"/>
      <c r="AJ101" s="365"/>
      <c r="AK101" s="365"/>
      <c r="AL101" s="365"/>
      <c r="AM101" s="365"/>
    </row>
    <row r="102" spans="29:39">
      <c r="AC102" s="365"/>
      <c r="AD102" s="365"/>
      <c r="AE102" s="365"/>
      <c r="AF102" s="365"/>
      <c r="AG102" s="365"/>
      <c r="AH102" s="365"/>
      <c r="AI102" s="365"/>
      <c r="AJ102" s="365"/>
      <c r="AK102" s="365"/>
      <c r="AL102" s="365"/>
      <c r="AM102" s="365"/>
    </row>
    <row r="103" spans="29:39">
      <c r="AC103" s="365"/>
      <c r="AD103" s="365"/>
      <c r="AE103" s="365"/>
      <c r="AF103" s="365"/>
      <c r="AG103" s="365"/>
      <c r="AH103" s="365"/>
      <c r="AI103" s="365"/>
      <c r="AJ103" s="365"/>
      <c r="AK103" s="365"/>
      <c r="AL103" s="365"/>
      <c r="AM103" s="365"/>
    </row>
    <row r="104" spans="29:39">
      <c r="AC104" s="365"/>
      <c r="AD104" s="365"/>
      <c r="AE104" s="365"/>
      <c r="AF104" s="365"/>
      <c r="AG104" s="365"/>
      <c r="AH104" s="365"/>
      <c r="AI104" s="365"/>
      <c r="AJ104" s="365"/>
      <c r="AK104" s="365"/>
      <c r="AL104" s="365"/>
      <c r="AM104" s="365"/>
    </row>
    <row r="105" spans="29:39">
      <c r="AC105" s="365"/>
      <c r="AD105" s="365"/>
      <c r="AE105" s="365"/>
      <c r="AF105" s="365"/>
      <c r="AG105" s="365"/>
      <c r="AH105" s="365"/>
      <c r="AI105" s="365"/>
      <c r="AJ105" s="365"/>
      <c r="AK105" s="365"/>
      <c r="AL105" s="365"/>
      <c r="AM105" s="365"/>
    </row>
    <row r="106" spans="29:39">
      <c r="AC106" s="365"/>
      <c r="AD106" s="365"/>
      <c r="AE106" s="365"/>
      <c r="AF106" s="365"/>
      <c r="AG106" s="365"/>
      <c r="AH106" s="365"/>
      <c r="AI106" s="365"/>
      <c r="AJ106" s="365"/>
      <c r="AK106" s="365"/>
      <c r="AL106" s="365"/>
      <c r="AM106" s="365"/>
    </row>
    <row r="107" spans="29:39">
      <c r="AC107" s="365"/>
      <c r="AD107" s="365"/>
      <c r="AE107" s="365"/>
      <c r="AF107" s="365"/>
      <c r="AG107" s="365"/>
      <c r="AH107" s="365"/>
      <c r="AI107" s="365"/>
      <c r="AJ107" s="365"/>
      <c r="AK107" s="365"/>
      <c r="AL107" s="365"/>
      <c r="AM107" s="365"/>
    </row>
    <row r="108" spans="29:39">
      <c r="AC108" s="365"/>
      <c r="AD108" s="365"/>
      <c r="AE108" s="365"/>
      <c r="AF108" s="365"/>
      <c r="AG108" s="365"/>
      <c r="AH108" s="365"/>
      <c r="AI108" s="365"/>
      <c r="AJ108" s="365"/>
      <c r="AK108" s="365"/>
      <c r="AL108" s="365"/>
      <c r="AM108" s="365"/>
    </row>
    <row r="109" spans="29:39">
      <c r="AC109" s="365"/>
      <c r="AD109" s="365"/>
      <c r="AE109" s="365"/>
      <c r="AF109" s="365"/>
      <c r="AG109" s="365"/>
      <c r="AH109" s="365"/>
      <c r="AI109" s="365"/>
      <c r="AJ109" s="365"/>
      <c r="AK109" s="365"/>
      <c r="AL109" s="365"/>
      <c r="AM109" s="365"/>
    </row>
    <row r="110" spans="29:39">
      <c r="AC110" s="365"/>
      <c r="AD110" s="365"/>
      <c r="AE110" s="365"/>
      <c r="AF110" s="365"/>
      <c r="AG110" s="365"/>
      <c r="AH110" s="365"/>
      <c r="AI110" s="365"/>
      <c r="AJ110" s="365"/>
      <c r="AK110" s="365"/>
      <c r="AL110" s="365"/>
      <c r="AM110" s="365"/>
    </row>
    <row r="111" spans="29:39">
      <c r="AC111" s="365"/>
      <c r="AD111" s="365"/>
      <c r="AE111" s="365"/>
      <c r="AF111" s="365"/>
      <c r="AG111" s="365"/>
      <c r="AH111" s="365"/>
      <c r="AI111" s="365"/>
      <c r="AJ111" s="365"/>
      <c r="AK111" s="365"/>
      <c r="AL111" s="365"/>
      <c r="AM111" s="365"/>
    </row>
    <row r="113" spans="29:39">
      <c r="AC113" s="365"/>
      <c r="AD113" s="365"/>
      <c r="AE113" s="365"/>
      <c r="AF113" s="365"/>
      <c r="AG113" s="365"/>
      <c r="AH113" s="365"/>
      <c r="AI113" s="365"/>
      <c r="AJ113" s="365"/>
      <c r="AK113" s="365"/>
      <c r="AL113" s="365"/>
      <c r="AM113" s="365"/>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D6" activePane="bottomRight" state="frozen"/>
      <selection pane="topRight" activeCell="R7" sqref="R7"/>
      <selection pane="bottomLeft" activeCell="R7" sqref="R7"/>
      <selection pane="bottomRight" activeCell="I17" activeCellId="1" sqref="I7 I17"/>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1624</v>
      </c>
      <c r="B1" s="82" t="s">
        <v>1625</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1626</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19" t="s">
        <v>1498</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499">
        <v>1202000000000</v>
      </c>
      <c r="S6" s="2499">
        <v>884000000000</v>
      </c>
      <c r="T6" s="2499">
        <v>721000000000</v>
      </c>
      <c r="U6" s="2499">
        <f>U7+U17</f>
        <v>825000000000</v>
      </c>
      <c r="V6" s="2508">
        <f t="shared" ref="V6:Y6" si="1">V7+V17</f>
        <v>971000000000</v>
      </c>
      <c r="W6" s="2508">
        <f t="shared" si="1"/>
        <v>975000000000</v>
      </c>
      <c r="X6" s="2508">
        <f t="shared" si="1"/>
        <v>1126000000000</v>
      </c>
      <c r="Y6" s="2508">
        <f t="shared" si="1"/>
        <v>1178000000000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17">
        <v>1094000000000</v>
      </c>
      <c r="S7" s="417">
        <v>682000000000</v>
      </c>
      <c r="T7" s="417">
        <v>576000000000</v>
      </c>
      <c r="U7" s="417">
        <f>U8+U13</f>
        <v>619000000000</v>
      </c>
      <c r="V7" s="417">
        <f t="shared" ref="V7:Y7" si="2">V8+V13</f>
        <v>732000000000</v>
      </c>
      <c r="W7" s="417">
        <f t="shared" si="2"/>
        <v>778000000000</v>
      </c>
      <c r="X7" s="417">
        <f t="shared" si="2"/>
        <v>922000000000</v>
      </c>
      <c r="Y7" s="417">
        <f t="shared" si="2"/>
        <v>1000000000000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20" t="s">
        <v>1627</v>
      </c>
      <c r="B8" s="117" t="s">
        <v>372</v>
      </c>
      <c r="C8" s="11" t="s">
        <v>41</v>
      </c>
      <c r="D8" s="164">
        <f>D7-D13</f>
        <v>11900000000</v>
      </c>
      <c r="E8" s="164">
        <f t="shared" ref="E8:G8" si="3">E7-E13</f>
        <v>13100000000</v>
      </c>
      <c r="F8" s="164">
        <f t="shared" si="3"/>
        <v>11500000000</v>
      </c>
      <c r="G8" s="164">
        <f t="shared" si="3"/>
        <v>11200000000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17">
        <v>607000000000</v>
      </c>
      <c r="S8" s="417">
        <v>254000000000</v>
      </c>
      <c r="T8" s="417">
        <v>171000000000</v>
      </c>
      <c r="U8" s="417">
        <v>199000000000</v>
      </c>
      <c r="V8" s="417">
        <v>318000000000</v>
      </c>
      <c r="W8" s="417">
        <v>312000000000</v>
      </c>
      <c r="X8" s="417">
        <v>403000000000</v>
      </c>
      <c r="Y8" s="417">
        <v>421000000000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c r="A9" s="99" t="s">
        <v>1628</v>
      </c>
      <c r="B9" s="99" t="s">
        <v>1629</v>
      </c>
      <c r="C9" s="90" t="s">
        <v>1630</v>
      </c>
      <c r="D9" s="115"/>
      <c r="E9" s="115"/>
      <c r="F9" s="115"/>
      <c r="G9" s="115"/>
      <c r="H9" s="115"/>
      <c r="I9" s="115"/>
      <c r="J9" s="164">
        <v>160600000000</v>
      </c>
      <c r="K9" s="164">
        <v>132500000000</v>
      </c>
      <c r="L9" s="164">
        <v>251200000000</v>
      </c>
      <c r="M9" s="164"/>
      <c r="N9" s="164"/>
      <c r="O9" s="164"/>
      <c r="P9" s="164"/>
      <c r="Q9" s="164"/>
      <c r="R9" s="2500"/>
      <c r="S9" s="2500"/>
      <c r="T9" s="2500"/>
      <c r="U9" s="2500"/>
      <c r="V9" s="2500"/>
      <c r="W9" s="419"/>
      <c r="X9" s="419"/>
      <c r="Y9" s="419"/>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c r="A10" s="99" t="s">
        <v>1631</v>
      </c>
      <c r="B10" s="99" t="s">
        <v>1632</v>
      </c>
      <c r="C10" s="90" t="s">
        <v>1630</v>
      </c>
      <c r="D10" s="115"/>
      <c r="E10" s="115"/>
      <c r="F10" s="115"/>
      <c r="G10" s="115"/>
      <c r="H10" s="115"/>
      <c r="I10" s="115"/>
      <c r="J10" s="164">
        <v>13400000000</v>
      </c>
      <c r="K10" s="164">
        <v>0</v>
      </c>
      <c r="L10" s="164">
        <v>69600000000</v>
      </c>
      <c r="M10" s="164"/>
      <c r="N10" s="164"/>
      <c r="O10" s="164"/>
      <c r="P10" s="164"/>
      <c r="Q10" s="164"/>
      <c r="R10" s="2500"/>
      <c r="S10" s="2500"/>
      <c r="T10" s="2500"/>
      <c r="U10" s="2500"/>
      <c r="V10" s="2500"/>
      <c r="W10" s="419"/>
      <c r="X10" s="419"/>
      <c r="Y10" s="419"/>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9" t="s">
        <v>1633</v>
      </c>
      <c r="B11" s="99" t="s">
        <v>1634</v>
      </c>
      <c r="C11" s="90" t="s">
        <v>1630</v>
      </c>
      <c r="D11" s="115"/>
      <c r="E11" s="115"/>
      <c r="F11" s="115"/>
      <c r="G11" s="115"/>
      <c r="H11" s="115"/>
      <c r="I11" s="115"/>
      <c r="J11" s="115"/>
      <c r="K11" s="164">
        <v>4900000000</v>
      </c>
      <c r="L11" s="164">
        <v>3200000000</v>
      </c>
      <c r="M11" s="164"/>
      <c r="N11" s="164"/>
      <c r="O11" s="164"/>
      <c r="P11" s="164"/>
      <c r="Q11" s="164"/>
      <c r="R11" s="2500"/>
      <c r="S11" s="2500"/>
      <c r="T11" s="2500"/>
      <c r="U11" s="2500"/>
      <c r="V11" s="2500"/>
      <c r="W11" s="419"/>
      <c r="X11" s="419"/>
      <c r="Y11" s="419"/>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9" t="s">
        <v>1635</v>
      </c>
      <c r="B12" s="99" t="s">
        <v>1636</v>
      </c>
      <c r="C12" s="90" t="s">
        <v>1630</v>
      </c>
      <c r="D12" s="115"/>
      <c r="E12" s="115"/>
      <c r="F12" s="115"/>
      <c r="G12" s="115"/>
      <c r="H12" s="115"/>
      <c r="I12" s="115"/>
      <c r="J12" s="164">
        <v>229400000000</v>
      </c>
      <c r="K12" s="164">
        <v>425800000000</v>
      </c>
      <c r="L12" s="164">
        <v>452600000000</v>
      </c>
      <c r="M12" s="164"/>
      <c r="N12" s="164"/>
      <c r="O12" s="164"/>
      <c r="P12" s="164"/>
      <c r="Q12" s="164"/>
      <c r="R12" s="2500"/>
      <c r="S12" s="2500"/>
      <c r="T12" s="2500"/>
      <c r="U12" s="2500"/>
      <c r="V12" s="2500"/>
      <c r="W12" s="419"/>
      <c r="X12" s="419"/>
      <c r="Y12" s="419"/>
      <c r="Z12" s="46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20" t="s">
        <v>1637</v>
      </c>
      <c r="B13" s="117" t="s">
        <v>374</v>
      </c>
      <c r="C13" s="11" t="s">
        <v>41</v>
      </c>
      <c r="D13" s="164">
        <f t="shared" ref="D13:G13" si="4">D14</f>
        <v>68300000000</v>
      </c>
      <c r="E13" s="164">
        <f t="shared" si="4"/>
        <v>78600000000</v>
      </c>
      <c r="F13" s="164">
        <f t="shared" si="4"/>
        <v>100900000000</v>
      </c>
      <c r="G13" s="164">
        <f t="shared" si="4"/>
        <v>113400000000</v>
      </c>
      <c r="H13" s="164">
        <f>H15+H16</f>
        <v>140300000000</v>
      </c>
      <c r="I13" s="164">
        <f>I15+I16</f>
        <v>159300000000</v>
      </c>
      <c r="J13" s="164">
        <f>J15+J16</f>
        <v>154600000000</v>
      </c>
      <c r="K13" s="164">
        <f t="shared" ref="K13:L13" si="5">K15+K16</f>
        <v>201600000000</v>
      </c>
      <c r="L13" s="164">
        <f t="shared" si="5"/>
        <v>209600000000</v>
      </c>
      <c r="M13" s="164">
        <v>256000000000</v>
      </c>
      <c r="N13" s="164">
        <v>324000000000</v>
      </c>
      <c r="O13" s="164">
        <v>314000000000</v>
      </c>
      <c r="P13" s="178">
        <v>355000000000</v>
      </c>
      <c r="Q13" s="178">
        <v>433000000000</v>
      </c>
      <c r="R13" s="417">
        <v>487000000000</v>
      </c>
      <c r="S13" s="417">
        <v>428000000000</v>
      </c>
      <c r="T13" s="417">
        <v>405000000000</v>
      </c>
      <c r="U13" s="417">
        <v>420000000000</v>
      </c>
      <c r="V13" s="417">
        <v>414000000000</v>
      </c>
      <c r="W13" s="417">
        <v>466000000000</v>
      </c>
      <c r="X13" s="417">
        <v>519000000000</v>
      </c>
      <c r="Y13" s="417">
        <v>579000000000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17">
        <v>487000000000</v>
      </c>
      <c r="S14" s="417">
        <v>428000000000</v>
      </c>
      <c r="T14" s="417">
        <v>405000000000</v>
      </c>
      <c r="U14" s="417"/>
      <c r="V14" s="417"/>
      <c r="W14" s="417"/>
      <c r="X14" s="417"/>
      <c r="Y14" s="417"/>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40" t="s">
        <v>39</v>
      </c>
      <c r="B15" s="103" t="s">
        <v>1372</v>
      </c>
      <c r="C15" s="11" t="s">
        <v>1638</v>
      </c>
      <c r="D15" s="115">
        <v>56400000000</v>
      </c>
      <c r="E15" s="115">
        <v>65500000000</v>
      </c>
      <c r="F15" s="115">
        <v>89300000000</v>
      </c>
      <c r="G15" s="115">
        <v>102200000000</v>
      </c>
      <c r="H15" s="115">
        <v>122000000000</v>
      </c>
      <c r="I15" s="115">
        <v>138900000000</v>
      </c>
      <c r="J15" s="164">
        <v>143700000000</v>
      </c>
      <c r="K15" s="164">
        <v>188900000000</v>
      </c>
      <c r="L15" s="164">
        <v>200500000000</v>
      </c>
      <c r="M15" s="164">
        <v>239000000000</v>
      </c>
      <c r="N15" s="164">
        <v>313000000000</v>
      </c>
      <c r="O15" s="164">
        <v>296000000000</v>
      </c>
      <c r="P15" s="178">
        <v>339000000000</v>
      </c>
      <c r="Q15" s="178">
        <v>420000000000</v>
      </c>
      <c r="R15" s="417">
        <v>464000000000</v>
      </c>
      <c r="S15" s="417">
        <v>407000000000</v>
      </c>
      <c r="T15" s="417">
        <v>339000000000</v>
      </c>
      <c r="U15" s="417">
        <v>373000000000</v>
      </c>
      <c r="V15" s="417">
        <v>397000000000</v>
      </c>
      <c r="W15" s="417">
        <v>439000000000</v>
      </c>
      <c r="X15" s="417">
        <v>491000000000</v>
      </c>
      <c r="Y15" s="417">
        <v>549000000000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40" t="s">
        <v>560</v>
      </c>
      <c r="B16" s="103" t="s">
        <v>376</v>
      </c>
      <c r="C16" s="11" t="s">
        <v>1638</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17">
        <v>23000000000</v>
      </c>
      <c r="S16" s="417">
        <v>22000000000</v>
      </c>
      <c r="T16" s="417">
        <v>66000000000</v>
      </c>
      <c r="U16" s="417">
        <f>U13-U15</f>
        <v>47000000000</v>
      </c>
      <c r="V16" s="417">
        <f t="shared" ref="V16:Y16" si="6">V13-V15</f>
        <v>17000000000</v>
      </c>
      <c r="W16" s="417">
        <f t="shared" si="6"/>
        <v>27000000000</v>
      </c>
      <c r="X16" s="417">
        <f t="shared" si="6"/>
        <v>28000000000</v>
      </c>
      <c r="Y16" s="417">
        <f t="shared" si="6"/>
        <v>30000000000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02">
        <v>107000000000</v>
      </c>
      <c r="S17" s="2502">
        <v>202000000000</v>
      </c>
      <c r="T17" s="2502">
        <v>145000000000</v>
      </c>
      <c r="U17" s="2502">
        <v>206000000000</v>
      </c>
      <c r="V17" s="2502">
        <v>239000000000</v>
      </c>
      <c r="W17" s="2502">
        <v>197000000000</v>
      </c>
      <c r="X17" s="2502">
        <v>204000000000</v>
      </c>
      <c r="Y17" s="2502">
        <v>178000000000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20" t="s">
        <v>886</v>
      </c>
      <c r="B18" s="99" t="s">
        <v>1056</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17">
        <v>0</v>
      </c>
      <c r="S18" s="417">
        <v>90000000000</v>
      </c>
      <c r="T18" s="417">
        <v>65000000000</v>
      </c>
      <c r="U18" s="417">
        <v>102000000000</v>
      </c>
      <c r="V18" s="417">
        <v>151000000000</v>
      </c>
      <c r="W18" s="417">
        <v>84000000000</v>
      </c>
      <c r="X18" s="417">
        <v>83000000000</v>
      </c>
      <c r="Y18" s="417">
        <v>43000000000</v>
      </c>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c r="A19" s="20" t="s">
        <v>564</v>
      </c>
      <c r="B19" s="99" t="s">
        <v>1338</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17">
        <v>107000000000</v>
      </c>
      <c r="S19" s="417">
        <v>112000000000</v>
      </c>
      <c r="T19" s="417">
        <v>81000000000</v>
      </c>
      <c r="U19" s="417">
        <f>U17-U18</f>
        <v>104000000000</v>
      </c>
      <c r="V19" s="417">
        <f t="shared" ref="V19:Y19" si="7">V17-V18</f>
        <v>88000000000</v>
      </c>
      <c r="W19" s="417">
        <f t="shared" si="7"/>
        <v>113000000000</v>
      </c>
      <c r="X19" s="417">
        <f t="shared" si="7"/>
        <v>121000000000</v>
      </c>
      <c r="Y19" s="417">
        <f t="shared" si="7"/>
        <v>135000000000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s="15" customFormat="1">
      <c r="A20" s="206" t="s">
        <v>71</v>
      </c>
      <c r="B20" s="15" t="s">
        <v>1639</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02">
        <v>1525000000000</v>
      </c>
      <c r="S20" s="2502">
        <v>1187000000000</v>
      </c>
      <c r="T20" s="2502">
        <v>869000000000</v>
      </c>
      <c r="U20" s="2502">
        <v>871000000000</v>
      </c>
      <c r="V20" s="2502">
        <v>919000000000</v>
      </c>
      <c r="W20" s="2502">
        <v>966000000000</v>
      </c>
      <c r="X20" s="2502">
        <v>1035000000000</v>
      </c>
      <c r="Y20" s="2502">
        <v>1087000000000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203" t="s">
        <v>73</v>
      </c>
      <c r="B21" s="117" t="s">
        <v>541</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17">
        <v>861000000000</v>
      </c>
      <c r="S21" s="417">
        <v>811000000000</v>
      </c>
      <c r="T21" s="417">
        <v>689000000000</v>
      </c>
      <c r="U21" s="417">
        <f>U22+U25+U27+U35</f>
        <v>659000000000</v>
      </c>
      <c r="V21" s="417">
        <f t="shared" ref="V21:Y21" si="8">V22+V25+V27+V35</f>
        <v>644000000000</v>
      </c>
      <c r="W21" s="417">
        <f t="shared" si="8"/>
        <v>657000000000</v>
      </c>
      <c r="X21" s="417">
        <f t="shared" si="8"/>
        <v>697000000000</v>
      </c>
      <c r="Y21" s="417">
        <f t="shared" si="8"/>
        <v>713000000000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 t="s">
        <v>79</v>
      </c>
      <c r="B22" s="99" t="s">
        <v>479</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17">
        <v>341000000000</v>
      </c>
      <c r="S22" s="417">
        <v>369000000000</v>
      </c>
      <c r="T22" s="417">
        <v>365000000000</v>
      </c>
      <c r="U22" s="417">
        <v>376000000000</v>
      </c>
      <c r="V22" s="417">
        <v>354000000000</v>
      </c>
      <c r="W22" s="417">
        <v>359000000000</v>
      </c>
      <c r="X22" s="417">
        <v>363000000000</v>
      </c>
      <c r="Y22" s="417">
        <v>367000000000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100" t="s">
        <v>1640</v>
      </c>
      <c r="B23" s="100" t="s">
        <v>1641</v>
      </c>
      <c r="C23" t="s">
        <v>1642</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00"/>
      <c r="S23" s="2500"/>
      <c r="T23" s="2500"/>
      <c r="U23" s="2500"/>
      <c r="V23" s="2500"/>
      <c r="W23" s="419"/>
      <c r="X23" s="419"/>
      <c r="Y23" s="419"/>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41" t="s">
        <v>1303</v>
      </c>
      <c r="B24" s="41" t="s">
        <v>1303</v>
      </c>
      <c r="C24" t="s">
        <v>1642</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00"/>
      <c r="S24" s="2500"/>
      <c r="T24" s="2500"/>
      <c r="U24" s="2500"/>
      <c r="V24" s="2500"/>
      <c r="W24" s="419"/>
      <c r="X24" s="419"/>
      <c r="Y24" s="419"/>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9" t="s">
        <v>83</v>
      </c>
      <c r="B25" s="99" t="s">
        <v>1593</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17">
        <v>147000000000</v>
      </c>
      <c r="S25" s="417">
        <v>93000000000</v>
      </c>
      <c r="T25" s="417">
        <v>96000000000</v>
      </c>
      <c r="U25" s="417">
        <v>88000000000</v>
      </c>
      <c r="V25" s="417">
        <v>87000000000</v>
      </c>
      <c r="W25" s="417">
        <v>97000000000</v>
      </c>
      <c r="X25" s="417">
        <v>112000000000</v>
      </c>
      <c r="Y25" s="417">
        <v>119000000000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t="s">
        <v>76</v>
      </c>
      <c r="B26" s="100" t="s">
        <v>1643</v>
      </c>
      <c r="C26" s="90"/>
      <c r="D26" s="115"/>
      <c r="E26" s="115"/>
      <c r="F26" s="115"/>
      <c r="G26" s="115"/>
      <c r="H26" s="115"/>
      <c r="I26" s="115"/>
      <c r="J26" s="164">
        <v>11200000000</v>
      </c>
      <c r="K26" s="164">
        <v>21300000000</v>
      </c>
      <c r="L26" s="164">
        <v>29900000000</v>
      </c>
      <c r="M26" s="164"/>
      <c r="N26" s="164"/>
      <c r="O26" s="164"/>
      <c r="P26" s="164"/>
      <c r="Q26" s="164"/>
      <c r="R26" s="2500"/>
      <c r="S26" s="2500"/>
      <c r="T26" s="2500"/>
      <c r="U26" s="2500"/>
      <c r="V26" s="2500"/>
      <c r="W26" s="419"/>
      <c r="X26" s="419"/>
      <c r="Y26" s="419"/>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17">
        <v>327000000000</v>
      </c>
      <c r="S27" s="417">
        <v>240000000000</v>
      </c>
      <c r="T27" s="417">
        <v>108000000000</v>
      </c>
      <c r="U27" s="417">
        <v>103000000000</v>
      </c>
      <c r="V27" s="417">
        <v>112000000000</v>
      </c>
      <c r="W27" s="417">
        <v>123000000000</v>
      </c>
      <c r="X27" s="417">
        <v>135000000000</v>
      </c>
      <c r="Y27" s="417">
        <v>145000000000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20" t="s">
        <v>76</v>
      </c>
      <c r="B28" s="99" t="s">
        <v>1644</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00"/>
      <c r="S28" s="2500"/>
      <c r="T28" s="2500"/>
      <c r="U28" s="2500"/>
      <c r="V28" s="2500"/>
      <c r="W28" s="419"/>
      <c r="X28" s="419"/>
      <c r="Y28" s="419"/>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100" t="s">
        <v>1645</v>
      </c>
      <c r="B29" s="100" t="s">
        <v>1646</v>
      </c>
      <c r="C29" s="90" t="s">
        <v>388</v>
      </c>
      <c r="D29" s="175"/>
      <c r="E29" s="175"/>
      <c r="F29" s="175"/>
      <c r="G29" s="175"/>
      <c r="H29" s="175"/>
      <c r="I29" s="175"/>
      <c r="J29" s="175"/>
      <c r="K29" s="175"/>
      <c r="L29" s="175"/>
      <c r="M29" s="164">
        <v>109000000000</v>
      </c>
      <c r="N29" s="164">
        <v>191000000000</v>
      </c>
      <c r="O29" s="164">
        <v>163000000000</v>
      </c>
      <c r="P29" s="164"/>
      <c r="Q29" s="164"/>
      <c r="R29" s="2500"/>
      <c r="S29" s="2500"/>
      <c r="T29" s="2500"/>
      <c r="U29" s="2500"/>
      <c r="V29" s="2500"/>
      <c r="W29" s="419"/>
      <c r="X29" s="419"/>
      <c r="Y29" s="419"/>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100" t="s">
        <v>1647</v>
      </c>
      <c r="B30" s="100" t="s">
        <v>1648</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00"/>
      <c r="S30" s="2500"/>
      <c r="T30" s="2500"/>
      <c r="U30" s="2500"/>
      <c r="V30" s="2500"/>
      <c r="W30" s="419"/>
      <c r="X30" s="419"/>
      <c r="Y30" s="419"/>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100" t="s">
        <v>1649</v>
      </c>
      <c r="B31" s="100" t="s">
        <v>1650</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00"/>
      <c r="S31" s="2500"/>
      <c r="T31" s="2500"/>
      <c r="U31" s="2500"/>
      <c r="V31" s="2500"/>
      <c r="W31" s="419"/>
      <c r="X31" s="419"/>
      <c r="Y31" s="419"/>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 t="s">
        <v>1651</v>
      </c>
      <c r="B32" s="99" t="s">
        <v>1652</v>
      </c>
      <c r="C32" s="11" t="s">
        <v>81</v>
      </c>
      <c r="D32" s="164">
        <v>0</v>
      </c>
      <c r="E32" s="164">
        <v>3100000000</v>
      </c>
      <c r="F32" s="164">
        <v>0</v>
      </c>
      <c r="G32" s="164">
        <v>1700000000</v>
      </c>
      <c r="H32" s="164">
        <v>0</v>
      </c>
      <c r="I32" s="164">
        <v>900000000</v>
      </c>
      <c r="J32" s="164"/>
      <c r="K32" s="164"/>
      <c r="L32" s="164"/>
      <c r="M32" s="164"/>
      <c r="N32" s="164"/>
      <c r="O32" s="164"/>
      <c r="P32" s="164"/>
      <c r="Q32" s="164"/>
      <c r="R32" s="2500"/>
      <c r="S32" s="2500"/>
      <c r="T32" s="2500"/>
      <c r="U32" s="2500"/>
      <c r="V32" s="2500"/>
      <c r="W32" s="419"/>
      <c r="X32" s="419"/>
      <c r="Y32" s="419"/>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 t="s">
        <v>1341</v>
      </c>
      <c r="B33" s="99" t="s">
        <v>1341</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00"/>
      <c r="S33" s="2500"/>
      <c r="T33" s="2500"/>
      <c r="U33" s="2500"/>
      <c r="V33" s="2500"/>
      <c r="W33" s="419"/>
      <c r="X33" s="419"/>
      <c r="Y33" s="419"/>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20" t="s">
        <v>391</v>
      </c>
      <c r="B34" s="99" t="s">
        <v>899</v>
      </c>
      <c r="C34" s="11" t="s">
        <v>81</v>
      </c>
      <c r="D34" s="164">
        <v>1300000000</v>
      </c>
      <c r="E34" s="164">
        <v>0</v>
      </c>
      <c r="F34" s="164">
        <v>7700000000</v>
      </c>
      <c r="G34" s="164">
        <v>2900000000</v>
      </c>
      <c r="H34" s="164">
        <v>0</v>
      </c>
      <c r="I34" s="164">
        <v>800000000</v>
      </c>
      <c r="J34" s="164"/>
      <c r="K34" s="164"/>
      <c r="L34" s="164"/>
      <c r="M34" s="164"/>
      <c r="N34" s="164"/>
      <c r="O34" s="164"/>
      <c r="P34" s="164"/>
      <c r="Q34" s="164"/>
      <c r="R34" s="2500"/>
      <c r="S34" s="2500"/>
      <c r="T34" s="2500"/>
      <c r="U34" s="2500"/>
      <c r="V34" s="2500"/>
      <c r="W34" s="419"/>
      <c r="X34" s="419"/>
      <c r="Y34" s="419"/>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17">
        <v>46000000000</v>
      </c>
      <c r="S35" s="417">
        <v>109000000000</v>
      </c>
      <c r="T35" s="417">
        <v>121000000000</v>
      </c>
      <c r="U35" s="417">
        <v>92000000000</v>
      </c>
      <c r="V35" s="417">
        <v>91000000000</v>
      </c>
      <c r="W35" s="417">
        <v>78000000000</v>
      </c>
      <c r="X35" s="417">
        <v>87000000000</v>
      </c>
      <c r="Y35" s="417">
        <v>82000000000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17">
        <v>24000000000</v>
      </c>
      <c r="S36" s="417">
        <v>13000000000</v>
      </c>
      <c r="T36" s="417">
        <v>12000000000</v>
      </c>
      <c r="U36" s="417">
        <v>34000000000</v>
      </c>
      <c r="V36" s="417">
        <v>27000000000</v>
      </c>
      <c r="W36" s="417">
        <v>22000000000</v>
      </c>
      <c r="X36" s="417">
        <v>27000000000</v>
      </c>
      <c r="Y36" s="417">
        <v>30000000000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17">
        <v>22000000000</v>
      </c>
      <c r="S37" s="417">
        <v>96000000000</v>
      </c>
      <c r="T37" s="417">
        <v>109000000000</v>
      </c>
      <c r="U37" s="417">
        <f>U35-U36</f>
        <v>58000000000</v>
      </c>
      <c r="V37" s="417">
        <f t="shared" ref="V37:Y37" si="9">V35-V36</f>
        <v>64000000000</v>
      </c>
      <c r="W37" s="417">
        <f t="shared" si="9"/>
        <v>56000000000</v>
      </c>
      <c r="X37" s="417">
        <f t="shared" si="9"/>
        <v>60000000000</v>
      </c>
      <c r="Y37" s="417">
        <f t="shared" si="9"/>
        <v>52000000000</v>
      </c>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s="140" t="s">
        <v>1229</v>
      </c>
      <c r="B38" s="117" t="s">
        <v>1653</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17">
        <v>664000000000</v>
      </c>
      <c r="S38" s="417">
        <v>377000000000</v>
      </c>
      <c r="T38" s="417">
        <v>180000000000</v>
      </c>
      <c r="U38" s="417">
        <v>212000000000</v>
      </c>
      <c r="V38" s="417">
        <v>274000000000</v>
      </c>
      <c r="W38" s="417">
        <v>310000000000</v>
      </c>
      <c r="X38" s="417">
        <v>339000000000</v>
      </c>
      <c r="Y38" s="417">
        <v>375000000000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c r="A39" s="20" t="s">
        <v>239</v>
      </c>
      <c r="B39" s="99" t="s">
        <v>1597</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17">
        <v>510000000000</v>
      </c>
      <c r="S39" s="417">
        <v>231000000000</v>
      </c>
      <c r="T39" s="417">
        <v>51000000000</v>
      </c>
      <c r="U39" s="417">
        <v>36000000000</v>
      </c>
      <c r="V39" s="417">
        <v>83000000000</v>
      </c>
      <c r="W39" s="417">
        <v>105000000000</v>
      </c>
      <c r="X39" s="417">
        <v>119000000000</v>
      </c>
      <c r="Y39" s="417">
        <v>130000000000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20" t="s">
        <v>395</v>
      </c>
      <c r="B40" s="99" t="s">
        <v>1654</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17">
        <v>154000000000</v>
      </c>
      <c r="S40" s="417">
        <v>146000000000</v>
      </c>
      <c r="T40" s="417">
        <v>129000000000</v>
      </c>
      <c r="U40" s="417">
        <f>U38-U39</f>
        <v>176000000000</v>
      </c>
      <c r="V40" s="417">
        <f t="shared" ref="V40:Y40" si="10">V38-V39</f>
        <v>191000000000</v>
      </c>
      <c r="W40" s="417">
        <f t="shared" si="10"/>
        <v>205000000000</v>
      </c>
      <c r="X40" s="417">
        <f t="shared" si="10"/>
        <v>220000000000</v>
      </c>
      <c r="Y40" s="417">
        <f t="shared" si="10"/>
        <v>245000000000</v>
      </c>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t="s">
        <v>76</v>
      </c>
      <c r="B41" s="90" t="s">
        <v>1655</v>
      </c>
      <c r="C41" s="90"/>
      <c r="D41" s="175"/>
      <c r="E41" s="175"/>
      <c r="F41" s="175"/>
      <c r="G41" s="175"/>
      <c r="H41" s="175"/>
      <c r="I41" s="175"/>
      <c r="J41" s="175"/>
      <c r="K41" s="175"/>
      <c r="L41" s="175"/>
      <c r="M41" s="164">
        <v>-332000000000</v>
      </c>
      <c r="N41" s="164">
        <v>-220000000000</v>
      </c>
      <c r="O41" s="164">
        <v>137000000000</v>
      </c>
      <c r="P41" s="178">
        <v>30000000000</v>
      </c>
      <c r="Q41" s="178">
        <v>-169000000000</v>
      </c>
      <c r="R41" s="417">
        <v>-323000000000</v>
      </c>
      <c r="S41" s="417">
        <v>-303000000000</v>
      </c>
      <c r="T41" s="417">
        <v>-147000000000</v>
      </c>
      <c r="U41" s="417"/>
      <c r="V41" s="417"/>
      <c r="W41" s="417"/>
      <c r="X41" s="417"/>
      <c r="Y41" s="41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c r="A42" t="s">
        <v>76</v>
      </c>
      <c r="B42" s="90" t="s">
        <v>1656</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17">
        <v>-838000000000</v>
      </c>
      <c r="S42" s="417">
        <v>-504000000000</v>
      </c>
      <c r="T42" s="417">
        <v>-214000000000</v>
      </c>
      <c r="U42" s="417"/>
      <c r="V42" s="417"/>
      <c r="W42" s="417"/>
      <c r="X42" s="417"/>
      <c r="Y42" s="417"/>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c r="A43" t="s">
        <v>76</v>
      </c>
      <c r="B43" s="90" t="s">
        <v>1657</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00"/>
      <c r="S43" s="2500"/>
      <c r="T43" s="2500"/>
      <c r="U43" s="2500"/>
      <c r="V43" s="2500"/>
      <c r="W43" s="419"/>
      <c r="X43" s="419"/>
      <c r="Y43" s="419"/>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c r="A44" t="s">
        <v>76</v>
      </c>
      <c r="B44" s="90" t="s">
        <v>1658</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17"/>
      <c r="S44" s="417"/>
      <c r="T44" s="417"/>
      <c r="U44" s="417"/>
      <c r="V44" s="417"/>
      <c r="W44" s="417"/>
      <c r="X44" s="417"/>
      <c r="Y44" s="417"/>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c r="A45" t="s">
        <v>76</v>
      </c>
      <c r="B45" s="90" t="s">
        <v>1659</v>
      </c>
      <c r="C45" s="90"/>
      <c r="D45" s="164">
        <v>1200000000</v>
      </c>
      <c r="E45" s="164">
        <v>-900000000</v>
      </c>
      <c r="F45" s="164">
        <v>400000000</v>
      </c>
      <c r="G45" s="164">
        <v>-500000000</v>
      </c>
      <c r="H45" s="164">
        <v>1000000000</v>
      </c>
      <c r="I45" s="164">
        <v>-600000000</v>
      </c>
      <c r="J45" s="115"/>
      <c r="K45" s="115"/>
      <c r="L45" s="115"/>
      <c r="M45" s="115"/>
      <c r="N45" s="115"/>
      <c r="O45" s="115"/>
      <c r="P45" s="115"/>
      <c r="Q45" s="115"/>
      <c r="R45" s="1483"/>
      <c r="S45" s="1483"/>
      <c r="T45" s="1483"/>
      <c r="U45" s="1483"/>
      <c r="V45" s="1483"/>
      <c r="W45" s="419"/>
      <c r="X45" s="419"/>
      <c r="Y45" s="419"/>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c r="A46" t="s">
        <v>76</v>
      </c>
      <c r="B46" s="90" t="s">
        <v>1660</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483"/>
      <c r="S46" s="1483"/>
      <c r="T46" s="1483"/>
      <c r="U46" s="1483"/>
      <c r="V46" s="1483"/>
      <c r="W46" s="419"/>
      <c r="X46" s="419"/>
      <c r="Y46" s="419"/>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c r="A47" t="s">
        <v>76</v>
      </c>
      <c r="B47" s="117" t="s">
        <v>912</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17"/>
      <c r="S47" s="417"/>
      <c r="T47" s="417"/>
      <c r="U47" s="417"/>
      <c r="V47" s="417"/>
      <c r="W47" s="417"/>
      <c r="X47" s="417"/>
      <c r="Y47" s="41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c r="A48" s="607"/>
      <c r="B48" s="716" t="s">
        <v>1661</v>
      </c>
      <c r="C48" s="716"/>
      <c r="D48" s="164"/>
      <c r="E48" s="164"/>
      <c r="F48" s="164"/>
      <c r="G48" s="164"/>
      <c r="H48" s="164"/>
      <c r="I48" s="164"/>
      <c r="J48" s="164"/>
      <c r="K48" s="164"/>
      <c r="L48" s="164"/>
      <c r="M48" s="164"/>
      <c r="N48" s="164"/>
      <c r="O48" s="164"/>
      <c r="P48" s="178"/>
      <c r="Q48" s="178"/>
      <c r="R48" s="417">
        <v>-135000000000</v>
      </c>
      <c r="S48" s="417">
        <v>-181000000000</v>
      </c>
      <c r="T48" s="417">
        <v>-103000000000</v>
      </c>
      <c r="U48" s="417"/>
      <c r="V48" s="417"/>
      <c r="W48" s="417"/>
      <c r="X48" s="417"/>
      <c r="Y48" s="417"/>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c r="A49" s="607"/>
      <c r="B49" s="716" t="s">
        <v>1662</v>
      </c>
      <c r="C49" s="716"/>
      <c r="D49" s="164"/>
      <c r="E49" s="164"/>
      <c r="F49" s="164"/>
      <c r="G49" s="164"/>
      <c r="H49" s="164"/>
      <c r="I49" s="164"/>
      <c r="J49" s="164"/>
      <c r="K49" s="164"/>
      <c r="L49" s="164"/>
      <c r="M49" s="164"/>
      <c r="N49" s="164"/>
      <c r="O49" s="164"/>
      <c r="P49" s="178"/>
      <c r="Q49" s="178"/>
      <c r="R49" s="417">
        <v>181000000000</v>
      </c>
      <c r="S49" s="417">
        <v>103000000000</v>
      </c>
      <c r="T49" s="417">
        <v>95000000000</v>
      </c>
      <c r="U49" s="417"/>
      <c r="V49" s="417"/>
      <c r="W49" s="417"/>
      <c r="X49" s="417"/>
      <c r="Y49" s="41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c r="A50" s="607"/>
      <c r="B50" s="716" t="s">
        <v>1663</v>
      </c>
      <c r="C50" s="716"/>
      <c r="D50" s="164"/>
      <c r="E50" s="164"/>
      <c r="F50" s="164"/>
      <c r="G50" s="164"/>
      <c r="H50" s="164"/>
      <c r="I50" s="164"/>
      <c r="J50" s="164"/>
      <c r="K50" s="164"/>
      <c r="L50" s="164"/>
      <c r="M50" s="164"/>
      <c r="N50" s="164"/>
      <c r="O50" s="164"/>
      <c r="P50" s="178"/>
      <c r="Q50" s="178"/>
      <c r="R50" s="417">
        <v>12000000000</v>
      </c>
      <c r="S50" s="417">
        <v>148000000000</v>
      </c>
      <c r="T50" s="417">
        <v>-32000000000</v>
      </c>
      <c r="U50" s="417"/>
      <c r="V50" s="417"/>
      <c r="W50" s="417"/>
      <c r="X50" s="417"/>
      <c r="Y50" s="41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c r="A51" s="607"/>
      <c r="B51" s="716" t="s">
        <v>1664</v>
      </c>
      <c r="C51" s="716"/>
      <c r="D51" s="164"/>
      <c r="E51" s="164"/>
      <c r="F51" s="164"/>
      <c r="G51" s="164"/>
      <c r="H51" s="164"/>
      <c r="I51" s="164"/>
      <c r="J51" s="164"/>
      <c r="K51" s="164"/>
      <c r="L51" s="164"/>
      <c r="M51" s="164"/>
      <c r="N51" s="164"/>
      <c r="O51" s="164"/>
      <c r="P51" s="178"/>
      <c r="Q51" s="178"/>
      <c r="R51" s="417">
        <v>0</v>
      </c>
      <c r="S51" s="417">
        <v>0</v>
      </c>
      <c r="T51" s="417">
        <v>-51000000000</v>
      </c>
      <c r="U51" s="417"/>
      <c r="V51" s="417"/>
      <c r="W51" s="417"/>
      <c r="X51" s="417"/>
      <c r="Y51" s="41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c r="A52" t="s">
        <v>76</v>
      </c>
      <c r="B52" s="90" t="s">
        <v>1604</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17"/>
      <c r="S52" s="2509"/>
      <c r="T52" s="2509"/>
      <c r="U52" s="2509"/>
      <c r="V52" s="2509"/>
      <c r="W52" s="2509"/>
      <c r="X52" s="2509"/>
      <c r="Y52" s="2509"/>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c r="A53" t="s">
        <v>76</v>
      </c>
      <c r="B53" s="90" t="s">
        <v>1665</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00"/>
      <c r="S53" s="2500"/>
      <c r="T53" s="2500"/>
      <c r="U53" s="2500"/>
      <c r="V53" s="2500"/>
      <c r="W53" s="419"/>
      <c r="X53" s="419"/>
      <c r="Y53" s="419"/>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c r="A54" t="s">
        <v>76</v>
      </c>
      <c r="B54" s="90" t="s">
        <v>1666</v>
      </c>
      <c r="C54" s="90"/>
      <c r="D54" s="175"/>
      <c r="E54" s="175"/>
      <c r="F54" s="175"/>
      <c r="G54" s="175"/>
      <c r="H54" s="175"/>
      <c r="I54" s="175"/>
      <c r="J54" s="115"/>
      <c r="K54" s="115"/>
      <c r="L54" s="115"/>
      <c r="M54" s="164">
        <v>-329000000000</v>
      </c>
      <c r="N54" s="164">
        <v>-170000000000</v>
      </c>
      <c r="O54" s="164">
        <v>25000000000</v>
      </c>
      <c r="P54" s="178">
        <v>94000000000</v>
      </c>
      <c r="Q54" s="178">
        <v>-330000000000</v>
      </c>
      <c r="R54" s="417">
        <v>-230000000000</v>
      </c>
      <c r="S54" s="417">
        <v>-233000000000</v>
      </c>
      <c r="T54" s="417">
        <v>-238000000000</v>
      </c>
      <c r="U54" s="417"/>
      <c r="V54" s="417"/>
      <c r="W54" s="417"/>
      <c r="X54" s="417"/>
      <c r="Y54" s="41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c r="A55" s="607"/>
      <c r="B55" s="619" t="s">
        <v>1667</v>
      </c>
      <c r="C55" s="619"/>
      <c r="D55" s="175"/>
      <c r="E55" s="175"/>
      <c r="F55" s="175"/>
      <c r="G55" s="175"/>
      <c r="H55" s="175"/>
      <c r="I55" s="175"/>
      <c r="J55" s="115"/>
      <c r="K55" s="115"/>
      <c r="L55" s="115"/>
      <c r="M55" s="164"/>
      <c r="N55" s="164"/>
      <c r="O55" s="164"/>
      <c r="P55" s="178"/>
      <c r="Q55" s="178"/>
      <c r="R55" s="417">
        <v>-779000000000</v>
      </c>
      <c r="S55" s="417">
        <v>-434000000000</v>
      </c>
      <c r="T55" s="417">
        <v>-255000000000</v>
      </c>
      <c r="U55" s="417"/>
      <c r="V55" s="417"/>
      <c r="W55" s="417"/>
      <c r="X55" s="417"/>
      <c r="Y55" s="41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s="15" customFormat="1">
      <c r="A56" s="18" t="s">
        <v>115</v>
      </c>
      <c r="B56" s="18" t="s">
        <v>115</v>
      </c>
      <c r="C56" s="18" t="s">
        <v>35</v>
      </c>
      <c r="D56" s="229">
        <f>D57-D76+D75</f>
        <v>68600000000</v>
      </c>
      <c r="E56" s="229">
        <f t="shared" ref="E56:O56" si="11">E57-E76+E75</f>
        <v>57600000000</v>
      </c>
      <c r="F56" s="183">
        <f>F58+F75</f>
        <v>88900000000</v>
      </c>
      <c r="G56" s="229">
        <f t="shared" si="11"/>
        <v>97100000000</v>
      </c>
      <c r="H56" s="229">
        <f t="shared" si="11"/>
        <v>51500000000</v>
      </c>
      <c r="I56" s="229">
        <f t="shared" si="11"/>
        <v>29800000000</v>
      </c>
      <c r="J56" s="229">
        <f t="shared" si="11"/>
        <v>-34500000000</v>
      </c>
      <c r="K56" s="229">
        <f t="shared" si="11"/>
        <v>-91700000000</v>
      </c>
      <c r="L56" s="229">
        <f t="shared" si="11"/>
        <v>-208700000000</v>
      </c>
      <c r="M56" s="229">
        <f t="shared" si="11"/>
        <v>358000000000</v>
      </c>
      <c r="N56" s="229">
        <f t="shared" si="11"/>
        <v>215000000000</v>
      </c>
      <c r="O56" s="229">
        <f t="shared" si="11"/>
        <v>-25000000000</v>
      </c>
      <c r="P56" s="229">
        <f>P58+P75</f>
        <v>-94000000000</v>
      </c>
      <c r="Q56" s="229">
        <f t="shared" ref="Q56:T56" si="12">Q58+Q75</f>
        <v>331000000000</v>
      </c>
      <c r="R56" s="2510">
        <f t="shared" si="12"/>
        <v>230000000000</v>
      </c>
      <c r="S56" s="2510">
        <f t="shared" si="12"/>
        <v>233000000000</v>
      </c>
      <c r="T56" s="2510">
        <f t="shared" si="12"/>
        <v>238000000000</v>
      </c>
      <c r="U56" s="2510">
        <f>U58+U75</f>
        <v>123000000000</v>
      </c>
      <c r="V56" s="2510">
        <f t="shared" ref="V56:Y56" si="13">V58+V75</f>
        <v>30300000000</v>
      </c>
      <c r="W56" s="2510">
        <f t="shared" si="13"/>
        <v>18000000000</v>
      </c>
      <c r="X56" s="2510">
        <f t="shared" si="13"/>
        <v>-52000000000</v>
      </c>
      <c r="Y56" s="2510">
        <f t="shared" si="13"/>
        <v>-49000000000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17">
        <v>230000000000</v>
      </c>
      <c r="S57" s="417">
        <v>233000000000</v>
      </c>
      <c r="T57" s="417">
        <v>238000000000</v>
      </c>
      <c r="U57" s="417"/>
      <c r="V57" s="417"/>
      <c r="W57" s="417"/>
      <c r="X57" s="417"/>
      <c r="Y57" s="417"/>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c r="A58" s="43" t="s">
        <v>120</v>
      </c>
      <c r="B58" s="90" t="s">
        <v>1084</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17">
        <v>363000000000</v>
      </c>
      <c r="S58" s="417">
        <v>265000000000</v>
      </c>
      <c r="T58" s="417">
        <v>285000000000</v>
      </c>
      <c r="U58" s="417">
        <f>U59+U67+U73</f>
        <v>45000000000</v>
      </c>
      <c r="V58" s="417">
        <f t="shared" ref="V58:Y58" si="14">V59+V67+V73</f>
        <v>21000000000</v>
      </c>
      <c r="W58" s="417">
        <f t="shared" si="14"/>
        <v>28000000000</v>
      </c>
      <c r="X58" s="417">
        <f t="shared" si="14"/>
        <v>-9000000000</v>
      </c>
      <c r="Y58" s="417">
        <f t="shared" si="14"/>
        <v>7000000000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c r="A59" s="20" t="s">
        <v>122</v>
      </c>
      <c r="B59" s="99" t="s">
        <v>425</v>
      </c>
      <c r="C59" s="90" t="s">
        <v>124</v>
      </c>
      <c r="D59" s="112">
        <f>D60+D65</f>
        <v>19300000000</v>
      </c>
      <c r="E59" s="112">
        <f t="shared" ref="E59:L59" si="15">E60+E65</f>
        <v>9800000000</v>
      </c>
      <c r="F59" s="112">
        <f t="shared" si="15"/>
        <v>7700000000</v>
      </c>
      <c r="G59" s="112">
        <f t="shared" si="15"/>
        <v>13600000000</v>
      </c>
      <c r="H59" s="112">
        <f t="shared" si="15"/>
        <v>-13900000000</v>
      </c>
      <c r="I59" s="112">
        <f t="shared" si="15"/>
        <v>-4000000000</v>
      </c>
      <c r="J59" s="112">
        <f t="shared" si="15"/>
        <v>-63300000000</v>
      </c>
      <c r="K59" s="112">
        <f t="shared" si="15"/>
        <v>-94700000000</v>
      </c>
      <c r="L59" s="112">
        <f t="shared" si="15"/>
        <v>-151400000000</v>
      </c>
      <c r="M59" s="164">
        <v>328000000000</v>
      </c>
      <c r="N59" s="164">
        <v>48000000000</v>
      </c>
      <c r="O59" s="164">
        <v>-110000000000</v>
      </c>
      <c r="P59" s="178">
        <v>-115000000000</v>
      </c>
      <c r="Q59" s="178">
        <v>55000000000</v>
      </c>
      <c r="R59" s="417">
        <v>118000000000</v>
      </c>
      <c r="S59" s="417">
        <v>289000000000</v>
      </c>
      <c r="T59" s="417">
        <v>50000000000</v>
      </c>
      <c r="U59" s="417">
        <v>9000000000</v>
      </c>
      <c r="V59" s="417">
        <v>11000000000</v>
      </c>
      <c r="W59" s="417">
        <v>69000000000</v>
      </c>
      <c r="X59" s="417">
        <v>-27000000000</v>
      </c>
      <c r="Y59" s="417">
        <v>-14000000000</v>
      </c>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c r="A60" t="s">
        <v>76</v>
      </c>
      <c r="B60" s="100" t="s">
        <v>1668</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17">
        <v>113000000000</v>
      </c>
      <c r="S60" s="417">
        <v>292000000000</v>
      </c>
      <c r="T60" s="417">
        <v>61000000000</v>
      </c>
      <c r="U60" s="417"/>
      <c r="V60" s="417"/>
      <c r="W60" s="417"/>
      <c r="X60" s="417"/>
      <c r="Y60" s="417"/>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c r="A61" t="s">
        <v>76</v>
      </c>
      <c r="B61" s="100" t="s">
        <v>1669</v>
      </c>
      <c r="C61" s="90"/>
      <c r="D61" s="164">
        <v>0</v>
      </c>
      <c r="E61" s="164">
        <v>0</v>
      </c>
      <c r="F61" s="164">
        <v>0</v>
      </c>
      <c r="G61" s="164">
        <v>0</v>
      </c>
      <c r="H61" s="164">
        <v>-12900000000</v>
      </c>
      <c r="I61" s="164">
        <v>-9700000000</v>
      </c>
      <c r="J61" s="164"/>
      <c r="K61" s="164"/>
      <c r="L61" s="164"/>
      <c r="M61" s="164"/>
      <c r="N61" s="164"/>
      <c r="O61" s="164"/>
      <c r="P61" s="164"/>
      <c r="Q61" s="164"/>
      <c r="R61" s="2500"/>
      <c r="S61" s="2500"/>
      <c r="T61" s="2500"/>
      <c r="U61" s="2500"/>
      <c r="V61" s="2500"/>
      <c r="W61" s="419"/>
      <c r="X61" s="419"/>
      <c r="Y61" s="419"/>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c r="A62" t="s">
        <v>76</v>
      </c>
      <c r="B62" s="126" t="s">
        <v>1355</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17">
        <v>104000000000</v>
      </c>
      <c r="S62" s="417">
        <v>26000000000</v>
      </c>
      <c r="T62" s="417">
        <v>-6000000000</v>
      </c>
      <c r="U62" s="417"/>
      <c r="V62" s="417"/>
      <c r="W62" s="417"/>
      <c r="X62" s="417"/>
      <c r="Y62" s="417"/>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c r="A63" t="s">
        <v>76</v>
      </c>
      <c r="B63" s="100" t="s">
        <v>1670</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17">
        <v>0</v>
      </c>
      <c r="S63" s="417">
        <v>232000000000</v>
      </c>
      <c r="T63" s="417">
        <v>30000000000</v>
      </c>
      <c r="U63" s="417"/>
      <c r="V63" s="417"/>
      <c r="W63" s="417"/>
      <c r="X63" s="417"/>
      <c r="Y63" s="417"/>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c r="A64" s="607" t="s">
        <v>273</v>
      </c>
      <c r="B64" s="100" t="s">
        <v>1671</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17">
        <v>9000000000</v>
      </c>
      <c r="S64" s="417">
        <v>34000000000</v>
      </c>
      <c r="T64" s="417">
        <v>37000000000</v>
      </c>
      <c r="U64" s="417"/>
      <c r="V64" s="417"/>
      <c r="W64" s="417"/>
      <c r="X64" s="417"/>
      <c r="Y64" s="417"/>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c r="A65" s="607" t="s">
        <v>1672</v>
      </c>
      <c r="B65" s="100" t="s">
        <v>1619</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17">
        <v>5000000000</v>
      </c>
      <c r="S65" s="417">
        <v>-3000000000</v>
      </c>
      <c r="T65" s="417">
        <v>-11000000000</v>
      </c>
      <c r="U65" s="417"/>
      <c r="V65" s="417"/>
      <c r="W65" s="417"/>
      <c r="X65" s="417"/>
      <c r="Y65" s="417"/>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c r="A66" s="20" t="s">
        <v>428</v>
      </c>
      <c r="B66" s="99" t="s">
        <v>1673</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17"/>
      <c r="S66" s="417"/>
      <c r="T66" s="417"/>
      <c r="U66" s="214"/>
      <c r="V66" s="214"/>
      <c r="W66" s="214"/>
      <c r="X66" s="214"/>
      <c r="Y66" s="214"/>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c r="A67" s="715"/>
      <c r="B67" s="648" t="s">
        <v>1674</v>
      </c>
      <c r="C67" s="619" t="s">
        <v>124</v>
      </c>
      <c r="D67" s="164"/>
      <c r="E67" s="164"/>
      <c r="F67" s="164"/>
      <c r="G67" s="164"/>
      <c r="H67" s="164"/>
      <c r="I67" s="164"/>
      <c r="J67" s="164"/>
      <c r="K67" s="164"/>
      <c r="L67" s="164"/>
      <c r="M67" s="164"/>
      <c r="N67" s="164"/>
      <c r="O67" s="164"/>
      <c r="P67" s="178"/>
      <c r="Q67" s="178"/>
      <c r="R67" s="417">
        <v>-32000000000</v>
      </c>
      <c r="S67" s="417">
        <v>-48000000000</v>
      </c>
      <c r="T67" s="417">
        <v>235000000000</v>
      </c>
      <c r="U67" s="417">
        <v>-37000000000</v>
      </c>
      <c r="V67" s="417">
        <v>1000000000</v>
      </c>
      <c r="W67" s="417">
        <v>-41000000000</v>
      </c>
      <c r="X67" s="417">
        <v>18000000000</v>
      </c>
      <c r="Y67" s="417">
        <v>21000000000</v>
      </c>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c r="A68" s="715"/>
      <c r="B68" s="648" t="s">
        <v>258</v>
      </c>
      <c r="C68" s="619"/>
      <c r="D68" s="164"/>
      <c r="E68" s="164"/>
      <c r="F68" s="164"/>
      <c r="G68" s="164"/>
      <c r="H68" s="164"/>
      <c r="I68" s="164"/>
      <c r="J68" s="164"/>
      <c r="K68" s="164"/>
      <c r="L68" s="164"/>
      <c r="M68" s="164"/>
      <c r="N68" s="164"/>
      <c r="O68" s="164"/>
      <c r="P68" s="178"/>
      <c r="Q68" s="178"/>
      <c r="R68" s="417">
        <v>-80000000000</v>
      </c>
      <c r="S68" s="417">
        <v>-234000000000</v>
      </c>
      <c r="T68" s="417">
        <v>-53000000000</v>
      </c>
      <c r="U68" s="417"/>
      <c r="V68" s="417"/>
      <c r="W68" s="417"/>
      <c r="X68" s="417"/>
      <c r="Y68" s="417"/>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c r="A69" s="715"/>
      <c r="B69" s="648" t="s">
        <v>1675</v>
      </c>
      <c r="C69" s="619"/>
      <c r="D69" s="164"/>
      <c r="E69" s="164"/>
      <c r="F69" s="164"/>
      <c r="G69" s="164"/>
      <c r="H69" s="164"/>
      <c r="I69" s="164"/>
      <c r="J69" s="164"/>
      <c r="K69" s="164"/>
      <c r="L69" s="164"/>
      <c r="M69" s="164"/>
      <c r="N69" s="164"/>
      <c r="O69" s="164"/>
      <c r="P69" s="178"/>
      <c r="Q69" s="178"/>
      <c r="R69" s="417">
        <v>-9000000000</v>
      </c>
      <c r="S69" s="417">
        <v>-32000000000</v>
      </c>
      <c r="T69" s="417">
        <v>-10000000000</v>
      </c>
      <c r="U69" s="417"/>
      <c r="V69" s="417"/>
      <c r="W69" s="417"/>
      <c r="X69" s="417"/>
      <c r="Y69" s="417"/>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A70" s="715"/>
      <c r="B70" s="648" t="s">
        <v>1676</v>
      </c>
      <c r="C70" s="619"/>
      <c r="D70" s="164"/>
      <c r="E70" s="164"/>
      <c r="F70" s="164"/>
      <c r="G70" s="164"/>
      <c r="H70" s="164"/>
      <c r="I70" s="164"/>
      <c r="J70" s="164"/>
      <c r="K70" s="164"/>
      <c r="L70" s="164"/>
      <c r="M70" s="164"/>
      <c r="N70" s="164"/>
      <c r="O70" s="164"/>
      <c r="P70" s="178"/>
      <c r="Q70" s="178"/>
      <c r="R70" s="417">
        <v>0</v>
      </c>
      <c r="S70" s="417">
        <v>9000000000</v>
      </c>
      <c r="T70" s="417">
        <v>60000000000</v>
      </c>
      <c r="U70" s="417"/>
      <c r="V70" s="417"/>
      <c r="W70" s="417"/>
      <c r="X70" s="417"/>
      <c r="Y70" s="417"/>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A71" s="715"/>
      <c r="B71" s="648" t="s">
        <v>1677</v>
      </c>
      <c r="C71" s="619"/>
      <c r="D71" s="164"/>
      <c r="E71" s="164"/>
      <c r="F71" s="164"/>
      <c r="G71" s="164"/>
      <c r="H71" s="164"/>
      <c r="I71" s="164"/>
      <c r="J71" s="164"/>
      <c r="K71" s="164"/>
      <c r="L71" s="164"/>
      <c r="M71" s="164"/>
      <c r="N71" s="164"/>
      <c r="O71" s="164"/>
      <c r="P71" s="178"/>
      <c r="Q71" s="178"/>
      <c r="R71" s="417">
        <v>27000000000</v>
      </c>
      <c r="S71" s="417">
        <v>49000000000</v>
      </c>
      <c r="T71" s="417">
        <v>80000000000</v>
      </c>
      <c r="U71" s="417"/>
      <c r="V71" s="417"/>
      <c r="W71" s="417"/>
      <c r="X71" s="417"/>
      <c r="Y71" s="417"/>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A72" s="715"/>
      <c r="B72" s="648" t="s">
        <v>1678</v>
      </c>
      <c r="C72" s="619"/>
      <c r="D72" s="164"/>
      <c r="E72" s="164"/>
      <c r="F72" s="164"/>
      <c r="G72" s="164"/>
      <c r="H72" s="164"/>
      <c r="I72" s="164"/>
      <c r="J72" s="164"/>
      <c r="K72" s="164"/>
      <c r="L72" s="164"/>
      <c r="M72" s="164"/>
      <c r="N72" s="164"/>
      <c r="O72" s="164"/>
      <c r="P72" s="178"/>
      <c r="Q72" s="178"/>
      <c r="R72" s="417">
        <v>0</v>
      </c>
      <c r="S72" s="417">
        <v>139000000000</v>
      </c>
      <c r="T72" s="417">
        <v>159000000000</v>
      </c>
      <c r="U72" s="417"/>
      <c r="V72" s="417"/>
      <c r="W72" s="417"/>
      <c r="X72" s="417"/>
      <c r="Y72" s="417"/>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A73" s="715"/>
      <c r="B73" s="648" t="s">
        <v>1679</v>
      </c>
      <c r="C73" s="619" t="s">
        <v>124</v>
      </c>
      <c r="D73" s="164"/>
      <c r="E73" s="164"/>
      <c r="F73" s="164"/>
      <c r="G73" s="164"/>
      <c r="H73" s="164"/>
      <c r="I73" s="164"/>
      <c r="J73" s="164"/>
      <c r="K73" s="164"/>
      <c r="L73" s="164"/>
      <c r="M73" s="164"/>
      <c r="N73" s="164"/>
      <c r="O73" s="164"/>
      <c r="P73" s="178"/>
      <c r="Q73" s="178"/>
      <c r="R73" s="417">
        <v>277000000000</v>
      </c>
      <c r="S73" s="417">
        <v>24000000000</v>
      </c>
      <c r="T73" s="417">
        <v>0</v>
      </c>
      <c r="U73" s="417">
        <v>73000000000</v>
      </c>
      <c r="V73" s="417">
        <v>9000000000</v>
      </c>
      <c r="W73" s="417">
        <v>0</v>
      </c>
      <c r="X73" s="417">
        <v>0</v>
      </c>
      <c r="Y73" s="417">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A74" s="103" t="s">
        <v>858</v>
      </c>
      <c r="B74" s="103" t="s">
        <v>858</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17"/>
      <c r="S74" s="417"/>
      <c r="T74" s="417"/>
      <c r="U74" s="417"/>
      <c r="V74" s="417"/>
      <c r="W74" s="417"/>
      <c r="X74" s="417"/>
      <c r="Y74" s="417"/>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A75" s="43" t="s">
        <v>117</v>
      </c>
      <c r="B75" s="117" t="s">
        <v>1680</v>
      </c>
      <c r="C75" s="11" t="s">
        <v>119</v>
      </c>
      <c r="D75" s="164">
        <f t="shared" ref="D75:L75" si="16">D76-D77</f>
        <v>32700000000</v>
      </c>
      <c r="E75" s="164">
        <f t="shared" si="16"/>
        <v>51100000000</v>
      </c>
      <c r="F75" s="164">
        <f t="shared" si="16"/>
        <v>86900000000</v>
      </c>
      <c r="G75" s="164">
        <f t="shared" si="16"/>
        <v>76600000000</v>
      </c>
      <c r="H75" s="164">
        <f t="shared" si="16"/>
        <v>68100000000</v>
      </c>
      <c r="I75" s="164">
        <f t="shared" si="16"/>
        <v>53300000000</v>
      </c>
      <c r="J75" s="164">
        <f t="shared" si="16"/>
        <v>29000000000</v>
      </c>
      <c r="K75" s="164">
        <f t="shared" si="16"/>
        <v>21300000000</v>
      </c>
      <c r="L75" s="164">
        <f t="shared" si="16"/>
        <v>-31800000000</v>
      </c>
      <c r="M75" s="164">
        <f>1000000000-M85</f>
        <v>30000000000</v>
      </c>
      <c r="N75" s="164">
        <f>112000000000-N85</f>
        <v>157000000000</v>
      </c>
      <c r="O75" s="164">
        <v>-3000000000</v>
      </c>
      <c r="P75" s="178">
        <v>43000000000</v>
      </c>
      <c r="Q75" s="178">
        <v>230000000000</v>
      </c>
      <c r="R75" s="417">
        <v>-133000000000</v>
      </c>
      <c r="S75" s="417">
        <v>-32000000000</v>
      </c>
      <c r="T75" s="417">
        <v>-47000000000</v>
      </c>
      <c r="U75" s="417">
        <f>U81+U84+U85+U86</f>
        <v>78000000000</v>
      </c>
      <c r="V75" s="417">
        <f t="shared" ref="V75:Y75" si="17">V81+V84+V85+V86</f>
        <v>9300000000</v>
      </c>
      <c r="W75" s="417">
        <f t="shared" si="17"/>
        <v>-10000000000</v>
      </c>
      <c r="X75" s="417">
        <f t="shared" si="17"/>
        <v>-43000000000</v>
      </c>
      <c r="Y75" s="417">
        <f t="shared" si="17"/>
        <v>-56000000000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A76" t="s">
        <v>76</v>
      </c>
      <c r="B76" s="90" t="s">
        <v>1681</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17"/>
      <c r="S76" s="417"/>
      <c r="T76" s="417"/>
      <c r="U76" s="417"/>
      <c r="V76" s="417"/>
      <c r="W76" s="417"/>
      <c r="X76" s="417"/>
      <c r="Y76" s="417"/>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00"/>
      <c r="S77" s="2500"/>
      <c r="T77" s="2500"/>
      <c r="U77" s="2500"/>
      <c r="V77" s="2500"/>
      <c r="W77" s="419"/>
      <c r="X77" s="419"/>
      <c r="Y77" s="419"/>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A78" t="s">
        <v>76</v>
      </c>
      <c r="B78" s="90" t="s">
        <v>1682</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00"/>
      <c r="S78" s="2500"/>
      <c r="T78" s="2500"/>
      <c r="U78" s="2500"/>
      <c r="V78" s="2500"/>
      <c r="W78" s="419"/>
      <c r="X78" s="419"/>
      <c r="Y78" s="419"/>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c r="A79" t="s">
        <v>76</v>
      </c>
      <c r="B79" s="90" t="s">
        <v>1338</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00"/>
      <c r="S79" s="2500"/>
      <c r="T79" s="2500"/>
      <c r="U79" s="2500"/>
      <c r="V79" s="2500"/>
      <c r="W79" s="419"/>
      <c r="X79" s="419"/>
      <c r="Y79" s="419"/>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 r="A80" t="s">
        <v>76</v>
      </c>
      <c r="B80" s="99" t="s">
        <v>1683</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17">
        <v>-133000000000</v>
      </c>
      <c r="S80" s="417">
        <v>-56000000000</v>
      </c>
      <c r="T80" s="417">
        <v>-104000000000</v>
      </c>
      <c r="U80" s="417"/>
      <c r="V80" s="417"/>
      <c r="W80" s="417"/>
      <c r="X80" s="417"/>
      <c r="Y80" s="417"/>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1:48">
      <c r="A81" s="103" t="s">
        <v>415</v>
      </c>
      <c r="B81" s="103" t="s">
        <v>415</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17">
        <v>46000000000</v>
      </c>
      <c r="S81" s="417">
        <v>34000000000</v>
      </c>
      <c r="T81" s="417">
        <v>18000000000</v>
      </c>
      <c r="U81" s="417">
        <f>U82+U83</f>
        <v>159000000000</v>
      </c>
      <c r="V81" s="417">
        <f t="shared" ref="V81:Y81" si="18">V82+V83</f>
        <v>84000000000</v>
      </c>
      <c r="W81" s="417">
        <f t="shared" si="18"/>
        <v>62000000000</v>
      </c>
      <c r="X81" s="417">
        <f t="shared" si="18"/>
        <v>67000000000</v>
      </c>
      <c r="Y81" s="417">
        <f t="shared" si="18"/>
        <v>76000000000</v>
      </c>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1:48" ht="16.5">
      <c r="A82" t="s">
        <v>76</v>
      </c>
      <c r="B82" s="100" t="s">
        <v>1684</v>
      </c>
      <c r="C82" s="139" t="s">
        <v>499</v>
      </c>
      <c r="D82" s="175"/>
      <c r="E82" s="175"/>
      <c r="F82" s="175"/>
      <c r="G82" s="175"/>
      <c r="H82" s="175"/>
      <c r="I82" s="175"/>
      <c r="J82" s="115"/>
      <c r="K82" s="115"/>
      <c r="L82" s="115"/>
      <c r="M82" s="164">
        <v>0</v>
      </c>
      <c r="N82" s="164">
        <v>141000000000</v>
      </c>
      <c r="O82" s="164">
        <v>0</v>
      </c>
      <c r="P82" s="164"/>
      <c r="Q82" s="164"/>
      <c r="R82" s="2500">
        <v>0</v>
      </c>
      <c r="S82" s="2500">
        <v>0</v>
      </c>
      <c r="T82" s="2500">
        <v>0</v>
      </c>
      <c r="U82" s="2500">
        <v>88000000000</v>
      </c>
      <c r="V82" s="2500">
        <v>26000000000</v>
      </c>
      <c r="W82" s="419">
        <v>0</v>
      </c>
      <c r="X82" s="419">
        <v>0</v>
      </c>
      <c r="Y82" s="419">
        <v>0</v>
      </c>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1:48" ht="16.5">
      <c r="A83" t="s">
        <v>76</v>
      </c>
      <c r="B83" s="100" t="s">
        <v>1344</v>
      </c>
      <c r="C83" s="139" t="s">
        <v>499</v>
      </c>
      <c r="D83" s="175"/>
      <c r="E83" s="175"/>
      <c r="F83" s="175"/>
      <c r="G83" s="175"/>
      <c r="H83" s="175"/>
      <c r="I83" s="175"/>
      <c r="J83" s="164">
        <v>55400000000</v>
      </c>
      <c r="K83" s="164">
        <v>40800000000</v>
      </c>
      <c r="L83" s="164">
        <v>19000000000</v>
      </c>
      <c r="M83" s="164">
        <v>59000000000</v>
      </c>
      <c r="N83" s="164">
        <v>61000000000</v>
      </c>
      <c r="O83" s="164">
        <v>41000000000</v>
      </c>
      <c r="P83" s="164"/>
      <c r="Q83" s="164"/>
      <c r="R83" s="2500">
        <v>46000000000</v>
      </c>
      <c r="S83" s="2500">
        <v>34000000000</v>
      </c>
      <c r="T83" s="2500">
        <v>18000000000</v>
      </c>
      <c r="U83" s="2500">
        <v>71000000000</v>
      </c>
      <c r="V83" s="2500">
        <v>58000000000</v>
      </c>
      <c r="W83" s="2500">
        <v>62000000000</v>
      </c>
      <c r="X83" s="2500">
        <v>67000000000</v>
      </c>
      <c r="Y83" s="2500">
        <v>76000000000</v>
      </c>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1:48">
      <c r="A84" s="99" t="s">
        <v>1685</v>
      </c>
      <c r="B84" s="99" t="s">
        <v>1686</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00">
        <v>0</v>
      </c>
      <c r="S84" s="2500">
        <v>0</v>
      </c>
      <c r="T84" s="2500">
        <v>27000000000</v>
      </c>
      <c r="U84" s="2500">
        <v>17000000000</v>
      </c>
      <c r="V84" s="2500">
        <v>-7000000000</v>
      </c>
      <c r="W84" s="2500">
        <v>0</v>
      </c>
      <c r="X84" s="2500">
        <v>0</v>
      </c>
      <c r="Y84" s="2500">
        <v>0</v>
      </c>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00">
        <v>-179000000000</v>
      </c>
      <c r="S85" s="2500">
        <v>-91000000000</v>
      </c>
      <c r="T85" s="2500">
        <v>-122000000000</v>
      </c>
      <c r="U85" s="2500">
        <v>-128000000000</v>
      </c>
      <c r="V85" s="2500">
        <v>-94000000000</v>
      </c>
      <c r="W85" s="2500">
        <v>-98000000000</v>
      </c>
      <c r="X85" s="2500">
        <v>-134000000000</v>
      </c>
      <c r="Y85" s="2500">
        <v>-156000000000</v>
      </c>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1:48" ht="16.5">
      <c r="A86" s="140" t="s">
        <v>1348</v>
      </c>
      <c r="B86" s="99" t="s">
        <v>1687</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00">
        <v>0</v>
      </c>
      <c r="S86" s="2500">
        <v>20000000000</v>
      </c>
      <c r="T86" s="2500">
        <v>30000000000</v>
      </c>
      <c r="U86" s="2500">
        <v>30000000000</v>
      </c>
      <c r="V86" s="2500">
        <v>26300000000</v>
      </c>
      <c r="W86" s="2500">
        <v>26000000000</v>
      </c>
      <c r="X86" s="2500">
        <v>24000000000</v>
      </c>
      <c r="Y86" s="2500">
        <v>24000000000</v>
      </c>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1:48">
      <c r="A87" s="99" t="s">
        <v>1688</v>
      </c>
      <c r="B87" s="179" t="s">
        <v>1689</v>
      </c>
      <c r="C87" s="58" t="s">
        <v>264</v>
      </c>
      <c r="D87" s="164"/>
      <c r="E87" s="164"/>
      <c r="F87" s="164"/>
      <c r="G87" s="164"/>
      <c r="H87" s="164"/>
      <c r="I87" s="164"/>
      <c r="J87" s="164">
        <v>-500000000</v>
      </c>
      <c r="K87" s="115"/>
      <c r="L87" s="115"/>
      <c r="M87" s="164"/>
      <c r="N87" s="164"/>
      <c r="O87" s="164"/>
      <c r="P87" s="164"/>
      <c r="Q87" s="164">
        <f>Q75-Q80</f>
        <v>32000000000</v>
      </c>
      <c r="R87" s="2500"/>
      <c r="S87" s="2500"/>
      <c r="T87" s="2500"/>
      <c r="U87" s="2500"/>
      <c r="V87" s="2500"/>
      <c r="W87" s="2500"/>
      <c r="X87" s="2500"/>
      <c r="Y87" s="2500"/>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1:48">
      <c r="B88" s="126" t="s">
        <v>1690</v>
      </c>
      <c r="C88" s="117"/>
      <c r="D88" s="175"/>
      <c r="E88" s="175"/>
      <c r="F88" s="175"/>
      <c r="G88" s="175"/>
      <c r="H88" s="175"/>
      <c r="I88" s="175"/>
      <c r="J88" s="115"/>
      <c r="K88" s="115"/>
      <c r="L88" s="115"/>
      <c r="M88" s="164"/>
      <c r="N88" s="164"/>
      <c r="O88" s="164"/>
      <c r="P88" s="191"/>
      <c r="Q88" s="191"/>
      <c r="R88" s="2511"/>
      <c r="S88" s="2511"/>
      <c r="T88" s="2511"/>
      <c r="U88" s="2511"/>
      <c r="V88" s="2511"/>
      <c r="W88" s="214"/>
      <c r="X88" s="214"/>
      <c r="Y88" s="214"/>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1:48">
      <c r="B89" s="126" t="s">
        <v>1691</v>
      </c>
      <c r="C89" s="117"/>
      <c r="D89" s="164">
        <v>-2000000000</v>
      </c>
      <c r="E89" s="164">
        <v>-1000000000</v>
      </c>
      <c r="F89" s="164">
        <v>0</v>
      </c>
      <c r="G89" s="164">
        <v>0</v>
      </c>
      <c r="H89" s="164">
        <v>0</v>
      </c>
      <c r="I89" s="164">
        <v>0</v>
      </c>
      <c r="J89" s="115"/>
      <c r="K89" s="115"/>
      <c r="L89" s="115"/>
      <c r="M89" s="115"/>
      <c r="N89" s="115"/>
      <c r="O89" s="115"/>
      <c r="P89" s="84"/>
      <c r="Q89" s="84"/>
      <c r="R89" s="2512"/>
      <c r="S89" s="2512"/>
      <c r="T89" s="2512"/>
      <c r="U89" s="2512"/>
      <c r="V89" s="2512"/>
      <c r="W89" s="214"/>
      <c r="X89" s="214"/>
      <c r="Y89" s="214"/>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0" spans="1:48">
      <c r="B90" s="117" t="s">
        <v>50</v>
      </c>
      <c r="C90" s="11"/>
      <c r="D90" s="175"/>
      <c r="E90" s="175"/>
      <c r="F90" s="175"/>
      <c r="G90" s="175"/>
      <c r="H90" s="175"/>
      <c r="I90" s="175"/>
      <c r="J90" s="115"/>
      <c r="K90" s="115"/>
      <c r="L90" s="115"/>
      <c r="M90" s="164"/>
      <c r="N90" s="164"/>
      <c r="O90" s="164"/>
      <c r="P90" s="191"/>
      <c r="Q90" s="191"/>
      <c r="R90" s="2511"/>
      <c r="S90" s="2511"/>
      <c r="T90" s="2511"/>
      <c r="U90" s="2511"/>
      <c r="V90" s="2511"/>
      <c r="W90" s="214"/>
      <c r="X90" s="214"/>
      <c r="Y90" s="214"/>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row>
    <row r="91" spans="1:48">
      <c r="B91" s="90" t="s">
        <v>522</v>
      </c>
      <c r="C91" s="90"/>
      <c r="D91" s="164">
        <v>0</v>
      </c>
      <c r="E91" s="164">
        <v>0</v>
      </c>
      <c r="F91" s="164">
        <v>0</v>
      </c>
      <c r="G91" s="164">
        <v>0</v>
      </c>
      <c r="H91" s="164">
        <v>0</v>
      </c>
      <c r="I91" s="164">
        <v>0</v>
      </c>
      <c r="J91" s="115"/>
      <c r="K91" s="115"/>
      <c r="L91" s="115"/>
      <c r="M91" s="164"/>
      <c r="N91" s="164"/>
      <c r="O91" s="164"/>
      <c r="P91" s="191"/>
      <c r="Q91" s="191"/>
      <c r="R91" s="2511">
        <v>0</v>
      </c>
      <c r="S91" s="2511">
        <v>0</v>
      </c>
      <c r="T91" s="2511">
        <v>0</v>
      </c>
      <c r="U91" s="2513"/>
      <c r="V91" s="2513"/>
      <c r="W91" s="2513"/>
      <c r="X91" s="2513"/>
      <c r="Y91" s="2513"/>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row>
    <row r="92" spans="1:48">
      <c r="A92" s="607"/>
      <c r="B92" s="619" t="s">
        <v>1692</v>
      </c>
      <c r="C92" s="619"/>
      <c r="D92" s="164"/>
      <c r="E92" s="164"/>
      <c r="F92" s="164"/>
      <c r="G92" s="164"/>
      <c r="H92" s="164"/>
      <c r="I92" s="164"/>
      <c r="J92" s="115"/>
      <c r="K92" s="115"/>
      <c r="L92" s="115"/>
      <c r="M92" s="164"/>
      <c r="N92" s="164"/>
      <c r="O92" s="164"/>
      <c r="P92" s="191"/>
      <c r="Q92" s="191"/>
      <c r="R92" s="2511">
        <v>0</v>
      </c>
      <c r="S92" s="2511">
        <v>0</v>
      </c>
      <c r="T92" s="2511">
        <v>0</v>
      </c>
      <c r="U92" s="2513"/>
      <c r="V92" s="2513"/>
      <c r="W92" s="2513"/>
      <c r="X92" s="2513"/>
      <c r="Y92" s="2513"/>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row>
    <row r="93" spans="1:48">
      <c r="A93" s="607"/>
      <c r="B93" s="619" t="s">
        <v>1693</v>
      </c>
      <c r="C93" s="619"/>
      <c r="D93" s="164"/>
      <c r="E93" s="164"/>
      <c r="F93" s="164"/>
      <c r="G93" s="164"/>
      <c r="H93" s="164"/>
      <c r="I93" s="164"/>
      <c r="J93" s="115"/>
      <c r="K93" s="115"/>
      <c r="L93" s="115"/>
      <c r="M93" s="164"/>
      <c r="N93" s="164"/>
      <c r="O93" s="164"/>
      <c r="P93" s="191"/>
      <c r="Q93" s="191"/>
      <c r="R93" s="2511">
        <v>0</v>
      </c>
      <c r="S93" s="2511">
        <v>0</v>
      </c>
      <c r="T93" s="2511">
        <v>0</v>
      </c>
      <c r="U93" s="2513"/>
      <c r="V93" s="2513"/>
      <c r="W93" s="2513"/>
      <c r="X93" s="2513"/>
      <c r="Y93" s="2513"/>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row>
    <row r="94" spans="1:48">
      <c r="A94" s="619" t="s">
        <v>1694</v>
      </c>
      <c r="B94" s="619" t="s">
        <v>1694</v>
      </c>
      <c r="C94" s="619"/>
      <c r="D94" s="164"/>
      <c r="E94" s="164"/>
      <c r="F94" s="164"/>
      <c r="G94" s="164"/>
      <c r="H94" s="164"/>
      <c r="I94" s="164"/>
      <c r="J94" s="115"/>
      <c r="K94" s="115"/>
      <c r="L94" s="115"/>
      <c r="M94" s="164"/>
      <c r="N94" s="164"/>
      <c r="O94" s="164"/>
      <c r="P94" s="191"/>
      <c r="Q94" s="191"/>
      <c r="R94" s="2511">
        <v>0</v>
      </c>
      <c r="S94" s="2511">
        <v>0</v>
      </c>
      <c r="T94" s="2511">
        <v>0</v>
      </c>
      <c r="U94" s="2513"/>
      <c r="V94" s="2513"/>
      <c r="W94" s="2513"/>
      <c r="X94" s="2513"/>
      <c r="Y94" s="2513"/>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row>
    <row r="95" spans="1:48">
      <c r="B95" s="90"/>
      <c r="C95" s="90"/>
      <c r="D95" s="164"/>
      <c r="E95" s="164"/>
      <c r="F95" s="164"/>
      <c r="G95" s="164"/>
      <c r="H95" s="164"/>
      <c r="I95" s="164"/>
      <c r="J95" s="115"/>
      <c r="K95" s="115"/>
      <c r="L95" s="115"/>
      <c r="M95" s="164"/>
      <c r="N95" s="164"/>
      <c r="O95" s="164"/>
      <c r="P95" s="191"/>
      <c r="Q95" s="191"/>
      <c r="R95" s="2511"/>
      <c r="S95" s="2511"/>
      <c r="T95" s="2511"/>
      <c r="U95" s="2513"/>
      <c r="V95" s="2513"/>
      <c r="W95" s="2514"/>
      <c r="X95" s="2514"/>
      <c r="Y95" s="2514"/>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row>
    <row r="96" spans="1:48">
      <c r="B96" s="90"/>
      <c r="C96" s="90"/>
      <c r="D96" s="164"/>
      <c r="E96" s="164"/>
      <c r="F96" s="164"/>
      <c r="G96" s="164"/>
      <c r="H96" s="164"/>
      <c r="I96" s="164"/>
      <c r="J96" s="115"/>
      <c r="K96" s="115"/>
      <c r="L96" s="115"/>
      <c r="M96" s="164"/>
      <c r="N96" s="164"/>
      <c r="O96" s="164"/>
      <c r="P96" s="191"/>
      <c r="Q96" s="191"/>
      <c r="R96" s="2511"/>
      <c r="S96" s="2511"/>
      <c r="T96" s="2511"/>
      <c r="U96" s="2513"/>
      <c r="V96" s="2513"/>
      <c r="W96" s="2514"/>
      <c r="X96" s="2514"/>
      <c r="Y96" s="2514"/>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row>
    <row r="97" spans="2:48">
      <c r="B97" s="619" t="s">
        <v>1695</v>
      </c>
      <c r="C97" s="90"/>
      <c r="D97" s="164"/>
      <c r="E97" s="164"/>
      <c r="F97" s="164"/>
      <c r="G97" s="164"/>
      <c r="H97" s="164"/>
      <c r="I97" s="164"/>
      <c r="J97" s="115"/>
      <c r="K97" s="115"/>
      <c r="L97" s="115"/>
      <c r="M97" s="164"/>
      <c r="N97" s="164"/>
      <c r="O97" s="164"/>
      <c r="P97" s="191"/>
      <c r="Q97" s="191"/>
      <c r="R97" s="417">
        <v>5179000000000</v>
      </c>
      <c r="S97" s="417">
        <v>5184000000000</v>
      </c>
      <c r="T97" s="417">
        <v>4838000000000</v>
      </c>
      <c r="U97" s="2515"/>
      <c r="V97" s="2515"/>
      <c r="W97" s="2515"/>
      <c r="X97" s="2515"/>
      <c r="Y97" s="251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row>
    <row r="98" spans="2:48">
      <c r="B98" s="619" t="s">
        <v>1696</v>
      </c>
      <c r="C98" s="90"/>
      <c r="D98" s="164"/>
      <c r="E98" s="164"/>
      <c r="F98" s="164"/>
      <c r="G98" s="164"/>
      <c r="H98" s="164"/>
      <c r="I98" s="164"/>
      <c r="J98" s="115"/>
      <c r="K98" s="115"/>
      <c r="L98" s="115"/>
      <c r="M98" s="164"/>
      <c r="N98" s="164"/>
      <c r="O98" s="164"/>
      <c r="P98" s="191"/>
      <c r="Q98" s="191"/>
      <c r="R98" s="417">
        <v>309000000000</v>
      </c>
      <c r="S98" s="417">
        <v>260000000000</v>
      </c>
      <c r="T98" s="417">
        <v>196000000000</v>
      </c>
      <c r="U98" s="2515"/>
      <c r="V98" s="2515"/>
      <c r="W98" s="2515"/>
      <c r="X98" s="2515"/>
      <c r="Y98" s="251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row>
    <row r="99" spans="2:48">
      <c r="B99" s="619" t="s">
        <v>1697</v>
      </c>
      <c r="C99" s="90"/>
      <c r="D99" s="164"/>
      <c r="E99" s="164"/>
      <c r="F99" s="164"/>
      <c r="G99" s="164"/>
      <c r="H99" s="164"/>
      <c r="I99" s="164"/>
      <c r="J99" s="115"/>
      <c r="K99" s="115"/>
      <c r="L99" s="115"/>
      <c r="M99" s="164"/>
      <c r="N99" s="164"/>
      <c r="O99" s="164"/>
      <c r="P99" s="191"/>
      <c r="Q99" s="191"/>
      <c r="R99" s="417">
        <v>119000000000</v>
      </c>
      <c r="S99" s="417">
        <v>97000000000</v>
      </c>
      <c r="T99" s="417">
        <v>114000000000</v>
      </c>
      <c r="U99" s="2515"/>
      <c r="V99" s="2515"/>
      <c r="W99" s="2515"/>
      <c r="X99" s="2515"/>
      <c r="Y99" s="251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row>
    <row r="100" spans="2:48">
      <c r="B100" s="619" t="s">
        <v>1698</v>
      </c>
      <c r="C100" s="90"/>
      <c r="D100" s="164"/>
      <c r="E100" s="164"/>
      <c r="F100" s="164"/>
      <c r="G100" s="164"/>
      <c r="H100" s="164"/>
      <c r="I100" s="164"/>
      <c r="J100" s="115"/>
      <c r="K100" s="115"/>
      <c r="L100" s="115"/>
      <c r="M100" s="164"/>
      <c r="N100" s="164"/>
      <c r="O100" s="164"/>
      <c r="P100" s="191"/>
      <c r="Q100" s="191"/>
      <c r="R100" s="417">
        <v>1000000000</v>
      </c>
      <c r="S100" s="417">
        <v>1100000000</v>
      </c>
      <c r="T100" s="417">
        <v>1900000000</v>
      </c>
      <c r="U100" s="2515"/>
      <c r="V100" s="2515"/>
      <c r="W100" s="2515"/>
      <c r="X100" s="2515"/>
      <c r="Y100" s="251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row>
    <row r="101" spans="2:48">
      <c r="B101" s="619" t="s">
        <v>1699</v>
      </c>
      <c r="C101" s="90"/>
      <c r="D101" s="164"/>
      <c r="E101" s="164"/>
      <c r="F101" s="164"/>
      <c r="G101" s="164"/>
      <c r="H101" s="164"/>
      <c r="I101" s="164"/>
      <c r="J101" s="115"/>
      <c r="K101" s="115"/>
      <c r="L101" s="115"/>
      <c r="M101" s="164"/>
      <c r="N101" s="164"/>
      <c r="O101" s="164"/>
      <c r="P101" s="191"/>
      <c r="Q101" s="191"/>
      <c r="R101" s="417">
        <v>223000000000</v>
      </c>
      <c r="S101" s="417">
        <v>455000000000</v>
      </c>
      <c r="T101" s="417">
        <v>485000000000</v>
      </c>
      <c r="U101" s="2515"/>
      <c r="V101" s="2515"/>
      <c r="W101" s="2515"/>
      <c r="X101" s="2515"/>
      <c r="Y101" s="251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row>
    <row r="102" spans="2:48">
      <c r="B102" s="619"/>
      <c r="C102" s="90"/>
      <c r="D102" s="164"/>
      <c r="E102" s="164"/>
      <c r="F102" s="164"/>
      <c r="G102" s="164"/>
      <c r="H102" s="164"/>
      <c r="I102" s="164"/>
      <c r="J102" s="115"/>
      <c r="K102" s="115"/>
      <c r="L102" s="115"/>
      <c r="M102" s="164"/>
      <c r="N102" s="164"/>
      <c r="O102" s="164"/>
      <c r="P102" s="191"/>
      <c r="Q102" s="191"/>
      <c r="R102" s="2511"/>
      <c r="S102" s="2511"/>
      <c r="T102" s="2511"/>
      <c r="U102" s="2511"/>
      <c r="V102" s="2511"/>
      <c r="W102" s="214"/>
      <c r="X102" s="214"/>
      <c r="Y102" s="214"/>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row>
    <row r="104" spans="2:48">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row>
    <row r="106" spans="2:48">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row>
    <row r="108" spans="2:48">
      <c r="B108" t="s">
        <v>1700</v>
      </c>
      <c r="D108" s="130">
        <f t="shared" ref="D108:V108" si="19">D6-D7-D17</f>
        <v>0</v>
      </c>
      <c r="E108" s="130">
        <f t="shared" si="19"/>
        <v>0</v>
      </c>
      <c r="F108" s="130">
        <f t="shared" si="19"/>
        <v>0</v>
      </c>
      <c r="G108" s="130">
        <f t="shared" si="19"/>
        <v>0</v>
      </c>
      <c r="H108" s="130">
        <f t="shared" si="19"/>
        <v>0</v>
      </c>
      <c r="I108" s="130">
        <f t="shared" si="19"/>
        <v>0</v>
      </c>
      <c r="J108" s="130">
        <f t="shared" si="19"/>
        <v>0</v>
      </c>
      <c r="K108" s="130">
        <f t="shared" si="19"/>
        <v>0</v>
      </c>
      <c r="L108" s="130">
        <f t="shared" si="19"/>
        <v>0</v>
      </c>
      <c r="M108" s="130">
        <f t="shared" si="19"/>
        <v>0</v>
      </c>
      <c r="N108" s="130">
        <f t="shared" si="19"/>
        <v>0</v>
      </c>
      <c r="O108" s="130">
        <f>O6-O7-O17</f>
        <v>0</v>
      </c>
      <c r="P108" s="130">
        <f t="shared" si="19"/>
        <v>0</v>
      </c>
      <c r="Q108" s="130">
        <f t="shared" si="19"/>
        <v>-1000000000</v>
      </c>
      <c r="R108" s="130">
        <f t="shared" si="19"/>
        <v>1000000000</v>
      </c>
      <c r="S108" s="130">
        <f t="shared" si="19"/>
        <v>0</v>
      </c>
      <c r="T108" s="130">
        <f t="shared" si="19"/>
        <v>0</v>
      </c>
      <c r="U108" s="130">
        <f t="shared" si="19"/>
        <v>0</v>
      </c>
      <c r="V108" s="130">
        <f t="shared" si="19"/>
        <v>0</v>
      </c>
      <c r="W108" s="130">
        <f>W6-W7-W17</f>
        <v>0</v>
      </c>
      <c r="X108" s="130">
        <f t="shared" ref="X108:Y108" si="20">X6-X7-X17</f>
        <v>0</v>
      </c>
      <c r="Y108" s="130">
        <f t="shared" si="20"/>
        <v>0</v>
      </c>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row>
    <row r="109" spans="2:48">
      <c r="B109" t="s">
        <v>450</v>
      </c>
      <c r="D109" s="224">
        <f>D7-D8-D13-D16</f>
        <v>-11900000000</v>
      </c>
      <c r="E109" s="224">
        <f t="shared" ref="E109:L109" si="21">E7-E8-E13-E16</f>
        <v>-13100000000</v>
      </c>
      <c r="F109" s="224">
        <f t="shared" si="21"/>
        <v>-11600000000</v>
      </c>
      <c r="G109" s="224">
        <f t="shared" si="21"/>
        <v>-11200000000</v>
      </c>
      <c r="H109" s="224">
        <f t="shared" si="21"/>
        <v>-18300000000</v>
      </c>
      <c r="I109" s="224">
        <f t="shared" si="21"/>
        <v>-20400000000</v>
      </c>
      <c r="J109" s="224">
        <f t="shared" si="21"/>
        <v>-10900000000</v>
      </c>
      <c r="K109" s="224">
        <f t="shared" si="21"/>
        <v>-12600000000</v>
      </c>
      <c r="L109" s="224">
        <f t="shared" si="21"/>
        <v>-9100000000</v>
      </c>
      <c r="M109" s="225">
        <f t="shared" ref="M109:O109" si="22">M7-M8-M13</f>
        <v>0</v>
      </c>
      <c r="N109" s="225">
        <f t="shared" si="22"/>
        <v>0</v>
      </c>
      <c r="O109" s="225">
        <f t="shared" si="22"/>
        <v>0</v>
      </c>
      <c r="P109" s="225">
        <f>P7-P8-P13</f>
        <v>0</v>
      </c>
      <c r="Q109" s="225">
        <f>Q7-Q8-Q13</f>
        <v>0</v>
      </c>
      <c r="R109" s="225">
        <f t="shared" ref="R109:Y109" si="23">R7-R8-R13</f>
        <v>0</v>
      </c>
      <c r="S109" s="225">
        <f t="shared" si="23"/>
        <v>0</v>
      </c>
      <c r="T109" s="225">
        <f t="shared" si="23"/>
        <v>0</v>
      </c>
      <c r="U109" s="225">
        <f t="shared" si="23"/>
        <v>0</v>
      </c>
      <c r="V109" s="225">
        <f t="shared" si="23"/>
        <v>0</v>
      </c>
      <c r="W109" s="225">
        <f t="shared" si="23"/>
        <v>0</v>
      </c>
      <c r="X109" s="225">
        <f t="shared" si="23"/>
        <v>0</v>
      </c>
      <c r="Y109" s="225">
        <f t="shared" si="23"/>
        <v>0</v>
      </c>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row>
    <row r="110" spans="2:48">
      <c r="B110" t="s">
        <v>1701</v>
      </c>
      <c r="D110" s="51">
        <f t="shared" ref="D110:V110" si="24">D8-D9-D10-D11-D12</f>
        <v>11900000000</v>
      </c>
      <c r="E110" s="51">
        <f t="shared" si="24"/>
        <v>13100000000</v>
      </c>
      <c r="F110" s="51">
        <f t="shared" si="24"/>
        <v>11500000000</v>
      </c>
      <c r="G110" s="51">
        <f t="shared" si="24"/>
        <v>11200000000</v>
      </c>
      <c r="H110" s="93">
        <f t="shared" si="24"/>
        <v>57700000000</v>
      </c>
      <c r="I110" s="93">
        <f t="shared" si="24"/>
        <v>130400000000</v>
      </c>
      <c r="J110" s="51">
        <f t="shared" si="24"/>
        <v>0</v>
      </c>
      <c r="K110" s="51">
        <f t="shared" si="24"/>
        <v>0</v>
      </c>
      <c r="L110" s="51">
        <f t="shared" si="24"/>
        <v>-100000000</v>
      </c>
      <c r="M110" s="93">
        <f>M8-M9-M10-M11-M12</f>
        <v>284000000000</v>
      </c>
      <c r="N110" s="93">
        <f t="shared" si="24"/>
        <v>676000000000</v>
      </c>
      <c r="O110" s="93">
        <f t="shared" si="24"/>
        <v>1017000000000</v>
      </c>
      <c r="P110" s="93">
        <f t="shared" si="24"/>
        <v>1020000000000</v>
      </c>
      <c r="Q110" s="93">
        <f t="shared" si="24"/>
        <v>749000000000</v>
      </c>
      <c r="R110" s="93">
        <f t="shared" si="24"/>
        <v>607000000000</v>
      </c>
      <c r="S110" s="93">
        <f t="shared" si="24"/>
        <v>254000000000</v>
      </c>
      <c r="T110" s="93">
        <f t="shared" si="24"/>
        <v>171000000000</v>
      </c>
      <c r="U110" s="93">
        <f t="shared" si="24"/>
        <v>199000000000</v>
      </c>
      <c r="V110" s="93">
        <f t="shared" si="24"/>
        <v>318000000000</v>
      </c>
      <c r="W110" s="93">
        <f>W8-W9-W10-W11-W12</f>
        <v>312000000000</v>
      </c>
      <c r="X110" s="93">
        <f t="shared" ref="X110:Y110" si="25">X8-X9-X10-X11-X12</f>
        <v>403000000000</v>
      </c>
      <c r="Y110" s="93">
        <f t="shared" si="25"/>
        <v>421000000000</v>
      </c>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row>
    <row r="111" spans="2:48">
      <c r="B111" t="s">
        <v>1702</v>
      </c>
      <c r="D111" s="51">
        <f>D14-D15-D16</f>
        <v>0</v>
      </c>
      <c r="E111" s="51">
        <f t="shared" ref="E111:V111" si="26">E14-E15-E16</f>
        <v>0</v>
      </c>
      <c r="F111" s="51">
        <f t="shared" si="26"/>
        <v>0</v>
      </c>
      <c r="G111" s="51">
        <f t="shared" si="26"/>
        <v>0</v>
      </c>
      <c r="H111" s="51">
        <f t="shared" si="26"/>
        <v>-18300000000</v>
      </c>
      <c r="I111" s="51">
        <f t="shared" si="26"/>
        <v>-20400000000</v>
      </c>
      <c r="J111" s="51">
        <f t="shared" si="26"/>
        <v>-10900000000</v>
      </c>
      <c r="K111" s="51">
        <f t="shared" si="26"/>
        <v>-12700000000</v>
      </c>
      <c r="L111" s="51">
        <f t="shared" si="26"/>
        <v>-9100000000</v>
      </c>
      <c r="M111" s="51">
        <f>M14-M15-M16</f>
        <v>1000000000</v>
      </c>
      <c r="N111" s="51">
        <f t="shared" si="26"/>
        <v>0</v>
      </c>
      <c r="O111" s="51">
        <f t="shared" si="26"/>
        <v>0</v>
      </c>
      <c r="P111" s="51">
        <f t="shared" si="26"/>
        <v>0</v>
      </c>
      <c r="Q111" s="51">
        <f t="shared" si="26"/>
        <v>0</v>
      </c>
      <c r="R111" s="51">
        <f t="shared" si="26"/>
        <v>0</v>
      </c>
      <c r="S111" s="51">
        <f t="shared" si="26"/>
        <v>-1000000000</v>
      </c>
      <c r="T111" s="51">
        <f t="shared" si="26"/>
        <v>0</v>
      </c>
      <c r="U111" s="51">
        <f t="shared" si="26"/>
        <v>-420000000000</v>
      </c>
      <c r="V111" s="51">
        <f t="shared" si="26"/>
        <v>-414000000000</v>
      </c>
      <c r="W111" s="51">
        <f>W14-W15-W16</f>
        <v>-466000000000</v>
      </c>
      <c r="X111" s="51">
        <f t="shared" ref="X111:Y111" si="27">X14-X15-X16</f>
        <v>-519000000000</v>
      </c>
      <c r="Y111" s="51">
        <f t="shared" si="27"/>
        <v>-579000000000</v>
      </c>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row>
    <row r="112" spans="2:48">
      <c r="B112" t="s">
        <v>1362</v>
      </c>
      <c r="D112" s="51">
        <f>D17-D18-D19</f>
        <v>0</v>
      </c>
      <c r="E112" s="51">
        <f t="shared" ref="E112:V112" si="28">E17-E18-E19</f>
        <v>100000000</v>
      </c>
      <c r="F112" s="51">
        <f t="shared" si="28"/>
        <v>0</v>
      </c>
      <c r="G112" s="51">
        <f t="shared" si="28"/>
        <v>0</v>
      </c>
      <c r="H112" s="51">
        <f t="shared" si="28"/>
        <v>0</v>
      </c>
      <c r="I112" s="51">
        <f t="shared" si="28"/>
        <v>0</v>
      </c>
      <c r="J112" s="51">
        <f t="shared" si="28"/>
        <v>0</v>
      </c>
      <c r="K112" s="51">
        <f t="shared" si="28"/>
        <v>0</v>
      </c>
      <c r="L112" s="51">
        <f t="shared" si="28"/>
        <v>0</v>
      </c>
      <c r="M112" s="51">
        <f t="shared" si="28"/>
        <v>0</v>
      </c>
      <c r="N112" s="51">
        <f t="shared" si="28"/>
        <v>0</v>
      </c>
      <c r="O112" s="51">
        <f t="shared" si="28"/>
        <v>0</v>
      </c>
      <c r="P112" s="51">
        <f t="shared" si="28"/>
        <v>0</v>
      </c>
      <c r="Q112" s="51">
        <f t="shared" si="28"/>
        <v>0</v>
      </c>
      <c r="R112" s="51">
        <f t="shared" si="28"/>
        <v>0</v>
      </c>
      <c r="S112" s="51">
        <f t="shared" si="28"/>
        <v>0</v>
      </c>
      <c r="T112" s="51">
        <f t="shared" si="28"/>
        <v>-1000000000</v>
      </c>
      <c r="U112" s="51">
        <f t="shared" si="28"/>
        <v>0</v>
      </c>
      <c r="V112" s="51">
        <f t="shared" si="28"/>
        <v>0</v>
      </c>
      <c r="W112" s="51">
        <f>W17-W18-W19</f>
        <v>0</v>
      </c>
      <c r="X112" s="51">
        <f t="shared" ref="X112:Y112" si="29">X17-X18-X19</f>
        <v>0</v>
      </c>
      <c r="Y112" s="51">
        <f t="shared" si="29"/>
        <v>0</v>
      </c>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row>
    <row r="113" spans="2:48">
      <c r="B113" t="s">
        <v>1207</v>
      </c>
      <c r="D113" s="51">
        <f>D20-D21-D38</f>
        <v>0</v>
      </c>
      <c r="E113" s="51">
        <f t="shared" ref="E113:V113" si="30">E20-E21-E38</f>
        <v>0</v>
      </c>
      <c r="F113" s="51">
        <f t="shared" si="30"/>
        <v>0</v>
      </c>
      <c r="G113" s="51">
        <f t="shared" si="30"/>
        <v>0</v>
      </c>
      <c r="H113" s="51">
        <f t="shared" si="30"/>
        <v>0</v>
      </c>
      <c r="I113" s="51">
        <f t="shared" si="30"/>
        <v>-100000000</v>
      </c>
      <c r="J113" s="51">
        <f t="shared" si="30"/>
        <v>0</v>
      </c>
      <c r="K113" s="51">
        <f t="shared" si="30"/>
        <v>0</v>
      </c>
      <c r="L113" s="51">
        <f t="shared" si="30"/>
        <v>-100000000</v>
      </c>
      <c r="M113" s="51">
        <f t="shared" si="30"/>
        <v>0</v>
      </c>
      <c r="N113" s="51">
        <f t="shared" si="30"/>
        <v>1000000000</v>
      </c>
      <c r="O113" s="51">
        <f t="shared" si="30"/>
        <v>0</v>
      </c>
      <c r="P113" s="51">
        <f t="shared" si="30"/>
        <v>-1000000000</v>
      </c>
      <c r="Q113" s="51">
        <f t="shared" si="30"/>
        <v>0</v>
      </c>
      <c r="R113" s="51">
        <f t="shared" si="30"/>
        <v>0</v>
      </c>
      <c r="S113" s="51">
        <f t="shared" si="30"/>
        <v>-1000000000</v>
      </c>
      <c r="T113" s="51">
        <f t="shared" si="30"/>
        <v>0</v>
      </c>
      <c r="U113" s="51">
        <f t="shared" si="30"/>
        <v>0</v>
      </c>
      <c r="V113" s="51">
        <f t="shared" si="30"/>
        <v>1000000000</v>
      </c>
      <c r="W113" s="51">
        <f>W20-W21-W38</f>
        <v>-1000000000</v>
      </c>
      <c r="X113" s="51">
        <f t="shared" ref="X113:Y113" si="31">X20-X21-X38</f>
        <v>-1000000000</v>
      </c>
      <c r="Y113" s="51">
        <f t="shared" si="31"/>
        <v>-1000000000</v>
      </c>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row>
    <row r="114" spans="2:48">
      <c r="B114" t="s">
        <v>361</v>
      </c>
      <c r="D114" s="51">
        <f>D21-D22-D25-D27-D32-D33-D34-D35</f>
        <v>0</v>
      </c>
      <c r="E114" s="51">
        <f t="shared" ref="E114:V114" si="32">E21-E22-E25-E27-E32-E33-E34-E35</f>
        <v>-100000000</v>
      </c>
      <c r="F114" s="51">
        <f t="shared" si="32"/>
        <v>0</v>
      </c>
      <c r="G114" s="51">
        <f t="shared" si="32"/>
        <v>-100000000</v>
      </c>
      <c r="H114" s="51">
        <f t="shared" si="32"/>
        <v>-100000000</v>
      </c>
      <c r="I114" s="51">
        <f t="shared" si="32"/>
        <v>0</v>
      </c>
      <c r="J114" s="51">
        <f t="shared" si="32"/>
        <v>100000000</v>
      </c>
      <c r="K114" s="51">
        <f t="shared" si="32"/>
        <v>100000000</v>
      </c>
      <c r="L114" s="51">
        <f t="shared" si="32"/>
        <v>0</v>
      </c>
      <c r="M114" s="51">
        <f t="shared" si="32"/>
        <v>0</v>
      </c>
      <c r="N114" s="51">
        <f t="shared" si="32"/>
        <v>-1000000000</v>
      </c>
      <c r="O114" s="51">
        <f t="shared" si="32"/>
        <v>0</v>
      </c>
      <c r="P114" s="51">
        <f t="shared" si="32"/>
        <v>1000000000</v>
      </c>
      <c r="Q114" s="51">
        <f t="shared" si="32"/>
        <v>0</v>
      </c>
      <c r="R114" s="51">
        <f t="shared" si="32"/>
        <v>0</v>
      </c>
      <c r="S114" s="51">
        <f t="shared" si="32"/>
        <v>0</v>
      </c>
      <c r="T114" s="51">
        <f t="shared" si="32"/>
        <v>-1000000000</v>
      </c>
      <c r="U114" s="51">
        <f t="shared" si="32"/>
        <v>0</v>
      </c>
      <c r="V114" s="51">
        <f t="shared" si="32"/>
        <v>0</v>
      </c>
      <c r="W114" s="51">
        <f>W21-W22-W25-W27-W32-W33-W34-W35</f>
        <v>0</v>
      </c>
      <c r="X114" s="51">
        <f t="shared" ref="X114:Y114" si="33">X21-X22-X25-X27-X32-X33-X34-X35</f>
        <v>0</v>
      </c>
      <c r="Y114" s="51">
        <f t="shared" si="33"/>
        <v>0</v>
      </c>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row>
    <row r="115" spans="2:48">
      <c r="B115" t="s">
        <v>1703</v>
      </c>
      <c r="D115" s="51">
        <f>D22-D23-D24</f>
        <v>0</v>
      </c>
      <c r="E115" s="51">
        <f t="shared" ref="E115:V115" si="34">E22-E23-E24</f>
        <v>0</v>
      </c>
      <c r="F115" s="51">
        <f t="shared" si="34"/>
        <v>0</v>
      </c>
      <c r="G115" s="51">
        <f t="shared" si="34"/>
        <v>0</v>
      </c>
      <c r="H115" s="51">
        <f t="shared" si="34"/>
        <v>0</v>
      </c>
      <c r="I115" s="51">
        <f t="shared" si="34"/>
        <v>0</v>
      </c>
      <c r="J115" s="51">
        <f t="shared" si="34"/>
        <v>0</v>
      </c>
      <c r="K115" s="51">
        <f t="shared" si="34"/>
        <v>0</v>
      </c>
      <c r="L115" s="51">
        <f t="shared" si="34"/>
        <v>0</v>
      </c>
      <c r="M115" s="93">
        <f>M22-M23-M24</f>
        <v>201000000000</v>
      </c>
      <c r="N115" s="93">
        <f t="shared" si="34"/>
        <v>216000000000</v>
      </c>
      <c r="O115" s="93">
        <f t="shared" si="34"/>
        <v>250000000000</v>
      </c>
      <c r="P115" s="93">
        <f t="shared" si="34"/>
        <v>283000000000</v>
      </c>
      <c r="Q115" s="93">
        <f t="shared" si="34"/>
        <v>333000000000</v>
      </c>
      <c r="R115" s="93">
        <f t="shared" si="34"/>
        <v>341000000000</v>
      </c>
      <c r="S115" s="93">
        <f t="shared" si="34"/>
        <v>369000000000</v>
      </c>
      <c r="T115" s="93">
        <f t="shared" si="34"/>
        <v>365000000000</v>
      </c>
      <c r="U115" s="93">
        <f t="shared" si="34"/>
        <v>376000000000</v>
      </c>
      <c r="V115" s="93">
        <f t="shared" si="34"/>
        <v>354000000000</v>
      </c>
      <c r="W115" s="93">
        <f>W22-W23-W24</f>
        <v>359000000000</v>
      </c>
      <c r="X115" s="93">
        <f t="shared" ref="X115:Y115" si="35">X22-X23-X24</f>
        <v>363000000000</v>
      </c>
      <c r="Y115" s="93">
        <f t="shared" si="35"/>
        <v>367000000000</v>
      </c>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row>
    <row r="116" spans="2:48">
      <c r="B116" t="s">
        <v>1704</v>
      </c>
      <c r="D116" s="93">
        <f>D27-D29-D30-D31</f>
        <v>13500000000</v>
      </c>
      <c r="E116" s="93">
        <f t="shared" ref="E116:V116" si="36">E27-E29-E30-E31</f>
        <v>6900000000</v>
      </c>
      <c r="F116" s="93">
        <f t="shared" si="36"/>
        <v>21300000000</v>
      </c>
      <c r="G116" s="93">
        <f t="shared" si="36"/>
        <v>19200000000</v>
      </c>
      <c r="H116" s="93">
        <f t="shared" si="36"/>
        <v>30100000000</v>
      </c>
      <c r="I116" s="93">
        <f t="shared" si="36"/>
        <v>37100000000</v>
      </c>
      <c r="J116" s="51">
        <f t="shared" si="36"/>
        <v>0</v>
      </c>
      <c r="K116" s="51">
        <f t="shared" si="36"/>
        <v>0</v>
      </c>
      <c r="L116" s="51">
        <f t="shared" si="36"/>
        <v>0</v>
      </c>
      <c r="M116" s="51">
        <f t="shared" si="36"/>
        <v>0</v>
      </c>
      <c r="N116" s="51">
        <f t="shared" si="36"/>
        <v>0</v>
      </c>
      <c r="O116" s="51">
        <f t="shared" si="36"/>
        <v>0</v>
      </c>
      <c r="P116" s="93">
        <f t="shared" si="36"/>
        <v>291000000000</v>
      </c>
      <c r="Q116" s="93">
        <f t="shared" si="36"/>
        <v>320000000000</v>
      </c>
      <c r="R116" s="93">
        <f t="shared" si="36"/>
        <v>327000000000</v>
      </c>
      <c r="S116" s="93">
        <f>S27-S29-S30-S31</f>
        <v>240000000000</v>
      </c>
      <c r="T116" s="93">
        <f t="shared" si="36"/>
        <v>108000000000</v>
      </c>
      <c r="U116" s="93">
        <f t="shared" si="36"/>
        <v>103000000000</v>
      </c>
      <c r="V116" s="93">
        <f t="shared" si="36"/>
        <v>112000000000</v>
      </c>
      <c r="W116" s="93">
        <f>W27-W29-W30-W31</f>
        <v>123000000000</v>
      </c>
      <c r="X116" s="93">
        <f t="shared" ref="X116:Y116" si="37">X27-X29-X30-X31</f>
        <v>135000000000</v>
      </c>
      <c r="Y116" s="93">
        <f t="shared" si="37"/>
        <v>145000000000</v>
      </c>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row>
    <row r="117" spans="2:48">
      <c r="B117" t="s">
        <v>722</v>
      </c>
      <c r="D117" s="51">
        <f>D38-D40-D39</f>
        <v>0</v>
      </c>
      <c r="E117" s="51">
        <f t="shared" ref="E117:V117" si="38">E38-E40-E39</f>
        <v>0</v>
      </c>
      <c r="F117" s="51">
        <f>F38-F40-F39</f>
        <v>-99999999.999998093</v>
      </c>
      <c r="G117" s="51">
        <f t="shared" si="38"/>
        <v>0</v>
      </c>
      <c r="H117" s="51">
        <f t="shared" si="38"/>
        <v>0</v>
      </c>
      <c r="I117" s="51">
        <f t="shared" si="38"/>
        <v>100000000</v>
      </c>
      <c r="J117" s="51">
        <f t="shared" si="38"/>
        <v>0</v>
      </c>
      <c r="K117" s="51">
        <f t="shared" si="38"/>
        <v>0</v>
      </c>
      <c r="L117" s="51">
        <f t="shared" si="38"/>
        <v>100000000</v>
      </c>
      <c r="M117" s="51">
        <f t="shared" si="38"/>
        <v>0</v>
      </c>
      <c r="N117" s="51">
        <f t="shared" si="38"/>
        <v>0</v>
      </c>
      <c r="O117" s="51">
        <f t="shared" si="38"/>
        <v>0</v>
      </c>
      <c r="P117" s="51">
        <f t="shared" si="38"/>
        <v>1000000000</v>
      </c>
      <c r="Q117" s="51">
        <f t="shared" si="38"/>
        <v>1000000000</v>
      </c>
      <c r="R117" s="51">
        <f t="shared" si="38"/>
        <v>0</v>
      </c>
      <c r="S117" s="51">
        <f t="shared" si="38"/>
        <v>0</v>
      </c>
      <c r="T117" s="51">
        <f t="shared" si="38"/>
        <v>0</v>
      </c>
      <c r="U117" s="51">
        <f t="shared" si="38"/>
        <v>0</v>
      </c>
      <c r="V117" s="51">
        <f t="shared" si="38"/>
        <v>0</v>
      </c>
      <c r="W117" s="51">
        <f>W38-W40-W39</f>
        <v>0</v>
      </c>
      <c r="X117" s="51">
        <f t="shared" ref="X117:Y117" si="39">X38-X40-X39</f>
        <v>0</v>
      </c>
      <c r="Y117" s="51">
        <f t="shared" si="39"/>
        <v>0</v>
      </c>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row>
    <row r="118" spans="2:48">
      <c r="B118" t="s">
        <v>457</v>
      </c>
      <c r="D118" s="51">
        <f>D56-D58-D75</f>
        <v>0</v>
      </c>
      <c r="E118" s="51">
        <f t="shared" ref="E118:V118" si="40">E56-E58-E75</f>
        <v>0</v>
      </c>
      <c r="F118" s="51">
        <f>F56-F58-F75</f>
        <v>0</v>
      </c>
      <c r="G118" s="51">
        <f t="shared" si="40"/>
        <v>0</v>
      </c>
      <c r="H118" s="51">
        <f t="shared" si="40"/>
        <v>0</v>
      </c>
      <c r="I118" s="51">
        <f t="shared" si="40"/>
        <v>0</v>
      </c>
      <c r="J118" s="51">
        <f t="shared" si="40"/>
        <v>0</v>
      </c>
      <c r="K118" s="51">
        <f t="shared" si="40"/>
        <v>0</v>
      </c>
      <c r="L118" s="51">
        <f t="shared" si="40"/>
        <v>100000000</v>
      </c>
      <c r="M118" s="51">
        <f>M56-M58-M75</f>
        <v>1000000000</v>
      </c>
      <c r="N118" s="51">
        <f t="shared" si="40"/>
        <v>0</v>
      </c>
      <c r="O118" s="51">
        <f t="shared" si="40"/>
        <v>0</v>
      </c>
      <c r="P118" s="51">
        <f>P56-P58-P75</f>
        <v>0</v>
      </c>
      <c r="Q118" s="51">
        <f t="shared" si="40"/>
        <v>0</v>
      </c>
      <c r="R118" s="51">
        <f t="shared" si="40"/>
        <v>0</v>
      </c>
      <c r="S118" s="51">
        <f t="shared" si="40"/>
        <v>0</v>
      </c>
      <c r="T118" s="51">
        <f t="shared" si="40"/>
        <v>0</v>
      </c>
      <c r="U118" s="51">
        <f t="shared" si="40"/>
        <v>0</v>
      </c>
      <c r="V118" s="51">
        <f t="shared" si="40"/>
        <v>0</v>
      </c>
      <c r="W118" s="51">
        <f>W56-W58-W75</f>
        <v>0</v>
      </c>
      <c r="X118" s="51">
        <f t="shared" ref="X118:Y118" si="41">X56-X58-X75</f>
        <v>0</v>
      </c>
      <c r="Y118" s="51">
        <f t="shared" si="41"/>
        <v>0</v>
      </c>
    </row>
    <row r="119" spans="2:48">
      <c r="B119" t="s">
        <v>297</v>
      </c>
      <c r="D119" s="51">
        <f>D58-D59-D66-D74</f>
        <v>0</v>
      </c>
      <c r="E119" s="51">
        <f t="shared" ref="E119:Q119" si="42">E58-E59-E66-E74</f>
        <v>0</v>
      </c>
      <c r="F119" s="51">
        <f>F58-F59-F66-F74</f>
        <v>0</v>
      </c>
      <c r="G119" s="51">
        <f t="shared" si="42"/>
        <v>0</v>
      </c>
      <c r="H119" s="51">
        <f t="shared" si="42"/>
        <v>-1.9073486328125E-6</v>
      </c>
      <c r="I119" s="51">
        <f t="shared" si="42"/>
        <v>0</v>
      </c>
      <c r="J119" s="51">
        <f t="shared" si="42"/>
        <v>0</v>
      </c>
      <c r="K119" s="51">
        <f t="shared" si="42"/>
        <v>0</v>
      </c>
      <c r="L119" s="51">
        <f t="shared" si="42"/>
        <v>-100000000</v>
      </c>
      <c r="M119" s="51">
        <f>M58-M59-M66-M74</f>
        <v>-1000000000</v>
      </c>
      <c r="N119" s="51">
        <f t="shared" si="42"/>
        <v>0</v>
      </c>
      <c r="O119" s="51">
        <f t="shared" si="42"/>
        <v>-1000000000</v>
      </c>
      <c r="P119" s="51">
        <f t="shared" si="42"/>
        <v>0</v>
      </c>
      <c r="Q119" s="51">
        <f t="shared" si="42"/>
        <v>1000000000</v>
      </c>
      <c r="R119" s="51">
        <f>R58-R59-R66-R74-R67-R73</f>
        <v>0</v>
      </c>
      <c r="S119" s="51">
        <f t="shared" ref="S119:T119" si="43">S58-S59-S66-S74-S67-S73</f>
        <v>0</v>
      </c>
      <c r="T119" s="51">
        <f t="shared" si="43"/>
        <v>0</v>
      </c>
      <c r="U119" s="51" t="e">
        <f>U58-U59-U67-U74-#REF!-U73</f>
        <v>#REF!</v>
      </c>
      <c r="V119" s="51" t="e">
        <f>V58-V59-V67-V74-#REF!-V73</f>
        <v>#REF!</v>
      </c>
      <c r="W119" s="51" t="e">
        <f>W58-W59-W67-W74-#REF!-W73</f>
        <v>#REF!</v>
      </c>
      <c r="X119" s="51" t="e">
        <f>X58-X59-X67-X74-#REF!-X73</f>
        <v>#REF!</v>
      </c>
      <c r="Y119" s="51" t="e">
        <f>Y58-Y59-Y67-Y74-#REF!-Y73</f>
        <v>#REF!</v>
      </c>
    </row>
    <row r="120" spans="2:48">
      <c r="B120" t="s">
        <v>978</v>
      </c>
      <c r="D120" s="51">
        <f t="shared" ref="D120:O120" si="44">D75-D81-D84-D85-D86-D87</f>
        <v>-100000000</v>
      </c>
      <c r="E120" s="51">
        <f t="shared" si="44"/>
        <v>0</v>
      </c>
      <c r="F120" s="51">
        <f t="shared" si="44"/>
        <v>0</v>
      </c>
      <c r="G120" s="51">
        <f t="shared" si="44"/>
        <v>0</v>
      </c>
      <c r="H120" s="51">
        <f t="shared" si="44"/>
        <v>0</v>
      </c>
      <c r="I120" s="51">
        <f t="shared" si="44"/>
        <v>-100000000</v>
      </c>
      <c r="J120" s="51">
        <f>J75-J81-J84-J85-J86-J87</f>
        <v>0</v>
      </c>
      <c r="K120" s="51">
        <f t="shared" si="44"/>
        <v>0</v>
      </c>
      <c r="L120" s="51">
        <f t="shared" si="44"/>
        <v>0</v>
      </c>
      <c r="M120" s="51">
        <f t="shared" si="44"/>
        <v>0</v>
      </c>
      <c r="N120" s="51">
        <f t="shared" si="44"/>
        <v>0</v>
      </c>
      <c r="O120" s="51">
        <f t="shared" si="44"/>
        <v>0</v>
      </c>
      <c r="P120" s="51">
        <f>P75-P81-P84-P85-P86-P87</f>
        <v>0</v>
      </c>
      <c r="Q120" s="51">
        <f>Q75-Q81-Q84-Q85-Q86-Q87</f>
        <v>0</v>
      </c>
      <c r="R120" s="51">
        <f>R75-R81-R84-R85-R86-R87</f>
        <v>0</v>
      </c>
      <c r="S120" s="51">
        <f>S75-S81-S84-S85-S86-S87</f>
        <v>5000000000</v>
      </c>
      <c r="T120" s="51">
        <f t="shared" ref="T120" si="45">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1705</v>
      </c>
      <c r="D121" s="93">
        <f>D81-D82-D83</f>
        <v>44600000000</v>
      </c>
      <c r="E121" s="93">
        <f t="shared" ref="E121:V121" si="46">E81-E82-E83</f>
        <v>50800000000</v>
      </c>
      <c r="F121" s="93">
        <f t="shared" si="46"/>
        <v>89900000000</v>
      </c>
      <c r="G121" s="93">
        <f t="shared" si="46"/>
        <v>81100000000</v>
      </c>
      <c r="H121" s="93">
        <f t="shared" si="46"/>
        <v>81400000000</v>
      </c>
      <c r="I121" s="93">
        <f>I81-I82-I83</f>
        <v>58100000000</v>
      </c>
      <c r="J121" s="51">
        <f t="shared" si="46"/>
        <v>0</v>
      </c>
      <c r="K121" s="51">
        <f t="shared" si="46"/>
        <v>0</v>
      </c>
      <c r="L121" s="51">
        <f t="shared" si="46"/>
        <v>0</v>
      </c>
      <c r="M121" s="51">
        <f>M81-M82-M83</f>
        <v>0</v>
      </c>
      <c r="N121" s="51">
        <f>N81-N82-N83</f>
        <v>0</v>
      </c>
      <c r="O121" s="51">
        <f t="shared" si="46"/>
        <v>0</v>
      </c>
      <c r="P121" s="93">
        <f t="shared" si="46"/>
        <v>76000000000</v>
      </c>
      <c r="Q121" s="93">
        <f t="shared" si="46"/>
        <v>338000000000</v>
      </c>
      <c r="R121" s="93">
        <f t="shared" si="46"/>
        <v>0</v>
      </c>
      <c r="S121" s="93">
        <f t="shared" si="46"/>
        <v>0</v>
      </c>
      <c r="T121" s="93">
        <f t="shared" si="46"/>
        <v>0</v>
      </c>
      <c r="U121" s="93">
        <f t="shared" si="46"/>
        <v>0</v>
      </c>
      <c r="V121" s="93">
        <f t="shared" si="46"/>
        <v>0</v>
      </c>
      <c r="W121" s="93">
        <f>W81-W82-W83</f>
        <v>0</v>
      </c>
      <c r="X121" s="93">
        <f t="shared" ref="X121:Y121" si="47">X81-X82-X83</f>
        <v>0</v>
      </c>
      <c r="Y121" s="93">
        <f t="shared" si="47"/>
        <v>0</v>
      </c>
    </row>
    <row r="123" spans="2:48" ht="15.75" thickBot="1">
      <c r="D123" s="21"/>
    </row>
    <row r="124" spans="2:48" ht="15.75" thickBot="1">
      <c r="B124" t="s">
        <v>724</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8">(D6/D124)*100</f>
        <v>12.132953513941695</v>
      </c>
      <c r="E125" s="243">
        <f t="shared" si="48"/>
        <v>10.966164973434376</v>
      </c>
      <c r="F125" s="243">
        <f t="shared" si="48"/>
        <v>12.584890604578655</v>
      </c>
      <c r="G125" s="243">
        <f t="shared" si="48"/>
        <v>13.742011379252286</v>
      </c>
      <c r="H125" s="243">
        <f t="shared" si="48"/>
        <v>10.131405158453813</v>
      </c>
      <c r="I125" s="243">
        <f t="shared" si="48"/>
        <v>11.235336516726219</v>
      </c>
      <c r="J125" s="243">
        <f t="shared" si="48"/>
        <v>15.990954778012773</v>
      </c>
      <c r="K125" s="243">
        <f t="shared" si="48"/>
        <v>19.667903951647343</v>
      </c>
      <c r="L125" s="243">
        <f t="shared" si="48"/>
        <v>22.488755622188904</v>
      </c>
      <c r="M125" s="243">
        <f t="shared" si="48"/>
        <v>14.990726347609082</v>
      </c>
      <c r="N125" s="243">
        <f t="shared" si="48"/>
        <v>20.25190413366181</v>
      </c>
      <c r="O125" s="243">
        <f t="shared" si="48"/>
        <v>24.789999762908582</v>
      </c>
      <c r="P125" s="243">
        <f t="shared" si="48"/>
        <v>24.420736023879741</v>
      </c>
      <c r="Q125" s="243">
        <f t="shared" si="48"/>
        <v>19.535702477592064</v>
      </c>
      <c r="R125" s="243">
        <f t="shared" si="48"/>
        <v>15.834745330660308</v>
      </c>
      <c r="S125" s="243">
        <f t="shared" si="48"/>
        <v>10.69250672998953</v>
      </c>
      <c r="T125" s="243">
        <f t="shared" si="48"/>
        <v>7.7556461588091725</v>
      </c>
      <c r="U125" s="243">
        <f t="shared" si="48"/>
        <v>8.2500420752145835</v>
      </c>
      <c r="V125" s="243">
        <f t="shared" si="48"/>
        <v>9.5268127287636943</v>
      </c>
    </row>
    <row r="126" spans="2:48">
      <c r="B126" t="s">
        <v>152</v>
      </c>
      <c r="D126" s="243">
        <f t="shared" ref="D126:V126" si="49">(D20/D124)*100</f>
        <v>18.208391093300978</v>
      </c>
      <c r="E126" s="243">
        <f t="shared" si="49"/>
        <v>15.535988062042399</v>
      </c>
      <c r="F126" s="243">
        <f t="shared" si="49"/>
        <v>17.879091923281283</v>
      </c>
      <c r="G126" s="243">
        <f t="shared" si="49"/>
        <v>19.337727294701963</v>
      </c>
      <c r="H126" s="243">
        <f t="shared" si="49"/>
        <v>12.760872316257457</v>
      </c>
      <c r="I126" s="243">
        <f t="shared" si="49"/>
        <v>11.549093058193566</v>
      </c>
      <c r="J126" s="243">
        <f t="shared" si="49"/>
        <v>13.973404408824244</v>
      </c>
      <c r="K126" s="243">
        <f t="shared" si="49"/>
        <v>17.13182398735535</v>
      </c>
      <c r="L126" s="243">
        <f t="shared" si="49"/>
        <v>18.862511190447943</v>
      </c>
      <c r="M126" s="243">
        <f t="shared" si="49"/>
        <v>22.58907924441246</v>
      </c>
      <c r="N126" s="243">
        <f t="shared" si="49"/>
        <v>24.4197422154257</v>
      </c>
      <c r="O126" s="243">
        <f t="shared" si="49"/>
        <v>22.384219195200153</v>
      </c>
      <c r="P126" s="243">
        <f t="shared" si="49"/>
        <v>23.945624428084418</v>
      </c>
      <c r="Q126" s="243">
        <f t="shared" si="49"/>
        <v>22.102216713442647</v>
      </c>
      <c r="R126" s="243">
        <f t="shared" si="49"/>
        <v>20.089839125837745</v>
      </c>
      <c r="S126" s="243">
        <f t="shared" si="49"/>
        <v>14.357472272056077</v>
      </c>
      <c r="T126" s="243">
        <f t="shared" si="49"/>
        <v>9.3476511955688899</v>
      </c>
      <c r="U126" s="243">
        <f t="shared" si="49"/>
        <v>8.7100444212265486</v>
      </c>
      <c r="V126" s="243">
        <f t="shared" si="49"/>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K6" activePane="bottomRight" state="frozen"/>
      <selection pane="topRight" activeCell="R7" sqref="R7"/>
      <selection pane="bottomLeft" activeCell="R7" sqref="R7"/>
      <selection pane="bottomRight" activeCell="P53" sqref="P53"/>
    </sheetView>
  </sheetViews>
  <sheetFormatPr defaultRowHeight="15.75"/>
  <cols>
    <col min="1" max="1" width="37" style="972" bestFit="1" customWidth="1"/>
    <col min="2" max="2" width="32.42578125" style="972" customWidth="1"/>
    <col min="3" max="3" width="26" style="972" bestFit="1" customWidth="1"/>
    <col min="4" max="13" width="25.28515625" style="972" bestFit="1" customWidth="1"/>
    <col min="14" max="14" width="26.5703125" style="972" bestFit="1" customWidth="1"/>
    <col min="15" max="17" width="29.140625" style="972" bestFit="1" customWidth="1"/>
    <col min="18" max="18" width="28.7109375" style="972" bestFit="1" customWidth="1"/>
    <col min="19" max="20" width="29.7109375" style="972" bestFit="1" customWidth="1"/>
    <col min="21" max="21" width="29.140625" style="972" customWidth="1"/>
    <col min="22" max="24" width="26.5703125" style="972" bestFit="1" customWidth="1"/>
    <col min="25" max="25" width="8.85546875" style="972"/>
    <col min="27" max="27" width="18.7109375" bestFit="1" customWidth="1"/>
  </cols>
  <sheetData>
    <row r="1" spans="1:48">
      <c r="A1" s="1128" t="s">
        <v>1706</v>
      </c>
      <c r="B1" s="967" t="s">
        <v>1707</v>
      </c>
      <c r="C1" s="967"/>
      <c r="D1" s="968"/>
      <c r="E1" s="968"/>
      <c r="F1" s="968"/>
      <c r="G1" s="968"/>
      <c r="H1" s="968"/>
      <c r="I1" s="968"/>
      <c r="J1" s="968"/>
      <c r="K1" s="968"/>
      <c r="L1" s="968"/>
      <c r="M1" s="968"/>
      <c r="N1" s="968"/>
      <c r="O1" s="969"/>
      <c r="P1" s="969"/>
      <c r="Q1" s="969"/>
      <c r="R1" s="970"/>
      <c r="S1" s="969"/>
      <c r="T1" s="969"/>
      <c r="U1" s="969"/>
      <c r="V1" s="969"/>
      <c r="W1" s="969"/>
      <c r="X1" s="969"/>
      <c r="Y1" s="971"/>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973" t="s">
        <v>1708</v>
      </c>
      <c r="C2" s="973"/>
      <c r="D2" s="969"/>
      <c r="E2" s="969"/>
      <c r="F2" s="969"/>
      <c r="G2" s="969"/>
      <c r="H2" s="969"/>
      <c r="I2" s="969"/>
      <c r="J2" s="969"/>
      <c r="K2" s="969"/>
      <c r="L2" s="969"/>
      <c r="M2" s="969"/>
      <c r="N2" s="969"/>
      <c r="O2" s="969"/>
      <c r="P2" s="969"/>
      <c r="Q2" s="969"/>
      <c r="R2" s="974"/>
      <c r="S2" s="1046"/>
      <c r="T2" s="1047"/>
      <c r="U2" s="969"/>
      <c r="V2" s="969"/>
      <c r="W2" s="969"/>
      <c r="X2" s="969"/>
      <c r="Y2" s="971"/>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71"/>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71"/>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32</v>
      </c>
      <c r="U5" s="969" t="s">
        <v>32</v>
      </c>
      <c r="V5" s="969" t="s">
        <v>32</v>
      </c>
      <c r="W5" s="969" t="s">
        <v>32</v>
      </c>
      <c r="X5" s="969" t="s">
        <v>32</v>
      </c>
      <c r="Y5" s="971"/>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9" customFormat="1">
      <c r="A6" s="991" t="s">
        <v>33</v>
      </c>
      <c r="B6" s="991" t="s">
        <v>33</v>
      </c>
      <c r="C6" s="991" t="s">
        <v>35</v>
      </c>
      <c r="D6" s="1052">
        <f>D7+D12</f>
        <v>9171346109999.998</v>
      </c>
      <c r="E6" s="1049">
        <v>9867030980000.002</v>
      </c>
      <c r="F6" s="1052">
        <f>F7+F12</f>
        <v>9815600000000</v>
      </c>
      <c r="G6" s="1049">
        <v>10649600000000.002</v>
      </c>
      <c r="H6" s="1129">
        <v>12825999999999.998</v>
      </c>
      <c r="I6" s="1049">
        <v>15755600000000.002</v>
      </c>
      <c r="J6" s="1049">
        <v>20072400000000</v>
      </c>
      <c r="K6" s="1052">
        <f t="shared" ref="K6:M6" si="0">K7+K12</f>
        <v>23166000000000</v>
      </c>
      <c r="L6" s="1052">
        <f t="shared" si="0"/>
        <v>22793400000000</v>
      </c>
      <c r="M6" s="1052">
        <f t="shared" si="0"/>
        <v>18393300000000</v>
      </c>
      <c r="N6" s="1052">
        <f>N7+N12</f>
        <v>23843500000000.004</v>
      </c>
      <c r="O6" s="1052">
        <f t="shared" ref="O6:Q6" si="1">+O7+O12</f>
        <v>27633600000000</v>
      </c>
      <c r="P6" s="1052">
        <f t="shared" si="1"/>
        <v>28767000000000</v>
      </c>
      <c r="Q6" s="1052">
        <f t="shared" si="1"/>
        <v>28949199999999.996</v>
      </c>
      <c r="R6" s="2716">
        <f>R7+R12</f>
        <v>30413422026000</v>
      </c>
      <c r="S6" s="2716">
        <f t="shared" ref="S6:U6" si="2">S7+S12</f>
        <v>33556857729000</v>
      </c>
      <c r="T6" s="2716">
        <f t="shared" si="2"/>
        <v>34878059881999.996</v>
      </c>
      <c r="U6" s="2716">
        <f t="shared" si="2"/>
        <v>36376094412000</v>
      </c>
      <c r="V6" s="1130"/>
      <c r="W6" s="1130"/>
      <c r="X6" s="1130"/>
      <c r="Y6" s="971"/>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981" t="s">
        <v>36</v>
      </c>
      <c r="B7" s="981" t="s">
        <v>36</v>
      </c>
      <c r="C7" s="982" t="s">
        <v>38</v>
      </c>
      <c r="D7" s="1053">
        <f>D8+D11+D13+D14</f>
        <v>9087205319999.998</v>
      </c>
      <c r="E7" s="1053">
        <f t="shared" ref="E7:M7" si="3">E8+E11+E13+E14</f>
        <v>9731246150000</v>
      </c>
      <c r="F7" s="1053">
        <f t="shared" si="3"/>
        <v>9723000000000</v>
      </c>
      <c r="G7" s="1053">
        <f t="shared" si="3"/>
        <v>10547200000000</v>
      </c>
      <c r="H7" s="1053">
        <f>H8+H11+H13+H14</f>
        <v>12767700000000</v>
      </c>
      <c r="I7" s="1053">
        <f t="shared" si="3"/>
        <v>15623200000000</v>
      </c>
      <c r="J7" s="1053">
        <f t="shared" si="3"/>
        <v>19916800000000</v>
      </c>
      <c r="K7" s="1053">
        <f t="shared" si="3"/>
        <v>22994400000000</v>
      </c>
      <c r="L7" s="1053">
        <f t="shared" si="3"/>
        <v>22699600000000</v>
      </c>
      <c r="M7" s="1053">
        <f t="shared" si="3"/>
        <v>18297000000000</v>
      </c>
      <c r="N7" s="1053">
        <f>N8+N11+N13+N14</f>
        <v>23732600000000.004</v>
      </c>
      <c r="O7" s="1053">
        <f t="shared" ref="O7:Q7" si="4">O8+O11+O14</f>
        <v>27512400000000</v>
      </c>
      <c r="P7" s="1053">
        <f t="shared" si="4"/>
        <v>28638000000000</v>
      </c>
      <c r="Q7" s="1053">
        <f t="shared" si="4"/>
        <v>28811999999999.996</v>
      </c>
      <c r="R7" s="1048">
        <f>R8+R11+R14</f>
        <v>30413422026000</v>
      </c>
      <c r="S7" s="1048">
        <f t="shared" ref="S7:U7" si="5">S8+S11+S14</f>
        <v>33399313796000</v>
      </c>
      <c r="T7" s="1048">
        <f t="shared" si="5"/>
        <v>34712761019999.996</v>
      </c>
      <c r="U7" s="1048">
        <f t="shared" si="5"/>
        <v>36376094412000</v>
      </c>
      <c r="V7" s="969"/>
      <c r="W7" s="969"/>
      <c r="X7" s="969"/>
      <c r="Y7" s="971"/>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981" t="s">
        <v>371</v>
      </c>
      <c r="B8" s="981" t="s">
        <v>371</v>
      </c>
      <c r="C8" s="981" t="s">
        <v>41</v>
      </c>
      <c r="D8" s="1050">
        <v>6941615174999.999</v>
      </c>
      <c r="E8" s="1050">
        <v>7513427260000.001</v>
      </c>
      <c r="F8" s="1050">
        <v>7732099999999.999</v>
      </c>
      <c r="G8" s="1050">
        <v>8140800000000</v>
      </c>
      <c r="H8" s="1077">
        <v>9094800000000</v>
      </c>
      <c r="I8" s="1050">
        <v>11187800000000</v>
      </c>
      <c r="J8" s="1050">
        <v>13226000000000</v>
      </c>
      <c r="K8" s="1052">
        <f>K9+K10</f>
        <v>16216200000000</v>
      </c>
      <c r="L8" s="1050">
        <v>16508800000000</v>
      </c>
      <c r="M8" s="1052">
        <f>M9+M10</f>
        <v>13289400000000</v>
      </c>
      <c r="N8" s="1048">
        <v>17633100000000.004</v>
      </c>
      <c r="O8" s="1048">
        <v>21088800000000</v>
      </c>
      <c r="P8" s="1048">
        <v>22833000000000</v>
      </c>
      <c r="Q8" s="1052">
        <f>Q9+Q10</f>
        <v>23049599999999.996</v>
      </c>
      <c r="R8" s="1048">
        <f>R9+R10</f>
        <v>24507903186000</v>
      </c>
      <c r="S8" s="1048">
        <f>S9+S10</f>
        <v>27727732208000</v>
      </c>
      <c r="T8" s="1048">
        <v>28762001987999.996</v>
      </c>
      <c r="U8" s="1048">
        <f>U9+U10</f>
        <v>30885363180000.004</v>
      </c>
      <c r="V8" s="971"/>
      <c r="W8" s="971"/>
      <c r="X8" s="971"/>
      <c r="Y8" s="971"/>
      <c r="Z8" s="971"/>
      <c r="AA8" s="971"/>
      <c r="AB8" s="971"/>
      <c r="AC8" s="971"/>
      <c r="AD8" s="365"/>
      <c r="AE8" s="365"/>
      <c r="AF8" s="365"/>
      <c r="AG8" s="365"/>
      <c r="AH8" s="365"/>
      <c r="AI8" s="365"/>
      <c r="AJ8" s="365"/>
      <c r="AK8" s="365"/>
      <c r="AL8" s="365"/>
      <c r="AM8" s="365"/>
      <c r="AN8" s="365"/>
      <c r="AO8" s="365"/>
      <c r="AP8" s="365"/>
      <c r="AQ8" s="365"/>
      <c r="AR8" s="365"/>
      <c r="AS8" s="365"/>
      <c r="AT8" s="365"/>
      <c r="AU8" s="365"/>
      <c r="AV8" s="365"/>
    </row>
    <row r="9" spans="1:48">
      <c r="A9" s="988" t="s">
        <v>1709</v>
      </c>
      <c r="B9" s="988" t="s">
        <v>1710</v>
      </c>
      <c r="C9" s="968" t="s">
        <v>44</v>
      </c>
      <c r="D9" s="1051"/>
      <c r="E9" s="1051"/>
      <c r="F9" s="1050">
        <v>46300000000</v>
      </c>
      <c r="G9" s="1050">
        <v>102400000000</v>
      </c>
      <c r="H9" s="1077">
        <v>0</v>
      </c>
      <c r="I9" s="1050">
        <v>10261000000000.002</v>
      </c>
      <c r="J9" s="1050">
        <v>10814200000000.002</v>
      </c>
      <c r="K9" s="1050">
        <v>12955800000000</v>
      </c>
      <c r="L9" s="1050">
        <v>2157399999999.9995</v>
      </c>
      <c r="M9" s="1048">
        <v>770400000000</v>
      </c>
      <c r="N9" s="1048">
        <v>1885300000000</v>
      </c>
      <c r="O9" s="1048">
        <v>2302800000000</v>
      </c>
      <c r="P9" s="1048">
        <v>2064000000000</v>
      </c>
      <c r="Q9" s="1048">
        <v>1509200000000</v>
      </c>
      <c r="R9" s="1048">
        <v>1476379710000</v>
      </c>
      <c r="S9" s="1048">
        <v>1260351464000</v>
      </c>
      <c r="T9" s="1048"/>
      <c r="U9" s="1048">
        <v>686341404000</v>
      </c>
      <c r="V9" s="971"/>
      <c r="W9" s="971"/>
      <c r="X9" s="971"/>
      <c r="Y9" s="971"/>
      <c r="Z9" s="971"/>
      <c r="AA9" s="971"/>
      <c r="AB9" s="971"/>
      <c r="AC9" s="365"/>
      <c r="AD9" s="365"/>
      <c r="AE9" s="365"/>
      <c r="AF9" s="365"/>
      <c r="AG9" s="365"/>
      <c r="AH9" s="365"/>
      <c r="AI9" s="365"/>
      <c r="AJ9" s="365"/>
      <c r="AK9" s="365"/>
      <c r="AL9" s="365"/>
      <c r="AM9" s="365"/>
      <c r="AN9" s="365"/>
      <c r="AO9" s="365"/>
      <c r="AP9" s="365"/>
      <c r="AQ9" s="365"/>
      <c r="AR9" s="365"/>
      <c r="AS9" s="365"/>
      <c r="AT9" s="365"/>
      <c r="AU9" s="365"/>
      <c r="AV9" s="365"/>
    </row>
    <row r="10" spans="1:48">
      <c r="A10" s="988" t="s">
        <v>1711</v>
      </c>
      <c r="B10" s="988" t="s">
        <v>1712</v>
      </c>
      <c r="C10" s="968" t="s">
        <v>44</v>
      </c>
      <c r="D10" s="1050"/>
      <c r="E10" s="1050"/>
      <c r="F10" s="1050">
        <v>7685800000000</v>
      </c>
      <c r="G10" s="1050">
        <v>8038399999999.999</v>
      </c>
      <c r="H10" s="1077">
        <v>9094800000000</v>
      </c>
      <c r="I10" s="1050">
        <v>926800000000</v>
      </c>
      <c r="J10" s="1050">
        <v>2411800000000</v>
      </c>
      <c r="K10" s="1050">
        <v>3260399999999.9995</v>
      </c>
      <c r="L10" s="1050">
        <v>14351400000000</v>
      </c>
      <c r="M10" s="1048">
        <v>12519000000000</v>
      </c>
      <c r="N10" s="1048">
        <v>15747800000000</v>
      </c>
      <c r="O10" s="1048">
        <v>18786000000000</v>
      </c>
      <c r="P10" s="1048">
        <v>20769000000000</v>
      </c>
      <c r="Q10" s="1048">
        <v>21540399999999.996</v>
      </c>
      <c r="R10" s="1048">
        <v>23031523476000</v>
      </c>
      <c r="S10" s="1048">
        <v>26467380744000</v>
      </c>
      <c r="T10" s="1048">
        <v>0</v>
      </c>
      <c r="U10" s="1048">
        <v>30199021776000.004</v>
      </c>
      <c r="V10" s="971"/>
      <c r="W10" s="971"/>
      <c r="X10" s="971"/>
      <c r="Y10" s="971"/>
      <c r="Z10" s="971"/>
      <c r="AA10" s="971"/>
      <c r="AB10" s="971"/>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81" t="s">
        <v>558</v>
      </c>
      <c r="B11" s="981" t="s">
        <v>1713</v>
      </c>
      <c r="C11" s="981" t="s">
        <v>41</v>
      </c>
      <c r="D11" s="1050">
        <v>588985529999.99988</v>
      </c>
      <c r="E11" s="1050">
        <v>633662540000</v>
      </c>
      <c r="F11" s="1050">
        <v>694499999999.99988</v>
      </c>
      <c r="G11" s="1050">
        <v>716800000000</v>
      </c>
      <c r="H11" s="1077">
        <v>816199999999.99988</v>
      </c>
      <c r="I11" s="1050">
        <v>926800000000</v>
      </c>
      <c r="J11" s="1050">
        <v>1011400000000.0001</v>
      </c>
      <c r="K11" s="1050">
        <v>1115400000000</v>
      </c>
      <c r="L11" s="1050">
        <v>1313200000000</v>
      </c>
      <c r="M11" s="1048">
        <v>1348199999999.9998</v>
      </c>
      <c r="N11" s="1048">
        <v>1441700000000.0002</v>
      </c>
      <c r="O11" s="1048">
        <v>1575600000000.0002</v>
      </c>
      <c r="P11" s="1048">
        <v>1805999999999.9998</v>
      </c>
      <c r="Q11" s="1048">
        <v>1920799999999.9995</v>
      </c>
      <c r="R11" s="1048">
        <v>2066931593999.9998</v>
      </c>
      <c r="S11" s="1048">
        <v>2205615062000</v>
      </c>
      <c r="T11" s="1048">
        <v>2314184068000</v>
      </c>
      <c r="U11" s="1048">
        <v>2402194914000</v>
      </c>
      <c r="V11" s="971"/>
      <c r="W11" s="971"/>
      <c r="X11" s="971"/>
      <c r="Y11" s="971"/>
      <c r="Z11" s="971"/>
      <c r="AA11" s="971"/>
      <c r="AB11" s="971"/>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81" t="s">
        <v>53</v>
      </c>
      <c r="B12" s="981" t="s">
        <v>53</v>
      </c>
      <c r="C12" s="982" t="s">
        <v>38</v>
      </c>
      <c r="D12" s="1050">
        <v>84140790000</v>
      </c>
      <c r="E12" s="1050">
        <v>135784830000</v>
      </c>
      <c r="F12" s="1050">
        <v>92600000000</v>
      </c>
      <c r="G12" s="1050">
        <v>102400000000</v>
      </c>
      <c r="H12" s="1077">
        <v>58300000000</v>
      </c>
      <c r="I12" s="1050">
        <v>132400000000.00002</v>
      </c>
      <c r="J12" s="1050">
        <v>155600000000.00003</v>
      </c>
      <c r="K12" s="1050">
        <v>171600000000</v>
      </c>
      <c r="L12" s="1050">
        <v>93800000000</v>
      </c>
      <c r="M12" s="1048">
        <v>96300000000</v>
      </c>
      <c r="N12" s="1048">
        <v>110900000000.00002</v>
      </c>
      <c r="O12" s="1048">
        <v>121200000000</v>
      </c>
      <c r="P12" s="1048">
        <v>129000000000</v>
      </c>
      <c r="Q12" s="1048">
        <v>137199999999.99998</v>
      </c>
      <c r="R12" s="1048">
        <v>0</v>
      </c>
      <c r="S12" s="1048">
        <v>157543933000</v>
      </c>
      <c r="T12" s="1048">
        <v>165298862000</v>
      </c>
      <c r="U12" s="1048">
        <v>0</v>
      </c>
      <c r="V12" s="971"/>
      <c r="W12" s="971"/>
      <c r="X12" s="971"/>
      <c r="Y12" s="971"/>
      <c r="Z12" s="971"/>
      <c r="AA12" s="971"/>
      <c r="AB12" s="971"/>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981" t="s">
        <v>1714</v>
      </c>
      <c r="B13" s="981" t="s">
        <v>1715</v>
      </c>
      <c r="C13" s="981" t="s">
        <v>41</v>
      </c>
      <c r="D13" s="1050">
        <v>757267110000</v>
      </c>
      <c r="E13" s="1050">
        <v>633662540000</v>
      </c>
      <c r="F13" s="1050"/>
      <c r="G13" s="1050"/>
      <c r="H13" s="1077"/>
      <c r="I13" s="1050"/>
      <c r="J13" s="1050"/>
      <c r="K13" s="1050"/>
      <c r="L13" s="1050"/>
      <c r="M13" s="1048"/>
      <c r="N13" s="1048"/>
      <c r="O13" s="1048"/>
      <c r="P13" s="1048"/>
      <c r="Q13" s="1048"/>
      <c r="R13" s="1048"/>
      <c r="S13" s="1048"/>
      <c r="T13" s="1048"/>
      <c r="U13" s="1048"/>
      <c r="V13" s="2715"/>
      <c r="W13" s="969"/>
      <c r="X13" s="969"/>
      <c r="Y13" s="971"/>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A14" s="981" t="s">
        <v>560</v>
      </c>
      <c r="B14" s="981" t="s">
        <v>1716</v>
      </c>
      <c r="C14" s="981" t="s">
        <v>41</v>
      </c>
      <c r="D14" s="1052">
        <f>D16+D15+D17+D18</f>
        <v>799337504999.99988</v>
      </c>
      <c r="E14" s="1052">
        <f t="shared" ref="E14:Q14" si="6">E16+E15+E17+E18</f>
        <v>950493810000</v>
      </c>
      <c r="F14" s="1052">
        <f t="shared" si="6"/>
        <v>1296400000000</v>
      </c>
      <c r="G14" s="1052">
        <f t="shared" si="6"/>
        <v>1689600000000</v>
      </c>
      <c r="H14" s="1052">
        <f t="shared" si="6"/>
        <v>2856700000000</v>
      </c>
      <c r="I14" s="1052">
        <f t="shared" si="6"/>
        <v>3508600000000</v>
      </c>
      <c r="J14" s="1052">
        <f t="shared" si="6"/>
        <v>5679400000000.001</v>
      </c>
      <c r="K14" s="1052">
        <f t="shared" si="6"/>
        <v>5662800000000</v>
      </c>
      <c r="L14" s="1050">
        <v>4877600000000</v>
      </c>
      <c r="M14" s="1052">
        <f t="shared" si="6"/>
        <v>3659400000000</v>
      </c>
      <c r="N14" s="1052">
        <f t="shared" si="6"/>
        <v>4657800000000</v>
      </c>
      <c r="O14" s="1052">
        <f t="shared" si="6"/>
        <v>4848000000000</v>
      </c>
      <c r="P14" s="1052">
        <f t="shared" si="6"/>
        <v>3999000000000</v>
      </c>
      <c r="Q14" s="1052">
        <f t="shared" si="6"/>
        <v>3841599999999.9995</v>
      </c>
      <c r="R14" s="1048">
        <v>3838587246000</v>
      </c>
      <c r="S14" s="1048">
        <v>3465966526000.0005</v>
      </c>
      <c r="T14" s="1048">
        <v>3636574964000.0005</v>
      </c>
      <c r="U14" s="1048">
        <v>3088536318000</v>
      </c>
      <c r="V14" s="2715"/>
      <c r="W14" s="969"/>
      <c r="X14" s="969"/>
      <c r="Y14" s="971"/>
      <c r="Z14" s="971"/>
      <c r="AA14" s="971"/>
      <c r="AB14" s="971"/>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c r="A15" s="988" t="s">
        <v>1717</v>
      </c>
      <c r="B15" s="988" t="s">
        <v>1718</v>
      </c>
      <c r="C15" s="968" t="s">
        <v>998</v>
      </c>
      <c r="D15" s="1050"/>
      <c r="E15" s="1050"/>
      <c r="F15" s="1050">
        <v>231499999999.99997</v>
      </c>
      <c r="G15" s="1050">
        <v>460800000000.00006</v>
      </c>
      <c r="H15" s="1050">
        <v>1749000000000</v>
      </c>
      <c r="I15" s="1050">
        <v>2449400000000</v>
      </c>
      <c r="J15" s="1050">
        <v>4434600000000.001</v>
      </c>
      <c r="K15" s="1050">
        <v>4118399999999.9995</v>
      </c>
      <c r="L15" s="1050">
        <v>3189199999999.9995</v>
      </c>
      <c r="M15" s="1048">
        <v>1637100000000</v>
      </c>
      <c r="N15" s="1048">
        <v>2994300000000</v>
      </c>
      <c r="O15" s="1048">
        <v>2787600000000</v>
      </c>
      <c r="P15" s="1048">
        <v>1935000000000</v>
      </c>
      <c r="Q15" s="1048">
        <v>1371999999999.9998</v>
      </c>
      <c r="R15" s="1048"/>
      <c r="S15" s="1048"/>
      <c r="T15" s="1048"/>
      <c r="U15" s="1048"/>
      <c r="V15" s="2715"/>
      <c r="W15" s="969"/>
      <c r="X15" s="969"/>
      <c r="Y15" s="971"/>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c r="A16" s="988" t="s">
        <v>1719</v>
      </c>
      <c r="B16" s="988" t="s">
        <v>1720</v>
      </c>
      <c r="C16" s="968" t="s">
        <v>998</v>
      </c>
      <c r="D16" s="1050">
        <v>294492764999.99994</v>
      </c>
      <c r="E16" s="1050">
        <v>316831270000</v>
      </c>
      <c r="F16" s="1050">
        <v>277800000000</v>
      </c>
      <c r="G16" s="1050">
        <v>307200000000</v>
      </c>
      <c r="H16" s="1050">
        <v>233200000000</v>
      </c>
      <c r="I16" s="1050">
        <v>198600000000</v>
      </c>
      <c r="J16" s="1050">
        <v>389000000000</v>
      </c>
      <c r="K16" s="1050">
        <v>686400000000</v>
      </c>
      <c r="L16" s="1050">
        <v>750400000000</v>
      </c>
      <c r="M16" s="1048">
        <v>674099999999.99988</v>
      </c>
      <c r="N16" s="1048">
        <v>443600000000.00006</v>
      </c>
      <c r="O16" s="1048">
        <v>606000000000</v>
      </c>
      <c r="P16" s="1048">
        <v>645000000000</v>
      </c>
      <c r="Q16" s="1048">
        <v>685999999999.99988</v>
      </c>
      <c r="R16" s="2564"/>
      <c r="S16" s="2564"/>
      <c r="T16" s="2714"/>
      <c r="U16" s="2714"/>
      <c r="V16" s="2715"/>
      <c r="W16" s="969"/>
      <c r="X16" s="969"/>
      <c r="Y16" s="971"/>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c r="A17" s="988" t="s">
        <v>1721</v>
      </c>
      <c r="B17" s="988" t="s">
        <v>1722</v>
      </c>
      <c r="C17" s="968" t="s">
        <v>998</v>
      </c>
      <c r="D17" s="1050"/>
      <c r="E17" s="1050"/>
      <c r="F17" s="1050"/>
      <c r="G17" s="1050"/>
      <c r="H17" s="1050"/>
      <c r="I17" s="1050"/>
      <c r="J17" s="1050"/>
      <c r="K17" s="1050"/>
      <c r="L17" s="1050">
        <v>562800000000</v>
      </c>
      <c r="M17" s="1048">
        <v>577800000000</v>
      </c>
      <c r="N17" s="1048">
        <v>554500000000</v>
      </c>
      <c r="O17" s="1048">
        <v>606000000000</v>
      </c>
      <c r="P17" s="1048">
        <v>645000000000</v>
      </c>
      <c r="Q17" s="1048">
        <v>685999999999.99988</v>
      </c>
      <c r="R17" s="1048"/>
      <c r="S17" s="1048"/>
      <c r="T17" s="1051"/>
      <c r="U17" s="1051"/>
      <c r="V17" s="969"/>
      <c r="W17" s="969"/>
      <c r="X17" s="969"/>
      <c r="Y17" s="971"/>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988" t="s">
        <v>1723</v>
      </c>
      <c r="B18" s="988" t="s">
        <v>1724</v>
      </c>
      <c r="C18" s="968" t="s">
        <v>998</v>
      </c>
      <c r="D18" s="1077">
        <v>504844739999.99994</v>
      </c>
      <c r="E18" s="1077">
        <v>633662540000</v>
      </c>
      <c r="F18" s="1050">
        <v>787099999999.99988</v>
      </c>
      <c r="G18" s="1050">
        <v>921600000000.00012</v>
      </c>
      <c r="H18" s="1077">
        <v>874500000000</v>
      </c>
      <c r="I18" s="1077">
        <v>860600000000</v>
      </c>
      <c r="J18" s="1077">
        <v>855800000000.00012</v>
      </c>
      <c r="K18" s="1077">
        <v>858000000000</v>
      </c>
      <c r="L18" s="1050">
        <v>375200000000</v>
      </c>
      <c r="M18" s="1048">
        <v>770400000000</v>
      </c>
      <c r="N18" s="1048">
        <v>665400000000.00012</v>
      </c>
      <c r="O18" s="1048">
        <v>848399999999.99988</v>
      </c>
      <c r="P18" s="1048">
        <v>774000000000</v>
      </c>
      <c r="Q18" s="1048">
        <v>1097599999999.9999</v>
      </c>
      <c r="R18" s="1048"/>
      <c r="S18" s="1048"/>
      <c r="T18" s="1051"/>
      <c r="U18" s="1051"/>
      <c r="V18" s="969"/>
      <c r="W18" s="969"/>
      <c r="X18" s="969"/>
      <c r="Y18" s="971"/>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131" t="s">
        <v>198</v>
      </c>
      <c r="B19" s="1131" t="s">
        <v>1725</v>
      </c>
      <c r="C19" s="991" t="s">
        <v>35</v>
      </c>
      <c r="D19" s="1049">
        <v>9592050060000</v>
      </c>
      <c r="E19" s="1052">
        <f>E20+E30</f>
        <v>10319647080000</v>
      </c>
      <c r="F19" s="1052">
        <f>F20+F30</f>
        <v>10324900000000</v>
      </c>
      <c r="G19" s="1052">
        <f>G20+G30</f>
        <v>10700800000000</v>
      </c>
      <c r="H19" s="1049">
        <v>11601700000000</v>
      </c>
      <c r="I19" s="1052">
        <f>I20+I30</f>
        <v>12644200000000</v>
      </c>
      <c r="J19" s="1049">
        <v>14081800000000.002</v>
      </c>
      <c r="K19" s="1052">
        <f t="shared" ref="K19:Q19" si="7">K20+K30</f>
        <v>16130400000000</v>
      </c>
      <c r="L19" s="1052">
        <f t="shared" si="7"/>
        <v>19135200000000</v>
      </c>
      <c r="M19" s="1052">
        <f t="shared" si="7"/>
        <v>22726800000000</v>
      </c>
      <c r="N19" s="1052">
        <f t="shared" si="7"/>
        <v>24398000000000</v>
      </c>
      <c r="O19" s="1052">
        <f t="shared" si="7"/>
        <v>26058675500000</v>
      </c>
      <c r="P19" s="1052">
        <f t="shared" si="7"/>
        <v>28121366260000</v>
      </c>
      <c r="Q19" s="1052">
        <f t="shared" si="7"/>
        <v>29768932221000</v>
      </c>
      <c r="R19" s="2716">
        <f>R20+R30</f>
        <v>32923267533000</v>
      </c>
      <c r="S19" s="2716">
        <f t="shared" ref="S19:U19" si="8">S20+S30</f>
        <v>37022824255000</v>
      </c>
      <c r="T19" s="2716">
        <f t="shared" si="8"/>
        <v>39837025742000</v>
      </c>
      <c r="U19" s="2716">
        <f t="shared" si="8"/>
        <v>42209996346000</v>
      </c>
      <c r="V19" s="1130"/>
      <c r="W19" s="1130"/>
      <c r="X19" s="1130"/>
      <c r="Y19" s="971"/>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c r="A20" s="981" t="s">
        <v>73</v>
      </c>
      <c r="B20" s="981" t="s">
        <v>382</v>
      </c>
      <c r="C20" s="981" t="s">
        <v>201</v>
      </c>
      <c r="D20" s="1052">
        <f>D21+D24+D25+D26+D28+D29</f>
        <v>8540290185000</v>
      </c>
      <c r="E20" s="1052">
        <f t="shared" ref="E20:L20" si="9">E21+E24+E25+E26+E28+E29</f>
        <v>9142845220000</v>
      </c>
      <c r="F20" s="1052">
        <f t="shared" si="9"/>
        <v>9306300000000</v>
      </c>
      <c r="G20" s="1052">
        <f t="shared" si="9"/>
        <v>9728000000000</v>
      </c>
      <c r="H20" s="1052">
        <f t="shared" si="9"/>
        <v>10552300000000</v>
      </c>
      <c r="I20" s="1052">
        <f t="shared" si="9"/>
        <v>11452600000000</v>
      </c>
      <c r="J20" s="1052">
        <f t="shared" si="9"/>
        <v>12681400000000</v>
      </c>
      <c r="K20" s="1052">
        <f t="shared" si="9"/>
        <v>14328600000000</v>
      </c>
      <c r="L20" s="1052">
        <f t="shared" si="9"/>
        <v>17165400000000</v>
      </c>
      <c r="M20" s="1048">
        <v>20126700000000</v>
      </c>
      <c r="N20" s="1048">
        <v>22069100000000</v>
      </c>
      <c r="O20" s="1052">
        <f>O21+O24+O25+O26+O27</f>
        <v>23513475500000</v>
      </c>
      <c r="P20" s="1052">
        <f t="shared" ref="P20:Q20" si="10">P21+P24+P25+P26+P27</f>
        <v>25412366260000</v>
      </c>
      <c r="Q20" s="1052">
        <f t="shared" si="10"/>
        <v>27024932221000</v>
      </c>
      <c r="R20" s="2538">
        <f>R21+R24+R25+R26+R27</f>
        <v>29970508113000</v>
      </c>
      <c r="S20" s="2538">
        <f t="shared" ref="S20:U20" si="11">S21+S24+S25+S26+S27</f>
        <v>33399313796000</v>
      </c>
      <c r="T20" s="2538">
        <f t="shared" si="11"/>
        <v>36035151916000</v>
      </c>
      <c r="U20" s="2538">
        <f t="shared" si="11"/>
        <v>38263533273000</v>
      </c>
      <c r="V20" s="2715"/>
      <c r="W20" s="969"/>
      <c r="X20" s="969"/>
      <c r="Y20" s="971"/>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988" t="s">
        <v>1726</v>
      </c>
      <c r="B21" s="988" t="s">
        <v>1726</v>
      </c>
      <c r="C21" s="981" t="s">
        <v>204</v>
      </c>
      <c r="D21" s="1050">
        <v>2482153305000</v>
      </c>
      <c r="E21" s="1050">
        <v>2670434990000</v>
      </c>
      <c r="F21" s="1050">
        <v>2824299999999.9995</v>
      </c>
      <c r="G21" s="1050">
        <v>2969600000000</v>
      </c>
      <c r="H21" s="1050">
        <v>3323099999999.9995</v>
      </c>
      <c r="I21" s="1050">
        <v>3707200000000</v>
      </c>
      <c r="J21" s="1050">
        <v>4123400000000</v>
      </c>
      <c r="K21" s="1050">
        <v>4804799999999.999</v>
      </c>
      <c r="L21" s="1052">
        <f>L22+L23</f>
        <v>5440400000000</v>
      </c>
      <c r="M21" s="1052">
        <f t="shared" ref="M21:N21" si="12">M22+M23</f>
        <v>6452100000000</v>
      </c>
      <c r="N21" s="1052">
        <f t="shared" si="12"/>
        <v>6986700000000</v>
      </c>
      <c r="O21" s="1052">
        <f>O22+O23</f>
        <v>7635600000000</v>
      </c>
      <c r="P21" s="1052">
        <f t="shared" ref="P21:Q21" si="13">P22+P23</f>
        <v>8127000000000</v>
      </c>
      <c r="Q21" s="1052">
        <f t="shared" si="13"/>
        <v>8643599999999.998</v>
      </c>
      <c r="R21" s="1048">
        <f>R22+R23</f>
        <v>9744106086000.002</v>
      </c>
      <c r="S21" s="1048">
        <f t="shared" ref="S21:U21" si="14">S22+S23</f>
        <v>10555443511000</v>
      </c>
      <c r="T21" s="1048">
        <f t="shared" si="14"/>
        <v>10579127168000</v>
      </c>
      <c r="U21" s="1048">
        <f t="shared" si="14"/>
        <v>11324633166000</v>
      </c>
      <c r="V21" s="2715"/>
      <c r="W21" s="969"/>
      <c r="X21" s="969"/>
      <c r="Y21" s="971"/>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7" t="s">
        <v>797</v>
      </c>
      <c r="B22" s="997" t="s">
        <v>1383</v>
      </c>
      <c r="C22" s="968" t="s">
        <v>1727</v>
      </c>
      <c r="D22" s="1050"/>
      <c r="E22" s="1050"/>
      <c r="F22" s="1050"/>
      <c r="G22" s="1050"/>
      <c r="H22" s="1050"/>
      <c r="I22" s="1050"/>
      <c r="J22" s="1050"/>
      <c r="K22" s="1050"/>
      <c r="L22" s="1050">
        <v>3564399999999.9995</v>
      </c>
      <c r="M22" s="1048">
        <v>4237200000000.0005</v>
      </c>
      <c r="N22" s="1048">
        <v>4657800000000</v>
      </c>
      <c r="O22" s="1048">
        <v>4969199999999.999</v>
      </c>
      <c r="P22" s="1048">
        <v>5418000000000</v>
      </c>
      <c r="Q22" s="1048">
        <v>5899599999999.999</v>
      </c>
      <c r="R22" s="1048">
        <v>6496070724000.001</v>
      </c>
      <c r="S22" s="1048">
        <v>7247020917999.999</v>
      </c>
      <c r="T22" s="1048">
        <v>7273149928000.001</v>
      </c>
      <c r="U22" s="1048">
        <v>7892926145999.999</v>
      </c>
      <c r="V22" s="971"/>
      <c r="W22" s="971"/>
      <c r="X22" s="971"/>
      <c r="Y22" s="971"/>
      <c r="Z22" s="971"/>
      <c r="AA22" s="971"/>
      <c r="AB22" s="971"/>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997" t="s">
        <v>1006</v>
      </c>
      <c r="B23" s="997" t="s">
        <v>1728</v>
      </c>
      <c r="C23" s="968" t="s">
        <v>1727</v>
      </c>
      <c r="D23" s="1050"/>
      <c r="E23" s="1050"/>
      <c r="F23" s="1050"/>
      <c r="G23" s="1050"/>
      <c r="H23" s="1050"/>
      <c r="I23" s="1050"/>
      <c r="J23" s="1050"/>
      <c r="K23" s="1050"/>
      <c r="L23" s="1050">
        <v>1876000000000</v>
      </c>
      <c r="M23" s="1048">
        <v>2214899999999.9995</v>
      </c>
      <c r="N23" s="1048">
        <v>2328900000000</v>
      </c>
      <c r="O23" s="1048">
        <v>2666400000000.0005</v>
      </c>
      <c r="P23" s="1048">
        <v>2709000000000</v>
      </c>
      <c r="Q23" s="1048">
        <v>2743999999999.9995</v>
      </c>
      <c r="R23" s="1048">
        <v>3248035362000.0005</v>
      </c>
      <c r="S23" s="1048">
        <v>3308422593000</v>
      </c>
      <c r="T23" s="1048">
        <v>3305977240000</v>
      </c>
      <c r="U23" s="1048">
        <v>3431707020000</v>
      </c>
      <c r="V23" s="971"/>
      <c r="W23" s="971"/>
      <c r="X23" s="971"/>
      <c r="Y23" s="971"/>
      <c r="Z23" s="971"/>
      <c r="AA23" s="971"/>
      <c r="AB23" s="971"/>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988" t="s">
        <v>90</v>
      </c>
      <c r="B24" s="988" t="s">
        <v>1729</v>
      </c>
      <c r="C24" s="981" t="s">
        <v>204</v>
      </c>
      <c r="D24" s="1050">
        <v>715196714999.99988</v>
      </c>
      <c r="E24" s="1050">
        <v>724185760000.00012</v>
      </c>
      <c r="F24" s="1050">
        <v>555600000000</v>
      </c>
      <c r="G24" s="1050">
        <v>563200000000</v>
      </c>
      <c r="H24" s="1050">
        <v>3031600000000</v>
      </c>
      <c r="I24" s="1050">
        <v>529600000000.00006</v>
      </c>
      <c r="J24" s="1050">
        <v>544600000000</v>
      </c>
      <c r="K24" s="1050">
        <v>514799999999.99994</v>
      </c>
      <c r="L24" s="1050">
        <v>469000000000</v>
      </c>
      <c r="M24" s="1048">
        <v>481500000000</v>
      </c>
      <c r="N24" s="1048">
        <v>554500000000</v>
      </c>
      <c r="O24" s="1048">
        <v>727200000000</v>
      </c>
      <c r="P24" s="1048">
        <v>774000000000</v>
      </c>
      <c r="Q24" s="1048">
        <v>823199999999.99988</v>
      </c>
      <c r="R24" s="1048">
        <v>885827826000</v>
      </c>
      <c r="S24" s="1048">
        <v>1102807531000</v>
      </c>
      <c r="T24" s="1048">
        <v>1322390896000</v>
      </c>
      <c r="U24" s="1048">
        <v>1372682808000</v>
      </c>
      <c r="V24" s="971"/>
      <c r="W24" s="971"/>
      <c r="X24" s="971"/>
      <c r="Y24" s="971"/>
      <c r="Z24" s="971"/>
      <c r="AA24" s="971"/>
      <c r="AB24" s="971"/>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88" t="s">
        <v>1730</v>
      </c>
      <c r="B25" s="988" t="s">
        <v>1731</v>
      </c>
      <c r="C25" s="981" t="s">
        <v>204</v>
      </c>
      <c r="D25" s="1050">
        <v>2482153305000</v>
      </c>
      <c r="E25" s="1050">
        <v>2625173380000</v>
      </c>
      <c r="F25" s="1050">
        <v>2731700000000</v>
      </c>
      <c r="G25" s="1050">
        <v>2816000000000</v>
      </c>
      <c r="H25" s="1050">
        <v>583000000000</v>
      </c>
      <c r="I25" s="1050">
        <v>3310000000000</v>
      </c>
      <c r="J25" s="1050">
        <v>3656600000000</v>
      </c>
      <c r="K25" s="1050">
        <v>4375800000000</v>
      </c>
      <c r="L25" s="1050">
        <v>5721799999999.999</v>
      </c>
      <c r="M25" s="1048">
        <v>6741000000000</v>
      </c>
      <c r="N25" s="1048">
        <v>7430300000000.001</v>
      </c>
      <c r="O25" s="1048">
        <v>7635600000000</v>
      </c>
      <c r="P25" s="1048">
        <v>8643000000000.001</v>
      </c>
      <c r="Q25" s="1048">
        <v>9604000000000</v>
      </c>
      <c r="R25" s="1048">
        <v>10629933912000</v>
      </c>
      <c r="S25" s="1048">
        <v>12130882841000</v>
      </c>
      <c r="T25" s="1048">
        <v>14876897580000</v>
      </c>
      <c r="U25" s="1048">
        <v>15957437643000.002</v>
      </c>
      <c r="V25" s="971"/>
      <c r="W25" s="971"/>
      <c r="X25" s="971"/>
      <c r="Y25" s="971"/>
      <c r="Z25" s="971"/>
      <c r="AA25" s="971"/>
      <c r="AB25" s="971"/>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s="988" t="s">
        <v>806</v>
      </c>
      <c r="B26" s="988" t="s">
        <v>1732</v>
      </c>
      <c r="C26" s="981" t="s">
        <v>204</v>
      </c>
      <c r="D26" s="1050">
        <v>2355942119999.9995</v>
      </c>
      <c r="E26" s="1050">
        <v>2534650160000</v>
      </c>
      <c r="F26" s="1050">
        <v>2546500000000</v>
      </c>
      <c r="G26" s="1050">
        <v>2713600000000</v>
      </c>
      <c r="H26" s="1050">
        <v>2856700000000</v>
      </c>
      <c r="I26" s="1050">
        <v>3045200000000</v>
      </c>
      <c r="J26" s="1050">
        <v>3345400000000</v>
      </c>
      <c r="K26" s="1050">
        <v>3603600000000</v>
      </c>
      <c r="L26" s="1050">
        <v>4127200000000</v>
      </c>
      <c r="M26" s="1048">
        <v>4622400000000</v>
      </c>
      <c r="N26" s="1048">
        <v>4990500000000</v>
      </c>
      <c r="O26" s="1048">
        <v>5090400000000</v>
      </c>
      <c r="P26" s="1048">
        <v>5288999999999.999</v>
      </c>
      <c r="Q26" s="1048">
        <v>5625199999999.999</v>
      </c>
      <c r="R26" s="1048">
        <v>6053156810999.999</v>
      </c>
      <c r="S26" s="1048">
        <v>6459301252999.999</v>
      </c>
      <c r="T26" s="1048">
        <v>6281356756000</v>
      </c>
      <c r="U26" s="1048">
        <v>6691828689000</v>
      </c>
      <c r="V26" s="971"/>
      <c r="W26" s="971"/>
      <c r="X26" s="971"/>
      <c r="Y26" s="971"/>
      <c r="Z26" s="971"/>
      <c r="AA26" s="971"/>
      <c r="AB26" s="971"/>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988" t="s">
        <v>847</v>
      </c>
      <c r="B27" s="988" t="s">
        <v>1733</v>
      </c>
      <c r="C27" s="981" t="s">
        <v>204</v>
      </c>
      <c r="D27" s="1052">
        <f>D28+D29</f>
        <v>504844739999.99994</v>
      </c>
      <c r="E27" s="1052">
        <f t="shared" ref="E27:K27" si="15">E28+E29</f>
        <v>588400930000.00012</v>
      </c>
      <c r="F27" s="1052">
        <f t="shared" si="15"/>
        <v>648200000000</v>
      </c>
      <c r="G27" s="1052">
        <f t="shared" si="15"/>
        <v>665600000000</v>
      </c>
      <c r="H27" s="1052">
        <f t="shared" si="15"/>
        <v>757900000000</v>
      </c>
      <c r="I27" s="1052">
        <f t="shared" si="15"/>
        <v>860600000000</v>
      </c>
      <c r="J27" s="1052">
        <f t="shared" si="15"/>
        <v>1011400000000.0001</v>
      </c>
      <c r="K27" s="1052">
        <f t="shared" si="15"/>
        <v>1029599999999.9999</v>
      </c>
      <c r="L27" s="1050">
        <v>1407000000000</v>
      </c>
      <c r="M27" s="1048">
        <v>1829700000000</v>
      </c>
      <c r="N27" s="1048">
        <v>2107100000000</v>
      </c>
      <c r="O27" s="2538">
        <v>2424675500000</v>
      </c>
      <c r="P27" s="2538">
        <v>2579366260000</v>
      </c>
      <c r="Q27" s="2538">
        <v>2328932221000</v>
      </c>
      <c r="R27" s="1048">
        <v>2657483478000</v>
      </c>
      <c r="S27" s="1048">
        <v>3150878660000</v>
      </c>
      <c r="T27" s="1048">
        <v>2975379516000</v>
      </c>
      <c r="U27" s="1048">
        <v>2916950967000</v>
      </c>
      <c r="V27" s="971"/>
      <c r="W27" s="971"/>
      <c r="X27" s="971"/>
      <c r="Y27" s="971"/>
      <c r="Z27" s="971"/>
      <c r="AA27" s="971"/>
      <c r="AB27" s="971"/>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997" t="s">
        <v>1011</v>
      </c>
      <c r="B28" s="988" t="s">
        <v>1734</v>
      </c>
      <c r="C28" s="968" t="s">
        <v>1735</v>
      </c>
      <c r="D28" s="1050">
        <v>84140790000</v>
      </c>
      <c r="E28" s="1050">
        <v>90523220000.000015</v>
      </c>
      <c r="F28" s="1050">
        <v>92600000000</v>
      </c>
      <c r="G28" s="1050">
        <v>102400000000</v>
      </c>
      <c r="H28" s="1050"/>
      <c r="I28" s="1050"/>
      <c r="J28" s="1050"/>
      <c r="K28" s="1050"/>
      <c r="L28" s="1050"/>
      <c r="M28" s="1050">
        <f>M27-M29</f>
        <v>0</v>
      </c>
      <c r="N28" s="1050">
        <f>N27-N29</f>
        <v>110900000000</v>
      </c>
      <c r="O28" s="1050"/>
      <c r="P28" s="1050"/>
      <c r="Q28" s="1050"/>
      <c r="R28" s="1048"/>
      <c r="S28" s="1048"/>
      <c r="T28" s="1048"/>
      <c r="U28" s="1048"/>
      <c r="V28" s="2715"/>
      <c r="W28" s="969"/>
      <c r="X28" s="969"/>
      <c r="Y28" s="971"/>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997" t="s">
        <v>1232</v>
      </c>
      <c r="B29" s="997" t="s">
        <v>1736</v>
      </c>
      <c r="C29" s="968" t="s">
        <v>1735</v>
      </c>
      <c r="D29" s="1050">
        <v>420703949999.99994</v>
      </c>
      <c r="E29" s="1050">
        <v>497877710000.00006</v>
      </c>
      <c r="F29" s="1050">
        <v>555600000000</v>
      </c>
      <c r="G29" s="1050">
        <v>563200000000</v>
      </c>
      <c r="H29" s="1050">
        <v>757900000000</v>
      </c>
      <c r="I29" s="1050">
        <v>860600000000</v>
      </c>
      <c r="J29" s="1050">
        <v>1011400000000.0001</v>
      </c>
      <c r="K29" s="1050">
        <v>1029599999999.9999</v>
      </c>
      <c r="L29" s="1050">
        <v>1407000000000</v>
      </c>
      <c r="M29" s="1048">
        <v>1829700000000</v>
      </c>
      <c r="N29" s="1048">
        <v>1996200000000</v>
      </c>
      <c r="O29" s="1048"/>
      <c r="P29" s="1048"/>
      <c r="Q29" s="1048"/>
      <c r="R29" s="1048"/>
      <c r="S29" s="1048"/>
      <c r="T29" s="1048"/>
      <c r="U29" s="1048"/>
      <c r="V29" s="2715"/>
      <c r="W29" s="969"/>
      <c r="X29" s="969"/>
      <c r="Y29" s="971"/>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981" t="s">
        <v>237</v>
      </c>
      <c r="B30" s="981" t="s">
        <v>1737</v>
      </c>
      <c r="C30" s="981" t="s">
        <v>201</v>
      </c>
      <c r="D30" s="1050">
        <f t="shared" ref="D30:K30" si="16">D31+D34</f>
        <v>1051759875000</v>
      </c>
      <c r="E30" s="1050">
        <f t="shared" si="16"/>
        <v>1176801860000</v>
      </c>
      <c r="F30" s="1050">
        <f t="shared" si="16"/>
        <v>1018600000000</v>
      </c>
      <c r="G30" s="1050">
        <f t="shared" si="16"/>
        <v>972800000000.00012</v>
      </c>
      <c r="H30" s="1050">
        <f t="shared" si="16"/>
        <v>1049399999999.9999</v>
      </c>
      <c r="I30" s="1050">
        <f t="shared" si="16"/>
        <v>1191600000000</v>
      </c>
      <c r="J30" s="1050">
        <f t="shared" si="16"/>
        <v>1400400000000</v>
      </c>
      <c r="K30" s="1050">
        <f t="shared" si="16"/>
        <v>1801800000000</v>
      </c>
      <c r="L30" s="1050">
        <v>1969800000000</v>
      </c>
      <c r="M30" s="1132">
        <f>M31+M34</f>
        <v>2600100000000</v>
      </c>
      <c r="N30" s="1048">
        <v>2328900000000</v>
      </c>
      <c r="O30" s="1132">
        <f>O31+O34</f>
        <v>2545200000000</v>
      </c>
      <c r="P30" s="1132">
        <f t="shared" ref="P30:Q30" si="17">P31+P34</f>
        <v>2709000000000</v>
      </c>
      <c r="Q30" s="1132">
        <f t="shared" si="17"/>
        <v>2743999999999.9995</v>
      </c>
      <c r="R30" s="1048">
        <v>2952759420000</v>
      </c>
      <c r="S30" s="1048">
        <v>3623510458999.9995</v>
      </c>
      <c r="T30" s="1048">
        <v>3801873825999.9995</v>
      </c>
      <c r="U30" s="1048">
        <v>3946463072999.9995</v>
      </c>
      <c r="V30" s="971"/>
      <c r="W30" s="971"/>
      <c r="X30" s="971"/>
      <c r="Y30" s="971"/>
      <c r="Z30" s="971"/>
      <c r="AA30" s="971"/>
      <c r="AB30" s="971"/>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988" t="s">
        <v>1653</v>
      </c>
      <c r="B31" s="988" t="s">
        <v>1653</v>
      </c>
      <c r="C31" s="981" t="s">
        <v>241</v>
      </c>
      <c r="D31" s="1050">
        <v>1051759875000</v>
      </c>
      <c r="E31" s="1050">
        <v>1176801860000</v>
      </c>
      <c r="F31" s="1050">
        <v>1018600000000</v>
      </c>
      <c r="G31" s="1050">
        <f>G32+G33</f>
        <v>972800000000.00012</v>
      </c>
      <c r="H31" s="1077">
        <v>1049399999999.9999</v>
      </c>
      <c r="I31" s="1050">
        <v>1191600000000</v>
      </c>
      <c r="J31" s="1050">
        <v>1400400000000</v>
      </c>
      <c r="K31" s="1050">
        <v>1801800000000</v>
      </c>
      <c r="L31" s="1050">
        <v>1969800000000</v>
      </c>
      <c r="M31" s="1048">
        <v>2503800000000</v>
      </c>
      <c r="N31" s="1048">
        <v>2328900000000</v>
      </c>
      <c r="O31" s="1048">
        <v>2545200000000</v>
      </c>
      <c r="P31" s="1048">
        <v>2709000000000</v>
      </c>
      <c r="Q31" s="1048">
        <v>2743999999999.9995</v>
      </c>
      <c r="R31" s="1048"/>
      <c r="S31" s="1048"/>
      <c r="T31" s="1048"/>
      <c r="U31" s="1048"/>
      <c r="V31" s="2715"/>
      <c r="W31" s="969"/>
      <c r="X31" s="969"/>
      <c r="Y31" s="971"/>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7" t="s">
        <v>1738</v>
      </c>
      <c r="B32" s="997" t="s">
        <v>1738</v>
      </c>
      <c r="C32" s="968" t="s">
        <v>1739</v>
      </c>
      <c r="D32" s="1050">
        <v>126211184999.99998</v>
      </c>
      <c r="E32" s="1050">
        <v>135784830000</v>
      </c>
      <c r="F32" s="1050">
        <v>740800000000</v>
      </c>
      <c r="G32" s="1050">
        <v>665600000000.00012</v>
      </c>
      <c r="H32" s="1077">
        <v>816199999999.99988</v>
      </c>
      <c r="I32" s="1050">
        <v>860600000000</v>
      </c>
      <c r="J32" s="1050">
        <v>933600000000</v>
      </c>
      <c r="K32" s="1050">
        <v>1029599999999.9999</v>
      </c>
      <c r="L32" s="1050"/>
      <c r="M32" s="1048"/>
      <c r="N32" s="1048"/>
      <c r="O32" s="1048"/>
      <c r="P32" s="1048"/>
      <c r="Q32" s="1048"/>
      <c r="R32" s="1048"/>
      <c r="S32" s="1048"/>
      <c r="T32" s="1048"/>
      <c r="U32" s="1048"/>
      <c r="V32" s="2715"/>
      <c r="W32" s="969"/>
      <c r="X32" s="969"/>
      <c r="Y32" s="971"/>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7" t="s">
        <v>1740</v>
      </c>
      <c r="B33" s="997" t="s">
        <v>1741</v>
      </c>
      <c r="C33" s="968" t="s">
        <v>1739</v>
      </c>
      <c r="D33" s="1050">
        <v>925548690000</v>
      </c>
      <c r="E33" s="1050">
        <v>1041017030000</v>
      </c>
      <c r="F33" s="1050">
        <v>277800000000</v>
      </c>
      <c r="G33" s="1050">
        <v>307200000000</v>
      </c>
      <c r="H33" s="1077">
        <v>233200000000</v>
      </c>
      <c r="I33" s="1050">
        <v>331000000000</v>
      </c>
      <c r="J33" s="1050">
        <v>466800000000</v>
      </c>
      <c r="K33" s="1050">
        <v>772200000000</v>
      </c>
      <c r="L33" s="1050"/>
      <c r="M33" s="1048"/>
      <c r="N33" s="1048"/>
      <c r="O33" s="1048"/>
      <c r="P33" s="1048"/>
      <c r="Q33" s="1048"/>
      <c r="R33" s="1048"/>
      <c r="S33" s="1048"/>
      <c r="T33" s="1048"/>
      <c r="U33" s="1048"/>
      <c r="V33" s="969"/>
      <c r="W33" s="969"/>
      <c r="X33" s="969"/>
      <c r="Y33" s="971"/>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988" t="s">
        <v>1742</v>
      </c>
      <c r="B34" s="988" t="s">
        <v>1743</v>
      </c>
      <c r="C34" s="981" t="s">
        <v>241</v>
      </c>
      <c r="D34" s="1050"/>
      <c r="E34" s="1050"/>
      <c r="F34" s="1050"/>
      <c r="G34" s="1050"/>
      <c r="H34" s="1050"/>
      <c r="I34" s="1050"/>
      <c r="J34" s="1050"/>
      <c r="K34" s="1050"/>
      <c r="L34" s="1050">
        <v>0</v>
      </c>
      <c r="M34" s="1048">
        <v>96300000000</v>
      </c>
      <c r="N34" s="1048">
        <v>0</v>
      </c>
      <c r="O34" s="1048">
        <v>0</v>
      </c>
      <c r="P34" s="1048">
        <v>0</v>
      </c>
      <c r="Q34" s="1048">
        <v>0</v>
      </c>
      <c r="R34" s="1048"/>
      <c r="S34" s="1048"/>
      <c r="T34" s="1048"/>
      <c r="U34" s="1048"/>
      <c r="V34" s="969"/>
      <c r="W34" s="969"/>
      <c r="X34" s="969"/>
      <c r="Y34" s="971"/>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972" t="s">
        <v>76</v>
      </c>
      <c r="B35" s="981" t="s">
        <v>1744</v>
      </c>
      <c r="C35" s="968"/>
      <c r="D35" s="1050"/>
      <c r="E35" s="1050"/>
      <c r="F35" s="1050"/>
      <c r="G35" s="1050"/>
      <c r="H35" s="1050"/>
      <c r="I35" s="1050"/>
      <c r="J35" s="1050"/>
      <c r="K35" s="1050"/>
      <c r="L35" s="1050">
        <v>5628000000000</v>
      </c>
      <c r="M35" s="1048">
        <v>-1733400000000</v>
      </c>
      <c r="N35" s="1048">
        <v>1774400000000.0002</v>
      </c>
      <c r="O35" s="1048">
        <v>4120800000000.0005</v>
      </c>
      <c r="P35" s="1048">
        <v>3354000000000.0005</v>
      </c>
      <c r="Q35" s="1048">
        <v>1920799999999.9995</v>
      </c>
      <c r="R35" s="1048"/>
      <c r="S35" s="1048"/>
      <c r="T35" s="1048"/>
      <c r="U35" s="1048"/>
      <c r="V35" s="969"/>
      <c r="W35" s="969"/>
      <c r="X35" s="969"/>
      <c r="Y35" s="971"/>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972" t="s">
        <v>76</v>
      </c>
      <c r="B36" s="981" t="s">
        <v>1745</v>
      </c>
      <c r="C36" s="968"/>
      <c r="D36" s="1050"/>
      <c r="E36" s="1050"/>
      <c r="F36" s="1050"/>
      <c r="G36" s="1050"/>
      <c r="H36" s="1050"/>
      <c r="I36" s="1050"/>
      <c r="J36" s="1050"/>
      <c r="K36" s="1050"/>
      <c r="L36" s="1050">
        <v>3658200000000</v>
      </c>
      <c r="M36" s="1048">
        <v>-4237200000000.0005</v>
      </c>
      <c r="N36" s="1048">
        <v>-554500000000</v>
      </c>
      <c r="O36" s="1048">
        <v>1575600000000.0002</v>
      </c>
      <c r="P36" s="1048">
        <v>774000000000</v>
      </c>
      <c r="Q36" s="1048">
        <v>-823199999999.99988</v>
      </c>
      <c r="R36" s="1048"/>
      <c r="S36" s="1048"/>
      <c r="T36" s="1051"/>
      <c r="U36" s="969"/>
      <c r="V36" s="969"/>
      <c r="W36" s="969"/>
      <c r="X36" s="969"/>
      <c r="Y36" s="971"/>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972" t="s">
        <v>76</v>
      </c>
      <c r="B37" s="981" t="s">
        <v>1746</v>
      </c>
      <c r="C37" s="968"/>
      <c r="D37" s="1050"/>
      <c r="E37" s="1050"/>
      <c r="F37" s="1050"/>
      <c r="G37" s="1050"/>
      <c r="H37" s="1050"/>
      <c r="I37" s="1050"/>
      <c r="J37" s="1050"/>
      <c r="K37" s="1050"/>
      <c r="L37" s="1050">
        <v>-1688400000000</v>
      </c>
      <c r="M37" s="1048">
        <v>-6548400000000</v>
      </c>
      <c r="N37" s="1048">
        <v>-5434100000000.001</v>
      </c>
      <c r="O37" s="1048">
        <v>-3514800000000</v>
      </c>
      <c r="P37" s="1048">
        <v>-3225000000000</v>
      </c>
      <c r="Q37" s="1048">
        <v>-3704400000000</v>
      </c>
      <c r="R37" s="1048"/>
      <c r="S37" s="1048"/>
      <c r="T37" s="1051"/>
      <c r="U37" s="969"/>
      <c r="V37" s="969"/>
      <c r="W37" s="969"/>
      <c r="X37" s="969"/>
      <c r="Y37" s="971"/>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c r="A38" s="972" t="s">
        <v>76</v>
      </c>
      <c r="B38" s="981" t="s">
        <v>1747</v>
      </c>
      <c r="C38" s="968"/>
      <c r="D38" s="1050"/>
      <c r="E38" s="1050"/>
      <c r="F38" s="1050">
        <v>-3657700000000</v>
      </c>
      <c r="G38" s="1050">
        <v>-3430400000000</v>
      </c>
      <c r="H38" s="1050">
        <v>-2390299999999.9995</v>
      </c>
      <c r="I38" s="1050">
        <v>66200000000.000008</v>
      </c>
      <c r="J38" s="1050">
        <v>5446000000000</v>
      </c>
      <c r="K38" s="1050">
        <v>11754600000000</v>
      </c>
      <c r="N38" s="995"/>
      <c r="O38" s="995"/>
      <c r="P38" s="995"/>
      <c r="Q38" s="995"/>
      <c r="R38" s="995"/>
      <c r="S38" s="995"/>
      <c r="T38" s="1051"/>
      <c r="U38" s="969"/>
      <c r="V38" s="969"/>
      <c r="W38" s="969"/>
      <c r="X38" s="969"/>
    </row>
    <row r="39" spans="1:48">
      <c r="A39" s="972" t="s">
        <v>76</v>
      </c>
      <c r="B39" s="981" t="s">
        <v>1748</v>
      </c>
      <c r="C39" s="968"/>
      <c r="D39" s="1050"/>
      <c r="E39" s="1050"/>
      <c r="F39" s="1050">
        <v>7269099999999.999</v>
      </c>
      <c r="G39" s="1050">
        <v>6656000000000.001</v>
      </c>
      <c r="H39" s="1050">
        <v>6238099999999.999</v>
      </c>
      <c r="I39" s="1050">
        <v>4832600000000</v>
      </c>
      <c r="J39" s="1050">
        <v>4123400000000</v>
      </c>
      <c r="K39" s="1050">
        <v>3517800000000</v>
      </c>
      <c r="L39" s="1050"/>
      <c r="M39" s="1048"/>
      <c r="N39" s="1048"/>
      <c r="O39" s="1048"/>
      <c r="P39" s="1048"/>
      <c r="Q39" s="1048"/>
      <c r="R39" s="1048"/>
      <c r="S39" s="1048"/>
      <c r="T39" s="1051"/>
      <c r="U39" s="969"/>
      <c r="V39" s="969"/>
      <c r="W39" s="969"/>
      <c r="X39" s="969"/>
    </row>
    <row r="40" spans="1:48">
      <c r="A40" s="972" t="s">
        <v>76</v>
      </c>
      <c r="B40" s="981" t="s">
        <v>1749</v>
      </c>
      <c r="C40" s="968"/>
      <c r="D40" s="1050"/>
      <c r="E40" s="1050"/>
      <c r="F40" s="1050">
        <v>3611399999999.9995</v>
      </c>
      <c r="G40" s="1050">
        <v>3225600000000</v>
      </c>
      <c r="H40" s="1050">
        <v>3323099999999.9995</v>
      </c>
      <c r="I40" s="1050">
        <v>3839600000000</v>
      </c>
      <c r="J40" s="1050">
        <v>3967800000000</v>
      </c>
      <c r="K40" s="1050">
        <v>4719000000000</v>
      </c>
      <c r="L40" s="1050"/>
      <c r="M40" s="1048"/>
      <c r="N40" s="1048"/>
      <c r="O40" s="1048"/>
      <c r="P40" s="1048"/>
      <c r="Q40" s="1048"/>
      <c r="R40" s="1048"/>
      <c r="S40" s="1048"/>
      <c r="T40" s="1051"/>
      <c r="U40" s="969"/>
      <c r="V40" s="969"/>
      <c r="W40" s="969"/>
      <c r="X40" s="969"/>
    </row>
    <row r="41" spans="1:48">
      <c r="A41" s="972" t="s">
        <v>76</v>
      </c>
      <c r="B41" s="981" t="s">
        <v>1750</v>
      </c>
      <c r="C41" s="968"/>
      <c r="D41" s="1050"/>
      <c r="E41" s="1050"/>
      <c r="F41" s="1050">
        <v>0</v>
      </c>
      <c r="G41" s="1050">
        <v>0</v>
      </c>
      <c r="H41" s="1050">
        <v>524699999999.99994</v>
      </c>
      <c r="I41" s="1050">
        <v>993000000000.00012</v>
      </c>
      <c r="J41" s="1050">
        <v>5523800000000</v>
      </c>
      <c r="K41" s="1050">
        <v>10553400000000</v>
      </c>
      <c r="L41" s="1050"/>
      <c r="M41" s="1048"/>
      <c r="N41" s="1048"/>
      <c r="O41" s="1048"/>
      <c r="P41" s="1048"/>
      <c r="Q41" s="1048"/>
      <c r="R41" s="1048"/>
      <c r="S41" s="1048"/>
      <c r="T41" s="1051"/>
      <c r="U41" s="969"/>
      <c r="V41" s="969"/>
      <c r="W41" s="969"/>
      <c r="X41" s="969"/>
    </row>
    <row r="42" spans="1:48">
      <c r="A42" s="972" t="s">
        <v>76</v>
      </c>
      <c r="B42" s="981" t="s">
        <v>1751</v>
      </c>
      <c r="C42" s="968"/>
      <c r="D42" s="1050"/>
      <c r="E42" s="1050"/>
      <c r="F42" s="1050">
        <v>-2546500000000</v>
      </c>
      <c r="G42" s="1050">
        <v>-3686400000000.0005</v>
      </c>
      <c r="H42" s="1050"/>
      <c r="I42" s="1050"/>
      <c r="J42" s="1050"/>
      <c r="K42" s="1050"/>
      <c r="L42" s="1050"/>
      <c r="M42" s="1048"/>
      <c r="N42" s="1048"/>
      <c r="O42" s="1048"/>
      <c r="P42" s="1048"/>
      <c r="Q42" s="1048"/>
      <c r="R42" s="1048"/>
      <c r="S42" s="1048"/>
      <c r="T42" s="1051"/>
      <c r="U42" s="969"/>
      <c r="V42" s="969"/>
      <c r="W42" s="969"/>
      <c r="X42" s="969"/>
    </row>
    <row r="43" spans="1:48" s="9" customFormat="1">
      <c r="A43" s="977" t="s">
        <v>592</v>
      </c>
      <c r="B43" s="991" t="s">
        <v>115</v>
      </c>
      <c r="C43" s="991" t="s">
        <v>35</v>
      </c>
      <c r="D43" s="1049">
        <v>292484000000</v>
      </c>
      <c r="E43" s="1049">
        <v>224604000000</v>
      </c>
      <c r="F43" s="1049">
        <v>566953000000</v>
      </c>
      <c r="G43" s="1049">
        <v>219789000000</v>
      </c>
      <c r="H43" s="1049">
        <v>-1238432000000</v>
      </c>
      <c r="I43" s="1049">
        <v>-3127641000000</v>
      </c>
      <c r="J43" s="1049">
        <v>-6125723000000</v>
      </c>
      <c r="K43" s="1049">
        <v>-7172076000000</v>
      </c>
      <c r="L43" s="1049">
        <f t="shared" ref="L43:M43" si="18">L45+L49</f>
        <v>-3658200000000</v>
      </c>
      <c r="M43" s="1049">
        <f t="shared" si="18"/>
        <v>4140900000000</v>
      </c>
      <c r="N43" s="1049">
        <f>N45+N49</f>
        <v>554500000000</v>
      </c>
      <c r="O43" s="1049">
        <f>O45+O49</f>
        <v>-1576039075000</v>
      </c>
      <c r="P43" s="1049">
        <f t="shared" ref="P43:U43" si="19">P45+P49</f>
        <v>-773809878000</v>
      </c>
      <c r="Q43" s="1049">
        <f t="shared" si="19"/>
        <v>821976078000</v>
      </c>
      <c r="R43" s="1049">
        <f t="shared" si="19"/>
        <v>2362207536000</v>
      </c>
      <c r="S43" s="1049">
        <f t="shared" si="19"/>
        <v>3308422593000</v>
      </c>
      <c r="T43" s="1049">
        <f t="shared" si="19"/>
        <v>5124264722000</v>
      </c>
      <c r="U43" s="1049">
        <f t="shared" si="19"/>
        <v>5662316583000</v>
      </c>
      <c r="V43" s="1130"/>
      <c r="W43" s="1130"/>
      <c r="X43" s="1130"/>
      <c r="Y43" s="977"/>
    </row>
    <row r="44" spans="1:48">
      <c r="A44" s="972" t="s">
        <v>76</v>
      </c>
      <c r="B44" s="981" t="s">
        <v>1752</v>
      </c>
      <c r="D44" s="1050"/>
      <c r="E44" s="1050"/>
      <c r="F44" s="1050"/>
      <c r="G44" s="1050"/>
      <c r="H44" s="1050"/>
      <c r="I44" s="1050"/>
      <c r="J44" s="1050"/>
      <c r="K44" s="1050"/>
      <c r="L44" s="1050">
        <v>3658200000000</v>
      </c>
      <c r="M44" s="1048">
        <v>-4237200000000.0005</v>
      </c>
      <c r="N44" s="1048">
        <v>-554500000000</v>
      </c>
      <c r="O44" s="1048"/>
      <c r="P44" s="1048"/>
      <c r="Q44" s="1048"/>
      <c r="R44" s="1048"/>
      <c r="S44" s="1048"/>
      <c r="T44" s="1051"/>
      <c r="U44" s="969"/>
      <c r="V44" s="969"/>
      <c r="W44" s="969"/>
      <c r="X44" s="969"/>
    </row>
    <row r="45" spans="1:48">
      <c r="A45" s="981" t="s">
        <v>1753</v>
      </c>
      <c r="B45" s="981" t="s">
        <v>1754</v>
      </c>
      <c r="C45" s="981" t="s">
        <v>252</v>
      </c>
      <c r="D45" s="1050"/>
      <c r="E45" s="1050"/>
      <c r="F45" s="1050"/>
      <c r="G45" s="1050"/>
      <c r="H45" s="1050"/>
      <c r="I45" s="1050"/>
      <c r="J45" s="1050"/>
      <c r="K45" s="1050"/>
      <c r="L45" s="1050">
        <v>-3470600000000</v>
      </c>
      <c r="M45" s="1048">
        <v>3852000000000</v>
      </c>
      <c r="N45" s="1048">
        <v>-2218000000000</v>
      </c>
      <c r="O45" s="1048">
        <v>-3758247025000</v>
      </c>
      <c r="P45" s="1048">
        <v>-1289683130000</v>
      </c>
      <c r="Q45" s="1048">
        <v>684980065000</v>
      </c>
      <c r="R45" s="1048">
        <v>-295275942000</v>
      </c>
      <c r="S45" s="1048">
        <v>315087866000</v>
      </c>
      <c r="T45" s="1048">
        <v>-1818287482000.0002</v>
      </c>
      <c r="U45" s="1048">
        <v>-2573780265000</v>
      </c>
      <c r="V45" s="971"/>
      <c r="W45" s="971"/>
      <c r="X45" s="971"/>
      <c r="Y45" s="971"/>
      <c r="Z45" s="971"/>
      <c r="AA45" s="971"/>
      <c r="AB45" s="971"/>
    </row>
    <row r="46" spans="1:48">
      <c r="A46" s="972" t="s">
        <v>76</v>
      </c>
      <c r="B46" s="988" t="s">
        <v>1755</v>
      </c>
      <c r="C46" s="968"/>
      <c r="D46" s="1050"/>
      <c r="E46" s="1050"/>
      <c r="F46" s="1050"/>
      <c r="G46" s="1050"/>
      <c r="H46" s="1050"/>
      <c r="I46" s="1050"/>
      <c r="J46" s="1050"/>
      <c r="K46" s="1050"/>
      <c r="L46" s="1050">
        <v>-844200000000</v>
      </c>
      <c r="M46" s="1048">
        <v>0</v>
      </c>
      <c r="N46" s="1048">
        <v>-221800000000.00003</v>
      </c>
      <c r="O46" s="1048"/>
      <c r="P46" s="1048"/>
      <c r="Q46" s="1048"/>
      <c r="R46" s="1048"/>
      <c r="S46" s="1048"/>
      <c r="T46" s="1048"/>
      <c r="U46" s="1048"/>
      <c r="V46" s="969"/>
      <c r="W46" s="969"/>
      <c r="X46" s="969"/>
    </row>
    <row r="47" spans="1:48">
      <c r="A47" s="972" t="s">
        <v>76</v>
      </c>
      <c r="B47" s="988" t="s">
        <v>1756</v>
      </c>
      <c r="C47" s="968"/>
      <c r="D47" s="1050"/>
      <c r="E47" s="1050"/>
      <c r="F47" s="1050"/>
      <c r="G47" s="1050"/>
      <c r="H47" s="1050"/>
      <c r="I47" s="1050"/>
      <c r="J47" s="1050"/>
      <c r="K47" s="1050"/>
      <c r="L47" s="1050">
        <v>-2251200000000</v>
      </c>
      <c r="M47" s="1048">
        <v>3948299999999.9995</v>
      </c>
      <c r="N47" s="1048">
        <v>2439800000000</v>
      </c>
      <c r="O47" s="1048"/>
      <c r="P47" s="1048"/>
      <c r="Q47" s="1048"/>
      <c r="R47" s="1048"/>
      <c r="S47" s="1048"/>
      <c r="T47" s="1048"/>
      <c r="U47" s="1048"/>
      <c r="V47" s="969"/>
      <c r="W47" s="969"/>
      <c r="X47" s="969"/>
    </row>
    <row r="48" spans="1:48">
      <c r="A48" s="972" t="s">
        <v>76</v>
      </c>
      <c r="B48" s="988" t="s">
        <v>444</v>
      </c>
      <c r="C48" s="968"/>
      <c r="D48" s="1050"/>
      <c r="E48" s="1050"/>
      <c r="F48" s="1050"/>
      <c r="G48" s="1050"/>
      <c r="H48" s="1050"/>
      <c r="I48" s="1050"/>
      <c r="J48" s="1050"/>
      <c r="K48" s="1050"/>
      <c r="L48" s="1050">
        <v>-281400000000</v>
      </c>
      <c r="M48" s="1048">
        <v>-96300000000</v>
      </c>
      <c r="N48" s="1048">
        <v>0</v>
      </c>
      <c r="O48" s="1048"/>
      <c r="P48" s="1048"/>
      <c r="Q48" s="1048"/>
      <c r="R48" s="1048"/>
      <c r="S48" s="1048"/>
      <c r="T48" s="1048"/>
      <c r="U48" s="1048"/>
      <c r="V48" s="969"/>
      <c r="W48" s="969"/>
      <c r="X48" s="969"/>
    </row>
    <row r="49" spans="1:28">
      <c r="A49" s="981" t="s">
        <v>1757</v>
      </c>
      <c r="B49" s="981" t="s">
        <v>1758</v>
      </c>
      <c r="C49" s="981" t="s">
        <v>252</v>
      </c>
      <c r="D49" s="1050"/>
      <c r="E49" s="1050"/>
      <c r="F49" s="1050"/>
      <c r="G49" s="1050"/>
      <c r="H49" s="1050"/>
      <c r="I49" s="1050"/>
      <c r="J49" s="1050"/>
      <c r="K49" s="1050"/>
      <c r="L49" s="1050">
        <v>-187600000000</v>
      </c>
      <c r="M49" s="1048">
        <v>288900000000</v>
      </c>
      <c r="N49" s="1048">
        <v>2772500000000</v>
      </c>
      <c r="O49" s="1048">
        <v>2182207950000</v>
      </c>
      <c r="P49" s="1048">
        <v>515873252000</v>
      </c>
      <c r="Q49" s="1048">
        <v>136996013000</v>
      </c>
      <c r="R49" s="1048">
        <v>2657483478000</v>
      </c>
      <c r="S49" s="1048">
        <v>2993334727000</v>
      </c>
      <c r="T49" s="1048">
        <v>6942552204000</v>
      </c>
      <c r="U49" s="1048">
        <v>8236096848000</v>
      </c>
      <c r="V49" s="971"/>
      <c r="W49" s="971"/>
      <c r="X49" s="971"/>
      <c r="Y49" s="971"/>
      <c r="Z49" s="971"/>
      <c r="AA49" s="971"/>
      <c r="AB49" s="971"/>
    </row>
    <row r="50" spans="1:28">
      <c r="B50" s="988" t="s">
        <v>209</v>
      </c>
      <c r="C50" s="975"/>
      <c r="D50" s="1050"/>
      <c r="E50" s="1050"/>
      <c r="F50" s="1050"/>
      <c r="G50" s="1050"/>
      <c r="H50" s="1050"/>
      <c r="I50" s="1050"/>
      <c r="J50" s="1050"/>
      <c r="K50" s="1050"/>
      <c r="L50" s="1050">
        <v>656600000000</v>
      </c>
      <c r="M50" s="1048">
        <v>1444500000000</v>
      </c>
      <c r="N50" s="1048">
        <v>2772500000000</v>
      </c>
      <c r="O50" s="1048"/>
      <c r="P50" s="1048"/>
      <c r="Q50" s="1048"/>
      <c r="R50" s="1048"/>
      <c r="S50" s="1048"/>
      <c r="T50" s="1051"/>
      <c r="U50" s="969"/>
      <c r="V50" s="969"/>
      <c r="W50" s="969"/>
      <c r="X50" s="969"/>
    </row>
    <row r="51" spans="1:28">
      <c r="B51" s="997" t="s">
        <v>1756</v>
      </c>
      <c r="C51" s="975"/>
      <c r="D51" s="1050"/>
      <c r="E51" s="1050"/>
      <c r="F51" s="1050"/>
      <c r="G51" s="1050"/>
      <c r="H51" s="1050"/>
      <c r="I51" s="1050"/>
      <c r="J51" s="1050"/>
      <c r="K51" s="1050"/>
      <c r="L51" s="1050">
        <v>938000000000</v>
      </c>
      <c r="M51" s="1048">
        <v>1637100000000</v>
      </c>
      <c r="N51" s="1048">
        <v>3105200000000</v>
      </c>
      <c r="O51" s="1048"/>
      <c r="P51" s="1048"/>
      <c r="Q51" s="1048"/>
      <c r="R51" s="1048"/>
      <c r="S51" s="1048"/>
      <c r="T51" s="1051"/>
      <c r="U51" s="969"/>
      <c r="V51" s="969"/>
      <c r="W51" s="969"/>
      <c r="X51" s="969"/>
    </row>
    <row r="52" spans="1:28">
      <c r="B52" s="997" t="s">
        <v>258</v>
      </c>
      <c r="C52" s="975"/>
      <c r="D52" s="1050"/>
      <c r="E52" s="1050"/>
      <c r="F52" s="1050"/>
      <c r="G52" s="1050"/>
      <c r="H52" s="1050"/>
      <c r="I52" s="1050"/>
      <c r="J52" s="1050"/>
      <c r="K52" s="1050"/>
      <c r="L52" s="1050">
        <v>562800000000</v>
      </c>
      <c r="M52" s="1048">
        <v>288900000000</v>
      </c>
      <c r="N52" s="1048">
        <v>332700000000.00006</v>
      </c>
      <c r="O52" s="1048"/>
      <c r="P52" s="1048"/>
      <c r="Q52" s="1048"/>
      <c r="R52" s="1048"/>
      <c r="S52" s="1048"/>
      <c r="T52" s="1051"/>
      <c r="U52" s="969"/>
      <c r="V52" s="969"/>
      <c r="W52" s="969"/>
      <c r="X52" s="969"/>
    </row>
    <row r="53" spans="1:28">
      <c r="B53" s="988" t="s">
        <v>280</v>
      </c>
      <c r="C53" s="975"/>
      <c r="D53" s="1050"/>
      <c r="E53" s="1050"/>
      <c r="F53" s="1050"/>
      <c r="G53" s="1050"/>
      <c r="H53" s="1050"/>
      <c r="I53" s="1050"/>
      <c r="J53" s="1050"/>
      <c r="K53" s="1050"/>
      <c r="L53" s="1050">
        <v>-187600000000</v>
      </c>
      <c r="M53" s="1048">
        <v>-385200000000</v>
      </c>
      <c r="N53" s="1048">
        <v>776300000000</v>
      </c>
      <c r="O53" s="1048"/>
      <c r="P53" s="1048"/>
      <c r="Q53" s="1048"/>
      <c r="R53" s="1048"/>
      <c r="S53" s="1048"/>
      <c r="T53" s="1051"/>
      <c r="U53" s="969"/>
      <c r="V53" s="969"/>
      <c r="W53" s="969"/>
      <c r="X53" s="969"/>
    </row>
    <row r="54" spans="1:28">
      <c r="B54" s="997" t="s">
        <v>1756</v>
      </c>
      <c r="C54" s="975"/>
      <c r="D54" s="1050"/>
      <c r="E54" s="1050"/>
      <c r="F54" s="1050"/>
      <c r="G54" s="1050"/>
      <c r="H54" s="1050"/>
      <c r="I54" s="1050"/>
      <c r="J54" s="1050"/>
      <c r="K54" s="1050"/>
      <c r="L54" s="1050">
        <v>0</v>
      </c>
      <c r="M54" s="1048">
        <v>0</v>
      </c>
      <c r="N54" s="1048">
        <v>776300000000</v>
      </c>
      <c r="O54" s="1048"/>
      <c r="P54" s="1048"/>
      <c r="Q54" s="1048"/>
      <c r="R54" s="1048"/>
      <c r="S54" s="1048"/>
      <c r="T54" s="1051"/>
      <c r="U54" s="969"/>
      <c r="V54" s="969"/>
      <c r="W54" s="969"/>
      <c r="X54" s="969"/>
    </row>
    <row r="55" spans="1:28">
      <c r="B55" s="997" t="s">
        <v>258</v>
      </c>
      <c r="C55" s="975"/>
      <c r="D55" s="1050"/>
      <c r="E55" s="1050"/>
      <c r="F55" s="1050"/>
      <c r="G55" s="1050"/>
      <c r="H55" s="1050"/>
      <c r="I55" s="1050"/>
      <c r="J55" s="1050"/>
      <c r="K55" s="1050"/>
      <c r="L55" s="1050">
        <v>469000000000</v>
      </c>
      <c r="M55" s="1048">
        <v>385200000000</v>
      </c>
      <c r="N55" s="1048">
        <v>110900000000.00002</v>
      </c>
      <c r="O55" s="1048"/>
      <c r="P55" s="1048"/>
      <c r="Q55" s="1048"/>
      <c r="R55" s="1048"/>
      <c r="S55" s="1048"/>
      <c r="T55" s="1051"/>
      <c r="U55" s="969"/>
      <c r="V55" s="969"/>
      <c r="W55" s="969"/>
      <c r="X55" s="969"/>
    </row>
    <row r="56" spans="1:28">
      <c r="B56" s="981" t="s">
        <v>1759</v>
      </c>
      <c r="C56" s="975"/>
      <c r="D56" s="1050"/>
      <c r="E56" s="1050"/>
      <c r="F56" s="1050"/>
      <c r="G56" s="1050"/>
      <c r="H56" s="1050"/>
      <c r="I56" s="1050"/>
      <c r="J56" s="1050"/>
      <c r="K56" s="1050"/>
      <c r="L56" s="1050">
        <v>-656600000000</v>
      </c>
      <c r="M56" s="1048">
        <v>-770400000000</v>
      </c>
      <c r="N56" s="1048">
        <v>-776300000000</v>
      </c>
      <c r="O56" s="1048"/>
      <c r="P56" s="1048"/>
      <c r="Q56" s="1048"/>
      <c r="R56" s="1048"/>
      <c r="S56" s="1048"/>
      <c r="T56" s="1051"/>
      <c r="U56" s="969"/>
      <c r="V56" s="969"/>
      <c r="W56" s="969"/>
      <c r="X56" s="969"/>
    </row>
    <row r="57" spans="1:28">
      <c r="B57" s="981"/>
      <c r="C57" s="975"/>
      <c r="N57" s="995"/>
      <c r="O57" s="995"/>
      <c r="P57" s="995"/>
      <c r="Q57" s="995"/>
      <c r="R57" s="995"/>
      <c r="S57" s="995"/>
      <c r="T57" s="1051"/>
      <c r="U57" s="969"/>
      <c r="V57" s="969"/>
      <c r="W57" s="969"/>
      <c r="X57" s="969"/>
    </row>
    <row r="58" spans="1:28">
      <c r="B58" s="981"/>
      <c r="C58" s="975"/>
      <c r="D58" s="972" t="s">
        <v>139</v>
      </c>
      <c r="E58" s="972" t="s">
        <v>139</v>
      </c>
      <c r="F58" s="972" t="s">
        <v>139</v>
      </c>
      <c r="G58" s="972" t="s">
        <v>139</v>
      </c>
      <c r="H58" s="972" t="s">
        <v>139</v>
      </c>
      <c r="I58" s="972" t="s">
        <v>139</v>
      </c>
      <c r="J58" s="972" t="s">
        <v>139</v>
      </c>
      <c r="K58" s="972" t="s">
        <v>139</v>
      </c>
      <c r="L58" s="972" t="s">
        <v>139</v>
      </c>
      <c r="M58" s="972" t="s">
        <v>139</v>
      </c>
      <c r="N58" s="972" t="s">
        <v>139</v>
      </c>
      <c r="O58" s="996" t="s">
        <v>139</v>
      </c>
      <c r="P58" s="996" t="s">
        <v>139</v>
      </c>
      <c r="Q58" s="996" t="s">
        <v>139</v>
      </c>
      <c r="R58" s="996" t="s">
        <v>139</v>
      </c>
      <c r="S58" s="996" t="s">
        <v>139</v>
      </c>
      <c r="T58" s="996" t="s">
        <v>139</v>
      </c>
      <c r="U58" s="996" t="s">
        <v>139</v>
      </c>
      <c r="V58" s="969"/>
      <c r="W58" s="969"/>
      <c r="X58" s="969"/>
    </row>
    <row r="59" spans="1:28">
      <c r="B59" s="981"/>
      <c r="C59" s="975"/>
      <c r="D59" s="972" t="s">
        <v>1760</v>
      </c>
      <c r="E59" s="972" t="s">
        <v>1760</v>
      </c>
      <c r="F59" s="972" t="s">
        <v>1760</v>
      </c>
      <c r="G59" s="972" t="s">
        <v>1760</v>
      </c>
      <c r="H59" s="972" t="s">
        <v>1760</v>
      </c>
      <c r="I59" s="972" t="s">
        <v>1760</v>
      </c>
      <c r="J59" s="972" t="s">
        <v>1760</v>
      </c>
      <c r="K59" s="972" t="s">
        <v>1760</v>
      </c>
      <c r="T59" s="969"/>
      <c r="U59" s="969"/>
      <c r="V59" s="969"/>
      <c r="W59" s="969"/>
      <c r="X59" s="969"/>
    </row>
    <row r="60" spans="1:28">
      <c r="B60" s="981"/>
      <c r="C60" s="975"/>
      <c r="T60" s="969"/>
      <c r="U60" s="969"/>
      <c r="V60" s="969"/>
      <c r="W60" s="969"/>
      <c r="X60" s="969"/>
    </row>
    <row r="61" spans="1:28">
      <c r="B61" s="981" t="s">
        <v>1700</v>
      </c>
      <c r="C61" s="975"/>
      <c r="D61" s="995">
        <f t="shared" ref="D61:S61" si="20">D6-D7-D12</f>
        <v>0</v>
      </c>
      <c r="E61" s="995">
        <f t="shared" si="20"/>
        <v>1.953125E-3</v>
      </c>
      <c r="F61" s="995">
        <f t="shared" si="20"/>
        <v>0</v>
      </c>
      <c r="G61" s="995">
        <f t="shared" si="20"/>
        <v>1.953125E-3</v>
      </c>
      <c r="H61" s="995">
        <f t="shared" si="20"/>
        <v>-1.953125E-3</v>
      </c>
      <c r="I61" s="995">
        <f t="shared" si="20"/>
        <v>1.9378662109375E-3</v>
      </c>
      <c r="J61" s="972">
        <f t="shared" si="20"/>
        <v>0</v>
      </c>
      <c r="K61" s="995">
        <f t="shared" si="20"/>
        <v>0</v>
      </c>
      <c r="L61" s="995">
        <f t="shared" si="20"/>
        <v>0</v>
      </c>
      <c r="M61" s="995">
        <f t="shared" si="20"/>
        <v>0</v>
      </c>
      <c r="N61" s="995">
        <f t="shared" si="20"/>
        <v>0</v>
      </c>
      <c r="O61" s="1010">
        <f t="shared" si="20"/>
        <v>0</v>
      </c>
      <c r="P61" s="1010">
        <f t="shared" si="20"/>
        <v>0</v>
      </c>
      <c r="Q61" s="1010">
        <f t="shared" si="20"/>
        <v>0</v>
      </c>
      <c r="R61" s="1010">
        <f t="shared" si="20"/>
        <v>0</v>
      </c>
      <c r="S61" s="1010">
        <f t="shared" si="20"/>
        <v>0</v>
      </c>
      <c r="T61" s="1010">
        <f>T6-T7-T12</f>
        <v>0</v>
      </c>
      <c r="U61" s="969"/>
      <c r="V61" s="969"/>
      <c r="W61" s="969"/>
      <c r="X61" s="969"/>
    </row>
    <row r="62" spans="1:28">
      <c r="B62" s="981" t="s">
        <v>450</v>
      </c>
      <c r="C62" s="975"/>
      <c r="D62" s="995">
        <f>D7-D8-D11-D13-D14</f>
        <v>0</v>
      </c>
      <c r="E62" s="995">
        <f>E7-E8-E11-E13-E14</f>
        <v>-9.765625E-4</v>
      </c>
      <c r="F62" s="972">
        <f t="shared" ref="F62:P62" si="21">F7-F8-F11-F13-F14</f>
        <v>0</v>
      </c>
      <c r="G62" s="972">
        <f t="shared" si="21"/>
        <v>0</v>
      </c>
      <c r="H62" s="972">
        <f t="shared" si="21"/>
        <v>0</v>
      </c>
      <c r="I62" s="972">
        <f t="shared" si="21"/>
        <v>0</v>
      </c>
      <c r="J62" s="972">
        <f t="shared" si="21"/>
        <v>0</v>
      </c>
      <c r="K62" s="972">
        <f t="shared" si="21"/>
        <v>0</v>
      </c>
      <c r="L62" s="972">
        <f t="shared" si="21"/>
        <v>0</v>
      </c>
      <c r="M62" s="972">
        <f t="shared" si="21"/>
        <v>0</v>
      </c>
      <c r="N62" s="972">
        <f t="shared" si="21"/>
        <v>0</v>
      </c>
      <c r="O62" s="1010">
        <f>O7-O8-O11-O13-O14</f>
        <v>0</v>
      </c>
      <c r="P62" s="1010">
        <f t="shared" si="21"/>
        <v>0</v>
      </c>
      <c r="Q62" s="1010">
        <f>Q7-Q8-Q11-Q13-Q14</f>
        <v>0</v>
      </c>
      <c r="R62" s="1010">
        <f>R7-R8-R11-R13-R14</f>
        <v>0</v>
      </c>
      <c r="S62" s="1010">
        <f>S7-S8-S11-S13-S14</f>
        <v>0</v>
      </c>
      <c r="T62" s="1010">
        <f>T7-T8-T11-T13-T14</f>
        <v>0</v>
      </c>
      <c r="U62" s="969"/>
      <c r="V62" s="969"/>
      <c r="W62" s="969"/>
      <c r="X62" s="969"/>
    </row>
    <row r="63" spans="1:28">
      <c r="B63" s="981" t="s">
        <v>142</v>
      </c>
      <c r="C63" s="975"/>
      <c r="D63" s="1003">
        <f t="shared" ref="D63:S63" si="22">D8-D9-D10</f>
        <v>6941615174999.999</v>
      </c>
      <c r="E63" s="1133">
        <f t="shared" si="22"/>
        <v>7513427260000.001</v>
      </c>
      <c r="F63" s="972">
        <f t="shared" si="22"/>
        <v>0</v>
      </c>
      <c r="G63" s="972">
        <f t="shared" si="22"/>
        <v>0</v>
      </c>
      <c r="H63" s="972">
        <f t="shared" si="22"/>
        <v>0</v>
      </c>
      <c r="I63" s="995">
        <f t="shared" si="22"/>
        <v>-1.953125E-3</v>
      </c>
      <c r="J63" s="972">
        <f t="shared" si="22"/>
        <v>0</v>
      </c>
      <c r="K63" s="995">
        <f t="shared" si="22"/>
        <v>0</v>
      </c>
      <c r="L63" s="972">
        <f t="shared" si="22"/>
        <v>0</v>
      </c>
      <c r="M63" s="995">
        <f t="shared" si="22"/>
        <v>0</v>
      </c>
      <c r="N63" s="972">
        <f t="shared" si="22"/>
        <v>0</v>
      </c>
      <c r="O63" s="1010">
        <f t="shared" si="22"/>
        <v>0</v>
      </c>
      <c r="P63" s="1010">
        <f t="shared" si="22"/>
        <v>0</v>
      </c>
      <c r="Q63" s="1010">
        <f>Q8-Q9-Q10</f>
        <v>0</v>
      </c>
      <c r="R63" s="1010">
        <f>R8-R9-R10</f>
        <v>0</v>
      </c>
      <c r="S63" s="1010">
        <f t="shared" si="22"/>
        <v>0</v>
      </c>
      <c r="T63" s="1010">
        <f>T8-T9-T10</f>
        <v>28762001987999.996</v>
      </c>
      <c r="U63" s="969"/>
      <c r="V63" s="969"/>
      <c r="W63" s="969"/>
      <c r="X63" s="969"/>
    </row>
    <row r="64" spans="1:28">
      <c r="B64" s="981" t="s">
        <v>1761</v>
      </c>
      <c r="C64" s="975"/>
      <c r="D64" s="995">
        <f t="shared" ref="D64:S64" si="23">D14-D15-D16-D17-D18</f>
        <v>0</v>
      </c>
      <c r="E64" s="972">
        <f t="shared" si="23"/>
        <v>0</v>
      </c>
      <c r="F64" s="972">
        <f t="shared" si="23"/>
        <v>0</v>
      </c>
      <c r="G64" s="972">
        <f t="shared" si="23"/>
        <v>0</v>
      </c>
      <c r="H64" s="972">
        <f t="shared" si="23"/>
        <v>0</v>
      </c>
      <c r="I64" s="972">
        <f t="shared" si="23"/>
        <v>0</v>
      </c>
      <c r="J64" s="972">
        <f t="shared" si="23"/>
        <v>0</v>
      </c>
      <c r="K64" s="972">
        <f t="shared" si="23"/>
        <v>0</v>
      </c>
      <c r="L64" s="995">
        <f t="shared" si="23"/>
        <v>4.8828125E-4</v>
      </c>
      <c r="M64" s="995">
        <f t="shared" si="23"/>
        <v>0</v>
      </c>
      <c r="N64" s="995">
        <f>N14-N15-N16-N17-N18</f>
        <v>0</v>
      </c>
      <c r="O64" s="1010">
        <f t="shared" si="23"/>
        <v>0</v>
      </c>
      <c r="P64" s="1010">
        <f t="shared" si="23"/>
        <v>0</v>
      </c>
      <c r="Q64" s="1010">
        <f t="shared" si="23"/>
        <v>0</v>
      </c>
      <c r="R64" s="1010">
        <f>R14-R15-R16-R17-R18</f>
        <v>3838587246000</v>
      </c>
      <c r="S64" s="1010">
        <f t="shared" si="23"/>
        <v>3465966526000.0005</v>
      </c>
      <c r="T64" s="1010">
        <f>T14-T15-T16-T17-T18</f>
        <v>3636574964000.0005</v>
      </c>
      <c r="U64" s="969"/>
      <c r="V64" s="969"/>
      <c r="W64" s="969"/>
      <c r="X64" s="969"/>
    </row>
    <row r="65" spans="2:24">
      <c r="B65" s="981" t="s">
        <v>1762</v>
      </c>
      <c r="C65" s="975"/>
      <c r="D65" s="995">
        <f t="shared" ref="D65:S65" si="24">D19-D20-D30</f>
        <v>0</v>
      </c>
      <c r="E65" s="995">
        <f t="shared" si="24"/>
        <v>0</v>
      </c>
      <c r="F65" s="995">
        <f t="shared" si="24"/>
        <v>0</v>
      </c>
      <c r="G65" s="995">
        <f t="shared" si="24"/>
        <v>0</v>
      </c>
      <c r="H65" s="995">
        <f t="shared" si="24"/>
        <v>0</v>
      </c>
      <c r="I65" s="995">
        <f t="shared" si="24"/>
        <v>0</v>
      </c>
      <c r="J65" s="995">
        <f t="shared" si="24"/>
        <v>1.953125E-3</v>
      </c>
      <c r="K65" s="995">
        <f t="shared" si="24"/>
        <v>0</v>
      </c>
      <c r="L65" s="995">
        <f t="shared" si="24"/>
        <v>0</v>
      </c>
      <c r="M65" s="995">
        <f t="shared" si="24"/>
        <v>0</v>
      </c>
      <c r="N65" s="995">
        <f>N19-N20-N30</f>
        <v>0</v>
      </c>
      <c r="O65" s="1010">
        <f>O19-O20-O30</f>
        <v>0</v>
      </c>
      <c r="P65" s="1010">
        <f t="shared" si="24"/>
        <v>0</v>
      </c>
      <c r="Q65" s="1010">
        <f t="shared" si="24"/>
        <v>0</v>
      </c>
      <c r="R65" s="1010">
        <f t="shared" si="24"/>
        <v>0</v>
      </c>
      <c r="S65" s="1010">
        <f t="shared" si="24"/>
        <v>0</v>
      </c>
      <c r="T65" s="1010">
        <f>T19-T20-T30</f>
        <v>0</v>
      </c>
      <c r="U65" s="969"/>
      <c r="V65" s="969"/>
      <c r="W65" s="969"/>
      <c r="X65" s="969"/>
    </row>
    <row r="66" spans="2:24">
      <c r="B66" s="981" t="s">
        <v>1763</v>
      </c>
      <c r="C66" s="975"/>
      <c r="D66" s="995">
        <f t="shared" ref="D66:S66" si="25">D20-D21-D24-D25-D26-D27</f>
        <v>5.4931640625E-4</v>
      </c>
      <c r="E66" s="972">
        <f t="shared" si="25"/>
        <v>0</v>
      </c>
      <c r="F66" s="995">
        <f t="shared" si="25"/>
        <v>0</v>
      </c>
      <c r="G66" s="995">
        <f t="shared" si="25"/>
        <v>0</v>
      </c>
      <c r="H66" s="972">
        <f t="shared" si="25"/>
        <v>0</v>
      </c>
      <c r="I66" s="972">
        <f t="shared" si="25"/>
        <v>0</v>
      </c>
      <c r="J66" s="972">
        <f t="shared" si="25"/>
        <v>0</v>
      </c>
      <c r="K66" s="972">
        <f t="shared" si="25"/>
        <v>0</v>
      </c>
      <c r="L66" s="995">
        <f t="shared" si="25"/>
        <v>0</v>
      </c>
      <c r="M66" s="995">
        <f t="shared" si="25"/>
        <v>0</v>
      </c>
      <c r="N66" s="995">
        <f t="shared" si="25"/>
        <v>0</v>
      </c>
      <c r="O66" s="1010">
        <f>O20-O21-O24-O25-O26-O27</f>
        <v>0</v>
      </c>
      <c r="P66" s="1010">
        <f t="shared" si="25"/>
        <v>0</v>
      </c>
      <c r="Q66" s="1010">
        <f t="shared" si="25"/>
        <v>0</v>
      </c>
      <c r="R66" s="1010">
        <f t="shared" si="25"/>
        <v>0</v>
      </c>
      <c r="S66" s="1010">
        <f t="shared" si="25"/>
        <v>0</v>
      </c>
      <c r="T66" s="1010">
        <f>T20-T21-T24-T25-T26-T27</f>
        <v>0</v>
      </c>
      <c r="U66" s="969"/>
      <c r="V66" s="969"/>
      <c r="W66" s="969"/>
      <c r="X66" s="969"/>
    </row>
    <row r="67" spans="2:24">
      <c r="B67" s="981" t="s">
        <v>1764</v>
      </c>
      <c r="C67" s="975"/>
      <c r="D67" s="995">
        <f>D27-D28-D29</f>
        <v>0</v>
      </c>
      <c r="E67" s="995">
        <f t="shared" ref="E67:S67" si="26">E27-E28-E29</f>
        <v>0</v>
      </c>
      <c r="F67" s="995">
        <f t="shared" si="26"/>
        <v>0</v>
      </c>
      <c r="G67" s="995">
        <f t="shared" si="26"/>
        <v>0</v>
      </c>
      <c r="H67" s="995">
        <f t="shared" si="26"/>
        <v>0</v>
      </c>
      <c r="I67" s="995">
        <f t="shared" si="26"/>
        <v>0</v>
      </c>
      <c r="J67" s="995">
        <f t="shared" si="26"/>
        <v>0</v>
      </c>
      <c r="K67" s="995">
        <f t="shared" si="26"/>
        <v>0</v>
      </c>
      <c r="L67" s="995">
        <f>L27-L28-L29</f>
        <v>0</v>
      </c>
      <c r="M67" s="995">
        <f t="shared" si="26"/>
        <v>0</v>
      </c>
      <c r="N67" s="995">
        <f t="shared" si="26"/>
        <v>0</v>
      </c>
      <c r="O67" s="1010">
        <f t="shared" si="26"/>
        <v>2424675500000</v>
      </c>
      <c r="P67" s="1010">
        <f t="shared" si="26"/>
        <v>2579366260000</v>
      </c>
      <c r="Q67" s="1010">
        <f t="shared" si="26"/>
        <v>2328932221000</v>
      </c>
      <c r="R67" s="1010">
        <f t="shared" si="26"/>
        <v>2657483478000</v>
      </c>
      <c r="S67" s="1010">
        <f t="shared" si="26"/>
        <v>3150878660000</v>
      </c>
      <c r="T67" s="1010">
        <f>T27-T28-T29</f>
        <v>2975379516000</v>
      </c>
      <c r="U67" s="969"/>
      <c r="V67" s="969"/>
      <c r="W67" s="969"/>
      <c r="X67" s="969"/>
    </row>
    <row r="68" spans="2:24">
      <c r="B68" s="981" t="s">
        <v>876</v>
      </c>
      <c r="C68" s="975"/>
      <c r="D68" s="995">
        <f>D30-D31-D34</f>
        <v>0</v>
      </c>
      <c r="E68" s="995">
        <f>E30-E31-E34</f>
        <v>0</v>
      </c>
      <c r="F68" s="995">
        <f t="shared" ref="F68:S68" si="27">F30-F31-F34</f>
        <v>0</v>
      </c>
      <c r="G68" s="995">
        <f t="shared" si="27"/>
        <v>0</v>
      </c>
      <c r="H68" s="995">
        <f t="shared" si="27"/>
        <v>0</v>
      </c>
      <c r="I68" s="995">
        <f t="shared" si="27"/>
        <v>0</v>
      </c>
      <c r="J68" s="995">
        <f t="shared" si="27"/>
        <v>0</v>
      </c>
      <c r="K68" s="995">
        <f t="shared" si="27"/>
        <v>0</v>
      </c>
      <c r="L68" s="995">
        <f t="shared" si="27"/>
        <v>0</v>
      </c>
      <c r="M68" s="995">
        <f t="shared" si="27"/>
        <v>0</v>
      </c>
      <c r="N68" s="995">
        <f t="shared" si="27"/>
        <v>0</v>
      </c>
      <c r="O68" s="1010">
        <f t="shared" si="27"/>
        <v>0</v>
      </c>
      <c r="P68" s="1010">
        <f>P30-P31-P34</f>
        <v>0</v>
      </c>
      <c r="Q68" s="1010">
        <f t="shared" si="27"/>
        <v>0</v>
      </c>
      <c r="R68" s="1010">
        <f t="shared" si="27"/>
        <v>2952759420000</v>
      </c>
      <c r="S68" s="1010">
        <f t="shared" si="27"/>
        <v>3623510458999.9995</v>
      </c>
      <c r="T68" s="1010">
        <f>T30-T31-T34</f>
        <v>3801873825999.9995</v>
      </c>
      <c r="U68" s="969"/>
      <c r="V68" s="969"/>
      <c r="W68" s="969"/>
      <c r="X68" s="969"/>
    </row>
    <row r="69" spans="2:24">
      <c r="B69" s="981" t="s">
        <v>1765</v>
      </c>
      <c r="C69" s="975"/>
      <c r="D69" s="995">
        <f>D31-D32-D33</f>
        <v>0</v>
      </c>
      <c r="E69" s="995">
        <f>E31-E32-E33</f>
        <v>0</v>
      </c>
      <c r="F69" s="995">
        <f>F31-F32-F33</f>
        <v>0</v>
      </c>
      <c r="G69" s="995">
        <f>G31-G32-G33</f>
        <v>0</v>
      </c>
      <c r="H69" s="995">
        <f>H31-H32-H33</f>
        <v>0</v>
      </c>
      <c r="I69" s="995">
        <f t="shared" ref="I69:S69" si="28">I31-I32-I33</f>
        <v>0</v>
      </c>
      <c r="J69" s="995">
        <f t="shared" si="28"/>
        <v>0</v>
      </c>
      <c r="K69" s="995">
        <f t="shared" si="28"/>
        <v>0</v>
      </c>
      <c r="L69" s="1003">
        <f>L31-L32-L33</f>
        <v>1969800000000</v>
      </c>
      <c r="M69" s="1003">
        <f t="shared" si="28"/>
        <v>2503800000000</v>
      </c>
      <c r="N69" s="1003">
        <f t="shared" si="28"/>
        <v>2328900000000</v>
      </c>
      <c r="O69" s="1134">
        <f t="shared" si="28"/>
        <v>2545200000000</v>
      </c>
      <c r="P69" s="1134">
        <f t="shared" si="28"/>
        <v>2709000000000</v>
      </c>
      <c r="Q69" s="1134">
        <f t="shared" si="28"/>
        <v>2743999999999.9995</v>
      </c>
      <c r="R69" s="1134">
        <f t="shared" si="28"/>
        <v>0</v>
      </c>
      <c r="S69" s="1134">
        <f t="shared" si="28"/>
        <v>0</v>
      </c>
      <c r="T69" s="1134">
        <f>T31-T32-T33</f>
        <v>0</v>
      </c>
      <c r="U69" s="969"/>
      <c r="V69" s="969"/>
      <c r="W69" s="969"/>
      <c r="X69" s="969"/>
    </row>
    <row r="70" spans="2:24">
      <c r="B70" s="981" t="s">
        <v>457</v>
      </c>
      <c r="C70" s="975"/>
      <c r="D70" s="995"/>
      <c r="E70" s="995"/>
      <c r="F70" s="995"/>
      <c r="G70" s="995"/>
      <c r="H70" s="995"/>
      <c r="I70" s="995"/>
      <c r="J70" s="995"/>
      <c r="K70" s="995"/>
      <c r="L70" s="995">
        <f>L43-L45-L49</f>
        <v>0</v>
      </c>
      <c r="M70" s="995">
        <f t="shared" ref="M70:S70" si="29">M43-M45-M49</f>
        <v>0</v>
      </c>
      <c r="N70" s="995">
        <f t="shared" si="29"/>
        <v>0</v>
      </c>
      <c r="O70" s="1010">
        <f t="shared" si="29"/>
        <v>0</v>
      </c>
      <c r="P70" s="1010">
        <f t="shared" si="29"/>
        <v>0</v>
      </c>
      <c r="Q70" s="1010">
        <f t="shared" si="29"/>
        <v>0</v>
      </c>
      <c r="R70" s="1010">
        <f t="shared" si="29"/>
        <v>0</v>
      </c>
      <c r="S70" s="1010">
        <f t="shared" si="29"/>
        <v>0</v>
      </c>
      <c r="T70" s="1010">
        <f>T43-T45-T49</f>
        <v>0</v>
      </c>
      <c r="U70" s="969"/>
      <c r="V70" s="969"/>
      <c r="W70" s="969"/>
      <c r="X70" s="969"/>
    </row>
    <row r="71" spans="2:24" ht="16.5" thickBot="1">
      <c r="B71" s="981"/>
      <c r="C71" s="975"/>
      <c r="F71" s="995"/>
      <c r="G71" s="995"/>
      <c r="H71" s="995"/>
      <c r="I71" s="995"/>
      <c r="J71" s="995"/>
      <c r="K71" s="995"/>
      <c r="L71" s="995"/>
      <c r="M71" s="995"/>
      <c r="N71" s="995"/>
      <c r="O71" s="995"/>
      <c r="P71" s="995"/>
      <c r="Q71" s="995"/>
      <c r="R71" s="995"/>
      <c r="S71" s="995"/>
      <c r="T71" s="969"/>
      <c r="U71" s="969"/>
      <c r="V71" s="969"/>
      <c r="W71" s="969"/>
      <c r="X71" s="969"/>
    </row>
    <row r="72" spans="2:24" ht="16.5" thickBot="1">
      <c r="B72" s="972" t="s">
        <v>150</v>
      </c>
      <c r="C72" s="975"/>
      <c r="D72" s="1135">
        <v>42070395000000</v>
      </c>
      <c r="E72" s="1136">
        <v>45261610000000</v>
      </c>
      <c r="F72" s="1136">
        <v>48296596000000</v>
      </c>
      <c r="G72" s="1136">
        <v>52614302000000</v>
      </c>
      <c r="H72" s="1136">
        <v>60508072000000</v>
      </c>
      <c r="I72" s="1136">
        <v>68884721999999.992</v>
      </c>
      <c r="J72" s="1136">
        <v>82045452000000</v>
      </c>
      <c r="K72" s="1136">
        <v>90431423000000</v>
      </c>
      <c r="L72" s="1136">
        <v>93818560000000</v>
      </c>
      <c r="M72" s="1136">
        <v>96325084000000</v>
      </c>
      <c r="N72" s="1136">
        <v>110881101000000</v>
      </c>
      <c r="O72" s="1136">
        <v>121233775000000</v>
      </c>
      <c r="P72" s="1136">
        <v>128968313000000</v>
      </c>
      <c r="Q72" s="1136">
        <v>136996013000000</v>
      </c>
      <c r="R72" s="1137">
        <v>147637971000000</v>
      </c>
      <c r="S72" s="1137">
        <v>157543933000000</v>
      </c>
      <c r="T72" s="1137">
        <v>165298862000000</v>
      </c>
      <c r="U72" s="1137">
        <v>171585351000000</v>
      </c>
      <c r="V72" s="1137">
        <v>187085225000000</v>
      </c>
      <c r="W72" s="1137">
        <v>199659345000000</v>
      </c>
      <c r="X72" s="1138">
        <v>213587164000000</v>
      </c>
    </row>
    <row r="73" spans="2:24">
      <c r="B73" s="981" t="s">
        <v>151</v>
      </c>
      <c r="C73" s="975"/>
      <c r="D73" s="1139">
        <f t="shared" ref="D73:S73" si="30">(D6/D72)*100</f>
        <v>21.799999999999994</v>
      </c>
      <c r="E73" s="1139">
        <f t="shared" si="30"/>
        <v>21.800000000000004</v>
      </c>
      <c r="F73" s="1139">
        <f t="shared" si="30"/>
        <v>20.323585537995264</v>
      </c>
      <c r="G73" s="1139">
        <f t="shared" si="30"/>
        <v>20.240884313166411</v>
      </c>
      <c r="H73" s="1139">
        <f t="shared" si="30"/>
        <v>21.197171841799882</v>
      </c>
      <c r="I73" s="1139">
        <f t="shared" si="30"/>
        <v>22.872415744089096</v>
      </c>
      <c r="J73" s="1139">
        <f t="shared" si="30"/>
        <v>24.464975828276259</v>
      </c>
      <c r="K73" s="1139">
        <f t="shared" si="30"/>
        <v>25.617201666725958</v>
      </c>
      <c r="L73" s="1139">
        <f t="shared" si="30"/>
        <v>24.295192763564057</v>
      </c>
      <c r="M73" s="1139">
        <f t="shared" si="30"/>
        <v>19.095026171998978</v>
      </c>
      <c r="N73" s="1139">
        <f t="shared" si="30"/>
        <v>21.503664542436322</v>
      </c>
      <c r="O73" s="1139">
        <f t="shared" si="30"/>
        <v>22.793648057234876</v>
      </c>
      <c r="P73" s="1139">
        <f t="shared" si="30"/>
        <v>22.305479021036742</v>
      </c>
      <c r="Q73" s="1139">
        <f t="shared" si="30"/>
        <v>21.13141789024181</v>
      </c>
      <c r="R73" s="1139">
        <f t="shared" si="30"/>
        <v>20.599999999999998</v>
      </c>
      <c r="S73" s="1139">
        <f t="shared" si="30"/>
        <v>21.3</v>
      </c>
      <c r="T73" s="1139">
        <f>(T6/T72)*100</f>
        <v>21.099999999999998</v>
      </c>
      <c r="W73" s="969"/>
      <c r="X73" s="969"/>
    </row>
    <row r="74" spans="2:24">
      <c r="B74" s="981" t="s">
        <v>152</v>
      </c>
      <c r="C74" s="975"/>
      <c r="D74" s="1139">
        <f t="shared" ref="D74:S74" si="31">(D19/D72)*100</f>
        <v>22.8</v>
      </c>
      <c r="E74" s="1139">
        <f t="shared" si="31"/>
        <v>22.8</v>
      </c>
      <c r="F74" s="1139">
        <f t="shared" si="31"/>
        <v>21.37811120270257</v>
      </c>
      <c r="G74" s="1139">
        <f t="shared" si="31"/>
        <v>20.33819625697971</v>
      </c>
      <c r="H74" s="1139">
        <f t="shared" si="31"/>
        <v>19.173805438718986</v>
      </c>
      <c r="I74" s="1139">
        <f t="shared" si="31"/>
        <v>18.355594147567295</v>
      </c>
      <c r="J74" s="1139">
        <f t="shared" si="31"/>
        <v>17.163413274875982</v>
      </c>
      <c r="K74" s="1139">
        <f t="shared" si="31"/>
        <v>17.83716264201659</v>
      </c>
      <c r="L74" s="1139">
        <f t="shared" si="31"/>
        <v>20.395964295337723</v>
      </c>
      <c r="M74" s="1139">
        <f t="shared" si="31"/>
        <v>23.593854327705543</v>
      </c>
      <c r="N74" s="1139">
        <f t="shared" si="31"/>
        <v>22.00374976435344</v>
      </c>
      <c r="O74" s="1139">
        <f t="shared" si="31"/>
        <v>21.494567417371933</v>
      </c>
      <c r="P74" s="1139">
        <f t="shared" si="31"/>
        <v>21.804864781010199</v>
      </c>
      <c r="Q74" s="1139">
        <f t="shared" si="31"/>
        <v>21.729779990750533</v>
      </c>
      <c r="R74" s="1139">
        <f t="shared" si="31"/>
        <v>22.3</v>
      </c>
      <c r="S74" s="1139">
        <f t="shared" si="31"/>
        <v>23.5</v>
      </c>
      <c r="T74" s="1139">
        <f>(T19/T72)*100</f>
        <v>24.099999999999998</v>
      </c>
      <c r="W74" s="969"/>
      <c r="X74" s="969"/>
    </row>
    <row r="75" spans="2:24">
      <c r="B75" s="981" t="s">
        <v>1766</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6"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69" t="s">
        <v>1767</v>
      </c>
      <c r="B1" s="82" t="s">
        <v>1768</v>
      </c>
      <c r="C1" s="82"/>
      <c r="D1" s="27"/>
      <c r="E1" s="27"/>
      <c r="F1" s="27"/>
      <c r="G1" s="27"/>
      <c r="H1" s="27"/>
      <c r="I1" s="27"/>
      <c r="J1" s="27"/>
      <c r="K1" s="27"/>
      <c r="L1" s="27"/>
      <c r="M1" s="27"/>
      <c r="N1" s="27"/>
      <c r="O1" s="28"/>
      <c r="P1" s="28"/>
      <c r="Q1" s="28"/>
      <c r="R1" s="29"/>
      <c r="S1" s="28"/>
      <c r="T1" s="28"/>
      <c r="U1" s="28"/>
      <c r="V1" s="28"/>
      <c r="W1" s="28"/>
      <c r="X1" s="2"/>
    </row>
    <row r="2" spans="1:24">
      <c r="B2" s="30" t="s">
        <v>1769</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1498</v>
      </c>
      <c r="B6" s="239" t="s">
        <v>33</v>
      </c>
      <c r="C6" s="18" t="s">
        <v>35</v>
      </c>
      <c r="D6" s="168"/>
      <c r="E6" s="168"/>
      <c r="F6" s="168"/>
      <c r="G6" s="168"/>
      <c r="H6" s="168"/>
      <c r="I6" s="168">
        <f>I7+I20</f>
        <v>3184000000000</v>
      </c>
      <c r="J6" s="168">
        <f>J7+J20</f>
        <v>3944000000000</v>
      </c>
      <c r="K6" s="168">
        <f>K7+K20</f>
        <v>5255000000000</v>
      </c>
      <c r="L6" s="168">
        <v>7156660000000</v>
      </c>
      <c r="M6" s="168">
        <v>8310115000000</v>
      </c>
      <c r="N6" s="488">
        <v>10103000000000</v>
      </c>
      <c r="O6" s="488">
        <v>13081000000000</v>
      </c>
      <c r="P6" s="488">
        <v>15016000000000</v>
      </c>
      <c r="Q6" s="488">
        <v>16538000000000</v>
      </c>
      <c r="R6" s="488">
        <v>18156000000000</v>
      </c>
      <c r="S6" s="488">
        <v>19970000000000</v>
      </c>
      <c r="T6" s="488">
        <v>20831000000000</v>
      </c>
      <c r="U6" s="488">
        <v>22230000000000</v>
      </c>
      <c r="V6" s="488">
        <v>23813000000000</v>
      </c>
      <c r="W6" s="488">
        <v>25480000000000</v>
      </c>
      <c r="X6" s="488">
        <v>27385000000000</v>
      </c>
    </row>
    <row r="7" spans="1:24" ht="16.5">
      <c r="A7" s="139" t="s">
        <v>36</v>
      </c>
      <c r="B7" s="139" t="s">
        <v>36</v>
      </c>
      <c r="C7" s="345" t="s">
        <v>38</v>
      </c>
      <c r="D7" s="293"/>
      <c r="E7" s="293"/>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3"/>
      <c r="E8" s="293"/>
      <c r="F8" s="178"/>
      <c r="G8" s="178"/>
      <c r="H8" s="178"/>
      <c r="I8" s="125">
        <v>2878000000000</v>
      </c>
      <c r="J8" s="142">
        <v>3480000000000</v>
      </c>
      <c r="K8" s="142">
        <v>4562000000000</v>
      </c>
      <c r="L8" s="415"/>
      <c r="M8" s="415"/>
      <c r="N8" s="604"/>
      <c r="O8" s="604"/>
      <c r="P8" s="604"/>
      <c r="Q8" s="604"/>
      <c r="R8" s="604"/>
      <c r="S8" s="604"/>
      <c r="T8" s="604"/>
      <c r="U8" s="604"/>
      <c r="V8" s="604"/>
      <c r="W8" s="545"/>
      <c r="X8" s="605"/>
    </row>
    <row r="9" spans="1:24" ht="16.5">
      <c r="A9" s="99" t="s">
        <v>317</v>
      </c>
      <c r="B9" s="99" t="s">
        <v>318</v>
      </c>
      <c r="C9" s="27" t="s">
        <v>44</v>
      </c>
      <c r="D9" s="293"/>
      <c r="E9" s="293"/>
      <c r="F9" s="178"/>
      <c r="G9" s="178"/>
      <c r="H9" s="178"/>
      <c r="I9" s="125">
        <v>750000000000</v>
      </c>
      <c r="J9" s="142">
        <v>954000000000</v>
      </c>
      <c r="K9" s="142">
        <v>1196000000000</v>
      </c>
      <c r="L9" s="415"/>
      <c r="M9" s="415"/>
      <c r="N9" s="604"/>
      <c r="O9" s="604"/>
      <c r="P9" s="604"/>
      <c r="Q9" s="604"/>
      <c r="R9" s="604"/>
      <c r="S9" s="604"/>
      <c r="T9" s="604"/>
      <c r="U9" s="604"/>
      <c r="V9" s="604"/>
      <c r="W9" s="545"/>
      <c r="X9" s="605"/>
    </row>
    <row r="10" spans="1:24" ht="16.5">
      <c r="A10" s="99" t="s">
        <v>47</v>
      </c>
      <c r="B10" s="99" t="s">
        <v>320</v>
      </c>
      <c r="C10" s="27" t="s">
        <v>44</v>
      </c>
      <c r="D10" s="293"/>
      <c r="E10" s="293"/>
      <c r="F10" s="178"/>
      <c r="G10" s="178"/>
      <c r="H10" s="178"/>
      <c r="I10" s="125">
        <v>1666000000000</v>
      </c>
      <c r="J10" s="142">
        <v>1980000000000</v>
      </c>
      <c r="K10" s="142">
        <v>2426000000000</v>
      </c>
      <c r="L10" s="415"/>
      <c r="M10" s="415"/>
      <c r="N10" s="604"/>
      <c r="O10" s="604"/>
      <c r="P10" s="604"/>
      <c r="Q10" s="604"/>
      <c r="R10" s="604"/>
      <c r="S10" s="604"/>
      <c r="T10" s="604"/>
      <c r="U10" s="604"/>
      <c r="V10" s="604"/>
      <c r="W10" s="545"/>
      <c r="X10" s="605"/>
    </row>
    <row r="11" spans="1:24" ht="16.5">
      <c r="A11" s="99" t="s">
        <v>1770</v>
      </c>
      <c r="B11" s="99" t="s">
        <v>1771</v>
      </c>
      <c r="C11" s="27" t="s">
        <v>44</v>
      </c>
      <c r="D11" s="293"/>
      <c r="E11" s="293"/>
      <c r="F11" s="178"/>
      <c r="G11" s="178"/>
      <c r="H11" s="178"/>
      <c r="I11" s="125">
        <v>339000000000</v>
      </c>
      <c r="J11" s="142">
        <v>424000000000</v>
      </c>
      <c r="K11" s="142">
        <v>745000000000</v>
      </c>
      <c r="L11" s="415"/>
      <c r="M11" s="415"/>
      <c r="N11" s="604"/>
      <c r="O11" s="604"/>
      <c r="P11" s="604"/>
      <c r="Q11" s="604"/>
      <c r="R11" s="604"/>
      <c r="S11" s="604"/>
      <c r="T11" s="604"/>
      <c r="U11" s="604"/>
      <c r="V11" s="604"/>
      <c r="W11" s="545"/>
      <c r="X11" s="605"/>
    </row>
    <row r="12" spans="1:24">
      <c r="A12" s="99" t="s">
        <v>49</v>
      </c>
      <c r="B12" s="99" t="s">
        <v>1772</v>
      </c>
      <c r="C12" s="27" t="s">
        <v>44</v>
      </c>
      <c r="D12" s="293"/>
      <c r="E12" s="293"/>
      <c r="F12" s="178"/>
      <c r="G12" s="178"/>
      <c r="H12" s="178"/>
      <c r="I12" s="125">
        <f>I8-I9-I10-I11</f>
        <v>123000000000</v>
      </c>
      <c r="J12" s="125">
        <f t="shared" ref="J12:K12" si="1">J8-J9-J10-J11</f>
        <v>122000000000</v>
      </c>
      <c r="K12" s="125">
        <f t="shared" si="1"/>
        <v>195000000000</v>
      </c>
      <c r="L12" s="416"/>
      <c r="M12" s="416"/>
      <c r="N12" s="237"/>
      <c r="O12" s="237"/>
      <c r="P12" s="237"/>
      <c r="Q12" s="237"/>
      <c r="R12" s="237"/>
      <c r="S12" s="237"/>
      <c r="T12" s="237"/>
      <c r="U12" s="237"/>
      <c r="V12" s="237"/>
      <c r="W12" s="545"/>
      <c r="X12" s="605"/>
    </row>
    <row r="13" spans="1:24" ht="16.5">
      <c r="A13" s="90" t="s">
        <v>1773</v>
      </c>
      <c r="B13" s="90" t="s">
        <v>1774</v>
      </c>
      <c r="C13" s="58" t="s">
        <v>41</v>
      </c>
      <c r="D13" s="293"/>
      <c r="E13" s="293"/>
      <c r="F13" s="178"/>
      <c r="G13" s="178"/>
      <c r="H13" s="178"/>
      <c r="I13" s="125">
        <v>306000000000</v>
      </c>
      <c r="J13" s="142">
        <v>464000000000</v>
      </c>
      <c r="K13" s="142">
        <v>693000000000</v>
      </c>
      <c r="L13" s="142"/>
      <c r="M13" s="142"/>
      <c r="N13" s="604"/>
      <c r="O13" s="604"/>
      <c r="P13" s="604"/>
      <c r="Q13" s="604"/>
      <c r="R13" s="604"/>
      <c r="S13" s="604"/>
      <c r="T13" s="604"/>
      <c r="U13" s="604"/>
      <c r="V13" s="604"/>
      <c r="W13" s="545"/>
      <c r="X13" s="605"/>
    </row>
    <row r="14" spans="1:24" ht="16.5">
      <c r="B14" t="s">
        <v>1775</v>
      </c>
      <c r="F14" s="415"/>
      <c r="G14" s="415"/>
      <c r="H14" s="237"/>
      <c r="L14" s="415"/>
      <c r="M14" s="415"/>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1776</v>
      </c>
      <c r="F15" s="415"/>
      <c r="G15" s="415"/>
      <c r="H15" s="237"/>
      <c r="L15" s="415"/>
      <c r="M15" s="415"/>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1777</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1778</v>
      </c>
      <c r="F17" s="142"/>
      <c r="G17" s="142"/>
      <c r="H17" s="237"/>
      <c r="L17" s="142"/>
      <c r="M17" s="142"/>
      <c r="N17" s="237">
        <v>10000000000</v>
      </c>
      <c r="O17" s="237">
        <v>150000000000</v>
      </c>
      <c r="P17" s="237">
        <v>295000000000</v>
      </c>
      <c r="Q17" s="237">
        <v>115000000000</v>
      </c>
      <c r="R17" s="237">
        <v>100000000000</v>
      </c>
      <c r="S17" s="604">
        <v>110000000000</v>
      </c>
      <c r="T17" s="604">
        <v>121000000000</v>
      </c>
      <c r="U17" s="604">
        <v>133000000000</v>
      </c>
      <c r="V17" s="604">
        <v>146000000000</v>
      </c>
      <c r="W17" s="545">
        <v>161000000000</v>
      </c>
      <c r="X17" s="605">
        <v>177000000000</v>
      </c>
    </row>
    <row r="18" spans="1:24" ht="16.5">
      <c r="B18" s="90" t="s">
        <v>922</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1779</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5" t="s">
        <v>38</v>
      </c>
      <c r="D20" s="293"/>
      <c r="E20" s="293"/>
      <c r="F20" s="178"/>
      <c r="G20" s="178"/>
      <c r="H20" s="178"/>
      <c r="I20" s="125">
        <v>0</v>
      </c>
      <c r="J20" s="125">
        <v>0</v>
      </c>
      <c r="K20" s="125">
        <v>0</v>
      </c>
      <c r="L20" s="125">
        <v>0</v>
      </c>
      <c r="M20" s="125">
        <v>0</v>
      </c>
      <c r="N20" s="604">
        <v>0</v>
      </c>
      <c r="O20" s="604">
        <v>0</v>
      </c>
      <c r="P20" s="604">
        <v>0</v>
      </c>
      <c r="Q20" s="604">
        <v>0</v>
      </c>
      <c r="R20" s="604">
        <v>0</v>
      </c>
      <c r="S20" s="604">
        <v>0</v>
      </c>
      <c r="T20" s="604">
        <v>0</v>
      </c>
      <c r="U20" s="604">
        <v>0</v>
      </c>
      <c r="V20" s="604">
        <v>0</v>
      </c>
      <c r="W20" s="604">
        <v>0</v>
      </c>
      <c r="X20" s="604">
        <v>0</v>
      </c>
    </row>
    <row r="21" spans="1:24" s="9" customFormat="1" ht="16.5">
      <c r="A21" s="9" t="s">
        <v>198</v>
      </c>
      <c r="B21" s="148" t="s">
        <v>535</v>
      </c>
      <c r="C21" s="18" t="s">
        <v>35</v>
      </c>
      <c r="D21" s="294"/>
      <c r="E21" s="294"/>
      <c r="F21" s="263"/>
      <c r="G21" s="263"/>
      <c r="H21" s="263"/>
      <c r="I21" s="295">
        <v>3441000000000</v>
      </c>
      <c r="J21" s="304">
        <v>4090000000000</v>
      </c>
      <c r="K21" s="304">
        <v>5023000000000</v>
      </c>
      <c r="L21" s="304">
        <v>7164539000000</v>
      </c>
      <c r="M21" s="304">
        <v>8928897000000</v>
      </c>
      <c r="N21" s="295">
        <v>9675000000000</v>
      </c>
      <c r="O21" s="295">
        <v>13922000000000</v>
      </c>
      <c r="P21" s="295">
        <v>16465000000000</v>
      </c>
      <c r="Q21" s="295">
        <v>18801000000000</v>
      </c>
      <c r="R21" s="295">
        <v>20587000000000</v>
      </c>
      <c r="S21" s="295">
        <v>22774000000000</v>
      </c>
      <c r="T21" s="295">
        <v>24158000000000</v>
      </c>
      <c r="U21" s="295">
        <v>25642000000000</v>
      </c>
      <c r="V21" s="295">
        <v>27433000000000</v>
      </c>
      <c r="W21" s="295">
        <v>29304000000000</v>
      </c>
      <c r="X21" s="295">
        <v>31313000000000</v>
      </c>
    </row>
    <row r="22" spans="1:24" ht="16.5">
      <c r="A22" s="139" t="s">
        <v>1780</v>
      </c>
      <c r="B22" s="139" t="s">
        <v>1781</v>
      </c>
      <c r="C22" s="58" t="s">
        <v>201</v>
      </c>
      <c r="D22" s="293"/>
      <c r="E22" s="293"/>
      <c r="F22" s="178"/>
      <c r="G22" s="178"/>
      <c r="H22" s="178"/>
      <c r="I22" s="125">
        <v>3360000000000</v>
      </c>
      <c r="J22" s="142">
        <v>3993000000000</v>
      </c>
      <c r="K22" s="142">
        <v>4917000000000</v>
      </c>
      <c r="L22" s="142"/>
      <c r="M22" s="142"/>
      <c r="N22" s="142"/>
      <c r="O22" s="142"/>
      <c r="P22" s="142"/>
      <c r="Q22" s="142"/>
      <c r="R22" s="142"/>
      <c r="S22" s="142"/>
      <c r="T22" s="142"/>
      <c r="U22" s="142"/>
      <c r="V22" s="142"/>
      <c r="W22" s="298"/>
      <c r="X22" s="389"/>
    </row>
    <row r="23" spans="1:24" ht="18.75" customHeight="1">
      <c r="A23" s="139" t="s">
        <v>91</v>
      </c>
      <c r="B23" s="139" t="s">
        <v>91</v>
      </c>
      <c r="C23" s="58" t="s">
        <v>201</v>
      </c>
      <c r="D23" s="293"/>
      <c r="E23" s="293"/>
      <c r="F23" s="178"/>
      <c r="G23" s="178"/>
      <c r="H23" s="178"/>
      <c r="I23" s="125">
        <v>82000000000</v>
      </c>
      <c r="J23" s="142">
        <v>98000000000</v>
      </c>
      <c r="K23" s="142">
        <v>105000000000</v>
      </c>
      <c r="L23" s="142"/>
      <c r="M23" s="142"/>
      <c r="N23" s="125"/>
      <c r="O23" s="142"/>
      <c r="P23" s="142"/>
      <c r="Q23" s="142"/>
      <c r="R23" s="142"/>
      <c r="S23" s="142"/>
      <c r="T23" s="142"/>
      <c r="U23" s="142"/>
      <c r="V23" s="142"/>
      <c r="W23" s="298"/>
      <c r="X23" s="389"/>
    </row>
    <row r="24" spans="1:24" ht="18.75" customHeight="1">
      <c r="B24" t="s">
        <v>1782</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1783</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1784</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1785</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8">
        <v>241000000000</v>
      </c>
      <c r="X27" s="389">
        <v>241000000000</v>
      </c>
    </row>
    <row r="28" spans="1:24" ht="18.75" customHeight="1">
      <c r="B28" t="s">
        <v>1786</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8">
        <v>150000000000</v>
      </c>
      <c r="X28" s="389">
        <v>150000000000</v>
      </c>
    </row>
    <row r="29" spans="1:24" ht="18.75" customHeight="1">
      <c r="B29" t="s">
        <v>1787</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1788</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8">
        <v>0</v>
      </c>
      <c r="X30" s="389">
        <v>0</v>
      </c>
    </row>
    <row r="31" spans="1:24" ht="18.75" customHeight="1">
      <c r="B31" t="s">
        <v>1789</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8">
        <v>0</v>
      </c>
    </row>
    <row r="32" spans="1:24" ht="18.75" customHeight="1">
      <c r="B32" t="s">
        <v>1790</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8">
        <v>125000000000</v>
      </c>
      <c r="X32" s="389">
        <v>138000000000</v>
      </c>
    </row>
    <row r="33" spans="1:24" ht="18.75" customHeight="1">
      <c r="B33" t="s">
        <v>1791</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1792</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1793</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3"/>
      <c r="E37" s="293"/>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4"/>
      <c r="E38" s="294"/>
      <c r="F38" s="263"/>
      <c r="G38" s="263"/>
      <c r="H38" s="263"/>
      <c r="I38" s="295">
        <v>257000000000</v>
      </c>
      <c r="J38" s="304">
        <v>146000000000</v>
      </c>
      <c r="K38" s="304">
        <v>-233000000000</v>
      </c>
      <c r="L38" s="304">
        <v>7880000000</v>
      </c>
      <c r="M38" s="304">
        <v>618782000000</v>
      </c>
      <c r="N38" s="295">
        <v>-619000000000</v>
      </c>
      <c r="O38" s="295">
        <v>-497000000000</v>
      </c>
      <c r="P38" s="295">
        <v>265000000000</v>
      </c>
      <c r="Q38" s="295">
        <v>100000000000</v>
      </c>
      <c r="R38" s="295">
        <v>-516000000000</v>
      </c>
      <c r="S38" s="295">
        <v>-652000000000</v>
      </c>
      <c r="T38" s="295">
        <v>-537000000000</v>
      </c>
      <c r="U38" s="295">
        <v>-617000000000</v>
      </c>
      <c r="V38" s="295">
        <v>-638000000000</v>
      </c>
      <c r="W38" s="295">
        <v>-576000000000</v>
      </c>
      <c r="X38" s="295">
        <v>-543000000000</v>
      </c>
    </row>
    <row r="39" spans="1:24" ht="16.5">
      <c r="A39" t="s">
        <v>120</v>
      </c>
      <c r="B39" s="139" t="s">
        <v>209</v>
      </c>
      <c r="C39" s="58" t="s">
        <v>252</v>
      </c>
      <c r="D39" s="293"/>
      <c r="E39" s="293"/>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3"/>
      <c r="E40" s="293"/>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1794</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1760</v>
      </c>
      <c r="M44" t="s">
        <v>1760</v>
      </c>
    </row>
    <row r="45" spans="1:24" ht="16.5">
      <c r="B45" s="139"/>
      <c r="C45" s="34"/>
      <c r="W45" s="28"/>
      <c r="X45" s="2"/>
    </row>
    <row r="46" spans="1:24" ht="16.5">
      <c r="B46" s="139" t="s">
        <v>1700</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1795</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623</v>
      </c>
      <c r="D54" s="22">
        <v>10057680000000</v>
      </c>
      <c r="E54" s="23">
        <v>11125020000000</v>
      </c>
      <c r="F54" s="23">
        <v>12229210000000</v>
      </c>
      <c r="G54" s="23">
        <v>13831470000000</v>
      </c>
      <c r="H54" s="23">
        <v>16274210000000</v>
      </c>
      <c r="I54" s="23">
        <v>18919040000000</v>
      </c>
      <c r="J54" s="23">
        <v>22120650000000</v>
      </c>
      <c r="K54" s="630">
        <v>27169930000000</v>
      </c>
      <c r="L54" s="267">
        <v>31717205000000</v>
      </c>
      <c r="M54" s="267">
        <v>34643119000000</v>
      </c>
      <c r="N54" s="606">
        <v>40658091000000</v>
      </c>
      <c r="O54" s="606">
        <v>48086072000000</v>
      </c>
      <c r="P54" s="606">
        <v>53474450000000</v>
      </c>
      <c r="Q54" s="606">
        <v>58973720000000</v>
      </c>
      <c r="R54" s="606">
        <v>64069690000000</v>
      </c>
      <c r="S54" s="606">
        <v>68392452999999.992</v>
      </c>
      <c r="T54" s="606">
        <v>73121706000000</v>
      </c>
      <c r="U54" s="606">
        <v>78249448000000</v>
      </c>
      <c r="V54" s="606">
        <v>83969141000000</v>
      </c>
      <c r="W54" s="606">
        <v>90479911000000</v>
      </c>
      <c r="X54" s="606">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1766</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D15" activePane="bottomRight" state="frozen"/>
      <selection pane="topRight" activeCell="R7" sqref="R7"/>
      <selection pane="bottomLeft" activeCell="R7" sqref="R7"/>
      <selection pane="bottomRight" activeCell="G19" sqref="D19:G19"/>
    </sheetView>
  </sheetViews>
  <sheetFormatPr defaultRowHeight="15"/>
  <cols>
    <col min="1" max="1" width="23.140625" customWidth="1"/>
    <col min="2" max="2" width="46.7109375" bestFit="1" customWidth="1"/>
    <col min="3" max="3" width="22.42578125" bestFit="1" customWidth="1"/>
    <col min="4" max="4" width="21.42578125" bestFit="1" customWidth="1"/>
    <col min="5" max="8" width="22.5703125" bestFit="1" customWidth="1"/>
    <col min="9" max="9" width="21.42578125" bestFit="1" customWidth="1"/>
    <col min="10" max="10" width="23.7109375" bestFit="1" customWidth="1"/>
    <col min="11" max="13" width="22.42578125" bestFit="1" customWidth="1"/>
    <col min="14"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69" t="s">
        <v>1796</v>
      </c>
      <c r="B1" s="82" t="s">
        <v>1797</v>
      </c>
      <c r="C1" s="82"/>
      <c r="D1" s="27"/>
      <c r="E1" s="27"/>
      <c r="F1" s="27"/>
      <c r="G1" s="27"/>
      <c r="H1" s="27"/>
      <c r="I1" s="27"/>
      <c r="J1" s="27"/>
      <c r="K1" s="27"/>
      <c r="L1" s="27"/>
      <c r="M1" s="27"/>
      <c r="N1" s="27"/>
      <c r="O1" s="28"/>
      <c r="P1" s="28"/>
      <c r="Q1" s="28"/>
      <c r="W1" s="154"/>
      <c r="X1" s="154"/>
      <c r="Y1" s="154"/>
      <c r="Z1" s="154"/>
      <c r="AA1" s="154"/>
    </row>
    <row r="2" spans="1:57">
      <c r="B2" s="30" t="s">
        <v>1798</v>
      </c>
      <c r="C2" s="30"/>
      <c r="D2" s="28"/>
      <c r="E2" s="28"/>
      <c r="F2" s="28"/>
      <c r="G2" s="28"/>
      <c r="H2" s="28"/>
      <c r="I2" s="28"/>
      <c r="J2" s="28"/>
      <c r="K2" s="28"/>
      <c r="L2" s="28"/>
      <c r="M2" s="28"/>
      <c r="N2" s="28"/>
      <c r="O2" s="28"/>
      <c r="P2" s="28"/>
      <c r="Q2" s="28"/>
      <c r="R2" s="28"/>
      <c r="S2" s="28"/>
      <c r="T2" s="28"/>
      <c r="U2" s="28"/>
      <c r="V2" s="28"/>
      <c r="W2" s="28"/>
      <c r="X2" s="28"/>
      <c r="Y2" s="28"/>
      <c r="Z2" s="28"/>
      <c r="AA2" s="28"/>
      <c r="AB2" s="2463"/>
      <c r="AC2" s="2463"/>
      <c r="AD2" s="2463"/>
      <c r="AE2" s="2463"/>
      <c r="AF2" s="2463"/>
      <c r="AG2" s="2463"/>
      <c r="AH2" s="2463"/>
      <c r="AI2" s="2463"/>
      <c r="AJ2" s="2463"/>
      <c r="AK2" s="2463"/>
      <c r="AL2" s="2463"/>
      <c r="AM2" s="2463"/>
      <c r="AN2" s="2463"/>
      <c r="AO2" s="2463"/>
      <c r="AP2" s="2463"/>
      <c r="AQ2" s="2463"/>
      <c r="AR2" s="2463"/>
      <c r="AS2" s="2463"/>
      <c r="AT2" s="2463"/>
      <c r="AU2" s="2463"/>
      <c r="AV2" s="2463"/>
      <c r="AW2" s="2463"/>
      <c r="AX2" s="2463"/>
      <c r="AY2" s="2463"/>
      <c r="AZ2" s="2463"/>
      <c r="BA2" s="2463"/>
      <c r="BB2" s="2463"/>
      <c r="BC2" s="2463"/>
      <c r="BD2" s="2463"/>
      <c r="BE2" s="2463"/>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463"/>
      <c r="AC3" s="2463"/>
      <c r="AD3" s="2463"/>
      <c r="AE3" s="2463"/>
      <c r="AF3" s="2463"/>
      <c r="AG3" s="2463"/>
      <c r="AH3" s="2463"/>
      <c r="AI3" s="2463"/>
      <c r="AJ3" s="2463"/>
      <c r="AK3" s="2463"/>
      <c r="AL3" s="2463"/>
      <c r="AM3" s="2463"/>
      <c r="AN3" s="2463"/>
      <c r="AO3" s="2463"/>
      <c r="AP3" s="2463"/>
      <c r="AQ3" s="2463"/>
      <c r="AR3" s="2463"/>
      <c r="AS3" s="2463"/>
      <c r="AT3" s="2463"/>
      <c r="AU3" s="2463"/>
      <c r="AV3" s="2463"/>
      <c r="AW3" s="2463"/>
      <c r="AX3" s="2463"/>
      <c r="AY3" s="2463"/>
      <c r="AZ3" s="2463"/>
      <c r="BA3" s="2463"/>
      <c r="BB3" s="2463"/>
      <c r="BC3" s="2463"/>
      <c r="BD3" s="2463"/>
      <c r="BE3" s="2463"/>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7093</v>
      </c>
      <c r="AB4" s="2463"/>
      <c r="AC4" s="2463"/>
      <c r="AD4" s="2463"/>
      <c r="AE4" s="2463"/>
      <c r="AF4" s="2463"/>
      <c r="AG4" s="2463"/>
      <c r="AH4" s="2463"/>
      <c r="AI4" s="2463"/>
      <c r="AJ4" s="2463"/>
      <c r="AK4" s="2463"/>
      <c r="AL4" s="2463"/>
      <c r="AM4" s="2463"/>
      <c r="AN4" s="2463"/>
      <c r="AO4" s="2463"/>
      <c r="AP4" s="2463"/>
      <c r="AQ4" s="2463"/>
      <c r="AR4" s="2463"/>
      <c r="AS4" s="2463"/>
      <c r="AT4" s="2463"/>
      <c r="AU4" s="2463"/>
      <c r="AV4" s="2463"/>
      <c r="AW4" s="2463"/>
      <c r="AX4" s="2463"/>
      <c r="AY4" s="2463"/>
      <c r="AZ4" s="2463"/>
      <c r="BA4" s="2463"/>
      <c r="BB4" s="2463"/>
      <c r="BC4" s="2463"/>
      <c r="BD4" s="2463"/>
      <c r="BE4" s="2463"/>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463"/>
      <c r="AC5" s="2463"/>
      <c r="AD5" s="2463"/>
      <c r="AE5" s="2463"/>
      <c r="AF5" s="2463"/>
      <c r="AG5" s="2463"/>
      <c r="AH5" s="2463"/>
      <c r="AI5" s="2463"/>
      <c r="AJ5" s="2463"/>
      <c r="AK5" s="2463"/>
      <c r="AL5" s="2463"/>
      <c r="AM5" s="2463"/>
      <c r="AN5" s="2463"/>
      <c r="AO5" s="2463"/>
      <c r="AP5" s="2463"/>
      <c r="AQ5" s="2463"/>
      <c r="AR5" s="2463"/>
      <c r="AS5" s="2463"/>
      <c r="AT5" s="2463"/>
      <c r="AU5" s="2463"/>
      <c r="AV5" s="2463"/>
      <c r="AW5" s="2463"/>
      <c r="AX5" s="2463"/>
      <c r="AY5" s="2463"/>
      <c r="AZ5" s="2463"/>
      <c r="BA5" s="2463"/>
      <c r="BB5" s="2463"/>
      <c r="BC5" s="2463"/>
      <c r="BD5" s="2463"/>
      <c r="BE5" s="2463"/>
    </row>
    <row r="6" spans="1:57" s="371" customFormat="1">
      <c r="A6" s="402" t="s">
        <v>33</v>
      </c>
      <c r="B6" s="402" t="s">
        <v>449</v>
      </c>
      <c r="C6" s="55" t="s">
        <v>35</v>
      </c>
      <c r="D6" s="403">
        <f t="shared" ref="D6:P6" si="0">D7+D18</f>
        <v>58388680000000</v>
      </c>
      <c r="E6" s="403">
        <f t="shared" si="0"/>
        <v>66626045000000.016</v>
      </c>
      <c r="F6" s="403">
        <f t="shared" si="0"/>
        <v>72124962000000</v>
      </c>
      <c r="G6" s="403">
        <f t="shared" si="0"/>
        <v>81703500000000</v>
      </c>
      <c r="H6" s="403">
        <f t="shared" si="0"/>
        <v>92944124000000</v>
      </c>
      <c r="I6" s="403">
        <f t="shared" si="0"/>
        <v>88780716000000</v>
      </c>
      <c r="J6" s="403">
        <f t="shared" si="0"/>
        <v>104745000000000</v>
      </c>
      <c r="K6" s="403">
        <f t="shared" si="0"/>
        <v>117200000000000</v>
      </c>
      <c r="L6" s="403">
        <f t="shared" si="0"/>
        <v>126266300000000</v>
      </c>
      <c r="M6" s="403">
        <f t="shared" si="0"/>
        <v>134728200000000.02</v>
      </c>
      <c r="N6" s="403">
        <f t="shared" si="0"/>
        <v>142200000000000</v>
      </c>
      <c r="O6" s="403">
        <f t="shared" si="0"/>
        <v>165700000000000</v>
      </c>
      <c r="P6" s="403">
        <f t="shared" si="0"/>
        <v>188600000000000</v>
      </c>
      <c r="Q6" s="403">
        <f>Q7</f>
        <v>199650500000000</v>
      </c>
      <c r="R6" s="403">
        <f t="shared" ref="R6:T6" si="1">R7</f>
        <v>211230900000000</v>
      </c>
      <c r="S6" s="403">
        <f t="shared" si="1"/>
        <v>213413100000000</v>
      </c>
      <c r="T6" s="403">
        <f t="shared" si="1"/>
        <v>217400400000000</v>
      </c>
      <c r="U6" s="403">
        <f>U7+U18</f>
        <v>236337500000000</v>
      </c>
      <c r="V6" s="403">
        <f t="shared" ref="V6:AA6" si="2">V7+V18</f>
        <v>250841500000000</v>
      </c>
      <c r="W6" s="403">
        <f t="shared" si="2"/>
        <v>268699500000000</v>
      </c>
      <c r="X6" s="403">
        <f t="shared" si="2"/>
        <v>293459699999999.94</v>
      </c>
      <c r="Y6" s="403">
        <f t="shared" si="2"/>
        <v>314471200000000</v>
      </c>
      <c r="Z6" s="403">
        <f t="shared" si="2"/>
        <v>332899000000000</v>
      </c>
      <c r="AA6" s="403">
        <f t="shared" si="2"/>
        <v>351052400000000</v>
      </c>
      <c r="AB6" s="2463"/>
      <c r="AC6" s="2463"/>
      <c r="AD6" s="2463"/>
      <c r="AE6" s="2463"/>
      <c r="AF6" s="2463"/>
      <c r="AG6" s="2463"/>
      <c r="AH6" s="2463"/>
      <c r="AI6" s="2463"/>
      <c r="AJ6" s="2463"/>
      <c r="AK6" s="2463"/>
      <c r="AL6" s="2463"/>
      <c r="AM6" s="2463"/>
      <c r="AN6" s="2463"/>
      <c r="AO6" s="2463"/>
      <c r="AP6" s="2463"/>
      <c r="AQ6" s="2463"/>
      <c r="AR6" s="2463"/>
      <c r="AS6" s="2463"/>
      <c r="AT6" s="2463"/>
      <c r="AU6" s="2463"/>
      <c r="AV6" s="2463"/>
      <c r="AW6" s="2463"/>
      <c r="AX6" s="2463"/>
      <c r="AY6" s="2463"/>
      <c r="AZ6" s="2463"/>
      <c r="BA6" s="2463"/>
      <c r="BB6" s="2463"/>
      <c r="BC6" s="2463"/>
      <c r="BD6" s="2463"/>
      <c r="BE6" s="2463"/>
    </row>
    <row r="7" spans="1:57">
      <c r="A7" s="58" t="s">
        <v>36</v>
      </c>
      <c r="B7" s="58" t="s">
        <v>1799</v>
      </c>
      <c r="C7" s="345" t="s">
        <v>38</v>
      </c>
      <c r="D7" s="21">
        <v>58388680000000</v>
      </c>
      <c r="E7" s="404">
        <v>66626045000000.016</v>
      </c>
      <c r="F7" s="405">
        <f>F8+F14</f>
        <v>72124962000000</v>
      </c>
      <c r="G7" s="404">
        <v>81703500000000</v>
      </c>
      <c r="H7" s="405">
        <f>H8+H14</f>
        <v>92944124000000</v>
      </c>
      <c r="I7" s="405">
        <f>I8+I14</f>
        <v>88780716000000</v>
      </c>
      <c r="J7" s="21">
        <v>104745000000000</v>
      </c>
      <c r="K7" s="21">
        <v>117200000000000</v>
      </c>
      <c r="L7" s="405">
        <f>L8+L14</f>
        <v>126266300000000</v>
      </c>
      <c r="M7" s="21">
        <v>134728200000000.02</v>
      </c>
      <c r="N7" s="286">
        <v>142200000000000</v>
      </c>
      <c r="O7" s="286">
        <v>165700000000000</v>
      </c>
      <c r="P7" s="286">
        <v>188600000000000</v>
      </c>
      <c r="Q7" s="2479">
        <f>Q8+Q14</f>
        <v>199650500000000</v>
      </c>
      <c r="R7" s="2479">
        <f>R8+R14</f>
        <v>211230900000000</v>
      </c>
      <c r="S7" s="2479">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463"/>
      <c r="AC7" s="2463"/>
      <c r="AD7" s="2463"/>
      <c r="AE7" s="2463"/>
      <c r="AF7" s="2463"/>
      <c r="AG7" s="2463"/>
      <c r="AH7" s="2463"/>
      <c r="AI7" s="2463"/>
      <c r="AJ7" s="2463"/>
      <c r="AK7" s="2463"/>
      <c r="AL7" s="2463"/>
      <c r="AM7" s="2463"/>
      <c r="AN7" s="2463"/>
      <c r="AO7" s="2463"/>
      <c r="AP7" s="2463"/>
      <c r="AQ7" s="2463"/>
      <c r="AR7" s="2463"/>
      <c r="AS7" s="2463"/>
      <c r="AT7" s="2463"/>
      <c r="AU7" s="2463"/>
      <c r="AV7" s="2463"/>
      <c r="AW7" s="2463"/>
      <c r="AX7" s="2463"/>
      <c r="AY7" s="2463"/>
      <c r="AZ7" s="2463"/>
      <c r="BA7" s="2463"/>
      <c r="BB7" s="2463"/>
      <c r="BC7" s="2463"/>
      <c r="BD7" s="2463"/>
      <c r="BE7" s="2463"/>
    </row>
    <row r="8" spans="1:57" ht="16.5">
      <c r="A8" s="58" t="s">
        <v>39</v>
      </c>
      <c r="B8" s="58" t="s">
        <v>731</v>
      </c>
      <c r="C8" s="58" t="s">
        <v>41</v>
      </c>
      <c r="D8" s="289">
        <v>36075863000000</v>
      </c>
      <c r="E8" s="404">
        <v>43363392000000</v>
      </c>
      <c r="F8" s="404">
        <v>46856693000000.008</v>
      </c>
      <c r="G8" s="404">
        <v>53107274999999.992</v>
      </c>
      <c r="H8" s="404">
        <v>60321352000000</v>
      </c>
      <c r="I8" s="286">
        <v>50683244000000</v>
      </c>
      <c r="J8" s="21">
        <v>73800000000000</v>
      </c>
      <c r="K8" s="21">
        <v>83600000000000</v>
      </c>
      <c r="L8" s="21">
        <v>92659300000000</v>
      </c>
      <c r="M8" s="21">
        <v>92846400000000</v>
      </c>
      <c r="N8" s="286">
        <v>101700000000000</v>
      </c>
      <c r="O8" s="286">
        <v>118700000000000</v>
      </c>
      <c r="P8" s="286">
        <v>133100000000000</v>
      </c>
      <c r="Q8" s="2452">
        <v>140679000000000</v>
      </c>
      <c r="R8" s="2452">
        <v>150662900000000</v>
      </c>
      <c r="S8" s="2452">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463"/>
      <c r="AC8" s="2463"/>
      <c r="AD8" s="2463"/>
      <c r="AE8" s="2463"/>
      <c r="AF8" s="2463"/>
      <c r="AG8" s="2463"/>
      <c r="AH8" s="2463"/>
      <c r="AI8" s="2463"/>
      <c r="AJ8" s="2463"/>
      <c r="AK8" s="2463"/>
      <c r="AL8" s="2463"/>
      <c r="AM8" s="2463"/>
      <c r="AN8" s="2463"/>
      <c r="AO8" s="2463"/>
      <c r="AP8" s="2463"/>
      <c r="AQ8" s="2463"/>
      <c r="AR8" s="2463"/>
      <c r="AS8" s="2463"/>
      <c r="AT8" s="2463"/>
      <c r="AU8" s="2463"/>
      <c r="AV8" s="2463"/>
      <c r="AW8" s="2463"/>
      <c r="AX8" s="2463"/>
      <c r="AY8" s="2463"/>
      <c r="AZ8" s="2463"/>
      <c r="BA8" s="2463"/>
      <c r="BB8" s="2463"/>
      <c r="BC8" s="2463"/>
      <c r="BD8" s="2463"/>
      <c r="BE8" s="2463"/>
    </row>
    <row r="9" spans="1:57">
      <c r="A9" s="58"/>
      <c r="B9" s="58" t="s">
        <v>7132</v>
      </c>
      <c r="C9" s="58"/>
      <c r="D9" s="289"/>
      <c r="E9" s="404"/>
      <c r="F9" s="404"/>
      <c r="G9" s="404"/>
      <c r="H9" s="404"/>
      <c r="I9" s="286"/>
      <c r="J9" s="21"/>
      <c r="K9" s="21"/>
      <c r="L9" s="21"/>
      <c r="M9" s="21"/>
      <c r="N9" s="286"/>
      <c r="O9" s="286"/>
      <c r="P9" s="286"/>
      <c r="Q9" s="13"/>
      <c r="R9" s="13"/>
      <c r="S9" s="13"/>
      <c r="T9" s="125"/>
      <c r="U9" s="125"/>
      <c r="V9" s="125"/>
      <c r="W9" s="125"/>
      <c r="X9" s="125"/>
      <c r="Y9" s="125"/>
      <c r="Z9" s="125"/>
      <c r="AA9" s="125"/>
      <c r="AB9" s="2463"/>
      <c r="AC9" s="2463"/>
      <c r="AD9" s="2463"/>
      <c r="AE9" s="2463"/>
      <c r="AF9" s="2463"/>
      <c r="AG9" s="2463"/>
      <c r="AH9" s="2463"/>
      <c r="AI9" s="2463"/>
      <c r="AJ9" s="2463"/>
      <c r="AK9" s="2463"/>
      <c r="AL9" s="2463"/>
      <c r="AM9" s="2463"/>
      <c r="AN9" s="2463"/>
      <c r="AO9" s="2463"/>
      <c r="AP9" s="2463"/>
      <c r="AQ9" s="2463"/>
      <c r="AR9" s="2463"/>
      <c r="AS9" s="2463"/>
      <c r="AT9" s="2463"/>
      <c r="AU9" s="2463"/>
      <c r="AV9" s="2463"/>
      <c r="AW9" s="2463"/>
      <c r="AX9" s="2463"/>
      <c r="AY9" s="2463"/>
      <c r="AZ9" s="2463"/>
      <c r="BA9" s="2463"/>
      <c r="BB9" s="2463"/>
      <c r="BC9" s="2463"/>
      <c r="BD9" s="2463"/>
      <c r="BE9" s="2463"/>
    </row>
    <row r="10" spans="1:57">
      <c r="A10" s="58"/>
      <c r="B10" s="58" t="s">
        <v>7133</v>
      </c>
      <c r="C10" s="58"/>
      <c r="D10" s="289"/>
      <c r="E10" s="404"/>
      <c r="F10" s="404"/>
      <c r="G10" s="404"/>
      <c r="H10" s="404"/>
      <c r="I10" s="286"/>
      <c r="J10" s="21"/>
      <c r="K10" s="21"/>
      <c r="L10" s="21"/>
      <c r="M10" s="21"/>
      <c r="N10" s="286"/>
      <c r="O10" s="286"/>
      <c r="P10" s="286"/>
      <c r="Q10" s="13"/>
      <c r="R10" s="13"/>
      <c r="S10" s="13"/>
      <c r="T10" s="125"/>
      <c r="U10" s="125"/>
      <c r="V10" s="125"/>
      <c r="W10" s="125"/>
      <c r="X10" s="125"/>
      <c r="Y10" s="125"/>
      <c r="Z10" s="125"/>
      <c r="AA10" s="125"/>
      <c r="AB10" s="2463"/>
      <c r="AC10" s="2463"/>
      <c r="AD10" s="2463"/>
      <c r="AE10" s="2463"/>
      <c r="AF10" s="2463"/>
      <c r="AG10" s="2463"/>
      <c r="AH10" s="2463"/>
      <c r="AI10" s="2463"/>
      <c r="AJ10" s="2463"/>
      <c r="AK10" s="2463"/>
      <c r="AL10" s="2463"/>
      <c r="AM10" s="2463"/>
      <c r="AN10" s="2463"/>
      <c r="AO10" s="2463"/>
      <c r="AP10" s="2463"/>
      <c r="AQ10" s="2463"/>
      <c r="AR10" s="2463"/>
      <c r="AS10" s="2463"/>
      <c r="AT10" s="2463"/>
      <c r="AU10" s="2463"/>
      <c r="AV10" s="2463"/>
      <c r="AW10" s="2463"/>
      <c r="AX10" s="2463"/>
      <c r="AY10" s="2463"/>
      <c r="AZ10" s="2463"/>
      <c r="BA10" s="2463"/>
      <c r="BB10" s="2463"/>
      <c r="BC10" s="2463"/>
      <c r="BD10" s="2463"/>
      <c r="BE10" s="2463"/>
    </row>
    <row r="11" spans="1:57">
      <c r="A11" s="58"/>
      <c r="B11" s="58" t="s">
        <v>5474</v>
      </c>
      <c r="C11" s="58"/>
      <c r="D11" s="289"/>
      <c r="E11" s="404"/>
      <c r="F11" s="404"/>
      <c r="G11" s="404"/>
      <c r="H11" s="404"/>
      <c r="I11" s="286"/>
      <c r="J11" s="21"/>
      <c r="K11" s="21"/>
      <c r="L11" s="21"/>
      <c r="M11" s="21"/>
      <c r="N11" s="286"/>
      <c r="O11" s="286"/>
      <c r="P11" s="286"/>
      <c r="Q11" s="13"/>
      <c r="R11" s="13"/>
      <c r="S11" s="13"/>
      <c r="T11" s="125"/>
      <c r="U11" s="125"/>
      <c r="V11" s="125"/>
      <c r="W11" s="125"/>
      <c r="X11" s="125"/>
      <c r="Y11" s="125"/>
      <c r="Z11" s="125"/>
      <c r="AA11" s="125"/>
      <c r="AB11" s="2463"/>
      <c r="AC11" s="2463"/>
      <c r="AD11" s="2463"/>
      <c r="AE11" s="2463"/>
      <c r="AF11" s="2463"/>
      <c r="AG11" s="2463"/>
      <c r="AH11" s="2463"/>
      <c r="AI11" s="2463"/>
      <c r="AJ11" s="2463"/>
      <c r="AK11" s="2463"/>
      <c r="AL11" s="2463"/>
      <c r="AM11" s="2463"/>
      <c r="AN11" s="2463"/>
      <c r="AO11" s="2463"/>
      <c r="AP11" s="2463"/>
      <c r="AQ11" s="2463"/>
      <c r="AR11" s="2463"/>
      <c r="AS11" s="2463"/>
      <c r="AT11" s="2463"/>
      <c r="AU11" s="2463"/>
      <c r="AV11" s="2463"/>
      <c r="AW11" s="2463"/>
      <c r="AX11" s="2463"/>
      <c r="AY11" s="2463"/>
      <c r="AZ11" s="2463"/>
      <c r="BA11" s="2463"/>
      <c r="BB11" s="2463"/>
      <c r="BC11" s="2463"/>
      <c r="BD11" s="2463"/>
      <c r="BE11" s="2463"/>
    </row>
    <row r="12" spans="1:57">
      <c r="A12" s="58"/>
      <c r="B12" s="58" t="s">
        <v>7134</v>
      </c>
      <c r="C12" s="58"/>
      <c r="D12" s="289"/>
      <c r="E12" s="404"/>
      <c r="F12" s="404"/>
      <c r="G12" s="404"/>
      <c r="H12" s="404"/>
      <c r="I12" s="286"/>
      <c r="J12" s="21"/>
      <c r="K12" s="21"/>
      <c r="L12" s="21"/>
      <c r="M12" s="21"/>
      <c r="N12" s="286"/>
      <c r="O12" s="286"/>
      <c r="P12" s="286"/>
      <c r="Q12" s="13"/>
      <c r="R12" s="13"/>
      <c r="S12" s="13"/>
      <c r="T12" s="125"/>
      <c r="U12" s="125"/>
      <c r="V12" s="125"/>
      <c r="W12" s="125"/>
      <c r="X12" s="125"/>
      <c r="Y12" s="125"/>
      <c r="Z12" s="125"/>
      <c r="AA12" s="125"/>
      <c r="AB12" s="2463"/>
      <c r="AC12" s="2463"/>
      <c r="AD12" s="2463"/>
      <c r="AE12" s="2463"/>
      <c r="AF12" s="2463"/>
      <c r="AG12" s="2463"/>
      <c r="AH12" s="2463"/>
      <c r="AI12" s="2463"/>
      <c r="AJ12" s="2463"/>
      <c r="AK12" s="2463"/>
      <c r="AL12" s="2463"/>
      <c r="AM12" s="2463"/>
      <c r="AN12" s="2463"/>
      <c r="AO12" s="2463"/>
      <c r="AP12" s="2463"/>
      <c r="AQ12" s="2463"/>
      <c r="AR12" s="2463"/>
      <c r="AS12" s="2463"/>
      <c r="AT12" s="2463"/>
      <c r="AU12" s="2463"/>
      <c r="AV12" s="2463"/>
      <c r="AW12" s="2463"/>
      <c r="AX12" s="2463"/>
      <c r="AY12" s="2463"/>
      <c r="AZ12" s="2463"/>
      <c r="BA12" s="2463"/>
      <c r="BB12" s="2463"/>
      <c r="BC12" s="2463"/>
      <c r="BD12" s="2463"/>
      <c r="BE12" s="2463"/>
    </row>
    <row r="13" spans="1:57" ht="16.5">
      <c r="A13" s="58"/>
      <c r="B13" s="58" t="s">
        <v>7135</v>
      </c>
      <c r="C13" s="58"/>
      <c r="D13" s="289"/>
      <c r="E13" s="404"/>
      <c r="F13" s="404"/>
      <c r="G13" s="404"/>
      <c r="H13" s="404"/>
      <c r="I13" s="286"/>
      <c r="J13" s="21"/>
      <c r="K13" s="21"/>
      <c r="L13" s="21"/>
      <c r="M13" s="21"/>
      <c r="N13" s="286"/>
      <c r="O13" s="286"/>
      <c r="P13" s="286"/>
      <c r="Q13" s="13"/>
      <c r="R13" s="2452"/>
      <c r="S13" s="2452"/>
      <c r="T13" s="125"/>
      <c r="U13" s="125"/>
      <c r="V13" s="125"/>
      <c r="W13" s="125"/>
      <c r="X13" s="125"/>
      <c r="Y13" s="125"/>
      <c r="Z13" s="125"/>
      <c r="AA13" s="125"/>
      <c r="AB13" s="2463"/>
      <c r="AC13" s="2463"/>
      <c r="AD13" s="2463"/>
      <c r="AE13" s="2463"/>
      <c r="AF13" s="2463"/>
      <c r="AG13" s="2463"/>
      <c r="AH13" s="2463"/>
      <c r="AI13" s="2463"/>
      <c r="AJ13" s="2463"/>
      <c r="AK13" s="2463"/>
      <c r="AL13" s="2463"/>
      <c r="AM13" s="2463"/>
      <c r="AN13" s="2463"/>
      <c r="AO13" s="2463"/>
      <c r="AP13" s="2463"/>
      <c r="AQ13" s="2463"/>
      <c r="AR13" s="2463"/>
      <c r="AS13" s="2463"/>
      <c r="AT13" s="2463"/>
      <c r="AU13" s="2463"/>
      <c r="AV13" s="2463"/>
      <c r="AW13" s="2463"/>
      <c r="AX13" s="2463"/>
      <c r="AY13" s="2463"/>
      <c r="AZ13" s="2463"/>
      <c r="BA13" s="2463"/>
      <c r="BB13" s="2463"/>
      <c r="BC13" s="2463"/>
      <c r="BD13" s="2463"/>
      <c r="BE13" s="2463"/>
    </row>
    <row r="14" spans="1:57" ht="16.5">
      <c r="A14" s="58" t="s">
        <v>51</v>
      </c>
      <c r="B14" s="58" t="s">
        <v>742</v>
      </c>
      <c r="C14" s="58" t="s">
        <v>41</v>
      </c>
      <c r="D14" s="289">
        <v>22312817000000</v>
      </c>
      <c r="E14" s="404">
        <v>23262653000000.004</v>
      </c>
      <c r="F14" s="405">
        <f>F15+F16+F17</f>
        <v>25268269000000</v>
      </c>
      <c r="G14" s="404">
        <v>28596225000000</v>
      </c>
      <c r="H14" s="405">
        <f>H15+H16+H17</f>
        <v>32622772000000</v>
      </c>
      <c r="I14" s="405">
        <f>I15+I16+I17</f>
        <v>38097472000000</v>
      </c>
      <c r="J14" s="21">
        <v>30944000000000</v>
      </c>
      <c r="K14" s="21">
        <v>33600000000000</v>
      </c>
      <c r="L14" s="405">
        <f>L15+L16+L17</f>
        <v>33607000000000.004</v>
      </c>
      <c r="M14" s="21">
        <v>41881800000000.008</v>
      </c>
      <c r="N14" s="286">
        <v>40500000000000</v>
      </c>
      <c r="O14" s="286">
        <v>47000000000000</v>
      </c>
      <c r="P14" s="286">
        <v>55500000000000</v>
      </c>
      <c r="Q14" s="2452">
        <f>SUM(Q15:Q17)</f>
        <v>58971500000000</v>
      </c>
      <c r="R14" s="2452">
        <f>SUM(R15:R17)</f>
        <v>60568000000000</v>
      </c>
      <c r="S14" s="2452">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463"/>
      <c r="AC14" s="2463"/>
      <c r="AD14" s="2463"/>
      <c r="AE14" s="2463"/>
      <c r="AF14" s="2463"/>
      <c r="AG14" s="2463"/>
      <c r="AH14" s="2463"/>
      <c r="AI14" s="2463"/>
      <c r="AJ14" s="2463"/>
      <c r="AK14" s="2463"/>
      <c r="AL14" s="2463"/>
      <c r="AM14" s="2463"/>
      <c r="AN14" s="2463"/>
      <c r="AO14" s="2463"/>
      <c r="AP14" s="2463"/>
      <c r="AQ14" s="2463"/>
      <c r="AR14" s="2463"/>
      <c r="AS14" s="2463"/>
      <c r="AT14" s="2463"/>
      <c r="AU14" s="2463"/>
      <c r="AV14" s="2463"/>
      <c r="AW14" s="2463"/>
      <c r="AX14" s="2463"/>
      <c r="AY14" s="2463"/>
      <c r="AZ14" s="2463"/>
      <c r="BA14" s="2463"/>
      <c r="BB14" s="2463"/>
      <c r="BC14" s="2463"/>
      <c r="BD14" s="2463"/>
      <c r="BE14" s="2463"/>
    </row>
    <row r="15" spans="1:57" ht="16.5">
      <c r="A15" s="64" t="s">
        <v>1800</v>
      </c>
      <c r="B15" s="64" t="s">
        <v>1801</v>
      </c>
      <c r="C15" s="58" t="s">
        <v>1802</v>
      </c>
      <c r="D15" s="289">
        <v>2085310000000</v>
      </c>
      <c r="E15" s="404">
        <v>2936063000000.0005</v>
      </c>
      <c r="F15" s="404">
        <v>2207907000000</v>
      </c>
      <c r="G15" s="404">
        <v>2995795000000</v>
      </c>
      <c r="H15" s="404">
        <v>4616430000000</v>
      </c>
      <c r="I15" s="286">
        <v>4422028000000</v>
      </c>
      <c r="J15" s="21">
        <v>4614000000000</v>
      </c>
      <c r="K15" s="21">
        <v>6100000000000</v>
      </c>
      <c r="L15" s="21">
        <v>6241300000000.001</v>
      </c>
      <c r="M15" s="21">
        <v>8578200000000.001</v>
      </c>
      <c r="N15" s="286">
        <v>6400000000000</v>
      </c>
      <c r="O15" s="286">
        <v>5600000000000</v>
      </c>
      <c r="P15" s="286">
        <v>8100000000000</v>
      </c>
      <c r="Q15" s="2452">
        <v>3552500000000</v>
      </c>
      <c r="R15" s="2452">
        <v>3785500000000</v>
      </c>
      <c r="S15" s="2452">
        <v>3996500000000</v>
      </c>
      <c r="T15" s="125">
        <v>4313500000000</v>
      </c>
      <c r="U15" s="125">
        <v>4562500000000</v>
      </c>
      <c r="V15" s="125">
        <v>4842500000000</v>
      </c>
      <c r="W15" s="125">
        <v>5147500000000</v>
      </c>
      <c r="X15" s="125">
        <v>5495499999999.999</v>
      </c>
      <c r="Y15" s="125">
        <v>5867000000000</v>
      </c>
      <c r="Z15" s="125">
        <v>6257500000000</v>
      </c>
      <c r="AA15" s="125">
        <v>6674000000000</v>
      </c>
      <c r="AB15" s="2463"/>
      <c r="AC15" s="2463"/>
      <c r="AD15" s="2463"/>
      <c r="AE15" s="2463"/>
      <c r="AF15" s="2463"/>
      <c r="AG15" s="2463"/>
      <c r="AH15" s="2463"/>
      <c r="AI15" s="2463"/>
      <c r="AJ15" s="2463"/>
      <c r="AK15" s="2463"/>
      <c r="AL15" s="2463"/>
      <c r="AM15" s="2463"/>
      <c r="AN15" s="2463"/>
      <c r="AO15" s="2463"/>
      <c r="AP15" s="2463"/>
      <c r="AQ15" s="2463"/>
      <c r="AR15" s="2463"/>
      <c r="AS15" s="2463"/>
      <c r="AT15" s="2463"/>
      <c r="AU15" s="2463"/>
      <c r="AV15" s="2463"/>
      <c r="AW15" s="2463"/>
      <c r="AX15" s="2463"/>
      <c r="AY15" s="2463"/>
      <c r="AZ15" s="2463"/>
      <c r="BA15" s="2463"/>
      <c r="BB15" s="2463"/>
      <c r="BC15" s="2463"/>
      <c r="BD15" s="2463"/>
      <c r="BE15" s="2463"/>
    </row>
    <row r="16" spans="1:57" ht="16.5">
      <c r="A16" s="64" t="s">
        <v>1803</v>
      </c>
      <c r="B16" s="64" t="s">
        <v>1804</v>
      </c>
      <c r="C16" s="58" t="s">
        <v>1802</v>
      </c>
      <c r="D16" s="21">
        <v>8758302000000</v>
      </c>
      <c r="E16" s="404">
        <v>9485742000000.002</v>
      </c>
      <c r="F16" s="404">
        <v>9812920000000</v>
      </c>
      <c r="G16" s="404">
        <v>12527869999999.998</v>
      </c>
      <c r="H16" s="404">
        <v>10463908000000</v>
      </c>
      <c r="I16" s="286">
        <v>11225148000000</v>
      </c>
      <c r="J16" s="21">
        <v>13641000000000</v>
      </c>
      <c r="K16" s="21">
        <v>13700000000000</v>
      </c>
      <c r="L16" s="21">
        <v>1440300000000</v>
      </c>
      <c r="M16" s="21">
        <v>504600000000.00006</v>
      </c>
      <c r="N16" s="286">
        <v>600000000000</v>
      </c>
      <c r="O16" s="286">
        <v>1000000000000</v>
      </c>
      <c r="P16" s="286">
        <v>900000000000</v>
      </c>
      <c r="Q16" s="2629">
        <v>0</v>
      </c>
      <c r="R16" s="2629">
        <v>0</v>
      </c>
      <c r="S16" s="2629">
        <v>0</v>
      </c>
      <c r="T16" s="2629">
        <v>0</v>
      </c>
      <c r="U16" s="2629">
        <v>0</v>
      </c>
      <c r="V16" s="2629">
        <v>0</v>
      </c>
      <c r="W16" s="2629">
        <v>0</v>
      </c>
      <c r="X16" s="2629">
        <v>0</v>
      </c>
      <c r="Y16" s="2629">
        <v>0</v>
      </c>
      <c r="Z16" s="2629">
        <v>0</v>
      </c>
      <c r="AA16" s="2629">
        <v>0</v>
      </c>
      <c r="AB16" s="2463"/>
      <c r="AC16" s="2463"/>
      <c r="AD16" s="2463"/>
      <c r="AE16" s="2463"/>
      <c r="AF16" s="2463"/>
      <c r="AG16" s="2463"/>
      <c r="AH16" s="2463"/>
      <c r="AI16" s="2463"/>
      <c r="AJ16" s="2463"/>
      <c r="AK16" s="2463"/>
      <c r="AL16" s="2463"/>
      <c r="AM16" s="2463"/>
      <c r="AN16" s="2463"/>
      <c r="AO16" s="2463"/>
      <c r="AP16" s="2463"/>
      <c r="AQ16" s="2463"/>
      <c r="AR16" s="2463"/>
      <c r="AS16" s="2463"/>
      <c r="AT16" s="2463"/>
      <c r="AU16" s="2463"/>
      <c r="AV16" s="2463"/>
      <c r="AW16" s="2463"/>
      <c r="AX16" s="2463"/>
      <c r="AY16" s="2463"/>
      <c r="AZ16" s="2463"/>
      <c r="BA16" s="2463"/>
      <c r="BB16" s="2463"/>
      <c r="BC16" s="2463"/>
      <c r="BD16" s="2463"/>
      <c r="BE16" s="2463"/>
    </row>
    <row r="17" spans="1:57" ht="16.5">
      <c r="A17" s="64" t="s">
        <v>236</v>
      </c>
      <c r="B17" s="64" t="s">
        <v>1805</v>
      </c>
      <c r="C17" s="58" t="s">
        <v>1802</v>
      </c>
      <c r="D17" s="21">
        <v>11469205000000</v>
      </c>
      <c r="E17" s="21">
        <v>10840848000000</v>
      </c>
      <c r="F17" s="21">
        <v>13247442000000</v>
      </c>
      <c r="G17" s="21">
        <v>13072560000000</v>
      </c>
      <c r="H17" s="21">
        <v>17542434000000.002</v>
      </c>
      <c r="I17" s="286">
        <v>22450296000000</v>
      </c>
      <c r="J17" s="21">
        <v>12689000000000</v>
      </c>
      <c r="K17" s="21">
        <v>13800000000000</v>
      </c>
      <c r="L17" s="21">
        <v>25925400000000.004</v>
      </c>
      <c r="M17" s="21">
        <v>32799000000000</v>
      </c>
      <c r="N17" s="286">
        <v>33500000000000</v>
      </c>
      <c r="O17" s="286">
        <v>40400000000000</v>
      </c>
      <c r="P17" s="286">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463"/>
      <c r="AC17" s="2463"/>
      <c r="AD17" s="2463"/>
      <c r="AE17" s="2463"/>
      <c r="AF17" s="2463"/>
      <c r="AG17" s="2463"/>
      <c r="AH17" s="2463"/>
      <c r="AI17" s="2463"/>
      <c r="AJ17" s="2463"/>
      <c r="AK17" s="2463"/>
      <c r="AL17" s="2463"/>
      <c r="AM17" s="2463"/>
      <c r="AN17" s="2463"/>
      <c r="AO17" s="2463"/>
      <c r="AP17" s="2463"/>
      <c r="AQ17" s="2463"/>
      <c r="AR17" s="2463"/>
      <c r="AS17" s="2463"/>
      <c r="AT17" s="2463"/>
      <c r="AU17" s="2463"/>
      <c r="AV17" s="2463"/>
      <c r="AW17" s="2463"/>
      <c r="AX17" s="2463"/>
      <c r="AY17" s="2463"/>
      <c r="AZ17" s="2463"/>
      <c r="BA17" s="2463"/>
      <c r="BB17" s="2463"/>
      <c r="BC17" s="2463"/>
      <c r="BD17" s="2463"/>
      <c r="BE17" s="2463"/>
    </row>
    <row r="18" spans="1:57">
      <c r="A18" s="64" t="s">
        <v>53</v>
      </c>
      <c r="B18" s="64" t="s">
        <v>53</v>
      </c>
      <c r="C18" s="345"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463"/>
      <c r="AC18" s="2463"/>
      <c r="AD18" s="2463"/>
      <c r="AE18" s="2463"/>
      <c r="AF18" s="2463"/>
      <c r="AG18" s="2463"/>
      <c r="AH18" s="2463"/>
      <c r="AI18" s="2463"/>
      <c r="AJ18" s="2463"/>
      <c r="AK18" s="2463"/>
      <c r="AL18" s="2463"/>
      <c r="AM18" s="2463"/>
      <c r="AN18" s="2463"/>
      <c r="AO18" s="2463"/>
      <c r="AP18" s="2463"/>
      <c r="AQ18" s="2463"/>
      <c r="AR18" s="2463"/>
      <c r="AS18" s="2463"/>
      <c r="AT18" s="2463"/>
      <c r="AU18" s="2463"/>
      <c r="AV18" s="2463"/>
      <c r="AW18" s="2463"/>
      <c r="AX18" s="2463"/>
      <c r="AY18" s="2463"/>
      <c r="AZ18" s="2463"/>
      <c r="BA18" s="2463"/>
      <c r="BB18" s="2463"/>
      <c r="BC18" s="2463"/>
      <c r="BD18" s="2463"/>
      <c r="BE18" s="2463"/>
    </row>
    <row r="19" spans="1:57" s="371" customFormat="1" ht="16.5">
      <c r="A19" s="371" t="s">
        <v>198</v>
      </c>
      <c r="B19" s="370" t="s">
        <v>1806</v>
      </c>
      <c r="C19" s="370" t="s">
        <v>35</v>
      </c>
      <c r="D19" s="373">
        <f>D20+D28+D32</f>
        <v>66312858000000</v>
      </c>
      <c r="E19" s="373">
        <f>E20+E28+E32</f>
        <v>77241042000000</v>
      </c>
      <c r="F19" s="373">
        <f>F20+F28+F32</f>
        <v>82428528000000</v>
      </c>
      <c r="G19" s="373">
        <f>G20+G28+G32</f>
        <v>89056814999999.984</v>
      </c>
      <c r="H19" s="372">
        <f>H20+H28+H32</f>
        <v>96945030000000</v>
      </c>
      <c r="I19" s="372">
        <v>89120872000000</v>
      </c>
      <c r="J19" s="372">
        <v>107974000000000</v>
      </c>
      <c r="K19" s="372">
        <v>121600000000000</v>
      </c>
      <c r="L19" s="372">
        <f>L20+L28+L32</f>
        <v>125786200000000</v>
      </c>
      <c r="M19" s="372">
        <v>147847800000000</v>
      </c>
      <c r="N19" s="623">
        <v>159100000000000</v>
      </c>
      <c r="O19" s="623">
        <v>177000000000000</v>
      </c>
      <c r="P19" s="623">
        <v>185600000000000</v>
      </c>
      <c r="Q19" s="624">
        <f>Q20+Q28+Q32</f>
        <v>206045000000000</v>
      </c>
      <c r="R19" s="624">
        <f>R20+R28+R32</f>
        <v>223344500000000</v>
      </c>
      <c r="S19" s="624">
        <f>S20+S28+S32</f>
        <v>238191400000000</v>
      </c>
      <c r="T19" s="624">
        <f>T20+T28+T32</f>
        <v>244144100000000</v>
      </c>
      <c r="U19" s="624">
        <f>U20+U28</f>
        <v>262800000000000</v>
      </c>
      <c r="V19" s="624">
        <f t="shared" ref="V19:AA19" si="5">V20+V28</f>
        <v>276022500000000</v>
      </c>
      <c r="W19" s="624">
        <f t="shared" si="5"/>
        <v>287230500000000</v>
      </c>
      <c r="X19" s="624">
        <f t="shared" si="5"/>
        <v>301153399999999.94</v>
      </c>
      <c r="Y19" s="624">
        <f t="shared" si="5"/>
        <v>321511600000000</v>
      </c>
      <c r="Z19" s="624">
        <f t="shared" si="5"/>
        <v>340408000000000</v>
      </c>
      <c r="AA19" s="624">
        <f t="shared" si="5"/>
        <v>360396000000000</v>
      </c>
      <c r="AB19" s="2463"/>
      <c r="AC19" s="2463"/>
      <c r="AD19" s="2463"/>
      <c r="AE19" s="2463"/>
      <c r="AF19" s="2463"/>
      <c r="AG19" s="2463"/>
      <c r="AH19" s="2463"/>
      <c r="AI19" s="2463"/>
      <c r="AJ19" s="2463"/>
      <c r="AK19" s="2463"/>
      <c r="AL19" s="2463"/>
      <c r="AM19" s="2463"/>
      <c r="AN19" s="2463"/>
      <c r="AO19" s="2463"/>
      <c r="AP19" s="2463"/>
      <c r="AQ19" s="2463"/>
      <c r="AR19" s="2463"/>
      <c r="AS19" s="2463"/>
      <c r="AT19" s="2463"/>
      <c r="AU19" s="2463"/>
      <c r="AV19" s="2463"/>
      <c r="AW19" s="2463"/>
      <c r="AX19" s="2463"/>
      <c r="AY19" s="2463"/>
      <c r="AZ19" s="2463"/>
      <c r="BA19" s="2463"/>
      <c r="BB19" s="2463"/>
      <c r="BC19" s="2463"/>
      <c r="BD19" s="2463"/>
      <c r="BE19" s="2463"/>
    </row>
    <row r="20" spans="1:57" ht="15.75" customHeight="1">
      <c r="A20" s="58" t="s">
        <v>1807</v>
      </c>
      <c r="B20" s="58" t="s">
        <v>745</v>
      </c>
      <c r="C20" s="58" t="s">
        <v>201</v>
      </c>
      <c r="D20" s="358">
        <f>D21+D22+D23+D26+D27</f>
        <v>49838909000000</v>
      </c>
      <c r="E20" s="358">
        <f>E21+E22+E23+E26+E27</f>
        <v>58495409000000</v>
      </c>
      <c r="F20" s="21">
        <v>63538657000000</v>
      </c>
      <c r="G20" s="358">
        <f>G21+G22+G23+G26+G27</f>
        <v>66724524999999.984</v>
      </c>
      <c r="H20" s="358">
        <f>H21+H22+H23+H26+H27</f>
        <v>79402596000000</v>
      </c>
      <c r="I20" s="286">
        <v>72113072000000</v>
      </c>
      <c r="J20" s="21">
        <v>86774000000000</v>
      </c>
      <c r="K20" s="21">
        <v>94100000000000</v>
      </c>
      <c r="L20" s="358">
        <f>L21+L22+L23+L26+L27</f>
        <v>101781200000000</v>
      </c>
      <c r="M20" s="21">
        <v>116562600000000.02</v>
      </c>
      <c r="N20" s="286">
        <v>121900000000000</v>
      </c>
      <c r="O20" s="286">
        <v>126900000000000</v>
      </c>
      <c r="P20" s="642">
        <v>137900000000000</v>
      </c>
      <c r="Q20" s="2627">
        <f>Q21+Q22+Q23+Q26+Q27</f>
        <v>152047000000000</v>
      </c>
      <c r="R20" s="2627">
        <f t="shared" ref="R20:T20" si="6">R21+R22+R23+R26+R27</f>
        <v>165804900000000</v>
      </c>
      <c r="S20" s="2627">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463"/>
      <c r="AC20" s="2463"/>
      <c r="AD20" s="2463"/>
      <c r="AE20" s="2463"/>
      <c r="AF20" s="2463"/>
      <c r="AG20" s="2463"/>
      <c r="AH20" s="2463"/>
      <c r="AI20" s="2463"/>
      <c r="AJ20" s="2463"/>
      <c r="AK20" s="2463"/>
      <c r="AL20" s="2463"/>
      <c r="AM20" s="2463"/>
      <c r="AN20" s="2463"/>
      <c r="AO20" s="2463"/>
      <c r="AP20" s="2463"/>
      <c r="AQ20" s="2463"/>
      <c r="AR20" s="2463"/>
      <c r="AS20" s="2463"/>
      <c r="AT20" s="2463"/>
      <c r="AU20" s="2463"/>
      <c r="AV20" s="2463"/>
      <c r="AW20" s="2463"/>
      <c r="AX20" s="2463"/>
      <c r="AY20" s="2463"/>
      <c r="AZ20" s="2463"/>
      <c r="BA20" s="2463"/>
      <c r="BB20" s="2463"/>
      <c r="BC20" s="2463"/>
      <c r="BD20" s="2463"/>
      <c r="BE20" s="2463"/>
    </row>
    <row r="21" spans="1:57" ht="16.5">
      <c r="A21" s="64" t="s">
        <v>79</v>
      </c>
      <c r="B21" s="64" t="s">
        <v>1808</v>
      </c>
      <c r="C21" s="58" t="s">
        <v>204</v>
      </c>
      <c r="D21" s="21">
        <v>15014232000000</v>
      </c>
      <c r="E21" s="21">
        <v>16938825000000</v>
      </c>
      <c r="F21" s="21">
        <v>19625840000000</v>
      </c>
      <c r="G21" s="21">
        <v>19881184999999.996</v>
      </c>
      <c r="H21" s="21">
        <v>21543340000000</v>
      </c>
      <c r="I21" s="286">
        <v>19388892000000</v>
      </c>
      <c r="J21" s="21">
        <v>22299000000000</v>
      </c>
      <c r="K21" s="21">
        <v>24300000000000</v>
      </c>
      <c r="L21" s="21">
        <v>26405500000000</v>
      </c>
      <c r="M21" s="21">
        <v>29266800000000</v>
      </c>
      <c r="N21" s="286">
        <v>31300000000000</v>
      </c>
      <c r="O21" s="286">
        <v>32200000000000.004</v>
      </c>
      <c r="P21" s="286">
        <v>34400000000000</v>
      </c>
      <c r="Q21" s="2452">
        <v>36946000000000</v>
      </c>
      <c r="R21" s="2452">
        <v>40126300000000</v>
      </c>
      <c r="S21" s="2452">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463"/>
      <c r="AC21" s="2463"/>
      <c r="AD21" s="2463"/>
      <c r="AE21" s="2463"/>
      <c r="AF21" s="2463"/>
      <c r="AG21" s="2463"/>
      <c r="AH21" s="2463"/>
      <c r="AI21" s="2463"/>
      <c r="AJ21" s="2463"/>
      <c r="AK21" s="2463"/>
      <c r="AL21" s="2463"/>
      <c r="AM21" s="2463"/>
      <c r="AN21" s="2463"/>
      <c r="AO21" s="2463"/>
      <c r="AP21" s="2463"/>
      <c r="AQ21" s="2463"/>
      <c r="AR21" s="2463"/>
      <c r="AS21" s="2463"/>
      <c r="AT21" s="2463"/>
      <c r="AU21" s="2463"/>
      <c r="AV21" s="2463"/>
      <c r="AW21" s="2463"/>
      <c r="AX21" s="2463"/>
      <c r="AY21" s="2463"/>
      <c r="AZ21" s="2463"/>
      <c r="BA21" s="2463"/>
      <c r="BB21" s="2463"/>
      <c r="BC21" s="2463"/>
      <c r="BD21" s="2463"/>
      <c r="BE21" s="2463"/>
    </row>
    <row r="22" spans="1:57" ht="16.5">
      <c r="A22" s="64" t="s">
        <v>83</v>
      </c>
      <c r="B22" s="64" t="s">
        <v>749</v>
      </c>
      <c r="C22" s="58" t="s">
        <v>204</v>
      </c>
      <c r="D22" s="21">
        <v>6881522999999.999</v>
      </c>
      <c r="E22" s="21">
        <v>7904785000000.001</v>
      </c>
      <c r="F22" s="21">
        <v>8340982000000</v>
      </c>
      <c r="G22" s="21">
        <v>8987384999999.998</v>
      </c>
      <c r="H22" s="21">
        <v>13541528000000</v>
      </c>
      <c r="I22" s="286">
        <v>12245616000000</v>
      </c>
      <c r="J22" s="21">
        <v>13757000000000</v>
      </c>
      <c r="K22" s="21">
        <v>15600000000000</v>
      </c>
      <c r="L22" s="21">
        <v>16323400000000</v>
      </c>
      <c r="M22" s="21">
        <v>16147200000000.002</v>
      </c>
      <c r="N22" s="286">
        <v>17900000000000</v>
      </c>
      <c r="O22" s="286">
        <v>17900000000000</v>
      </c>
      <c r="P22" s="286">
        <v>19500000000000</v>
      </c>
      <c r="Q22" s="2452">
        <v>22025500000000</v>
      </c>
      <c r="R22" s="2452">
        <v>23470100000000</v>
      </c>
      <c r="S22" s="2452">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463"/>
      <c r="AC22" s="2463"/>
      <c r="AD22" s="2463"/>
      <c r="AE22" s="2463"/>
      <c r="AF22" s="2463"/>
      <c r="AG22" s="2463"/>
      <c r="AH22" s="2463"/>
      <c r="AI22" s="2463"/>
      <c r="AJ22" s="2463"/>
      <c r="AK22" s="2463"/>
      <c r="AL22" s="2463"/>
      <c r="AM22" s="2463"/>
      <c r="AN22" s="2463"/>
      <c r="AO22" s="2463"/>
      <c r="AP22" s="2463"/>
      <c r="AQ22" s="2463"/>
      <c r="AR22" s="2463"/>
      <c r="AS22" s="2463"/>
      <c r="AT22" s="2463"/>
      <c r="AU22" s="2463"/>
      <c r="AV22" s="2463"/>
      <c r="AW22" s="2463"/>
      <c r="AX22" s="2463"/>
      <c r="AY22" s="2463"/>
      <c r="AZ22" s="2463"/>
      <c r="BA22" s="2463"/>
      <c r="BB22" s="2463"/>
      <c r="BC22" s="2463"/>
      <c r="BD22" s="2463"/>
      <c r="BE22" s="2463"/>
    </row>
    <row r="23" spans="1:57" ht="16.5">
      <c r="A23" s="64" t="s">
        <v>91</v>
      </c>
      <c r="B23" s="64" t="s">
        <v>91</v>
      </c>
      <c r="C23" s="58" t="s">
        <v>204</v>
      </c>
      <c r="D23" s="21">
        <v>9175364000000.002</v>
      </c>
      <c r="E23" s="358">
        <f>E24+E25</f>
        <v>11518401000000</v>
      </c>
      <c r="F23" s="21">
        <v>11039535000000</v>
      </c>
      <c r="G23" s="358">
        <f>G24+G25</f>
        <v>13072560000000</v>
      </c>
      <c r="H23" s="358">
        <f>H24+H25</f>
        <v>14464813999999.998</v>
      </c>
      <c r="I23" s="286">
        <v>11565304000000</v>
      </c>
      <c r="J23" s="21">
        <v>14861000000000</v>
      </c>
      <c r="K23" s="21">
        <v>17500000000000</v>
      </c>
      <c r="L23" s="358">
        <f>L24+L25</f>
        <v>16323400000000.002</v>
      </c>
      <c r="M23" s="358">
        <f>M24+M25</f>
        <v>16651800000000</v>
      </c>
      <c r="N23" s="286">
        <v>15600000000000</v>
      </c>
      <c r="O23" s="286">
        <v>17200000000000</v>
      </c>
      <c r="P23" s="286">
        <v>17700000000000</v>
      </c>
      <c r="Q23" s="2452">
        <f>Q24+Q25</f>
        <v>18473000000000</v>
      </c>
      <c r="R23" s="2452">
        <f t="shared" ref="R23:T23" si="8">R24+R25</f>
        <v>19684600000000</v>
      </c>
      <c r="S23" s="2452">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463"/>
      <c r="AC23" s="2463"/>
      <c r="AD23" s="2463"/>
      <c r="AE23" s="2463"/>
      <c r="AF23" s="2463"/>
      <c r="AG23" s="2463"/>
      <c r="AH23" s="2463"/>
      <c r="AI23" s="2463"/>
      <c r="AJ23" s="2463"/>
      <c r="AK23" s="2463"/>
      <c r="AL23" s="2463"/>
      <c r="AM23" s="2463"/>
      <c r="AN23" s="2463"/>
      <c r="AO23" s="2463"/>
      <c r="AP23" s="2463"/>
      <c r="AQ23" s="2463"/>
      <c r="AR23" s="2463"/>
      <c r="AS23" s="2463"/>
      <c r="AT23" s="2463"/>
      <c r="AU23" s="2463"/>
      <c r="AV23" s="2463"/>
      <c r="AW23" s="2463"/>
      <c r="AX23" s="2463"/>
      <c r="AY23" s="2463"/>
      <c r="AZ23" s="2463"/>
      <c r="BA23" s="2463"/>
      <c r="BB23" s="2463"/>
      <c r="BC23" s="2463"/>
      <c r="BD23" s="2463"/>
      <c r="BE23" s="2463"/>
    </row>
    <row r="24" spans="1:57" ht="16.5">
      <c r="A24" s="65" t="s">
        <v>280</v>
      </c>
      <c r="B24" s="65" t="s">
        <v>280</v>
      </c>
      <c r="C24" s="27" t="s">
        <v>211</v>
      </c>
      <c r="D24" s="21">
        <v>3336496000000</v>
      </c>
      <c r="E24" s="21">
        <v>5194573000000</v>
      </c>
      <c r="F24" s="21">
        <v>5151783000000</v>
      </c>
      <c r="G24" s="21">
        <v>5719245000000</v>
      </c>
      <c r="H24" s="21">
        <v>5847477999999.999</v>
      </c>
      <c r="I24" s="286">
        <v>4762183999999.999</v>
      </c>
      <c r="J24" s="21">
        <v>4412000000000</v>
      </c>
      <c r="K24" s="21">
        <v>4300000000000</v>
      </c>
      <c r="L24" s="21">
        <v>3840800000000</v>
      </c>
      <c r="M24" s="21">
        <v>4036800000000.0005</v>
      </c>
      <c r="N24" s="286">
        <v>3900000000000</v>
      </c>
      <c r="O24" s="286">
        <v>3800000000000</v>
      </c>
      <c r="P24" s="286">
        <v>3800000000000</v>
      </c>
      <c r="Q24" s="2452">
        <v>4263000000000</v>
      </c>
      <c r="R24" s="2452">
        <v>4542600000000</v>
      </c>
      <c r="S24" s="2452">
        <v>6394400000000</v>
      </c>
      <c r="T24" s="125">
        <v>8627000000000</v>
      </c>
      <c r="U24" s="125">
        <v>9125000000000</v>
      </c>
      <c r="V24" s="125">
        <v>9685000000000</v>
      </c>
      <c r="W24" s="125">
        <v>10295000000000</v>
      </c>
      <c r="X24" s="125">
        <v>10990999999999.998</v>
      </c>
      <c r="Y24" s="125">
        <v>11734000000000</v>
      </c>
      <c r="Z24" s="125">
        <v>12515000000000</v>
      </c>
      <c r="AA24" s="125">
        <v>13348000000000</v>
      </c>
      <c r="AB24" s="2463"/>
      <c r="AC24" s="2463"/>
      <c r="AD24" s="2463"/>
      <c r="AE24" s="2463"/>
      <c r="AF24" s="2463"/>
      <c r="AG24" s="2463"/>
      <c r="AH24" s="2463"/>
      <c r="AI24" s="2463"/>
      <c r="AJ24" s="2463"/>
      <c r="AK24" s="2463"/>
      <c r="AL24" s="2463"/>
      <c r="AM24" s="2463"/>
      <c r="AN24" s="2463"/>
      <c r="AO24" s="2463"/>
      <c r="AP24" s="2463"/>
      <c r="AQ24" s="2463"/>
      <c r="AR24" s="2463"/>
      <c r="AS24" s="2463"/>
      <c r="AT24" s="2463"/>
      <c r="AU24" s="2463"/>
      <c r="AV24" s="2463"/>
      <c r="AW24" s="2463"/>
      <c r="AX24" s="2463"/>
      <c r="AY24" s="2463"/>
      <c r="AZ24" s="2463"/>
      <c r="BA24" s="2463"/>
      <c r="BB24" s="2463"/>
      <c r="BC24" s="2463"/>
      <c r="BD24" s="2463"/>
      <c r="BE24" s="2463"/>
    </row>
    <row r="25" spans="1:57" ht="16.5">
      <c r="A25" s="65" t="s">
        <v>209</v>
      </c>
      <c r="B25" s="65" t="s">
        <v>209</v>
      </c>
      <c r="C25" s="27" t="s">
        <v>211</v>
      </c>
      <c r="D25" s="21">
        <v>5838867999999.999</v>
      </c>
      <c r="E25" s="21">
        <v>6323828000000</v>
      </c>
      <c r="F25" s="21">
        <v>5887751999999.999</v>
      </c>
      <c r="G25" s="21">
        <v>7353315000000</v>
      </c>
      <c r="H25" s="21">
        <v>8617335999999.999</v>
      </c>
      <c r="I25" s="286">
        <v>6803120000000</v>
      </c>
      <c r="J25" s="21">
        <v>10449000000000</v>
      </c>
      <c r="K25" s="21">
        <v>13200000000000</v>
      </c>
      <c r="L25" s="21">
        <v>12482600000000.002</v>
      </c>
      <c r="M25" s="21">
        <v>12615000000000</v>
      </c>
      <c r="N25" s="286">
        <v>11700000000000</v>
      </c>
      <c r="O25" s="286">
        <v>13400000000000</v>
      </c>
      <c r="P25" s="286">
        <v>13900000000000</v>
      </c>
      <c r="Q25" s="2452">
        <v>14210000000000</v>
      </c>
      <c r="R25" s="2452">
        <v>15142000000000</v>
      </c>
      <c r="S25" s="2452">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463"/>
      <c r="AC25" s="2463"/>
      <c r="AD25" s="2463"/>
      <c r="AE25" s="2463"/>
      <c r="AF25" s="2463"/>
      <c r="AG25" s="2463"/>
      <c r="AH25" s="2463"/>
      <c r="AI25" s="2463"/>
      <c r="AJ25" s="2463"/>
      <c r="AK25" s="2463"/>
      <c r="AL25" s="2463"/>
      <c r="AM25" s="2463"/>
      <c r="AN25" s="2463"/>
      <c r="AO25" s="2463"/>
      <c r="AP25" s="2463"/>
      <c r="AQ25" s="2463"/>
      <c r="AR25" s="2463"/>
      <c r="AS25" s="2463"/>
      <c r="AT25" s="2463"/>
      <c r="AU25" s="2463"/>
      <c r="AV25" s="2463"/>
      <c r="AW25" s="2463"/>
      <c r="AX25" s="2463"/>
      <c r="AY25" s="2463"/>
      <c r="AZ25" s="2463"/>
      <c r="BA25" s="2463"/>
      <c r="BB25" s="2463"/>
      <c r="BC25" s="2463"/>
      <c r="BD25" s="2463"/>
      <c r="BE25" s="2463"/>
    </row>
    <row r="26" spans="1:57" ht="16.5">
      <c r="A26" s="64" t="s">
        <v>1809</v>
      </c>
      <c r="B26" s="64" t="s">
        <v>1810</v>
      </c>
      <c r="C26" s="58" t="s">
        <v>204</v>
      </c>
      <c r="D26" s="404">
        <v>18767790000000</v>
      </c>
      <c r="E26" s="21">
        <v>22133398000000.004</v>
      </c>
      <c r="F26" s="21">
        <v>24041654000000.004</v>
      </c>
      <c r="G26" s="21">
        <v>24783394999999.996</v>
      </c>
      <c r="H26" s="21">
        <v>24005435999999.996</v>
      </c>
      <c r="I26" s="286">
        <v>22790452000000</v>
      </c>
      <c r="J26" s="21">
        <v>28109000000000</v>
      </c>
      <c r="K26" s="21">
        <v>30900000000000</v>
      </c>
      <c r="L26" s="21">
        <v>35527400000000</v>
      </c>
      <c r="M26" s="21">
        <v>44404800000000.008</v>
      </c>
      <c r="N26" s="286">
        <v>43900000000000</v>
      </c>
      <c r="O26" s="286">
        <v>45800000000000</v>
      </c>
      <c r="P26" s="286">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463"/>
      <c r="AC26" s="2463"/>
      <c r="AD26" s="2463"/>
      <c r="AE26" s="2463"/>
      <c r="AF26" s="2463"/>
      <c r="AG26" s="2463"/>
      <c r="AH26" s="2463"/>
      <c r="AI26" s="2463"/>
      <c r="AJ26" s="2463"/>
      <c r="AK26" s="2463"/>
      <c r="AL26" s="2463"/>
      <c r="AM26" s="2463"/>
      <c r="AN26" s="2463"/>
      <c r="AO26" s="2463"/>
      <c r="AP26" s="2463"/>
      <c r="AQ26" s="2463"/>
      <c r="AR26" s="2463"/>
      <c r="AS26" s="2463"/>
      <c r="AT26" s="2463"/>
      <c r="AU26" s="2463"/>
      <c r="AV26" s="2463"/>
      <c r="AW26" s="2463"/>
      <c r="AX26" s="2463"/>
      <c r="AY26" s="2463"/>
      <c r="AZ26" s="2463"/>
      <c r="BA26" s="2463"/>
      <c r="BB26" s="2463"/>
      <c r="BC26" s="2463"/>
      <c r="BD26" s="2463"/>
      <c r="BE26" s="2463"/>
    </row>
    <row r="27" spans="1:57" ht="16.5">
      <c r="A27" s="64" t="s">
        <v>236</v>
      </c>
      <c r="B27" s="64" t="s">
        <v>1811</v>
      </c>
      <c r="C27" s="58" t="s">
        <v>204</v>
      </c>
      <c r="D27" s="358">
        <v>0</v>
      </c>
      <c r="E27" s="358">
        <v>0</v>
      </c>
      <c r="F27" s="21">
        <v>490646000000</v>
      </c>
      <c r="G27" s="358">
        <v>0</v>
      </c>
      <c r="H27" s="21">
        <v>5847477999999.999</v>
      </c>
      <c r="I27" s="286">
        <v>6122808000000</v>
      </c>
      <c r="J27" s="21">
        <v>7748000000000</v>
      </c>
      <c r="K27" s="21">
        <v>5700000000000</v>
      </c>
      <c r="L27" s="21">
        <v>7201500000000</v>
      </c>
      <c r="M27" s="21">
        <v>10092000000000</v>
      </c>
      <c r="N27" s="286">
        <v>13100000000000</v>
      </c>
      <c r="O27" s="286">
        <v>13800000000000</v>
      </c>
      <c r="P27" s="286">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463"/>
      <c r="AC27" s="2463"/>
      <c r="AD27" s="2463"/>
      <c r="AE27" s="2463"/>
      <c r="AF27" s="2463"/>
      <c r="AG27" s="2463"/>
      <c r="AH27" s="2463"/>
      <c r="AI27" s="2463"/>
      <c r="AJ27" s="2463"/>
      <c r="AK27" s="2463"/>
      <c r="AL27" s="2463"/>
      <c r="AM27" s="2463"/>
      <c r="AN27" s="2463"/>
      <c r="AO27" s="2463"/>
      <c r="AP27" s="2463"/>
      <c r="AQ27" s="2463"/>
      <c r="AR27" s="2463"/>
      <c r="AS27" s="2463"/>
      <c r="AT27" s="2463"/>
      <c r="AU27" s="2463"/>
      <c r="AV27" s="2463"/>
      <c r="AW27" s="2463"/>
      <c r="AX27" s="2463"/>
      <c r="AY27" s="2463"/>
      <c r="AZ27" s="2463"/>
      <c r="BA27" s="2463"/>
      <c r="BB27" s="2463"/>
      <c r="BC27" s="2463"/>
      <c r="BD27" s="2463"/>
      <c r="BE27" s="2463"/>
    </row>
    <row r="28" spans="1:57" ht="16.5">
      <c r="A28" s="58" t="s">
        <v>237</v>
      </c>
      <c r="B28" s="58" t="s">
        <v>1812</v>
      </c>
      <c r="C28" s="58" t="s">
        <v>201</v>
      </c>
      <c r="D28" s="21">
        <v>16473949000000</v>
      </c>
      <c r="E28" s="21">
        <v>18519782000000</v>
      </c>
      <c r="F28" s="21">
        <v>18644548000000</v>
      </c>
      <c r="G28" s="21">
        <v>22332289999999.996</v>
      </c>
      <c r="H28" s="21">
        <v>17542434000000.002</v>
      </c>
      <c r="I28" s="286">
        <v>17007800000000</v>
      </c>
      <c r="J28" s="21">
        <v>21200000000000</v>
      </c>
      <c r="K28" s="21">
        <v>27500000000000</v>
      </c>
      <c r="L28" s="21">
        <v>24005000000000.004</v>
      </c>
      <c r="M28" s="21">
        <v>31285200000000.004</v>
      </c>
      <c r="N28" s="286">
        <v>37200000000000</v>
      </c>
      <c r="O28" s="286">
        <v>50100000000000</v>
      </c>
      <c r="P28" s="286">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463"/>
      <c r="AC28" s="2463"/>
      <c r="AD28" s="2463"/>
      <c r="AE28" s="2463"/>
      <c r="AF28" s="2463"/>
      <c r="AG28" s="2463"/>
      <c r="AH28" s="2463"/>
      <c r="AI28" s="2463"/>
      <c r="AJ28" s="2463"/>
      <c r="AK28" s="2463"/>
      <c r="AL28" s="2463"/>
      <c r="AM28" s="2463"/>
      <c r="AN28" s="2463"/>
      <c r="AO28" s="2463"/>
      <c r="AP28" s="2463"/>
      <c r="AQ28" s="2463"/>
      <c r="AR28" s="2463"/>
      <c r="AS28" s="2463"/>
      <c r="AT28" s="2463"/>
      <c r="AU28" s="2463"/>
      <c r="AV28" s="2463"/>
      <c r="AW28" s="2463"/>
      <c r="AX28" s="2463"/>
      <c r="AY28" s="2463"/>
      <c r="AZ28" s="2463"/>
      <c r="BA28" s="2463"/>
      <c r="BB28" s="2463"/>
      <c r="BC28" s="2463"/>
      <c r="BD28" s="2463"/>
      <c r="BE28" s="2463"/>
    </row>
    <row r="29" spans="1:57" ht="16.5">
      <c r="A29" t="s">
        <v>76</v>
      </c>
      <c r="B29" s="58" t="s">
        <v>1813</v>
      </c>
      <c r="C29" s="58"/>
      <c r="D29" s="21">
        <v>16265418000000</v>
      </c>
      <c r="E29" s="21">
        <v>18519782000000</v>
      </c>
      <c r="F29" s="21">
        <v>18153902000000</v>
      </c>
      <c r="G29" s="21">
        <v>22059944999999.996</v>
      </c>
      <c r="H29" s="21">
        <v>17234671999999.998</v>
      </c>
      <c r="I29" s="286"/>
      <c r="J29" s="21"/>
      <c r="K29" s="21"/>
      <c r="L29" s="21"/>
      <c r="M29" s="21"/>
      <c r="N29" s="286"/>
      <c r="O29" s="286"/>
      <c r="P29" s="286"/>
      <c r="Q29" s="142"/>
      <c r="R29" s="142"/>
      <c r="S29" s="142"/>
      <c r="T29" s="142"/>
      <c r="U29" s="142"/>
      <c r="V29" s="142"/>
      <c r="W29" s="142"/>
      <c r="X29" s="142"/>
      <c r="Y29" s="142"/>
      <c r="Z29" s="125"/>
      <c r="AA29" s="125"/>
      <c r="AB29" s="2463"/>
      <c r="AC29" s="2463"/>
      <c r="AD29" s="2463"/>
      <c r="AE29" s="2463"/>
      <c r="AF29" s="2463"/>
      <c r="AG29" s="2463"/>
      <c r="AH29" s="2463"/>
      <c r="AI29" s="2463"/>
      <c r="AJ29" s="2463"/>
      <c r="AK29" s="2463"/>
      <c r="AL29" s="2463"/>
      <c r="AM29" s="2463"/>
      <c r="AN29" s="2463"/>
      <c r="AO29" s="2463"/>
      <c r="AP29" s="2463"/>
      <c r="AQ29" s="2463"/>
      <c r="AR29" s="2463"/>
      <c r="AS29" s="2463"/>
      <c r="AT29" s="2463"/>
      <c r="AU29" s="2463"/>
      <c r="AV29" s="2463"/>
      <c r="AW29" s="2463"/>
      <c r="AX29" s="2463"/>
      <c r="AY29" s="2463"/>
      <c r="AZ29" s="2463"/>
      <c r="BA29" s="2463"/>
      <c r="BB29" s="2463"/>
      <c r="BC29" s="2463"/>
      <c r="BD29" s="2463"/>
      <c r="BE29" s="2463"/>
    </row>
    <row r="30" spans="1:57">
      <c r="A30" t="s">
        <v>76</v>
      </c>
      <c r="B30" s="58" t="s">
        <v>1814</v>
      </c>
      <c r="C30" s="58"/>
      <c r="D30" s="21"/>
      <c r="E30" s="21">
        <v>0</v>
      </c>
      <c r="F30" s="21">
        <v>0</v>
      </c>
      <c r="G30" s="21">
        <v>272344999999.99997</v>
      </c>
      <c r="H30" s="21">
        <v>0</v>
      </c>
      <c r="I30" s="286"/>
      <c r="J30" s="21"/>
      <c r="K30" s="21"/>
      <c r="L30" s="21"/>
      <c r="M30" s="21"/>
      <c r="N30" s="286"/>
      <c r="O30" s="286"/>
      <c r="P30" s="286"/>
      <c r="Q30" s="210"/>
      <c r="R30" s="210"/>
      <c r="S30" s="210"/>
      <c r="T30" s="210"/>
      <c r="U30" s="210"/>
      <c r="V30" s="210"/>
      <c r="W30" s="210"/>
      <c r="X30" s="389"/>
      <c r="Y30" s="389"/>
      <c r="Z30" s="125"/>
      <c r="AA30" s="125"/>
      <c r="AB30" s="2463"/>
      <c r="AC30" s="2463"/>
      <c r="AD30" s="2463"/>
      <c r="AE30" s="2463"/>
      <c r="AF30" s="2463"/>
      <c r="AG30" s="2463"/>
      <c r="AH30" s="2463"/>
      <c r="AI30" s="2463"/>
      <c r="AJ30" s="2463"/>
      <c r="AK30" s="2463"/>
      <c r="AL30" s="2463"/>
      <c r="AM30" s="2463"/>
      <c r="AN30" s="2463"/>
      <c r="AO30" s="2463"/>
      <c r="AP30" s="2463"/>
      <c r="AQ30" s="2463"/>
      <c r="AR30" s="2463"/>
      <c r="AS30" s="2463"/>
      <c r="AT30" s="2463"/>
      <c r="AU30" s="2463"/>
      <c r="AV30" s="2463"/>
      <c r="AW30" s="2463"/>
      <c r="AX30" s="2463"/>
      <c r="AY30" s="2463"/>
      <c r="AZ30" s="2463"/>
      <c r="BA30" s="2463"/>
      <c r="BB30" s="2463"/>
      <c r="BC30" s="2463"/>
      <c r="BD30" s="2463"/>
      <c r="BE30" s="2463"/>
    </row>
    <row r="31" spans="1:57">
      <c r="A31" t="s">
        <v>76</v>
      </c>
      <c r="B31" s="58" t="s">
        <v>389</v>
      </c>
      <c r="C31" s="58"/>
      <c r="D31" s="21">
        <v>208531000000</v>
      </c>
      <c r="E31" s="404">
        <v>225851000000.00003</v>
      </c>
      <c r="F31" s="404">
        <v>490646000000</v>
      </c>
      <c r="G31" s="404">
        <v>272344999999.99997</v>
      </c>
      <c r="H31" s="404">
        <v>307762000000</v>
      </c>
      <c r="I31" s="286"/>
      <c r="J31" s="21"/>
      <c r="K31" s="21"/>
      <c r="L31" s="21"/>
      <c r="M31" s="21"/>
      <c r="N31" s="286"/>
      <c r="O31" s="286"/>
      <c r="P31" s="286"/>
      <c r="Q31" s="210"/>
      <c r="R31" s="210"/>
      <c r="S31" s="210"/>
      <c r="T31" s="210"/>
      <c r="U31" s="210"/>
      <c r="V31" s="210"/>
      <c r="W31" s="210"/>
      <c r="X31" s="389"/>
      <c r="Y31" s="389"/>
      <c r="Z31" s="125"/>
      <c r="AA31" s="125"/>
      <c r="AB31" s="2463"/>
      <c r="AC31" s="2463"/>
      <c r="AD31" s="2463"/>
      <c r="AE31" s="2463"/>
      <c r="AF31" s="2463"/>
      <c r="AG31" s="2463"/>
      <c r="AH31" s="2463"/>
      <c r="AI31" s="2463"/>
      <c r="AJ31" s="2463"/>
      <c r="AK31" s="2463"/>
      <c r="AL31" s="2463"/>
      <c r="AM31" s="2463"/>
      <c r="AN31" s="2463"/>
      <c r="AO31" s="2463"/>
      <c r="AP31" s="2463"/>
      <c r="AQ31" s="2463"/>
      <c r="AR31" s="2463"/>
      <c r="AS31" s="2463"/>
      <c r="AT31" s="2463"/>
      <c r="AU31" s="2463"/>
      <c r="AV31" s="2463"/>
      <c r="AW31" s="2463"/>
      <c r="AX31" s="2463"/>
      <c r="AY31" s="2463"/>
      <c r="AZ31" s="2463"/>
      <c r="BA31" s="2463"/>
      <c r="BB31" s="2463"/>
      <c r="BC31" s="2463"/>
      <c r="BD31" s="2463"/>
      <c r="BE31" s="2463"/>
    </row>
    <row r="32" spans="1:57">
      <c r="A32" s="58" t="s">
        <v>612</v>
      </c>
      <c r="B32" s="58" t="s">
        <v>588</v>
      </c>
      <c r="C32" s="58" t="s">
        <v>201</v>
      </c>
      <c r="D32" s="21">
        <v>0</v>
      </c>
      <c r="E32" s="404">
        <v>225851000000.00003</v>
      </c>
      <c r="F32" s="404">
        <v>245323000000</v>
      </c>
      <c r="G32" s="404">
        <v>0</v>
      </c>
      <c r="H32" s="404">
        <v>0</v>
      </c>
      <c r="I32" s="286"/>
      <c r="J32" s="21"/>
      <c r="K32" s="21"/>
      <c r="L32" s="21"/>
      <c r="M32" s="21"/>
      <c r="N32" s="286"/>
      <c r="O32" s="286"/>
      <c r="P32" s="286"/>
      <c r="Q32" s="210"/>
      <c r="R32" s="210"/>
      <c r="S32" s="210"/>
      <c r="T32" s="210"/>
      <c r="U32" s="210"/>
      <c r="V32" s="210"/>
      <c r="W32" s="210"/>
      <c r="X32" s="389"/>
      <c r="Y32" s="389"/>
      <c r="Z32" s="125"/>
      <c r="AA32" s="2628"/>
      <c r="AB32" s="2463"/>
      <c r="AC32" s="2463"/>
      <c r="AD32" s="2463"/>
      <c r="AE32" s="2463"/>
      <c r="AF32" s="2463"/>
      <c r="AG32" s="2463"/>
      <c r="AH32" s="2463"/>
      <c r="AI32" s="2463"/>
      <c r="AJ32" s="2463"/>
      <c r="AK32" s="2463"/>
      <c r="AL32" s="2463"/>
      <c r="AM32" s="2463"/>
      <c r="AN32" s="2463"/>
      <c r="AO32" s="2463"/>
      <c r="AP32" s="2463"/>
      <c r="AQ32" s="2463"/>
      <c r="AR32" s="2463"/>
      <c r="AS32" s="2463"/>
      <c r="AT32" s="2463"/>
      <c r="AU32" s="2463"/>
      <c r="AV32" s="2463"/>
      <c r="AW32" s="2463"/>
      <c r="AX32" s="2463"/>
      <c r="AY32" s="2463"/>
      <c r="AZ32" s="2463"/>
      <c r="BA32" s="2463"/>
      <c r="BB32" s="2463"/>
      <c r="BC32" s="2463"/>
      <c r="BD32" s="2463"/>
      <c r="BE32" s="2463"/>
    </row>
    <row r="33" spans="1:57">
      <c r="A33" t="s">
        <v>76</v>
      </c>
      <c r="B33" s="58" t="s">
        <v>1815</v>
      </c>
      <c r="C33" s="58"/>
      <c r="D33" s="21">
        <v>0</v>
      </c>
      <c r="E33" s="21">
        <v>451702000000.00006</v>
      </c>
      <c r="F33" s="21">
        <v>-245323000000</v>
      </c>
      <c r="G33" s="21">
        <v>1906414999999.9998</v>
      </c>
      <c r="H33" s="21">
        <v>-923286000000</v>
      </c>
      <c r="I33" s="286">
        <v>340156000000</v>
      </c>
      <c r="J33" s="21">
        <v>-578000000000</v>
      </c>
      <c r="K33" s="21">
        <v>800000000000</v>
      </c>
      <c r="L33" s="21">
        <v>-1440300000000</v>
      </c>
      <c r="M33" s="21">
        <v>-1009200000000.0001</v>
      </c>
      <c r="N33" s="286">
        <v>-1000000000000</v>
      </c>
      <c r="O33" s="286">
        <v>-1000000000000</v>
      </c>
      <c r="P33" s="286">
        <v>-2200000000000</v>
      </c>
      <c r="Q33" s="210">
        <v>710500000000</v>
      </c>
      <c r="R33" s="210">
        <v>0</v>
      </c>
      <c r="S33" s="210">
        <v>0</v>
      </c>
      <c r="T33" s="210">
        <v>0</v>
      </c>
      <c r="U33" s="210"/>
      <c r="V33" s="210"/>
      <c r="W33" s="210"/>
      <c r="X33" s="389"/>
      <c r="Y33" s="389"/>
      <c r="Z33" s="125"/>
      <c r="AA33" s="125"/>
      <c r="AB33" s="2463"/>
      <c r="AC33" s="2463"/>
      <c r="AD33" s="2463"/>
      <c r="AE33" s="2463"/>
      <c r="AF33" s="2463"/>
      <c r="AG33" s="2463"/>
      <c r="AH33" s="2463"/>
      <c r="AI33" s="2463"/>
      <c r="AJ33" s="2463"/>
      <c r="AK33" s="2463"/>
      <c r="AL33" s="2463"/>
      <c r="AM33" s="2463"/>
      <c r="AN33" s="2463"/>
      <c r="AO33" s="2463"/>
      <c r="AP33" s="2463"/>
      <c r="AQ33" s="2463"/>
      <c r="AR33" s="2463"/>
      <c r="AS33" s="2463"/>
      <c r="AT33" s="2463"/>
      <c r="AU33" s="2463"/>
      <c r="AV33" s="2463"/>
      <c r="AW33" s="2463"/>
      <c r="AX33" s="2463"/>
      <c r="AY33" s="2463"/>
      <c r="AZ33" s="2463"/>
      <c r="BA33" s="2463"/>
      <c r="BB33" s="2463"/>
      <c r="BC33" s="2463"/>
      <c r="BD33" s="2463"/>
      <c r="BE33" s="2463"/>
    </row>
    <row r="34" spans="1:57" ht="16.5">
      <c r="A34" t="s">
        <v>76</v>
      </c>
      <c r="B34" s="58" t="s">
        <v>1816</v>
      </c>
      <c r="C34" s="58"/>
      <c r="D34" s="21">
        <v>-7298585000000</v>
      </c>
      <c r="E34" s="404">
        <v>-7904785000000.001</v>
      </c>
      <c r="F34" s="404">
        <v>-10303566000000</v>
      </c>
      <c r="G34" s="404">
        <v>-8715039999999.999</v>
      </c>
      <c r="H34" s="404">
        <v>-4616430000000</v>
      </c>
      <c r="I34" s="286">
        <v>0</v>
      </c>
      <c r="J34" s="21">
        <v>-3808000000000</v>
      </c>
      <c r="K34" s="21">
        <v>-3700000000000</v>
      </c>
      <c r="L34" s="21">
        <v>-1440300000000</v>
      </c>
      <c r="M34" s="21">
        <v>-14128800000000</v>
      </c>
      <c r="N34" s="286">
        <v>-18000000000000</v>
      </c>
      <c r="O34" s="286">
        <v>-12300000000000</v>
      </c>
      <c r="P34" s="286">
        <v>800000000000</v>
      </c>
      <c r="Q34" s="354">
        <v>-6394500000000.001</v>
      </c>
      <c r="R34" s="354">
        <v>-13627800000000.002</v>
      </c>
      <c r="S34" s="354">
        <v>-27176200000000</v>
      </c>
      <c r="T34" s="354">
        <v>-29331800000000.004</v>
      </c>
      <c r="U34" s="354"/>
      <c r="V34" s="354"/>
      <c r="W34" s="354"/>
      <c r="X34" s="354"/>
      <c r="Y34" s="354"/>
      <c r="Z34" s="125"/>
      <c r="AA34" s="125"/>
      <c r="AB34" s="2463"/>
      <c r="AC34" s="2463"/>
      <c r="AD34" s="2463"/>
      <c r="AE34" s="2463"/>
      <c r="AF34" s="2463"/>
      <c r="AG34" s="2463"/>
      <c r="AH34" s="2463"/>
      <c r="AI34" s="2463"/>
      <c r="AJ34" s="2463"/>
      <c r="AK34" s="2463"/>
      <c r="AL34" s="2463"/>
      <c r="AM34" s="2463"/>
      <c r="AN34" s="2463"/>
      <c r="AO34" s="2463"/>
      <c r="AP34" s="2463"/>
      <c r="AQ34" s="2463"/>
      <c r="AR34" s="2463"/>
      <c r="AS34" s="2463"/>
      <c r="AT34" s="2463"/>
      <c r="AU34" s="2463"/>
      <c r="AV34" s="2463"/>
      <c r="AW34" s="2463"/>
      <c r="AX34" s="2463"/>
      <c r="AY34" s="2463"/>
      <c r="AZ34" s="2463"/>
      <c r="BA34" s="2463"/>
      <c r="BB34" s="2463"/>
      <c r="BC34" s="2463"/>
      <c r="BD34" s="2463"/>
      <c r="BE34" s="2463"/>
    </row>
    <row r="35" spans="1:57" ht="16.5">
      <c r="A35" t="s">
        <v>76</v>
      </c>
      <c r="B35" s="58" t="s">
        <v>1817</v>
      </c>
      <c r="C35" s="58"/>
      <c r="D35" s="21">
        <v>1042655000000</v>
      </c>
      <c r="E35" s="404">
        <v>1580957000000</v>
      </c>
      <c r="F35" s="404">
        <v>1962584000000</v>
      </c>
      <c r="G35" s="404">
        <v>1634070000000</v>
      </c>
      <c r="H35" s="404">
        <v>1538810000000</v>
      </c>
      <c r="I35" s="286">
        <v>680312000000</v>
      </c>
      <c r="J35" s="21">
        <v>1440000000000</v>
      </c>
      <c r="K35" s="21">
        <v>1600000000000</v>
      </c>
      <c r="L35" s="21">
        <v>1440300000000</v>
      </c>
      <c r="M35" s="21">
        <v>504600000000.00006</v>
      </c>
      <c r="N35" s="286">
        <v>200000000000</v>
      </c>
      <c r="O35" s="286">
        <v>0</v>
      </c>
      <c r="P35" s="286">
        <v>-600000000000</v>
      </c>
      <c r="Q35" s="142">
        <v>-710500000000</v>
      </c>
      <c r="R35" s="142">
        <v>-757100000000</v>
      </c>
      <c r="S35" s="142">
        <v>-799300000000</v>
      </c>
      <c r="T35" s="142">
        <v>862700000000</v>
      </c>
      <c r="U35" s="142"/>
      <c r="V35" s="142"/>
      <c r="W35" s="142"/>
      <c r="X35" s="142"/>
      <c r="Y35" s="142"/>
      <c r="Z35" s="125"/>
      <c r="AA35" s="125"/>
      <c r="AB35" s="2463"/>
      <c r="AC35" s="2463"/>
      <c r="AD35" s="2463"/>
      <c r="AE35" s="2463"/>
      <c r="AF35" s="2463"/>
      <c r="AG35" s="2463"/>
      <c r="AH35" s="2463"/>
      <c r="AI35" s="2463"/>
      <c r="AJ35" s="2463"/>
      <c r="AK35" s="2463"/>
      <c r="AL35" s="2463"/>
      <c r="AM35" s="2463"/>
      <c r="AN35" s="2463"/>
      <c r="AO35" s="2463"/>
      <c r="AP35" s="2463"/>
      <c r="AQ35" s="2463"/>
      <c r="AR35" s="2463"/>
      <c r="AS35" s="2463"/>
      <c r="AT35" s="2463"/>
      <c r="AU35" s="2463"/>
      <c r="AV35" s="2463"/>
      <c r="AW35" s="2463"/>
      <c r="AX35" s="2463"/>
      <c r="AY35" s="2463"/>
      <c r="AZ35" s="2463"/>
      <c r="BA35" s="2463"/>
      <c r="BB35" s="2463"/>
      <c r="BC35" s="2463"/>
      <c r="BD35" s="2463"/>
      <c r="BE35" s="2463"/>
    </row>
    <row r="36" spans="1:57" ht="16.5">
      <c r="A36" t="s">
        <v>76</v>
      </c>
      <c r="B36" s="58" t="s">
        <v>1818</v>
      </c>
      <c r="C36" s="58"/>
      <c r="D36" s="21">
        <v>0</v>
      </c>
      <c r="E36" s="404">
        <v>451702000000.00006</v>
      </c>
      <c r="F36" s="404">
        <v>735968999999.99988</v>
      </c>
      <c r="G36" s="404">
        <v>817035000000</v>
      </c>
      <c r="H36" s="404">
        <v>923286000000</v>
      </c>
      <c r="I36" s="286">
        <v>680312000000</v>
      </c>
      <c r="J36" s="21">
        <v>773000000000</v>
      </c>
      <c r="K36" s="21">
        <v>300000000000</v>
      </c>
      <c r="L36" s="21">
        <v>480100000000</v>
      </c>
      <c r="M36" s="21">
        <v>1009200000000.0001</v>
      </c>
      <c r="N36" s="286">
        <v>400000000000</v>
      </c>
      <c r="O36" s="286">
        <v>100000000000</v>
      </c>
      <c r="P36" s="286">
        <v>1000000000000</v>
      </c>
      <c r="Q36" s="142">
        <v>710500000000</v>
      </c>
      <c r="R36" s="142">
        <v>757100000000</v>
      </c>
      <c r="S36" s="142">
        <v>799300000000</v>
      </c>
      <c r="T36" s="142">
        <v>862700000000</v>
      </c>
      <c r="U36" s="142"/>
      <c r="V36" s="142"/>
      <c r="W36" s="142"/>
      <c r="X36" s="142"/>
      <c r="Y36" s="142"/>
      <c r="Z36" s="125"/>
      <c r="AA36" s="125"/>
      <c r="AB36" s="2463"/>
      <c r="AC36" s="2463"/>
      <c r="AD36" s="2463"/>
      <c r="AE36" s="2463"/>
      <c r="AF36" s="2463"/>
      <c r="AG36" s="2463"/>
      <c r="AH36" s="2463"/>
      <c r="AI36" s="2463"/>
      <c r="AJ36" s="2463"/>
      <c r="AK36" s="2463"/>
      <c r="AL36" s="2463"/>
      <c r="AM36" s="2463"/>
      <c r="AN36" s="2463"/>
      <c r="AO36" s="2463"/>
      <c r="AP36" s="2463"/>
      <c r="AQ36" s="2463"/>
      <c r="AR36" s="2463"/>
      <c r="AS36" s="2463"/>
      <c r="AT36" s="2463"/>
      <c r="AU36" s="2463"/>
      <c r="AV36" s="2463"/>
      <c r="AW36" s="2463"/>
      <c r="AX36" s="2463"/>
      <c r="AY36" s="2463"/>
      <c r="AZ36" s="2463"/>
      <c r="BA36" s="2463"/>
      <c r="BB36" s="2463"/>
      <c r="BC36" s="2463"/>
      <c r="BD36" s="2463"/>
      <c r="BE36" s="2463"/>
    </row>
    <row r="37" spans="1:57" ht="16.5">
      <c r="A37" t="s">
        <v>76</v>
      </c>
      <c r="B37" s="58" t="s">
        <v>1819</v>
      </c>
      <c r="C37" s="58"/>
      <c r="D37" s="21">
        <v>-834124000000</v>
      </c>
      <c r="E37" s="404">
        <v>-1580957000000</v>
      </c>
      <c r="F37" s="404">
        <v>-1471937999999.9998</v>
      </c>
      <c r="G37" s="404">
        <v>-1089379999999.9999</v>
      </c>
      <c r="H37" s="404">
        <v>-1538810000000</v>
      </c>
      <c r="I37" s="286">
        <v>-1360624000000</v>
      </c>
      <c r="J37" s="21">
        <v>-1113000000000</v>
      </c>
      <c r="K37" s="21">
        <v>-1200000000000</v>
      </c>
      <c r="L37" s="21">
        <v>-1440300000000</v>
      </c>
      <c r="M37" s="21">
        <v>-1009200000000.0001</v>
      </c>
      <c r="N37" s="286">
        <v>-400000000000</v>
      </c>
      <c r="O37" s="286">
        <v>-300000000000</v>
      </c>
      <c r="P37" s="286">
        <v>100000000000</v>
      </c>
      <c r="Q37" s="142">
        <v>0</v>
      </c>
      <c r="R37" s="142">
        <v>0</v>
      </c>
      <c r="S37" s="142">
        <v>0</v>
      </c>
      <c r="T37" s="142">
        <v>0</v>
      </c>
      <c r="U37" s="142"/>
      <c r="V37" s="142"/>
      <c r="W37" s="142"/>
      <c r="X37" s="142"/>
      <c r="Y37" s="142"/>
      <c r="Z37" s="125"/>
      <c r="AA37" s="125"/>
      <c r="AB37" s="2463"/>
      <c r="AC37" s="2463"/>
      <c r="AD37" s="2463"/>
      <c r="AE37" s="2463"/>
      <c r="AF37" s="2463"/>
      <c r="AG37" s="2463"/>
      <c r="AH37" s="2463"/>
      <c r="AI37" s="2463"/>
      <c r="AJ37" s="2463"/>
      <c r="AK37" s="2463"/>
      <c r="AL37" s="2463"/>
      <c r="AM37" s="2463"/>
      <c r="AN37" s="2463"/>
      <c r="AO37" s="2463"/>
      <c r="AP37" s="2463"/>
      <c r="AQ37" s="2463"/>
      <c r="AR37" s="2463"/>
      <c r="AS37" s="2463"/>
      <c r="AT37" s="2463"/>
      <c r="AU37" s="2463"/>
      <c r="AV37" s="2463"/>
      <c r="AW37" s="2463"/>
      <c r="AX37" s="2463"/>
      <c r="AY37" s="2463"/>
      <c r="AZ37" s="2463"/>
      <c r="BA37" s="2463"/>
      <c r="BB37" s="2463"/>
      <c r="BC37" s="2463"/>
      <c r="BD37" s="2463"/>
      <c r="BE37" s="2463"/>
    </row>
    <row r="38" spans="1:57" ht="16.5">
      <c r="A38" t="s">
        <v>76</v>
      </c>
      <c r="B38" s="58" t="s">
        <v>1820</v>
      </c>
      <c r="C38" s="58"/>
      <c r="D38" s="21">
        <v>-7090053999999.999</v>
      </c>
      <c r="E38" s="21">
        <v>-7227232000000.001</v>
      </c>
      <c r="F38" s="21">
        <v>-8831628000000</v>
      </c>
      <c r="G38" s="21">
        <v>-7353315000000</v>
      </c>
      <c r="H38" s="21">
        <v>-4000906000000</v>
      </c>
      <c r="I38" s="286">
        <v>0</v>
      </c>
      <c r="J38" s="21">
        <v>-2708000000000</v>
      </c>
      <c r="K38" s="21">
        <v>-2800000000000</v>
      </c>
      <c r="L38" s="21">
        <v>-480100000000</v>
      </c>
      <c r="M38" s="21">
        <v>-13624200000000.002</v>
      </c>
      <c r="N38" s="286">
        <v>-17700000000000</v>
      </c>
      <c r="O38" s="286">
        <v>-12600000000000</v>
      </c>
      <c r="P38" s="286">
        <v>1300000000000</v>
      </c>
      <c r="Q38" s="354">
        <v>-6394500000000.001</v>
      </c>
      <c r="R38" s="354">
        <v>-13627800000000.002</v>
      </c>
      <c r="S38" s="354">
        <v>-27176200000000</v>
      </c>
      <c r="T38" s="354">
        <v>-26743700000000</v>
      </c>
      <c r="U38" s="354"/>
      <c r="V38" s="354"/>
      <c r="W38" s="354"/>
      <c r="X38" s="354"/>
      <c r="Y38" s="354"/>
      <c r="Z38" s="125"/>
      <c r="AA38" s="125"/>
      <c r="AB38" s="2463"/>
      <c r="AC38" s="2463"/>
      <c r="AD38" s="2463"/>
      <c r="AE38" s="2463"/>
      <c r="AF38" s="2463"/>
      <c r="AG38" s="2463"/>
      <c r="AH38" s="2463"/>
      <c r="AI38" s="2463"/>
      <c r="AJ38" s="2463"/>
      <c r="AK38" s="2463"/>
      <c r="AL38" s="2463"/>
      <c r="AM38" s="2463"/>
      <c r="AN38" s="2463"/>
      <c r="AO38" s="2463"/>
      <c r="AP38" s="2463"/>
      <c r="AQ38" s="2463"/>
      <c r="AR38" s="2463"/>
      <c r="AS38" s="2463"/>
      <c r="AT38" s="2463"/>
      <c r="AU38" s="2463"/>
      <c r="AV38" s="2463"/>
      <c r="AW38" s="2463"/>
      <c r="AX38" s="2463"/>
      <c r="AY38" s="2463"/>
      <c r="AZ38" s="2463"/>
      <c r="BA38" s="2463"/>
      <c r="BB38" s="2463"/>
      <c r="BC38" s="2463"/>
      <c r="BD38" s="2463"/>
      <c r="BE38" s="2463"/>
    </row>
    <row r="39" spans="1:57" s="9" customFormat="1" ht="16.5">
      <c r="A39" s="148" t="s">
        <v>115</v>
      </c>
      <c r="B39" s="55" t="s">
        <v>1821</v>
      </c>
      <c r="C39" s="55" t="s">
        <v>35</v>
      </c>
      <c r="D39" s="405">
        <f>D40+D41+D42</f>
        <v>6881523000000</v>
      </c>
      <c r="E39" s="404">
        <v>7227232000000.001</v>
      </c>
      <c r="F39" s="404">
        <v>8831628000000</v>
      </c>
      <c r="G39" s="404">
        <v>7353315000000</v>
      </c>
      <c r="H39" s="404">
        <v>4000906000000</v>
      </c>
      <c r="I39" s="292">
        <v>0</v>
      </c>
      <c r="J39" s="292">
        <v>2708000000000</v>
      </c>
      <c r="K39" s="292">
        <v>2800000000000</v>
      </c>
      <c r="L39" s="405">
        <f>L40+L41+L42</f>
        <v>960200000000</v>
      </c>
      <c r="M39" s="292">
        <v>13624200000000.002</v>
      </c>
      <c r="N39" s="281">
        <v>17700000000000</v>
      </c>
      <c r="O39" s="281">
        <v>12600000000000</v>
      </c>
      <c r="P39" s="281">
        <v>-1300000000000</v>
      </c>
      <c r="Q39" s="356">
        <v>6394500000000.001</v>
      </c>
      <c r="R39" s="356">
        <v>13627800000000.002</v>
      </c>
      <c r="S39" s="356">
        <v>27176200000000</v>
      </c>
      <c r="T39" s="356">
        <v>26743700000000</v>
      </c>
      <c r="U39" s="356">
        <f>U40+U41</f>
        <v>26462500000000</v>
      </c>
      <c r="V39" s="356">
        <f t="shared" ref="V39:AA39" si="10">V40+V41</f>
        <v>24212500000000</v>
      </c>
      <c r="W39" s="356">
        <f t="shared" si="10"/>
        <v>17501500000000</v>
      </c>
      <c r="X39" s="356">
        <f t="shared" si="10"/>
        <v>6594599999999.998</v>
      </c>
      <c r="Y39" s="356">
        <f t="shared" si="10"/>
        <v>5867000000000</v>
      </c>
      <c r="Z39" s="356">
        <f t="shared" si="10"/>
        <v>5006000000000</v>
      </c>
      <c r="AA39" s="356">
        <f t="shared" si="10"/>
        <v>8008800000000</v>
      </c>
      <c r="AB39" s="2463"/>
      <c r="AC39" s="2463"/>
      <c r="AD39" s="2463"/>
      <c r="AE39" s="2463"/>
      <c r="AF39" s="2463"/>
      <c r="AG39" s="2463"/>
      <c r="AH39" s="2463"/>
      <c r="AI39" s="2463"/>
      <c r="AJ39" s="2463"/>
      <c r="AK39" s="2463"/>
      <c r="AL39" s="2463"/>
      <c r="AM39" s="2463"/>
      <c r="AN39" s="2463"/>
      <c r="AO39" s="2463"/>
      <c r="AP39" s="2463"/>
      <c r="AQ39" s="2463"/>
      <c r="AR39" s="2463"/>
      <c r="AS39" s="2463"/>
      <c r="AT39" s="2463"/>
      <c r="AU39" s="2463"/>
      <c r="AV39" s="2463"/>
      <c r="AW39" s="2463"/>
      <c r="AX39" s="2463"/>
      <c r="AY39" s="2463"/>
      <c r="AZ39" s="2463"/>
      <c r="BA39" s="2463"/>
      <c r="BB39" s="2463"/>
      <c r="BC39" s="2463"/>
      <c r="BD39" s="2463"/>
      <c r="BE39" s="2463"/>
    </row>
    <row r="40" spans="1:57" ht="16.5">
      <c r="A40" s="58" t="s">
        <v>117</v>
      </c>
      <c r="B40" s="58" t="s">
        <v>1822</v>
      </c>
      <c r="C40" s="58" t="s">
        <v>252</v>
      </c>
      <c r="D40" s="404">
        <v>3336496000000</v>
      </c>
      <c r="E40" s="404">
        <v>5194573000000</v>
      </c>
      <c r="F40" s="404">
        <v>1471937999999.9998</v>
      </c>
      <c r="G40" s="404">
        <v>2723450000000</v>
      </c>
      <c r="H40" s="404">
        <v>1538810000000</v>
      </c>
      <c r="I40" s="286">
        <v>-4762183999999.999</v>
      </c>
      <c r="J40" s="21">
        <v>2068000000000</v>
      </c>
      <c r="K40" s="21">
        <v>6900000000000</v>
      </c>
      <c r="L40" s="21">
        <v>1440300000000</v>
      </c>
      <c r="M40" s="21">
        <v>8073600000000.001</v>
      </c>
      <c r="N40" s="286">
        <v>9000000000000</v>
      </c>
      <c r="O40" s="286">
        <v>5800000000000</v>
      </c>
      <c r="P40" s="286">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463"/>
      <c r="AC40" s="2463"/>
      <c r="AD40" s="2463"/>
      <c r="AE40" s="2463"/>
      <c r="AF40" s="2463"/>
      <c r="AG40" s="2463"/>
      <c r="AH40" s="2463"/>
      <c r="AI40" s="2463"/>
      <c r="AJ40" s="2463"/>
      <c r="AK40" s="2463"/>
      <c r="AL40" s="2463"/>
      <c r="AM40" s="2463"/>
      <c r="AN40" s="2463"/>
      <c r="AO40" s="2463"/>
      <c r="AP40" s="2463"/>
      <c r="AQ40" s="2463"/>
      <c r="AR40" s="2463"/>
      <c r="AS40" s="2463"/>
      <c r="AT40" s="2463"/>
      <c r="AU40" s="2463"/>
      <c r="AV40" s="2463"/>
      <c r="AW40" s="2463"/>
      <c r="AX40" s="2463"/>
      <c r="AY40" s="2463"/>
      <c r="AZ40" s="2463"/>
      <c r="BA40" s="2463"/>
      <c r="BB40" s="2463"/>
      <c r="BC40" s="2463"/>
      <c r="BD40" s="2463"/>
      <c r="BE40" s="2463"/>
    </row>
    <row r="41" spans="1:57" ht="16.5">
      <c r="A41" t="s">
        <v>120</v>
      </c>
      <c r="B41" s="58" t="s">
        <v>1823</v>
      </c>
      <c r="C41" s="58" t="s">
        <v>252</v>
      </c>
      <c r="D41" s="404">
        <v>2502372000000</v>
      </c>
      <c r="E41" s="21">
        <v>2032659000000.0002</v>
      </c>
      <c r="F41" s="21">
        <v>7605013000000</v>
      </c>
      <c r="G41" s="21">
        <v>4902210000000</v>
      </c>
      <c r="H41" s="21">
        <v>2769858000000</v>
      </c>
      <c r="I41" s="286">
        <v>4762183999999.999</v>
      </c>
      <c r="J41" s="21">
        <v>623000000000</v>
      </c>
      <c r="K41" s="21">
        <v>-10300000000000</v>
      </c>
      <c r="L41" s="21">
        <v>-960200000000</v>
      </c>
      <c r="M41" s="21">
        <v>4541400000000</v>
      </c>
      <c r="N41" s="286">
        <v>8199999999999.999</v>
      </c>
      <c r="O41" s="286">
        <v>6800000000000</v>
      </c>
      <c r="P41" s="286">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463"/>
      <c r="AC41" s="2463"/>
      <c r="AD41" s="2463"/>
      <c r="AE41" s="2463"/>
      <c r="AF41" s="2463"/>
      <c r="AG41" s="2463"/>
      <c r="AH41" s="2463"/>
      <c r="AI41" s="2463"/>
      <c r="AJ41" s="2463"/>
      <c r="AK41" s="2463"/>
      <c r="AL41" s="2463"/>
      <c r="AM41" s="2463"/>
      <c r="AN41" s="2463"/>
      <c r="AO41" s="2463"/>
      <c r="AP41" s="2463"/>
      <c r="AQ41" s="2463"/>
      <c r="AR41" s="2463"/>
      <c r="AS41" s="2463"/>
      <c r="AT41" s="2463"/>
      <c r="AU41" s="2463"/>
      <c r="AV41" s="2463"/>
      <c r="AW41" s="2463"/>
      <c r="AX41" s="2463"/>
      <c r="AY41" s="2463"/>
      <c r="AZ41" s="2463"/>
      <c r="BA41" s="2463"/>
      <c r="BB41" s="2463"/>
      <c r="BC41" s="2463"/>
      <c r="BD41" s="2463"/>
      <c r="BE41" s="2463"/>
    </row>
    <row r="42" spans="1:57">
      <c r="A42" s="58" t="s">
        <v>1824</v>
      </c>
      <c r="B42" s="58" t="s">
        <v>1825</v>
      </c>
      <c r="C42" s="58" t="s">
        <v>252</v>
      </c>
      <c r="D42" s="21">
        <v>1042655000000</v>
      </c>
      <c r="E42" s="21">
        <v>0</v>
      </c>
      <c r="F42" s="21">
        <v>-245323000000</v>
      </c>
      <c r="G42" s="21">
        <v>-272344999999.99997</v>
      </c>
      <c r="H42" s="21">
        <v>-307762000000</v>
      </c>
      <c r="I42" s="286">
        <v>0</v>
      </c>
      <c r="J42" s="21">
        <v>16000000000</v>
      </c>
      <c r="K42" s="21">
        <v>6200000000000</v>
      </c>
      <c r="L42" s="21">
        <v>480100000000</v>
      </c>
      <c r="M42" s="21">
        <v>1009200000000.0001</v>
      </c>
      <c r="N42" s="286">
        <v>500000000000</v>
      </c>
      <c r="O42" s="286">
        <v>0</v>
      </c>
      <c r="P42" s="286">
        <v>900000000000</v>
      </c>
      <c r="Q42" s="210"/>
      <c r="R42" s="210"/>
      <c r="S42" s="210"/>
      <c r="T42" s="210"/>
      <c r="U42" s="210"/>
      <c r="V42" s="210"/>
      <c r="W42" s="210"/>
      <c r="X42" s="389"/>
      <c r="Y42" s="389"/>
      <c r="AB42" s="2463"/>
      <c r="AC42" s="2463"/>
      <c r="AD42" s="2463"/>
      <c r="AE42" s="2463"/>
      <c r="AF42" s="2463"/>
      <c r="AG42" s="2463"/>
      <c r="AH42" s="2463"/>
      <c r="AI42" s="2463"/>
      <c r="AJ42" s="2463"/>
      <c r="AK42" s="2463"/>
      <c r="AL42" s="2463"/>
      <c r="AM42" s="2463"/>
      <c r="AN42" s="2463"/>
      <c r="AO42" s="2463"/>
      <c r="AP42" s="2463"/>
      <c r="AQ42" s="2463"/>
      <c r="AR42" s="2463"/>
      <c r="AS42" s="2463"/>
      <c r="AT42" s="2463"/>
      <c r="AU42" s="2463"/>
      <c r="AV42" s="2463"/>
      <c r="AW42" s="2463"/>
      <c r="AX42" s="2463"/>
      <c r="AY42" s="2463"/>
      <c r="AZ42" s="2463"/>
      <c r="BA42" s="2463"/>
      <c r="BB42" s="2463"/>
      <c r="BC42" s="2463"/>
      <c r="BD42" s="2463"/>
      <c r="BE42" s="2463"/>
    </row>
    <row r="43" spans="1:57">
      <c r="A43" s="276" t="s">
        <v>1826</v>
      </c>
      <c r="B43" s="58"/>
      <c r="C43" s="58"/>
      <c r="Q43" s="21"/>
      <c r="R43" s="21"/>
      <c r="S43" s="21"/>
      <c r="T43" s="21"/>
      <c r="U43" s="21"/>
      <c r="V43" s="21"/>
      <c r="W43" s="21"/>
      <c r="X43" s="389"/>
      <c r="Y43" s="389"/>
      <c r="AB43" s="2463"/>
      <c r="AC43" s="2463"/>
      <c r="AD43" s="2463"/>
      <c r="AE43" s="2463"/>
      <c r="AF43" s="2463"/>
      <c r="AG43" s="2463"/>
      <c r="AH43" s="2463"/>
      <c r="AI43" s="2463"/>
      <c r="AJ43" s="2463"/>
      <c r="AK43" s="2463"/>
      <c r="AL43" s="2463"/>
      <c r="AM43" s="2463"/>
      <c r="AN43" s="2463"/>
      <c r="AO43" s="2463"/>
      <c r="AP43" s="2463"/>
      <c r="AQ43" s="2463"/>
      <c r="AR43" s="2463"/>
      <c r="AS43" s="2463"/>
      <c r="AT43" s="2463"/>
      <c r="AU43" s="2463"/>
      <c r="AV43" s="2463"/>
      <c r="AW43" s="2463"/>
      <c r="AX43" s="2463"/>
      <c r="AY43" s="2463"/>
      <c r="AZ43" s="2463"/>
      <c r="BA43" s="2463"/>
      <c r="BB43" s="2463"/>
      <c r="BC43" s="2463"/>
      <c r="BD43" s="2463"/>
      <c r="BE43" s="2463"/>
    </row>
    <row r="44" spans="1:57">
      <c r="A44" s="276" t="s">
        <v>1827</v>
      </c>
      <c r="B44" s="58"/>
      <c r="C44" s="58"/>
      <c r="Q44" s="21">
        <v>34814353000000</v>
      </c>
      <c r="R44" s="21">
        <v>30300240000000</v>
      </c>
      <c r="S44" s="21">
        <v>19220376000000</v>
      </c>
      <c r="T44" s="21">
        <v>8528990000000</v>
      </c>
      <c r="U44" s="21"/>
      <c r="V44" s="21"/>
      <c r="W44" s="21"/>
      <c r="X44" s="389"/>
      <c r="Y44" s="389"/>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1828</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450</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1829</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1830</v>
      </c>
      <c r="C52" s="58"/>
      <c r="D52" s="21">
        <f t="shared" ref="D52:R52" si="20">D20-D21-D22-D23-D26-D27</f>
        <v>0</v>
      </c>
      <c r="E52" s="21">
        <f t="shared" si="20"/>
        <v>-3.90625E-3</v>
      </c>
      <c r="F52" s="21">
        <f t="shared" si="20"/>
        <v>-3.90625E-3</v>
      </c>
      <c r="G52" s="21">
        <f t="shared" si="20"/>
        <v>-1.171875E-2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1831</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140"/>
      <c r="X55" s="2"/>
      <c r="Y55" s="2"/>
      <c r="Z55" s="2"/>
      <c r="AA55" s="2"/>
    </row>
    <row r="56" spans="2:27" ht="15.75" thickBot="1">
      <c r="B56" s="58"/>
      <c r="C56" s="58"/>
      <c r="X56" s="2"/>
      <c r="Y56" s="2"/>
      <c r="Z56" s="2"/>
      <c r="AA56" s="2"/>
    </row>
    <row r="57" spans="2:27" ht="15.75" thickBot="1">
      <c r="B57" t="s">
        <v>724</v>
      </c>
      <c r="C57" s="58"/>
      <c r="D57" s="346">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24">
        <v>710497000000000</v>
      </c>
      <c r="R57" s="524">
        <v>757506000000000</v>
      </c>
      <c r="S57" s="524">
        <v>800849000000000</v>
      </c>
      <c r="T57" s="524">
        <v>852899000000000</v>
      </c>
      <c r="U57" s="524">
        <v>910097000000000</v>
      </c>
      <c r="V57" s="524">
        <v>974164000000000</v>
      </c>
      <c r="W57" s="524">
        <v>1046037000000000</v>
      </c>
      <c r="X57" s="524">
        <v>1123209000000000</v>
      </c>
      <c r="Y57" s="524">
        <v>1200272000000000</v>
      </c>
      <c r="Z57" s="524">
        <v>1200272000000000</v>
      </c>
      <c r="AA57" s="524">
        <v>1200272000000000</v>
      </c>
    </row>
    <row r="58" spans="2:27">
      <c r="B58" t="s">
        <v>152</v>
      </c>
      <c r="D58" s="364">
        <f t="shared" ref="D58:Y58" si="27">(D6/D57)*100</f>
        <v>28.000000000000004</v>
      </c>
      <c r="E58" s="364">
        <f t="shared" si="27"/>
        <v>29.500000000000011</v>
      </c>
      <c r="F58" s="364">
        <f t="shared" si="27"/>
        <v>29.4</v>
      </c>
      <c r="G58" s="364">
        <f t="shared" si="27"/>
        <v>30</v>
      </c>
      <c r="H58" s="364">
        <f t="shared" si="27"/>
        <v>30.2</v>
      </c>
      <c r="I58" s="364">
        <f t="shared" si="27"/>
        <v>26.1</v>
      </c>
      <c r="J58" s="364">
        <f t="shared" si="27"/>
        <v>27.284591219542691</v>
      </c>
      <c r="K58" s="364">
        <f t="shared" si="27"/>
        <v>27.188033553559499</v>
      </c>
      <c r="L58" s="364">
        <f t="shared" si="27"/>
        <v>26.300712162587196</v>
      </c>
      <c r="M58" s="364">
        <f t="shared" si="27"/>
        <v>26.697513311284922</v>
      </c>
      <c r="N58" s="364">
        <f t="shared" si="27"/>
        <v>26.0953821083307</v>
      </c>
      <c r="O58" s="364">
        <f t="shared" si="27"/>
        <v>26.656370904820509</v>
      </c>
      <c r="P58" s="364">
        <f t="shared" si="27"/>
        <v>28.383395563100382</v>
      </c>
      <c r="Q58" s="364">
        <f t="shared" si="27"/>
        <v>28.100118649339827</v>
      </c>
      <c r="R58" s="364">
        <f t="shared" si="27"/>
        <v>27.885046455077582</v>
      </c>
      <c r="S58" s="364">
        <f t="shared" si="27"/>
        <v>26.648356931206756</v>
      </c>
      <c r="T58" s="364">
        <f t="shared" si="27"/>
        <v>25.489583174561115</v>
      </c>
      <c r="U58" s="364">
        <f t="shared" si="27"/>
        <v>25.968385787449026</v>
      </c>
      <c r="V58" s="364">
        <f t="shared" si="27"/>
        <v>25.749411803351386</v>
      </c>
      <c r="W58" s="364">
        <f t="shared" si="27"/>
        <v>25.687380083113691</v>
      </c>
      <c r="X58" s="364">
        <f t="shared" si="27"/>
        <v>26.126900692569233</v>
      </c>
      <c r="Y58" s="364">
        <f t="shared" si="27"/>
        <v>26.199994667875281</v>
      </c>
      <c r="Z58" s="364">
        <f t="shared" ref="Z58:AA58" si="28">(Z6/Z57)*100</f>
        <v>27.73529666608902</v>
      </c>
      <c r="AA58" s="364">
        <f t="shared" si="28"/>
        <v>29.247737179572631</v>
      </c>
    </row>
    <row r="59" spans="2:27">
      <c r="B59" t="s">
        <v>151</v>
      </c>
      <c r="D59" s="364">
        <f t="shared" ref="D59:Y59" si="29">(D19/D57)*100</f>
        <v>31.8</v>
      </c>
      <c r="E59" s="364">
        <f t="shared" si="29"/>
        <v>34.200000000000003</v>
      </c>
      <c r="F59" s="364">
        <f t="shared" si="29"/>
        <v>33.6</v>
      </c>
      <c r="G59" s="364">
        <f t="shared" si="29"/>
        <v>32.699999999999996</v>
      </c>
      <c r="H59" s="364">
        <f t="shared" si="29"/>
        <v>31.5</v>
      </c>
      <c r="I59" s="364">
        <f t="shared" si="29"/>
        <v>26.200000000000003</v>
      </c>
      <c r="J59" s="364">
        <f t="shared" si="29"/>
        <v>28.125700055743973</v>
      </c>
      <c r="K59" s="364">
        <f t="shared" si="29"/>
        <v>28.208744710860366</v>
      </c>
      <c r="L59" s="364">
        <f t="shared" si="29"/>
        <v>26.200709454744658</v>
      </c>
      <c r="M59" s="364">
        <f t="shared" si="29"/>
        <v>29.297271161822025</v>
      </c>
      <c r="N59" s="364">
        <f t="shared" si="29"/>
        <v>29.196732021346094</v>
      </c>
      <c r="O59" s="364">
        <f t="shared" si="29"/>
        <v>28.474216355782922</v>
      </c>
      <c r="P59" s="364">
        <f t="shared" si="29"/>
        <v>27.931909949689455</v>
      </c>
      <c r="Q59" s="364">
        <f t="shared" si="29"/>
        <v>29.000122449496619</v>
      </c>
      <c r="R59" s="364">
        <f t="shared" si="29"/>
        <v>29.484188904114291</v>
      </c>
      <c r="S59" s="364">
        <f t="shared" si="29"/>
        <v>29.742360919474208</v>
      </c>
      <c r="T59" s="364">
        <f t="shared" si="29"/>
        <v>28.625206501590455</v>
      </c>
      <c r="U59" s="364">
        <f t="shared" si="29"/>
        <v>28.876042883341007</v>
      </c>
      <c r="V59" s="364">
        <f t="shared" si="29"/>
        <v>28.334294841525658</v>
      </c>
      <c r="W59" s="364">
        <f t="shared" si="29"/>
        <v>27.458923537121539</v>
      </c>
      <c r="X59" s="364">
        <f t="shared" si="29"/>
        <v>26.811875617093516</v>
      </c>
      <c r="Y59" s="364">
        <f t="shared" si="29"/>
        <v>26.786561712678459</v>
      </c>
      <c r="Z59" s="364">
        <f t="shared" ref="Z59:AA59" si="30">(Z19/Z57)*100</f>
        <v>28.360904861564713</v>
      </c>
      <c r="AA59" s="364">
        <f t="shared" si="30"/>
        <v>30.026194062679124</v>
      </c>
    </row>
    <row r="60" spans="2:27">
      <c r="B60" s="238" t="s">
        <v>1832</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6"/>
      <c r="Q63" s="524"/>
      <c r="R63" s="524"/>
      <c r="S63" s="524"/>
      <c r="T63" s="524"/>
      <c r="U63" s="524"/>
      <c r="V63" s="524"/>
      <c r="W63" s="524"/>
      <c r="X63" s="524"/>
      <c r="Y63" s="524"/>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C96"/>
  <sheetViews>
    <sheetView zoomScale="60" zoomScaleNormal="60" workbookViewId="0">
      <pane xSplit="3" ySplit="5" topLeftCell="D12" activePane="bottomRight" state="frozen"/>
      <selection pane="topRight" activeCell="R7" sqref="R7"/>
      <selection pane="bottomLeft" activeCell="R7" sqref="R7"/>
      <selection pane="bottomRight" activeCell="E18" sqref="E18"/>
    </sheetView>
  </sheetViews>
  <sheetFormatPr defaultRowHeight="15.75"/>
  <cols>
    <col min="1" max="1" width="38.85546875" style="534" customWidth="1"/>
    <col min="2" max="2" width="52.42578125" style="534" customWidth="1"/>
    <col min="3" max="3" width="29.5703125" style="534" customWidth="1"/>
    <col min="4" max="4" width="19.42578125" style="534" bestFit="1" customWidth="1"/>
    <col min="5" max="11" width="20" style="534" bestFit="1" customWidth="1"/>
    <col min="12" max="12" width="21.140625" style="534" bestFit="1" customWidth="1"/>
    <col min="13" max="16" width="20" style="534" bestFit="1" customWidth="1"/>
    <col min="17" max="17" width="21.140625" style="534" bestFit="1" customWidth="1"/>
    <col min="18" max="18" width="21.28515625" style="534" bestFit="1" customWidth="1"/>
    <col min="19" max="19" width="21.140625" style="534" bestFit="1" customWidth="1"/>
    <col min="20" max="22" width="20.28515625" style="534" bestFit="1" customWidth="1"/>
    <col min="23" max="23" width="21.5703125" style="534" bestFit="1" customWidth="1"/>
    <col min="24" max="24" width="21.140625" style="534" bestFit="1" customWidth="1"/>
    <col min="25" max="25" width="19.7109375" style="534" bestFit="1" customWidth="1"/>
    <col min="26" max="26" width="20.140625" style="534" bestFit="1" customWidth="1"/>
    <col min="27" max="27" width="20.5703125" style="534" bestFit="1" customWidth="1"/>
  </cols>
  <sheetData>
    <row r="1" spans="1:29">
      <c r="A1" s="1149" t="s">
        <v>1833</v>
      </c>
      <c r="B1" s="548" t="s">
        <v>1834</v>
      </c>
      <c r="C1" s="548"/>
      <c r="D1" s="549"/>
      <c r="E1" s="549"/>
      <c r="F1" s="549"/>
      <c r="G1" s="549"/>
      <c r="H1" s="549"/>
      <c r="I1" s="549"/>
      <c r="J1" s="549"/>
      <c r="K1" s="549"/>
      <c r="L1" s="549"/>
      <c r="M1" s="549"/>
      <c r="N1" s="549"/>
      <c r="O1" s="550"/>
      <c r="P1" s="550"/>
      <c r="Q1" s="550"/>
      <c r="R1" s="551"/>
      <c r="S1" s="550"/>
      <c r="T1" s="550"/>
      <c r="U1" s="550"/>
      <c r="V1" s="550"/>
      <c r="W1" s="550"/>
      <c r="X1" s="550"/>
      <c r="Y1" s="550"/>
      <c r="Z1" s="550"/>
      <c r="AA1" s="550"/>
      <c r="AB1" s="365"/>
      <c r="AC1" s="365"/>
    </row>
    <row r="2" spans="1:29">
      <c r="B2" s="552" t="s">
        <v>1835</v>
      </c>
      <c r="C2" s="552"/>
      <c r="D2" s="550"/>
      <c r="E2" s="550"/>
      <c r="F2" s="550"/>
      <c r="G2" s="550"/>
      <c r="H2" s="550"/>
      <c r="I2" s="550"/>
      <c r="J2" s="550"/>
      <c r="K2" s="550"/>
      <c r="L2" s="550"/>
      <c r="M2" s="550"/>
      <c r="N2" s="550"/>
      <c r="O2" s="550"/>
      <c r="P2" s="550"/>
      <c r="Q2" s="550"/>
      <c r="R2" s="553"/>
      <c r="S2" s="554"/>
      <c r="T2" s="555"/>
      <c r="U2" s="550"/>
      <c r="V2" s="550"/>
      <c r="W2" s="550"/>
      <c r="X2" s="550"/>
      <c r="Y2" s="550"/>
      <c r="Z2" s="550"/>
      <c r="AA2" s="550"/>
      <c r="AB2" s="365"/>
      <c r="AC2" s="365"/>
    </row>
    <row r="3" spans="1:2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c r="AB3" s="365"/>
      <c r="AC3" s="365"/>
    </row>
    <row r="4" spans="1:2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25</v>
      </c>
      <c r="Z4" s="550" t="s">
        <v>26</v>
      </c>
      <c r="AA4" s="550" t="s">
        <v>27</v>
      </c>
      <c r="AB4" s="365"/>
      <c r="AC4" s="365"/>
    </row>
    <row r="5" spans="1:2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368</v>
      </c>
      <c r="R5" s="551" t="s">
        <v>30</v>
      </c>
      <c r="S5" s="550" t="s">
        <v>368</v>
      </c>
      <c r="T5" s="550" t="s">
        <v>369</v>
      </c>
      <c r="U5" s="550" t="s">
        <v>32</v>
      </c>
      <c r="V5" s="550" t="s">
        <v>32</v>
      </c>
      <c r="W5" s="550" t="s">
        <v>32</v>
      </c>
      <c r="X5" s="550" t="s">
        <v>32</v>
      </c>
      <c r="Y5" s="550" t="s">
        <v>32</v>
      </c>
      <c r="Z5" s="550" t="s">
        <v>32</v>
      </c>
      <c r="AA5" s="550" t="s">
        <v>32</v>
      </c>
      <c r="AB5" s="365"/>
      <c r="AC5" s="365"/>
    </row>
    <row r="6" spans="1:29" s="9" customFormat="1">
      <c r="A6" s="1150" t="s">
        <v>33</v>
      </c>
      <c r="B6" s="1150" t="s">
        <v>881</v>
      </c>
      <c r="C6" s="558" t="s">
        <v>35</v>
      </c>
      <c r="D6" s="1145">
        <v>15556000000</v>
      </c>
      <c r="E6" s="1142">
        <v>22235000000</v>
      </c>
      <c r="F6" s="1142">
        <v>26929000000</v>
      </c>
      <c r="G6" s="1142">
        <v>25482000000</v>
      </c>
      <c r="H6" s="1142">
        <v>26434000000</v>
      </c>
      <c r="I6" s="1142">
        <v>30509000000</v>
      </c>
      <c r="J6" s="1142">
        <v>29534000000</v>
      </c>
      <c r="K6" s="1142">
        <v>33945000000</v>
      </c>
      <c r="L6" s="1142">
        <v>41853000000</v>
      </c>
      <c r="M6" s="1142">
        <v>44776000000</v>
      </c>
      <c r="N6" s="1142">
        <v>58869000000</v>
      </c>
      <c r="O6" s="1142">
        <v>50907000000</v>
      </c>
      <c r="P6" s="1142">
        <v>65962000000</v>
      </c>
      <c r="Q6" s="1142">
        <v>106461000000</v>
      </c>
      <c r="R6" s="1142">
        <v>60450000000</v>
      </c>
      <c r="S6" s="2589">
        <v>82521000000</v>
      </c>
      <c r="T6" s="2590">
        <v>63841000000</v>
      </c>
      <c r="U6" s="2590">
        <v>80910000000</v>
      </c>
      <c r="V6" s="2590">
        <v>84480000000</v>
      </c>
      <c r="W6" s="2593">
        <v>79974000000</v>
      </c>
      <c r="X6" s="2593">
        <v>85001000000</v>
      </c>
      <c r="Y6" s="2593">
        <v>90577000000</v>
      </c>
      <c r="Z6" s="2593">
        <v>96679000000</v>
      </c>
      <c r="AA6" s="2593">
        <v>103356000000</v>
      </c>
      <c r="AB6" s="365"/>
      <c r="AC6" s="365"/>
    </row>
    <row r="7" spans="1:29">
      <c r="A7" s="435" t="s">
        <v>36</v>
      </c>
      <c r="B7" s="380" t="s">
        <v>533</v>
      </c>
      <c r="C7" s="865" t="s">
        <v>38</v>
      </c>
      <c r="D7" s="1146">
        <v>11017000000</v>
      </c>
      <c r="E7" s="1143">
        <v>16904000000</v>
      </c>
      <c r="F7" s="1143">
        <v>21521000000</v>
      </c>
      <c r="G7" s="1143">
        <v>22335000000</v>
      </c>
      <c r="H7" s="1143">
        <v>22445000000</v>
      </c>
      <c r="I7" s="1143">
        <v>23972000000</v>
      </c>
      <c r="J7" s="1143">
        <v>21555000000</v>
      </c>
      <c r="K7" s="1143">
        <v>21160000000</v>
      </c>
      <c r="L7" s="1143">
        <v>23266000000</v>
      </c>
      <c r="M7" s="1143">
        <v>26401000000</v>
      </c>
      <c r="N7" s="1143">
        <v>28875000000</v>
      </c>
      <c r="O7" s="1143">
        <v>34793000000</v>
      </c>
      <c r="P7" s="1143">
        <v>44137000000</v>
      </c>
      <c r="Q7" s="1143">
        <v>36926000000</v>
      </c>
      <c r="R7" s="1143">
        <v>36752000000</v>
      </c>
      <c r="S7" s="2591">
        <v>43089000000</v>
      </c>
      <c r="T7" s="2588">
        <v>39558000000</v>
      </c>
      <c r="U7" s="2588">
        <v>47703000000</v>
      </c>
      <c r="V7" s="2588">
        <v>52813000000</v>
      </c>
      <c r="W7" s="2587">
        <v>53127000000</v>
      </c>
      <c r="X7" s="2587">
        <v>56732000000</v>
      </c>
      <c r="Y7" s="2587">
        <v>60758000000</v>
      </c>
      <c r="Z7" s="2587">
        <v>65195000000</v>
      </c>
      <c r="AA7" s="2587">
        <v>70085000000</v>
      </c>
      <c r="AB7" s="365"/>
      <c r="AC7" s="365"/>
    </row>
    <row r="8" spans="1:29">
      <c r="A8" s="435" t="s">
        <v>39</v>
      </c>
      <c r="B8" s="380" t="s">
        <v>1836</v>
      </c>
      <c r="C8" s="865" t="s">
        <v>41</v>
      </c>
      <c r="D8" s="1146">
        <v>9723000000</v>
      </c>
      <c r="E8" s="1143">
        <v>14475000000</v>
      </c>
      <c r="F8" s="1143">
        <v>18038000000</v>
      </c>
      <c r="G8" s="1143">
        <v>19622000000</v>
      </c>
      <c r="H8" s="1143">
        <v>19407000000</v>
      </c>
      <c r="I8" s="1143">
        <v>17797000000</v>
      </c>
      <c r="J8" s="1143">
        <v>17260000000</v>
      </c>
      <c r="K8" s="1143">
        <v>16678000000</v>
      </c>
      <c r="L8" s="1143">
        <v>18176000000</v>
      </c>
      <c r="M8" s="1143">
        <v>20515000000</v>
      </c>
      <c r="N8" s="1143">
        <v>22449000000</v>
      </c>
      <c r="O8" s="1143">
        <v>23520000000</v>
      </c>
      <c r="P8" s="1143">
        <v>26849000000</v>
      </c>
      <c r="Q8" s="1143">
        <v>29407000000</v>
      </c>
      <c r="R8" s="1143">
        <v>29940000000</v>
      </c>
      <c r="S8" s="2591">
        <v>28942000000</v>
      </c>
      <c r="T8" s="2588">
        <v>35364000000</v>
      </c>
      <c r="U8" s="2588">
        <v>44012000000</v>
      </c>
      <c r="V8" s="2588">
        <v>46703000000</v>
      </c>
      <c r="W8" s="2587">
        <v>46240000000</v>
      </c>
      <c r="X8" s="2587">
        <v>48934000000</v>
      </c>
      <c r="Y8" s="2587">
        <v>51890000000</v>
      </c>
      <c r="Z8" s="2587">
        <v>55089000000</v>
      </c>
      <c r="AA8" s="2587">
        <v>58546000000</v>
      </c>
      <c r="AB8" s="365"/>
      <c r="AC8" s="365"/>
    </row>
    <row r="9" spans="1:29">
      <c r="A9" s="566" t="s">
        <v>884</v>
      </c>
      <c r="B9" s="566" t="s">
        <v>1837</v>
      </c>
      <c r="C9" s="534" t="s">
        <v>44</v>
      </c>
      <c r="D9" s="1146"/>
      <c r="E9" s="1144"/>
      <c r="F9" s="1144"/>
      <c r="G9" s="1144"/>
      <c r="H9" s="1144"/>
      <c r="I9" s="1144"/>
      <c r="J9" s="1144"/>
      <c r="K9" s="1143">
        <v>10706000000</v>
      </c>
      <c r="L9" s="1143">
        <v>9006000000</v>
      </c>
      <c r="M9" s="1143">
        <v>10867000000</v>
      </c>
      <c r="N9" s="1143">
        <v>11514000000</v>
      </c>
      <c r="O9" s="1143">
        <v>12412000000</v>
      </c>
      <c r="P9" s="1143">
        <v>17600000000</v>
      </c>
      <c r="Q9" s="1143">
        <v>22841000000</v>
      </c>
      <c r="R9" s="1143">
        <v>24714000000</v>
      </c>
      <c r="S9" s="2591">
        <v>25295000000</v>
      </c>
      <c r="T9" s="2588">
        <v>30999000000</v>
      </c>
      <c r="U9" s="2588">
        <v>30992000000</v>
      </c>
      <c r="V9" s="2588">
        <v>29999000000</v>
      </c>
      <c r="W9" s="2587">
        <v>31839000000</v>
      </c>
      <c r="X9" s="2587">
        <v>33770000000</v>
      </c>
      <c r="Y9" s="2587">
        <v>35894000000</v>
      </c>
      <c r="Z9" s="2587">
        <v>38200000000</v>
      </c>
      <c r="AA9" s="2587">
        <v>40699000000</v>
      </c>
      <c r="AB9" s="365"/>
      <c r="AC9" s="365"/>
    </row>
    <row r="10" spans="1:29">
      <c r="A10" s="435" t="s">
        <v>45</v>
      </c>
      <c r="B10" s="566" t="s">
        <v>1838</v>
      </c>
      <c r="C10" s="534" t="s">
        <v>44</v>
      </c>
      <c r="D10" s="1146"/>
      <c r="E10" s="1144"/>
      <c r="F10" s="1144"/>
      <c r="G10" s="1144"/>
      <c r="H10" s="1144"/>
      <c r="I10" s="1144"/>
      <c r="J10" s="1144"/>
      <c r="K10" s="1143">
        <v>5972000000</v>
      </c>
      <c r="L10" s="1143">
        <v>9169000000</v>
      </c>
      <c r="M10" s="1143">
        <v>9648000000</v>
      </c>
      <c r="N10" s="1143">
        <v>10935000000</v>
      </c>
      <c r="O10" s="1143">
        <v>11108000000</v>
      </c>
      <c r="P10" s="1143">
        <v>9250000000</v>
      </c>
      <c r="Q10" s="1143">
        <v>6567000000</v>
      </c>
      <c r="R10" s="1143">
        <v>5226000000</v>
      </c>
      <c r="S10" s="2591">
        <v>3647000000</v>
      </c>
      <c r="T10" s="2588">
        <v>4365000000</v>
      </c>
      <c r="U10" s="2588">
        <v>13020000000</v>
      </c>
      <c r="V10" s="2588">
        <v>16704000000</v>
      </c>
      <c r="W10" s="2587">
        <v>14401000000</v>
      </c>
      <c r="X10" s="2587">
        <v>15164000000</v>
      </c>
      <c r="Y10" s="2587">
        <v>15996000000</v>
      </c>
      <c r="Z10" s="2587">
        <v>16889000000</v>
      </c>
      <c r="AA10" s="2587">
        <v>17847000000</v>
      </c>
      <c r="AB10" s="365"/>
      <c r="AC10" s="365"/>
    </row>
    <row r="11" spans="1:29">
      <c r="A11" s="435" t="s">
        <v>51</v>
      </c>
      <c r="B11" s="380" t="s">
        <v>1839</v>
      </c>
      <c r="C11" s="865" t="s">
        <v>41</v>
      </c>
      <c r="D11" s="1146">
        <v>1294000000</v>
      </c>
      <c r="E11" s="1143">
        <v>2429000000</v>
      </c>
      <c r="F11" s="1143">
        <v>3483000000</v>
      </c>
      <c r="G11" s="1143">
        <v>2713000000</v>
      </c>
      <c r="H11" s="1143">
        <v>3038000000</v>
      </c>
      <c r="I11" s="1143">
        <v>6175000000</v>
      </c>
      <c r="J11" s="1143">
        <v>4295000000</v>
      </c>
      <c r="K11" s="1143">
        <v>4482000000</v>
      </c>
      <c r="L11" s="1143">
        <v>5091000000</v>
      </c>
      <c r="M11" s="1143">
        <v>5887000000</v>
      </c>
      <c r="N11" s="1143">
        <v>6426000000</v>
      </c>
      <c r="O11" s="1143">
        <v>11273000000</v>
      </c>
      <c r="P11" s="1143">
        <v>17287000000</v>
      </c>
      <c r="Q11" s="1143">
        <v>7518000000</v>
      </c>
      <c r="R11" s="1143">
        <v>6812000000</v>
      </c>
      <c r="S11" s="2591">
        <v>14147000000</v>
      </c>
      <c r="T11" s="2588">
        <v>4194000000</v>
      </c>
      <c r="U11" s="2588">
        <v>3691000000</v>
      </c>
      <c r="V11" s="2588">
        <v>6110000000</v>
      </c>
      <c r="W11" s="2587">
        <v>6887000000</v>
      </c>
      <c r="X11" s="2587">
        <v>7799000000</v>
      </c>
      <c r="Y11" s="2587">
        <v>8868000000</v>
      </c>
      <c r="Z11" s="2587">
        <v>10106000000</v>
      </c>
      <c r="AA11" s="2587">
        <v>11539000000</v>
      </c>
      <c r="AB11" s="365"/>
      <c r="AC11" s="365"/>
    </row>
    <row r="12" spans="1:29" s="9" customFormat="1">
      <c r="A12" s="379" t="s">
        <v>53</v>
      </c>
      <c r="B12" s="379" t="s">
        <v>1840</v>
      </c>
      <c r="C12" s="1151" t="s">
        <v>38</v>
      </c>
      <c r="D12" s="1145">
        <v>4539000000</v>
      </c>
      <c r="E12" s="1142">
        <v>5332000000</v>
      </c>
      <c r="F12" s="1142">
        <v>5408000000</v>
      </c>
      <c r="G12" s="1142">
        <v>3147000000</v>
      </c>
      <c r="H12" s="1142">
        <v>3989000000</v>
      </c>
      <c r="I12" s="1142">
        <v>6537000000</v>
      </c>
      <c r="J12" s="1142">
        <v>7978000000</v>
      </c>
      <c r="K12" s="1142">
        <v>12785000000</v>
      </c>
      <c r="L12" s="1142">
        <v>18586000000</v>
      </c>
      <c r="M12" s="1142">
        <v>18374000000</v>
      </c>
      <c r="N12" s="1142">
        <v>29994000000</v>
      </c>
      <c r="O12" s="1142">
        <v>16114000000</v>
      </c>
      <c r="P12" s="1142">
        <v>21826000000</v>
      </c>
      <c r="Q12" s="1142">
        <v>69535000000</v>
      </c>
      <c r="R12" s="1142">
        <v>23698000000</v>
      </c>
      <c r="S12" s="2589">
        <v>39433000000</v>
      </c>
      <c r="T12" s="2590">
        <v>24283000000</v>
      </c>
      <c r="U12" s="2590">
        <v>33207000000</v>
      </c>
      <c r="V12" s="2590">
        <v>31667000000</v>
      </c>
      <c r="W12" s="2593">
        <v>26847000000</v>
      </c>
      <c r="X12" s="2593">
        <v>28269000000</v>
      </c>
      <c r="Y12" s="2593">
        <v>29819000000</v>
      </c>
      <c r="Z12" s="2593">
        <v>31485000000</v>
      </c>
      <c r="AA12" s="2593">
        <v>33271000000</v>
      </c>
      <c r="AB12" s="365"/>
      <c r="AC12" s="365"/>
    </row>
    <row r="13" spans="1:29">
      <c r="A13" s="435" t="s">
        <v>886</v>
      </c>
      <c r="B13" s="566" t="s">
        <v>1841</v>
      </c>
      <c r="C13" s="868" t="s">
        <v>57</v>
      </c>
      <c r="D13" s="1146">
        <v>0</v>
      </c>
      <c r="E13" s="1143">
        <v>1487000000</v>
      </c>
      <c r="F13" s="1143">
        <v>1130000000</v>
      </c>
      <c r="G13" s="1143">
        <v>0</v>
      </c>
      <c r="H13" s="1143">
        <v>153000000</v>
      </c>
      <c r="I13" s="1143">
        <v>669000000</v>
      </c>
      <c r="J13" s="1143">
        <v>738000000</v>
      </c>
      <c r="K13" s="1143">
        <v>2122000000</v>
      </c>
      <c r="L13" s="1143">
        <v>2857000000</v>
      </c>
      <c r="M13" s="1143">
        <v>7743000000</v>
      </c>
      <c r="N13" s="1143">
        <v>18584000000</v>
      </c>
      <c r="O13" s="1143">
        <v>53000000</v>
      </c>
      <c r="P13" s="1143">
        <v>0</v>
      </c>
      <c r="Q13" s="1143">
        <v>2396000000</v>
      </c>
      <c r="R13" s="1143">
        <v>3897000000</v>
      </c>
      <c r="S13" s="2591">
        <v>23464000000</v>
      </c>
      <c r="T13" s="2588">
        <v>135000000</v>
      </c>
      <c r="U13" s="2588">
        <v>8407000000</v>
      </c>
      <c r="V13" s="2588">
        <v>6000000000</v>
      </c>
      <c r="W13" s="2587">
        <v>0</v>
      </c>
      <c r="X13" s="2587">
        <v>0</v>
      </c>
      <c r="Y13" s="2587">
        <v>0</v>
      </c>
      <c r="Z13" s="2587">
        <v>0</v>
      </c>
      <c r="AA13" s="2587">
        <v>0</v>
      </c>
      <c r="AB13" s="365"/>
      <c r="AC13" s="365"/>
    </row>
    <row r="14" spans="1:29">
      <c r="A14" s="435" t="s">
        <v>564</v>
      </c>
      <c r="B14" s="566" t="s">
        <v>1842</v>
      </c>
      <c r="C14" s="868" t="s">
        <v>57</v>
      </c>
      <c r="D14" s="1146">
        <v>4513000000</v>
      </c>
      <c r="E14" s="1143">
        <v>3689000000</v>
      </c>
      <c r="F14" s="1143">
        <v>3317000000</v>
      </c>
      <c r="G14" s="1143">
        <v>3147000000</v>
      </c>
      <c r="H14" s="1143">
        <v>3836000000</v>
      </c>
      <c r="I14" s="1143">
        <v>5868000000</v>
      </c>
      <c r="J14" s="1143">
        <v>7240000000</v>
      </c>
      <c r="K14" s="1143">
        <v>9285000000</v>
      </c>
      <c r="L14" s="1143">
        <v>15729000000</v>
      </c>
      <c r="M14" s="1143">
        <v>10631000000</v>
      </c>
      <c r="N14" s="1143">
        <v>10973000000</v>
      </c>
      <c r="O14" s="1143">
        <v>15135000000</v>
      </c>
      <c r="P14" s="1143">
        <v>19008000000</v>
      </c>
      <c r="Q14" s="1143">
        <v>20655000000</v>
      </c>
      <c r="R14" s="1143">
        <v>19801000000</v>
      </c>
      <c r="S14" s="2591">
        <v>15969000000</v>
      </c>
      <c r="T14" s="2588">
        <v>24148000000</v>
      </c>
      <c r="U14" s="2588">
        <v>24800000000</v>
      </c>
      <c r="V14" s="2588">
        <v>25667000000</v>
      </c>
      <c r="W14" s="2587">
        <v>26847000000</v>
      </c>
      <c r="X14" s="2587">
        <v>28269000000</v>
      </c>
      <c r="Y14" s="2587">
        <v>29819000000</v>
      </c>
      <c r="Z14" s="2587">
        <v>31485000000</v>
      </c>
      <c r="AA14" s="2587">
        <v>33271000000</v>
      </c>
      <c r="AB14" s="365"/>
      <c r="AC14" s="365"/>
    </row>
    <row r="15" spans="1:29">
      <c r="A15" s="566" t="s">
        <v>1843</v>
      </c>
      <c r="B15" s="566" t="s">
        <v>1844</v>
      </c>
      <c r="C15" s="868" t="s">
        <v>57</v>
      </c>
      <c r="D15" s="1152">
        <v>0</v>
      </c>
      <c r="E15" s="1143"/>
      <c r="F15" s="1143"/>
      <c r="G15" s="1143"/>
      <c r="H15" s="1143"/>
      <c r="I15" s="1143"/>
      <c r="J15" s="1143"/>
      <c r="K15" s="1144"/>
      <c r="L15" s="1144"/>
      <c r="M15" s="1144"/>
      <c r="N15" s="1143">
        <v>437000000</v>
      </c>
      <c r="O15" s="1143">
        <v>926000000</v>
      </c>
      <c r="P15" s="1143">
        <v>2817000000</v>
      </c>
      <c r="Q15" s="1143">
        <v>46483000000</v>
      </c>
      <c r="R15" s="1143"/>
      <c r="S15" s="2591"/>
      <c r="T15" s="2588"/>
      <c r="U15" s="2588"/>
      <c r="V15" s="2588"/>
      <c r="W15" s="2587"/>
      <c r="X15" s="2587"/>
      <c r="Y15" s="2587"/>
      <c r="Z15" s="2587"/>
      <c r="AA15" s="2587"/>
      <c r="AB15" s="365"/>
      <c r="AC15" s="365"/>
    </row>
    <row r="16" spans="1:29">
      <c r="A16" s="435" t="s">
        <v>67</v>
      </c>
      <c r="B16" s="566" t="s">
        <v>1845</v>
      </c>
      <c r="C16" s="868" t="s">
        <v>57</v>
      </c>
      <c r="D16" s="1146">
        <v>26000000</v>
      </c>
      <c r="E16" s="1143">
        <v>156000000</v>
      </c>
      <c r="F16" s="1143">
        <v>961000000</v>
      </c>
      <c r="G16" s="1143">
        <v>0</v>
      </c>
      <c r="H16" s="1143">
        <v>0</v>
      </c>
      <c r="I16" s="1143">
        <v>0</v>
      </c>
      <c r="J16" s="1143">
        <v>0</v>
      </c>
      <c r="K16" s="1153">
        <f>K12-K13-K14</f>
        <v>1378000000</v>
      </c>
      <c r="L16" s="1144"/>
      <c r="M16" s="1144"/>
      <c r="N16" s="1144"/>
      <c r="O16" s="1144"/>
      <c r="P16" s="1144"/>
      <c r="Q16" s="1144"/>
      <c r="R16" s="1144"/>
      <c r="S16" s="2587"/>
      <c r="T16" s="2592"/>
      <c r="U16" s="2592"/>
      <c r="V16" s="2592"/>
      <c r="W16" s="2587"/>
      <c r="X16" s="2587"/>
      <c r="Y16" s="2587"/>
      <c r="Z16" s="2587"/>
      <c r="AA16" s="2587"/>
      <c r="AB16" s="365"/>
      <c r="AC16" s="365"/>
    </row>
    <row r="17" spans="1:29" s="9" customFormat="1">
      <c r="A17" s="1148"/>
      <c r="B17" s="558" t="s">
        <v>379</v>
      </c>
      <c r="C17" s="558"/>
      <c r="D17" s="1145">
        <v>17614000000</v>
      </c>
      <c r="E17" s="1142">
        <v>26592000000</v>
      </c>
      <c r="F17" s="1142">
        <v>31699000000</v>
      </c>
      <c r="G17" s="1142">
        <v>30347000000</v>
      </c>
      <c r="H17" s="1142">
        <v>28847000000</v>
      </c>
      <c r="I17" s="1142">
        <v>30425000000</v>
      </c>
      <c r="J17" s="1142">
        <v>33599000000</v>
      </c>
      <c r="K17" s="1142">
        <v>37314000000</v>
      </c>
      <c r="L17" s="1142">
        <v>46338000000</v>
      </c>
      <c r="M17" s="1142">
        <v>43627000000</v>
      </c>
      <c r="N17" s="1142">
        <v>44703000000</v>
      </c>
      <c r="O17" s="1142">
        <v>47793000000</v>
      </c>
      <c r="P17" s="1142">
        <v>57803000000</v>
      </c>
      <c r="Q17" s="1142">
        <v>62019000000</v>
      </c>
      <c r="R17" s="1142"/>
      <c r="S17" s="2589">
        <v>71392000000</v>
      </c>
      <c r="T17" s="2590">
        <v>84003000000</v>
      </c>
      <c r="U17" s="2590">
        <v>79087000000</v>
      </c>
      <c r="V17" s="2590">
        <v>90251000000</v>
      </c>
      <c r="W17" s="2593">
        <v>96557000000</v>
      </c>
      <c r="X17" s="2593">
        <v>104295000000</v>
      </c>
      <c r="Y17" s="2593">
        <v>111558000000</v>
      </c>
      <c r="Z17" s="2593">
        <v>119964000000</v>
      </c>
      <c r="AA17" s="2593">
        <v>129439000000</v>
      </c>
      <c r="AB17" s="365"/>
      <c r="AC17" s="365"/>
    </row>
    <row r="18" spans="1:29" s="9" customFormat="1">
      <c r="A18" s="1148" t="s">
        <v>198</v>
      </c>
      <c r="B18" s="558" t="s">
        <v>379</v>
      </c>
      <c r="C18" s="379" t="s">
        <v>35</v>
      </c>
      <c r="D18" s="1145">
        <f>D19+D35+D39</f>
        <v>17650000000</v>
      </c>
      <c r="E18" s="1145">
        <f t="shared" ref="E18:Q18" si="0">E19+E35+E39</f>
        <v>26629000000</v>
      </c>
      <c r="F18" s="1145">
        <f t="shared" si="0"/>
        <v>31769000000</v>
      </c>
      <c r="G18" s="1145">
        <f t="shared" si="0"/>
        <v>30347000000</v>
      </c>
      <c r="H18" s="1145">
        <f t="shared" si="0"/>
        <v>28847000000</v>
      </c>
      <c r="I18" s="1145">
        <f t="shared" si="0"/>
        <v>30425000000</v>
      </c>
      <c r="J18" s="1145">
        <f t="shared" si="0"/>
        <v>33598000000</v>
      </c>
      <c r="K18" s="1145">
        <f t="shared" si="0"/>
        <v>37314000000</v>
      </c>
      <c r="L18" s="1145">
        <f t="shared" si="0"/>
        <v>46338000000</v>
      </c>
      <c r="M18" s="1145">
        <f t="shared" si="0"/>
        <v>43627000000</v>
      </c>
      <c r="N18" s="1145">
        <f t="shared" si="0"/>
        <v>44704000000</v>
      </c>
      <c r="O18" s="1145">
        <f t="shared" si="0"/>
        <v>47793000000</v>
      </c>
      <c r="P18" s="1145">
        <f t="shared" si="0"/>
        <v>57803000000</v>
      </c>
      <c r="Q18" s="1145">
        <f t="shared" si="0"/>
        <v>62019000000</v>
      </c>
      <c r="R18" s="1145">
        <v>61790000000</v>
      </c>
      <c r="S18" s="2589">
        <f>S17</f>
        <v>71392000000</v>
      </c>
      <c r="T18" s="2589">
        <f t="shared" ref="T18:AA18" si="1">T17</f>
        <v>84003000000</v>
      </c>
      <c r="U18" s="2589">
        <f t="shared" si="1"/>
        <v>79087000000</v>
      </c>
      <c r="V18" s="2589">
        <f t="shared" si="1"/>
        <v>90251000000</v>
      </c>
      <c r="W18" s="2589">
        <f t="shared" si="1"/>
        <v>96557000000</v>
      </c>
      <c r="X18" s="2589">
        <f t="shared" si="1"/>
        <v>104295000000</v>
      </c>
      <c r="Y18" s="2589">
        <f t="shared" si="1"/>
        <v>111558000000</v>
      </c>
      <c r="Z18" s="2589">
        <f t="shared" si="1"/>
        <v>119964000000</v>
      </c>
      <c r="AA18" s="2589">
        <f t="shared" si="1"/>
        <v>129439000000</v>
      </c>
      <c r="AB18" s="365"/>
      <c r="AC18" s="365"/>
    </row>
    <row r="19" spans="1:29">
      <c r="A19" s="867" t="s">
        <v>73</v>
      </c>
      <c r="B19" s="1154" t="s">
        <v>963</v>
      </c>
      <c r="C19" s="865" t="s">
        <v>75</v>
      </c>
      <c r="D19" s="1146">
        <f>D20</f>
        <v>13493000000</v>
      </c>
      <c r="E19" s="1146">
        <f t="shared" ref="E19:J19" si="2">E20</f>
        <v>21256000000</v>
      </c>
      <c r="F19" s="1146">
        <f t="shared" si="2"/>
        <v>24172000000</v>
      </c>
      <c r="G19" s="1146">
        <f t="shared" si="2"/>
        <v>22769000000</v>
      </c>
      <c r="H19" s="1146">
        <f t="shared" si="2"/>
        <v>22546000000</v>
      </c>
      <c r="I19" s="1146">
        <f t="shared" si="2"/>
        <v>23523000000</v>
      </c>
      <c r="J19" s="1146">
        <f t="shared" si="2"/>
        <v>25766000000</v>
      </c>
      <c r="K19" s="1143">
        <f>K20</f>
        <v>27040000000</v>
      </c>
      <c r="L19" s="1143">
        <f t="shared" ref="L19:Q19" si="3">L20</f>
        <v>29855000000</v>
      </c>
      <c r="M19" s="1143">
        <f t="shared" si="3"/>
        <v>34240000000</v>
      </c>
      <c r="N19" s="1143">
        <f t="shared" si="3"/>
        <v>33116000000</v>
      </c>
      <c r="O19" s="1143">
        <f t="shared" si="3"/>
        <v>35785000000</v>
      </c>
      <c r="P19" s="1143">
        <f t="shared" si="3"/>
        <v>41898000000</v>
      </c>
      <c r="Q19" s="1143">
        <f t="shared" si="3"/>
        <v>39822000000</v>
      </c>
      <c r="R19" s="1143">
        <v>41514000000</v>
      </c>
      <c r="S19" s="2588">
        <v>45485000000</v>
      </c>
      <c r="T19" s="2588">
        <v>49739000000</v>
      </c>
      <c r="U19" s="2588">
        <v>48097000000</v>
      </c>
      <c r="V19" s="2588">
        <v>58284000000</v>
      </c>
      <c r="W19" s="2587">
        <v>60983000000</v>
      </c>
      <c r="X19" s="2587">
        <v>65579000000</v>
      </c>
      <c r="Y19" s="2587">
        <v>70831000000</v>
      </c>
      <c r="Z19" s="2587">
        <v>77370000000</v>
      </c>
      <c r="AA19" s="2587">
        <v>84118000000</v>
      </c>
      <c r="AB19" s="365"/>
      <c r="AC19" s="365"/>
    </row>
    <row r="20" spans="1:29">
      <c r="A20" s="867" t="s">
        <v>76</v>
      </c>
      <c r="B20" s="380" t="s">
        <v>963</v>
      </c>
      <c r="C20" s="865"/>
      <c r="D20" s="1146">
        <v>13493000000</v>
      </c>
      <c r="E20" s="1143">
        <v>21256000000</v>
      </c>
      <c r="F20" s="1143">
        <v>24172000000</v>
      </c>
      <c r="G20" s="1143">
        <v>22769000000</v>
      </c>
      <c r="H20" s="1143">
        <v>22546000000</v>
      </c>
      <c r="I20" s="1143">
        <v>23523000000</v>
      </c>
      <c r="J20" s="1143">
        <v>25766000000</v>
      </c>
      <c r="K20" s="1143">
        <v>27040000000</v>
      </c>
      <c r="L20" s="1143">
        <v>29855000000</v>
      </c>
      <c r="M20" s="1143">
        <v>34240000000</v>
      </c>
      <c r="N20" s="1143">
        <v>33116000000</v>
      </c>
      <c r="O20" s="1143">
        <v>35785000000</v>
      </c>
      <c r="P20" s="1143">
        <v>41898000000</v>
      </c>
      <c r="Q20" s="1143">
        <v>39822000000</v>
      </c>
      <c r="R20" s="1143">
        <f>R19</f>
        <v>41514000000</v>
      </c>
      <c r="S20" s="2588">
        <f>S19</f>
        <v>45485000000</v>
      </c>
      <c r="T20" s="2588">
        <f t="shared" ref="T20:AA20" si="4">T19</f>
        <v>49739000000</v>
      </c>
      <c r="U20" s="2588">
        <f t="shared" si="4"/>
        <v>48097000000</v>
      </c>
      <c r="V20" s="2588">
        <f t="shared" si="4"/>
        <v>58284000000</v>
      </c>
      <c r="W20" s="2588">
        <f t="shared" si="4"/>
        <v>60983000000</v>
      </c>
      <c r="X20" s="2588">
        <f t="shared" si="4"/>
        <v>65579000000</v>
      </c>
      <c r="Y20" s="2588">
        <f t="shared" si="4"/>
        <v>70831000000</v>
      </c>
      <c r="Z20" s="2588">
        <f t="shared" si="4"/>
        <v>77370000000</v>
      </c>
      <c r="AA20" s="2588">
        <f t="shared" si="4"/>
        <v>84118000000</v>
      </c>
      <c r="AB20" s="365"/>
      <c r="AC20" s="365"/>
    </row>
    <row r="21" spans="1:29">
      <c r="A21" s="534" t="s">
        <v>76</v>
      </c>
      <c r="B21" s="380" t="s">
        <v>1846</v>
      </c>
      <c r="C21" s="380"/>
      <c r="D21" s="1146">
        <v>11106000000</v>
      </c>
      <c r="E21" s="1143">
        <v>19015000000</v>
      </c>
      <c r="F21" s="1143">
        <v>19949000000</v>
      </c>
      <c r="G21" s="1143">
        <v>18831000000</v>
      </c>
      <c r="H21" s="1143">
        <v>20658000000</v>
      </c>
      <c r="I21" s="1143">
        <v>20911000000</v>
      </c>
      <c r="J21" s="1143">
        <v>22165000000</v>
      </c>
      <c r="K21" s="1143">
        <v>23596000000</v>
      </c>
      <c r="L21" s="1143">
        <v>26490000000</v>
      </c>
      <c r="M21" s="1143">
        <v>29806000000</v>
      </c>
      <c r="N21" s="1143">
        <v>29631000000</v>
      </c>
      <c r="O21" s="1143">
        <v>29959000000</v>
      </c>
      <c r="P21" s="1143">
        <v>31604000000</v>
      </c>
      <c r="Q21" s="1143">
        <v>32881000000</v>
      </c>
      <c r="R21" s="1143">
        <v>38319000000</v>
      </c>
      <c r="S21" s="2591">
        <v>42708000000</v>
      </c>
      <c r="T21" s="2588">
        <v>45798000000</v>
      </c>
      <c r="U21" s="2588">
        <v>44238000000</v>
      </c>
      <c r="V21" s="2588">
        <v>52297000000</v>
      </c>
      <c r="W21" s="2587">
        <v>55426000000</v>
      </c>
      <c r="X21" s="2587">
        <v>59647000000</v>
      </c>
      <c r="Y21" s="2587">
        <v>64490000000</v>
      </c>
      <c r="Z21" s="2587">
        <v>70585000000</v>
      </c>
      <c r="AA21" s="2587">
        <v>77052000000</v>
      </c>
      <c r="AB21" s="365"/>
      <c r="AC21" s="365"/>
    </row>
    <row r="22" spans="1:29">
      <c r="A22" s="566" t="s">
        <v>79</v>
      </c>
      <c r="B22" s="566" t="s">
        <v>964</v>
      </c>
      <c r="C22" s="865" t="s">
        <v>81</v>
      </c>
      <c r="D22" s="1146">
        <v>6093000000</v>
      </c>
      <c r="E22" s="1143">
        <v>9615000000</v>
      </c>
      <c r="F22" s="1143">
        <v>10703000000</v>
      </c>
      <c r="G22" s="1143">
        <v>11493000000</v>
      </c>
      <c r="H22" s="1143">
        <v>12631000000</v>
      </c>
      <c r="I22" s="1143">
        <v>12872000000</v>
      </c>
      <c r="J22" s="1143">
        <v>13205000000</v>
      </c>
      <c r="K22" s="1143">
        <v>15052000000</v>
      </c>
      <c r="L22" s="1143">
        <v>15690000000</v>
      </c>
      <c r="M22" s="1143">
        <v>17034000000</v>
      </c>
      <c r="N22" s="1143">
        <v>18500000000</v>
      </c>
      <c r="O22" s="1143">
        <v>18409000000</v>
      </c>
      <c r="P22" s="1143">
        <v>18278000000</v>
      </c>
      <c r="Q22" s="1143">
        <v>18605000000</v>
      </c>
      <c r="R22" s="1143">
        <v>21423000000</v>
      </c>
      <c r="S22" s="2591">
        <v>23713000000</v>
      </c>
      <c r="T22" s="2588">
        <v>24640000000</v>
      </c>
      <c r="U22" s="2588">
        <v>25812000000</v>
      </c>
      <c r="V22" s="2588">
        <v>29789000000</v>
      </c>
      <c r="W22" s="2587">
        <v>29756000000</v>
      </c>
      <c r="X22" s="2587">
        <v>32120000000</v>
      </c>
      <c r="Y22" s="2587">
        <v>34321000000</v>
      </c>
      <c r="Z22" s="2587">
        <v>36717000000</v>
      </c>
      <c r="AA22" s="2587">
        <v>39321000000</v>
      </c>
      <c r="AB22" s="365"/>
      <c r="AC22" s="365"/>
    </row>
    <row r="23" spans="1:29">
      <c r="A23" s="566" t="s">
        <v>83</v>
      </c>
      <c r="B23" s="566" t="s">
        <v>965</v>
      </c>
      <c r="C23" s="865" t="s">
        <v>81</v>
      </c>
      <c r="D23" s="1146">
        <v>4169000000</v>
      </c>
      <c r="E23" s="1143">
        <v>7714000000</v>
      </c>
      <c r="F23" s="1143">
        <v>7909000000</v>
      </c>
      <c r="G23" s="1143">
        <v>5297000000</v>
      </c>
      <c r="H23" s="1143">
        <v>6038000000</v>
      </c>
      <c r="I23" s="1143">
        <v>5160000000</v>
      </c>
      <c r="J23" s="1143">
        <v>5568000000</v>
      </c>
      <c r="K23" s="1143">
        <v>5327000000</v>
      </c>
      <c r="L23" s="1143">
        <v>8122000000</v>
      </c>
      <c r="M23" s="1143">
        <v>7447000000</v>
      </c>
      <c r="N23" s="1143">
        <v>7553000000</v>
      </c>
      <c r="O23" s="1143">
        <v>7662000000</v>
      </c>
      <c r="P23" s="1143">
        <v>8932000000</v>
      </c>
      <c r="Q23" s="1143">
        <v>9093000000</v>
      </c>
      <c r="R23" s="1143">
        <v>11808000000</v>
      </c>
      <c r="S23" s="2591">
        <v>12099000000</v>
      </c>
      <c r="T23" s="2588">
        <v>13079000000</v>
      </c>
      <c r="U23" s="2588">
        <v>13145000000</v>
      </c>
      <c r="V23" s="2588">
        <v>13823000000</v>
      </c>
      <c r="W23" s="2587">
        <v>15301000000</v>
      </c>
      <c r="X23" s="2587">
        <v>16720000000</v>
      </c>
      <c r="Y23" s="2587">
        <v>18324000000</v>
      </c>
      <c r="Z23" s="2587">
        <v>20115000000</v>
      </c>
      <c r="AA23" s="2587">
        <v>22112000000</v>
      </c>
      <c r="AB23" s="365"/>
      <c r="AC23" s="365"/>
    </row>
    <row r="24" spans="1:29">
      <c r="A24" s="566" t="s">
        <v>1847</v>
      </c>
      <c r="B24" s="566" t="s">
        <v>1848</v>
      </c>
      <c r="C24" s="865" t="s">
        <v>81</v>
      </c>
      <c r="D24" s="1146">
        <v>844000000</v>
      </c>
      <c r="E24" s="1143">
        <v>1685000000</v>
      </c>
      <c r="F24" s="1143">
        <v>1338000000</v>
      </c>
      <c r="G24" s="1143">
        <v>2041000000</v>
      </c>
      <c r="H24" s="1143">
        <v>1989000000</v>
      </c>
      <c r="I24" s="1143">
        <v>2879000000</v>
      </c>
      <c r="J24" s="1143">
        <v>3392000000</v>
      </c>
      <c r="K24" s="1143">
        <v>3217000000</v>
      </c>
      <c r="L24" s="1143">
        <v>2678000000</v>
      </c>
      <c r="M24" s="1143">
        <v>5325000000</v>
      </c>
      <c r="N24" s="1143">
        <v>3578000000</v>
      </c>
      <c r="O24" s="1143">
        <v>3889000000</v>
      </c>
      <c r="P24" s="1143">
        <v>4394000000</v>
      </c>
      <c r="Q24" s="1143">
        <v>5183000000</v>
      </c>
      <c r="R24" s="1143">
        <v>5087000000</v>
      </c>
      <c r="S24" s="2591">
        <v>6896000000</v>
      </c>
      <c r="T24" s="2588">
        <v>8080000000</v>
      </c>
      <c r="U24" s="2588">
        <v>5281000000</v>
      </c>
      <c r="V24" s="2588">
        <v>8685000000</v>
      </c>
      <c r="W24" s="2587">
        <v>10368000000</v>
      </c>
      <c r="X24" s="2587">
        <v>10808000000</v>
      </c>
      <c r="Y24" s="2587">
        <v>11845000000</v>
      </c>
      <c r="Z24" s="2587">
        <v>13752000000</v>
      </c>
      <c r="AA24" s="2587">
        <v>15618000000</v>
      </c>
      <c r="AB24" s="365"/>
      <c r="AC24" s="365"/>
    </row>
    <row r="25" spans="1:29">
      <c r="A25" s="566" t="s">
        <v>90</v>
      </c>
      <c r="B25" s="1155" t="s">
        <v>1849</v>
      </c>
      <c r="C25" s="865" t="s">
        <v>81</v>
      </c>
      <c r="D25" s="1146">
        <f>D26-D31</f>
        <v>890000000</v>
      </c>
      <c r="E25" s="1146">
        <f t="shared" ref="E25:J25" si="5">E26-E31</f>
        <v>1275000000</v>
      </c>
      <c r="F25" s="1146">
        <f t="shared" si="5"/>
        <v>1265000000</v>
      </c>
      <c r="G25" s="1146">
        <f t="shared" si="5"/>
        <v>1323000000</v>
      </c>
      <c r="H25" s="1146">
        <f t="shared" si="5"/>
        <v>1187000000</v>
      </c>
      <c r="I25" s="1146">
        <f t="shared" si="5"/>
        <v>1047000000</v>
      </c>
      <c r="J25" s="1146">
        <f t="shared" si="5"/>
        <v>926000000</v>
      </c>
      <c r="K25" s="1146">
        <f>K26</f>
        <v>820000000</v>
      </c>
      <c r="L25" s="1146">
        <f t="shared" ref="L25:Q25" si="6">L26</f>
        <v>1273000000</v>
      </c>
      <c r="M25" s="1146">
        <f t="shared" si="6"/>
        <v>1069000000</v>
      </c>
      <c r="N25" s="1146">
        <f t="shared" si="6"/>
        <v>1036000000</v>
      </c>
      <c r="O25" s="1146">
        <f t="shared" si="6"/>
        <v>952000000</v>
      </c>
      <c r="P25" s="1146">
        <f t="shared" si="6"/>
        <v>977000000</v>
      </c>
      <c r="Q25" s="1146">
        <f t="shared" si="6"/>
        <v>289000000</v>
      </c>
      <c r="R25" s="1146">
        <v>201000000</v>
      </c>
      <c r="S25" s="2591">
        <v>363000000</v>
      </c>
      <c r="T25" s="2591">
        <v>289000000</v>
      </c>
      <c r="U25" s="2591">
        <v>110000000</v>
      </c>
      <c r="V25" s="2591">
        <v>1236000000</v>
      </c>
      <c r="W25" s="2587">
        <v>690000000</v>
      </c>
      <c r="X25" s="2587">
        <v>807000000</v>
      </c>
      <c r="Y25" s="2587">
        <v>935000000</v>
      </c>
      <c r="Z25" s="2587">
        <v>1078000000</v>
      </c>
      <c r="AA25" s="2587">
        <v>1035000000</v>
      </c>
      <c r="AB25" s="365"/>
      <c r="AC25" s="365"/>
    </row>
    <row r="26" spans="1:29">
      <c r="A26" s="566" t="s">
        <v>76</v>
      </c>
      <c r="B26" s="566" t="s">
        <v>1849</v>
      </c>
      <c r="C26" s="865"/>
      <c r="D26" s="1146">
        <v>960000000</v>
      </c>
      <c r="E26" s="1143">
        <v>1345000000</v>
      </c>
      <c r="F26" s="1143">
        <v>1335000000</v>
      </c>
      <c r="G26" s="1143">
        <v>1431000000</v>
      </c>
      <c r="H26" s="1143">
        <v>1282000000</v>
      </c>
      <c r="I26" s="1143">
        <v>1181000000</v>
      </c>
      <c r="J26" s="1143">
        <v>1144000000</v>
      </c>
      <c r="K26" s="1143">
        <v>820000000</v>
      </c>
      <c r="L26" s="1143">
        <v>1273000000</v>
      </c>
      <c r="M26" s="1143">
        <v>1069000000</v>
      </c>
      <c r="N26" s="1143">
        <v>1036000000</v>
      </c>
      <c r="O26" s="1143">
        <v>952000000</v>
      </c>
      <c r="P26" s="1143">
        <v>977000000</v>
      </c>
      <c r="Q26" s="1143">
        <v>289000000</v>
      </c>
      <c r="R26" s="1143"/>
      <c r="S26" s="2591"/>
      <c r="T26" s="2588"/>
      <c r="U26" s="2588"/>
      <c r="V26" s="2588"/>
      <c r="W26" s="2587"/>
      <c r="X26" s="2587"/>
      <c r="Y26" s="2587"/>
      <c r="Z26" s="2587"/>
      <c r="AA26" s="2587"/>
      <c r="AB26" s="365"/>
      <c r="AC26" s="365"/>
    </row>
    <row r="27" spans="1:29">
      <c r="A27" s="1156" t="s">
        <v>583</v>
      </c>
      <c r="B27" s="1156" t="s">
        <v>1850</v>
      </c>
      <c r="C27" s="380" t="s">
        <v>1525</v>
      </c>
      <c r="D27" s="1146">
        <v>890000000</v>
      </c>
      <c r="E27" s="1143">
        <v>1275000000</v>
      </c>
      <c r="F27" s="1143">
        <v>1265000000</v>
      </c>
      <c r="G27" s="1143">
        <v>1323000000</v>
      </c>
      <c r="H27" s="1143">
        <v>1187000000</v>
      </c>
      <c r="I27" s="1143">
        <v>1047000000</v>
      </c>
      <c r="J27" s="1143">
        <v>926000000</v>
      </c>
      <c r="K27" s="1143">
        <v>653000000</v>
      </c>
      <c r="L27" s="1143">
        <v>888000000</v>
      </c>
      <c r="M27" s="1143">
        <v>715000000</v>
      </c>
      <c r="N27" s="1143">
        <v>831000000</v>
      </c>
      <c r="O27" s="1143">
        <v>743000000</v>
      </c>
      <c r="P27" s="1143">
        <v>780000000</v>
      </c>
      <c r="Q27" s="1143">
        <v>89000000</v>
      </c>
      <c r="R27" s="1143">
        <v>43000000</v>
      </c>
      <c r="S27" s="2591">
        <v>363000000</v>
      </c>
      <c r="T27" s="2588">
        <v>289000000</v>
      </c>
      <c r="U27" s="2588">
        <v>110000000</v>
      </c>
      <c r="V27" s="2588">
        <v>1062000000</v>
      </c>
      <c r="W27" s="2587">
        <v>525000000</v>
      </c>
      <c r="X27" s="2587">
        <v>634000000</v>
      </c>
      <c r="Y27" s="2587">
        <v>752000000</v>
      </c>
      <c r="Z27" s="2587">
        <v>885000000</v>
      </c>
      <c r="AA27" s="2587">
        <v>1035000000</v>
      </c>
      <c r="AB27" s="365"/>
      <c r="AC27" s="365"/>
    </row>
    <row r="28" spans="1:29">
      <c r="A28" s="1156" t="s">
        <v>1851</v>
      </c>
      <c r="B28" s="1156" t="s">
        <v>1852</v>
      </c>
      <c r="C28" s="380" t="s">
        <v>1853</v>
      </c>
      <c r="D28" s="1146"/>
      <c r="E28" s="1144"/>
      <c r="F28" s="1144"/>
      <c r="G28" s="1144"/>
      <c r="H28" s="1144"/>
      <c r="I28" s="1144"/>
      <c r="J28" s="1144"/>
      <c r="K28" s="1144"/>
      <c r="L28" s="1144"/>
      <c r="M28" s="1144"/>
      <c r="N28" s="1143">
        <v>686000000</v>
      </c>
      <c r="O28" s="1143">
        <v>652000000</v>
      </c>
      <c r="P28" s="1143">
        <v>631000000</v>
      </c>
      <c r="Q28" s="1143"/>
      <c r="R28" s="1143"/>
      <c r="S28" s="2591"/>
      <c r="T28" s="2588"/>
      <c r="U28" s="2588"/>
      <c r="V28" s="2588"/>
      <c r="W28" s="2587"/>
      <c r="X28" s="2587"/>
      <c r="Y28" s="2587"/>
      <c r="Z28" s="2587"/>
      <c r="AA28" s="2587"/>
      <c r="AB28" s="365"/>
      <c r="AC28" s="365"/>
    </row>
    <row r="29" spans="1:29">
      <c r="A29" s="1156" t="s">
        <v>1854</v>
      </c>
      <c r="B29" s="1156" t="s">
        <v>1855</v>
      </c>
      <c r="C29" s="380" t="s">
        <v>1853</v>
      </c>
      <c r="D29" s="1146"/>
      <c r="E29" s="1144"/>
      <c r="F29" s="1144"/>
      <c r="G29" s="1144"/>
      <c r="H29" s="1144"/>
      <c r="I29" s="1144"/>
      <c r="J29" s="1144"/>
      <c r="K29" s="1144"/>
      <c r="L29" s="1144"/>
      <c r="M29" s="1144"/>
      <c r="N29" s="1143">
        <v>145000000</v>
      </c>
      <c r="O29" s="1143">
        <v>91000000</v>
      </c>
      <c r="P29" s="1143">
        <v>148000000</v>
      </c>
      <c r="Q29" s="1143"/>
      <c r="R29" s="1143"/>
      <c r="S29" s="2591"/>
      <c r="T29" s="2588"/>
      <c r="U29" s="2588"/>
      <c r="V29" s="2588"/>
      <c r="W29" s="2587"/>
      <c r="X29" s="2587"/>
      <c r="Y29" s="2587"/>
      <c r="Z29" s="2587"/>
      <c r="AA29" s="2587"/>
      <c r="AB29" s="365"/>
      <c r="AC29" s="365"/>
    </row>
    <row r="30" spans="1:29">
      <c r="A30" s="1156" t="s">
        <v>517</v>
      </c>
      <c r="B30" s="1156" t="s">
        <v>1856</v>
      </c>
      <c r="C30" s="380" t="s">
        <v>1525</v>
      </c>
      <c r="D30" s="1146"/>
      <c r="E30" s="1144"/>
      <c r="F30" s="1144"/>
      <c r="G30" s="1144"/>
      <c r="H30" s="1144"/>
      <c r="I30" s="1144"/>
      <c r="J30" s="1144"/>
      <c r="K30" s="1143">
        <v>168000000</v>
      </c>
      <c r="L30" s="1143">
        <v>386000000</v>
      </c>
      <c r="M30" s="1143">
        <v>355000000</v>
      </c>
      <c r="N30" s="1143">
        <v>205000000</v>
      </c>
      <c r="O30" s="1143">
        <v>209000000</v>
      </c>
      <c r="P30" s="1143">
        <v>198000000</v>
      </c>
      <c r="Q30" s="1143">
        <v>200000000</v>
      </c>
      <c r="R30" s="1143">
        <v>158000000</v>
      </c>
      <c r="S30" s="2591">
        <v>0</v>
      </c>
      <c r="T30" s="2588">
        <v>0</v>
      </c>
      <c r="U30" s="2588">
        <v>0</v>
      </c>
      <c r="V30" s="2588">
        <v>175000000</v>
      </c>
      <c r="W30" s="2587">
        <v>165000000</v>
      </c>
      <c r="X30" s="2587">
        <v>173000000</v>
      </c>
      <c r="Y30" s="2587">
        <v>183000000</v>
      </c>
      <c r="Z30" s="2587">
        <v>193000000</v>
      </c>
      <c r="AA30" s="2587">
        <v>0</v>
      </c>
      <c r="AB30" s="365"/>
      <c r="AC30" s="365"/>
    </row>
    <row r="31" spans="1:29">
      <c r="A31" s="566" t="s">
        <v>1857</v>
      </c>
      <c r="B31" s="566" t="s">
        <v>1858</v>
      </c>
      <c r="C31" s="865" t="s">
        <v>81</v>
      </c>
      <c r="D31" s="1146">
        <v>70000000</v>
      </c>
      <c r="E31" s="1143">
        <v>70000000</v>
      </c>
      <c r="F31" s="1143">
        <v>70000000</v>
      </c>
      <c r="G31" s="1143">
        <v>108000000</v>
      </c>
      <c r="H31" s="1143">
        <v>95000000</v>
      </c>
      <c r="I31" s="1143">
        <v>134000000</v>
      </c>
      <c r="J31" s="1143">
        <v>218000000</v>
      </c>
      <c r="K31" s="1143">
        <v>1390000000</v>
      </c>
      <c r="L31" s="1143">
        <v>945000000</v>
      </c>
      <c r="M31" s="1143">
        <v>1585000000</v>
      </c>
      <c r="N31" s="1143">
        <v>677000000</v>
      </c>
      <c r="O31" s="1143">
        <v>2636000000</v>
      </c>
      <c r="P31" s="1143">
        <v>2860000000</v>
      </c>
      <c r="Q31" s="1143">
        <v>1179000000</v>
      </c>
      <c r="R31" s="1143">
        <v>1130000000</v>
      </c>
      <c r="S31" s="2591">
        <v>911000000</v>
      </c>
      <c r="T31" s="2588">
        <v>1378000000</v>
      </c>
      <c r="U31" s="2588">
        <v>1415000000</v>
      </c>
      <c r="V31" s="2588">
        <v>1315000000</v>
      </c>
      <c r="W31" s="2587">
        <v>1256000000</v>
      </c>
      <c r="X31" s="2587">
        <v>1323000000</v>
      </c>
      <c r="Y31" s="2587">
        <v>1395000000</v>
      </c>
      <c r="Z31" s="2587">
        <v>1473000000</v>
      </c>
      <c r="AA31" s="2587">
        <v>1557000000</v>
      </c>
      <c r="AB31" s="365"/>
      <c r="AC31" s="365"/>
    </row>
    <row r="32" spans="1:29">
      <c r="A32" s="566" t="s">
        <v>1859</v>
      </c>
      <c r="B32" s="566" t="s">
        <v>1860</v>
      </c>
      <c r="C32" s="865" t="s">
        <v>81</v>
      </c>
      <c r="D32" s="1152">
        <v>0</v>
      </c>
      <c r="E32" s="1143"/>
      <c r="F32" s="1143"/>
      <c r="G32" s="1143"/>
      <c r="H32" s="1143"/>
      <c r="I32" s="1143"/>
      <c r="J32" s="1143"/>
      <c r="K32" s="1143">
        <v>1234000000</v>
      </c>
      <c r="L32" s="1143">
        <v>1147000000</v>
      </c>
      <c r="M32" s="1143">
        <v>1780000000</v>
      </c>
      <c r="N32" s="1143">
        <v>1771000000</v>
      </c>
      <c r="O32" s="1143">
        <v>2238000000</v>
      </c>
      <c r="P32" s="1143">
        <v>6457000000</v>
      </c>
      <c r="Q32" s="1143">
        <v>5473000000</v>
      </c>
      <c r="R32" s="1143">
        <v>1864000000</v>
      </c>
      <c r="S32" s="2591">
        <v>1503000000</v>
      </c>
      <c r="T32" s="2588">
        <v>2273000000</v>
      </c>
      <c r="U32" s="2588">
        <v>2334000000</v>
      </c>
      <c r="V32" s="2588">
        <v>3436000000</v>
      </c>
      <c r="W32" s="2587">
        <v>3611000000</v>
      </c>
      <c r="X32" s="2587">
        <v>3802000000</v>
      </c>
      <c r="Y32" s="2587">
        <v>4011000000</v>
      </c>
      <c r="Z32" s="2587">
        <v>4235000000</v>
      </c>
      <c r="AA32" s="2587">
        <v>4475000000</v>
      </c>
      <c r="AB32" s="365"/>
      <c r="AC32" s="365"/>
    </row>
    <row r="33" spans="1:29">
      <c r="A33" s="566" t="s">
        <v>1450</v>
      </c>
      <c r="B33" s="566" t="s">
        <v>1861</v>
      </c>
      <c r="C33" s="865" t="s">
        <v>81</v>
      </c>
      <c r="D33" s="1146">
        <v>1427000000</v>
      </c>
      <c r="E33" s="1143">
        <v>896000000</v>
      </c>
      <c r="F33" s="1143">
        <v>2887000000</v>
      </c>
      <c r="G33" s="1143">
        <v>2507000000</v>
      </c>
      <c r="H33" s="1143">
        <v>606000000</v>
      </c>
      <c r="I33" s="1143">
        <v>647000000</v>
      </c>
      <c r="J33" s="1143">
        <v>1433000000</v>
      </c>
      <c r="K33" s="1143"/>
      <c r="L33" s="1143"/>
      <c r="M33" s="1143"/>
      <c r="N33" s="1143"/>
      <c r="O33" s="1143"/>
      <c r="P33" s="1143"/>
      <c r="Q33" s="1143"/>
      <c r="R33" s="1143"/>
      <c r="S33" s="2587"/>
      <c r="T33" s="2588"/>
      <c r="U33" s="2588"/>
      <c r="V33" s="2588"/>
      <c r="W33" s="2587"/>
      <c r="X33" s="2587"/>
      <c r="Y33" s="2587"/>
      <c r="Z33" s="2587"/>
      <c r="AA33" s="2587"/>
      <c r="AB33" s="365"/>
      <c r="AC33" s="365"/>
    </row>
    <row r="34" spans="1:29">
      <c r="A34" s="1155" t="s">
        <v>847</v>
      </c>
      <c r="B34" s="1155" t="s">
        <v>1862</v>
      </c>
      <c r="C34" s="865" t="s">
        <v>81</v>
      </c>
      <c r="D34" s="1143">
        <f t="shared" ref="D34:I34" si="7">D19-D22-D23-D24-D25-D31-D32-D33</f>
        <v>0</v>
      </c>
      <c r="E34" s="1143">
        <f t="shared" si="7"/>
        <v>1000000</v>
      </c>
      <c r="F34" s="1143">
        <f t="shared" si="7"/>
        <v>0</v>
      </c>
      <c r="G34" s="1143">
        <f t="shared" si="7"/>
        <v>0</v>
      </c>
      <c r="H34" s="1143">
        <f t="shared" si="7"/>
        <v>0</v>
      </c>
      <c r="I34" s="1143">
        <f t="shared" si="7"/>
        <v>784000000</v>
      </c>
      <c r="J34" s="1143">
        <f>J19-J22-J23-J24-J25-J31-J32-J33</f>
        <v>1024000000</v>
      </c>
      <c r="K34" s="1143"/>
      <c r="L34" s="1143"/>
      <c r="M34" s="1143"/>
      <c r="N34" s="1143"/>
      <c r="O34" s="1143"/>
      <c r="P34" s="1143"/>
      <c r="Q34" s="1143"/>
      <c r="R34" s="1143"/>
      <c r="S34" s="2587"/>
      <c r="T34" s="2588"/>
      <c r="U34" s="2588"/>
      <c r="V34" s="2588"/>
      <c r="W34" s="2587"/>
      <c r="X34" s="2587"/>
      <c r="Y34" s="2587"/>
      <c r="Z34" s="2587"/>
      <c r="AA34" s="2587"/>
      <c r="AB34" s="365"/>
      <c r="AC34" s="365"/>
    </row>
    <row r="35" spans="1:29">
      <c r="A35" s="380" t="s">
        <v>237</v>
      </c>
      <c r="B35" s="380" t="s">
        <v>967</v>
      </c>
      <c r="C35" s="865" t="s">
        <v>75</v>
      </c>
      <c r="D35" s="1146">
        <v>4157000000</v>
      </c>
      <c r="E35" s="1143">
        <v>5373000000</v>
      </c>
      <c r="F35" s="1143">
        <v>7597000000</v>
      </c>
      <c r="G35" s="1143">
        <v>7578000000</v>
      </c>
      <c r="H35" s="1143">
        <v>6301000000</v>
      </c>
      <c r="I35" s="1143">
        <v>6902000000</v>
      </c>
      <c r="J35" s="1143">
        <v>7832000000</v>
      </c>
      <c r="K35" s="1143">
        <v>10274000000</v>
      </c>
      <c r="L35" s="1143">
        <v>16483000000</v>
      </c>
      <c r="M35" s="1143">
        <v>8939000000</v>
      </c>
      <c r="N35" s="1143">
        <v>11588000000</v>
      </c>
      <c r="O35" s="1143">
        <v>11708000000</v>
      </c>
      <c r="P35" s="1143">
        <v>15444000000</v>
      </c>
      <c r="Q35" s="1143">
        <v>22197000000</v>
      </c>
      <c r="R35" s="1143">
        <v>20277000000</v>
      </c>
      <c r="S35" s="2591">
        <v>22005000000</v>
      </c>
      <c r="T35" s="2588">
        <v>28148000000</v>
      </c>
      <c r="U35" s="2588">
        <v>29490000000</v>
      </c>
      <c r="V35" s="2588">
        <v>31967000000</v>
      </c>
      <c r="W35" s="2587">
        <v>35575000000</v>
      </c>
      <c r="X35" s="2594">
        <v>38716000000</v>
      </c>
      <c r="Y35" s="2594">
        <v>40727000000</v>
      </c>
      <c r="Z35" s="2594">
        <v>42594000000</v>
      </c>
      <c r="AA35" s="2594">
        <v>45321000000</v>
      </c>
      <c r="AB35" s="365"/>
      <c r="AC35" s="365"/>
    </row>
    <row r="36" spans="1:29">
      <c r="A36" s="435" t="s">
        <v>239</v>
      </c>
      <c r="B36" s="1156" t="s">
        <v>1863</v>
      </c>
      <c r="C36" s="865" t="s">
        <v>95</v>
      </c>
      <c r="D36" s="1146">
        <v>130000000</v>
      </c>
      <c r="E36" s="1143">
        <v>584000000</v>
      </c>
      <c r="F36" s="1143">
        <v>131000000</v>
      </c>
      <c r="G36" s="1143">
        <v>2785000000</v>
      </c>
      <c r="H36" s="1143">
        <v>2539000000</v>
      </c>
      <c r="I36" s="1143">
        <v>1411000000</v>
      </c>
      <c r="J36" s="1143">
        <v>1250000000</v>
      </c>
      <c r="K36" s="1143">
        <v>1227000000</v>
      </c>
      <c r="L36" s="1143">
        <v>1758000000</v>
      </c>
      <c r="M36" s="1143">
        <v>1563000000</v>
      </c>
      <c r="N36" s="1143">
        <v>2515000000</v>
      </c>
      <c r="O36" s="1143">
        <v>1417000000</v>
      </c>
      <c r="P36" s="1143">
        <v>5747000000</v>
      </c>
      <c r="Q36" s="1143">
        <v>6928000000</v>
      </c>
      <c r="R36" s="1143">
        <v>3470000000</v>
      </c>
      <c r="S36" s="2591">
        <v>3929000000</v>
      </c>
      <c r="T36" s="2588">
        <v>7651000000</v>
      </c>
      <c r="U36" s="2588">
        <v>8440000000</v>
      </c>
      <c r="V36" s="2588">
        <v>11051000000</v>
      </c>
      <c r="W36" s="2587">
        <v>13594000000</v>
      </c>
      <c r="X36" s="2587">
        <v>15572000000</v>
      </c>
      <c r="Y36" s="2587">
        <v>16314000000</v>
      </c>
      <c r="Z36" s="2587">
        <v>16817000000</v>
      </c>
      <c r="AA36" s="2587">
        <v>18081000000</v>
      </c>
      <c r="AB36" s="365"/>
      <c r="AC36" s="365"/>
    </row>
    <row r="37" spans="1:29">
      <c r="A37" s="435" t="s">
        <v>395</v>
      </c>
      <c r="B37" s="1156" t="s">
        <v>1864</v>
      </c>
      <c r="C37" s="865" t="s">
        <v>95</v>
      </c>
      <c r="D37" s="1146">
        <v>4027000000</v>
      </c>
      <c r="E37" s="1143">
        <v>4789000000</v>
      </c>
      <c r="F37" s="1143">
        <v>7466000000</v>
      </c>
      <c r="G37" s="1143">
        <v>4793000000</v>
      </c>
      <c r="H37" s="1143">
        <v>3762000000</v>
      </c>
      <c r="I37" s="1143">
        <v>5491000000</v>
      </c>
      <c r="J37" s="1143">
        <v>6182000000</v>
      </c>
      <c r="K37" s="1143">
        <v>7669000000</v>
      </c>
      <c r="L37" s="1143">
        <v>14725000000</v>
      </c>
      <c r="M37" s="1143">
        <v>7326000000</v>
      </c>
      <c r="N37" s="1143">
        <v>9073000000</v>
      </c>
      <c r="O37" s="1143">
        <v>10291000000</v>
      </c>
      <c r="P37" s="1143">
        <v>9696000000</v>
      </c>
      <c r="Q37" s="1143">
        <v>14539000000</v>
      </c>
      <c r="R37" s="1143">
        <v>16807000000</v>
      </c>
      <c r="S37" s="2591">
        <v>18076000000</v>
      </c>
      <c r="T37" s="2588">
        <v>20497000000</v>
      </c>
      <c r="U37" s="2588">
        <v>21050000000</v>
      </c>
      <c r="V37" s="2588">
        <v>20916000000</v>
      </c>
      <c r="W37" s="2587">
        <v>21980000000</v>
      </c>
      <c r="X37" s="2587">
        <v>23144000000</v>
      </c>
      <c r="Y37" s="2587">
        <v>24413000000</v>
      </c>
      <c r="Z37" s="2587">
        <v>25777000000</v>
      </c>
      <c r="AA37" s="2587">
        <v>27239000000</v>
      </c>
      <c r="AB37" s="365"/>
      <c r="AC37" s="365"/>
    </row>
    <row r="38" spans="1:29">
      <c r="A38" s="1156" t="s">
        <v>1865</v>
      </c>
      <c r="B38" s="1156" t="s">
        <v>1866</v>
      </c>
      <c r="C38" s="865" t="s">
        <v>95</v>
      </c>
      <c r="D38" s="1146"/>
      <c r="E38" s="1143"/>
      <c r="F38" s="1143"/>
      <c r="G38" s="1143"/>
      <c r="H38" s="1143"/>
      <c r="I38" s="1143">
        <v>0</v>
      </c>
      <c r="J38" s="1143">
        <v>401000000</v>
      </c>
      <c r="K38" s="1143">
        <v>1378000000</v>
      </c>
      <c r="L38" s="1143">
        <v>0</v>
      </c>
      <c r="M38" s="1143">
        <v>50000000</v>
      </c>
      <c r="N38" s="1143">
        <v>0</v>
      </c>
      <c r="O38" s="1143">
        <v>0</v>
      </c>
      <c r="P38" s="1143">
        <v>0</v>
      </c>
      <c r="Q38" s="1143">
        <v>730000000</v>
      </c>
      <c r="R38" s="1143"/>
      <c r="S38" s="2591"/>
      <c r="T38" s="2588"/>
      <c r="U38" s="2588"/>
      <c r="V38" s="2588"/>
      <c r="W38" s="2587"/>
      <c r="X38" s="2587"/>
      <c r="Y38" s="2587"/>
      <c r="Z38" s="2587"/>
      <c r="AA38" s="2587"/>
      <c r="AB38" s="365"/>
      <c r="AC38" s="365"/>
    </row>
    <row r="39" spans="1:29">
      <c r="A39" s="380" t="s">
        <v>612</v>
      </c>
      <c r="B39" s="380" t="s">
        <v>968</v>
      </c>
      <c r="C39" s="865" t="s">
        <v>75</v>
      </c>
      <c r="D39" s="2750">
        <v>0</v>
      </c>
      <c r="E39" s="2751">
        <v>0</v>
      </c>
      <c r="F39" s="2751">
        <v>0</v>
      </c>
      <c r="G39" s="1143">
        <v>0</v>
      </c>
      <c r="H39" s="1143">
        <v>0</v>
      </c>
      <c r="I39" s="1143">
        <v>0</v>
      </c>
      <c r="J39" s="1143">
        <v>0</v>
      </c>
      <c r="K39" s="1144">
        <v>0</v>
      </c>
      <c r="L39" s="1143">
        <v>0</v>
      </c>
      <c r="M39" s="1143">
        <v>448000000</v>
      </c>
      <c r="N39" s="1143">
        <v>0</v>
      </c>
      <c r="O39" s="1143">
        <v>300000000</v>
      </c>
      <c r="P39" s="1143">
        <v>461000000</v>
      </c>
      <c r="Q39" s="1143">
        <v>0</v>
      </c>
      <c r="R39" s="1143">
        <v>0</v>
      </c>
      <c r="S39" s="2591">
        <v>3902000000</v>
      </c>
      <c r="T39" s="2588">
        <v>6116000000</v>
      </c>
      <c r="U39" s="2588">
        <v>1500000000</v>
      </c>
      <c r="V39" s="2588">
        <v>0</v>
      </c>
      <c r="W39" s="2587">
        <v>0</v>
      </c>
      <c r="X39" s="2587">
        <v>0</v>
      </c>
      <c r="Y39" s="2587">
        <v>0</v>
      </c>
      <c r="Z39" s="2587">
        <v>0</v>
      </c>
      <c r="AA39" s="2587">
        <v>0</v>
      </c>
      <c r="AB39" s="365"/>
      <c r="AC39" s="365"/>
    </row>
    <row r="40" spans="1:29">
      <c r="A40" s="534" t="s">
        <v>76</v>
      </c>
      <c r="B40" s="380" t="s">
        <v>1867</v>
      </c>
      <c r="C40" s="380"/>
      <c r="D40" s="1146">
        <v>-219000000</v>
      </c>
      <c r="E40" s="1143">
        <v>-2695000000</v>
      </c>
      <c r="F40" s="1143">
        <v>1441000000</v>
      </c>
      <c r="G40" s="1143">
        <v>719000000</v>
      </c>
      <c r="H40" s="1143">
        <v>-752000000</v>
      </c>
      <c r="I40" s="1143">
        <v>1650000000</v>
      </c>
      <c r="J40" s="1143">
        <v>-1859000000</v>
      </c>
      <c r="K40" s="1143">
        <v>-3662000000</v>
      </c>
      <c r="L40" s="1143">
        <v>-4981000000</v>
      </c>
      <c r="M40" s="1143">
        <v>-4967000000</v>
      </c>
      <c r="N40" s="1143">
        <v>-3271000000</v>
      </c>
      <c r="O40" s="1143">
        <v>3417000000</v>
      </c>
      <c r="P40" s="1143">
        <v>6785000000</v>
      </c>
      <c r="Q40" s="1143">
        <v>-2883000000</v>
      </c>
      <c r="R40" s="1143">
        <v>-5036000000</v>
      </c>
      <c r="S40" s="2591"/>
      <c r="T40" s="2588"/>
      <c r="U40" s="2588"/>
      <c r="V40" s="2588"/>
      <c r="W40" s="2587"/>
      <c r="X40" s="2587"/>
      <c r="Y40" s="2587"/>
      <c r="Z40" s="2587"/>
      <c r="AA40" s="2587"/>
      <c r="AB40" s="365"/>
      <c r="AC40" s="365"/>
    </row>
    <row r="41" spans="1:29">
      <c r="A41" s="534" t="s">
        <v>76</v>
      </c>
      <c r="B41" s="380" t="s">
        <v>1868</v>
      </c>
      <c r="C41" s="380"/>
      <c r="D41" s="1146">
        <v>-2058000000</v>
      </c>
      <c r="E41" s="1143">
        <v>-4357000000</v>
      </c>
      <c r="F41" s="1143">
        <v>-4771000000</v>
      </c>
      <c r="G41" s="1143">
        <v>-4865000000</v>
      </c>
      <c r="H41" s="1143">
        <v>-2413000000</v>
      </c>
      <c r="I41" s="1143">
        <v>84000000</v>
      </c>
      <c r="J41" s="1143">
        <v>-4065000000</v>
      </c>
      <c r="K41" s="1143">
        <v>-3369000000</v>
      </c>
      <c r="L41" s="1143">
        <v>-4485000000</v>
      </c>
      <c r="M41" s="1143">
        <v>1148000000</v>
      </c>
      <c r="N41" s="1143">
        <v>14165000000</v>
      </c>
      <c r="O41" s="1143">
        <v>3114000000</v>
      </c>
      <c r="P41" s="1143">
        <v>8159000000</v>
      </c>
      <c r="Q41" s="1143">
        <v>44442000000</v>
      </c>
      <c r="R41" s="1143">
        <v>-1340000000</v>
      </c>
      <c r="S41" s="2591"/>
      <c r="T41" s="2588"/>
      <c r="U41" s="2588"/>
      <c r="V41" s="2588"/>
      <c r="W41" s="2587"/>
      <c r="X41" s="2587"/>
      <c r="Y41" s="2587"/>
      <c r="Z41" s="2587"/>
      <c r="AA41" s="2587"/>
      <c r="AB41" s="365"/>
      <c r="AC41" s="365"/>
    </row>
    <row r="42" spans="1:29">
      <c r="A42" s="534" t="s">
        <v>76</v>
      </c>
      <c r="B42" s="380" t="s">
        <v>1869</v>
      </c>
      <c r="C42" s="380"/>
      <c r="D42" s="1146">
        <v>-2058000000</v>
      </c>
      <c r="E42" s="1143">
        <v>-5844000000</v>
      </c>
      <c r="F42" s="1143">
        <v>-5901000000</v>
      </c>
      <c r="G42" s="1143">
        <v>-4865000000</v>
      </c>
      <c r="H42" s="1143">
        <v>-2566000000</v>
      </c>
      <c r="I42" s="1143">
        <v>-585000000</v>
      </c>
      <c r="J42" s="1143">
        <v>-4803000000</v>
      </c>
      <c r="K42" s="1143">
        <v>-16153000000</v>
      </c>
      <c r="L42" s="1143">
        <v>-23072000000</v>
      </c>
      <c r="M42" s="1143">
        <v>-17226000000</v>
      </c>
      <c r="N42" s="1143">
        <v>-15829000000</v>
      </c>
      <c r="O42" s="1143">
        <v>-13000000000</v>
      </c>
      <c r="P42" s="1143">
        <v>-13666000000</v>
      </c>
      <c r="Q42" s="1143">
        <v>-25093000000</v>
      </c>
      <c r="R42" s="1143">
        <v>-25038000000</v>
      </c>
      <c r="S42" s="2591"/>
      <c r="T42" s="2588"/>
      <c r="U42" s="2588"/>
      <c r="V42" s="2588"/>
      <c r="W42" s="2587"/>
      <c r="X42" s="2587"/>
      <c r="Y42" s="2587"/>
      <c r="Z42" s="2587"/>
      <c r="AA42" s="2587"/>
      <c r="AB42" s="365"/>
      <c r="AC42" s="365"/>
    </row>
    <row r="43" spans="1:29">
      <c r="A43" s="534" t="s">
        <v>76</v>
      </c>
      <c r="B43" s="380" t="s">
        <v>1870</v>
      </c>
      <c r="C43" s="380"/>
      <c r="D43" s="1146">
        <v>1965000000</v>
      </c>
      <c r="E43" s="1143">
        <v>1743000000</v>
      </c>
      <c r="F43" s="1143">
        <v>969000000</v>
      </c>
      <c r="G43" s="1143">
        <v>2226000000</v>
      </c>
      <c r="H43" s="1143">
        <v>1862000000</v>
      </c>
      <c r="I43" s="1143">
        <v>-272000000</v>
      </c>
      <c r="J43" s="1143">
        <v>1436000000</v>
      </c>
      <c r="K43" s="1143">
        <v>-2289000000</v>
      </c>
      <c r="L43" s="1143">
        <v>309000000</v>
      </c>
      <c r="M43" s="1143">
        <v>430000000</v>
      </c>
      <c r="N43" s="1143">
        <v>-12430000000</v>
      </c>
      <c r="O43" s="1143">
        <v>-7281000000</v>
      </c>
      <c r="P43" s="1143">
        <v>-1544000000</v>
      </c>
      <c r="Q43" s="1143">
        <v>-2119000000</v>
      </c>
      <c r="R43" s="1143">
        <v>-630000000</v>
      </c>
      <c r="S43" s="2591"/>
      <c r="T43" s="2588"/>
      <c r="U43" s="2588"/>
      <c r="V43" s="2588"/>
      <c r="W43" s="2587"/>
      <c r="X43" s="2587"/>
      <c r="Y43" s="2587"/>
      <c r="Z43" s="2587"/>
      <c r="AA43" s="2587"/>
      <c r="AB43" s="365"/>
      <c r="AC43" s="365"/>
    </row>
    <row r="44" spans="1:29">
      <c r="A44" s="534" t="s">
        <v>76</v>
      </c>
      <c r="B44" s="380" t="s">
        <v>1871</v>
      </c>
      <c r="C44" s="380"/>
      <c r="D44" s="1146">
        <v>551000000</v>
      </c>
      <c r="E44" s="1143">
        <v>916000000</v>
      </c>
      <c r="F44" s="1143">
        <v>882000000</v>
      </c>
      <c r="G44" s="1143">
        <v>1001000000</v>
      </c>
      <c r="H44" s="1143">
        <v>665000000</v>
      </c>
      <c r="I44" s="1143">
        <v>542000000</v>
      </c>
      <c r="J44" s="1143">
        <v>413000000</v>
      </c>
      <c r="K44" s="1143">
        <v>-5317000000</v>
      </c>
      <c r="L44" s="1143">
        <v>232000000</v>
      </c>
      <c r="M44" s="1143">
        <v>-271000000</v>
      </c>
      <c r="N44" s="1143">
        <v>-4007000000</v>
      </c>
      <c r="O44" s="1143">
        <v>-1662000000</v>
      </c>
      <c r="P44" s="1143">
        <v>-171000000</v>
      </c>
      <c r="Q44" s="1143">
        <v>0</v>
      </c>
      <c r="R44" s="1143">
        <v>-385000000</v>
      </c>
      <c r="S44" s="2591"/>
      <c r="T44" s="2588"/>
      <c r="U44" s="2588"/>
      <c r="V44" s="2588"/>
      <c r="W44" s="2587"/>
      <c r="X44" s="2587"/>
      <c r="Y44" s="2587"/>
      <c r="Z44" s="2587"/>
      <c r="AA44" s="2587"/>
      <c r="AB44" s="365"/>
      <c r="AC44" s="365"/>
    </row>
    <row r="45" spans="1:29">
      <c r="A45" s="534" t="s">
        <v>76</v>
      </c>
      <c r="B45" s="380" t="s">
        <v>1872</v>
      </c>
      <c r="C45" s="380"/>
      <c r="D45" s="1146">
        <v>1413000000</v>
      </c>
      <c r="E45" s="1143">
        <v>827000000</v>
      </c>
      <c r="F45" s="1143">
        <v>87000000</v>
      </c>
      <c r="G45" s="1143">
        <v>1225000000</v>
      </c>
      <c r="H45" s="1143">
        <v>1197000000</v>
      </c>
      <c r="I45" s="1143">
        <v>-814000000</v>
      </c>
      <c r="J45" s="1143">
        <v>1023000000</v>
      </c>
      <c r="K45" s="1143">
        <v>3029000000</v>
      </c>
      <c r="L45" s="1143">
        <v>77000000</v>
      </c>
      <c r="M45" s="1143">
        <v>702000000</v>
      </c>
      <c r="N45" s="1143">
        <v>-8423000000</v>
      </c>
      <c r="O45" s="1143">
        <v>-5619000000</v>
      </c>
      <c r="P45" s="1143">
        <v>-1372000000</v>
      </c>
      <c r="Q45" s="1143">
        <v>-2119000000</v>
      </c>
      <c r="R45" s="1143">
        <v>-245000000</v>
      </c>
      <c r="S45" s="2591"/>
      <c r="T45" s="2588"/>
      <c r="U45" s="2588"/>
      <c r="V45" s="2588"/>
      <c r="W45" s="2587"/>
      <c r="X45" s="2587"/>
      <c r="Y45" s="2587"/>
      <c r="Z45" s="2587"/>
      <c r="AA45" s="2587"/>
      <c r="AB45" s="365"/>
      <c r="AC45" s="365"/>
    </row>
    <row r="46" spans="1:29">
      <c r="A46" s="534" t="s">
        <v>76</v>
      </c>
      <c r="B46" s="380" t="s">
        <v>1873</v>
      </c>
      <c r="C46" s="380"/>
      <c r="D46" s="1152">
        <v>0</v>
      </c>
      <c r="E46" s="1144"/>
      <c r="F46" s="1144"/>
      <c r="G46" s="1144"/>
      <c r="H46" s="1144"/>
      <c r="I46" s="1144"/>
      <c r="J46" s="1144"/>
      <c r="K46" s="1144"/>
      <c r="L46" s="1144"/>
      <c r="M46" s="1143">
        <v>-9391000000</v>
      </c>
      <c r="N46" s="1143">
        <v>-13629000000</v>
      </c>
      <c r="O46" s="1143">
        <v>-7985000000</v>
      </c>
      <c r="P46" s="1143">
        <v>-1372000000</v>
      </c>
      <c r="Q46" s="1143">
        <v>-2119000000</v>
      </c>
      <c r="R46" s="1143">
        <v>-2083000000</v>
      </c>
      <c r="S46" s="2591"/>
      <c r="T46" s="2588"/>
      <c r="U46" s="2588"/>
      <c r="V46" s="2588"/>
      <c r="W46" s="2587"/>
      <c r="X46" s="2587"/>
      <c r="Y46" s="2587"/>
      <c r="Z46" s="2587"/>
      <c r="AA46" s="2587"/>
      <c r="AB46" s="365"/>
      <c r="AC46" s="365"/>
    </row>
    <row r="47" spans="1:29">
      <c r="A47" s="534" t="s">
        <v>76</v>
      </c>
      <c r="B47" s="380" t="s">
        <v>1874</v>
      </c>
      <c r="C47" s="380"/>
      <c r="D47" s="1152">
        <v>0</v>
      </c>
      <c r="E47" s="1144"/>
      <c r="F47" s="1144"/>
      <c r="G47" s="1144"/>
      <c r="H47" s="1144"/>
      <c r="I47" s="1144"/>
      <c r="J47" s="1144"/>
      <c r="K47" s="1144"/>
      <c r="L47" s="1144"/>
      <c r="M47" s="1143">
        <v>10093000000</v>
      </c>
      <c r="N47" s="1143">
        <v>5206000000</v>
      </c>
      <c r="O47" s="1143">
        <v>2366000000</v>
      </c>
      <c r="P47" s="1143">
        <v>0</v>
      </c>
      <c r="Q47" s="1143">
        <v>0</v>
      </c>
      <c r="R47" s="1143">
        <v>1838000000</v>
      </c>
      <c r="S47" s="2591"/>
      <c r="T47" s="2588"/>
      <c r="U47" s="2588"/>
      <c r="V47" s="2588"/>
      <c r="W47" s="2587"/>
      <c r="X47" s="2587"/>
      <c r="Y47" s="2587"/>
      <c r="Z47" s="2587"/>
      <c r="AA47" s="2587"/>
      <c r="AB47" s="365"/>
      <c r="AC47" s="365"/>
    </row>
    <row r="48" spans="1:29">
      <c r="A48" s="534" t="s">
        <v>76</v>
      </c>
      <c r="B48" s="380" t="s">
        <v>912</v>
      </c>
      <c r="C48" s="380"/>
      <c r="D48" s="1146">
        <v>0</v>
      </c>
      <c r="E48" s="1144"/>
      <c r="F48" s="1144"/>
      <c r="G48" s="1144"/>
      <c r="H48" s="1144"/>
      <c r="I48" s="1144"/>
      <c r="J48" s="1144"/>
      <c r="K48" s="1144"/>
      <c r="L48" s="1144"/>
      <c r="M48" s="1143">
        <v>2849000000</v>
      </c>
      <c r="N48" s="1143">
        <v>2761000000</v>
      </c>
      <c r="O48" s="1143">
        <v>2071000000</v>
      </c>
      <c r="P48" s="1143">
        <v>45000000</v>
      </c>
      <c r="Q48" s="1143">
        <v>0</v>
      </c>
      <c r="R48" s="1143">
        <v>1256000000</v>
      </c>
      <c r="S48" s="2591"/>
      <c r="T48" s="2588"/>
      <c r="U48" s="2588"/>
      <c r="V48" s="2588"/>
      <c r="W48" s="2587"/>
      <c r="X48" s="2587"/>
      <c r="Y48" s="2587"/>
      <c r="Z48" s="2587"/>
      <c r="AA48" s="2587"/>
      <c r="AB48" s="365"/>
      <c r="AC48" s="365"/>
    </row>
    <row r="49" spans="1:29">
      <c r="A49" s="534" t="s">
        <v>76</v>
      </c>
      <c r="B49" s="380" t="s">
        <v>1875</v>
      </c>
      <c r="C49" s="380"/>
      <c r="D49" s="1146">
        <v>0</v>
      </c>
      <c r="E49" s="1143"/>
      <c r="F49" s="1143"/>
      <c r="G49" s="1143"/>
      <c r="H49" s="1143">
        <v>125000000</v>
      </c>
      <c r="I49" s="1143">
        <v>-548000000</v>
      </c>
      <c r="J49" s="1143">
        <v>0</v>
      </c>
      <c r="K49" s="1144"/>
      <c r="L49" s="1144"/>
      <c r="M49" s="1144"/>
      <c r="N49" s="1144"/>
      <c r="O49" s="1144"/>
      <c r="P49" s="1144"/>
      <c r="Q49" s="1144"/>
      <c r="R49" s="1144"/>
      <c r="S49" s="2587"/>
      <c r="T49" s="2592"/>
      <c r="U49" s="2592"/>
      <c r="V49" s="2592"/>
      <c r="W49" s="2587"/>
      <c r="X49" s="2587"/>
      <c r="Y49" s="2587"/>
      <c r="Z49" s="2587"/>
      <c r="AA49" s="2587"/>
      <c r="AB49" s="365"/>
      <c r="AC49" s="365"/>
    </row>
    <row r="50" spans="1:29">
      <c r="A50" s="534" t="s">
        <v>76</v>
      </c>
      <c r="B50" s="380" t="s">
        <v>1876</v>
      </c>
      <c r="C50" s="380"/>
      <c r="D50" s="1146">
        <v>-93000000</v>
      </c>
      <c r="E50" s="1143">
        <v>-2614000000</v>
      </c>
      <c r="F50" s="1143">
        <v>-3802000000</v>
      </c>
      <c r="G50" s="1143">
        <v>-2638000000</v>
      </c>
      <c r="H50" s="1143">
        <v>-426000000</v>
      </c>
      <c r="I50" s="1143">
        <v>-736000000</v>
      </c>
      <c r="J50" s="1143">
        <v>-2628000000</v>
      </c>
      <c r="K50" s="1143">
        <v>-5657000000</v>
      </c>
      <c r="L50" s="1143">
        <v>-4176000000</v>
      </c>
      <c r="M50" s="1143">
        <v>1579000000</v>
      </c>
      <c r="N50" s="1143">
        <v>1736000000</v>
      </c>
      <c r="O50" s="1143">
        <v>-4167000000</v>
      </c>
      <c r="P50" s="1143">
        <v>6616000000</v>
      </c>
      <c r="Q50" s="1143">
        <v>42323000000</v>
      </c>
      <c r="R50" s="1143">
        <v>-1970000000</v>
      </c>
      <c r="S50" s="2591"/>
      <c r="T50" s="2588"/>
      <c r="U50" s="2588"/>
      <c r="V50" s="2588"/>
      <c r="W50" s="2587"/>
      <c r="X50" s="2587"/>
      <c r="Y50" s="2587"/>
      <c r="Z50" s="2587"/>
      <c r="AA50" s="2587"/>
      <c r="AB50" s="365"/>
      <c r="AC50" s="365"/>
    </row>
    <row r="51" spans="1:29">
      <c r="A51" s="534" t="s">
        <v>76</v>
      </c>
      <c r="B51" s="380" t="s">
        <v>1869</v>
      </c>
      <c r="C51" s="380"/>
      <c r="D51" s="1146">
        <v>-93000000</v>
      </c>
      <c r="E51" s="1143">
        <v>-4101000000</v>
      </c>
      <c r="F51" s="1143">
        <v>-4932000000</v>
      </c>
      <c r="G51" s="1143">
        <v>-2638000000</v>
      </c>
      <c r="H51" s="1143">
        <v>-4415000000</v>
      </c>
      <c r="I51" s="1143">
        <v>-7273000000</v>
      </c>
      <c r="J51" s="1143">
        <v>-10607000000</v>
      </c>
      <c r="K51" s="1143">
        <v>-18442000000</v>
      </c>
      <c r="L51" s="1143">
        <v>-22763000000</v>
      </c>
      <c r="M51" s="1143">
        <v>-16795000000</v>
      </c>
      <c r="N51" s="1143">
        <v>-28258000000</v>
      </c>
      <c r="O51" s="1143">
        <v>-20280000000</v>
      </c>
      <c r="P51" s="1143">
        <v>-15210000000</v>
      </c>
      <c r="Q51" s="1143">
        <v>-27212000000</v>
      </c>
      <c r="R51" s="1143">
        <v>-25668000000</v>
      </c>
      <c r="S51" s="2591"/>
      <c r="T51" s="2588"/>
      <c r="U51" s="2588"/>
      <c r="V51" s="2588"/>
      <c r="W51" s="2587"/>
      <c r="X51" s="2587"/>
      <c r="Y51" s="2587"/>
      <c r="Z51" s="2587"/>
      <c r="AA51" s="2587"/>
      <c r="AB51" s="365"/>
      <c r="AC51" s="365"/>
    </row>
    <row r="52" spans="1:29">
      <c r="A52" s="534" t="s">
        <v>76</v>
      </c>
      <c r="B52" s="380" t="s">
        <v>1877</v>
      </c>
      <c r="C52" s="380"/>
      <c r="D52" s="1152">
        <v>0</v>
      </c>
      <c r="E52" s="1144"/>
      <c r="F52" s="1144"/>
      <c r="G52" s="1144"/>
      <c r="H52" s="1144"/>
      <c r="I52" s="1144"/>
      <c r="J52" s="1144"/>
      <c r="K52" s="1144"/>
      <c r="L52" s="1144"/>
      <c r="M52" s="1143"/>
      <c r="N52" s="1143">
        <v>-3900000000</v>
      </c>
      <c r="O52" s="1143">
        <v>3900000000</v>
      </c>
      <c r="P52" s="1143">
        <v>-300000000</v>
      </c>
      <c r="Q52" s="1143">
        <v>300000000</v>
      </c>
      <c r="R52" s="1143"/>
      <c r="S52" s="2591"/>
      <c r="T52" s="2588"/>
      <c r="U52" s="2588"/>
      <c r="V52" s="2588"/>
      <c r="W52" s="2587"/>
      <c r="X52" s="2587"/>
      <c r="Y52" s="2587"/>
      <c r="Z52" s="2587"/>
      <c r="AA52" s="2587"/>
      <c r="AB52" s="365"/>
      <c r="AC52" s="365"/>
    </row>
    <row r="53" spans="1:29">
      <c r="A53" s="534" t="s">
        <v>76</v>
      </c>
      <c r="B53" s="380" t="s">
        <v>1878</v>
      </c>
      <c r="C53" s="380"/>
      <c r="D53" s="1146">
        <v>5079000000</v>
      </c>
      <c r="E53" s="1143">
        <v>0</v>
      </c>
      <c r="F53" s="1143">
        <v>-1774000000</v>
      </c>
      <c r="G53" s="1143">
        <v>-814000000</v>
      </c>
      <c r="H53" s="1143">
        <v>-403000000</v>
      </c>
      <c r="I53" s="1143">
        <v>-381000000</v>
      </c>
      <c r="J53" s="1143">
        <v>-63000000</v>
      </c>
      <c r="K53" s="1143">
        <v>213000000</v>
      </c>
      <c r="L53" s="1143">
        <v>-57000000</v>
      </c>
      <c r="M53" s="1143">
        <v>-324000000</v>
      </c>
      <c r="N53" s="1143">
        <v>-30000000</v>
      </c>
      <c r="O53" s="1143">
        <v>-419000000</v>
      </c>
      <c r="P53" s="1143">
        <v>42000000</v>
      </c>
      <c r="Q53" s="1143">
        <v>0</v>
      </c>
      <c r="R53" s="1143"/>
      <c r="S53" s="2591"/>
      <c r="T53" s="2588"/>
      <c r="U53" s="2588"/>
      <c r="V53" s="2588"/>
      <c r="W53" s="2587"/>
      <c r="X53" s="2587"/>
      <c r="Y53" s="2587"/>
      <c r="Z53" s="2587"/>
      <c r="AA53" s="2587"/>
      <c r="AB53" s="365"/>
      <c r="AC53" s="365"/>
    </row>
    <row r="54" spans="1:29" s="9" customFormat="1">
      <c r="A54" s="379" t="s">
        <v>115</v>
      </c>
      <c r="B54" s="379" t="s">
        <v>115</v>
      </c>
      <c r="C54" s="379" t="s">
        <v>35</v>
      </c>
      <c r="D54" s="1145">
        <v>-4985000000</v>
      </c>
      <c r="E54" s="1142">
        <v>2614000000</v>
      </c>
      <c r="F54" s="1142">
        <v>5575000000</v>
      </c>
      <c r="G54" s="1142">
        <v>3453000000</v>
      </c>
      <c r="H54" s="1142">
        <v>829000000</v>
      </c>
      <c r="I54" s="1142">
        <v>1118000000</v>
      </c>
      <c r="J54" s="1142">
        <v>2691000000</v>
      </c>
      <c r="K54" s="1142">
        <v>5444000000</v>
      </c>
      <c r="L54" s="1142">
        <f>L55+L66</f>
        <v>4236000000</v>
      </c>
      <c r="M54" s="1142">
        <v>-1255000000</v>
      </c>
      <c r="N54" s="1142">
        <v>2194000000</v>
      </c>
      <c r="O54" s="1142">
        <v>685000000</v>
      </c>
      <c r="P54" s="1142">
        <v>-6358000000</v>
      </c>
      <c r="Q54" s="1142">
        <v>-42623000000</v>
      </c>
      <c r="R54" s="1142">
        <v>5122000000</v>
      </c>
      <c r="S54" s="2589">
        <f>S55+S66</f>
        <v>-3932000000</v>
      </c>
      <c r="T54" s="2589">
        <f t="shared" ref="T54:AA54" si="8">T55+T66</f>
        <v>18864000000</v>
      </c>
      <c r="U54" s="2589">
        <f t="shared" si="8"/>
        <v>-853000000</v>
      </c>
      <c r="V54" s="2589">
        <f t="shared" si="8"/>
        <v>9365000000</v>
      </c>
      <c r="W54" s="2589">
        <f t="shared" si="8"/>
        <v>16946000000</v>
      </c>
      <c r="X54" s="2589">
        <f t="shared" si="8"/>
        <v>19944000000</v>
      </c>
      <c r="Y54" s="2589">
        <f t="shared" si="8"/>
        <v>22245000000</v>
      </c>
      <c r="Z54" s="2589">
        <f t="shared" si="8"/>
        <v>25045000000</v>
      </c>
      <c r="AA54" s="2589">
        <f t="shared" si="8"/>
        <v>31897000000</v>
      </c>
      <c r="AB54" s="365"/>
      <c r="AC54" s="365"/>
    </row>
    <row r="55" spans="1:29">
      <c r="A55" s="435" t="s">
        <v>117</v>
      </c>
      <c r="B55" s="380" t="s">
        <v>1879</v>
      </c>
      <c r="C55" s="865" t="s">
        <v>119</v>
      </c>
      <c r="D55" s="1146">
        <v>-4575000000</v>
      </c>
      <c r="E55" s="1143">
        <v>4603000000</v>
      </c>
      <c r="F55" s="1143">
        <v>6189000000</v>
      </c>
      <c r="G55" s="1143">
        <v>3333000000</v>
      </c>
      <c r="H55" s="1143">
        <v>262000000</v>
      </c>
      <c r="I55" s="1143">
        <v>-161000000</v>
      </c>
      <c r="J55" s="1143">
        <v>445000000</v>
      </c>
      <c r="K55" s="1143">
        <v>4867000000</v>
      </c>
      <c r="L55" s="1143">
        <f>L56+L58+L61+L62+L63</f>
        <v>2221000000</v>
      </c>
      <c r="M55" s="1143">
        <v>-2387000000</v>
      </c>
      <c r="N55" s="1143">
        <v>2913000000</v>
      </c>
      <c r="O55" s="1143">
        <v>-404000000</v>
      </c>
      <c r="P55" s="1143">
        <v>-2504000000</v>
      </c>
      <c r="Q55" s="1143">
        <v>-46315000000</v>
      </c>
      <c r="R55" s="1143">
        <v>2352000000</v>
      </c>
      <c r="S55" s="2591">
        <v>8384000000</v>
      </c>
      <c r="T55" s="2588">
        <v>5508000000</v>
      </c>
      <c r="U55" s="2588">
        <v>-1018000000</v>
      </c>
      <c r="V55" s="2588">
        <v>10345000000</v>
      </c>
      <c r="W55" s="2587">
        <f>W56+W58+W62+W64</f>
        <v>17428000000</v>
      </c>
      <c r="X55" s="2587">
        <f t="shared" ref="X55:AA55" si="9">X56+X58+X62+X64</f>
        <v>19944000000</v>
      </c>
      <c r="Y55" s="2587">
        <f t="shared" si="9"/>
        <v>22245000000</v>
      </c>
      <c r="Z55" s="2587">
        <f t="shared" si="9"/>
        <v>25045000000</v>
      </c>
      <c r="AA55" s="2587">
        <f t="shared" si="9"/>
        <v>31897000000</v>
      </c>
      <c r="AB55" s="365"/>
      <c r="AC55" s="365"/>
    </row>
    <row r="56" spans="1:29">
      <c r="A56" s="566" t="s">
        <v>1104</v>
      </c>
      <c r="B56" s="566" t="s">
        <v>1880</v>
      </c>
      <c r="C56" s="380" t="s">
        <v>264</v>
      </c>
      <c r="D56" s="1146">
        <v>940000000</v>
      </c>
      <c r="E56" s="1143">
        <v>3395000000</v>
      </c>
      <c r="F56" s="1143">
        <v>7036000000</v>
      </c>
      <c r="G56" s="1143">
        <v>4153000000</v>
      </c>
      <c r="H56" s="1143">
        <v>1462000000</v>
      </c>
      <c r="I56" s="1143">
        <v>1054000000</v>
      </c>
      <c r="J56" s="1143">
        <v>1399000000</v>
      </c>
      <c r="K56" s="1143">
        <v>1009000000</v>
      </c>
      <c r="L56" s="1143">
        <v>1088000000</v>
      </c>
      <c r="M56" s="1143">
        <v>60000000</v>
      </c>
      <c r="N56" s="1143">
        <v>548000000</v>
      </c>
      <c r="O56" s="1143">
        <v>31000000</v>
      </c>
      <c r="P56" s="1143">
        <v>5000000</v>
      </c>
      <c r="Q56" s="1143">
        <v>536000000</v>
      </c>
      <c r="R56" s="1143">
        <v>0</v>
      </c>
      <c r="S56" s="2587">
        <v>8424000000</v>
      </c>
      <c r="T56" s="2588">
        <v>6116000000</v>
      </c>
      <c r="U56" s="2588">
        <v>0</v>
      </c>
      <c r="V56" s="2588">
        <v>6275000000</v>
      </c>
      <c r="W56" s="2587">
        <v>6908000000</v>
      </c>
      <c r="X56" s="2587">
        <v>7605000000</v>
      </c>
      <c r="Y56" s="2587">
        <v>8370000000</v>
      </c>
      <c r="Z56" s="2587">
        <v>9206000000</v>
      </c>
      <c r="AA56" s="2587">
        <v>10118000000</v>
      </c>
      <c r="AB56" s="365"/>
      <c r="AC56" s="365"/>
    </row>
    <row r="57" spans="1:29">
      <c r="A57" s="566" t="s">
        <v>1881</v>
      </c>
      <c r="B57" s="566" t="s">
        <v>1882</v>
      </c>
      <c r="C57" s="380" t="s">
        <v>264</v>
      </c>
      <c r="D57" s="1146">
        <v>0</v>
      </c>
      <c r="E57" s="1143">
        <v>1926000000</v>
      </c>
      <c r="F57" s="1143">
        <v>0</v>
      </c>
      <c r="G57" s="1143">
        <v>0</v>
      </c>
      <c r="H57" s="1143">
        <v>0</v>
      </c>
      <c r="I57" s="1143">
        <v>0</v>
      </c>
      <c r="J57" s="1143">
        <v>0</v>
      </c>
      <c r="K57" s="1143"/>
      <c r="L57" s="1143"/>
      <c r="M57" s="1143"/>
      <c r="N57" s="1143"/>
      <c r="O57" s="1143"/>
      <c r="P57" s="1143"/>
      <c r="Q57" s="1143"/>
      <c r="R57" s="1143"/>
      <c r="S57" s="2591"/>
      <c r="T57" s="2588"/>
      <c r="U57" s="2588"/>
      <c r="V57" s="2588"/>
      <c r="W57" s="2587"/>
      <c r="X57" s="2587"/>
      <c r="Y57" s="2587"/>
      <c r="Z57" s="2587"/>
      <c r="AA57" s="2587"/>
      <c r="AB57" s="365"/>
      <c r="AC57" s="365"/>
    </row>
    <row r="58" spans="1:29">
      <c r="A58" s="566" t="s">
        <v>258</v>
      </c>
      <c r="B58" s="566" t="s">
        <v>258</v>
      </c>
      <c r="C58" s="380" t="s">
        <v>264</v>
      </c>
      <c r="D58" s="1146">
        <v>-3766000000</v>
      </c>
      <c r="E58" s="1143">
        <v>-2240000000</v>
      </c>
      <c r="F58" s="1143">
        <v>-1603000000</v>
      </c>
      <c r="G58" s="1143">
        <v>-1638000000</v>
      </c>
      <c r="H58" s="1143">
        <v>-1935000000</v>
      </c>
      <c r="I58" s="1143">
        <v>-2150000000</v>
      </c>
      <c r="J58" s="1143">
        <v>-2024000000</v>
      </c>
      <c r="K58" s="1143">
        <v>-2169000000</v>
      </c>
      <c r="L58" s="1143">
        <v>-2164000000</v>
      </c>
      <c r="M58" s="1143">
        <v>-2239000000</v>
      </c>
      <c r="N58" s="1143">
        <v>-2773000000</v>
      </c>
      <c r="O58" s="1143">
        <v>-2772000000</v>
      </c>
      <c r="P58" s="1143">
        <v>-2726000000</v>
      </c>
      <c r="Q58" s="1143">
        <v>-46851000000</v>
      </c>
      <c r="R58" s="1143">
        <v>1817000000</v>
      </c>
      <c r="S58" s="2591">
        <v>-524000000</v>
      </c>
      <c r="T58" s="2588">
        <v>-1166000000</v>
      </c>
      <c r="U58" s="2588">
        <v>-1446000000</v>
      </c>
      <c r="V58" s="2588">
        <v>-3643000000</v>
      </c>
      <c r="W58" s="2587">
        <v>-2309000000</v>
      </c>
      <c r="X58" s="2587">
        <v>-2158000000</v>
      </c>
      <c r="Y58" s="2587">
        <v>-1886000000</v>
      </c>
      <c r="Z58" s="2587">
        <v>-1682000000</v>
      </c>
      <c r="AA58" s="2587">
        <v>-1556000000</v>
      </c>
      <c r="AB58" s="365"/>
      <c r="AC58" s="365"/>
    </row>
    <row r="59" spans="1:29">
      <c r="A59" s="534" t="s">
        <v>76</v>
      </c>
      <c r="B59" s="1156" t="s">
        <v>1852</v>
      </c>
      <c r="C59" s="380"/>
      <c r="D59" s="1146">
        <v>0</v>
      </c>
      <c r="E59" s="1144"/>
      <c r="F59" s="1144"/>
      <c r="G59" s="1144"/>
      <c r="H59" s="1144"/>
      <c r="I59" s="1144"/>
      <c r="J59" s="1144"/>
      <c r="K59" s="1144"/>
      <c r="L59" s="1143"/>
      <c r="M59" s="1143"/>
      <c r="N59" s="1143">
        <v>-2503000000</v>
      </c>
      <c r="O59" s="1143">
        <v>-2443000000</v>
      </c>
      <c r="P59" s="1143">
        <v>-2391000000</v>
      </c>
      <c r="Q59" s="1143"/>
      <c r="R59" s="1143"/>
      <c r="S59" s="2591"/>
      <c r="T59" s="2588"/>
      <c r="U59" s="2588"/>
      <c r="V59" s="2588"/>
      <c r="W59" s="2587"/>
      <c r="X59" s="2587"/>
      <c r="Y59" s="2587"/>
      <c r="Z59" s="2587"/>
      <c r="AA59" s="2587"/>
      <c r="AB59" s="365"/>
      <c r="AC59" s="365"/>
    </row>
    <row r="60" spans="1:29">
      <c r="A60" s="534" t="s">
        <v>76</v>
      </c>
      <c r="B60" s="1156" t="s">
        <v>1855</v>
      </c>
      <c r="C60" s="380"/>
      <c r="D60" s="1146">
        <v>0</v>
      </c>
      <c r="E60" s="1144"/>
      <c r="F60" s="1144"/>
      <c r="G60" s="1144"/>
      <c r="H60" s="1144"/>
      <c r="I60" s="1144"/>
      <c r="J60" s="1144"/>
      <c r="K60" s="1144"/>
      <c r="L60" s="1143"/>
      <c r="M60" s="1143"/>
      <c r="N60" s="1143">
        <v>-271000000</v>
      </c>
      <c r="O60" s="1143">
        <v>-330000000</v>
      </c>
      <c r="P60" s="1143">
        <v>-335000000</v>
      </c>
      <c r="Q60" s="1143"/>
      <c r="R60" s="1143"/>
      <c r="S60" s="2591"/>
      <c r="T60" s="2588"/>
      <c r="U60" s="2588"/>
      <c r="V60" s="2588"/>
      <c r="W60" s="2587"/>
      <c r="X60" s="2587"/>
      <c r="Y60" s="2587"/>
      <c r="Z60" s="2587"/>
      <c r="AA60" s="2587"/>
      <c r="AB60" s="365"/>
      <c r="AC60" s="365"/>
    </row>
    <row r="61" spans="1:29">
      <c r="A61" s="566" t="s">
        <v>1883</v>
      </c>
      <c r="B61" s="566" t="s">
        <v>1884</v>
      </c>
      <c r="C61" s="380" t="s">
        <v>264</v>
      </c>
      <c r="D61" s="1152">
        <v>0</v>
      </c>
      <c r="E61" s="1144"/>
      <c r="F61" s="1144"/>
      <c r="G61" s="1144"/>
      <c r="H61" s="1144"/>
      <c r="I61" s="1144"/>
      <c r="J61" s="1144"/>
      <c r="K61" s="1144"/>
      <c r="L61" s="1143">
        <v>2000000</v>
      </c>
      <c r="M61" s="1143">
        <v>-5016000000</v>
      </c>
      <c r="N61" s="1143"/>
      <c r="O61" s="1143"/>
      <c r="P61" s="1143"/>
      <c r="Q61" s="1143"/>
      <c r="R61" s="1143"/>
      <c r="S61" s="2591"/>
      <c r="T61" s="2588"/>
      <c r="U61" s="2588"/>
      <c r="V61" s="2588"/>
      <c r="W61" s="2587"/>
      <c r="X61" s="2587"/>
      <c r="Y61" s="2587"/>
      <c r="Z61" s="2587"/>
      <c r="AA61" s="2587"/>
      <c r="AB61" s="365"/>
      <c r="AC61" s="365"/>
    </row>
    <row r="62" spans="1:29">
      <c r="A62" s="566" t="s">
        <v>1885</v>
      </c>
      <c r="B62" s="566" t="s">
        <v>1886</v>
      </c>
      <c r="C62" s="380" t="s">
        <v>264</v>
      </c>
      <c r="D62" s="1146">
        <v>2933000000</v>
      </c>
      <c r="E62" s="1143">
        <v>1237000000</v>
      </c>
      <c r="F62" s="1143">
        <v>755000000</v>
      </c>
      <c r="G62" s="1143">
        <v>818000000</v>
      </c>
      <c r="H62" s="1143">
        <v>735000000</v>
      </c>
      <c r="I62" s="1143">
        <v>934000000</v>
      </c>
      <c r="J62" s="1143">
        <v>1070000000</v>
      </c>
      <c r="K62" s="1143">
        <v>-6162000000</v>
      </c>
      <c r="L62" s="1143">
        <v>3015000000</v>
      </c>
      <c r="M62" s="1143">
        <v>-1155000000</v>
      </c>
      <c r="N62" s="1143">
        <v>-10337000000</v>
      </c>
      <c r="O62" s="1143">
        <v>-3470000000</v>
      </c>
      <c r="P62" s="1143">
        <v>0</v>
      </c>
      <c r="Q62" s="1143">
        <v>0</v>
      </c>
      <c r="R62" s="1143">
        <v>-1872000000</v>
      </c>
      <c r="S62" s="2591">
        <v>484000000</v>
      </c>
      <c r="T62" s="2588">
        <v>557000000</v>
      </c>
      <c r="U62" s="2588">
        <v>428000000</v>
      </c>
      <c r="V62" s="2588">
        <v>-611000000</v>
      </c>
      <c r="W62" s="2587">
        <v>-1018000000</v>
      </c>
      <c r="X62" s="2587">
        <v>0</v>
      </c>
      <c r="Y62" s="2587">
        <v>0</v>
      </c>
      <c r="Z62" s="2587">
        <v>0</v>
      </c>
      <c r="AA62" s="2587">
        <v>0</v>
      </c>
      <c r="AB62" s="365"/>
      <c r="AC62" s="365"/>
    </row>
    <row r="63" spans="1:29">
      <c r="A63" s="566" t="s">
        <v>1468</v>
      </c>
      <c r="B63" s="566" t="s">
        <v>1887</v>
      </c>
      <c r="C63" s="380" t="s">
        <v>264</v>
      </c>
      <c r="D63" s="1146">
        <v>-4683000000</v>
      </c>
      <c r="E63" s="1143">
        <v>285000000</v>
      </c>
      <c r="F63" s="1143">
        <v>0</v>
      </c>
      <c r="G63" s="1143">
        <v>0</v>
      </c>
      <c r="H63" s="1143">
        <v>0</v>
      </c>
      <c r="I63" s="1143">
        <v>0</v>
      </c>
      <c r="J63" s="1143">
        <v>0</v>
      </c>
      <c r="K63" s="1144">
        <v>12190000000</v>
      </c>
      <c r="L63" s="1143">
        <v>280000000</v>
      </c>
      <c r="M63" s="1143">
        <v>5964000000</v>
      </c>
      <c r="N63" s="1143">
        <v>15474000000</v>
      </c>
      <c r="O63" s="1143">
        <v>5808000000</v>
      </c>
      <c r="P63" s="1143">
        <v>218000000</v>
      </c>
      <c r="Q63" s="1143">
        <v>0</v>
      </c>
      <c r="R63" s="1143">
        <v>2407000000</v>
      </c>
      <c r="S63" s="2591">
        <v>0</v>
      </c>
      <c r="T63" s="2588">
        <v>0</v>
      </c>
      <c r="U63" s="2588">
        <v>0</v>
      </c>
      <c r="V63" s="2588">
        <v>0</v>
      </c>
      <c r="W63" s="2587">
        <v>0</v>
      </c>
      <c r="X63" s="2587">
        <v>0</v>
      </c>
      <c r="Y63" s="2587">
        <v>0</v>
      </c>
      <c r="Z63" s="2587">
        <v>0</v>
      </c>
      <c r="AA63" s="2587">
        <v>0</v>
      </c>
      <c r="AB63" s="365"/>
      <c r="AC63" s="365"/>
    </row>
    <row r="64" spans="1:29">
      <c r="A64" s="1156" t="s">
        <v>7051</v>
      </c>
      <c r="B64" s="1156" t="s">
        <v>7051</v>
      </c>
      <c r="C64" s="380" t="s">
        <v>264</v>
      </c>
      <c r="D64" s="1152">
        <v>0</v>
      </c>
      <c r="E64" s="1144"/>
      <c r="F64" s="1144"/>
      <c r="G64" s="1144"/>
      <c r="H64" s="1144"/>
      <c r="I64" s="1144"/>
      <c r="J64" s="1144"/>
      <c r="K64" s="1144"/>
      <c r="L64" s="1143"/>
      <c r="M64" s="1143"/>
      <c r="N64" s="1143"/>
      <c r="O64" s="1143"/>
      <c r="P64" s="1143"/>
      <c r="Q64" s="1143"/>
      <c r="R64" s="1143"/>
      <c r="S64" s="2591">
        <v>0</v>
      </c>
      <c r="T64" s="2588">
        <v>0</v>
      </c>
      <c r="U64" s="2588">
        <v>0</v>
      </c>
      <c r="V64" s="2588">
        <v>8325000000</v>
      </c>
      <c r="W64" s="2587">
        <v>13847000000</v>
      </c>
      <c r="X64" s="2587">
        <v>14497000000</v>
      </c>
      <c r="Y64" s="2587">
        <v>15761000000</v>
      </c>
      <c r="Z64" s="2587">
        <v>17521000000</v>
      </c>
      <c r="AA64" s="2587">
        <v>23335000000</v>
      </c>
      <c r="AB64" s="365"/>
      <c r="AC64" s="365"/>
    </row>
    <row r="65" spans="1:29">
      <c r="A65" s="534" t="s">
        <v>76</v>
      </c>
      <c r="B65" s="1156" t="s">
        <v>1888</v>
      </c>
      <c r="C65" s="380"/>
      <c r="D65" s="1152">
        <v>0</v>
      </c>
      <c r="E65" s="1144"/>
      <c r="F65" s="1144"/>
      <c r="G65" s="1144"/>
      <c r="H65" s="1144"/>
      <c r="I65" s="1144"/>
      <c r="J65" s="1144"/>
      <c r="K65" s="1144"/>
      <c r="L65" s="1143"/>
      <c r="M65" s="1143"/>
      <c r="N65" s="1143">
        <v>1059000000</v>
      </c>
      <c r="O65" s="1143">
        <v>794000000</v>
      </c>
      <c r="P65" s="1143">
        <v>218000000</v>
      </c>
      <c r="Q65" s="1143">
        <v>0</v>
      </c>
      <c r="R65" s="1143"/>
      <c r="S65" s="2591"/>
      <c r="T65" s="2588"/>
      <c r="U65" s="2588"/>
      <c r="V65" s="2588"/>
      <c r="W65" s="2587"/>
      <c r="X65" s="2587"/>
      <c r="Y65" s="2587"/>
      <c r="Z65" s="2587"/>
      <c r="AA65" s="2587"/>
      <c r="AB65" s="365"/>
      <c r="AC65" s="365"/>
    </row>
    <row r="66" spans="1:29">
      <c r="A66" s="435" t="s">
        <v>120</v>
      </c>
      <c r="B66" s="380" t="s">
        <v>1889</v>
      </c>
      <c r="C66" s="865" t="s">
        <v>119</v>
      </c>
      <c r="D66" s="1143">
        <v>-410000000</v>
      </c>
      <c r="E66" s="1143">
        <v>-1989000000</v>
      </c>
      <c r="F66" s="1143">
        <v>-613000000</v>
      </c>
      <c r="G66" s="1143">
        <v>120000000</v>
      </c>
      <c r="H66" s="1143">
        <v>567000000</v>
      </c>
      <c r="I66" s="1143">
        <v>1279000000</v>
      </c>
      <c r="J66" s="1143">
        <v>2247000000</v>
      </c>
      <c r="K66" s="1143">
        <v>577000000</v>
      </c>
      <c r="L66" s="1143">
        <v>2015000000</v>
      </c>
      <c r="M66" s="1143">
        <v>1131000000</v>
      </c>
      <c r="N66" s="1143">
        <v>-719000000</v>
      </c>
      <c r="O66" s="1143">
        <v>1089000000</v>
      </c>
      <c r="P66" s="1143">
        <v>-3854000000</v>
      </c>
      <c r="Q66" s="1143">
        <v>3692000000</v>
      </c>
      <c r="R66" s="1143">
        <v>2769000000</v>
      </c>
      <c r="S66" s="2591">
        <v>-12316000000</v>
      </c>
      <c r="T66" s="2588">
        <v>13356000000</v>
      </c>
      <c r="U66" s="2588">
        <v>165000000</v>
      </c>
      <c r="V66" s="2588">
        <v>-980000000</v>
      </c>
      <c r="W66" s="2587">
        <v>-482000000</v>
      </c>
      <c r="X66" s="2587">
        <v>0</v>
      </c>
      <c r="Y66" s="2587">
        <v>0</v>
      </c>
      <c r="Z66" s="2587">
        <v>0</v>
      </c>
      <c r="AA66" s="2587">
        <v>0</v>
      </c>
      <c r="AB66" s="365"/>
      <c r="AC66" s="365"/>
    </row>
    <row r="67" spans="1:29">
      <c r="A67" s="435" t="s">
        <v>122</v>
      </c>
      <c r="B67" s="566" t="s">
        <v>1890</v>
      </c>
      <c r="C67" s="380" t="s">
        <v>124</v>
      </c>
      <c r="D67" s="1143">
        <v>-210000000</v>
      </c>
      <c r="E67" s="1143">
        <v>-1698000000</v>
      </c>
      <c r="F67" s="1143">
        <v>-116000000</v>
      </c>
      <c r="G67" s="1143">
        <v>80000000</v>
      </c>
      <c r="H67" s="1143">
        <v>567000000</v>
      </c>
      <c r="I67" s="1143">
        <v>1279000000</v>
      </c>
      <c r="J67" s="1143">
        <v>1742000000</v>
      </c>
      <c r="K67" s="1143">
        <v>101000000</v>
      </c>
      <c r="L67" s="1143">
        <v>1320000000</v>
      </c>
      <c r="M67" s="1143">
        <v>1131000000</v>
      </c>
      <c r="N67" s="1143">
        <v>-719000000</v>
      </c>
      <c r="O67" s="1143">
        <v>1089000000</v>
      </c>
      <c r="P67" s="1143">
        <v>-3854000000</v>
      </c>
      <c r="Q67" s="1143">
        <v>3692000000</v>
      </c>
      <c r="R67" s="1143">
        <v>2769000000</v>
      </c>
      <c r="S67" s="2591">
        <v>-12316000000</v>
      </c>
      <c r="T67" s="2588">
        <v>13356000000</v>
      </c>
      <c r="U67" s="2588">
        <v>165000000</v>
      </c>
      <c r="V67" s="2588">
        <v>-980000000</v>
      </c>
      <c r="W67" s="2587">
        <v>-482000000</v>
      </c>
      <c r="X67" s="2587">
        <v>0</v>
      </c>
      <c r="Y67" s="2587">
        <v>0</v>
      </c>
      <c r="Z67" s="2587">
        <v>0</v>
      </c>
      <c r="AA67" s="2587">
        <v>0</v>
      </c>
      <c r="AB67" s="365"/>
      <c r="AC67" s="365"/>
    </row>
    <row r="68" spans="1:29">
      <c r="A68" s="534" t="s">
        <v>76</v>
      </c>
      <c r="B68" s="1156" t="s">
        <v>1891</v>
      </c>
      <c r="C68" s="380"/>
      <c r="D68" s="1143">
        <v>-210000000</v>
      </c>
      <c r="E68" s="1143">
        <v>-1698000000</v>
      </c>
      <c r="F68" s="1143">
        <v>-116000000</v>
      </c>
      <c r="G68" s="1143">
        <v>80000000</v>
      </c>
      <c r="H68" s="1143">
        <v>194000000</v>
      </c>
      <c r="I68" s="1143">
        <v>1489000000</v>
      </c>
      <c r="J68" s="1143">
        <v>1742000000</v>
      </c>
      <c r="K68" s="1143">
        <v>-10000000</v>
      </c>
      <c r="L68" s="1143">
        <v>1320000000</v>
      </c>
      <c r="M68" s="1143">
        <v>1357000000</v>
      </c>
      <c r="N68" s="1143">
        <v>-770000000</v>
      </c>
      <c r="O68" s="1143">
        <v>2260000000</v>
      </c>
      <c r="P68" s="1143">
        <v>-4398000000</v>
      </c>
      <c r="Q68" s="1143">
        <v>3183000000</v>
      </c>
      <c r="R68" s="1143">
        <v>2967000000</v>
      </c>
      <c r="S68" s="2591">
        <v>-12085000000</v>
      </c>
      <c r="T68" s="2588">
        <v>13500000000</v>
      </c>
      <c r="U68" s="2588">
        <v>-1063000000</v>
      </c>
      <c r="V68" s="2588">
        <v>0</v>
      </c>
      <c r="W68" s="2587">
        <v>0</v>
      </c>
      <c r="X68" s="2587">
        <v>0</v>
      </c>
      <c r="Y68" s="2587">
        <v>0</v>
      </c>
      <c r="Z68" s="2587">
        <v>0</v>
      </c>
      <c r="AA68" s="2587">
        <v>0</v>
      </c>
      <c r="AB68" s="365"/>
      <c r="AC68" s="365"/>
    </row>
    <row r="69" spans="1:29">
      <c r="A69" s="534" t="s">
        <v>76</v>
      </c>
      <c r="B69" s="1156" t="s">
        <v>1892</v>
      </c>
      <c r="C69" s="380"/>
      <c r="D69" s="1143">
        <v>0</v>
      </c>
      <c r="E69" s="1144"/>
      <c r="F69" s="1144"/>
      <c r="G69" s="1144"/>
      <c r="H69" s="1144"/>
      <c r="I69" s="1144"/>
      <c r="J69" s="1144"/>
      <c r="K69" s="1143">
        <v>0</v>
      </c>
      <c r="L69" s="1143">
        <v>1826000000</v>
      </c>
      <c r="M69" s="1143">
        <v>1697000000</v>
      </c>
      <c r="N69" s="1143">
        <v>920000000</v>
      </c>
      <c r="O69" s="1143">
        <v>891000000</v>
      </c>
      <c r="P69" s="1143">
        <v>1825000000</v>
      </c>
      <c r="Q69" s="1143">
        <v>1755000000</v>
      </c>
      <c r="R69" s="1143">
        <v>0</v>
      </c>
      <c r="S69" s="2591">
        <v>-64000000</v>
      </c>
      <c r="T69" s="2588">
        <v>-823000000</v>
      </c>
      <c r="U69" s="2588">
        <v>-1018000000</v>
      </c>
      <c r="V69" s="2588">
        <v>-1408000000</v>
      </c>
      <c r="W69" s="2587">
        <v>-1701000000</v>
      </c>
      <c r="X69" s="2587">
        <v>-1171000000</v>
      </c>
      <c r="Y69" s="2587">
        <v>-879000000</v>
      </c>
      <c r="Z69" s="2587">
        <v>-683000000</v>
      </c>
      <c r="AA69" s="2587">
        <v>-293000000</v>
      </c>
      <c r="AB69" s="365"/>
      <c r="AC69" s="365"/>
    </row>
    <row r="70" spans="1:29">
      <c r="A70" s="534" t="s">
        <v>76</v>
      </c>
      <c r="B70" s="1156" t="s">
        <v>1893</v>
      </c>
      <c r="C70" s="380"/>
      <c r="D70" s="1143">
        <v>0</v>
      </c>
      <c r="E70" s="1144"/>
      <c r="F70" s="1144"/>
      <c r="G70" s="1144"/>
      <c r="H70" s="1144"/>
      <c r="I70" s="1144"/>
      <c r="J70" s="1144"/>
      <c r="K70" s="1144"/>
      <c r="L70" s="1144"/>
      <c r="M70" s="1144"/>
      <c r="N70" s="1144"/>
      <c r="O70" s="1144"/>
      <c r="P70" s="1143">
        <v>-1843000000</v>
      </c>
      <c r="Q70" s="1143">
        <v>0</v>
      </c>
      <c r="R70" s="1143"/>
      <c r="S70" s="2591"/>
      <c r="T70" s="2588"/>
      <c r="U70" s="2588"/>
      <c r="V70" s="2588"/>
      <c r="W70" s="2587"/>
      <c r="X70" s="2587"/>
      <c r="Y70" s="2587"/>
      <c r="Z70" s="2587"/>
      <c r="AA70" s="2587"/>
      <c r="AB70" s="365"/>
      <c r="AC70" s="365"/>
    </row>
    <row r="71" spans="1:29">
      <c r="A71" s="534" t="s">
        <v>76</v>
      </c>
      <c r="B71" s="1156" t="s">
        <v>1894</v>
      </c>
      <c r="C71" s="380"/>
      <c r="D71" s="1143">
        <v>0</v>
      </c>
      <c r="E71" s="1144"/>
      <c r="F71" s="1144"/>
      <c r="G71" s="1144"/>
      <c r="H71" s="1144"/>
      <c r="I71" s="1144"/>
      <c r="J71" s="1144"/>
      <c r="K71" s="1143"/>
      <c r="L71" s="1144"/>
      <c r="M71" s="1144"/>
      <c r="N71" s="1144"/>
      <c r="O71" s="1144"/>
      <c r="P71" s="1144"/>
      <c r="Q71" s="1144"/>
      <c r="R71" s="1144"/>
      <c r="S71" s="2587"/>
      <c r="T71" s="2592"/>
      <c r="U71" s="2592"/>
      <c r="V71" s="2592"/>
      <c r="W71" s="2587"/>
      <c r="X71" s="2587"/>
      <c r="Y71" s="2587"/>
      <c r="Z71" s="2587"/>
      <c r="AA71" s="2587"/>
      <c r="AB71" s="365"/>
      <c r="AC71" s="365"/>
    </row>
    <row r="72" spans="1:29">
      <c r="A72" s="534" t="s">
        <v>76</v>
      </c>
      <c r="B72" s="1156" t="s">
        <v>1895</v>
      </c>
      <c r="C72" s="380"/>
      <c r="D72" s="1143">
        <v>0</v>
      </c>
      <c r="E72" s="1143">
        <v>0</v>
      </c>
      <c r="F72" s="1143">
        <v>0</v>
      </c>
      <c r="G72" s="1143">
        <v>0</v>
      </c>
      <c r="H72" s="1143">
        <v>373000000</v>
      </c>
      <c r="I72" s="1143">
        <v>-210000000</v>
      </c>
      <c r="J72" s="1143">
        <v>0</v>
      </c>
      <c r="K72" s="1143">
        <v>111000000</v>
      </c>
      <c r="L72" s="1143">
        <v>0</v>
      </c>
      <c r="M72" s="1143">
        <v>-226000000</v>
      </c>
      <c r="N72" s="1143">
        <v>51000000</v>
      </c>
      <c r="O72" s="1143">
        <v>-1171000000</v>
      </c>
      <c r="P72" s="1143">
        <v>544000000</v>
      </c>
      <c r="Q72" s="1143">
        <v>494000000</v>
      </c>
      <c r="R72" s="1143">
        <v>-197000000</v>
      </c>
      <c r="S72" s="2591">
        <v>-231000000</v>
      </c>
      <c r="T72" s="2588">
        <v>-144000000</v>
      </c>
      <c r="U72" s="2588">
        <v>1228000000</v>
      </c>
      <c r="V72" s="2588">
        <v>-980000000</v>
      </c>
      <c r="W72" s="2587">
        <v>-482000000</v>
      </c>
      <c r="X72" s="2587">
        <v>0</v>
      </c>
      <c r="Y72" s="2587">
        <v>0</v>
      </c>
      <c r="Z72" s="2587">
        <v>0</v>
      </c>
      <c r="AA72" s="2587">
        <v>0</v>
      </c>
      <c r="AB72" s="365"/>
      <c r="AC72" s="365"/>
    </row>
    <row r="73" spans="1:29">
      <c r="A73" s="435" t="s">
        <v>428</v>
      </c>
      <c r="B73" s="566" t="s">
        <v>920</v>
      </c>
      <c r="C73" s="380" t="s">
        <v>124</v>
      </c>
      <c r="D73" s="1143">
        <v>-200000000</v>
      </c>
      <c r="E73" s="1143">
        <v>-290000000</v>
      </c>
      <c r="F73" s="1143">
        <v>-498000000</v>
      </c>
      <c r="G73" s="1143">
        <v>40000000</v>
      </c>
      <c r="H73" s="1143">
        <v>0</v>
      </c>
      <c r="I73" s="1143">
        <v>0</v>
      </c>
      <c r="J73" s="1143">
        <v>504000000</v>
      </c>
      <c r="K73" s="1143">
        <v>476000000</v>
      </c>
      <c r="L73" s="1143">
        <v>695000000</v>
      </c>
      <c r="M73" s="1143"/>
      <c r="N73" s="1143"/>
      <c r="O73" s="1143"/>
      <c r="P73" s="1143"/>
      <c r="Q73" s="1143"/>
      <c r="R73" s="1143"/>
      <c r="S73" s="2587"/>
      <c r="T73" s="2588"/>
      <c r="U73" s="2588"/>
      <c r="V73" s="2588"/>
      <c r="W73" s="2587"/>
      <c r="X73" s="2587"/>
      <c r="Y73" s="2587"/>
      <c r="Z73" s="2587"/>
      <c r="AA73" s="2587"/>
      <c r="AB73" s="365"/>
      <c r="AC73" s="365"/>
    </row>
    <row r="74" spans="1:29">
      <c r="A74" s="534" t="s">
        <v>76</v>
      </c>
      <c r="B74" s="380" t="s">
        <v>1896</v>
      </c>
      <c r="C74" s="380"/>
      <c r="D74" s="1146">
        <v>0</v>
      </c>
      <c r="E74" s="1143">
        <v>0</v>
      </c>
      <c r="F74" s="1143">
        <v>0</v>
      </c>
      <c r="G74" s="1143">
        <v>0</v>
      </c>
      <c r="H74" s="1143">
        <v>0</v>
      </c>
      <c r="I74" s="1143">
        <v>0</v>
      </c>
      <c r="J74" s="1143">
        <v>0</v>
      </c>
      <c r="K74" s="1143">
        <v>0</v>
      </c>
      <c r="L74" s="1143">
        <v>0</v>
      </c>
      <c r="M74" s="1143">
        <v>0</v>
      </c>
      <c r="N74" s="1143">
        <v>0</v>
      </c>
      <c r="O74" s="1143">
        <v>0</v>
      </c>
      <c r="P74" s="1143">
        <v>0</v>
      </c>
      <c r="Q74" s="1143">
        <v>0</v>
      </c>
      <c r="R74" s="1143">
        <v>-3152000000</v>
      </c>
      <c r="S74" s="2591">
        <v>-3480000000</v>
      </c>
      <c r="T74" s="2588">
        <v>3141000000</v>
      </c>
      <c r="U74" s="2588">
        <v>-384000000</v>
      </c>
      <c r="V74" s="2588">
        <v>0</v>
      </c>
      <c r="W74" s="2587">
        <v>0</v>
      </c>
      <c r="X74" s="2587">
        <v>0</v>
      </c>
      <c r="Y74" s="2587">
        <v>0</v>
      </c>
      <c r="Z74" s="2587">
        <v>0</v>
      </c>
      <c r="AA74" s="2587">
        <v>0</v>
      </c>
      <c r="AB74" s="365"/>
      <c r="AC74" s="365"/>
    </row>
    <row r="75" spans="1:29">
      <c r="AB75" s="365"/>
      <c r="AC75" s="365"/>
    </row>
    <row r="76" spans="1:29">
      <c r="D76" s="534" t="s">
        <v>139</v>
      </c>
      <c r="E76" s="534" t="s">
        <v>139</v>
      </c>
      <c r="F76" s="534" t="s">
        <v>139</v>
      </c>
      <c r="G76" s="534" t="s">
        <v>139</v>
      </c>
      <c r="H76" s="534" t="s">
        <v>139</v>
      </c>
      <c r="I76" s="534" t="s">
        <v>139</v>
      </c>
      <c r="J76" s="534" t="s">
        <v>139</v>
      </c>
      <c r="K76" s="534" t="s">
        <v>139</v>
      </c>
      <c r="L76" s="534" t="s">
        <v>139</v>
      </c>
      <c r="M76" s="534" t="s">
        <v>139</v>
      </c>
      <c r="N76" s="534" t="s">
        <v>139</v>
      </c>
      <c r="O76" s="534" t="s">
        <v>139</v>
      </c>
      <c r="P76" s="534" t="s">
        <v>139</v>
      </c>
      <c r="Q76" s="534" t="s">
        <v>139</v>
      </c>
      <c r="R76" s="534" t="s">
        <v>139</v>
      </c>
      <c r="S76" s="867" t="s">
        <v>139</v>
      </c>
      <c r="T76" s="867" t="s">
        <v>139</v>
      </c>
      <c r="U76" s="867" t="s">
        <v>139</v>
      </c>
      <c r="V76" s="867" t="s">
        <v>139</v>
      </c>
      <c r="W76" s="867" t="s">
        <v>139</v>
      </c>
      <c r="X76" s="867" t="s">
        <v>139</v>
      </c>
      <c r="Y76" s="867" t="s">
        <v>139</v>
      </c>
      <c r="Z76" s="867" t="s">
        <v>139</v>
      </c>
      <c r="AA76" s="867" t="s">
        <v>139</v>
      </c>
      <c r="AB76" s="365"/>
      <c r="AC76" s="365"/>
    </row>
    <row r="77" spans="1:29">
      <c r="O77" s="534" t="s">
        <v>1568</v>
      </c>
      <c r="P77" s="534" t="s">
        <v>1568</v>
      </c>
      <c r="Q77" s="534" t="s">
        <v>1568</v>
      </c>
      <c r="R77" s="534" t="s">
        <v>1568</v>
      </c>
      <c r="AB77" s="534"/>
      <c r="AC77" s="365"/>
    </row>
    <row r="78" spans="1:29">
      <c r="B78" s="534" t="s">
        <v>284</v>
      </c>
      <c r="D78" s="572">
        <f t="shared" ref="D78:O78" si="10">D6-D7-D12</f>
        <v>0</v>
      </c>
      <c r="E78" s="572">
        <f t="shared" si="10"/>
        <v>-1000000</v>
      </c>
      <c r="F78" s="572">
        <f t="shared" si="10"/>
        <v>0</v>
      </c>
      <c r="G78" s="572">
        <f t="shared" si="10"/>
        <v>0</v>
      </c>
      <c r="H78" s="572">
        <f t="shared" si="10"/>
        <v>0</v>
      </c>
      <c r="I78" s="572">
        <f t="shared" si="10"/>
        <v>0</v>
      </c>
      <c r="J78" s="572">
        <f t="shared" si="10"/>
        <v>1000000</v>
      </c>
      <c r="K78" s="572">
        <f t="shared" si="10"/>
        <v>0</v>
      </c>
      <c r="L78" s="572">
        <f t="shared" si="10"/>
        <v>1000000</v>
      </c>
      <c r="M78" s="572">
        <f t="shared" si="10"/>
        <v>1000000</v>
      </c>
      <c r="N78" s="572">
        <f t="shared" si="10"/>
        <v>0</v>
      </c>
      <c r="O78" s="572">
        <f t="shared" si="10"/>
        <v>0</v>
      </c>
      <c r="P78" s="572">
        <f>O6-O7-O12</f>
        <v>0</v>
      </c>
      <c r="Q78" s="572">
        <f>P6-P7-P12</f>
        <v>-1000000</v>
      </c>
      <c r="R78" s="572">
        <f>Q6-Q7-Q12</f>
        <v>0</v>
      </c>
      <c r="S78" s="572">
        <f>R6-R7-R12</f>
        <v>0</v>
      </c>
      <c r="T78" s="572">
        <f>T6-T7-T12</f>
        <v>0</v>
      </c>
      <c r="U78" s="572">
        <f>U6-U7-U12</f>
        <v>0</v>
      </c>
      <c r="V78" s="572">
        <f>V6-V7-V12</f>
        <v>0</v>
      </c>
      <c r="W78" s="572">
        <f>V6-V7-V12</f>
        <v>0</v>
      </c>
      <c r="X78" s="572">
        <f>W6-W7-W12</f>
        <v>0</v>
      </c>
      <c r="Y78" s="572">
        <f t="shared" ref="Y78:AA78" si="11">X6-X7-X12</f>
        <v>0</v>
      </c>
      <c r="Z78" s="572">
        <f t="shared" si="11"/>
        <v>0</v>
      </c>
      <c r="AA78" s="572">
        <f t="shared" si="11"/>
        <v>-1000000</v>
      </c>
      <c r="AB78" s="365"/>
      <c r="AC78" s="365"/>
    </row>
    <row r="79" spans="1:29">
      <c r="B79" s="534" t="s">
        <v>450</v>
      </c>
      <c r="D79" s="572">
        <f>D7-D8-D11</f>
        <v>0</v>
      </c>
      <c r="E79" s="572">
        <f t="shared" ref="E79:V79" si="12">E7-E8-E11</f>
        <v>0</v>
      </c>
      <c r="F79" s="572">
        <f t="shared" si="12"/>
        <v>0</v>
      </c>
      <c r="G79" s="572">
        <f t="shared" si="12"/>
        <v>0</v>
      </c>
      <c r="H79" s="572">
        <f t="shared" si="12"/>
        <v>0</v>
      </c>
      <c r="I79" s="572">
        <f t="shared" si="12"/>
        <v>0</v>
      </c>
      <c r="J79" s="572">
        <f t="shared" si="12"/>
        <v>0</v>
      </c>
      <c r="K79" s="572">
        <f t="shared" si="12"/>
        <v>0</v>
      </c>
      <c r="L79" s="572">
        <f t="shared" si="12"/>
        <v>-1000000</v>
      </c>
      <c r="M79" s="572">
        <f t="shared" si="12"/>
        <v>-1000000</v>
      </c>
      <c r="N79" s="572">
        <f t="shared" si="12"/>
        <v>0</v>
      </c>
      <c r="O79" s="572">
        <f t="shared" si="12"/>
        <v>0</v>
      </c>
      <c r="P79" s="572">
        <f t="shared" si="12"/>
        <v>1000000</v>
      </c>
      <c r="Q79" s="572">
        <f t="shared" si="12"/>
        <v>1000000</v>
      </c>
      <c r="R79" s="572">
        <f t="shared" si="12"/>
        <v>0</v>
      </c>
      <c r="S79" s="572">
        <f t="shared" si="12"/>
        <v>0</v>
      </c>
      <c r="T79" s="572">
        <f t="shared" si="12"/>
        <v>0</v>
      </c>
      <c r="U79" s="572">
        <f t="shared" si="12"/>
        <v>0</v>
      </c>
      <c r="V79" s="572">
        <f t="shared" si="12"/>
        <v>0</v>
      </c>
      <c r="W79" s="572">
        <f t="shared" ref="W79:X79" si="13">W7-W8-W11</f>
        <v>0</v>
      </c>
      <c r="X79" s="572">
        <f t="shared" si="13"/>
        <v>-1000000</v>
      </c>
      <c r="Y79" s="572">
        <f t="shared" ref="Y79:AA79" si="14">Y7-Y8-Y11</f>
        <v>0</v>
      </c>
      <c r="Z79" s="572">
        <f t="shared" si="14"/>
        <v>0</v>
      </c>
      <c r="AA79" s="572">
        <f t="shared" si="14"/>
        <v>0</v>
      </c>
      <c r="AB79" s="365"/>
      <c r="AC79" s="365"/>
    </row>
    <row r="80" spans="1:29">
      <c r="B80" s="534" t="s">
        <v>142</v>
      </c>
      <c r="D80" s="573">
        <f>D8-D9-D10</f>
        <v>9723000000</v>
      </c>
      <c r="E80" s="573">
        <f t="shared" ref="E80:V80" si="15">E8-E9-E10</f>
        <v>14475000000</v>
      </c>
      <c r="F80" s="573">
        <f t="shared" si="15"/>
        <v>18038000000</v>
      </c>
      <c r="G80" s="573">
        <f t="shared" si="15"/>
        <v>19622000000</v>
      </c>
      <c r="H80" s="573">
        <f t="shared" si="15"/>
        <v>19407000000</v>
      </c>
      <c r="I80" s="573">
        <f t="shared" si="15"/>
        <v>17797000000</v>
      </c>
      <c r="J80" s="573">
        <f t="shared" si="15"/>
        <v>17260000000</v>
      </c>
      <c r="K80" s="572">
        <f t="shared" si="15"/>
        <v>0</v>
      </c>
      <c r="L80" s="572">
        <f t="shared" si="15"/>
        <v>1000000</v>
      </c>
      <c r="M80" s="572">
        <f t="shared" si="15"/>
        <v>0</v>
      </c>
      <c r="N80" s="572">
        <f t="shared" si="15"/>
        <v>0</v>
      </c>
      <c r="O80" s="572">
        <f t="shared" si="15"/>
        <v>0</v>
      </c>
      <c r="P80" s="572">
        <f t="shared" si="15"/>
        <v>-1000000</v>
      </c>
      <c r="Q80" s="572">
        <f t="shared" si="15"/>
        <v>-1000000</v>
      </c>
      <c r="R80" s="572">
        <f t="shared" si="15"/>
        <v>0</v>
      </c>
      <c r="S80" s="572">
        <f t="shared" si="15"/>
        <v>0</v>
      </c>
      <c r="T80" s="572">
        <f t="shared" si="15"/>
        <v>0</v>
      </c>
      <c r="U80" s="572">
        <f t="shared" si="15"/>
        <v>0</v>
      </c>
      <c r="V80" s="572">
        <f t="shared" si="15"/>
        <v>0</v>
      </c>
      <c r="W80" s="572">
        <f t="shared" ref="W80:X80" si="16">W8-W9-W10</f>
        <v>0</v>
      </c>
      <c r="X80" s="572">
        <f t="shared" si="16"/>
        <v>0</v>
      </c>
      <c r="Y80" s="572">
        <f t="shared" ref="Y80:AA80" si="17">Y8-Y9-Y10</f>
        <v>0</v>
      </c>
      <c r="Z80" s="572">
        <f t="shared" si="17"/>
        <v>0</v>
      </c>
      <c r="AA80" s="572">
        <f t="shared" si="17"/>
        <v>0</v>
      </c>
      <c r="AB80" s="365"/>
      <c r="AC80" s="365"/>
    </row>
    <row r="81" spans="2:29">
      <c r="B81" s="534" t="s">
        <v>1362</v>
      </c>
      <c r="D81" s="572">
        <f t="shared" ref="D81:V81" si="18">D12-D13-D14-D15-D16</f>
        <v>0</v>
      </c>
      <c r="E81" s="572">
        <f t="shared" si="18"/>
        <v>0</v>
      </c>
      <c r="F81" s="572">
        <f t="shared" si="18"/>
        <v>0</v>
      </c>
      <c r="G81" s="572">
        <f t="shared" si="18"/>
        <v>0</v>
      </c>
      <c r="H81" s="572">
        <f t="shared" si="18"/>
        <v>0</v>
      </c>
      <c r="I81" s="572">
        <f t="shared" si="18"/>
        <v>0</v>
      </c>
      <c r="J81" s="572">
        <f t="shared" si="18"/>
        <v>0</v>
      </c>
      <c r="K81" s="572">
        <f t="shared" si="18"/>
        <v>0</v>
      </c>
      <c r="L81" s="572">
        <f t="shared" si="18"/>
        <v>0</v>
      </c>
      <c r="M81" s="572">
        <f t="shared" si="18"/>
        <v>0</v>
      </c>
      <c r="N81" s="572">
        <f t="shared" si="18"/>
        <v>0</v>
      </c>
      <c r="O81" s="572">
        <f t="shared" si="18"/>
        <v>0</v>
      </c>
      <c r="P81" s="572">
        <f t="shared" si="18"/>
        <v>1000000</v>
      </c>
      <c r="Q81" s="572">
        <f t="shared" si="18"/>
        <v>1000000</v>
      </c>
      <c r="R81" s="572">
        <f t="shared" si="18"/>
        <v>0</v>
      </c>
      <c r="S81" s="572">
        <f t="shared" si="18"/>
        <v>0</v>
      </c>
      <c r="T81" s="572">
        <f t="shared" si="18"/>
        <v>0</v>
      </c>
      <c r="U81" s="572">
        <f t="shared" si="18"/>
        <v>0</v>
      </c>
      <c r="V81" s="572">
        <f t="shared" si="18"/>
        <v>0</v>
      </c>
      <c r="W81" s="572">
        <f t="shared" ref="W81:X81" si="19">W12-W13-W14-W15-W16</f>
        <v>0</v>
      </c>
      <c r="X81" s="572">
        <f t="shared" si="19"/>
        <v>0</v>
      </c>
      <c r="Y81" s="572">
        <f t="shared" ref="Y81:AA81" si="20">Y12-Y13-Y14-Y15-Y16</f>
        <v>0</v>
      </c>
      <c r="Z81" s="572">
        <f t="shared" si="20"/>
        <v>0</v>
      </c>
      <c r="AA81" s="572">
        <f t="shared" si="20"/>
        <v>0</v>
      </c>
      <c r="AB81" s="365"/>
      <c r="AC81" s="365"/>
    </row>
    <row r="82" spans="2:29">
      <c r="B82" s="534" t="s">
        <v>1207</v>
      </c>
      <c r="D82" s="572">
        <f>D18-D20-D35-D39</f>
        <v>0</v>
      </c>
      <c r="E82" s="572">
        <f t="shared" ref="E82:V82" si="21">E18-E20-E35-E39</f>
        <v>0</v>
      </c>
      <c r="F82" s="572">
        <f t="shared" si="21"/>
        <v>0</v>
      </c>
      <c r="G82" s="572">
        <f t="shared" si="21"/>
        <v>0</v>
      </c>
      <c r="H82" s="572">
        <f t="shared" si="21"/>
        <v>0</v>
      </c>
      <c r="I82" s="572">
        <f t="shared" si="21"/>
        <v>0</v>
      </c>
      <c r="J82" s="572">
        <f t="shared" si="21"/>
        <v>0</v>
      </c>
      <c r="K82" s="572">
        <f t="shared" si="21"/>
        <v>0</v>
      </c>
      <c r="L82" s="572">
        <f t="shared" si="21"/>
        <v>0</v>
      </c>
      <c r="M82" s="572">
        <f t="shared" si="21"/>
        <v>0</v>
      </c>
      <c r="N82" s="572">
        <f t="shared" si="21"/>
        <v>0</v>
      </c>
      <c r="O82" s="572">
        <f t="shared" si="21"/>
        <v>0</v>
      </c>
      <c r="P82" s="572">
        <f t="shared" si="21"/>
        <v>0</v>
      </c>
      <c r="Q82" s="572">
        <f t="shared" si="21"/>
        <v>0</v>
      </c>
      <c r="R82" s="572">
        <f t="shared" si="21"/>
        <v>-1000000</v>
      </c>
      <c r="S82" s="572">
        <f>S18-S20-S35-S39</f>
        <v>0</v>
      </c>
      <c r="T82" s="572">
        <f t="shared" si="21"/>
        <v>0</v>
      </c>
      <c r="U82" s="572">
        <f t="shared" si="21"/>
        <v>0</v>
      </c>
      <c r="V82" s="572">
        <f t="shared" si="21"/>
        <v>0</v>
      </c>
      <c r="W82" s="572">
        <f t="shared" ref="W82:X82" si="22">W18-W20-W35-W39</f>
        <v>-1000000</v>
      </c>
      <c r="X82" s="572">
        <f t="shared" si="22"/>
        <v>0</v>
      </c>
      <c r="Y82" s="572">
        <f t="shared" ref="Y82:AA82" si="23">Y18-Y20-Y35-Y39</f>
        <v>0</v>
      </c>
      <c r="Z82" s="572">
        <f t="shared" si="23"/>
        <v>0</v>
      </c>
      <c r="AA82" s="572">
        <f t="shared" si="23"/>
        <v>0</v>
      </c>
      <c r="AB82" s="365"/>
      <c r="AC82" s="365"/>
    </row>
    <row r="83" spans="2:29">
      <c r="B83" s="534" t="s">
        <v>361</v>
      </c>
      <c r="D83" s="572">
        <f t="shared" ref="D83:J83" si="24">D19-D22-D23-D24-D25-D31-D32-D33-D34</f>
        <v>0</v>
      </c>
      <c r="E83" s="572">
        <f t="shared" si="24"/>
        <v>0</v>
      </c>
      <c r="F83" s="572">
        <f t="shared" si="24"/>
        <v>0</v>
      </c>
      <c r="G83" s="572">
        <f t="shared" si="24"/>
        <v>0</v>
      </c>
      <c r="H83" s="572">
        <f t="shared" si="24"/>
        <v>0</v>
      </c>
      <c r="I83" s="572">
        <f t="shared" si="24"/>
        <v>0</v>
      </c>
      <c r="J83" s="572">
        <f t="shared" si="24"/>
        <v>0</v>
      </c>
      <c r="K83" s="572">
        <f t="shared" ref="K83:U83" si="25">K19-K22-K23-K24-K25-K31-K32-K33-K34</f>
        <v>0</v>
      </c>
      <c r="L83" s="572">
        <f t="shared" si="25"/>
        <v>0</v>
      </c>
      <c r="M83" s="572">
        <f t="shared" si="25"/>
        <v>0</v>
      </c>
      <c r="N83" s="572">
        <f t="shared" si="25"/>
        <v>1000000</v>
      </c>
      <c r="O83" s="572">
        <f t="shared" si="25"/>
        <v>-1000000</v>
      </c>
      <c r="P83" s="572">
        <f t="shared" si="25"/>
        <v>0</v>
      </c>
      <c r="Q83" s="572">
        <f t="shared" si="25"/>
        <v>0</v>
      </c>
      <c r="R83" s="572">
        <f t="shared" si="25"/>
        <v>1000000</v>
      </c>
      <c r="S83" s="572">
        <f t="shared" si="25"/>
        <v>0</v>
      </c>
      <c r="T83" s="572">
        <f t="shared" si="25"/>
        <v>0</v>
      </c>
      <c r="U83" s="572">
        <f t="shared" si="25"/>
        <v>0</v>
      </c>
      <c r="V83" s="572">
        <f>V19-V22-V23-V24-V25-V31-V32-V33-V34</f>
        <v>0</v>
      </c>
      <c r="W83" s="572">
        <f t="shared" ref="W83:X83" si="26">W19-W22-W23-W24-W25-W31-W32-W33-W34</f>
        <v>1000000</v>
      </c>
      <c r="X83" s="572">
        <f t="shared" si="26"/>
        <v>-1000000</v>
      </c>
      <c r="Y83" s="572">
        <f t="shared" ref="Y83:AA83" si="27">Y19-Y22-Y23-Y24-Y25-Y31-Y32-Y33-Y34</f>
        <v>0</v>
      </c>
      <c r="Z83" s="572">
        <f t="shared" si="27"/>
        <v>0</v>
      </c>
      <c r="AA83" s="572">
        <f t="shared" si="27"/>
        <v>0</v>
      </c>
      <c r="AB83" s="365"/>
      <c r="AC83" s="365"/>
    </row>
    <row r="84" spans="2:29">
      <c r="B84" s="534" t="s">
        <v>291</v>
      </c>
      <c r="D84" s="572">
        <f>D25-D27-D30</f>
        <v>0</v>
      </c>
      <c r="E84" s="572">
        <f t="shared" ref="E84:V84" si="28">E25-E27-E30</f>
        <v>0</v>
      </c>
      <c r="F84" s="572">
        <f t="shared" si="28"/>
        <v>0</v>
      </c>
      <c r="G84" s="572">
        <f t="shared" si="28"/>
        <v>0</v>
      </c>
      <c r="H84" s="572">
        <f t="shared" si="28"/>
        <v>0</v>
      </c>
      <c r="I84" s="572">
        <f t="shared" si="28"/>
        <v>0</v>
      </c>
      <c r="J84" s="572">
        <f t="shared" si="28"/>
        <v>0</v>
      </c>
      <c r="K84" s="572">
        <f t="shared" si="28"/>
        <v>-1000000</v>
      </c>
      <c r="L84" s="572">
        <f t="shared" si="28"/>
        <v>-1000000</v>
      </c>
      <c r="M84" s="572">
        <f t="shared" si="28"/>
        <v>-1000000</v>
      </c>
      <c r="N84" s="572">
        <f t="shared" si="28"/>
        <v>0</v>
      </c>
      <c r="O84" s="572">
        <f t="shared" si="28"/>
        <v>0</v>
      </c>
      <c r="P84" s="572">
        <f t="shared" si="28"/>
        <v>-1000000</v>
      </c>
      <c r="Q84" s="572">
        <f t="shared" si="28"/>
        <v>0</v>
      </c>
      <c r="R84" s="572">
        <f t="shared" si="28"/>
        <v>0</v>
      </c>
      <c r="S84" s="572">
        <f t="shared" si="28"/>
        <v>0</v>
      </c>
      <c r="T84" s="572">
        <f t="shared" si="28"/>
        <v>0</v>
      </c>
      <c r="U84" s="572">
        <f t="shared" si="28"/>
        <v>0</v>
      </c>
      <c r="V84" s="572">
        <f t="shared" si="28"/>
        <v>-1000000</v>
      </c>
      <c r="W84" s="572">
        <f t="shared" ref="W84:X84" si="29">W25-W27-W30</f>
        <v>0</v>
      </c>
      <c r="X84" s="572">
        <f t="shared" si="29"/>
        <v>0</v>
      </c>
      <c r="Y84" s="572">
        <f t="shared" ref="Y84:AA84" si="30">Y25-Y27-Y30</f>
        <v>0</v>
      </c>
      <c r="Z84" s="572">
        <f t="shared" si="30"/>
        <v>0</v>
      </c>
      <c r="AA84" s="572">
        <f t="shared" si="30"/>
        <v>0</v>
      </c>
      <c r="AB84" s="365"/>
      <c r="AC84" s="365"/>
    </row>
    <row r="85" spans="2:29">
      <c r="B85" s="534" t="s">
        <v>1897</v>
      </c>
      <c r="D85" s="573">
        <f t="shared" ref="D85:V85" si="31">D27-D28-D29</f>
        <v>890000000</v>
      </c>
      <c r="E85" s="573">
        <f t="shared" si="31"/>
        <v>1275000000</v>
      </c>
      <c r="F85" s="573">
        <f t="shared" si="31"/>
        <v>1265000000</v>
      </c>
      <c r="G85" s="573">
        <f t="shared" si="31"/>
        <v>1323000000</v>
      </c>
      <c r="H85" s="573">
        <f t="shared" si="31"/>
        <v>1187000000</v>
      </c>
      <c r="I85" s="573">
        <f t="shared" si="31"/>
        <v>1047000000</v>
      </c>
      <c r="J85" s="573">
        <f t="shared" si="31"/>
        <v>926000000</v>
      </c>
      <c r="K85" s="573">
        <f t="shared" si="31"/>
        <v>653000000</v>
      </c>
      <c r="L85" s="573">
        <f t="shared" si="31"/>
        <v>888000000</v>
      </c>
      <c r="M85" s="573">
        <f t="shared" si="31"/>
        <v>715000000</v>
      </c>
      <c r="N85" s="572">
        <f t="shared" si="31"/>
        <v>0</v>
      </c>
      <c r="O85" s="572">
        <f t="shared" si="31"/>
        <v>0</v>
      </c>
      <c r="P85" s="572">
        <f t="shared" si="31"/>
        <v>1000000</v>
      </c>
      <c r="Q85" s="573">
        <f t="shared" si="31"/>
        <v>89000000</v>
      </c>
      <c r="R85" s="573">
        <f t="shared" si="31"/>
        <v>43000000</v>
      </c>
      <c r="S85" s="573">
        <f t="shared" si="31"/>
        <v>363000000</v>
      </c>
      <c r="T85" s="573">
        <f t="shared" si="31"/>
        <v>289000000</v>
      </c>
      <c r="U85" s="573">
        <f t="shared" si="31"/>
        <v>110000000</v>
      </c>
      <c r="V85" s="573">
        <f t="shared" si="31"/>
        <v>1062000000</v>
      </c>
      <c r="W85" s="573">
        <f t="shared" ref="W85:X85" si="32">W27-W28-W29</f>
        <v>525000000</v>
      </c>
      <c r="X85" s="573">
        <f t="shared" si="32"/>
        <v>634000000</v>
      </c>
      <c r="Y85" s="573">
        <f t="shared" ref="Y85:AA85" si="33">Y27-Y28-Y29</f>
        <v>752000000</v>
      </c>
      <c r="Z85" s="573">
        <f t="shared" si="33"/>
        <v>885000000</v>
      </c>
      <c r="AA85" s="573">
        <f t="shared" si="33"/>
        <v>1035000000</v>
      </c>
      <c r="AB85" s="365"/>
      <c r="AC85" s="365"/>
    </row>
    <row r="86" spans="2:29">
      <c r="B86" s="534" t="s">
        <v>876</v>
      </c>
      <c r="D86" s="572">
        <f>D35-D36-D37-D38</f>
        <v>0</v>
      </c>
      <c r="E86" s="572">
        <f t="shared" ref="E86:V86" si="34">E35-E36-E37-E38</f>
        <v>0</v>
      </c>
      <c r="F86" s="572">
        <f t="shared" si="34"/>
        <v>0</v>
      </c>
      <c r="G86" s="572">
        <f t="shared" si="34"/>
        <v>0</v>
      </c>
      <c r="H86" s="572">
        <f t="shared" si="34"/>
        <v>0</v>
      </c>
      <c r="I86" s="572">
        <f t="shared" si="34"/>
        <v>0</v>
      </c>
      <c r="J86" s="572">
        <f t="shared" si="34"/>
        <v>-1000000</v>
      </c>
      <c r="K86" s="572">
        <f t="shared" si="34"/>
        <v>0</v>
      </c>
      <c r="L86" s="572">
        <f t="shared" si="34"/>
        <v>0</v>
      </c>
      <c r="M86" s="572">
        <f t="shared" si="34"/>
        <v>0</v>
      </c>
      <c r="N86" s="572">
        <f t="shared" si="34"/>
        <v>0</v>
      </c>
      <c r="O86" s="572">
        <f t="shared" si="34"/>
        <v>0</v>
      </c>
      <c r="P86" s="572">
        <f t="shared" si="34"/>
        <v>1000000</v>
      </c>
      <c r="Q86" s="572">
        <f t="shared" si="34"/>
        <v>0</v>
      </c>
      <c r="R86" s="572">
        <f t="shared" si="34"/>
        <v>0</v>
      </c>
      <c r="S86" s="572">
        <f t="shared" si="34"/>
        <v>0</v>
      </c>
      <c r="T86" s="572">
        <f t="shared" si="34"/>
        <v>0</v>
      </c>
      <c r="U86" s="572">
        <f t="shared" si="34"/>
        <v>0</v>
      </c>
      <c r="V86" s="572">
        <f t="shared" si="34"/>
        <v>0</v>
      </c>
      <c r="W86" s="572">
        <f t="shared" ref="W86:X86" si="35">W35-W36-W37-W38</f>
        <v>1000000</v>
      </c>
      <c r="X86" s="572">
        <f t="shared" si="35"/>
        <v>0</v>
      </c>
      <c r="Y86" s="572">
        <f t="shared" ref="Y86:AA86" si="36">Y35-Y36-Y37-Y38</f>
        <v>0</v>
      </c>
      <c r="Z86" s="572">
        <f t="shared" si="36"/>
        <v>0</v>
      </c>
      <c r="AA86" s="572">
        <f t="shared" si="36"/>
        <v>1000000</v>
      </c>
      <c r="AB86" s="365"/>
      <c r="AC86" s="365"/>
    </row>
    <row r="87" spans="2:29">
      <c r="B87" s="534" t="s">
        <v>148</v>
      </c>
      <c r="D87" s="572">
        <f>D54-D55-D66</f>
        <v>0</v>
      </c>
      <c r="E87" s="572">
        <f t="shared" ref="E87:V87" si="37">E54-E55-E66</f>
        <v>0</v>
      </c>
      <c r="F87" s="572">
        <f t="shared" si="37"/>
        <v>-1000000</v>
      </c>
      <c r="G87" s="572">
        <f t="shared" si="37"/>
        <v>0</v>
      </c>
      <c r="H87" s="572">
        <f t="shared" si="37"/>
        <v>0</v>
      </c>
      <c r="I87" s="572">
        <f t="shared" si="37"/>
        <v>0</v>
      </c>
      <c r="J87" s="572">
        <f t="shared" si="37"/>
        <v>-1000000</v>
      </c>
      <c r="K87" s="572">
        <f t="shared" si="37"/>
        <v>0</v>
      </c>
      <c r="L87" s="572">
        <f t="shared" si="37"/>
        <v>0</v>
      </c>
      <c r="M87" s="572">
        <f t="shared" si="37"/>
        <v>1000000</v>
      </c>
      <c r="N87" s="572">
        <f t="shared" si="37"/>
        <v>0</v>
      </c>
      <c r="O87" s="572">
        <f t="shared" si="37"/>
        <v>0</v>
      </c>
      <c r="P87" s="572">
        <f t="shared" si="37"/>
        <v>0</v>
      </c>
      <c r="Q87" s="572">
        <f t="shared" si="37"/>
        <v>0</v>
      </c>
      <c r="R87" s="572">
        <f t="shared" si="37"/>
        <v>1000000</v>
      </c>
      <c r="S87" s="572">
        <f t="shared" si="37"/>
        <v>0</v>
      </c>
      <c r="T87" s="572">
        <f t="shared" si="37"/>
        <v>0</v>
      </c>
      <c r="U87" s="572">
        <f t="shared" si="37"/>
        <v>0</v>
      </c>
      <c r="V87" s="572">
        <f t="shared" si="37"/>
        <v>0</v>
      </c>
      <c r="W87" s="572">
        <f t="shared" ref="W87:X87" si="38">W54-W55-W66</f>
        <v>0</v>
      </c>
      <c r="X87" s="572">
        <f t="shared" si="38"/>
        <v>0</v>
      </c>
      <c r="Y87" s="572">
        <f t="shared" ref="Y87:AA87" si="39">Y54-Y55-Y66</f>
        <v>0</v>
      </c>
      <c r="Z87" s="572">
        <f t="shared" si="39"/>
        <v>0</v>
      </c>
      <c r="AA87" s="572">
        <f t="shared" si="39"/>
        <v>0</v>
      </c>
      <c r="AB87" s="365"/>
      <c r="AC87" s="365"/>
    </row>
    <row r="88" spans="2:29">
      <c r="B88" s="534" t="s">
        <v>1898</v>
      </c>
      <c r="D88" s="572">
        <f t="shared" ref="D88:L88" si="40">D55-D56-D57-D58-D62-D63--D61</f>
        <v>1000000</v>
      </c>
      <c r="E88" s="572">
        <f t="shared" si="40"/>
        <v>0</v>
      </c>
      <c r="F88" s="572">
        <f t="shared" si="40"/>
        <v>1000000</v>
      </c>
      <c r="G88" s="572">
        <f t="shared" si="40"/>
        <v>0</v>
      </c>
      <c r="H88" s="572">
        <f t="shared" si="40"/>
        <v>0</v>
      </c>
      <c r="I88" s="572">
        <f t="shared" si="40"/>
        <v>1000000</v>
      </c>
      <c r="J88" s="572">
        <f t="shared" si="40"/>
        <v>0</v>
      </c>
      <c r="K88" s="572">
        <f t="shared" si="40"/>
        <v>-1000000</v>
      </c>
      <c r="L88" s="572">
        <f t="shared" si="40"/>
        <v>4000000</v>
      </c>
      <c r="M88" s="572">
        <f>M55-M56-M57-M58-M62-M63-M61</f>
        <v>-1000000</v>
      </c>
      <c r="N88" s="572">
        <f t="shared" ref="N88:U88" si="41">N55-N56-N57-N58-N62-N63-N61</f>
        <v>1000000</v>
      </c>
      <c r="O88" s="572">
        <f t="shared" si="41"/>
        <v>-1000000</v>
      </c>
      <c r="P88" s="572">
        <f t="shared" si="41"/>
        <v>-1000000</v>
      </c>
      <c r="Q88" s="572">
        <f t="shared" si="41"/>
        <v>0</v>
      </c>
      <c r="R88" s="572">
        <f t="shared" si="41"/>
        <v>0</v>
      </c>
      <c r="S88" s="572">
        <f t="shared" si="41"/>
        <v>0</v>
      </c>
      <c r="T88" s="572">
        <f t="shared" si="41"/>
        <v>1000000</v>
      </c>
      <c r="U88" s="572">
        <f t="shared" si="41"/>
        <v>0</v>
      </c>
      <c r="V88" s="572">
        <f>V55-V56-V57-V58-V62-V63-V61-V64</f>
        <v>-1000000</v>
      </c>
      <c r="W88" s="572">
        <f t="shared" ref="W88" si="42">W55-W56-W57-W58-W62-W63-W61-W64</f>
        <v>0</v>
      </c>
      <c r="X88" s="572">
        <f>X55-X56-X57-X58-X62-X63-X61-X64</f>
        <v>0</v>
      </c>
      <c r="Y88" s="572">
        <f t="shared" ref="Y88:AA88" si="43">Y55-Y56-Y57-Y58-Y62-Y63-Y61-Y64</f>
        <v>0</v>
      </c>
      <c r="Z88" s="572">
        <f t="shared" si="43"/>
        <v>0</v>
      </c>
      <c r="AA88" s="572">
        <f t="shared" si="43"/>
        <v>0</v>
      </c>
      <c r="AB88" s="365"/>
      <c r="AC88" s="365"/>
    </row>
    <row r="89" spans="2:29">
      <c r="B89" s="534" t="s">
        <v>297</v>
      </c>
      <c r="D89" s="571">
        <f>D66-D67-D73</f>
        <v>0</v>
      </c>
      <c r="E89" s="571">
        <f t="shared" ref="E89:X89" si="44">E66-E67-E73</f>
        <v>-1000000</v>
      </c>
      <c r="F89" s="571">
        <f t="shared" si="44"/>
        <v>1000000</v>
      </c>
      <c r="G89" s="571">
        <f t="shared" si="44"/>
        <v>0</v>
      </c>
      <c r="H89" s="571">
        <f t="shared" si="44"/>
        <v>0</v>
      </c>
      <c r="I89" s="571">
        <f t="shared" si="44"/>
        <v>0</v>
      </c>
      <c r="J89" s="571">
        <f t="shared" si="44"/>
        <v>1000000</v>
      </c>
      <c r="K89" s="571">
        <f t="shared" si="44"/>
        <v>0</v>
      </c>
      <c r="L89" s="571">
        <f t="shared" si="44"/>
        <v>0</v>
      </c>
      <c r="M89" s="571">
        <f t="shared" si="44"/>
        <v>0</v>
      </c>
      <c r="N89" s="571">
        <f t="shared" si="44"/>
        <v>0</v>
      </c>
      <c r="O89" s="571">
        <f t="shared" si="44"/>
        <v>0</v>
      </c>
      <c r="P89" s="571">
        <f t="shared" si="44"/>
        <v>0</v>
      </c>
      <c r="Q89" s="571">
        <f t="shared" si="44"/>
        <v>0</v>
      </c>
      <c r="R89" s="571">
        <f t="shared" si="44"/>
        <v>0</v>
      </c>
      <c r="S89" s="571">
        <f t="shared" si="44"/>
        <v>0</v>
      </c>
      <c r="T89" s="571">
        <f t="shared" si="44"/>
        <v>0</v>
      </c>
      <c r="U89" s="571">
        <f t="shared" si="44"/>
        <v>0</v>
      </c>
      <c r="V89" s="571">
        <f t="shared" si="44"/>
        <v>0</v>
      </c>
      <c r="W89" s="571">
        <f t="shared" si="44"/>
        <v>0</v>
      </c>
      <c r="X89" s="571">
        <f t="shared" si="44"/>
        <v>0</v>
      </c>
      <c r="Y89" s="571">
        <f t="shared" ref="Y89:AA89" si="45">Y66-Y67-Y73</f>
        <v>0</v>
      </c>
      <c r="Z89" s="571">
        <f t="shared" si="45"/>
        <v>0</v>
      </c>
      <c r="AA89" s="571">
        <f t="shared" si="45"/>
        <v>0</v>
      </c>
      <c r="AB89" s="365"/>
      <c r="AC89" s="365"/>
    </row>
    <row r="90" spans="2:29">
      <c r="AB90" s="365"/>
      <c r="AC90" s="365"/>
    </row>
    <row r="91" spans="2:29">
      <c r="D91" s="571"/>
      <c r="M91" s="571"/>
      <c r="AB91" s="365"/>
      <c r="AC91" s="365"/>
    </row>
    <row r="92" spans="2:29">
      <c r="B92" s="534" t="s">
        <v>623</v>
      </c>
      <c r="D92" s="534">
        <v>107811000000</v>
      </c>
      <c r="E92" s="534">
        <v>121015000000</v>
      </c>
      <c r="F92" s="534">
        <v>131293000000</v>
      </c>
      <c r="G92" s="534">
        <v>141437000000</v>
      </c>
      <c r="H92" s="534">
        <v>143596000000</v>
      </c>
      <c r="I92" s="534">
        <v>153112000000</v>
      </c>
      <c r="J92" s="534">
        <v>158114000000</v>
      </c>
      <c r="K92" s="534">
        <v>167699000000</v>
      </c>
      <c r="L92" s="534">
        <v>177704000000</v>
      </c>
      <c r="M92" s="534">
        <v>189213000000</v>
      </c>
      <c r="N92" s="534">
        <v>201841000000</v>
      </c>
      <c r="O92" s="534">
        <v>216039000000</v>
      </c>
      <c r="P92" s="534">
        <v>228189000000</v>
      </c>
      <c r="Q92" s="534">
        <v>243606000000</v>
      </c>
      <c r="R92" s="534">
        <v>254275000000</v>
      </c>
      <c r="S92" s="534">
        <v>260925000000</v>
      </c>
      <c r="T92" s="534">
        <v>273051000000</v>
      </c>
      <c r="U92" s="534">
        <v>283890000000</v>
      </c>
      <c r="V92" s="534">
        <v>298805000000</v>
      </c>
      <c r="W92" s="534">
        <v>314003000000</v>
      </c>
      <c r="X92" s="534">
        <v>330634000000</v>
      </c>
      <c r="Y92" s="534">
        <v>348763000000</v>
      </c>
      <c r="Z92" s="534">
        <v>368241000000</v>
      </c>
      <c r="AA92" s="534">
        <v>389136000000</v>
      </c>
      <c r="AB92" s="365"/>
      <c r="AC92" s="365"/>
    </row>
    <row r="93" spans="2:29">
      <c r="B93" s="534" t="s">
        <v>151</v>
      </c>
      <c r="D93" s="534">
        <f>(D6/D92)*100</f>
        <v>14.428954373857955</v>
      </c>
      <c r="E93" s="534">
        <f t="shared" ref="E93:V93" si="46">(E6/E92)*100</f>
        <v>18.373755319588479</v>
      </c>
      <c r="F93" s="534">
        <f t="shared" si="46"/>
        <v>20.51061366561812</v>
      </c>
      <c r="G93" s="534">
        <f t="shared" si="46"/>
        <v>18.016502046847712</v>
      </c>
      <c r="H93" s="534">
        <f t="shared" si="46"/>
        <v>18.408590768545086</v>
      </c>
      <c r="I93" s="534">
        <f t="shared" si="46"/>
        <v>19.925936569308742</v>
      </c>
      <c r="J93" s="534">
        <f t="shared" si="46"/>
        <v>18.678927862175392</v>
      </c>
      <c r="K93" s="534">
        <f t="shared" si="46"/>
        <v>20.241623384754828</v>
      </c>
      <c r="L93" s="534">
        <f t="shared" si="46"/>
        <v>23.552086615945615</v>
      </c>
      <c r="M93" s="534">
        <f t="shared" si="46"/>
        <v>23.664335960002745</v>
      </c>
      <c r="N93" s="534">
        <f t="shared" si="46"/>
        <v>29.16602672400553</v>
      </c>
      <c r="O93" s="534">
        <f t="shared" si="46"/>
        <v>23.563800980378545</v>
      </c>
      <c r="P93" s="534">
        <f t="shared" si="46"/>
        <v>28.906739588674302</v>
      </c>
      <c r="Q93" s="534">
        <f t="shared" si="46"/>
        <v>43.702125563409766</v>
      </c>
      <c r="R93" s="534">
        <f t="shared" si="46"/>
        <v>23.773473601415791</v>
      </c>
      <c r="S93" s="534">
        <f t="shared" si="46"/>
        <v>31.626329405001435</v>
      </c>
      <c r="T93" s="534">
        <f t="shared" si="46"/>
        <v>23.38061387799349</v>
      </c>
      <c r="U93" s="534">
        <f t="shared" si="46"/>
        <v>28.50047553629927</v>
      </c>
      <c r="V93" s="534">
        <f t="shared" si="46"/>
        <v>28.27261926674587</v>
      </c>
    </row>
    <row r="94" spans="2:29">
      <c r="B94" s="534" t="s">
        <v>152</v>
      </c>
      <c r="D94" s="534">
        <f>(D17/D92)*100</f>
        <v>16.337850497630114</v>
      </c>
      <c r="E94" s="534">
        <f t="shared" ref="E94:V94" si="47">(E17/E92)*100</f>
        <v>21.974135437755653</v>
      </c>
      <c r="F94" s="534">
        <f t="shared" si="47"/>
        <v>24.143709108634887</v>
      </c>
      <c r="G94" s="534">
        <f t="shared" si="47"/>
        <v>21.456196044882173</v>
      </c>
      <c r="H94" s="534">
        <f t="shared" si="47"/>
        <v>20.088999693584782</v>
      </c>
      <c r="I94" s="534">
        <f t="shared" si="47"/>
        <v>19.871074768796699</v>
      </c>
      <c r="J94" s="534">
        <f t="shared" si="47"/>
        <v>21.249857697610587</v>
      </c>
      <c r="K94" s="534">
        <f t="shared" si="47"/>
        <v>22.250579908049541</v>
      </c>
      <c r="L94" s="534">
        <f t="shared" si="47"/>
        <v>26.075946517804887</v>
      </c>
      <c r="M94" s="534">
        <f t="shared" si="47"/>
        <v>23.057083815594066</v>
      </c>
      <c r="N94" s="534">
        <f t="shared" si="47"/>
        <v>22.14763105612834</v>
      </c>
      <c r="O94" s="534">
        <f t="shared" si="47"/>
        <v>22.122394567647508</v>
      </c>
      <c r="P94" s="534">
        <f t="shared" si="47"/>
        <v>25.331194755224836</v>
      </c>
      <c r="Q94" s="534">
        <f t="shared" si="47"/>
        <v>25.458732543533408</v>
      </c>
      <c r="R94" s="534">
        <f t="shared" si="47"/>
        <v>0</v>
      </c>
      <c r="S94" s="534">
        <f t="shared" si="47"/>
        <v>27.361119095525531</v>
      </c>
      <c r="T94" s="534">
        <f t="shared" si="47"/>
        <v>30.764582440642958</v>
      </c>
      <c r="U94" s="534">
        <f t="shared" si="47"/>
        <v>27.858325407728344</v>
      </c>
      <c r="V94" s="534">
        <f t="shared" si="47"/>
        <v>30.203979183748597</v>
      </c>
    </row>
    <row r="96" spans="2:29" ht="13.5" customHeight="1">
      <c r="B96" s="534" t="s">
        <v>153</v>
      </c>
      <c r="D96" s="534" t="b">
        <f>IF(D39&lt;0, (D39/D17)*100)</f>
        <v>0</v>
      </c>
      <c r="E96" s="534" t="b">
        <f t="shared" ref="E96:V96" si="48">IF(E39&lt;0, (E39/E17)*100)</f>
        <v>0</v>
      </c>
      <c r="F96" s="534" t="b">
        <f t="shared" si="48"/>
        <v>0</v>
      </c>
      <c r="G96" s="534" t="b">
        <f t="shared" si="48"/>
        <v>0</v>
      </c>
      <c r="H96" s="534" t="b">
        <f t="shared" si="48"/>
        <v>0</v>
      </c>
      <c r="I96" s="534" t="b">
        <f t="shared" si="48"/>
        <v>0</v>
      </c>
      <c r="J96" s="534" t="b">
        <f t="shared" si="48"/>
        <v>0</v>
      </c>
      <c r="K96" s="534" t="b">
        <f t="shared" si="48"/>
        <v>0</v>
      </c>
      <c r="L96" s="534" t="b">
        <f t="shared" si="48"/>
        <v>0</v>
      </c>
      <c r="M96" s="534" t="b">
        <f t="shared" si="48"/>
        <v>0</v>
      </c>
      <c r="N96" s="534" t="b">
        <f t="shared" si="48"/>
        <v>0</v>
      </c>
      <c r="O96" s="534" t="b">
        <f t="shared" si="48"/>
        <v>0</v>
      </c>
      <c r="P96" s="534" t="b">
        <f t="shared" si="48"/>
        <v>0</v>
      </c>
      <c r="Q96" s="534" t="b">
        <f t="shared" si="48"/>
        <v>0</v>
      </c>
      <c r="R96" s="534" t="b">
        <f t="shared" si="48"/>
        <v>0</v>
      </c>
      <c r="S96" s="534" t="b">
        <f t="shared" si="48"/>
        <v>0</v>
      </c>
      <c r="T96" s="534" t="b">
        <f t="shared" si="48"/>
        <v>0</v>
      </c>
      <c r="U96" s="534" t="b">
        <f t="shared" si="48"/>
        <v>0</v>
      </c>
      <c r="V96" s="534" t="b">
        <f t="shared" si="48"/>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1899</v>
      </c>
      <c r="B1" s="82" t="s">
        <v>1900</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1410</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1138</v>
      </c>
      <c r="C6" s="18" t="s">
        <v>35</v>
      </c>
      <c r="D6" s="330">
        <v>609400000000</v>
      </c>
      <c r="E6" s="263">
        <v>632000000000</v>
      </c>
      <c r="F6" s="263">
        <v>575000000000</v>
      </c>
      <c r="G6" s="263">
        <v>614000000000</v>
      </c>
      <c r="H6" s="263">
        <v>746000000000</v>
      </c>
      <c r="I6" s="263">
        <v>1246000000000</v>
      </c>
      <c r="J6" s="263">
        <v>1796000000000</v>
      </c>
      <c r="K6" s="263">
        <v>1579000000000</v>
      </c>
      <c r="L6" s="304">
        <v>2497000000000</v>
      </c>
      <c r="M6" s="304">
        <v>1335000000000</v>
      </c>
      <c r="N6" s="304">
        <v>2231000000000</v>
      </c>
      <c r="O6" s="296">
        <v>2894000000000</v>
      </c>
      <c r="P6" s="330">
        <v>2976000000000</v>
      </c>
      <c r="Q6" s="330">
        <v>3123000000000</v>
      </c>
      <c r="R6" s="330">
        <v>2863000000000</v>
      </c>
      <c r="S6" s="330">
        <f>S7+S17</f>
        <v>1310700000000</v>
      </c>
      <c r="T6" s="330">
        <f>T7+T17</f>
        <v>1266600000000</v>
      </c>
      <c r="U6" s="330"/>
      <c r="V6" s="330"/>
      <c r="W6" s="330"/>
      <c r="X6" s="330"/>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t="s">
        <v>36</v>
      </c>
      <c r="B7" s="90" t="s">
        <v>1901</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75"/>
      <c r="V7" s="475"/>
      <c r="W7" s="475"/>
      <c r="X7" s="47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99" t="s">
        <v>1902</v>
      </c>
      <c r="B8" s="99" t="s">
        <v>874</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75"/>
      <c r="V8" s="475"/>
      <c r="W8" s="475"/>
      <c r="X8" s="47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1637</v>
      </c>
      <c r="B9" s="99" t="s">
        <v>1903</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75"/>
      <c r="V9" s="475"/>
      <c r="W9" s="475"/>
      <c r="X9" s="47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100" t="s">
        <v>1904</v>
      </c>
      <c r="B10" s="100" t="s">
        <v>1905</v>
      </c>
      <c r="C10" s="34" t="s">
        <v>1906</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89"/>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00" t="s">
        <v>1907</v>
      </c>
      <c r="B11" s="100" t="s">
        <v>1908</v>
      </c>
      <c r="C11" s="34" t="s">
        <v>1906</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89"/>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989</v>
      </c>
      <c r="B12" s="100" t="s">
        <v>1045</v>
      </c>
      <c r="C12" s="34" t="s">
        <v>1906</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89"/>
      <c r="Y12" s="365"/>
      <c r="Z12" s="365"/>
      <c r="AA12" s="365"/>
      <c r="AB12" s="365"/>
      <c r="AC12" s="365"/>
      <c r="AD12" s="464"/>
      <c r="AE12" s="365"/>
      <c r="AF12" s="365"/>
      <c r="AG12" s="365"/>
      <c r="AH12" s="365"/>
      <c r="AI12" s="365"/>
      <c r="AJ12" s="365"/>
      <c r="AK12" s="365"/>
      <c r="AL12" s="365"/>
      <c r="AM12" s="365"/>
      <c r="AN12" s="365"/>
      <c r="AO12" s="365"/>
      <c r="AP12" s="365"/>
      <c r="AQ12" s="365"/>
      <c r="AR12" s="365"/>
      <c r="AS12" s="365"/>
      <c r="AT12" s="365"/>
      <c r="AU12" s="365"/>
      <c r="AV12" s="365"/>
    </row>
    <row r="13" spans="1:48" ht="16.5">
      <c r="A13" s="100" t="s">
        <v>47</v>
      </c>
      <c r="B13" s="100" t="s">
        <v>320</v>
      </c>
      <c r="C13" s="34" t="s">
        <v>1906</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89"/>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100" t="s">
        <v>1909</v>
      </c>
      <c r="B14" s="100" t="s">
        <v>1910</v>
      </c>
      <c r="C14" s="34" t="s">
        <v>1906</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89"/>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00" t="s">
        <v>188</v>
      </c>
      <c r="B15" s="100" t="s">
        <v>1911</v>
      </c>
      <c r="C15" s="34" t="s">
        <v>1906</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89"/>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90" t="s">
        <v>1912</v>
      </c>
      <c r="B16" s="90" t="s">
        <v>1913</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8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ht="16.5">
      <c r="A17" s="148" t="s">
        <v>53</v>
      </c>
      <c r="B17" s="148" t="s">
        <v>53</v>
      </c>
      <c r="C17" s="11" t="s">
        <v>38</v>
      </c>
      <c r="D17" s="330">
        <v>6800000000</v>
      </c>
      <c r="E17" s="295">
        <v>4000000000</v>
      </c>
      <c r="F17" s="295">
        <v>4000000000</v>
      </c>
      <c r="G17" s="295">
        <v>10000000000</v>
      </c>
      <c r="H17" s="263">
        <v>8000000000</v>
      </c>
      <c r="I17" s="263">
        <v>6000000000</v>
      </c>
      <c r="J17" s="263">
        <v>5000000000</v>
      </c>
      <c r="K17" s="263">
        <v>15000000000</v>
      </c>
      <c r="L17" s="304">
        <v>35000000000</v>
      </c>
      <c r="M17" s="304">
        <v>15000000000</v>
      </c>
      <c r="N17" s="304">
        <v>4000000000</v>
      </c>
      <c r="O17" s="296">
        <v>35000000000</v>
      </c>
      <c r="P17" s="296">
        <v>10000000000</v>
      </c>
      <c r="Q17" s="296">
        <v>26000000000</v>
      </c>
      <c r="R17" s="296">
        <v>31000000000</v>
      </c>
      <c r="S17" s="296">
        <v>41400000000</v>
      </c>
      <c r="T17" s="296">
        <v>40400000000</v>
      </c>
      <c r="U17" s="296"/>
      <c r="V17" s="296"/>
      <c r="W17" s="296"/>
      <c r="X17" s="411"/>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90"/>
      <c r="B18" s="90" t="s">
        <v>1914</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8" t="s">
        <v>198</v>
      </c>
      <c r="B19" s="18" t="s">
        <v>198</v>
      </c>
      <c r="C19" s="18" t="s">
        <v>35</v>
      </c>
      <c r="D19" s="330">
        <f>D20+D34+D37</f>
        <v>583500000000</v>
      </c>
      <c r="E19" s="330">
        <f t="shared" ref="E19:R19" si="0">E20+E34+E37</f>
        <v>646000000000</v>
      </c>
      <c r="F19" s="330">
        <f t="shared" si="0"/>
        <v>747000000000</v>
      </c>
      <c r="G19" s="330">
        <f t="shared" si="0"/>
        <v>607000000000</v>
      </c>
      <c r="H19" s="330">
        <f t="shared" si="0"/>
        <v>657000000000</v>
      </c>
      <c r="I19" s="330">
        <f t="shared" si="0"/>
        <v>745000000000</v>
      </c>
      <c r="J19" s="330">
        <f t="shared" si="0"/>
        <v>1107000000000</v>
      </c>
      <c r="K19" s="330">
        <f t="shared" si="0"/>
        <v>1172000000000</v>
      </c>
      <c r="L19" s="330">
        <f t="shared" si="0"/>
        <v>1256000000000</v>
      </c>
      <c r="M19" s="330">
        <f t="shared" si="0"/>
        <v>1118000000000</v>
      </c>
      <c r="N19" s="330">
        <f t="shared" si="0"/>
        <v>1275000000000</v>
      </c>
      <c r="O19" s="330">
        <f t="shared" si="0"/>
        <v>1775000000000</v>
      </c>
      <c r="P19" s="330">
        <f t="shared" si="0"/>
        <v>2526000000000</v>
      </c>
      <c r="Q19" s="330">
        <f>Q20+Q34+Q37</f>
        <v>2556000000000</v>
      </c>
      <c r="R19" s="330">
        <f t="shared" si="0"/>
        <v>2730000000000</v>
      </c>
      <c r="S19" s="330">
        <f>S20+S34</f>
        <v>2303400000000</v>
      </c>
      <c r="T19" s="330">
        <f>T20+T34</f>
        <v>1790800000000</v>
      </c>
      <c r="U19" s="330"/>
      <c r="V19" s="330"/>
      <c r="W19" s="330"/>
      <c r="X19" s="330"/>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516">
        <f>Q21+Q22+Q30+Q31</f>
        <v>944000000000</v>
      </c>
      <c r="R20" s="210">
        <v>1106000000000</v>
      </c>
      <c r="S20" s="125">
        <v>1110900000000</v>
      </c>
      <c r="T20" s="125">
        <v>1166000000000</v>
      </c>
      <c r="U20" s="210"/>
      <c r="V20" s="210"/>
      <c r="W20" s="210"/>
      <c r="X20" s="389"/>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ht="16.5">
      <c r="A21" s="152" t="s">
        <v>536</v>
      </c>
      <c r="B21" s="152" t="s">
        <v>536</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89"/>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A22" s="99" t="s">
        <v>1915</v>
      </c>
      <c r="B22" s="99" t="s">
        <v>1916</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89"/>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9" t="s">
        <v>83</v>
      </c>
      <c r="B23" s="99" t="s">
        <v>48</v>
      </c>
      <c r="C23" s="90" t="s">
        <v>1917</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89"/>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s="152" t="s">
        <v>389</v>
      </c>
      <c r="B24" s="152" t="s">
        <v>389</v>
      </c>
      <c r="C24" s="90" t="s">
        <v>1917</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8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100" t="s">
        <v>1918</v>
      </c>
      <c r="B25" s="100" t="s">
        <v>1919</v>
      </c>
      <c r="C25" s="90" t="s">
        <v>1920</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89"/>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100" t="s">
        <v>1921</v>
      </c>
      <c r="B26" s="100" t="s">
        <v>1922</v>
      </c>
      <c r="C26" s="90" t="s">
        <v>1920</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89"/>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100" t="s">
        <v>1923</v>
      </c>
      <c r="B27" s="100" t="s">
        <v>1924</v>
      </c>
      <c r="C27" s="90" t="s">
        <v>1920</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89"/>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100" t="s">
        <v>487</v>
      </c>
      <c r="B28" s="100" t="s">
        <v>488</v>
      </c>
      <c r="C28" s="90" t="s">
        <v>1920</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89"/>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99" t="s">
        <v>1925</v>
      </c>
      <c r="B29" s="99" t="s">
        <v>1926</v>
      </c>
      <c r="C29" s="90" t="s">
        <v>1917</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75"/>
      <c r="V29" s="475"/>
      <c r="W29" s="475"/>
      <c r="X29" s="47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99" t="s">
        <v>1927</v>
      </c>
      <c r="B30" s="99" t="s">
        <v>1928</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75"/>
      <c r="V30" s="475"/>
      <c r="W30" s="475"/>
      <c r="X30" s="47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75"/>
      <c r="V31" s="475"/>
      <c r="W31" s="475"/>
      <c r="X31" s="47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89"/>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89"/>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89"/>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99" t="s">
        <v>239</v>
      </c>
      <c r="B35" s="99" t="s">
        <v>1231</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89"/>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9" t="s">
        <v>395</v>
      </c>
      <c r="B36" s="99" t="s">
        <v>1240</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89"/>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s="90" t="s">
        <v>1159</v>
      </c>
      <c r="B37" s="90" t="s">
        <v>1159</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89"/>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1929</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89"/>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1930</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89"/>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ht="16.5">
      <c r="A40" t="s">
        <v>76</v>
      </c>
      <c r="B40" s="90" t="s">
        <v>1931</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89"/>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ht="16.5">
      <c r="A41" t="s">
        <v>76</v>
      </c>
      <c r="B41" s="90" t="s">
        <v>1932</v>
      </c>
      <c r="C41" s="90"/>
      <c r="D41" s="193"/>
      <c r="E41" s="193"/>
      <c r="F41" s="193"/>
      <c r="G41" s="193"/>
      <c r="H41" s="193"/>
      <c r="I41" s="193"/>
      <c r="J41" s="193"/>
      <c r="K41" s="193"/>
      <c r="L41" s="193"/>
      <c r="M41" s="193"/>
      <c r="N41" s="193"/>
      <c r="O41" s="210">
        <v>0</v>
      </c>
      <c r="P41" s="210">
        <v>0</v>
      </c>
      <c r="Q41" s="210"/>
      <c r="R41" s="210"/>
      <c r="S41" s="210"/>
      <c r="T41" s="210"/>
      <c r="U41" s="210"/>
      <c r="V41" s="210"/>
      <c r="W41" s="210"/>
      <c r="X41" s="389"/>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A42" t="s">
        <v>76</v>
      </c>
      <c r="B42" s="99" t="s">
        <v>1933</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89"/>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t="s">
        <v>76</v>
      </c>
      <c r="B43" s="99" t="s">
        <v>1934</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89"/>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99" t="s">
        <v>1935</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89"/>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90" t="s">
        <v>1936</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89"/>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89"/>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89"/>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90" t="s">
        <v>1937</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89"/>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90" t="s">
        <v>1938</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89"/>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s="9" customFormat="1" ht="16.5">
      <c r="A50" s="148" t="s">
        <v>115</v>
      </c>
      <c r="B50" s="148" t="s">
        <v>115</v>
      </c>
      <c r="C50" s="18" t="s">
        <v>35</v>
      </c>
      <c r="D50" s="330">
        <v>-294000000000</v>
      </c>
      <c r="E50" s="263">
        <v>-59000000000</v>
      </c>
      <c r="F50" s="263">
        <v>-35000000000</v>
      </c>
      <c r="G50" s="263">
        <v>-132000000000</v>
      </c>
      <c r="H50" s="263">
        <v>1556000000000</v>
      </c>
      <c r="I50" s="263">
        <v>-443000000000</v>
      </c>
      <c r="J50" s="263">
        <v>-614000000000</v>
      </c>
      <c r="K50" s="263">
        <v>-138000000000</v>
      </c>
      <c r="L50" s="304">
        <v>-298000000000</v>
      </c>
      <c r="M50" s="303">
        <f>M51+M62</f>
        <v>-86000000000</v>
      </c>
      <c r="N50" s="304">
        <v>-733000000000</v>
      </c>
      <c r="O50" s="296">
        <v>-1028000000000</v>
      </c>
      <c r="P50" s="296">
        <v>-386000000000</v>
      </c>
      <c r="Q50" s="296">
        <v>300000000000</v>
      </c>
      <c r="R50" s="296">
        <v>565000000000</v>
      </c>
      <c r="S50" s="296">
        <f>S51+S62</f>
        <v>907900000000</v>
      </c>
      <c r="T50" s="296">
        <f>T51+T62</f>
        <v>563900000000</v>
      </c>
      <c r="U50" s="296"/>
      <c r="V50" s="296"/>
      <c r="W50" s="296"/>
      <c r="X50" s="29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43" t="s">
        <v>117</v>
      </c>
      <c r="B51" s="90" t="s">
        <v>1161</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3">
        <f>M52+M56+M57+M59+M58</f>
        <v>-27000000000</v>
      </c>
      <c r="N51" s="142">
        <v>-369000000000</v>
      </c>
      <c r="O51" s="210">
        <v>-603000000000</v>
      </c>
      <c r="P51" s="210">
        <v>-665000000000</v>
      </c>
      <c r="Q51" s="210">
        <v>433000000000</v>
      </c>
      <c r="R51" s="210">
        <v>286000000000</v>
      </c>
      <c r="S51" s="2516">
        <v>529800000000</v>
      </c>
      <c r="T51" s="2516">
        <v>33800000000</v>
      </c>
      <c r="U51" s="210"/>
      <c r="V51" s="210"/>
      <c r="W51" s="210"/>
      <c r="X51" s="389"/>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A52" s="152" t="s">
        <v>444</v>
      </c>
      <c r="B52" s="152" t="s">
        <v>1104</v>
      </c>
      <c r="C52" s="90" t="s">
        <v>1939</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89"/>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100" t="s">
        <v>1463</v>
      </c>
      <c r="B53" s="100" t="s">
        <v>1940</v>
      </c>
      <c r="C53" s="90" t="s">
        <v>499</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89"/>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s="100" t="s">
        <v>1941</v>
      </c>
      <c r="B54" s="100" t="s">
        <v>1942</v>
      </c>
      <c r="C54" s="90" t="s">
        <v>499</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89"/>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126" t="s">
        <v>50</v>
      </c>
      <c r="B55" s="126" t="s">
        <v>50</v>
      </c>
      <c r="C55" s="90" t="s">
        <v>499</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89"/>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s="99" t="s">
        <v>713</v>
      </c>
      <c r="B56" s="99" t="s">
        <v>1943</v>
      </c>
      <c r="C56" s="90" t="s">
        <v>1939</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89"/>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s="99" t="s">
        <v>1944</v>
      </c>
      <c r="B57" s="99" t="s">
        <v>1945</v>
      </c>
      <c r="C57" s="90" t="s">
        <v>1939</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89"/>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99" t="s">
        <v>1946</v>
      </c>
      <c r="B58" s="99" t="s">
        <v>1947</v>
      </c>
      <c r="C58" s="90" t="s">
        <v>1939</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89"/>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152" t="s">
        <v>50</v>
      </c>
      <c r="B59" s="152" t="s">
        <v>50</v>
      </c>
      <c r="C59" s="90" t="s">
        <v>1939</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89"/>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00" t="s">
        <v>1948</v>
      </c>
      <c r="B60" s="100" t="s">
        <v>1949</v>
      </c>
      <c r="C60" s="90" t="s">
        <v>1950</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89"/>
      <c r="Y60" s="2"/>
      <c r="Z60" s="2"/>
      <c r="AA60" s="2"/>
    </row>
    <row r="61" spans="1:48" ht="16.5">
      <c r="A61" s="138" t="s">
        <v>444</v>
      </c>
      <c r="B61" s="138" t="s">
        <v>444</v>
      </c>
      <c r="C61" s="90" t="s">
        <v>1950</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89"/>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89"/>
      <c r="Y62" s="2"/>
      <c r="Z62" s="2"/>
      <c r="AA62" s="2"/>
    </row>
    <row r="63" spans="1:48" ht="16.5">
      <c r="A63" s="99" t="s">
        <v>1951</v>
      </c>
      <c r="B63" s="99" t="s">
        <v>1952</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89"/>
      <c r="Y63" s="2"/>
      <c r="Z63" s="2"/>
    </row>
    <row r="64" spans="1:48" ht="16.5">
      <c r="A64" s="99" t="s">
        <v>919</v>
      </c>
      <c r="B64" s="99" t="s">
        <v>1270</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89"/>
      <c r="Y64" s="2"/>
      <c r="Z64" s="2"/>
      <c r="AA64" s="2"/>
    </row>
    <row r="65" spans="2:27" ht="16.5">
      <c r="B65" s="100" t="s">
        <v>1953</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89"/>
      <c r="Y65" s="2"/>
      <c r="Z65" s="2"/>
      <c r="AA65" s="2"/>
    </row>
    <row r="66" spans="2:27" ht="16.5">
      <c r="B66" s="100" t="s">
        <v>1954</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1955</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1956</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1957</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1958</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1959</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1960</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875</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616</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1490</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720</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876</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1961</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1171</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1962</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623</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1963</v>
      </c>
      <c r="D90" s="364">
        <f t="shared" ref="D90:W90" si="15">(D6/D89)*100</f>
        <v>26.582333696837512</v>
      </c>
      <c r="E90" s="364">
        <f t="shared" si="15"/>
        <v>30.854855245813599</v>
      </c>
      <c r="F90" s="364">
        <f t="shared" si="15"/>
        <v>27.317212219107795</v>
      </c>
      <c r="G90" s="364">
        <f t="shared" si="15"/>
        <v>30.219509794271087</v>
      </c>
      <c r="H90" s="364">
        <f t="shared" si="15"/>
        <v>30.377066536362896</v>
      </c>
      <c r="I90" s="364">
        <f t="shared" si="15"/>
        <v>38.807736630641294</v>
      </c>
      <c r="J90" s="364">
        <f t="shared" si="15"/>
        <v>44.426854004848366</v>
      </c>
      <c r="K90" s="364">
        <f t="shared" si="15"/>
        <v>39.246438553474206</v>
      </c>
      <c r="L90" s="364">
        <f t="shared" si="15"/>
        <v>47.01976242309388</v>
      </c>
      <c r="M90" s="364">
        <f t="shared" si="15"/>
        <v>29.470589014424032</v>
      </c>
      <c r="N90" s="364">
        <f t="shared" si="15"/>
        <v>37.51733768496333</v>
      </c>
      <c r="O90" s="364">
        <f t="shared" si="15"/>
        <v>42.531390782357143</v>
      </c>
      <c r="P90" s="364">
        <f t="shared" si="15"/>
        <v>42.641191993256498</v>
      </c>
      <c r="Q90" s="364">
        <f t="shared" si="15"/>
        <v>46.915370710296912</v>
      </c>
      <c r="R90" s="364">
        <f t="shared" si="15"/>
        <v>41.887736768859284</v>
      </c>
      <c r="S90" s="364">
        <f t="shared" si="15"/>
        <v>17.757393122021213</v>
      </c>
      <c r="T90" s="364">
        <f t="shared" si="15"/>
        <v>16.230439955637308</v>
      </c>
      <c r="U90" s="364">
        <f t="shared" si="15"/>
        <v>0</v>
      </c>
      <c r="V90" s="364">
        <f t="shared" si="15"/>
        <v>0</v>
      </c>
      <c r="W90" s="364">
        <f t="shared" si="15"/>
        <v>0</v>
      </c>
    </row>
    <row r="91" spans="2:27">
      <c r="B91" t="s">
        <v>1964</v>
      </c>
      <c r="D91" s="364">
        <f t="shared" ref="D91:W91" si="16">(D18/D89)*100</f>
        <v>25.452562704471099</v>
      </c>
      <c r="E91" s="364">
        <f t="shared" si="16"/>
        <v>31.538348874676558</v>
      </c>
      <c r="F91" s="364">
        <f t="shared" si="16"/>
        <v>35.441113592094638</v>
      </c>
      <c r="G91" s="364">
        <f t="shared" si="16"/>
        <v>29.825770252977655</v>
      </c>
      <c r="H91" s="364">
        <f t="shared" si="16"/>
        <v>26.712272986399544</v>
      </c>
      <c r="I91" s="364">
        <f t="shared" si="16"/>
        <v>23.203662752670756</v>
      </c>
      <c r="J91" s="364">
        <f t="shared" si="16"/>
        <v>27.358630584277442</v>
      </c>
      <c r="K91" s="364">
        <f t="shared" si="16"/>
        <v>29.105496862646163</v>
      </c>
      <c r="L91" s="364">
        <f t="shared" si="16"/>
        <v>23.65110997333036</v>
      </c>
      <c r="M91" s="364">
        <f t="shared" si="16"/>
        <v>24.680238590356605</v>
      </c>
      <c r="N91" s="364">
        <f t="shared" si="16"/>
        <v>21.440881016731623</v>
      </c>
      <c r="O91" s="364">
        <f t="shared" si="16"/>
        <v>26.071419228715126</v>
      </c>
      <c r="P91" s="364">
        <f t="shared" si="16"/>
        <v>36.193431107179407</v>
      </c>
      <c r="Q91" s="364">
        <f t="shared" si="16"/>
        <v>48.718074676110433</v>
      </c>
      <c r="R91" s="364">
        <f t="shared" si="16"/>
        <v>49.46644708889739</v>
      </c>
      <c r="S91" s="364">
        <f t="shared" si="16"/>
        <v>0</v>
      </c>
      <c r="T91" s="364">
        <f t="shared" si="16"/>
        <v>0</v>
      </c>
      <c r="U91" s="364">
        <f t="shared" si="16"/>
        <v>0</v>
      </c>
      <c r="V91" s="364">
        <f t="shared" si="16"/>
        <v>0</v>
      </c>
      <c r="W91" s="364">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69" t="s">
        <v>1965</v>
      </c>
      <c r="B1" s="82" t="s">
        <v>7138</v>
      </c>
      <c r="C1" s="82"/>
      <c r="D1" s="27"/>
      <c r="E1" s="27"/>
      <c r="F1" s="27"/>
      <c r="G1" s="27"/>
      <c r="H1" s="27"/>
      <c r="I1" s="27"/>
      <c r="J1" s="27"/>
      <c r="K1" s="27"/>
      <c r="L1" s="27"/>
      <c r="M1" s="27"/>
      <c r="N1" s="27"/>
      <c r="O1" s="28"/>
      <c r="P1" s="28"/>
      <c r="Q1" s="28"/>
      <c r="R1" s="29"/>
      <c r="S1" s="28"/>
      <c r="T1" s="28"/>
      <c r="U1" s="28"/>
      <c r="V1" s="28"/>
      <c r="W1" s="28"/>
      <c r="X1" s="2"/>
      <c r="Y1" s="2"/>
    </row>
    <row r="2" spans="1:26">
      <c r="B2" s="30" t="s">
        <v>1966</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7136</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5"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647</v>
      </c>
      <c r="B9" s="99" t="s">
        <v>1968</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534</v>
      </c>
      <c r="B10" s="99" t="s">
        <v>534</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7137</v>
      </c>
      <c r="B11" s="99" t="s">
        <v>7137</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5" t="s">
        <v>38</v>
      </c>
      <c r="D12" s="28"/>
      <c r="E12" s="28"/>
      <c r="F12" s="28"/>
      <c r="G12" s="28"/>
      <c r="H12" s="28"/>
      <c r="I12" s="28"/>
      <c r="J12" s="298"/>
      <c r="K12" s="298"/>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535</v>
      </c>
      <c r="C13" s="55" t="s">
        <v>35</v>
      </c>
      <c r="D13" s="36"/>
      <c r="E13" s="36"/>
      <c r="F13" s="36"/>
      <c r="G13" s="36"/>
      <c r="H13" s="36"/>
      <c r="I13" s="36"/>
      <c r="J13" s="295"/>
      <c r="K13" s="295"/>
      <c r="L13" s="295">
        <f t="shared" ref="L13:Z13" si="2">L14+L20</f>
        <v>3641000000000</v>
      </c>
      <c r="M13" s="295">
        <f t="shared" si="2"/>
        <v>4343000000000</v>
      </c>
      <c r="N13" s="295">
        <f t="shared" si="2"/>
        <v>5209000000000</v>
      </c>
      <c r="O13" s="295">
        <f t="shared" si="2"/>
        <v>5482000000000</v>
      </c>
      <c r="P13" s="295">
        <f t="shared" si="2"/>
        <v>5941000000000</v>
      </c>
      <c r="Q13" s="295">
        <f t="shared" si="2"/>
        <v>6769000000000</v>
      </c>
      <c r="R13" s="295">
        <f t="shared" si="2"/>
        <v>7344000000000</v>
      </c>
      <c r="S13" s="295">
        <f t="shared" si="2"/>
        <v>8002000000000</v>
      </c>
      <c r="T13" s="295">
        <f t="shared" si="2"/>
        <v>8497000000000</v>
      </c>
      <c r="U13" s="295">
        <f t="shared" si="2"/>
        <v>9280000000000</v>
      </c>
      <c r="V13" s="295">
        <f t="shared" si="2"/>
        <v>10128000000000</v>
      </c>
      <c r="W13" s="295">
        <f t="shared" si="2"/>
        <v>11030000000000</v>
      </c>
      <c r="X13" s="295">
        <f t="shared" si="2"/>
        <v>11952000000000</v>
      </c>
      <c r="Y13" s="295">
        <f t="shared" si="2"/>
        <v>12954000000000</v>
      </c>
      <c r="Z13" s="295">
        <f t="shared" si="2"/>
        <v>14102000000000</v>
      </c>
    </row>
    <row r="14" spans="1:26" ht="16.5">
      <c r="A14" s="139" t="s">
        <v>73</v>
      </c>
      <c r="B14" s="139" t="s">
        <v>1969</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1970</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536</v>
      </c>
      <c r="B16" s="152" t="s">
        <v>536</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8"/>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1185</v>
      </c>
      <c r="B19" s="99" t="s">
        <v>1971</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540</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1972</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1973</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1974</v>
      </c>
      <c r="C23" s="55" t="s">
        <v>35</v>
      </c>
      <c r="D23" s="36"/>
      <c r="E23" s="36"/>
      <c r="F23" s="36"/>
      <c r="G23" s="36"/>
      <c r="H23" s="36"/>
      <c r="I23" s="36"/>
      <c r="J23" s="295"/>
      <c r="K23" s="295"/>
      <c r="L23" s="295">
        <f t="shared" ref="L23:M23" si="4">L24+L25</f>
        <v>-60000000000</v>
      </c>
      <c r="M23" s="295">
        <f t="shared" si="4"/>
        <v>535000000000</v>
      </c>
      <c r="N23" s="295">
        <f>N24+N25</f>
        <v>951000000000</v>
      </c>
      <c r="O23" s="295">
        <f t="shared" ref="O23:Z23" si="5">O24+O25</f>
        <v>767000000000</v>
      </c>
      <c r="P23" s="295">
        <f t="shared" si="5"/>
        <v>906000000000</v>
      </c>
      <c r="Q23" s="295">
        <f t="shared" si="5"/>
        <v>1143000000000</v>
      </c>
      <c r="R23" s="295">
        <f t="shared" si="5"/>
        <v>1323000000000</v>
      </c>
      <c r="S23" s="295">
        <f t="shared" si="5"/>
        <v>1472000000000</v>
      </c>
      <c r="T23" s="295">
        <f t="shared" si="5"/>
        <v>1355000000000</v>
      </c>
      <c r="U23" s="295">
        <f t="shared" si="5"/>
        <v>1672000000000</v>
      </c>
      <c r="V23" s="295">
        <f t="shared" si="5"/>
        <v>1946000000000</v>
      </c>
      <c r="W23" s="295">
        <f t="shared" si="5"/>
        <v>2231000000000</v>
      </c>
      <c r="X23" s="295">
        <f t="shared" si="5"/>
        <v>2568000000000</v>
      </c>
      <c r="Y23" s="295">
        <f t="shared" si="5"/>
        <v>2929000000000</v>
      </c>
      <c r="Z23" s="295">
        <f t="shared" si="5"/>
        <v>3388000000000</v>
      </c>
    </row>
    <row r="24" spans="1:26" ht="16.5">
      <c r="A24" s="58" t="s">
        <v>261</v>
      </c>
      <c r="B24" s="99" t="s">
        <v>1975</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89">
        <v>-18000000000</v>
      </c>
      <c r="Y24" s="389">
        <v>123000000000</v>
      </c>
      <c r="Z24" s="389">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89">
        <v>2586000000000</v>
      </c>
      <c r="Y25" s="389">
        <v>2806000000000</v>
      </c>
      <c r="Z25" s="389">
        <v>3265000000000</v>
      </c>
    </row>
    <row r="26" spans="1:26" ht="16.5">
      <c r="B26" s="90" t="s">
        <v>1976</v>
      </c>
      <c r="C26" s="90"/>
      <c r="D26" s="28"/>
      <c r="E26" s="28"/>
      <c r="F26" s="28"/>
      <c r="G26" s="28"/>
      <c r="H26" s="28"/>
      <c r="I26" s="28"/>
      <c r="J26" s="125"/>
      <c r="K26" s="125"/>
      <c r="L26" s="142"/>
      <c r="N26" s="142"/>
      <c r="O26" s="142"/>
      <c r="P26" s="142"/>
      <c r="Q26" s="142"/>
      <c r="R26" s="142"/>
      <c r="S26" s="142"/>
      <c r="T26" s="142"/>
      <c r="U26" s="142"/>
      <c r="V26" s="142"/>
      <c r="W26" s="142"/>
      <c r="X26" s="389"/>
      <c r="Y26" s="389"/>
      <c r="Z26" s="389"/>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89"/>
      <c r="Y27" s="389"/>
      <c r="Z27" s="389"/>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89"/>
      <c r="Y28" s="389"/>
      <c r="Z28" s="389"/>
    </row>
    <row r="29" spans="1:26">
      <c r="B29" s="90"/>
      <c r="C29" s="90"/>
      <c r="D29" s="28"/>
      <c r="E29" s="28"/>
      <c r="F29" s="28"/>
      <c r="G29" s="28"/>
      <c r="H29" s="28"/>
      <c r="I29" s="28"/>
      <c r="J29" s="298"/>
      <c r="K29" s="298"/>
      <c r="L29" s="298"/>
      <c r="M29" s="298"/>
      <c r="N29" s="298"/>
      <c r="O29" s="298"/>
      <c r="P29" s="298"/>
      <c r="Q29" s="298"/>
      <c r="R29" s="298"/>
      <c r="S29" s="298"/>
      <c r="T29" s="298"/>
      <c r="U29" s="298"/>
      <c r="V29" s="298"/>
      <c r="W29" s="298"/>
      <c r="X29" s="389"/>
      <c r="Y29" s="389"/>
      <c r="Z29" s="389"/>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1977</v>
      </c>
      <c r="C32" s="90"/>
      <c r="D32" s="28"/>
      <c r="E32" s="28"/>
      <c r="F32" s="28"/>
      <c r="G32" s="28"/>
      <c r="H32" s="28"/>
      <c r="I32" s="28"/>
      <c r="J32" s="298">
        <f t="shared" ref="J32:Z32" si="6">J6-J7-J12</f>
        <v>0</v>
      </c>
      <c r="K32" s="298">
        <f t="shared" si="6"/>
        <v>0</v>
      </c>
      <c r="L32" s="298">
        <f t="shared" si="6"/>
        <v>0</v>
      </c>
      <c r="M32" s="298">
        <f t="shared" si="6"/>
        <v>0</v>
      </c>
      <c r="N32" s="298">
        <f t="shared" si="6"/>
        <v>0</v>
      </c>
      <c r="O32" s="298">
        <f t="shared" si="6"/>
        <v>0</v>
      </c>
      <c r="P32" s="298">
        <f t="shared" si="6"/>
        <v>0</v>
      </c>
      <c r="Q32" s="298">
        <f t="shared" si="6"/>
        <v>0</v>
      </c>
      <c r="R32" s="298">
        <f t="shared" si="6"/>
        <v>0</v>
      </c>
      <c r="S32" s="298">
        <f t="shared" si="6"/>
        <v>0</v>
      </c>
      <c r="T32" s="298">
        <f t="shared" si="6"/>
        <v>0</v>
      </c>
      <c r="U32" s="298">
        <f t="shared" si="6"/>
        <v>0</v>
      </c>
      <c r="V32" s="298">
        <f t="shared" si="6"/>
        <v>0</v>
      </c>
      <c r="W32" s="298">
        <f t="shared" si="6"/>
        <v>0</v>
      </c>
      <c r="X32" s="298">
        <f t="shared" si="6"/>
        <v>0</v>
      </c>
      <c r="Y32" s="298">
        <f t="shared" si="6"/>
        <v>0</v>
      </c>
      <c r="Z32" s="298">
        <f t="shared" si="6"/>
        <v>0</v>
      </c>
    </row>
    <row r="33" spans="2:26">
      <c r="B33" s="90" t="s">
        <v>450</v>
      </c>
      <c r="C33" s="90"/>
      <c r="D33" s="28"/>
      <c r="E33" s="28"/>
      <c r="F33" s="28"/>
      <c r="G33" s="28"/>
      <c r="H33" s="28"/>
      <c r="I33" s="28"/>
      <c r="J33" s="298">
        <f t="shared" ref="J33:Z33" si="7">J7-J8-J9</f>
        <v>0</v>
      </c>
      <c r="K33" s="298">
        <f t="shared" si="7"/>
        <v>0</v>
      </c>
      <c r="L33" s="298">
        <f t="shared" si="7"/>
        <v>1103000000000</v>
      </c>
      <c r="M33" s="298">
        <f t="shared" si="7"/>
        <v>1302000000000</v>
      </c>
      <c r="N33" s="298">
        <f t="shared" si="7"/>
        <v>1546000000000</v>
      </c>
      <c r="O33" s="298">
        <f t="shared" si="7"/>
        <v>1683000000000</v>
      </c>
      <c r="P33" s="298">
        <f t="shared" si="7"/>
        <v>1805000000000</v>
      </c>
      <c r="Q33" s="298">
        <f t="shared" si="7"/>
        <v>2028000000000</v>
      </c>
      <c r="R33" s="298">
        <f t="shared" si="7"/>
        <v>2197000000000</v>
      </c>
      <c r="S33" s="298">
        <f t="shared" si="7"/>
        <v>2303000000000</v>
      </c>
      <c r="T33" s="298">
        <f t="shared" si="7"/>
        <v>2601000000000</v>
      </c>
      <c r="U33" s="298">
        <f t="shared" si="7"/>
        <v>2745000000000</v>
      </c>
      <c r="V33" s="298">
        <f t="shared" si="7"/>
        <v>2946000000000</v>
      </c>
      <c r="W33" s="298">
        <f t="shared" si="7"/>
        <v>3161000000000</v>
      </c>
      <c r="X33" s="298">
        <f t="shared" si="7"/>
        <v>3356000000000</v>
      </c>
      <c r="Y33" s="298">
        <f t="shared" si="7"/>
        <v>3565000000000</v>
      </c>
      <c r="Z33" s="298">
        <f t="shared" si="7"/>
        <v>3787000000000</v>
      </c>
    </row>
    <row r="34" spans="2:26">
      <c r="B34" t="s">
        <v>142</v>
      </c>
      <c r="J34" s="21" t="e">
        <f>J8-#REF!-#REF!-#REF!</f>
        <v>#REF!</v>
      </c>
      <c r="K34" s="21" t="e">
        <f>K8-#REF!-#REF!-#REF!</f>
        <v>#REF!</v>
      </c>
      <c r="L34" s="320" t="e">
        <f>L8-#REF!-#REF!-#REF!</f>
        <v>#REF!</v>
      </c>
      <c r="M34" s="320" t="e">
        <f>M8-#REF!-#REF!-#REF!</f>
        <v>#REF!</v>
      </c>
      <c r="N34" s="320" t="e">
        <f>N8-#REF!-#REF!-#REF!</f>
        <v>#REF!</v>
      </c>
      <c r="O34" s="320" t="e">
        <f>O8-#REF!-#REF!-#REF!</f>
        <v>#REF!</v>
      </c>
      <c r="P34" s="320" t="e">
        <f>P8-#REF!-#REF!-#REF!</f>
        <v>#REF!</v>
      </c>
      <c r="Q34" s="320" t="e">
        <f>Q8-#REF!-#REF!-#REF!</f>
        <v>#REF!</v>
      </c>
      <c r="R34" s="320" t="e">
        <f>R8-#REF!-#REF!-#REF!</f>
        <v>#REF!</v>
      </c>
      <c r="S34" s="320" t="e">
        <f>S8-#REF!-#REF!-#REF!</f>
        <v>#REF!</v>
      </c>
      <c r="T34" s="320" t="e">
        <f>T8-#REF!-#REF!-#REF!</f>
        <v>#REF!</v>
      </c>
      <c r="U34" s="320" t="e">
        <f>U8-#REF!-#REF!-#REF!</f>
        <v>#REF!</v>
      </c>
      <c r="V34" s="320" t="e">
        <f>V8-#REF!-#REF!-#REF!</f>
        <v>#REF!</v>
      </c>
      <c r="W34" s="320" t="e">
        <f>W8-#REF!-#REF!-#REF!</f>
        <v>#REF!</v>
      </c>
      <c r="X34" s="320" t="e">
        <f>X8-#REF!-#REF!-#REF!</f>
        <v>#REF!</v>
      </c>
      <c r="Y34" s="320" t="e">
        <f>Y8-#REF!-#REF!-#REF!</f>
        <v>#REF!</v>
      </c>
      <c r="Z34" s="320"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1978</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457</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1979</v>
      </c>
      <c r="H39" s="21"/>
      <c r="J39" s="22">
        <v>11517822000000</v>
      </c>
      <c r="K39" s="23">
        <v>13598403000000</v>
      </c>
      <c r="L39" s="23">
        <v>15701760000000</v>
      </c>
      <c r="M39" s="23">
        <v>16844744999999.998</v>
      </c>
      <c r="N39" s="23">
        <v>19086721000000</v>
      </c>
      <c r="O39" s="23">
        <v>20852225000000</v>
      </c>
      <c r="P39" s="23">
        <v>22781773000000</v>
      </c>
      <c r="Q39" s="23">
        <v>24606875000000</v>
      </c>
      <c r="R39" s="410">
        <v>26703000000000</v>
      </c>
      <c r="S39" s="410">
        <v>28279000000000</v>
      </c>
      <c r="T39" s="410">
        <v>30495000000000</v>
      </c>
      <c r="U39" s="410">
        <v>32804000000000</v>
      </c>
      <c r="V39" s="410">
        <v>35437000000000</v>
      </c>
      <c r="W39" s="410">
        <v>38312000000000</v>
      </c>
      <c r="X39" s="475">
        <v>41183000000000</v>
      </c>
      <c r="Y39" s="475">
        <v>44263000000000</v>
      </c>
      <c r="Z39" s="475">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1980</v>
      </c>
    </row>
    <row r="44" spans="2:26" ht="16.5">
      <c r="Q44" s="90"/>
      <c r="R44" s="410"/>
      <c r="S44" s="410"/>
      <c r="T44" s="410"/>
      <c r="U44" s="410"/>
      <c r="V44" s="410"/>
      <c r="W44" s="410"/>
      <c r="X44" s="410"/>
      <c r="Y44" s="410"/>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06" bestFit="1" customWidth="1"/>
    <col min="2" max="2" width="58.5703125" style="506" bestFit="1" customWidth="1"/>
    <col min="3" max="3" width="24.42578125" style="506" customWidth="1"/>
    <col min="4" max="7" width="8.85546875" style="506"/>
    <col min="8" max="11" width="20.28515625" style="506" bestFit="1" customWidth="1"/>
    <col min="12" max="12" width="21.42578125" style="506" bestFit="1" customWidth="1"/>
    <col min="13" max="13" width="20.7109375" style="506" bestFit="1" customWidth="1"/>
    <col min="14" max="14" width="21.42578125" style="506" bestFit="1" customWidth="1"/>
    <col min="15" max="15" width="28.42578125" style="506" bestFit="1" customWidth="1"/>
    <col min="16" max="16" width="31.5703125" style="506" customWidth="1"/>
    <col min="17" max="17" width="30.7109375" style="506" customWidth="1"/>
    <col min="18" max="18" width="28.5703125" style="506" customWidth="1"/>
    <col min="19" max="19" width="22" style="506" customWidth="1"/>
    <col min="20" max="20" width="26.42578125" style="506" customWidth="1"/>
    <col min="21" max="21" width="26.7109375" style="506" customWidth="1"/>
    <col min="22" max="22" width="22" style="506" bestFit="1" customWidth="1"/>
    <col min="23" max="23" width="21.140625" style="506" customWidth="1"/>
    <col min="24" max="27" width="21.5703125" style="506" customWidth="1"/>
    <col min="28" max="28" width="9.140625" style="2463"/>
  </cols>
  <sheetData>
    <row r="1" spans="1:28">
      <c r="A1" s="1147" t="s">
        <v>1981</v>
      </c>
      <c r="B1" s="794" t="s">
        <v>1982</v>
      </c>
      <c r="C1" s="794"/>
      <c r="D1" s="795"/>
      <c r="E1" s="795"/>
      <c r="F1" s="795"/>
      <c r="G1" s="795"/>
      <c r="H1" s="795"/>
      <c r="I1" s="795"/>
      <c r="J1" s="795"/>
      <c r="K1" s="795"/>
      <c r="L1" s="795"/>
      <c r="M1" s="795"/>
      <c r="N1" s="795"/>
      <c r="O1" s="543"/>
      <c r="P1" s="543"/>
      <c r="Q1" s="543"/>
      <c r="R1" s="796"/>
      <c r="S1" s="543"/>
      <c r="T1" s="543"/>
      <c r="U1" s="543"/>
      <c r="V1" s="543"/>
      <c r="W1" s="543"/>
      <c r="X1" s="543"/>
      <c r="Y1" s="543"/>
      <c r="Z1" s="543"/>
      <c r="AA1" s="543"/>
      <c r="AB1" s="2520"/>
    </row>
    <row r="2" spans="1:28">
      <c r="B2" s="797" t="s">
        <v>1983</v>
      </c>
      <c r="C2" s="797"/>
      <c r="D2" s="543"/>
      <c r="E2" s="543"/>
      <c r="F2" s="543"/>
      <c r="G2" s="543"/>
      <c r="H2" s="543"/>
      <c r="I2" s="543"/>
      <c r="J2" s="543"/>
      <c r="K2" s="543"/>
      <c r="L2" s="543"/>
      <c r="M2" s="543"/>
      <c r="N2" s="543"/>
      <c r="O2" s="543"/>
      <c r="P2" s="543"/>
      <c r="Q2" s="543"/>
      <c r="R2" s="798"/>
      <c r="S2" s="799"/>
      <c r="T2" s="800"/>
      <c r="U2" s="543"/>
      <c r="V2" s="543"/>
      <c r="W2" s="543"/>
      <c r="X2" s="543"/>
      <c r="Y2" s="543"/>
      <c r="Z2" s="543"/>
      <c r="AA2" s="543"/>
      <c r="AB2" s="2520"/>
    </row>
    <row r="3" spans="1:28">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c r="AA3" s="543">
        <v>2023</v>
      </c>
      <c r="AB3" s="2520"/>
    </row>
    <row r="4" spans="1:28">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543" t="s">
        <v>26</v>
      </c>
      <c r="Z4" s="543" t="s">
        <v>27</v>
      </c>
      <c r="AA4" s="543" t="s">
        <v>1137</v>
      </c>
      <c r="AB4" s="2464"/>
    </row>
    <row r="5" spans="1:28">
      <c r="A5" s="506" t="s">
        <v>28</v>
      </c>
      <c r="B5" s="801" t="s">
        <v>29</v>
      </c>
      <c r="C5" s="801" t="s">
        <v>1984</v>
      </c>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369</v>
      </c>
      <c r="R5" s="543" t="s">
        <v>369</v>
      </c>
      <c r="S5" s="543" t="s">
        <v>30</v>
      </c>
      <c r="T5" s="543" t="s">
        <v>30</v>
      </c>
      <c r="U5" s="543" t="s">
        <v>369</v>
      </c>
      <c r="V5" s="543" t="s">
        <v>32</v>
      </c>
      <c r="W5" s="543" t="s">
        <v>32</v>
      </c>
      <c r="X5" s="543" t="s">
        <v>32</v>
      </c>
      <c r="Y5" s="543" t="s">
        <v>32</v>
      </c>
      <c r="Z5" s="543" t="s">
        <v>32</v>
      </c>
      <c r="AA5" s="543" t="s">
        <v>32</v>
      </c>
      <c r="AB5" s="2464"/>
    </row>
    <row r="6" spans="1:28" s="848" customFormat="1">
      <c r="A6" s="822" t="s">
        <v>33</v>
      </c>
      <c r="B6" s="822" t="s">
        <v>548</v>
      </c>
      <c r="C6" s="822" t="s">
        <v>35</v>
      </c>
      <c r="D6" s="822"/>
      <c r="E6" s="823"/>
      <c r="F6" s="823"/>
      <c r="G6" s="823"/>
      <c r="H6" s="824">
        <v>1507500000000</v>
      </c>
      <c r="I6" s="824">
        <v>1566000000000</v>
      </c>
      <c r="J6" s="824">
        <v>1727500000000</v>
      </c>
      <c r="K6" s="824">
        <v>1871200000000</v>
      </c>
      <c r="L6" s="824">
        <v>2156199999999.9998</v>
      </c>
      <c r="M6" s="824">
        <v>2120800000000.0002</v>
      </c>
      <c r="N6" s="824">
        <v>2236600000000</v>
      </c>
      <c r="O6" s="824">
        <v>1725900000000</v>
      </c>
      <c r="P6" s="824">
        <v>2621400000000</v>
      </c>
      <c r="Q6" s="824">
        <v>3039500000000</v>
      </c>
      <c r="R6" s="824">
        <v>3293400000000</v>
      </c>
      <c r="S6" s="824">
        <v>3916800000000</v>
      </c>
      <c r="T6" s="824">
        <f>T7+T19</f>
        <v>4176600000000</v>
      </c>
      <c r="U6" s="824">
        <f t="shared" ref="U6:AA6" si="0">U7+U19</f>
        <v>4510900000000</v>
      </c>
      <c r="V6" s="824">
        <f t="shared" si="0"/>
        <v>4891600000000</v>
      </c>
      <c r="W6" s="824">
        <f t="shared" si="0"/>
        <v>5318500000000</v>
      </c>
      <c r="X6" s="824">
        <f t="shared" si="0"/>
        <v>5855600000000</v>
      </c>
      <c r="Y6" s="824">
        <f t="shared" si="0"/>
        <v>6396100000000</v>
      </c>
      <c r="Z6" s="824">
        <f t="shared" si="0"/>
        <v>6945700000000</v>
      </c>
      <c r="AA6" s="824">
        <f t="shared" si="0"/>
        <v>7545400000000</v>
      </c>
      <c r="AB6" s="2464"/>
    </row>
    <row r="7" spans="1:28">
      <c r="A7" s="805" t="s">
        <v>36</v>
      </c>
      <c r="B7" s="805" t="s">
        <v>549</v>
      </c>
      <c r="C7" s="806" t="s">
        <v>38</v>
      </c>
      <c r="D7" s="805"/>
      <c r="E7" s="543"/>
      <c r="F7" s="543"/>
      <c r="G7" s="543"/>
      <c r="H7" s="803">
        <v>1431600000000</v>
      </c>
      <c r="I7" s="803">
        <v>1471400000000</v>
      </c>
      <c r="J7" s="803">
        <v>1672100000000</v>
      </c>
      <c r="K7" s="803">
        <v>1817600000000</v>
      </c>
      <c r="L7" s="803">
        <v>1976800000000</v>
      </c>
      <c r="M7" s="803">
        <v>2057699999999.9998</v>
      </c>
      <c r="N7" s="803">
        <v>2176199999999.9998</v>
      </c>
      <c r="O7" s="803">
        <v>1693000000000</v>
      </c>
      <c r="P7" s="803">
        <v>2540200000000</v>
      </c>
      <c r="Q7" s="803">
        <v>2838000000000</v>
      </c>
      <c r="R7" s="803">
        <v>2989400000000</v>
      </c>
      <c r="S7" s="803">
        <v>3634600000000</v>
      </c>
      <c r="T7" s="803">
        <f>T8+T13</f>
        <v>3884200000000</v>
      </c>
      <c r="U7" s="803">
        <f t="shared" ref="U7:AA7" si="1">U8+U13</f>
        <v>4244800000000</v>
      </c>
      <c r="V7" s="803">
        <f t="shared" si="1"/>
        <v>4588600000000</v>
      </c>
      <c r="W7" s="803">
        <f t="shared" si="1"/>
        <v>5022200000000</v>
      </c>
      <c r="X7" s="803">
        <f t="shared" si="1"/>
        <v>5547100000000</v>
      </c>
      <c r="Y7" s="803">
        <f t="shared" si="1"/>
        <v>6104300000000</v>
      </c>
      <c r="Z7" s="803">
        <f t="shared" si="1"/>
        <v>6722400000000</v>
      </c>
      <c r="AA7" s="803">
        <f t="shared" si="1"/>
        <v>7340700000000</v>
      </c>
      <c r="AB7" s="2464"/>
    </row>
    <row r="8" spans="1:28">
      <c r="A8" s="807" t="s">
        <v>39</v>
      </c>
      <c r="B8" s="807" t="s">
        <v>627</v>
      </c>
      <c r="C8" s="805" t="s">
        <v>41</v>
      </c>
      <c r="D8" s="805"/>
      <c r="E8" s="543"/>
      <c r="F8" s="543"/>
      <c r="G8" s="543"/>
      <c r="H8" s="803">
        <v>1240400000000</v>
      </c>
      <c r="I8" s="803">
        <v>1251100000000</v>
      </c>
      <c r="J8" s="803">
        <v>1399800000000</v>
      </c>
      <c r="K8" s="803">
        <v>1468100000000</v>
      </c>
      <c r="L8" s="803">
        <v>1638000000000</v>
      </c>
      <c r="M8" s="803">
        <v>1795600000000</v>
      </c>
      <c r="N8" s="803">
        <v>1928500000000</v>
      </c>
      <c r="O8" s="803">
        <v>1493200000000</v>
      </c>
      <c r="P8" s="803">
        <v>2213000000000</v>
      </c>
      <c r="Q8" s="803">
        <v>2408600000000</v>
      </c>
      <c r="R8" s="803">
        <v>2573300000000</v>
      </c>
      <c r="S8" s="803">
        <f>S9+S11</f>
        <v>2954900000000</v>
      </c>
      <c r="T8" s="803">
        <f>T9+T11+T12</f>
        <v>3352600000000</v>
      </c>
      <c r="U8" s="803">
        <f t="shared" ref="U8:AA8" si="2">U9+U11+U12</f>
        <v>3648300000000</v>
      </c>
      <c r="V8" s="803">
        <f t="shared" si="2"/>
        <v>3967100000000</v>
      </c>
      <c r="W8" s="803">
        <f t="shared" si="2"/>
        <v>4425600000000</v>
      </c>
      <c r="X8" s="803">
        <f t="shared" si="2"/>
        <v>4877100000000</v>
      </c>
      <c r="Y8" s="803">
        <f t="shared" si="2"/>
        <v>5353100000000</v>
      </c>
      <c r="Z8" s="803">
        <f t="shared" si="2"/>
        <v>5907100000000</v>
      </c>
      <c r="AA8" s="803">
        <f t="shared" si="2"/>
        <v>6456800000000</v>
      </c>
      <c r="AB8" s="2464"/>
    </row>
    <row r="9" spans="1:28">
      <c r="A9" s="808" t="s">
        <v>989</v>
      </c>
      <c r="B9" s="808" t="s">
        <v>1985</v>
      </c>
      <c r="C9" s="801" t="s">
        <v>44</v>
      </c>
      <c r="D9" s="805"/>
      <c r="E9" s="543"/>
      <c r="F9" s="543"/>
      <c r="G9" s="543"/>
      <c r="H9" s="803">
        <v>288600000000</v>
      </c>
      <c r="I9" s="803">
        <v>360300000000</v>
      </c>
      <c r="J9" s="803">
        <v>441100000000</v>
      </c>
      <c r="K9" s="803">
        <v>425200000000</v>
      </c>
      <c r="L9" s="803">
        <v>541700000000.00006</v>
      </c>
      <c r="M9" s="803">
        <v>542900000000</v>
      </c>
      <c r="N9" s="803">
        <v>551100000000</v>
      </c>
      <c r="O9" s="803">
        <v>507900000000</v>
      </c>
      <c r="P9" s="803">
        <v>720400000000</v>
      </c>
      <c r="Q9" s="803">
        <v>765500000000</v>
      </c>
      <c r="R9" s="803">
        <v>741100000000</v>
      </c>
      <c r="S9" s="803">
        <v>788400000000</v>
      </c>
      <c r="T9" s="803">
        <v>851900000000</v>
      </c>
      <c r="U9" s="803">
        <v>948300000000</v>
      </c>
      <c r="V9" s="803">
        <v>1074800000000</v>
      </c>
      <c r="W9" s="803">
        <v>1233000000000</v>
      </c>
      <c r="X9" s="803">
        <v>1382700000000</v>
      </c>
      <c r="Y9" s="803">
        <v>1549500000000</v>
      </c>
      <c r="Z9" s="803">
        <v>1698000000000</v>
      </c>
      <c r="AA9" s="803">
        <v>1877000000000</v>
      </c>
      <c r="AB9" s="2464"/>
    </row>
    <row r="10" spans="1:28">
      <c r="A10" s="506" t="s">
        <v>76</v>
      </c>
      <c r="B10" s="808" t="s">
        <v>1986</v>
      </c>
      <c r="C10" s="801"/>
      <c r="D10" s="805"/>
      <c r="E10" s="543"/>
      <c r="F10" s="543"/>
      <c r="G10" s="543"/>
      <c r="H10" s="803">
        <v>4000000000</v>
      </c>
      <c r="I10" s="803">
        <v>27900000000</v>
      </c>
      <c r="J10" s="803">
        <v>68900000000</v>
      </c>
      <c r="K10" s="803">
        <v>66800000000</v>
      </c>
      <c r="L10" s="803">
        <v>138600000000</v>
      </c>
      <c r="M10" s="803">
        <v>110600000000</v>
      </c>
      <c r="N10" s="803">
        <v>119900000000</v>
      </c>
      <c r="O10" s="803"/>
      <c r="P10" s="803"/>
      <c r="Q10" s="803"/>
      <c r="R10" s="803"/>
      <c r="T10" s="812"/>
      <c r="U10" s="812"/>
      <c r="V10" s="812"/>
      <c r="W10" s="812"/>
      <c r="X10" s="812"/>
      <c r="Y10" s="812"/>
      <c r="Z10" s="812"/>
      <c r="AA10" s="812"/>
    </row>
    <row r="11" spans="1:28">
      <c r="A11" s="808" t="s">
        <v>992</v>
      </c>
      <c r="B11" s="808" t="s">
        <v>1987</v>
      </c>
      <c r="C11" s="801" t="s">
        <v>44</v>
      </c>
      <c r="D11" s="805"/>
      <c r="E11" s="543"/>
      <c r="F11" s="543"/>
      <c r="G11" s="543"/>
      <c r="H11" s="803">
        <v>951800000000</v>
      </c>
      <c r="I11" s="803">
        <v>890800000000</v>
      </c>
      <c r="J11" s="803">
        <v>958700000000</v>
      </c>
      <c r="K11" s="803">
        <v>1042900000000.0001</v>
      </c>
      <c r="L11" s="803">
        <v>1096300000000</v>
      </c>
      <c r="M11" s="803">
        <v>1252700000000</v>
      </c>
      <c r="N11" s="803">
        <v>1377400000000</v>
      </c>
      <c r="O11" s="803">
        <v>985300000000</v>
      </c>
      <c r="P11" s="803">
        <v>1492500000000</v>
      </c>
      <c r="Q11" s="803">
        <v>1643100000000</v>
      </c>
      <c r="R11" s="803">
        <v>1832200000000</v>
      </c>
      <c r="S11" s="803">
        <v>2166500000000</v>
      </c>
      <c r="T11" s="803">
        <v>2345800000000</v>
      </c>
      <c r="U11" s="803">
        <v>2509800000000</v>
      </c>
      <c r="V11" s="803">
        <v>2669500000000</v>
      </c>
      <c r="W11" s="803">
        <v>2942700000000</v>
      </c>
      <c r="X11" s="803">
        <v>3222700000000</v>
      </c>
      <c r="Y11" s="803">
        <v>3508100000000</v>
      </c>
      <c r="Z11" s="803">
        <v>3888400000000</v>
      </c>
      <c r="AA11" s="803">
        <v>4232100000000.0005</v>
      </c>
      <c r="AB11" s="2464"/>
    </row>
    <row r="12" spans="1:28">
      <c r="A12" s="808" t="s">
        <v>49</v>
      </c>
      <c r="B12" s="808" t="s">
        <v>1772</v>
      </c>
      <c r="C12" s="801" t="s">
        <v>44</v>
      </c>
      <c r="D12" s="805"/>
      <c r="E12" s="543"/>
      <c r="F12" s="543"/>
      <c r="G12" s="543"/>
      <c r="H12" s="803">
        <f>H8-H9-H11</f>
        <v>0</v>
      </c>
      <c r="I12" s="803">
        <f t="shared" ref="I12:S12" si="3">I8-I9-I11</f>
        <v>0</v>
      </c>
      <c r="J12" s="803">
        <f t="shared" si="3"/>
        <v>0</v>
      </c>
      <c r="K12" s="803">
        <f t="shared" si="3"/>
        <v>0</v>
      </c>
      <c r="L12" s="803">
        <f t="shared" si="3"/>
        <v>0</v>
      </c>
      <c r="M12" s="803">
        <f t="shared" si="3"/>
        <v>0</v>
      </c>
      <c r="N12" s="803">
        <f t="shared" si="3"/>
        <v>0</v>
      </c>
      <c r="O12" s="803">
        <f t="shared" si="3"/>
        <v>0</v>
      </c>
      <c r="P12" s="803">
        <f t="shared" si="3"/>
        <v>100000000</v>
      </c>
      <c r="Q12" s="803">
        <f t="shared" si="3"/>
        <v>0</v>
      </c>
      <c r="R12" s="832">
        <f t="shared" si="3"/>
        <v>0</v>
      </c>
      <c r="S12" s="832">
        <f t="shared" si="3"/>
        <v>0</v>
      </c>
      <c r="T12" s="832">
        <v>154900000000</v>
      </c>
      <c r="U12" s="832">
        <v>190200000000</v>
      </c>
      <c r="V12" s="832">
        <v>222800000000</v>
      </c>
      <c r="W12" s="832">
        <v>249900000000</v>
      </c>
      <c r="X12" s="832">
        <v>271700000000</v>
      </c>
      <c r="Y12" s="832">
        <v>295500000000</v>
      </c>
      <c r="Z12" s="832">
        <v>320700000000</v>
      </c>
      <c r="AA12" s="832">
        <v>347700000000</v>
      </c>
      <c r="AB12" s="2464"/>
    </row>
    <row r="13" spans="1:28">
      <c r="A13" s="807" t="s">
        <v>51</v>
      </c>
      <c r="B13" s="807" t="s">
        <v>1988</v>
      </c>
      <c r="C13" s="805" t="s">
        <v>41</v>
      </c>
      <c r="D13" s="805"/>
      <c r="E13" s="543"/>
      <c r="F13" s="543"/>
      <c r="G13" s="543"/>
      <c r="H13" s="803">
        <v>191200000000</v>
      </c>
      <c r="I13" s="803">
        <v>220300000000</v>
      </c>
      <c r="J13" s="803">
        <v>272300000000</v>
      </c>
      <c r="K13" s="803">
        <v>349500000000</v>
      </c>
      <c r="L13" s="803">
        <v>338800000000</v>
      </c>
      <c r="M13" s="803">
        <v>262100000000.00003</v>
      </c>
      <c r="N13" s="803">
        <v>247700000000</v>
      </c>
      <c r="O13" s="803">
        <v>199800000000</v>
      </c>
      <c r="P13" s="803">
        <v>327200000000</v>
      </c>
      <c r="Q13" s="803">
        <v>429500000000</v>
      </c>
      <c r="R13" s="803">
        <v>416100000000</v>
      </c>
      <c r="S13" s="803">
        <v>679800000000</v>
      </c>
      <c r="T13" s="803">
        <v>531600000000</v>
      </c>
      <c r="U13" s="803">
        <v>596500000000</v>
      </c>
      <c r="V13" s="803">
        <v>621500000000</v>
      </c>
      <c r="W13" s="803">
        <v>596600000000</v>
      </c>
      <c r="X13" s="803">
        <v>670000000000</v>
      </c>
      <c r="Y13" s="803">
        <v>751200000000</v>
      </c>
      <c r="Z13" s="803">
        <v>815300000000</v>
      </c>
      <c r="AA13" s="803">
        <v>883900000000</v>
      </c>
      <c r="AB13" s="2464"/>
    </row>
    <row r="14" spans="1:28">
      <c r="A14" s="808" t="s">
        <v>635</v>
      </c>
      <c r="B14" s="808" t="s">
        <v>636</v>
      </c>
      <c r="C14" s="801" t="s">
        <v>192</v>
      </c>
      <c r="D14" s="805"/>
      <c r="E14" s="543"/>
      <c r="F14" s="543"/>
      <c r="G14" s="543"/>
      <c r="H14" s="803">
        <v>113500000000</v>
      </c>
      <c r="I14" s="803">
        <v>116800000000</v>
      </c>
      <c r="J14" s="803">
        <v>122100000000</v>
      </c>
      <c r="K14" s="803">
        <v>129600000000</v>
      </c>
      <c r="L14" s="803">
        <v>141400000000</v>
      </c>
      <c r="M14" s="803">
        <v>151200000000</v>
      </c>
      <c r="N14" s="803">
        <v>162800000000</v>
      </c>
      <c r="O14" s="803"/>
      <c r="P14" s="803"/>
      <c r="Q14" s="803"/>
      <c r="R14" s="803"/>
      <c r="S14" s="803"/>
      <c r="T14" s="803"/>
      <c r="U14" s="803"/>
      <c r="V14" s="1161"/>
      <c r="W14" s="1161"/>
      <c r="X14" s="1161"/>
      <c r="Y14" s="1161"/>
      <c r="Z14" s="1161"/>
      <c r="AA14" s="1161"/>
    </row>
    <row r="15" spans="1:28">
      <c r="A15" s="808" t="s">
        <v>1989</v>
      </c>
      <c r="B15" s="808" t="s">
        <v>1990</v>
      </c>
      <c r="C15" s="801" t="s">
        <v>192</v>
      </c>
      <c r="D15" s="805"/>
      <c r="E15" s="543"/>
      <c r="F15" s="543"/>
      <c r="G15" s="543"/>
      <c r="H15" s="803">
        <v>37700000000</v>
      </c>
      <c r="I15" s="803">
        <v>47900000000</v>
      </c>
      <c r="J15" s="803">
        <v>68599999999.999992</v>
      </c>
      <c r="K15" s="803">
        <v>66900000000.000008</v>
      </c>
      <c r="L15" s="803">
        <v>138600000000</v>
      </c>
      <c r="M15" s="803"/>
      <c r="N15" s="803"/>
      <c r="O15" s="803"/>
      <c r="P15" s="803"/>
      <c r="Q15" s="803"/>
      <c r="R15" s="803"/>
      <c r="S15" s="803"/>
      <c r="T15" s="803"/>
      <c r="U15" s="803"/>
      <c r="V15" s="1161"/>
      <c r="W15" s="1161"/>
      <c r="X15" s="1161"/>
      <c r="Y15" s="1161"/>
      <c r="Z15" s="1161"/>
      <c r="AA15" s="1161"/>
    </row>
    <row r="16" spans="1:28">
      <c r="A16" s="808" t="s">
        <v>50</v>
      </c>
      <c r="B16" s="808" t="s">
        <v>50</v>
      </c>
      <c r="C16" s="801" t="s">
        <v>192</v>
      </c>
      <c r="D16" s="805"/>
      <c r="E16" s="543"/>
      <c r="F16" s="543"/>
      <c r="G16" s="543"/>
      <c r="H16" s="803">
        <v>40000000000</v>
      </c>
      <c r="I16" s="803">
        <v>55600000000</v>
      </c>
      <c r="J16" s="803">
        <v>81600000000</v>
      </c>
      <c r="K16" s="803">
        <v>153000000000</v>
      </c>
      <c r="L16" s="803">
        <v>58800000000</v>
      </c>
      <c r="M16" s="803">
        <v>110900000000</v>
      </c>
      <c r="N16" s="803">
        <v>84900000000</v>
      </c>
      <c r="O16" s="803"/>
      <c r="P16" s="803"/>
      <c r="Q16" s="803"/>
      <c r="R16" s="803"/>
      <c r="S16" s="803"/>
      <c r="T16" s="803"/>
      <c r="U16" s="803"/>
      <c r="V16" s="803"/>
      <c r="W16" s="803"/>
      <c r="X16" s="803"/>
      <c r="Y16" s="803"/>
      <c r="Z16" s="803"/>
      <c r="AA16" s="803"/>
    </row>
    <row r="17" spans="1:28">
      <c r="A17" s="506" t="s">
        <v>76</v>
      </c>
      <c r="B17" s="808" t="s">
        <v>1991</v>
      </c>
      <c r="C17" s="801"/>
      <c r="D17" s="805"/>
      <c r="E17" s="543"/>
      <c r="F17" s="543"/>
      <c r="G17" s="543"/>
      <c r="H17" s="803">
        <v>2000000000</v>
      </c>
      <c r="I17" s="803">
        <v>7000000000</v>
      </c>
      <c r="J17" s="803">
        <v>2000000000</v>
      </c>
      <c r="K17" s="803">
        <v>13600000000</v>
      </c>
      <c r="L17" s="803">
        <v>27000000000</v>
      </c>
      <c r="M17" s="803">
        <v>20000000000</v>
      </c>
      <c r="N17" s="803">
        <v>21300000000</v>
      </c>
      <c r="O17" s="803"/>
      <c r="P17" s="803"/>
      <c r="Q17" s="803"/>
      <c r="R17" s="803"/>
      <c r="S17" s="803"/>
      <c r="T17" s="803"/>
      <c r="U17" s="803"/>
      <c r="V17" s="1161"/>
      <c r="W17" s="1161"/>
      <c r="X17" s="1161"/>
      <c r="Y17" s="1161"/>
      <c r="Z17" s="1161"/>
      <c r="AA17" s="1161"/>
    </row>
    <row r="18" spans="1:28">
      <c r="A18" s="506" t="s">
        <v>76</v>
      </c>
      <c r="B18" s="808" t="s">
        <v>1992</v>
      </c>
      <c r="C18" s="801"/>
      <c r="D18" s="805"/>
      <c r="E18" s="543"/>
      <c r="F18" s="543"/>
      <c r="G18" s="543"/>
      <c r="H18" s="803"/>
      <c r="I18" s="803"/>
      <c r="J18" s="803"/>
      <c r="K18" s="803">
        <v>76300000000</v>
      </c>
      <c r="L18" s="803"/>
      <c r="M18" s="803"/>
      <c r="N18" s="803"/>
      <c r="O18" s="803"/>
      <c r="P18" s="803"/>
      <c r="Q18" s="803"/>
      <c r="R18" s="803"/>
      <c r="S18" s="803"/>
      <c r="T18" s="803"/>
      <c r="U18" s="803"/>
      <c r="V18" s="1161"/>
      <c r="W18" s="1161"/>
      <c r="X18" s="1161"/>
      <c r="Y18" s="1161"/>
      <c r="Z18" s="1161"/>
      <c r="AA18" s="1161"/>
    </row>
    <row r="19" spans="1:28" s="848" customFormat="1" ht="16.5">
      <c r="A19" s="822" t="s">
        <v>53</v>
      </c>
      <c r="B19" s="822" t="s">
        <v>53</v>
      </c>
      <c r="C19" s="826" t="s">
        <v>38</v>
      </c>
      <c r="D19" s="822"/>
      <c r="E19" s="828"/>
      <c r="F19" s="828"/>
      <c r="G19" s="828"/>
      <c r="H19" s="824">
        <v>75900000000</v>
      </c>
      <c r="I19" s="824">
        <v>94600000000</v>
      </c>
      <c r="J19" s="824">
        <v>55500000000</v>
      </c>
      <c r="K19" s="824">
        <v>53600000000</v>
      </c>
      <c r="L19" s="824">
        <v>179500000000</v>
      </c>
      <c r="M19" s="824">
        <v>63100000000</v>
      </c>
      <c r="N19" s="824">
        <v>60400000000</v>
      </c>
      <c r="O19" s="824">
        <v>32900000000</v>
      </c>
      <c r="P19" s="824">
        <v>81200000000</v>
      </c>
      <c r="Q19" s="824">
        <v>201500000000</v>
      </c>
      <c r="R19" s="824">
        <v>304000000000</v>
      </c>
      <c r="S19" s="824">
        <v>282200000000</v>
      </c>
      <c r="T19" s="824">
        <v>292400000000</v>
      </c>
      <c r="U19" s="824">
        <v>266100000000.00003</v>
      </c>
      <c r="V19" s="824">
        <v>303000000000</v>
      </c>
      <c r="W19" s="1165">
        <v>296300000000</v>
      </c>
      <c r="X19" s="1165">
        <v>308500000000</v>
      </c>
      <c r="Y19" s="1165">
        <v>291800000000</v>
      </c>
      <c r="Z19" s="1165">
        <v>223300000000</v>
      </c>
      <c r="AA19" s="1165">
        <v>204700000000</v>
      </c>
      <c r="AB19" s="2595"/>
    </row>
    <row r="20" spans="1:28">
      <c r="A20" s="808" t="s">
        <v>1427</v>
      </c>
      <c r="B20" s="808" t="s">
        <v>1427</v>
      </c>
      <c r="C20" s="805" t="s">
        <v>1993</v>
      </c>
      <c r="D20" s="805"/>
      <c r="E20" s="543"/>
      <c r="F20" s="543"/>
      <c r="G20" s="543"/>
      <c r="H20" s="803">
        <v>75900000000</v>
      </c>
      <c r="I20" s="803">
        <v>94600000000</v>
      </c>
      <c r="J20" s="803">
        <v>55500000000</v>
      </c>
      <c r="K20" s="803">
        <v>43600000000</v>
      </c>
      <c r="L20" s="803">
        <v>38800000000</v>
      </c>
      <c r="M20" s="803">
        <v>49500000000</v>
      </c>
      <c r="N20" s="803">
        <v>41100000000</v>
      </c>
      <c r="O20" s="803"/>
      <c r="P20" s="803"/>
      <c r="Q20" s="803"/>
      <c r="R20" s="803"/>
      <c r="S20" s="803">
        <v>128600000000</v>
      </c>
      <c r="T20" s="803">
        <v>105900000000</v>
      </c>
      <c r="U20" s="803">
        <v>115200000000</v>
      </c>
      <c r="V20" s="1161">
        <v>144300000000</v>
      </c>
      <c r="W20" s="1161">
        <v>137600000000</v>
      </c>
      <c r="X20" s="1161">
        <v>149800000000</v>
      </c>
      <c r="Y20" s="1161">
        <v>151800000000</v>
      </c>
      <c r="Z20" s="1161">
        <v>153300000000</v>
      </c>
      <c r="AA20" s="1161">
        <v>154700000000</v>
      </c>
    </row>
    <row r="21" spans="1:28">
      <c r="A21" s="808" t="s">
        <v>50</v>
      </c>
      <c r="B21" s="808" t="s">
        <v>50</v>
      </c>
      <c r="C21" s="805" t="s">
        <v>1993</v>
      </c>
      <c r="D21" s="805"/>
      <c r="E21" s="543"/>
      <c r="F21" s="543"/>
      <c r="G21" s="543"/>
      <c r="H21" s="803">
        <v>0</v>
      </c>
      <c r="I21" s="803">
        <v>0</v>
      </c>
      <c r="J21" s="803">
        <v>0</v>
      </c>
      <c r="K21" s="803">
        <v>10000000000</v>
      </c>
      <c r="L21" s="803">
        <v>140700000000</v>
      </c>
      <c r="M21" s="803">
        <v>13600000000</v>
      </c>
      <c r="N21" s="803">
        <v>19300000000</v>
      </c>
      <c r="O21" s="803"/>
      <c r="P21" s="803"/>
      <c r="Q21" s="803"/>
      <c r="R21" s="803"/>
      <c r="S21" s="803">
        <f>S19-S20</f>
        <v>153600000000</v>
      </c>
      <c r="T21" s="803">
        <f t="shared" ref="T21:AA21" si="4">T19-T20</f>
        <v>186500000000</v>
      </c>
      <c r="U21" s="803">
        <f t="shared" si="4"/>
        <v>150900000000.00003</v>
      </c>
      <c r="V21" s="803">
        <f t="shared" si="4"/>
        <v>158700000000</v>
      </c>
      <c r="W21" s="803">
        <f t="shared" si="4"/>
        <v>158700000000</v>
      </c>
      <c r="X21" s="803">
        <f t="shared" si="4"/>
        <v>158700000000</v>
      </c>
      <c r="Y21" s="803">
        <f t="shared" si="4"/>
        <v>140000000000</v>
      </c>
      <c r="Z21" s="803">
        <f t="shared" si="4"/>
        <v>70000000000</v>
      </c>
      <c r="AA21" s="803">
        <f t="shared" si="4"/>
        <v>50000000000</v>
      </c>
    </row>
    <row r="22" spans="1:28" s="848" customFormat="1">
      <c r="A22" s="823" t="s">
        <v>76</v>
      </c>
      <c r="B22" s="822" t="s">
        <v>567</v>
      </c>
      <c r="C22" s="823"/>
      <c r="D22" s="822"/>
      <c r="E22" s="823"/>
      <c r="F22" s="823"/>
      <c r="G22" s="823"/>
      <c r="H22" s="824">
        <v>1643600000000</v>
      </c>
      <c r="I22" s="824">
        <v>1714000000000</v>
      </c>
      <c r="J22" s="824">
        <v>1889800000000</v>
      </c>
      <c r="K22" s="824">
        <v>1944900000000</v>
      </c>
      <c r="L22" s="824">
        <v>2217200000000</v>
      </c>
      <c r="M22" s="824">
        <v>2291900000000</v>
      </c>
      <c r="N22" s="824">
        <v>2497800000000</v>
      </c>
      <c r="O22" s="824">
        <v>2208700000000</v>
      </c>
      <c r="P22" s="824">
        <v>3054000000000</v>
      </c>
      <c r="Q22" s="824">
        <v>3385600000000</v>
      </c>
      <c r="R22" s="824">
        <v>3669500000000</v>
      </c>
      <c r="S22" s="824"/>
      <c r="T22" s="824"/>
      <c r="U22" s="824"/>
      <c r="V22" s="824"/>
      <c r="W22" s="1166"/>
      <c r="X22" s="1166"/>
      <c r="Y22" s="1166"/>
      <c r="Z22" s="1166"/>
      <c r="AA22" s="1166"/>
      <c r="AB22" s="2463"/>
    </row>
    <row r="23" spans="1:28" s="848" customFormat="1">
      <c r="A23" s="822" t="s">
        <v>198</v>
      </c>
      <c r="B23" s="822" t="s">
        <v>567</v>
      </c>
      <c r="C23" s="822" t="s">
        <v>35</v>
      </c>
      <c r="D23" s="822"/>
      <c r="E23" s="823"/>
      <c r="F23" s="823"/>
      <c r="G23" s="823"/>
      <c r="H23" s="824">
        <f t="shared" ref="H23:R23" si="5">H24+H40+H44</f>
        <v>1643600000000</v>
      </c>
      <c r="I23" s="824">
        <f t="shared" si="5"/>
        <v>1714000000000</v>
      </c>
      <c r="J23" s="824">
        <f t="shared" si="5"/>
        <v>1889900000000</v>
      </c>
      <c r="K23" s="824">
        <f t="shared" si="5"/>
        <v>1944900000000</v>
      </c>
      <c r="L23" s="824">
        <f t="shared" si="5"/>
        <v>2205600000000</v>
      </c>
      <c r="M23" s="824">
        <f t="shared" si="5"/>
        <v>2291900000000</v>
      </c>
      <c r="N23" s="824">
        <f t="shared" si="5"/>
        <v>2497800000000</v>
      </c>
      <c r="O23" s="824">
        <f t="shared" si="5"/>
        <v>2209600000000</v>
      </c>
      <c r="P23" s="824">
        <f t="shared" si="5"/>
        <v>3051800000000</v>
      </c>
      <c r="Q23" s="824">
        <f t="shared" si="5"/>
        <v>3385600000000</v>
      </c>
      <c r="R23" s="824">
        <f t="shared" si="5"/>
        <v>3672000000000</v>
      </c>
      <c r="S23" s="824">
        <f>S24+S44+S40</f>
        <v>4470000000000</v>
      </c>
      <c r="T23" s="824">
        <f>T24+T40</f>
        <v>5014600000000</v>
      </c>
      <c r="U23" s="824">
        <f t="shared" ref="U23:AA23" si="6">U24+U40</f>
        <v>5509100000000</v>
      </c>
      <c r="V23" s="824">
        <f t="shared" si="6"/>
        <v>5846000000000</v>
      </c>
      <c r="W23" s="824">
        <f t="shared" si="6"/>
        <v>6158700000000</v>
      </c>
      <c r="X23" s="824">
        <f t="shared" si="6"/>
        <v>6746000000000</v>
      </c>
      <c r="Y23" s="824">
        <f t="shared" si="6"/>
        <v>7347800000000</v>
      </c>
      <c r="Z23" s="824">
        <f t="shared" si="6"/>
        <v>7975000000000</v>
      </c>
      <c r="AA23" s="824">
        <f t="shared" si="6"/>
        <v>8669000000000</v>
      </c>
      <c r="AB23" s="2464"/>
    </row>
    <row r="24" spans="1:28">
      <c r="A24" s="506" t="s">
        <v>73</v>
      </c>
      <c r="B24" s="805" t="s">
        <v>656</v>
      </c>
      <c r="C24" s="805" t="s">
        <v>201</v>
      </c>
      <c r="D24" s="805"/>
      <c r="E24" s="543"/>
      <c r="F24" s="543"/>
      <c r="G24" s="543"/>
      <c r="H24" s="803">
        <v>1404800000000</v>
      </c>
      <c r="I24" s="803">
        <v>1458400000000</v>
      </c>
      <c r="J24" s="803">
        <v>1588400000000</v>
      </c>
      <c r="K24" s="803">
        <v>1666800000000</v>
      </c>
      <c r="L24" s="803">
        <v>1879900000000</v>
      </c>
      <c r="M24" s="803">
        <v>1945200000000</v>
      </c>
      <c r="N24" s="803">
        <v>2115800000000.0002</v>
      </c>
      <c r="O24" s="803">
        <v>1923900000000</v>
      </c>
      <c r="P24" s="803">
        <v>2436000000000</v>
      </c>
      <c r="Q24" s="803">
        <v>2451400000000</v>
      </c>
      <c r="R24" s="803">
        <v>2677800000000</v>
      </c>
      <c r="S24" s="803">
        <v>3222700000000</v>
      </c>
      <c r="T24" s="803">
        <f>T25+T26+T27+T30+T32+T36+T37</f>
        <v>3606200000000</v>
      </c>
      <c r="U24" s="803">
        <f t="shared" ref="U24:AA24" si="7">U25+U26+U27+U30+U32+U36+U37</f>
        <v>3982300000000</v>
      </c>
      <c r="V24" s="803">
        <f t="shared" si="7"/>
        <v>4141900000000</v>
      </c>
      <c r="W24" s="803">
        <f t="shared" si="7"/>
        <v>4297100000000</v>
      </c>
      <c r="X24" s="803">
        <f t="shared" si="7"/>
        <v>4899800000000</v>
      </c>
      <c r="Y24" s="803">
        <f t="shared" si="7"/>
        <v>5189100000000</v>
      </c>
      <c r="Z24" s="803">
        <f t="shared" si="7"/>
        <v>5667500000000</v>
      </c>
      <c r="AA24" s="803">
        <f t="shared" si="7"/>
        <v>6173400000000</v>
      </c>
      <c r="AB24" s="2464"/>
    </row>
    <row r="25" spans="1:28">
      <c r="A25" s="807" t="s">
        <v>79</v>
      </c>
      <c r="B25" s="807" t="s">
        <v>658</v>
      </c>
      <c r="C25" s="805" t="s">
        <v>204</v>
      </c>
      <c r="D25" s="805"/>
      <c r="E25" s="543"/>
      <c r="F25" s="543"/>
      <c r="G25" s="543"/>
      <c r="H25" s="803">
        <v>545799999999.99994</v>
      </c>
      <c r="I25" s="803">
        <v>563400000000</v>
      </c>
      <c r="J25" s="803">
        <v>589100000000</v>
      </c>
      <c r="K25" s="803">
        <v>640300000000</v>
      </c>
      <c r="L25" s="803">
        <v>711700000000</v>
      </c>
      <c r="M25" s="803">
        <v>745000000000</v>
      </c>
      <c r="N25" s="803">
        <v>800400000000</v>
      </c>
      <c r="O25" s="803">
        <v>719700000000</v>
      </c>
      <c r="P25" s="803">
        <v>934600000000</v>
      </c>
      <c r="Q25" s="803">
        <v>1038900000000.0001</v>
      </c>
      <c r="R25" s="803">
        <v>1183300000000</v>
      </c>
      <c r="S25" s="803">
        <v>1331600000000</v>
      </c>
      <c r="T25" s="803">
        <v>1400800000000</v>
      </c>
      <c r="U25" s="803">
        <v>1512300000000</v>
      </c>
      <c r="V25" s="803">
        <v>1635400000000</v>
      </c>
      <c r="W25" s="1161">
        <v>1697200000000</v>
      </c>
      <c r="X25" s="1161">
        <v>1754800000000</v>
      </c>
      <c r="Y25" s="1161">
        <v>1890800000000</v>
      </c>
      <c r="Z25" s="1161">
        <v>1992200000000</v>
      </c>
      <c r="AA25" s="1161">
        <v>2097199999999.9998</v>
      </c>
      <c r="AB25" s="2464"/>
    </row>
    <row r="26" spans="1:28">
      <c r="A26" s="807" t="s">
        <v>1994</v>
      </c>
      <c r="B26" s="807" t="s">
        <v>1995</v>
      </c>
      <c r="C26" s="805" t="s">
        <v>204</v>
      </c>
      <c r="D26" s="805"/>
      <c r="E26" s="543"/>
      <c r="F26" s="543"/>
      <c r="G26" s="543"/>
      <c r="H26" s="803">
        <v>135600000000</v>
      </c>
      <c r="I26" s="803">
        <v>149200000000</v>
      </c>
      <c r="J26" s="803">
        <v>167600000000</v>
      </c>
      <c r="K26" s="803">
        <v>182700000000</v>
      </c>
      <c r="L26" s="803">
        <v>188600000000</v>
      </c>
      <c r="M26" s="803">
        <v>203400000000</v>
      </c>
      <c r="N26" s="803">
        <v>212600000000</v>
      </c>
      <c r="O26" s="1162">
        <f>(O24-O25-O27-O30-O36-O37)</f>
        <v>181800000000</v>
      </c>
      <c r="P26" s="1162">
        <f>(P24-P25-P27-P30-P36-P37)</f>
        <v>229200000000</v>
      </c>
      <c r="Q26" s="1162">
        <f>(Q24-Q25-Q27-Q30-Q36-Q37)</f>
        <v>252099999999.99994</v>
      </c>
      <c r="R26" s="1162">
        <f>(R24-R25-R27-R30-R36-R37)</f>
        <v>258500000000</v>
      </c>
      <c r="S26" s="803">
        <v>255400000000</v>
      </c>
      <c r="T26" s="803">
        <v>260700000000</v>
      </c>
      <c r="U26" s="803">
        <v>263700000000</v>
      </c>
      <c r="V26" s="803">
        <v>318500000000</v>
      </c>
      <c r="W26" s="803">
        <v>330300000000</v>
      </c>
      <c r="X26" s="803">
        <v>370900000000</v>
      </c>
      <c r="Y26" s="803">
        <v>390100000000</v>
      </c>
      <c r="Z26" s="803">
        <v>528100000000</v>
      </c>
      <c r="AA26" s="803">
        <v>654300000000</v>
      </c>
    </row>
    <row r="27" spans="1:28">
      <c r="A27" s="807" t="s">
        <v>1996</v>
      </c>
      <c r="B27" s="807" t="s">
        <v>1997</v>
      </c>
      <c r="C27" s="805" t="s">
        <v>204</v>
      </c>
      <c r="D27" s="805"/>
      <c r="E27" s="543"/>
      <c r="F27" s="543"/>
      <c r="G27" s="543"/>
      <c r="H27" s="803">
        <v>84700000000</v>
      </c>
      <c r="I27" s="803">
        <v>93500000000</v>
      </c>
      <c r="J27" s="803">
        <v>178000000000</v>
      </c>
      <c r="K27" s="803">
        <v>157500000000</v>
      </c>
      <c r="L27" s="803">
        <v>164700000000</v>
      </c>
      <c r="M27" s="803">
        <v>216100000000</v>
      </c>
      <c r="N27" s="803">
        <v>272500000000</v>
      </c>
      <c r="O27" s="803">
        <v>314600000000</v>
      </c>
      <c r="P27" s="803">
        <v>410600000000</v>
      </c>
      <c r="Q27" s="803">
        <v>325000000000</v>
      </c>
      <c r="R27" s="803">
        <v>304100000000</v>
      </c>
      <c r="S27" s="803">
        <v>414700000000</v>
      </c>
      <c r="T27" s="803">
        <v>385800000000</v>
      </c>
      <c r="U27" s="803">
        <v>430100000000</v>
      </c>
      <c r="V27" s="803">
        <v>382600000000</v>
      </c>
      <c r="W27" s="1161">
        <v>404200000000</v>
      </c>
      <c r="X27" s="1161">
        <v>487400000000</v>
      </c>
      <c r="Y27" s="1161">
        <v>559500000000</v>
      </c>
      <c r="Z27" s="1161">
        <v>596600000000</v>
      </c>
      <c r="AA27" s="1161">
        <v>653500000000</v>
      </c>
      <c r="AB27" s="2464"/>
    </row>
    <row r="28" spans="1:28">
      <c r="A28" s="506" t="s">
        <v>76</v>
      </c>
      <c r="B28" s="808" t="s">
        <v>1998</v>
      </c>
      <c r="C28" s="805"/>
      <c r="D28" s="805"/>
      <c r="E28" s="543"/>
      <c r="F28" s="543"/>
      <c r="G28" s="543"/>
      <c r="H28" s="1161"/>
      <c r="I28" s="1161"/>
      <c r="J28" s="1161"/>
      <c r="K28" s="1161"/>
      <c r="L28" s="803">
        <v>0</v>
      </c>
      <c r="M28" s="803"/>
      <c r="N28" s="803"/>
      <c r="O28" s="803"/>
      <c r="P28" s="803"/>
      <c r="Q28" s="803"/>
      <c r="R28" s="803"/>
      <c r="S28" s="803"/>
      <c r="T28" s="803"/>
      <c r="U28" s="803"/>
      <c r="V28" s="1161"/>
      <c r="W28" s="1161"/>
      <c r="X28" s="1161"/>
      <c r="Y28" s="1161"/>
      <c r="Z28" s="1161"/>
      <c r="AA28" s="1161"/>
    </row>
    <row r="29" spans="1:28">
      <c r="A29" s="506" t="s">
        <v>76</v>
      </c>
      <c r="B29" s="808" t="s">
        <v>1999</v>
      </c>
      <c r="C29" s="805"/>
      <c r="D29" s="805"/>
      <c r="E29" s="543"/>
      <c r="F29" s="543"/>
      <c r="G29" s="543"/>
      <c r="H29" s="1161"/>
      <c r="I29" s="1161"/>
      <c r="J29" s="1161"/>
      <c r="K29" s="1161"/>
      <c r="L29" s="803">
        <v>43400000000</v>
      </c>
      <c r="M29" s="803">
        <v>47400000000</v>
      </c>
      <c r="N29" s="803">
        <v>82600000000</v>
      </c>
      <c r="O29" s="803"/>
      <c r="P29" s="803"/>
      <c r="Q29" s="803"/>
      <c r="R29" s="803"/>
      <c r="S29" s="803"/>
      <c r="T29" s="803"/>
      <c r="U29" s="803"/>
      <c r="V29" s="1161"/>
      <c r="W29" s="1161"/>
      <c r="X29" s="1161"/>
      <c r="Y29" s="1161"/>
      <c r="Z29" s="1161"/>
      <c r="AA29" s="1161"/>
    </row>
    <row r="30" spans="1:28">
      <c r="A30" s="807" t="s">
        <v>1915</v>
      </c>
      <c r="B30" s="807" t="s">
        <v>2000</v>
      </c>
      <c r="C30" s="805" t="s">
        <v>204</v>
      </c>
      <c r="D30" s="805"/>
      <c r="E30" s="543"/>
      <c r="F30" s="543"/>
      <c r="G30" s="543"/>
      <c r="H30" s="803">
        <v>363000000000</v>
      </c>
      <c r="I30" s="803">
        <v>398300000000</v>
      </c>
      <c r="J30" s="803">
        <v>423500000000</v>
      </c>
      <c r="K30" s="803">
        <v>447000000000</v>
      </c>
      <c r="L30" s="803">
        <v>504300000000</v>
      </c>
      <c r="M30" s="803">
        <v>483700000000</v>
      </c>
      <c r="N30" s="803">
        <v>491600000000</v>
      </c>
      <c r="O30" s="803">
        <v>413100000000</v>
      </c>
      <c r="P30" s="803">
        <v>572100000000</v>
      </c>
      <c r="Q30" s="803">
        <v>545200000000.00006</v>
      </c>
      <c r="R30" s="803">
        <v>656100000000</v>
      </c>
      <c r="S30" s="803">
        <v>814800000000</v>
      </c>
      <c r="T30" s="803">
        <v>931000000000</v>
      </c>
      <c r="U30" s="803">
        <v>1060800000000</v>
      </c>
      <c r="V30" s="803">
        <v>1124300000000</v>
      </c>
      <c r="W30" s="1161">
        <v>1195300000000</v>
      </c>
      <c r="X30" s="1161">
        <v>1330700000000</v>
      </c>
      <c r="Y30" s="1161">
        <v>1447500000000</v>
      </c>
      <c r="Z30" s="1161">
        <v>1570900000000</v>
      </c>
      <c r="AA30" s="1161">
        <v>1703100000000</v>
      </c>
      <c r="AB30" s="2464"/>
    </row>
    <row r="31" spans="1:28">
      <c r="A31" s="808" t="s">
        <v>2001</v>
      </c>
      <c r="B31" s="808" t="s">
        <v>2001</v>
      </c>
      <c r="C31" s="805" t="s">
        <v>204</v>
      </c>
      <c r="D31" s="805"/>
      <c r="E31" s="543"/>
      <c r="F31" s="543"/>
      <c r="G31" s="543"/>
      <c r="H31" s="1161"/>
      <c r="I31" s="1161"/>
      <c r="J31" s="803"/>
      <c r="K31" s="1161"/>
      <c r="L31" s="1161"/>
      <c r="M31" s="1161"/>
      <c r="N31" s="1161"/>
      <c r="O31" s="1161"/>
      <c r="P31" s="803">
        <v>0</v>
      </c>
      <c r="Q31" s="803">
        <v>0</v>
      </c>
      <c r="R31" s="803">
        <v>0</v>
      </c>
      <c r="S31" s="803">
        <v>0</v>
      </c>
      <c r="T31" s="803"/>
      <c r="U31" s="803"/>
      <c r="V31" s="803"/>
      <c r="W31" s="1161"/>
      <c r="X31" s="1161"/>
      <c r="Y31" s="1161"/>
      <c r="Z31" s="1161"/>
      <c r="AA31" s="1161"/>
      <c r="AB31" s="2464"/>
    </row>
    <row r="32" spans="1:28">
      <c r="A32" s="808"/>
      <c r="B32" s="808" t="s">
        <v>7052</v>
      </c>
      <c r="C32" s="805" t="s">
        <v>204</v>
      </c>
      <c r="D32" s="805"/>
      <c r="E32" s="543"/>
      <c r="F32" s="543"/>
      <c r="G32" s="543"/>
      <c r="H32" s="1161"/>
      <c r="I32" s="1161"/>
      <c r="J32" s="803"/>
      <c r="K32" s="1161"/>
      <c r="L32" s="1161"/>
      <c r="M32" s="1161"/>
      <c r="N32" s="1161"/>
      <c r="O32" s="1161"/>
      <c r="P32" s="803"/>
      <c r="Q32" s="803"/>
      <c r="R32" s="803"/>
      <c r="S32" s="803"/>
      <c r="T32" s="803">
        <v>138400000000</v>
      </c>
      <c r="U32" s="803">
        <v>190200000000</v>
      </c>
      <c r="V32" s="803">
        <v>222800000000</v>
      </c>
      <c r="W32" s="1161">
        <v>249900000000</v>
      </c>
      <c r="X32" s="1161">
        <v>271700000000</v>
      </c>
      <c r="Y32" s="1161">
        <v>295500000000</v>
      </c>
      <c r="Z32" s="1161">
        <v>320700000000</v>
      </c>
      <c r="AA32" s="1161">
        <v>347700000000</v>
      </c>
    </row>
    <row r="33" spans="1:28">
      <c r="A33" s="506" t="s">
        <v>76</v>
      </c>
      <c r="B33" s="808" t="s">
        <v>2002</v>
      </c>
      <c r="C33" s="805"/>
      <c r="D33" s="805"/>
      <c r="E33" s="543"/>
      <c r="F33" s="543"/>
      <c r="G33" s="543"/>
      <c r="H33" s="1161"/>
      <c r="I33" s="1161"/>
      <c r="J33" s="1161"/>
      <c r="K33" s="803">
        <v>224100000000</v>
      </c>
      <c r="L33" s="1161"/>
      <c r="M33" s="1161"/>
      <c r="N33" s="1161"/>
      <c r="O33" s="803"/>
      <c r="P33" s="803"/>
      <c r="Q33" s="803"/>
      <c r="R33" s="803"/>
      <c r="S33" s="803"/>
      <c r="T33" s="803"/>
      <c r="U33" s="803"/>
      <c r="V33" s="1161"/>
      <c r="W33" s="1161"/>
      <c r="X33" s="1161"/>
      <c r="Y33" s="1161"/>
      <c r="Z33" s="1161"/>
      <c r="AA33" s="1161"/>
    </row>
    <row r="34" spans="1:28">
      <c r="A34" s="506" t="s">
        <v>76</v>
      </c>
      <c r="B34" s="808" t="s">
        <v>2003</v>
      </c>
      <c r="C34" s="805"/>
      <c r="D34" s="805"/>
      <c r="E34" s="543"/>
      <c r="F34" s="543"/>
      <c r="G34" s="543"/>
      <c r="H34" s="1161"/>
      <c r="I34" s="1161"/>
      <c r="J34" s="809">
        <v>15700000000</v>
      </c>
      <c r="K34" s="803">
        <v>27800000000</v>
      </c>
      <c r="L34" s="803">
        <v>43400000000</v>
      </c>
      <c r="M34" s="803">
        <v>9000000000</v>
      </c>
      <c r="N34" s="803">
        <v>11800000000</v>
      </c>
      <c r="O34" s="803"/>
      <c r="P34" s="803"/>
      <c r="Q34" s="803"/>
      <c r="R34" s="803"/>
      <c r="S34" s="803"/>
      <c r="T34" s="803"/>
      <c r="U34" s="803"/>
      <c r="V34" s="1161"/>
      <c r="W34" s="1161"/>
      <c r="X34" s="1161"/>
      <c r="Y34" s="1161"/>
      <c r="Z34" s="1161"/>
      <c r="AA34" s="1161"/>
    </row>
    <row r="35" spans="1:28">
      <c r="A35" s="506" t="s">
        <v>76</v>
      </c>
      <c r="B35" s="808" t="s">
        <v>2004</v>
      </c>
      <c r="C35" s="805"/>
      <c r="D35" s="805"/>
      <c r="E35" s="543"/>
      <c r="F35" s="543"/>
      <c r="G35" s="543"/>
      <c r="H35" s="1161"/>
      <c r="I35" s="1161"/>
      <c r="J35" s="1161"/>
      <c r="K35" s="1161"/>
      <c r="L35" s="803"/>
      <c r="M35" s="803"/>
      <c r="N35" s="803"/>
      <c r="O35" s="803"/>
      <c r="P35" s="803"/>
      <c r="Q35" s="803"/>
      <c r="R35" s="803"/>
      <c r="S35" s="803"/>
      <c r="T35" s="803"/>
      <c r="U35" s="803"/>
      <c r="V35" s="1161"/>
      <c r="W35" s="1161"/>
      <c r="X35" s="1161"/>
      <c r="Y35" s="1161"/>
      <c r="Z35" s="1161"/>
      <c r="AA35" s="1161"/>
      <c r="AB35" s="2464"/>
    </row>
    <row r="36" spans="1:28">
      <c r="A36" s="807" t="s">
        <v>2005</v>
      </c>
      <c r="B36" s="807" t="s">
        <v>2006</v>
      </c>
      <c r="C36" s="805" t="s">
        <v>204</v>
      </c>
      <c r="D36" s="805"/>
      <c r="E36" s="543"/>
      <c r="F36" s="543"/>
      <c r="G36" s="543"/>
      <c r="H36" s="803">
        <v>94200000000</v>
      </c>
      <c r="I36" s="803">
        <v>76400000000</v>
      </c>
      <c r="J36" s="803">
        <v>68099999999.999992</v>
      </c>
      <c r="K36" s="803">
        <v>73100000000</v>
      </c>
      <c r="L36" s="803">
        <v>122500000000</v>
      </c>
      <c r="M36" s="803">
        <v>128500000000</v>
      </c>
      <c r="N36" s="803">
        <v>144200000000</v>
      </c>
      <c r="O36" s="803">
        <v>75400000000</v>
      </c>
      <c r="P36" s="803">
        <v>56500000000</v>
      </c>
      <c r="Q36" s="803">
        <v>75400000000</v>
      </c>
      <c r="R36" s="803">
        <v>62200000000</v>
      </c>
      <c r="S36" s="803">
        <v>108700000000</v>
      </c>
      <c r="T36" s="803">
        <v>129400000000</v>
      </c>
      <c r="U36" s="803">
        <v>145700000000</v>
      </c>
      <c r="V36" s="803">
        <v>23800000000</v>
      </c>
      <c r="W36" s="1161">
        <v>28000000000</v>
      </c>
      <c r="X36" s="1161">
        <v>5000000000</v>
      </c>
      <c r="Y36" s="1161">
        <v>5000000000</v>
      </c>
      <c r="Z36" s="1161">
        <v>5000000000</v>
      </c>
      <c r="AA36" s="1161">
        <v>5000000000</v>
      </c>
      <c r="AB36" s="2464"/>
    </row>
    <row r="37" spans="1:28">
      <c r="A37" s="807" t="s">
        <v>1594</v>
      </c>
      <c r="B37" s="807" t="s">
        <v>2007</v>
      </c>
      <c r="C37" s="805" t="s">
        <v>204</v>
      </c>
      <c r="D37" s="805"/>
      <c r="E37" s="543"/>
      <c r="F37" s="543"/>
      <c r="G37" s="543"/>
      <c r="H37" s="803">
        <v>181400000000</v>
      </c>
      <c r="I37" s="803">
        <v>177500000000</v>
      </c>
      <c r="J37" s="803">
        <v>162100000000</v>
      </c>
      <c r="K37" s="803">
        <v>166200000000</v>
      </c>
      <c r="L37" s="803">
        <v>188100000000</v>
      </c>
      <c r="M37" s="803">
        <v>168500000000</v>
      </c>
      <c r="N37" s="803">
        <v>194500000000</v>
      </c>
      <c r="O37" s="803">
        <v>219300000000</v>
      </c>
      <c r="P37" s="803">
        <v>233000000000</v>
      </c>
      <c r="Q37" s="803">
        <v>214800000000</v>
      </c>
      <c r="R37" s="803">
        <v>213600000000</v>
      </c>
      <c r="S37" s="803">
        <v>297500000000</v>
      </c>
      <c r="T37" s="803">
        <v>360100000000</v>
      </c>
      <c r="U37" s="803">
        <v>379500000000</v>
      </c>
      <c r="V37" s="803">
        <v>434500000000</v>
      </c>
      <c r="W37" s="1161">
        <v>392200000000</v>
      </c>
      <c r="X37" s="1161">
        <v>679300000000</v>
      </c>
      <c r="Y37" s="1161">
        <v>600700000000</v>
      </c>
      <c r="Z37" s="1161">
        <v>654000000000</v>
      </c>
      <c r="AA37" s="1161">
        <v>712600000000</v>
      </c>
      <c r="AB37" s="2464"/>
    </row>
    <row r="38" spans="1:28">
      <c r="A38" s="808" t="s">
        <v>2008</v>
      </c>
      <c r="B38" s="808" t="s">
        <v>2009</v>
      </c>
      <c r="C38" s="805" t="s">
        <v>1525</v>
      </c>
      <c r="D38" s="805"/>
      <c r="E38" s="543"/>
      <c r="F38" s="543"/>
      <c r="G38" s="543"/>
      <c r="H38" s="803">
        <v>29500000000</v>
      </c>
      <c r="I38" s="803">
        <v>26000000000</v>
      </c>
      <c r="J38" s="803">
        <v>29500000000</v>
      </c>
      <c r="K38" s="803">
        <v>50900000000</v>
      </c>
      <c r="L38" s="803">
        <v>64500000000</v>
      </c>
      <c r="M38" s="803">
        <v>42000000000</v>
      </c>
      <c r="N38" s="803">
        <v>66300000000</v>
      </c>
      <c r="O38" s="803">
        <v>89600000000</v>
      </c>
      <c r="P38" s="803">
        <v>79600000000</v>
      </c>
      <c r="Q38" s="803">
        <v>115600000000</v>
      </c>
      <c r="R38" s="803">
        <v>119500000000</v>
      </c>
      <c r="S38" s="803">
        <v>145300000000</v>
      </c>
      <c r="T38" s="803">
        <v>183200000000</v>
      </c>
      <c r="U38" s="803">
        <v>203600000000</v>
      </c>
      <c r="V38" s="803">
        <v>217600000000</v>
      </c>
      <c r="W38" s="1161">
        <v>176100000000</v>
      </c>
      <c r="X38" s="1161">
        <v>236400000000</v>
      </c>
      <c r="Y38" s="1161">
        <v>262500000000</v>
      </c>
      <c r="Z38" s="1161">
        <v>288700000000</v>
      </c>
      <c r="AA38" s="1161">
        <v>319700000000</v>
      </c>
      <c r="AB38" s="2464"/>
    </row>
    <row r="39" spans="1:28">
      <c r="A39" s="808" t="s">
        <v>2010</v>
      </c>
      <c r="B39" s="808" t="s">
        <v>2011</v>
      </c>
      <c r="C39" s="805" t="s">
        <v>1525</v>
      </c>
      <c r="D39" s="805"/>
      <c r="E39" s="543"/>
      <c r="F39" s="543"/>
      <c r="G39" s="543"/>
      <c r="H39" s="803">
        <v>151900000000</v>
      </c>
      <c r="I39" s="803">
        <v>151500000000</v>
      </c>
      <c r="J39" s="803">
        <v>132600000000</v>
      </c>
      <c r="K39" s="803">
        <v>115300000000</v>
      </c>
      <c r="L39" s="803">
        <v>123600000000</v>
      </c>
      <c r="M39" s="803">
        <v>126500000000</v>
      </c>
      <c r="N39" s="803">
        <v>128199999999.99998</v>
      </c>
      <c r="O39" s="803">
        <v>129699999999.99998</v>
      </c>
      <c r="P39" s="803">
        <v>153400000000</v>
      </c>
      <c r="Q39" s="803">
        <v>99100000000</v>
      </c>
      <c r="R39" s="803">
        <v>94200000000</v>
      </c>
      <c r="S39" s="803">
        <v>152200000000</v>
      </c>
      <c r="T39" s="803">
        <v>177000000000</v>
      </c>
      <c r="U39" s="803">
        <v>175800000000</v>
      </c>
      <c r="V39" s="803">
        <v>216800000000</v>
      </c>
      <c r="W39" s="1161">
        <v>216100000000</v>
      </c>
      <c r="X39" s="1161">
        <v>442900000000</v>
      </c>
      <c r="Y39" s="1161">
        <v>338200000000</v>
      </c>
      <c r="Z39" s="1161">
        <v>365400000000</v>
      </c>
      <c r="AA39" s="1161">
        <v>392900000000</v>
      </c>
      <c r="AB39" s="2464"/>
    </row>
    <row r="40" spans="1:28">
      <c r="A40" s="805" t="s">
        <v>237</v>
      </c>
      <c r="B40" s="805" t="s">
        <v>2012</v>
      </c>
      <c r="C40" s="805" t="s">
        <v>201</v>
      </c>
      <c r="D40" s="805"/>
      <c r="E40" s="543"/>
      <c r="F40" s="543"/>
      <c r="G40" s="543"/>
      <c r="H40" s="803">
        <v>228200000000</v>
      </c>
      <c r="I40" s="803">
        <v>235300000000</v>
      </c>
      <c r="J40" s="803">
        <v>279400000000</v>
      </c>
      <c r="K40" s="803">
        <v>249300000000</v>
      </c>
      <c r="L40" s="1162">
        <f>L41+L42</f>
        <v>308000000000</v>
      </c>
      <c r="M40" s="803">
        <v>334300000000</v>
      </c>
      <c r="N40" s="803">
        <v>348600000000</v>
      </c>
      <c r="O40" s="803">
        <v>285700000000</v>
      </c>
      <c r="P40" s="803">
        <v>615800000000</v>
      </c>
      <c r="Q40" s="803">
        <v>934200000000</v>
      </c>
      <c r="R40" s="803">
        <v>994200000000</v>
      </c>
      <c r="S40" s="803">
        <v>1247300000000</v>
      </c>
      <c r="T40" s="803">
        <f>T41+T42</f>
        <v>1408400000000</v>
      </c>
      <c r="U40" s="803">
        <f t="shared" ref="U40:AA40" si="8">U41+U42</f>
        <v>1526800000000</v>
      </c>
      <c r="V40" s="803">
        <f t="shared" si="8"/>
        <v>1704100000000</v>
      </c>
      <c r="W40" s="803">
        <f t="shared" si="8"/>
        <v>1861600000000</v>
      </c>
      <c r="X40" s="803">
        <f t="shared" si="8"/>
        <v>1846200000000</v>
      </c>
      <c r="Y40" s="803">
        <f t="shared" si="8"/>
        <v>2158700000000</v>
      </c>
      <c r="Z40" s="803">
        <f t="shared" si="8"/>
        <v>2307500000000</v>
      </c>
      <c r="AA40" s="803">
        <f t="shared" si="8"/>
        <v>2495600000000</v>
      </c>
      <c r="AB40" s="2464"/>
    </row>
    <row r="41" spans="1:28" ht="16.5">
      <c r="A41" s="807" t="s">
        <v>239</v>
      </c>
      <c r="B41" s="807" t="s">
        <v>2013</v>
      </c>
      <c r="C41" s="805" t="s">
        <v>241</v>
      </c>
      <c r="D41" s="805"/>
      <c r="E41" s="543"/>
      <c r="F41" s="543"/>
      <c r="G41" s="543"/>
      <c r="H41" s="803">
        <v>121800000000</v>
      </c>
      <c r="I41" s="803">
        <v>133699999999.99998</v>
      </c>
      <c r="J41" s="803">
        <v>211300000000</v>
      </c>
      <c r="K41" s="803">
        <v>183200000000</v>
      </c>
      <c r="L41" s="803">
        <v>230300000000</v>
      </c>
      <c r="M41" s="803">
        <v>231500000000</v>
      </c>
      <c r="N41" s="803">
        <v>259200000000</v>
      </c>
      <c r="O41" s="803">
        <v>237200000000</v>
      </c>
      <c r="P41" s="803">
        <v>510300000000</v>
      </c>
      <c r="Q41" s="803">
        <v>618000000000</v>
      </c>
      <c r="R41" s="803">
        <v>608000000000</v>
      </c>
      <c r="S41" s="803">
        <v>790900000000</v>
      </c>
      <c r="T41" s="803">
        <v>1054000000000</v>
      </c>
      <c r="U41" s="803">
        <v>927200000000</v>
      </c>
      <c r="V41" s="803">
        <v>993000000000</v>
      </c>
      <c r="W41" s="1161">
        <v>1080000000000</v>
      </c>
      <c r="X41" s="1161">
        <v>1060800000000</v>
      </c>
      <c r="Y41" s="1161">
        <v>1307900000000</v>
      </c>
      <c r="Z41" s="1161">
        <v>1380000000000</v>
      </c>
      <c r="AA41" s="1161">
        <v>1527900000000</v>
      </c>
      <c r="AB41" s="2595"/>
    </row>
    <row r="42" spans="1:28" ht="16.5">
      <c r="A42" s="807" t="s">
        <v>242</v>
      </c>
      <c r="B42" s="807" t="s">
        <v>681</v>
      </c>
      <c r="C42" s="805" t="s">
        <v>241</v>
      </c>
      <c r="D42" s="805"/>
      <c r="E42" s="543"/>
      <c r="F42" s="543"/>
      <c r="G42" s="543"/>
      <c r="H42" s="803">
        <v>106400000000</v>
      </c>
      <c r="I42" s="803">
        <v>101600000000</v>
      </c>
      <c r="J42" s="803">
        <v>68099999999.999992</v>
      </c>
      <c r="K42" s="803">
        <v>66099999999.999992</v>
      </c>
      <c r="L42" s="803">
        <v>77700000000</v>
      </c>
      <c r="M42" s="803">
        <v>102800000000</v>
      </c>
      <c r="N42" s="803">
        <v>89400000000</v>
      </c>
      <c r="O42" s="803">
        <v>48500000000</v>
      </c>
      <c r="P42" s="803">
        <v>105500000000</v>
      </c>
      <c r="Q42" s="803">
        <v>316200000000</v>
      </c>
      <c r="R42" s="803">
        <v>386100000000</v>
      </c>
      <c r="S42" s="803">
        <v>456300000000</v>
      </c>
      <c r="T42" s="803">
        <v>354400000000</v>
      </c>
      <c r="U42" s="803">
        <v>599600000000</v>
      </c>
      <c r="V42" s="803">
        <v>711100000000</v>
      </c>
      <c r="W42" s="1161">
        <v>781600000000</v>
      </c>
      <c r="X42" s="1161">
        <v>785400000000</v>
      </c>
      <c r="Y42" s="1161">
        <v>850800000000</v>
      </c>
      <c r="Z42" s="1161">
        <v>927500000000</v>
      </c>
      <c r="AA42" s="1161">
        <v>967700000000</v>
      </c>
      <c r="AB42" s="2595"/>
    </row>
    <row r="43" spans="1:28">
      <c r="A43" s="807"/>
      <c r="B43" s="807" t="s">
        <v>2014</v>
      </c>
      <c r="C43" s="805"/>
      <c r="D43" s="805"/>
      <c r="E43" s="543"/>
      <c r="F43" s="543"/>
      <c r="G43" s="543"/>
      <c r="H43" s="803"/>
      <c r="I43" s="803"/>
      <c r="J43" s="803"/>
      <c r="K43" s="803"/>
      <c r="L43" s="803"/>
      <c r="M43" s="803"/>
      <c r="N43" s="803"/>
      <c r="O43" s="803"/>
      <c r="P43" s="803"/>
      <c r="Q43" s="803"/>
      <c r="R43" s="803"/>
      <c r="S43" s="803">
        <v>327700000000</v>
      </c>
      <c r="T43" s="803">
        <v>248400000000</v>
      </c>
      <c r="U43" s="803">
        <v>484400000000</v>
      </c>
      <c r="V43" s="803">
        <v>566800000000</v>
      </c>
      <c r="W43" s="1161">
        <v>643900000000</v>
      </c>
      <c r="X43" s="1161">
        <v>635500000000</v>
      </c>
      <c r="Y43" s="1161">
        <v>699100000000</v>
      </c>
      <c r="Z43" s="1161">
        <v>774200000000</v>
      </c>
      <c r="AA43" s="1161">
        <v>812900000000</v>
      </c>
    </row>
    <row r="44" spans="1:28">
      <c r="A44" s="805" t="s">
        <v>588</v>
      </c>
      <c r="B44" s="805" t="s">
        <v>588</v>
      </c>
      <c r="C44" s="805" t="s">
        <v>201</v>
      </c>
      <c r="D44" s="805"/>
      <c r="E44" s="543"/>
      <c r="F44" s="543"/>
      <c r="G44" s="543"/>
      <c r="H44" s="803">
        <v>10600000000</v>
      </c>
      <c r="I44" s="803">
        <v>20300000000</v>
      </c>
      <c r="J44" s="803">
        <v>22100000000</v>
      </c>
      <c r="K44" s="803">
        <v>28800000000</v>
      </c>
      <c r="L44" s="803">
        <v>17700000000</v>
      </c>
      <c r="M44" s="803">
        <v>12400000000</v>
      </c>
      <c r="N44" s="803">
        <v>33400000000</v>
      </c>
      <c r="O44" s="803"/>
      <c r="P44" s="803"/>
      <c r="Q44" s="803"/>
      <c r="R44" s="803"/>
      <c r="S44" s="803"/>
      <c r="T44" s="803"/>
      <c r="U44" s="803"/>
      <c r="V44" s="1161"/>
      <c r="W44" s="1161"/>
      <c r="X44" s="1161"/>
      <c r="Y44" s="1161"/>
      <c r="Z44" s="1161"/>
      <c r="AA44" s="1161"/>
      <c r="AB44" s="2464"/>
    </row>
    <row r="45" spans="1:28">
      <c r="A45" s="506" t="s">
        <v>76</v>
      </c>
      <c r="B45" s="805" t="s">
        <v>2015</v>
      </c>
      <c r="C45" s="805"/>
      <c r="D45" s="805"/>
      <c r="E45" s="543"/>
      <c r="F45" s="543"/>
      <c r="G45" s="543"/>
      <c r="H45" s="803">
        <v>75800000000</v>
      </c>
      <c r="I45" s="803">
        <v>36500000000</v>
      </c>
      <c r="J45" s="803">
        <v>28100000000</v>
      </c>
      <c r="K45" s="803">
        <v>56400000000</v>
      </c>
      <c r="L45" s="803">
        <v>33100000000</v>
      </c>
      <c r="M45" s="803">
        <v>46100000000</v>
      </c>
      <c r="N45" s="803">
        <v>-25900000000</v>
      </c>
      <c r="O45" s="803">
        <v>-248000000000</v>
      </c>
      <c r="P45" s="803">
        <v>-170400000000</v>
      </c>
      <c r="Q45" s="803">
        <v>-11600000000</v>
      </c>
      <c r="R45" s="803">
        <v>-80400000000</v>
      </c>
      <c r="S45" s="803">
        <v>-68099999999.999992</v>
      </c>
      <c r="T45" s="803"/>
      <c r="U45" s="803"/>
      <c r="V45" s="803"/>
      <c r="W45" s="1161"/>
      <c r="X45" s="1161"/>
      <c r="Y45" s="1161"/>
      <c r="Z45" s="1161"/>
      <c r="AA45" s="1161"/>
      <c r="AB45" s="2464"/>
    </row>
    <row r="46" spans="1:28">
      <c r="A46" s="506" t="s">
        <v>76</v>
      </c>
      <c r="B46" s="805" t="s">
        <v>2016</v>
      </c>
      <c r="C46" s="805"/>
      <c r="D46" s="805"/>
      <c r="E46" s="543"/>
      <c r="F46" s="543"/>
      <c r="G46" s="543"/>
      <c r="H46" s="803">
        <v>-136100000000</v>
      </c>
      <c r="I46" s="803">
        <v>-148000000000</v>
      </c>
      <c r="J46" s="803">
        <v>-162300000000</v>
      </c>
      <c r="K46" s="803">
        <v>-73800000000</v>
      </c>
      <c r="L46" s="803">
        <v>-61000000000</v>
      </c>
      <c r="M46" s="803">
        <v>-171100000000</v>
      </c>
      <c r="N46" s="803">
        <v>-261200000000</v>
      </c>
      <c r="O46" s="803">
        <v>-482900000000</v>
      </c>
      <c r="P46" s="803">
        <v>-432700000000</v>
      </c>
      <c r="Q46" s="803">
        <v>-346100000000</v>
      </c>
      <c r="R46" s="803">
        <v>-376100000000</v>
      </c>
      <c r="S46" s="803">
        <v>-553000000000</v>
      </c>
      <c r="T46" s="803"/>
      <c r="U46" s="803"/>
      <c r="V46" s="803"/>
      <c r="W46" s="1161"/>
      <c r="X46" s="1161"/>
      <c r="Y46" s="1161"/>
      <c r="Z46" s="1161"/>
      <c r="AA46" s="1161"/>
      <c r="AB46" s="2464"/>
    </row>
    <row r="47" spans="1:28">
      <c r="A47" s="506" t="s">
        <v>76</v>
      </c>
      <c r="B47" s="805" t="s">
        <v>2017</v>
      </c>
      <c r="C47" s="805"/>
      <c r="D47" s="805"/>
      <c r="E47" s="543"/>
      <c r="F47" s="543"/>
      <c r="G47" s="543"/>
      <c r="H47" s="803">
        <v>-212000000000</v>
      </c>
      <c r="I47" s="803">
        <v>-242600000000</v>
      </c>
      <c r="J47" s="803">
        <v>-217700000000</v>
      </c>
      <c r="K47" s="803">
        <v>-127400000000</v>
      </c>
      <c r="L47" s="803">
        <v>-240400000000</v>
      </c>
      <c r="M47" s="803">
        <v>-234200000000</v>
      </c>
      <c r="N47" s="803">
        <v>-321600000000</v>
      </c>
      <c r="O47" s="803">
        <v>-515700000000.00006</v>
      </c>
      <c r="P47" s="803">
        <v>-513900000000</v>
      </c>
      <c r="Q47" s="803">
        <v>-547500000000</v>
      </c>
      <c r="R47" s="803">
        <v>-680100000000</v>
      </c>
      <c r="S47" s="803">
        <v>-835200000000</v>
      </c>
      <c r="T47" s="803"/>
      <c r="U47" s="803"/>
      <c r="V47" s="803"/>
      <c r="W47" s="1161"/>
      <c r="X47" s="1161"/>
      <c r="Y47" s="1161"/>
      <c r="Z47" s="1161"/>
      <c r="AA47" s="1161"/>
      <c r="AB47" s="2464"/>
    </row>
    <row r="48" spans="1:28">
      <c r="A48" s="506" t="s">
        <v>76</v>
      </c>
      <c r="B48" s="805" t="s">
        <v>2018</v>
      </c>
      <c r="C48" s="805"/>
      <c r="D48" s="805"/>
      <c r="E48" s="543"/>
      <c r="F48" s="543"/>
      <c r="G48" s="543"/>
      <c r="H48" s="803">
        <v>51900000000</v>
      </c>
      <c r="I48" s="803">
        <v>-35400000000</v>
      </c>
      <c r="J48" s="803">
        <v>3200000000</v>
      </c>
      <c r="K48" s="803">
        <v>-164300000000</v>
      </c>
      <c r="L48" s="803">
        <v>104800000000</v>
      </c>
      <c r="M48" s="803">
        <v>-70300000000</v>
      </c>
      <c r="N48" s="803">
        <v>-35100000000</v>
      </c>
      <c r="O48" s="803">
        <v>-25700000000</v>
      </c>
      <c r="P48" s="803">
        <v>190700000000</v>
      </c>
      <c r="Q48" s="803">
        <v>39700000000</v>
      </c>
      <c r="R48" s="803">
        <v>-162400000000</v>
      </c>
      <c r="S48" s="803">
        <v>1500000000</v>
      </c>
      <c r="T48" s="803"/>
      <c r="U48" s="803"/>
      <c r="V48" s="803"/>
      <c r="W48" s="1161"/>
      <c r="X48" s="1161"/>
      <c r="Y48" s="1161"/>
      <c r="Z48" s="1161"/>
      <c r="AA48" s="1161"/>
    </row>
    <row r="49" spans="1:28">
      <c r="A49" s="506" t="s">
        <v>76</v>
      </c>
      <c r="B49" s="805" t="s">
        <v>2019</v>
      </c>
      <c r="C49" s="805"/>
      <c r="D49" s="805"/>
      <c r="E49" s="543"/>
      <c r="F49" s="543"/>
      <c r="G49" s="543"/>
      <c r="H49" s="803">
        <v>147600000000</v>
      </c>
      <c r="I49" s="803">
        <v>161000000000</v>
      </c>
      <c r="J49" s="803">
        <v>129000000000</v>
      </c>
      <c r="K49" s="803">
        <v>92400000000</v>
      </c>
      <c r="L49" s="803">
        <v>30100000000</v>
      </c>
      <c r="M49" s="803">
        <v>-821600000000</v>
      </c>
      <c r="N49" s="803">
        <v>-252700000000</v>
      </c>
      <c r="O49" s="803"/>
      <c r="P49" s="803"/>
      <c r="Q49" s="803"/>
      <c r="R49" s="803"/>
      <c r="S49" s="803"/>
      <c r="T49" s="803"/>
      <c r="U49" s="803"/>
      <c r="V49" s="1161"/>
      <c r="W49" s="1161"/>
      <c r="X49" s="1161"/>
      <c r="Y49" s="1161"/>
      <c r="Z49" s="1161"/>
      <c r="AA49" s="1161"/>
    </row>
    <row r="50" spans="1:28">
      <c r="A50" s="506" t="s">
        <v>76</v>
      </c>
      <c r="B50" s="805" t="s">
        <v>2020</v>
      </c>
      <c r="C50" s="805"/>
      <c r="D50" s="805"/>
      <c r="E50" s="543"/>
      <c r="F50" s="543"/>
      <c r="G50" s="543"/>
      <c r="H50" s="803">
        <v>-1000000000</v>
      </c>
      <c r="I50" s="803">
        <v>0</v>
      </c>
      <c r="J50" s="803">
        <v>0</v>
      </c>
      <c r="K50" s="803">
        <v>-8300000000.000001</v>
      </c>
      <c r="L50" s="803">
        <v>-55200000000</v>
      </c>
      <c r="M50" s="803">
        <v>-864600000000</v>
      </c>
      <c r="N50" s="803">
        <v>-271600000000.00003</v>
      </c>
      <c r="O50" s="803"/>
      <c r="P50" s="803"/>
      <c r="Q50" s="803"/>
      <c r="R50" s="803"/>
      <c r="S50" s="803"/>
      <c r="T50" s="803"/>
      <c r="U50" s="803"/>
      <c r="V50" s="1161"/>
      <c r="W50" s="1161"/>
      <c r="X50" s="1161"/>
      <c r="Y50" s="1161"/>
      <c r="Z50" s="1161"/>
      <c r="AA50" s="1161"/>
    </row>
    <row r="51" spans="1:28">
      <c r="A51" s="506" t="s">
        <v>76</v>
      </c>
      <c r="B51" s="805" t="s">
        <v>2021</v>
      </c>
      <c r="C51" s="805"/>
      <c r="D51" s="805"/>
      <c r="E51" s="543"/>
      <c r="F51" s="543"/>
      <c r="G51" s="543"/>
      <c r="H51" s="803">
        <v>148600000000</v>
      </c>
      <c r="I51" s="803">
        <v>161000000000</v>
      </c>
      <c r="J51" s="803">
        <v>129000000000</v>
      </c>
      <c r="K51" s="803">
        <v>100700000000</v>
      </c>
      <c r="L51" s="803">
        <v>85200000000</v>
      </c>
      <c r="M51" s="803">
        <v>43100000000</v>
      </c>
      <c r="N51" s="803">
        <v>19000000000</v>
      </c>
      <c r="O51" s="803"/>
      <c r="P51" s="803"/>
      <c r="Q51" s="803"/>
      <c r="R51" s="803"/>
      <c r="S51" s="803"/>
      <c r="T51" s="803"/>
      <c r="U51" s="803"/>
      <c r="V51" s="1161"/>
      <c r="W51" s="1161"/>
      <c r="X51" s="1161"/>
      <c r="Y51" s="1161"/>
      <c r="Z51" s="1161"/>
      <c r="AA51" s="1161"/>
      <c r="AB51" s="2464"/>
    </row>
    <row r="52" spans="1:28" s="848" customFormat="1" ht="16.5">
      <c r="A52" s="506" t="s">
        <v>76</v>
      </c>
      <c r="B52" s="805" t="s">
        <v>2022</v>
      </c>
      <c r="C52" s="805"/>
      <c r="D52" s="805"/>
      <c r="E52" s="543"/>
      <c r="F52" s="543"/>
      <c r="G52" s="543"/>
      <c r="H52" s="803">
        <v>63400000000</v>
      </c>
      <c r="I52" s="803">
        <v>-22400000000</v>
      </c>
      <c r="J52" s="803">
        <v>-30100000000</v>
      </c>
      <c r="K52" s="803">
        <v>-145700000000</v>
      </c>
      <c r="L52" s="803">
        <v>73900000000</v>
      </c>
      <c r="M52" s="803">
        <v>-1063000000000</v>
      </c>
      <c r="N52" s="803">
        <v>-548900000000</v>
      </c>
      <c r="O52" s="803">
        <v>-508600000000</v>
      </c>
      <c r="P52" s="803">
        <v>-242000000000</v>
      </c>
      <c r="Q52" s="803">
        <v>-306300000000</v>
      </c>
      <c r="R52" s="803">
        <v>-538500000000</v>
      </c>
      <c r="S52" s="803">
        <v>-551500000000</v>
      </c>
      <c r="T52" s="803"/>
      <c r="U52" s="803"/>
      <c r="V52" s="803"/>
      <c r="W52" s="1161"/>
      <c r="X52" s="1161"/>
      <c r="Y52" s="1161"/>
      <c r="Z52" s="1161"/>
      <c r="AA52" s="1161"/>
      <c r="AB52" s="2595"/>
    </row>
    <row r="53" spans="1:28">
      <c r="A53" s="822" t="s">
        <v>115</v>
      </c>
      <c r="B53" s="822" t="s">
        <v>115</v>
      </c>
      <c r="C53" s="822" t="s">
        <v>35</v>
      </c>
      <c r="D53" s="822"/>
      <c r="E53" s="823"/>
      <c r="F53" s="823"/>
      <c r="G53" s="823"/>
      <c r="H53" s="824">
        <v>-63400000000</v>
      </c>
      <c r="I53" s="824">
        <v>22400000000</v>
      </c>
      <c r="J53" s="829">
        <v>30100000000</v>
      </c>
      <c r="K53" s="829">
        <v>145700000000</v>
      </c>
      <c r="L53" s="829">
        <v>-73900000000</v>
      </c>
      <c r="M53" s="829">
        <v>1043000000000</v>
      </c>
      <c r="N53" s="824">
        <v>548900000000</v>
      </c>
      <c r="O53" s="824">
        <v>482100000000</v>
      </c>
      <c r="P53" s="824">
        <f>P54+P61+P84+P86</f>
        <v>403800000000</v>
      </c>
      <c r="Q53" s="824">
        <v>306300000000</v>
      </c>
      <c r="R53" s="824">
        <v>538500000000</v>
      </c>
      <c r="S53" s="824">
        <v>551500000000</v>
      </c>
      <c r="T53" s="824">
        <f>T54+T61</f>
        <v>759100000000</v>
      </c>
      <c r="U53" s="824">
        <f t="shared" ref="U53:AA53" si="9">U54+U61</f>
        <v>1198500000000</v>
      </c>
      <c r="V53" s="824">
        <f t="shared" si="9"/>
        <v>774400000000</v>
      </c>
      <c r="W53" s="824">
        <f t="shared" si="9"/>
        <v>681000000000</v>
      </c>
      <c r="X53" s="824">
        <f t="shared" si="9"/>
        <v>845700000000</v>
      </c>
      <c r="Y53" s="824">
        <f t="shared" si="9"/>
        <v>907600000000</v>
      </c>
      <c r="Z53" s="824">
        <f t="shared" si="9"/>
        <v>957700000000</v>
      </c>
      <c r="AA53" s="824">
        <f t="shared" si="9"/>
        <v>1053700000000</v>
      </c>
      <c r="AB53" s="2464"/>
    </row>
    <row r="54" spans="1:28">
      <c r="A54" s="506" t="s">
        <v>120</v>
      </c>
      <c r="B54" s="805" t="s">
        <v>593</v>
      </c>
      <c r="C54" s="805" t="s">
        <v>252</v>
      </c>
      <c r="D54" s="805"/>
      <c r="E54" s="543"/>
      <c r="F54" s="543"/>
      <c r="G54" s="543"/>
      <c r="H54" s="803">
        <v>-122200000000</v>
      </c>
      <c r="I54" s="803">
        <v>38600000000</v>
      </c>
      <c r="J54" s="803">
        <v>27100000000</v>
      </c>
      <c r="K54" s="803">
        <v>102600000000</v>
      </c>
      <c r="L54" s="803">
        <v>107300000000</v>
      </c>
      <c r="M54" s="803">
        <v>111100000000</v>
      </c>
      <c r="N54" s="803">
        <v>-57800000000</v>
      </c>
      <c r="O54" s="803">
        <v>-4600000000</v>
      </c>
      <c r="P54" s="803">
        <v>158100000000</v>
      </c>
      <c r="Q54" s="803">
        <v>24300000000</v>
      </c>
      <c r="R54" s="803">
        <v>10800000000</v>
      </c>
      <c r="S54" s="803">
        <v>-241600000000</v>
      </c>
      <c r="T54" s="803">
        <v>310100000000</v>
      </c>
      <c r="U54" s="803">
        <v>74300000000</v>
      </c>
      <c r="V54" s="803">
        <v>-465400000000</v>
      </c>
      <c r="W54" s="1161">
        <v>104500000000</v>
      </c>
      <c r="X54" s="1161">
        <v>134000000000</v>
      </c>
      <c r="Y54" s="1161">
        <v>137900000000</v>
      </c>
      <c r="Z54" s="1161">
        <v>170600000000</v>
      </c>
      <c r="AA54" s="1161">
        <v>205900000000</v>
      </c>
      <c r="AB54" s="2464"/>
    </row>
    <row r="55" spans="1:28">
      <c r="A55" s="807" t="s">
        <v>122</v>
      </c>
      <c r="B55" s="807" t="s">
        <v>2023</v>
      </c>
      <c r="C55" s="805" t="s">
        <v>124</v>
      </c>
      <c r="D55" s="805"/>
      <c r="E55" s="543"/>
      <c r="F55" s="543"/>
      <c r="G55" s="543"/>
      <c r="H55" s="803">
        <v>-61100000000</v>
      </c>
      <c r="I55" s="803">
        <v>33500000000</v>
      </c>
      <c r="J55" s="803">
        <v>-32700000000.000004</v>
      </c>
      <c r="K55" s="803">
        <v>85900000000</v>
      </c>
      <c r="L55" s="803">
        <v>-25000000000</v>
      </c>
      <c r="M55" s="803">
        <v>212000000000</v>
      </c>
      <c r="N55" s="803">
        <v>118200000000</v>
      </c>
      <c r="O55" s="803">
        <v>-1900000000</v>
      </c>
      <c r="P55" s="803">
        <v>192000000000</v>
      </c>
      <c r="Q55" s="803">
        <v>134199999999.99998</v>
      </c>
      <c r="R55" s="803">
        <v>131900000000</v>
      </c>
      <c r="S55" s="803">
        <v>-151300000000</v>
      </c>
      <c r="T55" s="803">
        <v>357400000000</v>
      </c>
      <c r="U55" s="803">
        <v>65900000000.000008</v>
      </c>
      <c r="V55" s="803">
        <v>-429300000000</v>
      </c>
      <c r="W55" s="1161">
        <v>-50900000000</v>
      </c>
      <c r="X55" s="1161">
        <v>92800000000</v>
      </c>
      <c r="Y55" s="1161">
        <v>93000000000</v>
      </c>
      <c r="Z55" s="1161">
        <v>121900000000</v>
      </c>
      <c r="AA55" s="1161">
        <v>153200000000</v>
      </c>
    </row>
    <row r="56" spans="1:28">
      <c r="A56" s="506" t="s">
        <v>76</v>
      </c>
      <c r="B56" s="808" t="s">
        <v>2024</v>
      </c>
      <c r="C56" s="805"/>
      <c r="D56" s="805"/>
      <c r="E56" s="543"/>
      <c r="F56" s="543"/>
      <c r="G56" s="543"/>
      <c r="H56" s="803">
        <v>-66300000000</v>
      </c>
      <c r="I56" s="803">
        <v>-47700000000</v>
      </c>
      <c r="J56" s="803">
        <v>-30800000000</v>
      </c>
      <c r="K56" s="803">
        <v>4099999999.9999995</v>
      </c>
      <c r="L56" s="803">
        <v>3600000000</v>
      </c>
      <c r="M56" s="803">
        <v>74200000000</v>
      </c>
      <c r="N56" s="803">
        <v>16600000000.000002</v>
      </c>
      <c r="O56" s="803"/>
      <c r="P56" s="803"/>
      <c r="Q56" s="803"/>
      <c r="R56" s="803"/>
      <c r="S56" s="803"/>
      <c r="T56" s="803"/>
      <c r="U56" s="803"/>
      <c r="V56" s="1161"/>
      <c r="W56" s="1161"/>
      <c r="X56" s="1161"/>
      <c r="Y56" s="1161"/>
      <c r="Z56" s="1161"/>
      <c r="AA56" s="1161"/>
    </row>
    <row r="57" spans="1:28">
      <c r="A57" s="506" t="s">
        <v>76</v>
      </c>
      <c r="B57" s="808" t="s">
        <v>2025</v>
      </c>
      <c r="C57" s="805"/>
      <c r="D57" s="805"/>
      <c r="E57" s="543"/>
      <c r="F57" s="543"/>
      <c r="G57" s="543"/>
      <c r="H57" s="803">
        <v>15800000000</v>
      </c>
      <c r="I57" s="803">
        <v>52300000000</v>
      </c>
      <c r="J57" s="803">
        <v>-35400000000</v>
      </c>
      <c r="K57" s="803">
        <v>-19300000000</v>
      </c>
      <c r="L57" s="803">
        <v>39200000000</v>
      </c>
      <c r="M57" s="803">
        <v>148400000000</v>
      </c>
      <c r="N57" s="803">
        <v>-3100000000</v>
      </c>
      <c r="O57" s="803"/>
      <c r="P57" s="803"/>
      <c r="Q57" s="803"/>
      <c r="R57" s="803"/>
      <c r="S57" s="803"/>
      <c r="T57" s="803"/>
      <c r="U57" s="803"/>
      <c r="V57" s="1161"/>
      <c r="W57" s="1161"/>
      <c r="X57" s="1161"/>
      <c r="Y57" s="1161"/>
      <c r="Z57" s="1161"/>
      <c r="AA57" s="1161"/>
    </row>
    <row r="58" spans="1:28">
      <c r="A58" s="506" t="s">
        <v>76</v>
      </c>
      <c r="B58" s="808" t="s">
        <v>2026</v>
      </c>
      <c r="C58" s="805"/>
      <c r="D58" s="805"/>
      <c r="E58" s="543"/>
      <c r="F58" s="543"/>
      <c r="G58" s="543"/>
      <c r="H58" s="803">
        <v>-10600000000</v>
      </c>
      <c r="I58" s="803">
        <v>28900000000</v>
      </c>
      <c r="J58" s="803">
        <v>3500000000</v>
      </c>
      <c r="K58" s="803">
        <v>101100000000</v>
      </c>
      <c r="L58" s="803">
        <v>-67800000000</v>
      </c>
      <c r="M58" s="803">
        <v>-10600000000</v>
      </c>
      <c r="N58" s="803">
        <v>104700000000</v>
      </c>
      <c r="O58" s="803"/>
      <c r="P58" s="803"/>
      <c r="Q58" s="803"/>
      <c r="R58" s="803"/>
      <c r="S58" s="803"/>
      <c r="T58" s="803"/>
      <c r="U58" s="803"/>
      <c r="V58" s="1161"/>
      <c r="W58" s="1161"/>
      <c r="X58" s="1161"/>
      <c r="Y58" s="1161"/>
      <c r="Z58" s="1161"/>
      <c r="AA58" s="1161"/>
    </row>
    <row r="59" spans="1:28">
      <c r="A59" s="506" t="s">
        <v>76</v>
      </c>
      <c r="B59" s="808" t="s">
        <v>2027</v>
      </c>
      <c r="C59" s="805"/>
      <c r="D59" s="805"/>
      <c r="E59" s="543"/>
      <c r="F59" s="543"/>
      <c r="G59" s="543"/>
      <c r="H59" s="1161"/>
      <c r="I59" s="1161"/>
      <c r="J59" s="1161"/>
      <c r="K59" s="1161"/>
      <c r="L59" s="1161"/>
      <c r="M59" s="803">
        <v>75000000000</v>
      </c>
      <c r="N59" s="803">
        <v>-1000000000</v>
      </c>
      <c r="O59" s="803"/>
      <c r="P59" s="803"/>
      <c r="Q59" s="803"/>
      <c r="R59" s="803"/>
      <c r="S59" s="803"/>
      <c r="T59" s="803"/>
      <c r="U59" s="803"/>
      <c r="V59" s="1161"/>
      <c r="W59" s="1161"/>
      <c r="X59" s="1161"/>
      <c r="Y59" s="1161"/>
      <c r="Z59" s="1161"/>
      <c r="AA59" s="1161"/>
      <c r="AB59" s="2464"/>
    </row>
    <row r="60" spans="1:28">
      <c r="A60" s="807" t="s">
        <v>428</v>
      </c>
      <c r="B60" s="807" t="s">
        <v>2028</v>
      </c>
      <c r="C60" s="805" t="s">
        <v>124</v>
      </c>
      <c r="D60" s="805"/>
      <c r="E60" s="543"/>
      <c r="F60" s="543"/>
      <c r="G60" s="543"/>
      <c r="H60" s="803">
        <v>-61100000000</v>
      </c>
      <c r="I60" s="803">
        <v>5100000000</v>
      </c>
      <c r="J60" s="803">
        <v>59900000000</v>
      </c>
      <c r="K60" s="803">
        <v>16700000000</v>
      </c>
      <c r="L60" s="803">
        <v>132300000000</v>
      </c>
      <c r="M60" s="803">
        <v>-100900000000</v>
      </c>
      <c r="N60" s="803">
        <v>-176000000000</v>
      </c>
      <c r="O60" s="803">
        <v>-2700000000</v>
      </c>
      <c r="P60" s="803">
        <v>-33900000000</v>
      </c>
      <c r="Q60" s="803">
        <v>-109900000000</v>
      </c>
      <c r="R60" s="803">
        <v>-121200000000</v>
      </c>
      <c r="S60" s="803">
        <v>-90300000000</v>
      </c>
      <c r="T60" s="803">
        <v>-47300000000</v>
      </c>
      <c r="U60" s="803">
        <v>8500000000</v>
      </c>
      <c r="V60" s="803">
        <v>-36100000000</v>
      </c>
      <c r="W60" s="1161">
        <v>155400000000</v>
      </c>
      <c r="X60" s="1161">
        <v>41200000000</v>
      </c>
      <c r="Y60" s="1161">
        <v>44800000000</v>
      </c>
      <c r="Z60" s="1161">
        <v>48700000000</v>
      </c>
      <c r="AA60" s="1161">
        <v>52800000000</v>
      </c>
      <c r="AB60" s="2464"/>
    </row>
    <row r="61" spans="1:28">
      <c r="A61" s="805" t="s">
        <v>2029</v>
      </c>
      <c r="B61" s="805" t="s">
        <v>603</v>
      </c>
      <c r="C61" s="805" t="s">
        <v>252</v>
      </c>
      <c r="D61" s="805"/>
      <c r="E61" s="543"/>
      <c r="F61" s="543"/>
      <c r="G61" s="543"/>
      <c r="H61" s="803">
        <v>58800000000</v>
      </c>
      <c r="I61" s="803">
        <v>-16200000000</v>
      </c>
      <c r="J61" s="803">
        <v>2900000000</v>
      </c>
      <c r="K61" s="803">
        <v>43100000000</v>
      </c>
      <c r="L61" s="803">
        <v>-127300000000</v>
      </c>
      <c r="M61" s="803">
        <v>926700000000</v>
      </c>
      <c r="N61" s="803">
        <v>606700000000</v>
      </c>
      <c r="O61" s="803">
        <v>489000000000</v>
      </c>
      <c r="P61" s="803">
        <v>245700000000</v>
      </c>
      <c r="Q61" s="803">
        <v>273899999999.99997</v>
      </c>
      <c r="R61" s="803">
        <v>529400000000</v>
      </c>
      <c r="S61" s="803">
        <v>793000000000</v>
      </c>
      <c r="T61" s="803">
        <v>449000000000</v>
      </c>
      <c r="U61" s="803">
        <v>1124200000000</v>
      </c>
      <c r="V61" s="803">
        <v>1239800000000</v>
      </c>
      <c r="W61" s="1161">
        <v>576500000000</v>
      </c>
      <c r="X61" s="1161">
        <v>711700000000</v>
      </c>
      <c r="Y61" s="1161">
        <v>769700000000</v>
      </c>
      <c r="Z61" s="1161">
        <v>787100000000</v>
      </c>
      <c r="AA61" s="1161">
        <v>847800000000</v>
      </c>
    </row>
    <row r="62" spans="1:28">
      <c r="A62" s="807" t="s">
        <v>2030</v>
      </c>
      <c r="B62" s="807" t="s">
        <v>2031</v>
      </c>
      <c r="C62" s="805" t="s">
        <v>1939</v>
      </c>
      <c r="D62" s="805"/>
      <c r="E62" s="543"/>
      <c r="F62" s="543"/>
      <c r="G62" s="543"/>
      <c r="H62" s="803">
        <v>-12400000000</v>
      </c>
      <c r="I62" s="803">
        <v>-15600000000</v>
      </c>
      <c r="J62" s="803">
        <v>-10100000000</v>
      </c>
      <c r="K62" s="803">
        <v>0</v>
      </c>
      <c r="L62" s="803">
        <v>0</v>
      </c>
      <c r="M62" s="803">
        <v>0</v>
      </c>
      <c r="N62" s="803">
        <v>-1200000000</v>
      </c>
      <c r="O62" s="803"/>
      <c r="P62" s="803"/>
      <c r="Q62" s="803"/>
      <c r="R62" s="803"/>
      <c r="S62" s="803"/>
      <c r="T62" s="803"/>
      <c r="U62" s="803"/>
      <c r="V62" s="1161"/>
      <c r="W62" s="1161"/>
      <c r="X62" s="1161"/>
      <c r="Y62" s="1161"/>
      <c r="Z62" s="1161"/>
      <c r="AA62" s="1161"/>
    </row>
    <row r="63" spans="1:28">
      <c r="A63" s="807" t="s">
        <v>1253</v>
      </c>
      <c r="B63" s="807" t="s">
        <v>2032</v>
      </c>
      <c r="C63" s="805" t="s">
        <v>1939</v>
      </c>
      <c r="D63" s="805"/>
      <c r="E63" s="543"/>
      <c r="F63" s="543"/>
      <c r="G63" s="543"/>
      <c r="H63" s="803">
        <v>39000000000</v>
      </c>
      <c r="I63" s="803">
        <v>7000000000</v>
      </c>
      <c r="J63" s="803">
        <v>12200000000</v>
      </c>
      <c r="K63" s="803">
        <v>22500000000</v>
      </c>
      <c r="L63" s="803">
        <v>38900000000</v>
      </c>
      <c r="M63" s="803">
        <v>53300000000</v>
      </c>
      <c r="N63" s="803">
        <v>48300000000</v>
      </c>
      <c r="O63" s="803"/>
      <c r="P63" s="803"/>
      <c r="Q63" s="803"/>
      <c r="R63" s="803"/>
      <c r="S63" s="803"/>
      <c r="T63" s="803"/>
      <c r="U63" s="803"/>
      <c r="V63" s="1161"/>
      <c r="W63" s="1161"/>
      <c r="X63" s="1161"/>
      <c r="Y63" s="1161"/>
      <c r="Z63" s="1161"/>
      <c r="AA63" s="1161"/>
    </row>
    <row r="64" spans="1:28">
      <c r="A64" s="807" t="s">
        <v>1258</v>
      </c>
      <c r="B64" s="807" t="s">
        <v>2033</v>
      </c>
      <c r="C64" s="805" t="s">
        <v>1939</v>
      </c>
      <c r="D64" s="805"/>
      <c r="E64" s="543"/>
      <c r="F64" s="543"/>
      <c r="G64" s="543"/>
      <c r="H64" s="803">
        <v>2100000000</v>
      </c>
      <c r="I64" s="803">
        <v>0</v>
      </c>
      <c r="J64" s="803">
        <v>0</v>
      </c>
      <c r="K64" s="803">
        <v>0</v>
      </c>
      <c r="L64" s="803">
        <v>0</v>
      </c>
      <c r="M64" s="803">
        <v>0</v>
      </c>
      <c r="N64" s="803">
        <v>0</v>
      </c>
      <c r="O64" s="803"/>
      <c r="P64" s="803"/>
      <c r="Q64" s="803"/>
      <c r="R64" s="803"/>
      <c r="S64" s="803"/>
      <c r="T64" s="803"/>
      <c r="U64" s="803"/>
      <c r="V64" s="1161"/>
      <c r="W64" s="1161"/>
      <c r="X64" s="1161"/>
      <c r="Y64" s="1161"/>
      <c r="Z64" s="1161"/>
      <c r="AA64" s="1161"/>
    </row>
    <row r="65" spans="1:28">
      <c r="A65" s="807" t="s">
        <v>2034</v>
      </c>
      <c r="B65" s="807" t="s">
        <v>2035</v>
      </c>
      <c r="C65" s="805" t="s">
        <v>1939</v>
      </c>
      <c r="D65" s="805"/>
      <c r="E65" s="543"/>
      <c r="F65" s="543"/>
      <c r="G65" s="543"/>
      <c r="H65" s="1161"/>
      <c r="I65" s="1161"/>
      <c r="J65" s="803">
        <v>23300000000</v>
      </c>
      <c r="K65" s="803">
        <v>69200000000</v>
      </c>
      <c r="L65" s="803">
        <v>76200000000</v>
      </c>
      <c r="M65" s="803">
        <v>27500000000</v>
      </c>
      <c r="N65" s="803">
        <v>270600000000.00003</v>
      </c>
      <c r="O65" s="803"/>
      <c r="P65" s="803"/>
      <c r="Q65" s="803"/>
      <c r="R65" s="803"/>
      <c r="S65" s="803">
        <v>16500000000</v>
      </c>
      <c r="T65" s="803">
        <v>367300000000</v>
      </c>
      <c r="U65" s="803">
        <v>96700000000</v>
      </c>
      <c r="V65" s="1161">
        <v>-147700000000</v>
      </c>
      <c r="W65" s="1161">
        <v>265200000000</v>
      </c>
      <c r="X65" s="1161">
        <v>586500000000</v>
      </c>
      <c r="Y65" s="1161">
        <v>281200000000</v>
      </c>
      <c r="Z65" s="1161">
        <v>260100000000.00003</v>
      </c>
      <c r="AA65" s="1161">
        <v>332800000000</v>
      </c>
    </row>
    <row r="66" spans="1:28">
      <c r="A66" s="807" t="s">
        <v>1275</v>
      </c>
      <c r="B66" s="807" t="s">
        <v>1275</v>
      </c>
      <c r="C66" s="805" t="s">
        <v>1939</v>
      </c>
      <c r="D66" s="805"/>
      <c r="E66" s="543"/>
      <c r="F66" s="543"/>
      <c r="G66" s="543"/>
      <c r="H66" s="803">
        <v>0</v>
      </c>
      <c r="I66" s="803">
        <v>14900000000</v>
      </c>
      <c r="J66" s="803"/>
      <c r="K66" s="803"/>
      <c r="L66" s="803"/>
      <c r="M66" s="803"/>
      <c r="N66" s="803"/>
      <c r="O66" s="803"/>
      <c r="P66" s="803"/>
      <c r="Q66" s="803"/>
      <c r="R66" s="803"/>
      <c r="S66" s="803"/>
      <c r="T66" s="803"/>
      <c r="U66" s="803"/>
      <c r="V66" s="1161"/>
      <c r="W66" s="1161"/>
      <c r="X66" s="1161"/>
      <c r="Y66" s="1161"/>
      <c r="Z66" s="1161"/>
      <c r="AA66" s="1161"/>
    </row>
    <row r="67" spans="1:28">
      <c r="A67" s="807" t="s">
        <v>2036</v>
      </c>
      <c r="B67" s="807" t="s">
        <v>2037</v>
      </c>
      <c r="C67" s="805" t="s">
        <v>1939</v>
      </c>
      <c r="D67" s="805"/>
      <c r="E67" s="543"/>
      <c r="F67" s="543"/>
      <c r="G67" s="543"/>
      <c r="H67" s="803">
        <v>1200000000</v>
      </c>
      <c r="I67" s="803">
        <v>2500000000</v>
      </c>
      <c r="J67" s="803"/>
      <c r="K67" s="803"/>
      <c r="L67" s="803"/>
      <c r="M67" s="803"/>
      <c r="N67" s="803"/>
      <c r="O67" s="803"/>
      <c r="P67" s="803"/>
      <c r="Q67" s="803"/>
      <c r="R67" s="803"/>
      <c r="S67" s="803"/>
      <c r="T67" s="803"/>
      <c r="U67" s="803"/>
      <c r="V67" s="1161"/>
      <c r="W67" s="1161"/>
      <c r="X67" s="1161"/>
      <c r="Y67" s="1161"/>
      <c r="Z67" s="1161"/>
      <c r="AA67" s="1161"/>
    </row>
    <row r="68" spans="1:28">
      <c r="A68" s="807" t="s">
        <v>713</v>
      </c>
      <c r="B68" s="807" t="s">
        <v>607</v>
      </c>
      <c r="C68" s="805" t="s">
        <v>1939</v>
      </c>
      <c r="D68" s="805"/>
      <c r="E68" s="543"/>
      <c r="F68" s="543"/>
      <c r="G68" s="543"/>
      <c r="H68" s="803">
        <v>-328100000000</v>
      </c>
      <c r="I68" s="803">
        <v>-273200000000</v>
      </c>
      <c r="J68" s="803">
        <v>-257600000000.00003</v>
      </c>
      <c r="K68" s="803">
        <v>-222900000000</v>
      </c>
      <c r="L68" s="1162">
        <f>-282100000000+44500000000</f>
        <v>-237600000000</v>
      </c>
      <c r="M68" s="803">
        <v>-313300000000</v>
      </c>
      <c r="N68" s="803">
        <v>-310300000000</v>
      </c>
      <c r="O68" s="803"/>
      <c r="P68" s="803"/>
      <c r="Q68" s="803"/>
      <c r="R68" s="803"/>
      <c r="S68" s="803"/>
      <c r="T68" s="803"/>
      <c r="U68" s="803"/>
      <c r="V68" s="1161"/>
      <c r="W68" s="1161"/>
      <c r="X68" s="1161"/>
      <c r="Y68" s="1161"/>
      <c r="Z68" s="1161"/>
      <c r="AA68" s="1161"/>
    </row>
    <row r="69" spans="1:28">
      <c r="A69" s="807" t="s">
        <v>2038</v>
      </c>
      <c r="B69" s="807" t="s">
        <v>2038</v>
      </c>
      <c r="C69" s="805" t="s">
        <v>1939</v>
      </c>
      <c r="D69" s="805"/>
      <c r="E69" s="543"/>
      <c r="F69" s="543"/>
      <c r="G69" s="543"/>
      <c r="H69" s="803"/>
      <c r="I69" s="803"/>
      <c r="J69" s="803"/>
      <c r="K69" s="803"/>
      <c r="L69" s="1162"/>
      <c r="M69" s="803"/>
      <c r="N69" s="803"/>
      <c r="O69" s="803"/>
      <c r="P69" s="803"/>
      <c r="Q69" s="803"/>
      <c r="R69" s="803"/>
      <c r="S69" s="803">
        <v>776500000000</v>
      </c>
      <c r="T69" s="803">
        <v>81600000000</v>
      </c>
      <c r="U69" s="803">
        <v>1027400000000.0001</v>
      </c>
      <c r="V69" s="1161">
        <v>1387500000000</v>
      </c>
      <c r="W69" s="1161">
        <v>311300000000</v>
      </c>
      <c r="X69" s="1161">
        <v>125200000000</v>
      </c>
      <c r="Y69" s="1161">
        <v>488600000000</v>
      </c>
      <c r="Z69" s="1161">
        <v>527100000000</v>
      </c>
      <c r="AA69" s="1161">
        <v>515000000000</v>
      </c>
    </row>
    <row r="70" spans="1:28">
      <c r="A70" s="506" t="s">
        <v>76</v>
      </c>
      <c r="B70" s="807" t="s">
        <v>2039</v>
      </c>
      <c r="C70" s="805"/>
      <c r="D70" s="805"/>
      <c r="E70" s="543"/>
      <c r="F70" s="543"/>
      <c r="G70" s="543"/>
      <c r="H70" s="1161"/>
      <c r="I70" s="1161"/>
      <c r="J70" s="1161"/>
      <c r="K70" s="1161"/>
      <c r="L70" s="1161"/>
      <c r="M70" s="1161"/>
      <c r="N70" s="803">
        <v>0</v>
      </c>
      <c r="O70" s="803"/>
      <c r="P70" s="803"/>
      <c r="Q70" s="803"/>
      <c r="R70" s="803"/>
      <c r="S70" s="803"/>
      <c r="T70" s="803"/>
      <c r="U70" s="803"/>
      <c r="V70" s="1161"/>
      <c r="W70" s="1161"/>
      <c r="X70" s="1161"/>
      <c r="Y70" s="1161"/>
      <c r="Z70" s="1161"/>
      <c r="AA70" s="1161"/>
      <c r="AB70" s="2520"/>
    </row>
    <row r="71" spans="1:28" ht="15.75" customHeight="1">
      <c r="A71" s="807" t="s">
        <v>2040</v>
      </c>
      <c r="B71" s="807" t="s">
        <v>2041</v>
      </c>
      <c r="C71" s="805" t="s">
        <v>1939</v>
      </c>
      <c r="D71" s="805"/>
      <c r="E71" s="543"/>
      <c r="F71" s="543"/>
      <c r="G71" s="543"/>
      <c r="H71" s="803">
        <v>357000000000</v>
      </c>
      <c r="I71" s="803">
        <v>248200000000</v>
      </c>
      <c r="J71" s="803">
        <v>235200000000</v>
      </c>
      <c r="K71" s="803">
        <v>174300000000</v>
      </c>
      <c r="L71" s="803">
        <v>-4800000000</v>
      </c>
      <c r="M71" s="803">
        <v>-1056600000000</v>
      </c>
      <c r="N71" s="803">
        <v>-134100000000</v>
      </c>
      <c r="O71" s="803"/>
      <c r="P71" s="803"/>
      <c r="Q71" s="803"/>
      <c r="R71" s="803"/>
      <c r="S71" s="803"/>
      <c r="T71" s="803"/>
      <c r="U71" s="803"/>
      <c r="V71" s="1161"/>
      <c r="W71" s="1161"/>
      <c r="X71" s="1161"/>
      <c r="Y71" s="1161"/>
      <c r="Z71" s="1161"/>
      <c r="AA71" s="1161"/>
      <c r="AB71" s="2520"/>
    </row>
    <row r="72" spans="1:28">
      <c r="A72" s="506" t="s">
        <v>76</v>
      </c>
      <c r="B72" s="808" t="s">
        <v>2020</v>
      </c>
      <c r="C72" s="805"/>
      <c r="D72" s="805"/>
      <c r="E72" s="543"/>
      <c r="F72" s="543"/>
      <c r="G72" s="543"/>
      <c r="H72" s="803">
        <v>-1900000000</v>
      </c>
      <c r="I72" s="803">
        <v>-100000000</v>
      </c>
      <c r="J72" s="803">
        <v>-15900000000</v>
      </c>
      <c r="K72" s="803">
        <v>-300000000</v>
      </c>
      <c r="L72" s="803">
        <v>-171500000000</v>
      </c>
      <c r="M72" s="803">
        <v>-1163500000000</v>
      </c>
      <c r="N72" s="803">
        <v>-190600000000</v>
      </c>
      <c r="O72" s="803"/>
      <c r="P72" s="803"/>
      <c r="Q72" s="803"/>
      <c r="R72" s="803"/>
      <c r="S72" s="803"/>
      <c r="T72" s="803"/>
      <c r="U72" s="803"/>
      <c r="V72" s="1161"/>
      <c r="W72" s="1161"/>
      <c r="X72" s="1161"/>
      <c r="Y72" s="1161"/>
      <c r="Z72" s="1161"/>
      <c r="AA72" s="1161"/>
      <c r="AB72" s="2520"/>
    </row>
    <row r="73" spans="1:28">
      <c r="A73" s="506" t="s">
        <v>76</v>
      </c>
      <c r="B73" s="808" t="s">
        <v>2021</v>
      </c>
      <c r="C73" s="805"/>
      <c r="D73" s="805"/>
      <c r="E73" s="543"/>
      <c r="F73" s="543"/>
      <c r="G73" s="543"/>
      <c r="H73" s="803">
        <v>358900000000</v>
      </c>
      <c r="I73" s="803">
        <v>248300000000</v>
      </c>
      <c r="J73" s="803">
        <v>251100000000</v>
      </c>
      <c r="K73" s="803">
        <v>174600000000</v>
      </c>
      <c r="L73" s="803">
        <v>166700000000</v>
      </c>
      <c r="M73" s="803">
        <v>106900000000</v>
      </c>
      <c r="N73" s="803">
        <v>56500000000</v>
      </c>
      <c r="O73" s="803"/>
      <c r="P73" s="803"/>
      <c r="Q73" s="803"/>
      <c r="R73" s="803"/>
      <c r="S73" s="803"/>
      <c r="T73" s="803"/>
      <c r="U73" s="803"/>
      <c r="V73" s="1161"/>
      <c r="W73" s="1161"/>
      <c r="X73" s="1161"/>
      <c r="Y73" s="1161"/>
      <c r="Z73" s="1161"/>
      <c r="AA73" s="1161"/>
      <c r="AB73" s="2520"/>
    </row>
    <row r="74" spans="1:28">
      <c r="A74" s="807" t="s">
        <v>2042</v>
      </c>
      <c r="B74" s="807" t="s">
        <v>2043</v>
      </c>
      <c r="C74" s="805" t="s">
        <v>1939</v>
      </c>
      <c r="D74" s="805"/>
      <c r="E74" s="543"/>
      <c r="F74" s="543"/>
      <c r="G74" s="543"/>
      <c r="H74" s="803">
        <v>0</v>
      </c>
      <c r="I74" s="803">
        <v>0</v>
      </c>
      <c r="J74" s="803">
        <v>0</v>
      </c>
      <c r="K74" s="803">
        <v>0</v>
      </c>
      <c r="L74" s="803">
        <v>0</v>
      </c>
      <c r="M74" s="803">
        <v>2215800000000</v>
      </c>
      <c r="N74" s="803">
        <v>733400000000</v>
      </c>
      <c r="O74" s="803"/>
      <c r="P74" s="803"/>
      <c r="Q74" s="803"/>
      <c r="R74" s="803"/>
      <c r="S74" s="803"/>
      <c r="T74" s="803"/>
      <c r="U74" s="803"/>
      <c r="V74" s="1161"/>
      <c r="W74" s="1161"/>
      <c r="X74" s="1161"/>
      <c r="Y74" s="1161"/>
      <c r="Z74" s="1161"/>
      <c r="AA74" s="1161"/>
      <c r="AB74" s="2520"/>
    </row>
    <row r="75" spans="1:28">
      <c r="A75" s="506" t="s">
        <v>76</v>
      </c>
      <c r="B75" s="808" t="s">
        <v>2044</v>
      </c>
      <c r="C75" s="805"/>
      <c r="D75" s="805"/>
      <c r="E75" s="543"/>
      <c r="F75" s="543"/>
      <c r="G75" s="543"/>
      <c r="H75" s="1161"/>
      <c r="I75" s="1161"/>
      <c r="J75" s="1161"/>
      <c r="K75" s="1161"/>
      <c r="L75" s="803"/>
      <c r="M75" s="1161"/>
      <c r="N75" s="803">
        <v>0</v>
      </c>
      <c r="O75" s="803"/>
      <c r="P75" s="803"/>
      <c r="Q75" s="803"/>
      <c r="R75" s="803"/>
      <c r="S75" s="803"/>
      <c r="T75" s="803"/>
      <c r="U75" s="803"/>
      <c r="V75" s="1161"/>
      <c r="W75" s="1161"/>
      <c r="X75" s="1161"/>
      <c r="Y75" s="1161"/>
      <c r="Z75" s="1161"/>
      <c r="AA75" s="1161"/>
      <c r="AB75" s="2520"/>
    </row>
    <row r="76" spans="1:28">
      <c r="A76" s="506" t="s">
        <v>76</v>
      </c>
      <c r="B76" s="808" t="s">
        <v>2045</v>
      </c>
      <c r="C76" s="805"/>
      <c r="D76" s="805"/>
      <c r="E76" s="543"/>
      <c r="F76" s="543"/>
      <c r="G76" s="543"/>
      <c r="H76" s="1161"/>
      <c r="I76" s="1161"/>
      <c r="J76" s="1161"/>
      <c r="K76" s="1161"/>
      <c r="L76" s="803">
        <v>0</v>
      </c>
      <c r="M76" s="803">
        <v>1926500000000</v>
      </c>
      <c r="N76" s="803">
        <v>231100000000</v>
      </c>
      <c r="O76" s="803"/>
      <c r="P76" s="803"/>
      <c r="Q76" s="803"/>
      <c r="R76" s="803"/>
      <c r="S76" s="803"/>
      <c r="T76" s="803"/>
      <c r="U76" s="803"/>
      <c r="V76" s="1161"/>
      <c r="W76" s="1161"/>
      <c r="X76" s="1161"/>
      <c r="Y76" s="1161"/>
      <c r="Z76" s="1161"/>
      <c r="AA76" s="1161"/>
      <c r="AB76" s="2520"/>
    </row>
    <row r="77" spans="1:28">
      <c r="A77" s="506" t="s">
        <v>76</v>
      </c>
      <c r="B77" s="808" t="s">
        <v>2046</v>
      </c>
      <c r="C77" s="805"/>
      <c r="D77" s="805"/>
      <c r="E77" s="543"/>
      <c r="F77" s="543"/>
      <c r="G77" s="543"/>
      <c r="H77" s="1161"/>
      <c r="I77" s="1161"/>
      <c r="J77" s="1161"/>
      <c r="K77" s="1161"/>
      <c r="L77" s="1161"/>
      <c r="M77" s="803">
        <v>0</v>
      </c>
      <c r="N77" s="803">
        <v>456000000000</v>
      </c>
      <c r="O77" s="803"/>
      <c r="P77" s="803"/>
      <c r="Q77" s="803"/>
      <c r="R77" s="803"/>
      <c r="S77" s="803"/>
      <c r="T77" s="803"/>
      <c r="U77" s="803"/>
      <c r="V77" s="1161"/>
      <c r="W77" s="1161"/>
      <c r="X77" s="1161"/>
      <c r="Y77" s="1161"/>
      <c r="Z77" s="1161"/>
      <c r="AA77" s="1161"/>
      <c r="AB77" s="2520"/>
    </row>
    <row r="78" spans="1:28">
      <c r="A78" s="506" t="s">
        <v>76</v>
      </c>
      <c r="B78" s="808" t="s">
        <v>2047</v>
      </c>
      <c r="C78" s="805"/>
      <c r="D78" s="805"/>
      <c r="E78" s="543"/>
      <c r="F78" s="543"/>
      <c r="G78" s="543"/>
      <c r="H78" s="1161"/>
      <c r="I78" s="1161"/>
      <c r="J78" s="1161"/>
      <c r="K78" s="1161"/>
      <c r="L78" s="1161"/>
      <c r="M78" s="803">
        <v>183900000000</v>
      </c>
      <c r="N78" s="803">
        <v>0</v>
      </c>
      <c r="O78" s="803"/>
      <c r="P78" s="803"/>
      <c r="Q78" s="803"/>
      <c r="R78" s="803"/>
      <c r="S78" s="803"/>
      <c r="T78" s="803"/>
      <c r="U78" s="803"/>
      <c r="V78" s="1161"/>
      <c r="W78" s="1161"/>
      <c r="X78" s="1161"/>
      <c r="Y78" s="1161"/>
      <c r="Z78" s="1161"/>
      <c r="AA78" s="1161"/>
      <c r="AB78" s="2520"/>
    </row>
    <row r="79" spans="1:28">
      <c r="A79" s="506" t="s">
        <v>76</v>
      </c>
      <c r="B79" s="808" t="s">
        <v>2048</v>
      </c>
      <c r="C79" s="805"/>
      <c r="D79" s="805"/>
      <c r="E79" s="543"/>
      <c r="F79" s="543"/>
      <c r="G79" s="543"/>
      <c r="H79" s="1161"/>
      <c r="I79" s="1161"/>
      <c r="J79" s="1161"/>
      <c r="K79" s="1161"/>
      <c r="L79" s="803"/>
      <c r="M79" s="803">
        <v>33400000000</v>
      </c>
      <c r="N79" s="803">
        <v>0</v>
      </c>
      <c r="O79" s="803"/>
      <c r="P79" s="803"/>
      <c r="Q79" s="803"/>
      <c r="R79" s="803"/>
      <c r="S79" s="803"/>
      <c r="T79" s="803"/>
      <c r="U79" s="803"/>
      <c r="V79" s="1161"/>
      <c r="W79" s="1161"/>
      <c r="X79" s="1161"/>
      <c r="Y79" s="1161"/>
      <c r="Z79" s="1161"/>
      <c r="AA79" s="1161"/>
      <c r="AB79" s="2520"/>
    </row>
    <row r="80" spans="1:28">
      <c r="A80" s="506" t="s">
        <v>76</v>
      </c>
      <c r="B80" s="808" t="s">
        <v>2049</v>
      </c>
      <c r="C80" s="805"/>
      <c r="D80" s="805"/>
      <c r="E80" s="543"/>
      <c r="F80" s="543"/>
      <c r="G80" s="543"/>
      <c r="H80" s="1161"/>
      <c r="I80" s="1161"/>
      <c r="J80" s="1161"/>
      <c r="K80" s="1161"/>
      <c r="L80" s="803"/>
      <c r="M80" s="803">
        <v>71900000000</v>
      </c>
      <c r="N80" s="803">
        <v>46300000000</v>
      </c>
      <c r="O80" s="803"/>
      <c r="P80" s="803"/>
      <c r="Q80" s="803"/>
      <c r="R80" s="803"/>
      <c r="S80" s="803"/>
      <c r="T80" s="803"/>
      <c r="U80" s="803"/>
      <c r="V80" s="1161"/>
      <c r="W80" s="1161"/>
      <c r="X80" s="1161"/>
      <c r="Y80" s="1161"/>
      <c r="Z80" s="1161"/>
      <c r="AA80" s="1161"/>
    </row>
    <row r="81" spans="1:28">
      <c r="A81" s="506" t="s">
        <v>76</v>
      </c>
      <c r="B81" s="808" t="s">
        <v>2050</v>
      </c>
      <c r="C81" s="805"/>
      <c r="D81" s="805"/>
      <c r="E81" s="543"/>
      <c r="F81" s="543"/>
      <c r="G81" s="543"/>
      <c r="H81" s="1161"/>
      <c r="I81" s="1161"/>
      <c r="J81" s="1161"/>
      <c r="K81" s="1161"/>
      <c r="L81" s="803"/>
      <c r="M81" s="803">
        <v>64000000000</v>
      </c>
      <c r="N81" s="803">
        <v>0</v>
      </c>
      <c r="O81" s="803"/>
      <c r="P81" s="803"/>
      <c r="Q81" s="803"/>
      <c r="R81" s="803"/>
      <c r="S81" s="803"/>
      <c r="T81" s="803"/>
      <c r="U81" s="803"/>
      <c r="V81" s="1161"/>
      <c r="W81" s="1161"/>
      <c r="X81" s="1161"/>
      <c r="Y81" s="1161"/>
      <c r="Z81" s="1161"/>
      <c r="AA81" s="1161"/>
    </row>
    <row r="82" spans="1:28">
      <c r="A82" s="506" t="s">
        <v>76</v>
      </c>
      <c r="B82" s="808" t="s">
        <v>2051</v>
      </c>
      <c r="C82" s="805"/>
      <c r="D82" s="805"/>
      <c r="E82" s="543"/>
      <c r="F82" s="543"/>
      <c r="G82" s="543"/>
      <c r="H82" s="1161"/>
      <c r="I82" s="1161"/>
      <c r="J82" s="1161"/>
      <c r="K82" s="1161"/>
      <c r="L82" s="803"/>
      <c r="M82" s="1161"/>
      <c r="N82" s="803"/>
      <c r="O82" s="803"/>
      <c r="P82" s="803"/>
      <c r="Q82" s="803"/>
      <c r="R82" s="803"/>
      <c r="S82" s="803"/>
      <c r="T82" s="803"/>
      <c r="U82" s="803"/>
      <c r="V82" s="1161"/>
      <c r="W82" s="1161"/>
      <c r="X82" s="1161"/>
      <c r="Y82" s="1161"/>
      <c r="Z82" s="1161"/>
      <c r="AA82" s="1161"/>
      <c r="AB82" s="2464"/>
    </row>
    <row r="83" spans="1:28">
      <c r="A83" s="506" t="s">
        <v>76</v>
      </c>
      <c r="B83" s="805" t="s">
        <v>2052</v>
      </c>
      <c r="C83" s="805"/>
      <c r="D83" s="805"/>
      <c r="E83" s="543"/>
      <c r="F83" s="543"/>
      <c r="G83" s="543"/>
      <c r="H83" s="1161"/>
      <c r="I83" s="1161"/>
      <c r="J83" s="809">
        <v>0</v>
      </c>
      <c r="K83" s="809">
        <v>0</v>
      </c>
      <c r="L83" s="809">
        <v>0</v>
      </c>
      <c r="M83" s="803">
        <v>0</v>
      </c>
      <c r="N83" s="803">
        <v>0</v>
      </c>
      <c r="O83" s="803">
        <v>0</v>
      </c>
      <c r="P83" s="803">
        <v>0</v>
      </c>
      <c r="Q83" s="803">
        <v>0</v>
      </c>
      <c r="R83" s="803">
        <v>0</v>
      </c>
      <c r="S83" s="803">
        <v>0</v>
      </c>
      <c r="T83" s="803">
        <v>0</v>
      </c>
      <c r="U83" s="803">
        <v>0</v>
      </c>
      <c r="V83" s="803">
        <v>229900000000</v>
      </c>
      <c r="W83" s="1161">
        <v>184100000000</v>
      </c>
      <c r="X83" s="1161">
        <v>69700000000</v>
      </c>
      <c r="Y83" s="1161">
        <v>69300000000</v>
      </c>
      <c r="Z83" s="1161">
        <v>71700000000</v>
      </c>
      <c r="AA83" s="1161">
        <v>70000000000</v>
      </c>
      <c r="AB83" s="2464"/>
    </row>
    <row r="84" spans="1:28">
      <c r="A84" s="807" t="s">
        <v>2053</v>
      </c>
      <c r="B84" s="807" t="s">
        <v>2054</v>
      </c>
      <c r="C84" s="805" t="s">
        <v>252</v>
      </c>
      <c r="D84" s="805"/>
      <c r="E84" s="543"/>
      <c r="F84" s="543"/>
      <c r="G84" s="543"/>
      <c r="H84" s="1161"/>
      <c r="I84" s="1161"/>
      <c r="J84" s="1161"/>
      <c r="K84" s="1161"/>
      <c r="L84" s="803"/>
      <c r="M84" s="1161"/>
      <c r="N84" s="1161"/>
      <c r="O84" s="803"/>
      <c r="P84" s="803"/>
      <c r="Q84" s="803"/>
      <c r="R84" s="803"/>
      <c r="S84" s="803">
        <v>0</v>
      </c>
      <c r="T84" s="803"/>
      <c r="U84" s="803"/>
      <c r="V84" s="803"/>
      <c r="W84" s="1161"/>
      <c r="X84" s="1161"/>
      <c r="Y84" s="1161"/>
      <c r="Z84" s="1161"/>
      <c r="AA84" s="1161"/>
    </row>
    <row r="85" spans="1:28">
      <c r="A85" s="506" t="s">
        <v>76</v>
      </c>
      <c r="B85" s="808" t="s">
        <v>2055</v>
      </c>
      <c r="D85" s="805"/>
      <c r="E85" s="543"/>
      <c r="F85" s="543"/>
      <c r="G85" s="543"/>
      <c r="H85" s="1161"/>
      <c r="I85" s="1161"/>
      <c r="J85" s="1161"/>
      <c r="K85" s="1161"/>
      <c r="L85" s="803"/>
      <c r="M85" s="1161"/>
      <c r="N85" s="1161"/>
      <c r="O85" s="803"/>
      <c r="P85" s="803"/>
      <c r="Q85" s="803"/>
      <c r="R85" s="803"/>
      <c r="S85" s="803"/>
      <c r="T85" s="803"/>
      <c r="U85" s="803"/>
      <c r="V85" s="1161"/>
      <c r="W85" s="1161"/>
      <c r="X85" s="1161"/>
      <c r="Y85" s="1161"/>
      <c r="Z85" s="1161"/>
      <c r="AA85" s="1161"/>
      <c r="AB85" s="2464"/>
    </row>
    <row r="86" spans="1:28">
      <c r="A86" s="805" t="s">
        <v>2056</v>
      </c>
      <c r="B86" s="805" t="s">
        <v>2057</v>
      </c>
      <c r="C86" s="805" t="s">
        <v>252</v>
      </c>
      <c r="D86" s="805"/>
      <c r="E86" s="543"/>
      <c r="F86" s="543"/>
      <c r="G86" s="543"/>
      <c r="H86" s="1161"/>
      <c r="I86" s="1161"/>
      <c r="J86" s="1161"/>
      <c r="K86" s="1161"/>
      <c r="L86" s="1162">
        <f>L53-L54-L61-L84</f>
        <v>-53900000000</v>
      </c>
      <c r="M86" s="1162">
        <f>M53-M54-M61-M84</f>
        <v>5200000000</v>
      </c>
      <c r="N86" s="1162">
        <f>N53-N54-N61-N84</f>
        <v>0</v>
      </c>
      <c r="O86" s="1162">
        <f>O53-O54-O61-O84</f>
        <v>-2300000000</v>
      </c>
      <c r="P86" s="803"/>
      <c r="Q86" s="803">
        <f>Q53-Q54-Q61-Q84</f>
        <v>8100000000.0000305</v>
      </c>
      <c r="R86" s="803">
        <f>R53-R54-R61-R84</f>
        <v>-1700000000</v>
      </c>
      <c r="S86" s="803">
        <v>0</v>
      </c>
      <c r="T86" s="803"/>
      <c r="U86" s="803"/>
      <c r="V86" s="803"/>
      <c r="W86" s="1161"/>
      <c r="X86" s="1161"/>
      <c r="Y86" s="1161"/>
      <c r="Z86" s="1161"/>
      <c r="AA86" s="1161"/>
    </row>
    <row r="87" spans="1:28">
      <c r="B87" s="807" t="s">
        <v>2058</v>
      </c>
      <c r="C87" s="805"/>
      <c r="D87" s="805"/>
      <c r="E87" s="543"/>
      <c r="F87" s="543"/>
      <c r="G87" s="543"/>
      <c r="H87" s="1161"/>
      <c r="I87" s="1161"/>
      <c r="J87" s="1161"/>
      <c r="K87" s="1161"/>
      <c r="L87" s="803"/>
      <c r="M87" s="1161"/>
      <c r="N87" s="1161"/>
      <c r="O87" s="803"/>
      <c r="P87" s="803"/>
      <c r="Q87" s="803"/>
      <c r="R87" s="803"/>
      <c r="S87" s="803">
        <v>0</v>
      </c>
      <c r="T87" s="803"/>
      <c r="U87" s="803"/>
      <c r="V87" s="1161"/>
      <c r="W87" s="1161"/>
      <c r="X87" s="1161"/>
      <c r="Y87" s="1161"/>
      <c r="Z87" s="1161"/>
      <c r="AA87" s="1161"/>
    </row>
    <row r="88" spans="1:28" ht="19.5" customHeight="1">
      <c r="B88" s="805" t="s">
        <v>1489</v>
      </c>
      <c r="C88" s="805"/>
      <c r="D88" s="805"/>
      <c r="E88" s="543"/>
      <c r="F88" s="543"/>
      <c r="G88" s="543"/>
      <c r="H88" s="506">
        <f t="shared" ref="H88:S88" si="10">(H19/H6)*100</f>
        <v>5.0348258706467659</v>
      </c>
      <c r="I88" s="506">
        <f t="shared" si="10"/>
        <v>6.0408684546615588</v>
      </c>
      <c r="J88" s="506">
        <f t="shared" si="10"/>
        <v>3.2127351664254706</v>
      </c>
      <c r="K88" s="506">
        <f t="shared" si="10"/>
        <v>2.8644719965797352</v>
      </c>
      <c r="L88" s="506">
        <f t="shared" si="10"/>
        <v>8.3248307207123666</v>
      </c>
      <c r="M88" s="506">
        <f t="shared" si="10"/>
        <v>2.975292342512259</v>
      </c>
      <c r="N88" s="506">
        <f t="shared" si="10"/>
        <v>2.7005275865152463</v>
      </c>
      <c r="O88" s="506">
        <f t="shared" si="10"/>
        <v>1.9062518106495161</v>
      </c>
      <c r="P88" s="506">
        <f t="shared" si="10"/>
        <v>3.0975814450293737</v>
      </c>
      <c r="Q88" s="506">
        <f t="shared" si="10"/>
        <v>6.6293798322092448</v>
      </c>
      <c r="R88" s="506">
        <f t="shared" si="10"/>
        <v>9.2305823768749615</v>
      </c>
      <c r="S88" s="506">
        <f t="shared" si="10"/>
        <v>7.2048611111111107</v>
      </c>
      <c r="AB88" s="2464"/>
    </row>
    <row r="89" spans="1:28" ht="19.5" customHeight="1">
      <c r="A89" s="805" t="s">
        <v>2059</v>
      </c>
      <c r="C89" s="805"/>
      <c r="D89" s="805"/>
      <c r="E89" s="543"/>
      <c r="F89" s="543"/>
      <c r="G89" s="543"/>
      <c r="H89" s="543"/>
      <c r="I89" s="543"/>
      <c r="J89" s="543"/>
      <c r="K89" s="543"/>
      <c r="L89" s="816"/>
      <c r="M89" s="543"/>
      <c r="N89" s="543"/>
      <c r="O89" s="816"/>
      <c r="P89" s="803"/>
      <c r="Q89" s="803"/>
      <c r="V89" s="543"/>
      <c r="W89" s="1161"/>
      <c r="X89" s="1161"/>
      <c r="Y89" s="1161"/>
      <c r="Z89" s="1161"/>
      <c r="AA89" s="1161"/>
      <c r="AB89" s="2464"/>
    </row>
    <row r="90" spans="1:28" ht="19.5" customHeight="1">
      <c r="A90" s="805" t="s">
        <v>2060</v>
      </c>
      <c r="C90" s="805"/>
      <c r="D90" s="805"/>
      <c r="E90" s="543"/>
      <c r="F90" s="543"/>
      <c r="G90" s="543"/>
      <c r="H90" s="543"/>
      <c r="I90" s="543"/>
      <c r="J90" s="543"/>
      <c r="K90" s="543"/>
      <c r="L90" s="816"/>
      <c r="M90" s="543"/>
      <c r="N90" s="543"/>
      <c r="O90" s="816"/>
      <c r="P90" s="1163">
        <v>980000000000</v>
      </c>
      <c r="Q90" s="1163">
        <v>1337000000000</v>
      </c>
      <c r="R90" s="1163">
        <v>1622000000000</v>
      </c>
      <c r="S90" s="820">
        <v>1770000000000</v>
      </c>
      <c r="T90" s="820">
        <v>2015000000000</v>
      </c>
      <c r="U90" s="820">
        <v>2070000000000</v>
      </c>
      <c r="V90" s="1161">
        <v>2291000000000</v>
      </c>
      <c r="W90" s="1161">
        <v>2547000000000</v>
      </c>
      <c r="X90" s="1161">
        <v>2830000000000</v>
      </c>
      <c r="Y90" s="1161">
        <v>3111000000000</v>
      </c>
      <c r="Z90" s="1161">
        <v>3376000000000</v>
      </c>
      <c r="AA90" s="1161">
        <v>3660000000000</v>
      </c>
      <c r="AB90" s="2464"/>
    </row>
    <row r="91" spans="1:28">
      <c r="A91" s="805"/>
      <c r="C91" s="805"/>
      <c r="D91" s="805"/>
      <c r="E91" s="543"/>
      <c r="F91" s="543"/>
      <c r="G91" s="543"/>
      <c r="H91" s="543"/>
      <c r="I91" s="543"/>
      <c r="J91" s="543"/>
      <c r="K91" s="543"/>
      <c r="L91" s="816"/>
      <c r="M91" s="543"/>
      <c r="N91" s="543"/>
      <c r="O91" s="816"/>
      <c r="P91" s="1163"/>
      <c r="Q91" s="1163"/>
      <c r="R91" s="1163"/>
      <c r="S91" s="820"/>
      <c r="T91" s="820"/>
      <c r="U91" s="820"/>
      <c r="V91" s="1161"/>
      <c r="W91" s="1161"/>
      <c r="X91" s="1161"/>
      <c r="Y91" s="1161"/>
      <c r="Z91" s="1161"/>
      <c r="AA91" s="1161"/>
    </row>
    <row r="92" spans="1:28">
      <c r="C92" s="805"/>
      <c r="D92" s="805"/>
      <c r="E92" s="543"/>
      <c r="F92" s="543"/>
      <c r="G92" s="543"/>
      <c r="H92" s="506" t="s">
        <v>139</v>
      </c>
      <c r="I92" s="506" t="s">
        <v>139</v>
      </c>
      <c r="J92" s="506" t="s">
        <v>138</v>
      </c>
      <c r="K92" s="506" t="s">
        <v>139</v>
      </c>
      <c r="L92" s="506" t="s">
        <v>139</v>
      </c>
      <c r="M92" s="506" t="s">
        <v>139</v>
      </c>
      <c r="N92" s="506" t="s">
        <v>139</v>
      </c>
      <c r="O92" s="506" t="s">
        <v>139</v>
      </c>
      <c r="P92" s="506" t="s">
        <v>139</v>
      </c>
      <c r="Q92" s="506" t="s">
        <v>139</v>
      </c>
      <c r="R92" s="506" t="s">
        <v>139</v>
      </c>
      <c r="S92" s="506" t="s">
        <v>139</v>
      </c>
      <c r="T92" s="506" t="s">
        <v>139</v>
      </c>
      <c r="U92" s="506" t="s">
        <v>139</v>
      </c>
      <c r="V92" s="506" t="s">
        <v>139</v>
      </c>
      <c r="W92" s="506" t="s">
        <v>139</v>
      </c>
      <c r="X92" s="506" t="s">
        <v>139</v>
      </c>
      <c r="Y92" s="506" t="s">
        <v>139</v>
      </c>
      <c r="Z92" s="506" t="s">
        <v>139</v>
      </c>
      <c r="AA92" s="506" t="s">
        <v>139</v>
      </c>
      <c r="AB92" s="2464"/>
    </row>
    <row r="93" spans="1:28" ht="16.5">
      <c r="C93" s="805"/>
      <c r="D93" s="805"/>
      <c r="E93" s="543"/>
      <c r="F93" s="543"/>
      <c r="G93" s="543"/>
      <c r="H93" s="543"/>
      <c r="I93" s="543"/>
      <c r="J93" s="543"/>
      <c r="K93" s="543"/>
      <c r="L93" s="816"/>
      <c r="M93" s="543"/>
      <c r="N93" s="543"/>
      <c r="O93" s="816"/>
      <c r="P93" s="803"/>
      <c r="Q93" s="803"/>
      <c r="V93" s="543"/>
      <c r="AB93" s="2595"/>
    </row>
    <row r="94" spans="1:28">
      <c r="B94" s="805" t="s">
        <v>284</v>
      </c>
      <c r="C94" s="805"/>
      <c r="D94" s="805"/>
      <c r="E94" s="543"/>
      <c r="F94" s="543"/>
      <c r="G94" s="543"/>
      <c r="H94" s="820">
        <f t="shared" ref="H94:X94" si="11">H6-H7-H19</f>
        <v>0</v>
      </c>
      <c r="I94" s="820">
        <f t="shared" si="11"/>
        <v>0</v>
      </c>
      <c r="J94" s="820">
        <f t="shared" si="11"/>
        <v>-100000000</v>
      </c>
      <c r="K94" s="820">
        <f t="shared" si="11"/>
        <v>0</v>
      </c>
      <c r="L94" s="820">
        <f t="shared" si="11"/>
        <v>-100000000.00024414</v>
      </c>
      <c r="M94" s="820">
        <f t="shared" si="11"/>
        <v>4.8828125E-4</v>
      </c>
      <c r="N94" s="820">
        <f t="shared" si="11"/>
        <v>2.44140625E-4</v>
      </c>
      <c r="O94" s="820">
        <f t="shared" si="11"/>
        <v>0</v>
      </c>
      <c r="P94" s="820">
        <f t="shared" si="11"/>
        <v>0</v>
      </c>
      <c r="Q94" s="820">
        <f t="shared" si="11"/>
        <v>0</v>
      </c>
      <c r="R94" s="820">
        <f t="shared" si="11"/>
        <v>0</v>
      </c>
      <c r="S94" s="820">
        <f t="shared" si="11"/>
        <v>0</v>
      </c>
      <c r="T94" s="820">
        <f t="shared" si="11"/>
        <v>0</v>
      </c>
      <c r="U94" s="820">
        <f t="shared" si="11"/>
        <v>0</v>
      </c>
      <c r="V94" s="820">
        <f t="shared" si="11"/>
        <v>0</v>
      </c>
      <c r="W94" s="820">
        <f t="shared" si="11"/>
        <v>0</v>
      </c>
      <c r="X94" s="820">
        <f t="shared" si="11"/>
        <v>0</v>
      </c>
      <c r="Y94" s="820"/>
      <c r="Z94" s="820"/>
      <c r="AA94" s="820"/>
      <c r="AB94" s="2464"/>
    </row>
    <row r="95" spans="1:28">
      <c r="B95" s="805" t="s">
        <v>616</v>
      </c>
      <c r="C95" s="805"/>
      <c r="D95" s="805"/>
      <c r="E95" s="543"/>
      <c r="F95" s="543"/>
      <c r="G95" s="543"/>
      <c r="H95" s="820">
        <f t="shared" ref="H95:X95" si="12">H7-H8-H13</f>
        <v>0</v>
      </c>
      <c r="I95" s="820">
        <f t="shared" si="12"/>
        <v>0</v>
      </c>
      <c r="J95" s="820">
        <f t="shared" si="12"/>
        <v>0</v>
      </c>
      <c r="K95" s="820">
        <f t="shared" si="12"/>
        <v>0</v>
      </c>
      <c r="L95" s="820">
        <f t="shared" si="12"/>
        <v>0</v>
      </c>
      <c r="M95" s="820">
        <f t="shared" si="12"/>
        <v>-2.74658203125E-4</v>
      </c>
      <c r="N95" s="820">
        <f t="shared" si="12"/>
        <v>-2.44140625E-4</v>
      </c>
      <c r="O95" s="820">
        <f t="shared" si="12"/>
        <v>0</v>
      </c>
      <c r="P95" s="820">
        <f t="shared" si="12"/>
        <v>0</v>
      </c>
      <c r="Q95" s="820">
        <f t="shared" si="12"/>
        <v>-100000000</v>
      </c>
      <c r="R95" s="820">
        <f t="shared" si="12"/>
        <v>0</v>
      </c>
      <c r="S95" s="820">
        <f t="shared" si="12"/>
        <v>-100000000</v>
      </c>
      <c r="T95" s="820">
        <f t="shared" si="12"/>
        <v>0</v>
      </c>
      <c r="U95" s="820">
        <f t="shared" si="12"/>
        <v>0</v>
      </c>
      <c r="V95" s="820">
        <f t="shared" si="12"/>
        <v>0</v>
      </c>
      <c r="W95" s="820">
        <f t="shared" si="12"/>
        <v>0</v>
      </c>
      <c r="X95" s="820">
        <f t="shared" si="12"/>
        <v>0</v>
      </c>
      <c r="Y95" s="820"/>
      <c r="Z95" s="820"/>
      <c r="AA95" s="820"/>
    </row>
    <row r="96" spans="1:28">
      <c r="B96" s="805" t="s">
        <v>142</v>
      </c>
      <c r="C96" s="805"/>
      <c r="D96" s="805"/>
      <c r="E96" s="543"/>
      <c r="F96" s="543"/>
      <c r="G96" s="543"/>
      <c r="H96" s="820">
        <f t="shared" ref="H96:X96" si="13">H8-H9-H11-H12</f>
        <v>0</v>
      </c>
      <c r="I96" s="820">
        <f t="shared" si="13"/>
        <v>0</v>
      </c>
      <c r="J96" s="820">
        <f t="shared" si="13"/>
        <v>0</v>
      </c>
      <c r="K96" s="820">
        <f t="shared" si="13"/>
        <v>-1.220703125E-4</v>
      </c>
      <c r="L96" s="820">
        <f t="shared" si="13"/>
        <v>0</v>
      </c>
      <c r="M96" s="820">
        <f t="shared" si="13"/>
        <v>0</v>
      </c>
      <c r="N96" s="820">
        <f t="shared" si="13"/>
        <v>0</v>
      </c>
      <c r="O96" s="820">
        <f t="shared" si="13"/>
        <v>0</v>
      </c>
      <c r="P96" s="820">
        <f t="shared" si="13"/>
        <v>0</v>
      </c>
      <c r="Q96" s="820">
        <f t="shared" si="13"/>
        <v>0</v>
      </c>
      <c r="R96" s="820">
        <f t="shared" si="13"/>
        <v>0</v>
      </c>
      <c r="S96" s="820">
        <f t="shared" si="13"/>
        <v>0</v>
      </c>
      <c r="T96" s="820">
        <f t="shared" si="13"/>
        <v>0</v>
      </c>
      <c r="U96" s="820">
        <f t="shared" si="13"/>
        <v>0</v>
      </c>
      <c r="V96" s="820">
        <f t="shared" si="13"/>
        <v>0</v>
      </c>
      <c r="W96" s="820">
        <f t="shared" si="13"/>
        <v>0</v>
      </c>
      <c r="X96" s="820">
        <f t="shared" si="13"/>
        <v>0</v>
      </c>
      <c r="Y96" s="820"/>
      <c r="Z96" s="820"/>
      <c r="AA96" s="820"/>
    </row>
    <row r="97" spans="2:27">
      <c r="B97" s="805" t="s">
        <v>360</v>
      </c>
      <c r="C97" s="805"/>
      <c r="D97" s="805"/>
      <c r="E97" s="543"/>
      <c r="F97" s="543"/>
      <c r="G97" s="543"/>
      <c r="H97" s="820">
        <f t="shared" ref="H97:X97" si="14">H13-H14-H15-H16</f>
        <v>0</v>
      </c>
      <c r="I97" s="820">
        <f t="shared" si="14"/>
        <v>0</v>
      </c>
      <c r="J97" s="820">
        <f t="shared" si="14"/>
        <v>0</v>
      </c>
      <c r="K97" s="820">
        <f t="shared" si="14"/>
        <v>0</v>
      </c>
      <c r="L97" s="820">
        <f t="shared" si="14"/>
        <v>0</v>
      </c>
      <c r="M97" s="820">
        <f t="shared" si="14"/>
        <v>0</v>
      </c>
      <c r="N97" s="820">
        <f t="shared" si="14"/>
        <v>0</v>
      </c>
      <c r="O97" s="847">
        <f t="shared" si="14"/>
        <v>199800000000</v>
      </c>
      <c r="P97" s="847">
        <f t="shared" si="14"/>
        <v>327200000000</v>
      </c>
      <c r="Q97" s="847">
        <f t="shared" si="14"/>
        <v>429500000000</v>
      </c>
      <c r="R97" s="847">
        <f t="shared" si="14"/>
        <v>416100000000</v>
      </c>
      <c r="S97" s="847">
        <f t="shared" si="14"/>
        <v>679800000000</v>
      </c>
      <c r="T97" s="847">
        <f t="shared" si="14"/>
        <v>531600000000</v>
      </c>
      <c r="U97" s="847">
        <f t="shared" si="14"/>
        <v>596500000000</v>
      </c>
      <c r="V97" s="847">
        <f t="shared" si="14"/>
        <v>621500000000</v>
      </c>
      <c r="W97" s="847">
        <f t="shared" si="14"/>
        <v>596600000000</v>
      </c>
      <c r="X97" s="847">
        <f t="shared" si="14"/>
        <v>670000000000</v>
      </c>
      <c r="Y97" s="847"/>
      <c r="Z97" s="847"/>
      <c r="AA97" s="847"/>
    </row>
    <row r="98" spans="2:27">
      <c r="B98" s="805" t="s">
        <v>1362</v>
      </c>
      <c r="C98" s="805"/>
      <c r="D98" s="805"/>
      <c r="E98" s="543"/>
      <c r="F98" s="543"/>
      <c r="G98" s="543"/>
      <c r="H98" s="820">
        <f t="shared" ref="H98:X98" si="15">H19-H20-H21</f>
        <v>0</v>
      </c>
      <c r="I98" s="820">
        <f t="shared" si="15"/>
        <v>0</v>
      </c>
      <c r="J98" s="820">
        <f t="shared" si="15"/>
        <v>0</v>
      </c>
      <c r="K98" s="820">
        <f t="shared" si="15"/>
        <v>0</v>
      </c>
      <c r="L98" s="820">
        <f t="shared" si="15"/>
        <v>0</v>
      </c>
      <c r="M98" s="820">
        <f t="shared" si="15"/>
        <v>0</v>
      </c>
      <c r="N98" s="820">
        <f t="shared" si="15"/>
        <v>0</v>
      </c>
      <c r="O98" s="847">
        <f t="shared" si="15"/>
        <v>32900000000</v>
      </c>
      <c r="P98" s="847">
        <f t="shared" si="15"/>
        <v>81200000000</v>
      </c>
      <c r="Q98" s="847">
        <f t="shared" si="15"/>
        <v>201500000000</v>
      </c>
      <c r="R98" s="847">
        <f t="shared" si="15"/>
        <v>304000000000</v>
      </c>
      <c r="S98" s="847">
        <f t="shared" si="15"/>
        <v>0</v>
      </c>
      <c r="T98" s="847">
        <f t="shared" si="15"/>
        <v>0</v>
      </c>
      <c r="U98" s="847">
        <f t="shared" si="15"/>
        <v>0</v>
      </c>
      <c r="V98" s="847">
        <f t="shared" si="15"/>
        <v>0</v>
      </c>
      <c r="W98" s="847">
        <f t="shared" si="15"/>
        <v>0</v>
      </c>
      <c r="X98" s="847">
        <f t="shared" si="15"/>
        <v>0</v>
      </c>
      <c r="Y98" s="847"/>
      <c r="Z98" s="847"/>
      <c r="AA98" s="847"/>
    </row>
    <row r="99" spans="2:27">
      <c r="B99" s="805" t="s">
        <v>2061</v>
      </c>
      <c r="C99" s="805"/>
      <c r="D99" s="805"/>
      <c r="E99" s="543"/>
      <c r="F99" s="543"/>
      <c r="G99" s="543"/>
      <c r="H99" s="820">
        <f t="shared" ref="H99:X99" si="16">H23-H24-H40-H44</f>
        <v>0</v>
      </c>
      <c r="I99" s="820">
        <f t="shared" si="16"/>
        <v>0</v>
      </c>
      <c r="J99" s="820">
        <f t="shared" si="16"/>
        <v>0</v>
      </c>
      <c r="K99" s="820">
        <f t="shared" si="16"/>
        <v>0</v>
      </c>
      <c r="L99" s="820">
        <f t="shared" si="16"/>
        <v>0</v>
      </c>
      <c r="M99" s="820">
        <f t="shared" si="16"/>
        <v>0</v>
      </c>
      <c r="N99" s="820">
        <f t="shared" si="16"/>
        <v>-2.44140625E-4</v>
      </c>
      <c r="O99" s="820">
        <f t="shared" si="16"/>
        <v>0</v>
      </c>
      <c r="P99" s="820">
        <f t="shared" si="16"/>
        <v>0</v>
      </c>
      <c r="Q99" s="820">
        <f t="shared" si="16"/>
        <v>0</v>
      </c>
      <c r="R99" s="820">
        <f t="shared" si="16"/>
        <v>0</v>
      </c>
      <c r="S99" s="820">
        <f t="shared" si="16"/>
        <v>0</v>
      </c>
      <c r="T99" s="820">
        <f t="shared" si="16"/>
        <v>0</v>
      </c>
      <c r="U99" s="820">
        <f t="shared" si="16"/>
        <v>0</v>
      </c>
      <c r="V99" s="820">
        <f t="shared" si="16"/>
        <v>0</v>
      </c>
      <c r="W99" s="820">
        <f t="shared" si="16"/>
        <v>0</v>
      </c>
      <c r="X99" s="820">
        <f t="shared" si="16"/>
        <v>0</v>
      </c>
      <c r="Y99" s="820"/>
      <c r="Z99" s="820"/>
      <c r="AA99" s="820"/>
    </row>
    <row r="100" spans="2:27">
      <c r="B100" s="805" t="s">
        <v>361</v>
      </c>
      <c r="C100" s="805"/>
      <c r="D100" s="805"/>
      <c r="E100" s="543"/>
      <c r="F100" s="543"/>
      <c r="G100" s="543"/>
      <c r="H100" s="820">
        <f t="shared" ref="H100:S100" si="17">H24-H25-H27-H30-H36-H37-H26</f>
        <v>100000000</v>
      </c>
      <c r="I100" s="820">
        <f t="shared" si="17"/>
        <v>100000000</v>
      </c>
      <c r="J100" s="820">
        <f t="shared" si="17"/>
        <v>0</v>
      </c>
      <c r="K100" s="820">
        <f t="shared" si="17"/>
        <v>0</v>
      </c>
      <c r="L100" s="820">
        <f t="shared" si="17"/>
        <v>0</v>
      </c>
      <c r="M100" s="820">
        <f t="shared" si="17"/>
        <v>0</v>
      </c>
      <c r="N100" s="820">
        <f t="shared" si="17"/>
        <v>2.44140625E-4</v>
      </c>
      <c r="O100" s="820">
        <f t="shared" si="17"/>
        <v>0</v>
      </c>
      <c r="P100" s="820">
        <f t="shared" si="17"/>
        <v>0</v>
      </c>
      <c r="Q100" s="820">
        <f t="shared" si="17"/>
        <v>0</v>
      </c>
      <c r="R100" s="820">
        <f t="shared" si="17"/>
        <v>0</v>
      </c>
      <c r="S100" s="820">
        <f t="shared" si="17"/>
        <v>0</v>
      </c>
      <c r="T100" s="820">
        <f>T24-T25-T27-T30-T36-T37-T26-T31-T32</f>
        <v>0</v>
      </c>
      <c r="U100" s="820">
        <f t="shared" ref="U100:X100" si="18">U24-U25-U27-U30-U36-U37-U26-U31-U32</f>
        <v>0</v>
      </c>
      <c r="V100" s="820">
        <f t="shared" si="18"/>
        <v>0</v>
      </c>
      <c r="W100" s="820">
        <f t="shared" si="18"/>
        <v>0</v>
      </c>
      <c r="X100" s="820">
        <f t="shared" si="18"/>
        <v>0</v>
      </c>
      <c r="Y100" s="820"/>
      <c r="Z100" s="820"/>
      <c r="AA100" s="820"/>
    </row>
    <row r="101" spans="2:27">
      <c r="B101" s="805" t="s">
        <v>876</v>
      </c>
      <c r="C101" s="805"/>
      <c r="D101" s="805"/>
      <c r="E101" s="543"/>
      <c r="F101" s="543"/>
      <c r="G101" s="543"/>
      <c r="H101" s="820">
        <f t="shared" ref="H101:R101" si="19">H40-H41-H42</f>
        <v>0</v>
      </c>
      <c r="I101" s="820">
        <f t="shared" si="19"/>
        <v>0</v>
      </c>
      <c r="J101" s="820">
        <f t="shared" si="19"/>
        <v>0</v>
      </c>
      <c r="K101" s="820">
        <f t="shared" si="19"/>
        <v>0</v>
      </c>
      <c r="L101" s="820">
        <f>L40-L41-L42</f>
        <v>0</v>
      </c>
      <c r="M101" s="820">
        <f t="shared" si="19"/>
        <v>0</v>
      </c>
      <c r="N101" s="820">
        <f t="shared" si="19"/>
        <v>0</v>
      </c>
      <c r="O101" s="820">
        <f t="shared" si="19"/>
        <v>0</v>
      </c>
      <c r="P101" s="820">
        <f t="shared" si="19"/>
        <v>0</v>
      </c>
      <c r="Q101" s="820">
        <f t="shared" si="19"/>
        <v>0</v>
      </c>
      <c r="R101" s="820">
        <f t="shared" si="19"/>
        <v>100000000</v>
      </c>
      <c r="S101" s="820">
        <f t="shared" ref="S101:X101" si="20">S40-S41-S42</f>
        <v>100000000</v>
      </c>
      <c r="T101" s="820">
        <f t="shared" si="20"/>
        <v>0</v>
      </c>
      <c r="U101" s="820">
        <f t="shared" si="20"/>
        <v>0</v>
      </c>
      <c r="V101" s="820">
        <f t="shared" si="20"/>
        <v>0</v>
      </c>
      <c r="W101" s="820">
        <f t="shared" si="20"/>
        <v>0</v>
      </c>
      <c r="X101" s="820">
        <f t="shared" si="20"/>
        <v>0</v>
      </c>
      <c r="Y101" s="820"/>
      <c r="Z101" s="820"/>
      <c r="AA101" s="820"/>
    </row>
    <row r="102" spans="2:27">
      <c r="B102" s="805" t="s">
        <v>291</v>
      </c>
      <c r="C102" s="805"/>
      <c r="D102" s="805"/>
      <c r="E102" s="543"/>
      <c r="F102" s="543"/>
      <c r="G102" s="543"/>
      <c r="H102" s="820">
        <f>H37-H38-H39</f>
        <v>0</v>
      </c>
      <c r="I102" s="820">
        <f t="shared" ref="I102:R102" si="21">I37-I38-I39</f>
        <v>0</v>
      </c>
      <c r="J102" s="820">
        <f t="shared" si="21"/>
        <v>0</v>
      </c>
      <c r="K102" s="820">
        <f t="shared" si="21"/>
        <v>0</v>
      </c>
      <c r="L102" s="820">
        <f t="shared" si="21"/>
        <v>0</v>
      </c>
      <c r="M102" s="820">
        <f t="shared" si="21"/>
        <v>0</v>
      </c>
      <c r="N102" s="820">
        <f t="shared" si="21"/>
        <v>0</v>
      </c>
      <c r="O102" s="820">
        <f t="shared" si="21"/>
        <v>0</v>
      </c>
      <c r="P102" s="820">
        <f t="shared" si="21"/>
        <v>0</v>
      </c>
      <c r="Q102" s="820">
        <f t="shared" si="21"/>
        <v>100000000</v>
      </c>
      <c r="R102" s="820">
        <f t="shared" si="21"/>
        <v>-100000000</v>
      </c>
      <c r="S102" s="820">
        <f t="shared" ref="S102:X102" si="22">S37-S38-S39</f>
        <v>0</v>
      </c>
      <c r="T102" s="820">
        <f t="shared" si="22"/>
        <v>-100000000</v>
      </c>
      <c r="U102" s="820">
        <f t="shared" si="22"/>
        <v>100000000</v>
      </c>
      <c r="V102" s="820">
        <f t="shared" si="22"/>
        <v>100000000</v>
      </c>
      <c r="W102" s="820">
        <f t="shared" si="22"/>
        <v>0</v>
      </c>
      <c r="X102" s="820">
        <f t="shared" si="22"/>
        <v>0</v>
      </c>
      <c r="Y102" s="820"/>
      <c r="Z102" s="820"/>
      <c r="AA102" s="820"/>
    </row>
    <row r="103" spans="2:27">
      <c r="B103" s="805" t="s">
        <v>148</v>
      </c>
      <c r="C103" s="805"/>
      <c r="D103" s="805"/>
      <c r="E103" s="543"/>
      <c r="F103" s="543"/>
      <c r="G103" s="543"/>
      <c r="H103" s="820">
        <f>H53-H54-H61-H86-H84</f>
        <v>0</v>
      </c>
      <c r="I103" s="820">
        <f t="shared" ref="I103:R103" si="23">I53-I54-I61-I86-I84</f>
        <v>0</v>
      </c>
      <c r="J103" s="820">
        <f t="shared" si="23"/>
        <v>100000000</v>
      </c>
      <c r="K103" s="820">
        <f t="shared" si="23"/>
        <v>0</v>
      </c>
      <c r="L103" s="820">
        <f t="shared" si="23"/>
        <v>0</v>
      </c>
      <c r="M103" s="820">
        <f>M53-M54-M61-M86-M84</f>
        <v>0</v>
      </c>
      <c r="N103" s="820">
        <f t="shared" si="23"/>
        <v>0</v>
      </c>
      <c r="O103" s="820">
        <f>O53-O54-O61-O86-O84</f>
        <v>0</v>
      </c>
      <c r="P103" s="820">
        <f>P53-P54-P61-P86-P84</f>
        <v>0</v>
      </c>
      <c r="Q103" s="820">
        <f t="shared" si="23"/>
        <v>0</v>
      </c>
      <c r="R103" s="820">
        <f t="shared" si="23"/>
        <v>0</v>
      </c>
      <c r="S103" s="820">
        <f t="shared" ref="S103:X103" si="24">S53-S54-S61-S86-S84</f>
        <v>100000000</v>
      </c>
      <c r="T103" s="820">
        <f t="shared" si="24"/>
        <v>0</v>
      </c>
      <c r="U103" s="820">
        <f t="shared" si="24"/>
        <v>0</v>
      </c>
      <c r="V103" s="820">
        <f t="shared" si="24"/>
        <v>0</v>
      </c>
      <c r="W103" s="820">
        <f t="shared" si="24"/>
        <v>0</v>
      </c>
      <c r="X103" s="820">
        <f t="shared" si="24"/>
        <v>0</v>
      </c>
      <c r="Y103" s="820"/>
      <c r="Z103" s="820"/>
      <c r="AA103" s="820"/>
    </row>
    <row r="104" spans="2:27">
      <c r="B104" s="805" t="s">
        <v>297</v>
      </c>
      <c r="C104" s="805"/>
      <c r="D104" s="805"/>
      <c r="E104" s="543"/>
      <c r="F104" s="543"/>
      <c r="G104" s="543"/>
      <c r="H104" s="820">
        <f t="shared" ref="H104:R104" si="25">H54-H55-H60</f>
        <v>0</v>
      </c>
      <c r="I104" s="820">
        <f t="shared" si="25"/>
        <v>0</v>
      </c>
      <c r="J104" s="820">
        <f t="shared" si="25"/>
        <v>-100000000</v>
      </c>
      <c r="K104" s="820">
        <f t="shared" si="25"/>
        <v>0</v>
      </c>
      <c r="L104" s="820">
        <f>L54-L55-L60</f>
        <v>0</v>
      </c>
      <c r="M104" s="820">
        <f t="shared" si="25"/>
        <v>0</v>
      </c>
      <c r="N104" s="820">
        <f t="shared" si="25"/>
        <v>0</v>
      </c>
      <c r="O104" s="820">
        <f t="shared" si="25"/>
        <v>0</v>
      </c>
      <c r="P104" s="820">
        <f t="shared" si="25"/>
        <v>0</v>
      </c>
      <c r="Q104" s="820">
        <f t="shared" si="25"/>
        <v>0</v>
      </c>
      <c r="R104" s="820">
        <f t="shared" si="25"/>
        <v>100000000</v>
      </c>
      <c r="S104" s="820">
        <f t="shared" ref="S104:X104" si="26">S54-S55-S60</f>
        <v>0</v>
      </c>
      <c r="T104" s="820">
        <f t="shared" si="26"/>
        <v>0</v>
      </c>
      <c r="U104" s="820">
        <f t="shared" si="26"/>
        <v>-100000000.00000763</v>
      </c>
      <c r="V104" s="820">
        <f t="shared" si="26"/>
        <v>0</v>
      </c>
      <c r="W104" s="820">
        <f t="shared" si="26"/>
        <v>0</v>
      </c>
      <c r="X104" s="820">
        <f t="shared" si="26"/>
        <v>0</v>
      </c>
      <c r="Y104" s="820"/>
      <c r="Z104" s="820"/>
      <c r="AA104" s="820"/>
    </row>
    <row r="105" spans="2:27">
      <c r="B105" s="805" t="s">
        <v>1575</v>
      </c>
      <c r="C105" s="805"/>
      <c r="D105" s="805"/>
      <c r="E105" s="543"/>
      <c r="F105" s="543"/>
      <c r="G105" s="543"/>
      <c r="H105" s="820">
        <f>H61-H62-H63-H64-H65-H66-H67-H68-H71</f>
        <v>0</v>
      </c>
      <c r="I105" s="820">
        <f t="shared" ref="I105:R105" si="27">I61-I62-I63-I64-I65-I66-I67-I68-I71</f>
        <v>0</v>
      </c>
      <c r="J105" s="820">
        <f t="shared" si="27"/>
        <v>-99999999.999969482</v>
      </c>
      <c r="K105" s="820">
        <f t="shared" si="27"/>
        <v>0</v>
      </c>
      <c r="L105" s="1164">
        <f>L61-L62-L63-L64-L65-L66-L67-L68-L71-L74</f>
        <v>0</v>
      </c>
      <c r="M105" s="820">
        <f>M61-M62-M63-M64-M65-M66-M67-M68-M71-M74</f>
        <v>0</v>
      </c>
      <c r="N105" s="820">
        <f>N61-N62-N63-N64-N65-N66-N67-N68-N71-N74</f>
        <v>0</v>
      </c>
      <c r="O105" s="847">
        <f>O61-O62-O63-O64-O65-O66-O67-O68-O71-O74</f>
        <v>489000000000</v>
      </c>
      <c r="P105" s="847">
        <f>P61-P62-P63-P64-P65-P66-P67-P68-P71-P74</f>
        <v>245700000000</v>
      </c>
      <c r="Q105" s="847">
        <f t="shared" si="27"/>
        <v>273899999999.99997</v>
      </c>
      <c r="R105" s="847">
        <f t="shared" si="27"/>
        <v>529400000000</v>
      </c>
      <c r="S105" s="847">
        <f t="shared" ref="S105:X105" si="28">S61-S62-S63-S64-S65-S66-S67-S68-S71</f>
        <v>776500000000</v>
      </c>
      <c r="T105" s="847">
        <f t="shared" si="28"/>
        <v>81700000000</v>
      </c>
      <c r="U105" s="847">
        <f t="shared" si="28"/>
        <v>1027500000000</v>
      </c>
      <c r="V105" s="847">
        <f t="shared" si="28"/>
        <v>1387500000000</v>
      </c>
      <c r="W105" s="847">
        <f t="shared" si="28"/>
        <v>311300000000</v>
      </c>
      <c r="X105" s="847">
        <f t="shared" si="28"/>
        <v>125200000000</v>
      </c>
      <c r="Y105" s="847"/>
      <c r="Z105" s="847"/>
      <c r="AA105" s="847"/>
    </row>
    <row r="106" spans="2:27">
      <c r="B106" s="805" t="s">
        <v>936</v>
      </c>
      <c r="C106" s="805"/>
      <c r="D106" s="805"/>
      <c r="E106" s="543"/>
      <c r="F106" s="543"/>
      <c r="G106" s="543"/>
      <c r="H106" s="820">
        <f>H37-H38-H39</f>
        <v>0</v>
      </c>
      <c r="I106" s="820">
        <f t="shared" ref="I106:R106" si="29">I37-I38-I39</f>
        <v>0</v>
      </c>
      <c r="J106" s="820">
        <f t="shared" si="29"/>
        <v>0</v>
      </c>
      <c r="K106" s="820">
        <f t="shared" si="29"/>
        <v>0</v>
      </c>
      <c r="L106" s="820">
        <f t="shared" si="29"/>
        <v>0</v>
      </c>
      <c r="M106" s="820">
        <f t="shared" si="29"/>
        <v>0</v>
      </c>
      <c r="N106" s="820">
        <f t="shared" si="29"/>
        <v>0</v>
      </c>
      <c r="O106" s="820">
        <f t="shared" si="29"/>
        <v>0</v>
      </c>
      <c r="P106" s="820">
        <f t="shared" si="29"/>
        <v>0</v>
      </c>
      <c r="Q106" s="820">
        <f t="shared" si="29"/>
        <v>100000000</v>
      </c>
      <c r="R106" s="820">
        <f t="shared" si="29"/>
        <v>-100000000</v>
      </c>
      <c r="S106" s="820">
        <f t="shared" ref="S106:X106" si="30">S37-S38-S39</f>
        <v>0</v>
      </c>
      <c r="T106" s="820">
        <f t="shared" si="30"/>
        <v>-100000000</v>
      </c>
      <c r="U106" s="820">
        <f t="shared" si="30"/>
        <v>100000000</v>
      </c>
      <c r="V106" s="820">
        <f t="shared" si="30"/>
        <v>100000000</v>
      </c>
      <c r="W106" s="820">
        <f t="shared" si="30"/>
        <v>0</v>
      </c>
      <c r="X106" s="820">
        <f t="shared" si="30"/>
        <v>0</v>
      </c>
      <c r="Y106" s="820"/>
      <c r="Z106" s="820"/>
      <c r="AA106" s="820"/>
    </row>
    <row r="107" spans="2:27">
      <c r="B107" s="805"/>
      <c r="C107" s="805"/>
      <c r="D107" s="805"/>
      <c r="E107" s="543"/>
      <c r="F107" s="543"/>
      <c r="G107" s="543"/>
      <c r="H107" s="543"/>
      <c r="K107" s="543"/>
      <c r="L107" s="543"/>
      <c r="M107" s="543"/>
      <c r="N107" s="543"/>
      <c r="O107" s="543"/>
      <c r="P107" s="543"/>
      <c r="Q107" s="543"/>
      <c r="R107" s="543"/>
      <c r="S107" s="543"/>
      <c r="T107" s="543"/>
      <c r="U107" s="543"/>
      <c r="V107" s="543"/>
      <c r="W107" s="543"/>
      <c r="X107" s="543"/>
      <c r="Y107" s="543"/>
      <c r="Z107" s="543"/>
      <c r="AA107" s="543"/>
    </row>
    <row r="108" spans="2:27">
      <c r="B108" s="805" t="s">
        <v>1040</v>
      </c>
      <c r="C108" s="805"/>
      <c r="D108" s="805"/>
      <c r="E108" s="543"/>
      <c r="F108" s="543"/>
      <c r="G108" s="543"/>
      <c r="H108" s="821">
        <v>8745459999999.999</v>
      </c>
      <c r="I108" s="821">
        <v>9011755000000</v>
      </c>
      <c r="J108" s="821">
        <v>9307908000000</v>
      </c>
      <c r="K108" s="821">
        <v>9750029000000</v>
      </c>
      <c r="L108" s="821">
        <v>10848040000000</v>
      </c>
      <c r="M108" s="821">
        <v>11463500000000</v>
      </c>
      <c r="N108" s="821">
        <v>12324723000000</v>
      </c>
      <c r="O108" s="821">
        <v>11976725000000</v>
      </c>
      <c r="P108" s="821">
        <v>13834566000000</v>
      </c>
      <c r="Q108" s="821">
        <v>15345885000000</v>
      </c>
      <c r="R108" s="821">
        <v>16730479000000</v>
      </c>
      <c r="S108" s="846">
        <v>18495000000000</v>
      </c>
      <c r="T108" s="846">
        <v>20432000000000</v>
      </c>
      <c r="U108" s="846">
        <v>22505000000000</v>
      </c>
      <c r="V108" s="846">
        <v>24671000000000</v>
      </c>
      <c r="W108" s="846">
        <v>26992000000000</v>
      </c>
      <c r="X108" s="846">
        <v>29470000000000</v>
      </c>
      <c r="Y108" s="846"/>
      <c r="Z108" s="846"/>
      <c r="AA108" s="846"/>
    </row>
    <row r="109" spans="2:27">
      <c r="B109" s="805" t="s">
        <v>1963</v>
      </c>
      <c r="C109" s="805"/>
      <c r="D109" s="805"/>
      <c r="E109" s="543"/>
      <c r="F109" s="543"/>
      <c r="G109" s="543"/>
      <c r="H109" s="543">
        <f t="shared" ref="H109:X109" si="31">(H6/H108)*100</f>
        <v>17.237515236476987</v>
      </c>
      <c r="I109" s="543">
        <f t="shared" si="31"/>
        <v>17.377303311064271</v>
      </c>
      <c r="J109" s="543">
        <f t="shared" si="31"/>
        <v>18.559487266096742</v>
      </c>
      <c r="K109" s="543">
        <f t="shared" si="31"/>
        <v>19.191737788677347</v>
      </c>
      <c r="L109" s="543">
        <f t="shared" si="31"/>
        <v>19.876401635687184</v>
      </c>
      <c r="M109" s="543">
        <f t="shared" si="31"/>
        <v>18.500457975312951</v>
      </c>
      <c r="N109" s="543">
        <f t="shared" si="31"/>
        <v>18.147263837085831</v>
      </c>
      <c r="O109" s="543">
        <f t="shared" si="31"/>
        <v>14.410450269167907</v>
      </c>
      <c r="P109" s="543">
        <f t="shared" si="31"/>
        <v>18.948191074443535</v>
      </c>
      <c r="Q109" s="543">
        <f t="shared" si="31"/>
        <v>19.806612652186566</v>
      </c>
      <c r="R109" s="543">
        <f t="shared" si="31"/>
        <v>19.685031133896405</v>
      </c>
      <c r="S109" s="543">
        <f t="shared" si="31"/>
        <v>21.177615571776158</v>
      </c>
      <c r="T109" s="543">
        <f t="shared" si="31"/>
        <v>20.441464369616288</v>
      </c>
      <c r="U109" s="543">
        <f t="shared" si="31"/>
        <v>20.043990224394577</v>
      </c>
      <c r="V109" s="543">
        <f t="shared" si="31"/>
        <v>19.827327631632279</v>
      </c>
      <c r="W109" s="543">
        <f t="shared" si="31"/>
        <v>19.703986366330764</v>
      </c>
      <c r="X109" s="543">
        <f t="shared" si="31"/>
        <v>19.869697997964032</v>
      </c>
      <c r="Y109" s="543"/>
      <c r="Z109" s="543"/>
      <c r="AA109" s="543"/>
    </row>
    <row r="110" spans="2:27">
      <c r="B110" s="805" t="s">
        <v>2062</v>
      </c>
      <c r="C110" s="805"/>
      <c r="D110" s="805"/>
      <c r="E110" s="543"/>
      <c r="F110" s="543"/>
      <c r="G110" s="543"/>
      <c r="H110" s="543">
        <f t="shared" ref="H110:X110" si="32">(H22/H108)*100</f>
        <v>18.793751272088606</v>
      </c>
      <c r="I110" s="543">
        <f t="shared" si="32"/>
        <v>19.019602729989884</v>
      </c>
      <c r="J110" s="543">
        <f t="shared" si="32"/>
        <v>20.303165867131476</v>
      </c>
      <c r="K110" s="543">
        <f t="shared" si="32"/>
        <v>19.947632976271148</v>
      </c>
      <c r="L110" s="543">
        <f t="shared" si="32"/>
        <v>20.43871519647789</v>
      </c>
      <c r="M110" s="543">
        <f t="shared" si="32"/>
        <v>19.993021328564573</v>
      </c>
      <c r="N110" s="543">
        <f t="shared" si="32"/>
        <v>20.266581244868544</v>
      </c>
      <c r="O110" s="543">
        <f t="shared" si="32"/>
        <v>18.441602357906689</v>
      </c>
      <c r="P110" s="543">
        <f t="shared" si="32"/>
        <v>22.075141352464545</v>
      </c>
      <c r="Q110" s="543">
        <f t="shared" si="32"/>
        <v>22.061940383366615</v>
      </c>
      <c r="R110" s="543">
        <f t="shared" si="32"/>
        <v>21.933024153104043</v>
      </c>
      <c r="S110" s="543">
        <f t="shared" si="32"/>
        <v>0</v>
      </c>
      <c r="T110" s="543">
        <f t="shared" si="32"/>
        <v>0</v>
      </c>
      <c r="U110" s="543">
        <f t="shared" si="32"/>
        <v>0</v>
      </c>
      <c r="V110" s="543">
        <f t="shared" si="32"/>
        <v>0</v>
      </c>
      <c r="W110" s="543">
        <f t="shared" si="32"/>
        <v>0</v>
      </c>
      <c r="X110" s="543">
        <f t="shared" si="32"/>
        <v>0</v>
      </c>
      <c r="Y110" s="543"/>
      <c r="Z110" s="543"/>
      <c r="AA110" s="543"/>
    </row>
    <row r="111" spans="2:27" ht="13.5" customHeight="1"/>
    <row r="112" spans="2:27">
      <c r="B112" s="506" t="s">
        <v>153</v>
      </c>
      <c r="D112" s="506" t="b">
        <f>IF(D53&lt;0, (D53/D33)*100)</f>
        <v>0</v>
      </c>
      <c r="E112" s="506" t="b">
        <f>IF(E53&lt;0, (E53/E33)*100)</f>
        <v>0</v>
      </c>
      <c r="F112" s="506" t="b">
        <f>IF(F53&lt;0, (F53/F33)*100)</f>
        <v>0</v>
      </c>
      <c r="G112" s="506" t="b">
        <f>IF(G53&lt;0, (G53/G33)*100)</f>
        <v>0</v>
      </c>
      <c r="H112" s="506" t="b">
        <f t="shared" ref="H112:R112" si="33">IF(H44&lt;0, (H44/H22)*100)</f>
        <v>0</v>
      </c>
      <c r="I112" s="506" t="b">
        <f t="shared" si="33"/>
        <v>0</v>
      </c>
      <c r="J112" s="506" t="b">
        <f t="shared" si="33"/>
        <v>0</v>
      </c>
      <c r="K112" s="506" t="b">
        <f t="shared" si="33"/>
        <v>0</v>
      </c>
      <c r="L112" s="506" t="b">
        <f t="shared" si="33"/>
        <v>0</v>
      </c>
      <c r="M112" s="506" t="b">
        <f t="shared" si="33"/>
        <v>0</v>
      </c>
      <c r="N112" s="506" t="b">
        <f t="shared" si="33"/>
        <v>0</v>
      </c>
      <c r="O112" s="506" t="b">
        <f t="shared" si="33"/>
        <v>0</v>
      </c>
      <c r="P112" s="506" t="b">
        <f t="shared" si="33"/>
        <v>0</v>
      </c>
      <c r="Q112" s="506" t="b">
        <f t="shared" si="33"/>
        <v>0</v>
      </c>
      <c r="R112" s="506" t="b">
        <f t="shared" si="33"/>
        <v>0</v>
      </c>
      <c r="S112" s="506" t="b">
        <f>IF(S44&lt;0, (S44/#REF!)*100)</f>
        <v>0</v>
      </c>
      <c r="T112" s="506" t="b">
        <f>IF(T44&lt;0, (T44/#REF!)*100)</f>
        <v>0</v>
      </c>
      <c r="U112" s="506" t="b">
        <f>IF(U44&lt;0, (U44/#REF!)*100)</f>
        <v>0</v>
      </c>
      <c r="V112" s="506" t="b">
        <f>IF(V44&lt;0, (V44/#REF!)*100)</f>
        <v>0</v>
      </c>
      <c r="W112" s="506" t="b">
        <f>IF(W44&lt;0, (W44/#REF!)*100)</f>
        <v>0</v>
      </c>
      <c r="X112" s="506" t="b">
        <f>IF(X54&lt;0, (X54/X33)*100)</f>
        <v>0</v>
      </c>
    </row>
    <row r="113" spans="8:27">
      <c r="X113" s="543"/>
      <c r="Y113" s="543"/>
      <c r="Z113" s="543"/>
      <c r="AA113" s="543"/>
    </row>
    <row r="115" spans="8:27">
      <c r="H115" s="820"/>
      <c r="U115" s="820"/>
    </row>
    <row r="116" spans="8:27">
      <c r="H116" s="820"/>
      <c r="S116" s="846"/>
      <c r="T116" s="846"/>
      <c r="U116" s="846"/>
      <c r="V116" s="846"/>
      <c r="W116" s="846"/>
      <c r="X116" s="846"/>
      <c r="Y116" s="846"/>
      <c r="Z116" s="846"/>
      <c r="AA116" s="846"/>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2063</v>
      </c>
      <c r="B1" s="82" t="s">
        <v>2064</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30" t="s">
        <v>2065</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15" customFormat="1" ht="17.25">
      <c r="A6" s="95" t="s">
        <v>1498</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83">
        <v>4369000000000</v>
      </c>
      <c r="Q6" s="483">
        <v>4588000000000</v>
      </c>
      <c r="R6" s="125">
        <f>R7+R40</f>
        <v>6007088000000</v>
      </c>
      <c r="S6" s="125">
        <f t="shared" ref="S6:T6" si="0">S7+S40</f>
        <v>5702474800000</v>
      </c>
      <c r="T6" s="125">
        <f t="shared" si="0"/>
        <v>4961024100000</v>
      </c>
      <c r="U6" s="483"/>
      <c r="V6" s="483"/>
      <c r="W6" s="483"/>
      <c r="X6" s="48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row>
    <row r="7" spans="1:56" ht="17.25">
      <c r="A7" t="s">
        <v>36</v>
      </c>
      <c r="B7" s="90" t="s">
        <v>2066</v>
      </c>
      <c r="C7" s="11" t="s">
        <v>38</v>
      </c>
      <c r="D7" s="105"/>
      <c r="E7" s="105"/>
      <c r="F7" s="105"/>
      <c r="G7" s="84"/>
      <c r="H7" s="84"/>
      <c r="I7" s="84"/>
      <c r="J7" s="84"/>
      <c r="K7" s="111">
        <v>761000000000</v>
      </c>
      <c r="L7" s="111">
        <v>1205000000000</v>
      </c>
      <c r="M7" s="111">
        <v>1528000000000</v>
      </c>
      <c r="N7" s="112">
        <f>3929000000000-N40</f>
        <v>2253000000000</v>
      </c>
      <c r="O7" s="111">
        <v>2714000000000</v>
      </c>
      <c r="P7" s="483">
        <v>3639000000000</v>
      </c>
      <c r="Q7" s="483">
        <v>3873000000000</v>
      </c>
      <c r="R7" s="483">
        <f>R8+R23</f>
        <v>4347496600000</v>
      </c>
      <c r="S7" s="483">
        <f t="shared" ref="S7:T7" si="1">S8+S23</f>
        <v>4415544100000</v>
      </c>
      <c r="T7" s="483">
        <f t="shared" si="1"/>
        <v>3655157000000</v>
      </c>
      <c r="U7" s="125"/>
      <c r="V7" s="125"/>
      <c r="W7" s="483"/>
      <c r="X7" s="483"/>
      <c r="Y7" s="365"/>
      <c r="Z7" s="48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83">
        <v>2565000000000</v>
      </c>
      <c r="Q8" s="483">
        <v>2823000000000</v>
      </c>
      <c r="R8" s="483">
        <f>R9+R13+R17+R18</f>
        <v>3615470800000</v>
      </c>
      <c r="S8" s="483">
        <f t="shared" ref="S8:T8" si="2">S9+S13+S17+S18</f>
        <v>3850292500000</v>
      </c>
      <c r="T8" s="483">
        <f t="shared" si="2"/>
        <v>3128520500000</v>
      </c>
      <c r="U8" s="483"/>
      <c r="V8" s="483"/>
      <c r="W8" s="483"/>
      <c r="X8" s="48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ht="17.25">
      <c r="A9" s="99" t="s">
        <v>42</v>
      </c>
      <c r="B9" s="99" t="s">
        <v>2067</v>
      </c>
      <c r="C9" t="s">
        <v>44</v>
      </c>
      <c r="D9" s="105"/>
      <c r="E9" s="105"/>
      <c r="F9" s="105"/>
      <c r="G9" s="84"/>
      <c r="H9" s="84"/>
      <c r="I9" s="84"/>
      <c r="J9" s="84"/>
      <c r="K9" s="111"/>
      <c r="L9" s="111"/>
      <c r="M9" s="111"/>
      <c r="N9" s="111">
        <v>582000000000</v>
      </c>
      <c r="O9" s="111"/>
      <c r="P9" s="483">
        <v>689000000000</v>
      </c>
      <c r="Q9" s="483">
        <v>942000000000</v>
      </c>
      <c r="R9" s="125">
        <v>1102055700000</v>
      </c>
      <c r="S9" s="125">
        <v>1249961500000</v>
      </c>
      <c r="T9" s="125">
        <v>987123700000</v>
      </c>
      <c r="U9" s="483"/>
      <c r="V9" s="483"/>
      <c r="W9" s="483"/>
      <c r="X9" s="48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ht="17.25">
      <c r="A10" s="100" t="s">
        <v>2068</v>
      </c>
      <c r="B10" s="100" t="s">
        <v>2068</v>
      </c>
      <c r="C10" t="s">
        <v>2069</v>
      </c>
      <c r="D10" s="105"/>
      <c r="E10" s="105"/>
      <c r="F10" s="105"/>
      <c r="G10" s="84"/>
      <c r="H10" s="84"/>
      <c r="I10" s="84"/>
      <c r="J10" s="84"/>
      <c r="K10" s="111"/>
      <c r="L10" s="111"/>
      <c r="M10" s="111"/>
      <c r="N10" s="111"/>
      <c r="O10" s="111"/>
      <c r="P10" s="483">
        <v>360000000000</v>
      </c>
      <c r="Q10" s="483">
        <v>529000000000</v>
      </c>
      <c r="R10" s="125">
        <v>582680400000</v>
      </c>
      <c r="S10" s="125">
        <v>568227900000</v>
      </c>
      <c r="T10" s="125">
        <v>562374400000</v>
      </c>
      <c r="U10" s="483"/>
      <c r="V10" s="483"/>
      <c r="W10" s="483"/>
      <c r="X10" s="48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ht="17.25">
      <c r="A11" s="100" t="s">
        <v>2070</v>
      </c>
      <c r="B11" s="100" t="s">
        <v>2070</v>
      </c>
      <c r="C11" t="s">
        <v>2069</v>
      </c>
      <c r="D11" s="105"/>
      <c r="E11" s="105"/>
      <c r="F11" s="105"/>
      <c r="G11" s="84"/>
      <c r="H11" s="84"/>
      <c r="I11" s="84"/>
      <c r="J11" s="84"/>
      <c r="K11" s="111"/>
      <c r="L11" s="111"/>
      <c r="M11" s="111"/>
      <c r="N11" s="111"/>
      <c r="O11" s="111"/>
      <c r="P11" s="483">
        <v>329000000000</v>
      </c>
      <c r="Q11" s="483">
        <v>413000000000</v>
      </c>
      <c r="R11" s="483">
        <f>R9-R10</f>
        <v>519375300000</v>
      </c>
      <c r="S11" s="483">
        <f t="shared" ref="S11:T11" si="3">S9-S10</f>
        <v>681733600000</v>
      </c>
      <c r="T11" s="483">
        <f t="shared" si="3"/>
        <v>424749300000</v>
      </c>
      <c r="U11" s="483"/>
      <c r="V11" s="483"/>
      <c r="W11" s="483"/>
      <c r="X11" s="48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ht="17.25">
      <c r="A12" s="99" t="s">
        <v>2071</v>
      </c>
      <c r="B12" s="99" t="s">
        <v>2071</v>
      </c>
      <c r="C12" t="s">
        <v>44</v>
      </c>
      <c r="D12" s="105"/>
      <c r="E12" s="105"/>
      <c r="F12" s="105"/>
      <c r="G12" s="84"/>
      <c r="H12" s="84"/>
      <c r="I12" s="84"/>
      <c r="J12" s="84"/>
      <c r="K12" s="111"/>
      <c r="L12" s="111"/>
      <c r="M12" s="111"/>
      <c r="N12" s="111"/>
      <c r="O12" s="111"/>
      <c r="P12" s="483">
        <v>26000000000</v>
      </c>
      <c r="Q12" s="483">
        <v>46000000000</v>
      </c>
      <c r="R12" s="483"/>
      <c r="S12" s="483"/>
      <c r="T12" s="483"/>
      <c r="U12" s="483"/>
      <c r="V12" s="483"/>
      <c r="W12" s="483"/>
      <c r="X12" s="48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ht="17.25">
      <c r="A13" s="99" t="s">
        <v>2072</v>
      </c>
      <c r="B13" s="99" t="s">
        <v>2073</v>
      </c>
      <c r="C13" t="s">
        <v>44</v>
      </c>
      <c r="D13" s="105"/>
      <c r="E13" s="105"/>
      <c r="F13" s="105"/>
      <c r="G13" s="84"/>
      <c r="H13" s="84"/>
      <c r="I13" s="84"/>
      <c r="J13" s="84"/>
      <c r="K13" s="111"/>
      <c r="L13" s="111"/>
      <c r="M13" s="111"/>
      <c r="N13" s="111">
        <v>742000000000</v>
      </c>
      <c r="O13" s="111"/>
      <c r="P13" s="483">
        <v>1850000000000</v>
      </c>
      <c r="Q13" s="483">
        <v>1835000000000</v>
      </c>
      <c r="R13" s="125">
        <v>1012073500000</v>
      </c>
      <c r="S13" s="125">
        <v>1097215100000</v>
      </c>
      <c r="T13" s="125">
        <v>1106568100000</v>
      </c>
      <c r="U13" s="483"/>
      <c r="V13" s="483"/>
      <c r="W13" s="483"/>
      <c r="X13" s="48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ht="17.25">
      <c r="A14" s="100" t="s">
        <v>2074</v>
      </c>
      <c r="B14" s="100" t="s">
        <v>2075</v>
      </c>
      <c r="C14" t="s">
        <v>2076</v>
      </c>
      <c r="D14" s="105"/>
      <c r="E14" s="105"/>
      <c r="F14" s="105"/>
      <c r="G14" s="84"/>
      <c r="H14" s="84"/>
      <c r="I14" s="84"/>
      <c r="J14" s="84"/>
      <c r="K14" s="111"/>
      <c r="L14" s="111"/>
      <c r="M14" s="111"/>
      <c r="N14" s="111"/>
      <c r="O14" s="111"/>
      <c r="P14" s="483">
        <v>1137000000000</v>
      </c>
      <c r="Q14" s="483">
        <v>963000000000</v>
      </c>
      <c r="R14" s="483"/>
      <c r="S14" s="483"/>
      <c r="T14" s="483"/>
      <c r="U14" s="483"/>
      <c r="V14" s="483"/>
      <c r="W14" s="483"/>
      <c r="X14" s="48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ht="17.25">
      <c r="A15" s="100" t="s">
        <v>2077</v>
      </c>
      <c r="B15" s="100" t="s">
        <v>2077</v>
      </c>
      <c r="C15" t="s">
        <v>2076</v>
      </c>
      <c r="D15" s="105"/>
      <c r="E15" s="105"/>
      <c r="F15" s="105"/>
      <c r="G15" s="84"/>
      <c r="H15" s="84"/>
      <c r="I15" s="84"/>
      <c r="J15" s="84"/>
      <c r="K15" s="111"/>
      <c r="L15" s="111"/>
      <c r="M15" s="111"/>
      <c r="N15" s="111"/>
      <c r="O15" s="111"/>
      <c r="P15" s="483">
        <v>241000000000</v>
      </c>
      <c r="Q15" s="483">
        <v>332000000000</v>
      </c>
      <c r="R15" s="483"/>
      <c r="S15" s="125"/>
      <c r="T15" s="483"/>
      <c r="U15" s="483"/>
      <c r="V15" s="483"/>
      <c r="W15" s="483"/>
      <c r="X15" s="48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ht="17.25">
      <c r="A16" s="100" t="s">
        <v>790</v>
      </c>
      <c r="B16" s="100" t="s">
        <v>790</v>
      </c>
      <c r="C16" t="s">
        <v>2076</v>
      </c>
      <c r="D16" s="105"/>
      <c r="E16" s="105"/>
      <c r="F16" s="105"/>
      <c r="G16" s="84"/>
      <c r="H16" s="84"/>
      <c r="I16" s="84"/>
      <c r="J16" s="84"/>
      <c r="K16" s="111"/>
      <c r="L16" s="111"/>
      <c r="M16" s="111"/>
      <c r="N16" s="111"/>
      <c r="O16" s="111"/>
      <c r="P16" s="483">
        <v>472000000000</v>
      </c>
      <c r="Q16" s="483">
        <v>540000000000</v>
      </c>
      <c r="R16" s="13"/>
      <c r="S16" s="13"/>
      <c r="T16" s="13"/>
      <c r="U16" s="483"/>
      <c r="V16" s="483"/>
      <c r="W16" s="483"/>
      <c r="X16" s="48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20" t="s">
        <v>45</v>
      </c>
      <c r="B17" s="99" t="s">
        <v>2078</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 t="s">
        <v>49</v>
      </c>
      <c r="B18" s="99" t="s">
        <v>2079</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t="s">
        <v>76</v>
      </c>
      <c r="B19" s="90" t="s">
        <v>2080</v>
      </c>
      <c r="C19" s="90"/>
      <c r="D19" s="113"/>
      <c r="E19" s="113"/>
      <c r="F19" s="113"/>
      <c r="G19" s="84"/>
      <c r="H19" s="84"/>
      <c r="I19" s="84"/>
      <c r="J19" s="84"/>
      <c r="K19" s="116">
        <v>761000000000</v>
      </c>
      <c r="L19" s="116">
        <v>1205000000000</v>
      </c>
      <c r="M19" s="115"/>
      <c r="N19" s="114"/>
      <c r="O19" s="111">
        <v>2714000000000</v>
      </c>
      <c r="P19" s="111"/>
      <c r="Q19" s="111"/>
      <c r="R19" s="490"/>
      <c r="S19" s="111"/>
      <c r="T19" s="111"/>
      <c r="U19" s="111"/>
      <c r="V19" s="111"/>
      <c r="W19" s="111"/>
      <c r="X19" s="11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9" t="s">
        <v>2081</v>
      </c>
      <c r="B20" s="99" t="s">
        <v>2082</v>
      </c>
      <c r="C20" t="s">
        <v>44</v>
      </c>
      <c r="D20" s="113"/>
      <c r="E20" s="113"/>
      <c r="F20" s="113"/>
      <c r="G20" s="84"/>
      <c r="H20" s="84"/>
      <c r="I20" s="84"/>
      <c r="J20" s="84"/>
      <c r="K20" s="111">
        <v>278000000000</v>
      </c>
      <c r="L20" s="111">
        <v>427000000000</v>
      </c>
      <c r="M20" s="111">
        <v>560000000000</v>
      </c>
      <c r="N20" s="114"/>
      <c r="O20" s="111">
        <v>1001000000000</v>
      </c>
      <c r="P20" s="111"/>
      <c r="Q20" s="111"/>
      <c r="R20" s="490"/>
      <c r="S20" s="111"/>
      <c r="T20" s="111"/>
      <c r="U20" s="111"/>
      <c r="V20" s="111"/>
      <c r="W20" s="111"/>
      <c r="X20" s="11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9" t="s">
        <v>884</v>
      </c>
      <c r="B21" s="99" t="s">
        <v>2083</v>
      </c>
      <c r="C21" t="s">
        <v>44</v>
      </c>
      <c r="D21" s="113"/>
      <c r="E21" s="113"/>
      <c r="F21" s="113"/>
      <c r="G21" s="84"/>
      <c r="H21" s="84"/>
      <c r="I21" s="84"/>
      <c r="J21" s="84"/>
      <c r="K21" s="111">
        <v>260000000000</v>
      </c>
      <c r="L21" s="111">
        <v>431000000000</v>
      </c>
      <c r="M21" s="111">
        <v>565000000000</v>
      </c>
      <c r="N21" s="115"/>
      <c r="O21" s="111">
        <v>956000000000</v>
      </c>
      <c r="P21" s="111"/>
      <c r="Q21" s="111"/>
      <c r="R21" s="491"/>
      <c r="S21" s="111"/>
      <c r="T21" s="111"/>
      <c r="U21" s="111"/>
      <c r="V21" s="111"/>
      <c r="W21" s="111"/>
      <c r="X21" s="1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99" t="s">
        <v>2084</v>
      </c>
      <c r="B22" s="99" t="s">
        <v>2085</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ht="17.25">
      <c r="A23" s="1" t="s">
        <v>51</v>
      </c>
      <c r="B23" s="90" t="s">
        <v>2086</v>
      </c>
      <c r="C23" s="11" t="s">
        <v>41</v>
      </c>
      <c r="D23" s="105"/>
      <c r="E23" s="105"/>
      <c r="F23" s="105"/>
      <c r="G23" s="84"/>
      <c r="H23" s="84"/>
      <c r="I23" s="84"/>
      <c r="J23" s="84"/>
      <c r="K23" s="112">
        <f>K7-K8</f>
        <v>64000000000</v>
      </c>
      <c r="L23" s="112">
        <f>L7-L8</f>
        <v>117000000000</v>
      </c>
      <c r="M23" s="111">
        <v>271000000000</v>
      </c>
      <c r="N23" s="115">
        <v>598000000000</v>
      </c>
      <c r="O23" s="111">
        <v>389000000000</v>
      </c>
      <c r="P23" s="483">
        <v>1074000000000</v>
      </c>
      <c r="Q23" s="483">
        <v>1049000000000</v>
      </c>
      <c r="R23" s="125">
        <v>732025800000</v>
      </c>
      <c r="S23" s="125">
        <v>565251600000</v>
      </c>
      <c r="T23" s="125">
        <v>526636500000</v>
      </c>
      <c r="U23" s="125"/>
      <c r="V23" s="125"/>
      <c r="W23" s="483"/>
      <c r="X23" s="483"/>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ht="17.25">
      <c r="A24" s="428" t="s">
        <v>2087</v>
      </c>
      <c r="B24" s="428" t="s">
        <v>2087</v>
      </c>
      <c r="C24" s="424" t="s">
        <v>192</v>
      </c>
      <c r="D24" s="105"/>
      <c r="E24" s="105"/>
      <c r="F24" s="105"/>
      <c r="G24" s="84"/>
      <c r="H24" s="84"/>
      <c r="I24" s="84"/>
      <c r="J24" s="84"/>
      <c r="K24" s="115"/>
      <c r="L24" s="115"/>
      <c r="M24" s="111"/>
      <c r="N24" s="115"/>
      <c r="O24" s="111"/>
      <c r="P24" s="483">
        <v>689000000000</v>
      </c>
      <c r="Q24" s="483">
        <v>404000000000</v>
      </c>
      <c r="R24" s="483"/>
      <c r="S24" s="483"/>
      <c r="T24" s="483"/>
      <c r="U24" s="483"/>
      <c r="V24" s="483"/>
      <c r="W24" s="483"/>
      <c r="X24" s="48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ht="17.25">
      <c r="A25" s="428" t="s">
        <v>2088</v>
      </c>
      <c r="B25" s="428" t="s">
        <v>2089</v>
      </c>
      <c r="C25" s="424" t="s">
        <v>2090</v>
      </c>
      <c r="D25" s="105"/>
      <c r="E25" s="105"/>
      <c r="F25" s="105"/>
      <c r="G25" s="84"/>
      <c r="H25" s="84"/>
      <c r="I25" s="84"/>
      <c r="J25" s="84"/>
      <c r="K25" s="115"/>
      <c r="L25" s="115"/>
      <c r="M25" s="111"/>
      <c r="N25" s="115"/>
      <c r="O25" s="111"/>
      <c r="P25" s="483">
        <v>90000000000</v>
      </c>
      <c r="Q25" s="483">
        <v>108000000000</v>
      </c>
      <c r="R25" s="483"/>
      <c r="S25" s="483"/>
      <c r="T25" s="483"/>
      <c r="U25" s="483"/>
      <c r="V25" s="483"/>
      <c r="W25" s="483"/>
      <c r="X25" s="48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ht="17.25">
      <c r="A26" s="428" t="s">
        <v>2091</v>
      </c>
      <c r="B26" s="428" t="s">
        <v>2091</v>
      </c>
      <c r="C26" s="424" t="s">
        <v>2090</v>
      </c>
      <c r="D26" s="105"/>
      <c r="E26" s="105"/>
      <c r="F26" s="105"/>
      <c r="G26" s="84"/>
      <c r="H26" s="84"/>
      <c r="I26" s="84"/>
      <c r="J26" s="84"/>
      <c r="K26" s="115"/>
      <c r="L26" s="115"/>
      <c r="M26" s="111"/>
      <c r="N26" s="115"/>
      <c r="O26" s="111"/>
      <c r="P26" s="483">
        <v>304000000000</v>
      </c>
      <c r="Q26" s="483">
        <v>0</v>
      </c>
      <c r="R26" s="483"/>
      <c r="S26" s="483"/>
      <c r="T26" s="483"/>
      <c r="U26" s="483"/>
      <c r="V26" s="483"/>
      <c r="W26" s="483"/>
      <c r="X26" s="48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ht="17.25">
      <c r="A27" s="428" t="s">
        <v>2092</v>
      </c>
      <c r="B27" s="428" t="s">
        <v>2093</v>
      </c>
      <c r="C27" s="424" t="s">
        <v>2090</v>
      </c>
      <c r="D27" s="105"/>
      <c r="E27" s="105"/>
      <c r="F27" s="105"/>
      <c r="G27" s="84"/>
      <c r="H27" s="84"/>
      <c r="I27" s="84"/>
      <c r="J27" s="84"/>
      <c r="K27" s="115"/>
      <c r="L27" s="115"/>
      <c r="M27" s="111"/>
      <c r="N27" s="115"/>
      <c r="O27" s="111"/>
      <c r="P27" s="483">
        <v>168000000000</v>
      </c>
      <c r="Q27" s="483">
        <v>173000000000</v>
      </c>
      <c r="R27" s="483"/>
      <c r="S27" s="483"/>
      <c r="T27" s="483"/>
      <c r="U27" s="483"/>
      <c r="V27" s="483"/>
      <c r="W27" s="483"/>
      <c r="X27" s="48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ht="17.25">
      <c r="A28" s="428" t="s">
        <v>2094</v>
      </c>
      <c r="B28" s="428" t="s">
        <v>2095</v>
      </c>
      <c r="C28" s="424" t="s">
        <v>2090</v>
      </c>
      <c r="D28" s="105"/>
      <c r="E28" s="105"/>
      <c r="F28" s="105"/>
      <c r="G28" s="84"/>
      <c r="H28" s="84"/>
      <c r="I28" s="84"/>
      <c r="J28" s="84"/>
      <c r="K28" s="115"/>
      <c r="L28" s="115"/>
      <c r="M28" s="111"/>
      <c r="N28" s="115"/>
      <c r="O28" s="111"/>
      <c r="P28" s="483">
        <v>1000000000</v>
      </c>
      <c r="Q28" s="483">
        <v>0</v>
      </c>
      <c r="R28" s="483"/>
      <c r="S28" s="483"/>
      <c r="T28" s="483"/>
      <c r="U28" s="483"/>
      <c r="V28" s="483"/>
      <c r="W28" s="483"/>
      <c r="X28" s="48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ht="17.25">
      <c r="A29" s="480" t="s">
        <v>2096</v>
      </c>
      <c r="B29" s="480" t="s">
        <v>2096</v>
      </c>
      <c r="C29" s="424" t="s">
        <v>2090</v>
      </c>
      <c r="D29" s="105"/>
      <c r="E29" s="105"/>
      <c r="F29" s="105"/>
      <c r="G29" s="84"/>
      <c r="H29" s="84"/>
      <c r="I29" s="84"/>
      <c r="J29" s="84"/>
      <c r="K29" s="115"/>
      <c r="L29" s="115"/>
      <c r="M29" s="111"/>
      <c r="N29" s="115"/>
      <c r="O29" s="111"/>
      <c r="P29" s="483">
        <v>125000000000</v>
      </c>
      <c r="Q29" s="483">
        <v>123000000000</v>
      </c>
      <c r="R29" s="483"/>
      <c r="S29" s="483"/>
      <c r="T29" s="483"/>
      <c r="U29" s="483"/>
      <c r="V29" s="483"/>
      <c r="W29" s="483"/>
      <c r="X29" s="48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ht="17.25">
      <c r="A30" s="426" t="s">
        <v>2097</v>
      </c>
      <c r="B30" s="426" t="s">
        <v>2097</v>
      </c>
      <c r="C30" s="424" t="s">
        <v>192</v>
      </c>
      <c r="D30" s="105"/>
      <c r="E30" s="105"/>
      <c r="F30" s="105"/>
      <c r="G30" s="84"/>
      <c r="H30" s="84"/>
      <c r="I30" s="84"/>
      <c r="J30" s="84"/>
      <c r="K30" s="115"/>
      <c r="L30" s="115"/>
      <c r="M30" s="111"/>
      <c r="N30" s="115"/>
      <c r="O30" s="111"/>
      <c r="P30" s="483">
        <v>69000000000</v>
      </c>
      <c r="Q30" s="483">
        <v>73000000000</v>
      </c>
      <c r="R30" s="483"/>
      <c r="S30" s="483"/>
      <c r="T30" s="483"/>
      <c r="U30" s="483"/>
      <c r="V30" s="483"/>
      <c r="W30" s="483"/>
      <c r="X30" s="48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ht="17.25">
      <c r="A31" s="426" t="s">
        <v>2098</v>
      </c>
      <c r="B31" s="426" t="s">
        <v>2098</v>
      </c>
      <c r="C31" s="424" t="s">
        <v>192</v>
      </c>
      <c r="D31" s="105"/>
      <c r="E31" s="105"/>
      <c r="F31" s="105"/>
      <c r="G31" s="84"/>
      <c r="H31" s="84"/>
      <c r="I31" s="84"/>
      <c r="J31" s="84"/>
      <c r="K31" s="115"/>
      <c r="L31" s="115"/>
      <c r="M31" s="111"/>
      <c r="N31" s="115"/>
      <c r="O31" s="111"/>
      <c r="P31" s="483">
        <v>143000000000</v>
      </c>
      <c r="Q31" s="483">
        <v>182000000000</v>
      </c>
      <c r="R31" s="483"/>
      <c r="S31" s="483"/>
      <c r="T31" s="483"/>
      <c r="U31" s="483"/>
      <c r="V31" s="483"/>
      <c r="W31" s="483"/>
      <c r="X31" s="48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ht="17.25">
      <c r="A32" s="426" t="s">
        <v>2099</v>
      </c>
      <c r="B32" s="426" t="s">
        <v>2100</v>
      </c>
      <c r="C32" s="424" t="s">
        <v>192</v>
      </c>
      <c r="D32" s="105"/>
      <c r="E32" s="105"/>
      <c r="F32" s="105"/>
      <c r="G32" s="84"/>
      <c r="H32" s="84"/>
      <c r="I32" s="84"/>
      <c r="J32" s="84"/>
      <c r="K32" s="115"/>
      <c r="L32" s="115"/>
      <c r="M32" s="111"/>
      <c r="N32" s="115"/>
      <c r="O32" s="111"/>
      <c r="P32" s="483">
        <v>173000000000</v>
      </c>
      <c r="Q32" s="483">
        <v>36000000000</v>
      </c>
      <c r="R32" s="483"/>
      <c r="S32" s="483"/>
      <c r="T32" s="483"/>
      <c r="U32" s="483"/>
      <c r="V32" s="483"/>
      <c r="W32" s="483"/>
      <c r="X32" s="48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ht="17.25">
      <c r="A33" s="480" t="s">
        <v>2101</v>
      </c>
      <c r="B33" s="480" t="s">
        <v>2101</v>
      </c>
      <c r="C33" s="424" t="s">
        <v>2102</v>
      </c>
      <c r="D33" s="105"/>
      <c r="E33" s="105"/>
      <c r="F33" s="105"/>
      <c r="G33" s="84"/>
      <c r="H33" s="84"/>
      <c r="I33" s="84"/>
      <c r="J33" s="84"/>
      <c r="K33" s="115"/>
      <c r="L33" s="115"/>
      <c r="M33" s="111"/>
      <c r="N33" s="115"/>
      <c r="O33" s="111"/>
      <c r="P33" s="483">
        <v>2000000000</v>
      </c>
      <c r="Q33" s="483">
        <v>4000000000</v>
      </c>
      <c r="R33" s="483"/>
      <c r="S33" s="483"/>
      <c r="T33" s="483"/>
      <c r="U33" s="483"/>
      <c r="V33" s="483"/>
      <c r="W33" s="483"/>
      <c r="X33" s="48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ht="17.25">
      <c r="A34" s="428" t="s">
        <v>2103</v>
      </c>
      <c r="B34" s="428" t="s">
        <v>2103</v>
      </c>
      <c r="C34" s="424" t="s">
        <v>2102</v>
      </c>
      <c r="D34" s="105"/>
      <c r="E34" s="105"/>
      <c r="F34" s="105"/>
      <c r="G34" s="84"/>
      <c r="H34" s="84"/>
      <c r="I34" s="84"/>
      <c r="J34" s="84"/>
      <c r="K34" s="115"/>
      <c r="L34" s="115"/>
      <c r="M34" s="111"/>
      <c r="N34" s="115"/>
      <c r="O34" s="111"/>
      <c r="P34" s="483">
        <v>2000000000</v>
      </c>
      <c r="Q34" s="483">
        <v>0</v>
      </c>
      <c r="R34" s="483"/>
      <c r="S34" s="483"/>
      <c r="T34" s="483"/>
      <c r="U34" s="483"/>
      <c r="V34" s="483"/>
      <c r="W34" s="483"/>
      <c r="X34" s="48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ht="17.25">
      <c r="A35" s="428" t="s">
        <v>2104</v>
      </c>
      <c r="B35" s="428" t="s">
        <v>2105</v>
      </c>
      <c r="C35" s="424" t="s">
        <v>2102</v>
      </c>
      <c r="D35" s="105"/>
      <c r="E35" s="105"/>
      <c r="F35" s="105"/>
      <c r="G35" s="84"/>
      <c r="H35" s="84"/>
      <c r="I35" s="84"/>
      <c r="J35" s="84"/>
      <c r="K35" s="115"/>
      <c r="L35" s="115"/>
      <c r="M35" s="111"/>
      <c r="N35" s="115"/>
      <c r="O35" s="111"/>
      <c r="P35" s="483">
        <v>169000000000</v>
      </c>
      <c r="Q35" s="483">
        <v>32000000000</v>
      </c>
      <c r="R35" s="483"/>
      <c r="S35" s="483"/>
      <c r="T35" s="483"/>
      <c r="U35" s="483"/>
      <c r="V35" s="483"/>
      <c r="W35" s="483"/>
      <c r="X35" s="48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ht="17.25">
      <c r="A36" s="428" t="s">
        <v>2106</v>
      </c>
      <c r="B36" s="428" t="s">
        <v>2106</v>
      </c>
      <c r="C36" s="424" t="s">
        <v>192</v>
      </c>
      <c r="D36" s="105"/>
      <c r="E36" s="105"/>
      <c r="F36" s="105"/>
      <c r="G36" s="84"/>
      <c r="H36" s="84"/>
      <c r="I36" s="84"/>
      <c r="J36" s="84"/>
      <c r="K36" s="115"/>
      <c r="L36" s="115"/>
      <c r="M36" s="111"/>
      <c r="N36" s="115"/>
      <c r="O36" s="111"/>
      <c r="P36" s="484"/>
      <c r="Q36" s="483">
        <v>354000000000</v>
      </c>
      <c r="R36" s="483"/>
      <c r="S36" s="483"/>
      <c r="T36" s="483"/>
      <c r="U36" s="483"/>
      <c r="V36" s="483"/>
      <c r="W36" s="483"/>
      <c r="X36" s="48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 t="s">
        <v>76</v>
      </c>
      <c r="B37" s="117" t="s">
        <v>2107</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9" t="s">
        <v>2108</v>
      </c>
      <c r="B38" s="99" t="s">
        <v>2109</v>
      </c>
      <c r="C38" s="58"/>
      <c r="D38" s="113"/>
      <c r="E38" s="113"/>
      <c r="F38" s="113"/>
      <c r="G38" s="84"/>
      <c r="H38" s="84"/>
      <c r="I38" s="84"/>
      <c r="J38" s="84"/>
      <c r="K38" s="111">
        <v>0</v>
      </c>
      <c r="L38" s="111">
        <v>0</v>
      </c>
      <c r="M38" s="111">
        <v>97000000000</v>
      </c>
      <c r="N38" s="115">
        <v>0</v>
      </c>
      <c r="O38" s="111">
        <v>0</v>
      </c>
      <c r="P38" s="111"/>
      <c r="Q38" s="111"/>
      <c r="R38" s="491"/>
      <c r="S38" s="111"/>
      <c r="T38" s="111"/>
      <c r="U38" s="111"/>
      <c r="V38" s="111"/>
      <c r="W38" s="111"/>
      <c r="X38" s="11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9" t="s">
        <v>2110</v>
      </c>
      <c r="B39" s="99" t="s">
        <v>2111</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s="9" customFormat="1" ht="17.25">
      <c r="A40" s="10" t="s">
        <v>53</v>
      </c>
      <c r="B40" s="18" t="s">
        <v>470</v>
      </c>
      <c r="C40" s="118" t="s">
        <v>38</v>
      </c>
      <c r="D40" s="119"/>
      <c r="E40" s="119"/>
      <c r="F40" s="119"/>
      <c r="G40" s="83"/>
      <c r="H40" s="83"/>
      <c r="I40" s="83"/>
      <c r="J40" s="83"/>
      <c r="K40" s="120">
        <v>116000000000</v>
      </c>
      <c r="L40" s="120">
        <v>151000000000</v>
      </c>
      <c r="M40" s="120">
        <v>679000000000</v>
      </c>
      <c r="N40" s="120">
        <v>1676000000000</v>
      </c>
      <c r="O40" s="120">
        <v>1226000000000</v>
      </c>
      <c r="P40" s="483">
        <v>730000000000</v>
      </c>
      <c r="Q40" s="483">
        <v>716000000000</v>
      </c>
      <c r="R40" s="125">
        <v>1659591400000</v>
      </c>
      <c r="S40" s="125">
        <v>1286930700000</v>
      </c>
      <c r="T40" s="125">
        <v>1305867100000</v>
      </c>
      <c r="U40" s="483"/>
      <c r="V40" s="483"/>
      <c r="W40" s="483"/>
      <c r="X40" s="48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ht="17.25">
      <c r="A41" s="13" t="s">
        <v>886</v>
      </c>
      <c r="B41" s="99" t="s">
        <v>2112</v>
      </c>
      <c r="C41" s="14" t="s">
        <v>57</v>
      </c>
      <c r="D41" s="113"/>
      <c r="E41" s="113"/>
      <c r="F41" s="113"/>
      <c r="G41" s="84"/>
      <c r="H41" s="84"/>
      <c r="I41" s="84"/>
      <c r="J41" s="84"/>
      <c r="K41" s="111">
        <v>0</v>
      </c>
      <c r="L41" s="111">
        <v>0</v>
      </c>
      <c r="M41" s="111">
        <v>150000000000</v>
      </c>
      <c r="N41" s="111">
        <v>112000000000</v>
      </c>
      <c r="O41" s="111">
        <v>44000000000</v>
      </c>
      <c r="P41" s="483">
        <v>193000000000</v>
      </c>
      <c r="Q41" s="483">
        <v>226000000000</v>
      </c>
      <c r="R41" s="483"/>
      <c r="S41" s="483"/>
      <c r="T41" s="483"/>
      <c r="U41" s="483"/>
      <c r="V41" s="125"/>
      <c r="W41" s="483"/>
      <c r="X41" s="48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ht="17.25">
      <c r="A42" s="221" t="s">
        <v>2113</v>
      </c>
      <c r="B42" s="481" t="s">
        <v>2114</v>
      </c>
      <c r="C42" s="14" t="s">
        <v>2115</v>
      </c>
      <c r="D42" s="113"/>
      <c r="E42" s="113"/>
      <c r="F42" s="113"/>
      <c r="G42" s="84"/>
      <c r="H42" s="84"/>
      <c r="I42" s="84"/>
      <c r="J42" s="84"/>
      <c r="K42" s="111"/>
      <c r="L42" s="111"/>
      <c r="M42" s="111"/>
      <c r="N42" s="111"/>
      <c r="O42" s="111"/>
      <c r="P42" s="483">
        <v>193000000000</v>
      </c>
      <c r="Q42" s="483">
        <v>193000000000</v>
      </c>
      <c r="R42" s="483"/>
      <c r="S42" s="483"/>
      <c r="T42" s="483"/>
      <c r="U42" s="483"/>
      <c r="V42" s="483"/>
      <c r="W42" s="483"/>
      <c r="X42" s="48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ht="17.25">
      <c r="A43" s="221" t="s">
        <v>2116</v>
      </c>
      <c r="B43" s="481" t="s">
        <v>2116</v>
      </c>
      <c r="C43" s="14" t="s">
        <v>2115</v>
      </c>
      <c r="D43" s="113"/>
      <c r="E43" s="113"/>
      <c r="F43" s="113"/>
      <c r="G43" s="84"/>
      <c r="H43" s="84"/>
      <c r="I43" s="84"/>
      <c r="J43" s="84"/>
      <c r="K43" s="111"/>
      <c r="L43" s="111"/>
      <c r="M43" s="111"/>
      <c r="N43" s="111"/>
      <c r="O43" s="111"/>
      <c r="P43" s="483"/>
      <c r="Q43" s="483">
        <f>Q41-Q42</f>
        <v>33000000000</v>
      </c>
      <c r="R43" s="483"/>
      <c r="S43" s="483"/>
      <c r="T43" s="483"/>
      <c r="U43" s="483"/>
      <c r="V43" s="483"/>
      <c r="W43" s="483"/>
      <c r="X43" s="48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ht="17.25">
      <c r="A44" s="7" t="s">
        <v>564</v>
      </c>
      <c r="B44" s="99" t="s">
        <v>1338</v>
      </c>
      <c r="C44" s="14" t="s">
        <v>57</v>
      </c>
      <c r="D44" s="113"/>
      <c r="E44" s="113"/>
      <c r="F44" s="113"/>
      <c r="G44" s="84"/>
      <c r="H44" s="84"/>
      <c r="I44" s="84"/>
      <c r="J44" s="84"/>
      <c r="K44" s="111">
        <v>32000000000</v>
      </c>
      <c r="L44" s="111">
        <v>71000000000</v>
      </c>
      <c r="M44" s="111">
        <v>185000000000</v>
      </c>
      <c r="N44" s="111">
        <v>714000000000</v>
      </c>
      <c r="O44" s="111">
        <v>849000000000</v>
      </c>
      <c r="P44" s="483">
        <v>536000000000</v>
      </c>
      <c r="Q44" s="483">
        <v>490000000000</v>
      </c>
      <c r="R44" s="483"/>
      <c r="S44" s="483"/>
      <c r="T44" s="483"/>
      <c r="U44" s="125"/>
      <c r="V44" s="125"/>
      <c r="W44" s="483"/>
      <c r="X44" s="48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9" t="s">
        <v>2117</v>
      </c>
      <c r="B45" s="99" t="s">
        <v>2118</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83">
        <v>3910000000000</v>
      </c>
      <c r="Q46" s="483">
        <v>4036000000000</v>
      </c>
      <c r="R46" s="125">
        <f>R47+R55</f>
        <v>6021633000000</v>
      </c>
      <c r="S46" s="125">
        <f t="shared" ref="S46:T46" si="4">S47+S55</f>
        <v>5820399200000</v>
      </c>
      <c r="T46" s="125">
        <f t="shared" si="4"/>
        <v>5212004700000</v>
      </c>
      <c r="U46" s="483"/>
      <c r="V46" s="483"/>
      <c r="W46" s="483"/>
      <c r="X46" s="48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ht="17.25">
      <c r="A47" s="1" t="s">
        <v>73</v>
      </c>
      <c r="B47" s="90" t="s">
        <v>2119</v>
      </c>
      <c r="C47" s="11" t="s">
        <v>75</v>
      </c>
      <c r="D47" s="113"/>
      <c r="E47" s="113"/>
      <c r="F47" s="113"/>
      <c r="G47" s="84"/>
      <c r="H47" s="84"/>
      <c r="I47" s="84"/>
      <c r="J47" s="84"/>
      <c r="K47" s="111">
        <v>811000000000</v>
      </c>
      <c r="L47" s="111">
        <v>1177000000000</v>
      </c>
      <c r="M47" s="111">
        <v>1652000000000</v>
      </c>
      <c r="N47" s="115">
        <v>1828000000000</v>
      </c>
      <c r="O47" s="111">
        <v>2386000000000</v>
      </c>
      <c r="P47" s="483">
        <v>2813000000000</v>
      </c>
      <c r="Q47" s="483">
        <v>3281000000000</v>
      </c>
      <c r="R47" s="125">
        <f>R48+R49+R52+R53</f>
        <v>4122512700000</v>
      </c>
      <c r="S47" s="125">
        <f t="shared" ref="S47:T47" si="5">S48+S49+S52+S53</f>
        <v>4074084300000</v>
      </c>
      <c r="T47" s="125">
        <f t="shared" si="5"/>
        <v>3567332000000</v>
      </c>
      <c r="U47" s="483"/>
      <c r="V47" s="483"/>
      <c r="W47" s="483"/>
      <c r="X47" s="48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ht="17.25">
      <c r="A48" s="20" t="s">
        <v>79</v>
      </c>
      <c r="B48" s="103" t="s">
        <v>536</v>
      </c>
      <c r="C48" s="11" t="s">
        <v>81</v>
      </c>
      <c r="D48" s="105"/>
      <c r="E48" s="105"/>
      <c r="F48" s="105"/>
      <c r="G48" s="84"/>
      <c r="H48" s="84"/>
      <c r="I48" s="84"/>
      <c r="J48" s="84"/>
      <c r="K48" s="111">
        <v>301000000000</v>
      </c>
      <c r="L48" s="111">
        <v>452000000000</v>
      </c>
      <c r="M48" s="111">
        <v>548000000000</v>
      </c>
      <c r="N48" s="111">
        <v>697000000000</v>
      </c>
      <c r="O48" s="111">
        <v>1091000000000</v>
      </c>
      <c r="P48" s="483">
        <v>1220000000000</v>
      </c>
      <c r="Q48" s="483">
        <v>1408000000000</v>
      </c>
      <c r="R48" s="483">
        <v>1577880800000</v>
      </c>
      <c r="S48" s="125">
        <v>1802647600000</v>
      </c>
      <c r="T48" s="125">
        <v>1957119000000</v>
      </c>
      <c r="U48" s="483"/>
      <c r="V48" s="125"/>
      <c r="W48" s="483"/>
      <c r="X48" s="48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ht="17.25">
      <c r="A49" s="20" t="s">
        <v>90</v>
      </c>
      <c r="B49" s="99" t="s">
        <v>1595</v>
      </c>
      <c r="C49" s="11" t="s">
        <v>81</v>
      </c>
      <c r="D49" s="105"/>
      <c r="E49" s="105"/>
      <c r="F49" s="105"/>
      <c r="G49" s="84"/>
      <c r="H49" s="84"/>
      <c r="I49" s="84"/>
      <c r="J49" s="84"/>
      <c r="K49" s="111">
        <v>195000000000</v>
      </c>
      <c r="L49" s="111">
        <v>220000000000</v>
      </c>
      <c r="M49" s="111">
        <v>496000000000</v>
      </c>
      <c r="N49" s="111">
        <v>263000000000</v>
      </c>
      <c r="O49" s="111">
        <v>381000000000</v>
      </c>
      <c r="P49" s="483">
        <v>366000000000</v>
      </c>
      <c r="Q49" s="483">
        <v>359000000000</v>
      </c>
      <c r="R49" s="125">
        <v>139559100000</v>
      </c>
      <c r="S49" s="125">
        <v>156078500000</v>
      </c>
      <c r="T49" s="125">
        <v>259582100000</v>
      </c>
      <c r="U49" s="483"/>
      <c r="V49" s="125"/>
      <c r="W49" s="483"/>
      <c r="X49" s="48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ht="17.25">
      <c r="A50" s="100" t="s">
        <v>280</v>
      </c>
      <c r="B50" s="100" t="s">
        <v>212</v>
      </c>
      <c r="C50" s="90" t="s">
        <v>1525</v>
      </c>
      <c r="D50" s="113"/>
      <c r="E50" s="113"/>
      <c r="F50" s="113"/>
      <c r="G50" s="84"/>
      <c r="H50" s="84"/>
      <c r="I50" s="84"/>
      <c r="J50" s="84"/>
      <c r="K50" s="111">
        <v>166000000000</v>
      </c>
      <c r="L50" s="111"/>
      <c r="M50" s="111"/>
      <c r="N50" s="111">
        <v>235000000000</v>
      </c>
      <c r="O50" s="111"/>
      <c r="P50" s="483">
        <v>235000000000</v>
      </c>
      <c r="Q50" s="483">
        <v>228000000000</v>
      </c>
      <c r="R50" s="125">
        <f>R49-R51</f>
        <v>22508200000</v>
      </c>
      <c r="S50" s="125">
        <f>S49-S51</f>
        <v>17149900000</v>
      </c>
      <c r="T50" s="125">
        <f>T49-T51</f>
        <v>17154400000</v>
      </c>
      <c r="U50" s="483"/>
      <c r="V50" s="483"/>
      <c r="W50" s="483"/>
      <c r="X50" s="48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ht="17.25">
      <c r="A51" s="100" t="s">
        <v>209</v>
      </c>
      <c r="B51" s="100" t="s">
        <v>209</v>
      </c>
      <c r="C51" s="90" t="s">
        <v>1525</v>
      </c>
      <c r="D51" s="113"/>
      <c r="E51" s="113"/>
      <c r="F51" s="113"/>
      <c r="G51" s="84"/>
      <c r="H51" s="84"/>
      <c r="I51" s="84"/>
      <c r="J51" s="84"/>
      <c r="K51" s="111">
        <v>29000000000</v>
      </c>
      <c r="L51" s="111"/>
      <c r="M51" s="111"/>
      <c r="N51" s="111">
        <v>29000000000</v>
      </c>
      <c r="O51" s="111"/>
      <c r="P51" s="483">
        <v>131000000000</v>
      </c>
      <c r="Q51" s="483">
        <v>132000000000</v>
      </c>
      <c r="R51" s="483">
        <v>117050900000</v>
      </c>
      <c r="S51" s="483">
        <v>138928600000</v>
      </c>
      <c r="T51" s="483">
        <v>242427700000</v>
      </c>
      <c r="U51" s="483"/>
      <c r="V51" s="483"/>
      <c r="W51" s="483"/>
      <c r="X51" s="48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83">
        <v>414000000000</v>
      </c>
      <c r="Q52" s="483">
        <v>497000000000</v>
      </c>
      <c r="R52" s="125">
        <v>470320400000</v>
      </c>
      <c r="S52" s="483">
        <v>439949000000</v>
      </c>
      <c r="T52" s="125">
        <v>271050600000</v>
      </c>
      <c r="U52" s="483"/>
      <c r="V52" s="125"/>
      <c r="W52" s="483"/>
      <c r="X52" s="48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ht="17.25">
      <c r="A53" s="20" t="s">
        <v>83</v>
      </c>
      <c r="B53" s="99" t="s">
        <v>1593</v>
      </c>
      <c r="C53" s="11" t="s">
        <v>81</v>
      </c>
      <c r="D53" s="105"/>
      <c r="E53" s="105"/>
      <c r="F53" s="105"/>
      <c r="G53" s="84"/>
      <c r="H53" s="84"/>
      <c r="I53" s="84"/>
      <c r="J53" s="84"/>
      <c r="K53" s="111">
        <v>204000000000</v>
      </c>
      <c r="L53" s="111">
        <v>278000000000</v>
      </c>
      <c r="M53" s="111">
        <v>323000000000</v>
      </c>
      <c r="N53" s="115">
        <v>607000000000</v>
      </c>
      <c r="O53" s="111">
        <v>567000000000</v>
      </c>
      <c r="P53" s="483">
        <v>813000000000</v>
      </c>
      <c r="Q53" s="483">
        <v>1016000000000</v>
      </c>
      <c r="R53" s="483">
        <v>1934752400000</v>
      </c>
      <c r="S53" s="125">
        <v>1675409200000</v>
      </c>
      <c r="T53" s="125">
        <v>1079580300000</v>
      </c>
      <c r="U53" s="483"/>
      <c r="V53" s="125"/>
      <c r="W53" s="483"/>
      <c r="X53" s="48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0"/>
      <c r="B54" s="99" t="s">
        <v>2120</v>
      </c>
      <c r="C54" s="11"/>
      <c r="D54" s="113"/>
      <c r="E54" s="113"/>
      <c r="F54" s="113"/>
      <c r="G54" s="84"/>
      <c r="H54" s="84"/>
      <c r="I54" s="84"/>
      <c r="J54" s="84"/>
      <c r="K54" s="111"/>
      <c r="L54" s="111"/>
      <c r="M54" s="111"/>
      <c r="N54" s="111"/>
      <c r="O54" s="111"/>
      <c r="P54" s="111"/>
      <c r="Q54" s="111"/>
      <c r="R54" s="491"/>
      <c r="S54" s="491"/>
      <c r="T54" s="491"/>
      <c r="U54" s="111"/>
      <c r="V54" s="111"/>
      <c r="W54" s="111"/>
      <c r="X54" s="11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ht="17.25">
      <c r="A55" s="90" t="s">
        <v>237</v>
      </c>
      <c r="B55" s="90" t="s">
        <v>1596</v>
      </c>
      <c r="C55" s="11" t="s">
        <v>75</v>
      </c>
      <c r="D55" s="113"/>
      <c r="E55" s="113"/>
      <c r="F55" s="113"/>
      <c r="G55" s="84"/>
      <c r="H55" s="84"/>
      <c r="I55" s="84"/>
      <c r="J55" s="84"/>
      <c r="K55" s="111">
        <v>121000000000</v>
      </c>
      <c r="L55" s="111">
        <v>244000000000</v>
      </c>
      <c r="M55" s="111">
        <v>704000000000</v>
      </c>
      <c r="N55" s="111">
        <v>1269000000000</v>
      </c>
      <c r="O55" s="111">
        <v>1253000000000</v>
      </c>
      <c r="P55" s="483">
        <v>927000000000</v>
      </c>
      <c r="Q55" s="483">
        <v>388000000000</v>
      </c>
      <c r="R55" s="125">
        <v>1899120300000</v>
      </c>
      <c r="S55" s="125">
        <v>1746314900000</v>
      </c>
      <c r="T55" s="125">
        <v>1644672700000</v>
      </c>
      <c r="U55" s="483"/>
      <c r="V55" s="125"/>
      <c r="W55" s="483"/>
      <c r="X55" s="48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ht="17.25">
      <c r="A56" s="40" t="s">
        <v>395</v>
      </c>
      <c r="B56" s="103" t="s">
        <v>681</v>
      </c>
      <c r="C56" s="11" t="s">
        <v>95</v>
      </c>
      <c r="D56" s="113"/>
      <c r="E56" s="113"/>
      <c r="F56" s="113"/>
      <c r="G56" s="84"/>
      <c r="H56" s="84"/>
      <c r="I56" s="84"/>
      <c r="J56" s="84"/>
      <c r="K56" s="111">
        <v>77000000000</v>
      </c>
      <c r="L56" s="111">
        <v>137000000000</v>
      </c>
      <c r="M56" s="111">
        <v>460000000000</v>
      </c>
      <c r="N56" s="111">
        <v>962000000000</v>
      </c>
      <c r="O56" s="111">
        <v>876000000000</v>
      </c>
      <c r="P56" s="483">
        <v>694000000000</v>
      </c>
      <c r="Q56" s="483">
        <v>26000000000</v>
      </c>
      <c r="R56" s="125">
        <v>1447346400000</v>
      </c>
      <c r="S56" s="125">
        <v>1123161400000</v>
      </c>
      <c r="T56" s="125">
        <v>1102508700000</v>
      </c>
      <c r="U56" s="483"/>
      <c r="V56" s="125"/>
      <c r="W56" s="483"/>
      <c r="X56" s="48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ht="17.25">
      <c r="A57" s="40" t="s">
        <v>239</v>
      </c>
      <c r="B57" s="103" t="s">
        <v>678</v>
      </c>
      <c r="C57" s="11" t="s">
        <v>95</v>
      </c>
      <c r="D57" s="113"/>
      <c r="E57" s="113"/>
      <c r="F57" s="113"/>
      <c r="G57" s="84"/>
      <c r="H57" s="84"/>
      <c r="I57" s="84"/>
      <c r="J57" s="84"/>
      <c r="K57" s="111">
        <v>44000000000</v>
      </c>
      <c r="L57" s="111">
        <v>107000000000</v>
      </c>
      <c r="M57" s="111">
        <v>244000000000</v>
      </c>
      <c r="N57" s="111">
        <v>307000000000</v>
      </c>
      <c r="O57" s="111">
        <v>377000000000</v>
      </c>
      <c r="P57" s="483">
        <v>233000000000</v>
      </c>
      <c r="Q57" s="483">
        <v>362000000000</v>
      </c>
      <c r="R57" s="483">
        <f>R55-R56</f>
        <v>451773900000</v>
      </c>
      <c r="S57" s="483">
        <f t="shared" ref="S57:T57" si="6">S55-S56</f>
        <v>623153500000</v>
      </c>
      <c r="T57" s="483">
        <f t="shared" si="6"/>
        <v>542164000000</v>
      </c>
      <c r="U57" s="483"/>
      <c r="V57" s="483"/>
      <c r="W57" s="483"/>
      <c r="X57" s="48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ht="17.25">
      <c r="A58" s="103" t="s">
        <v>76</v>
      </c>
      <c r="B58" s="103" t="s">
        <v>2121</v>
      </c>
      <c r="C58" s="11"/>
      <c r="D58" s="11"/>
      <c r="E58" s="11"/>
      <c r="F58" s="11"/>
      <c r="G58" s="11"/>
      <c r="H58" s="84"/>
      <c r="I58" s="84"/>
      <c r="J58" s="84"/>
      <c r="K58" s="111"/>
      <c r="L58" s="111"/>
      <c r="M58" s="111"/>
      <c r="N58" s="111">
        <v>54000000000</v>
      </c>
      <c r="O58" s="111"/>
      <c r="P58" s="483">
        <v>69000000000</v>
      </c>
      <c r="Q58" s="483">
        <v>133000000000</v>
      </c>
      <c r="R58" s="483"/>
      <c r="S58" s="483"/>
      <c r="T58" s="483"/>
      <c r="U58" s="483"/>
      <c r="V58" s="483"/>
      <c r="W58" s="483"/>
      <c r="X58" s="48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ht="17.25">
      <c r="A59" s="103" t="s">
        <v>76</v>
      </c>
      <c r="B59" s="103" t="s">
        <v>2122</v>
      </c>
      <c r="C59" s="11"/>
      <c r="D59" s="113"/>
      <c r="E59" s="113"/>
      <c r="F59" s="113"/>
      <c r="G59" s="84"/>
      <c r="H59" s="84"/>
      <c r="I59" s="84"/>
      <c r="J59" s="84"/>
      <c r="K59" s="111"/>
      <c r="L59" s="111"/>
      <c r="M59" s="111"/>
      <c r="N59" s="111">
        <v>253000000000</v>
      </c>
      <c r="O59" s="111"/>
      <c r="P59" s="483">
        <v>164000000000</v>
      </c>
      <c r="Q59" s="483">
        <v>229000000000</v>
      </c>
      <c r="R59" s="483"/>
      <c r="S59" s="483"/>
      <c r="T59" s="13"/>
      <c r="U59" s="483"/>
      <c r="V59" s="125"/>
      <c r="W59" s="483"/>
      <c r="X59" s="48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ht="17.25">
      <c r="A62" s="99" t="s">
        <v>2123</v>
      </c>
      <c r="B62" s="99" t="s">
        <v>2124</v>
      </c>
      <c r="C62" s="58" t="s">
        <v>401</v>
      </c>
      <c r="D62" s="113"/>
      <c r="E62" s="113"/>
      <c r="F62" s="113"/>
      <c r="G62" s="84"/>
      <c r="H62" s="84"/>
      <c r="I62" s="84"/>
      <c r="J62" s="84"/>
      <c r="K62" s="111">
        <v>45000000000</v>
      </c>
      <c r="L62" s="111">
        <v>79000000000</v>
      </c>
      <c r="M62" s="111">
        <v>231000000000</v>
      </c>
      <c r="N62" s="111">
        <v>204000000000</v>
      </c>
      <c r="O62" s="111">
        <v>561000000000</v>
      </c>
      <c r="P62" s="483">
        <v>170000000000</v>
      </c>
      <c r="Q62" s="483">
        <v>13000000000</v>
      </c>
      <c r="R62" s="483"/>
      <c r="S62" s="483"/>
      <c r="T62" s="483"/>
      <c r="U62" s="483"/>
      <c r="V62" s="483"/>
      <c r="W62" s="483"/>
      <c r="X62" s="48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ht="17.25">
      <c r="A63" s="126" t="s">
        <v>242</v>
      </c>
      <c r="B63" s="126" t="s">
        <v>681</v>
      </c>
      <c r="C63" s="117" t="s">
        <v>2125</v>
      </c>
      <c r="D63" s="113"/>
      <c r="E63" s="113"/>
      <c r="F63" s="113"/>
      <c r="G63" s="84"/>
      <c r="H63" s="84"/>
      <c r="I63" s="84"/>
      <c r="J63" s="84"/>
      <c r="K63" s="111">
        <v>0</v>
      </c>
      <c r="L63" s="111">
        <v>5000000000</v>
      </c>
      <c r="M63" s="111">
        <v>97000000000</v>
      </c>
      <c r="N63" s="125">
        <v>42000000000</v>
      </c>
      <c r="O63" s="111">
        <v>174000000000</v>
      </c>
      <c r="P63" s="483">
        <v>0</v>
      </c>
      <c r="Q63" s="483">
        <v>0</v>
      </c>
      <c r="R63" s="483"/>
      <c r="S63" s="483"/>
      <c r="T63" s="483"/>
      <c r="U63" s="483"/>
      <c r="V63" s="483"/>
      <c r="W63" s="483"/>
      <c r="X63" s="48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ht="17.25">
      <c r="A64" s="126" t="s">
        <v>239</v>
      </c>
      <c r="B64" s="126" t="s">
        <v>678</v>
      </c>
      <c r="C64" s="117" t="s">
        <v>2125</v>
      </c>
      <c r="D64" s="113"/>
      <c r="E64" s="113"/>
      <c r="F64" s="113"/>
      <c r="G64" s="84"/>
      <c r="H64" s="84"/>
      <c r="I64" s="84"/>
      <c r="J64" s="84"/>
      <c r="K64" s="111">
        <v>45000000000</v>
      </c>
      <c r="L64" s="111">
        <v>74000000000</v>
      </c>
      <c r="M64" s="111">
        <v>133000000000</v>
      </c>
      <c r="N64" s="115">
        <v>162000000000</v>
      </c>
      <c r="O64" s="111">
        <v>388000000000</v>
      </c>
      <c r="P64" s="483">
        <v>170000000000</v>
      </c>
      <c r="Q64" s="483">
        <v>13000000000</v>
      </c>
      <c r="R64" s="483"/>
      <c r="S64" s="483"/>
      <c r="T64" s="483"/>
      <c r="U64" s="483"/>
      <c r="V64" s="483"/>
      <c r="W64" s="483"/>
      <c r="X64" s="48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126" t="s">
        <v>50</v>
      </c>
      <c r="B65" s="127" t="s">
        <v>2126</v>
      </c>
      <c r="C65" s="58" t="s">
        <v>401</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7.25">
      <c r="A66" s="99" t="s">
        <v>2127</v>
      </c>
      <c r="B66" s="99" t="s">
        <v>2128</v>
      </c>
      <c r="C66" s="58" t="s">
        <v>401</v>
      </c>
      <c r="D66" s="113"/>
      <c r="E66" s="113"/>
      <c r="F66" s="113"/>
      <c r="G66" s="84"/>
      <c r="H66" s="84"/>
      <c r="I66" s="84"/>
      <c r="J66" s="84"/>
      <c r="K66" s="111">
        <v>0</v>
      </c>
      <c r="L66" s="111">
        <v>0</v>
      </c>
      <c r="M66" s="111">
        <v>0</v>
      </c>
      <c r="N66" s="115">
        <v>0</v>
      </c>
      <c r="O66" s="111">
        <v>0</v>
      </c>
      <c r="P66" s="483">
        <v>0</v>
      </c>
      <c r="Q66" s="483">
        <v>354000000000</v>
      </c>
      <c r="R66" s="483"/>
      <c r="S66" s="483"/>
      <c r="T66" s="483"/>
      <c r="U66" s="483"/>
      <c r="V66" s="483"/>
      <c r="W66" s="483"/>
      <c r="X66" s="48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t="s">
        <v>76</v>
      </c>
      <c r="B67" s="90" t="s">
        <v>2129</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t="s">
        <v>76</v>
      </c>
      <c r="B68" s="90" t="s">
        <v>2130</v>
      </c>
      <c r="C68" s="90"/>
      <c r="D68" s="113"/>
      <c r="E68" s="113"/>
      <c r="F68" s="113"/>
      <c r="G68" s="84"/>
      <c r="H68" s="84"/>
      <c r="I68" s="84"/>
      <c r="J68" s="84"/>
      <c r="K68" s="111"/>
      <c r="L68" s="111"/>
      <c r="M68" s="111"/>
      <c r="N68" s="111">
        <v>563000000000</v>
      </c>
      <c r="O68" s="111"/>
      <c r="P68" s="111"/>
      <c r="Q68" s="111"/>
      <c r="R68" s="491"/>
      <c r="S68" s="111"/>
      <c r="T68" s="111"/>
      <c r="U68" s="111"/>
      <c r="V68" s="111"/>
      <c r="W68" s="111"/>
      <c r="X68" s="11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t="s">
        <v>76</v>
      </c>
      <c r="B70" s="90" t="s">
        <v>2131</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t="s">
        <v>76</v>
      </c>
      <c r="B71" s="90" t="s">
        <v>2132</v>
      </c>
      <c r="C71" s="90"/>
      <c r="D71" s="113"/>
      <c r="E71" s="113"/>
      <c r="F71" s="113"/>
      <c r="G71" s="84"/>
      <c r="H71" s="84"/>
      <c r="I71" s="84"/>
      <c r="J71" s="84"/>
      <c r="K71" s="111"/>
      <c r="L71" s="111"/>
      <c r="M71" s="111"/>
      <c r="N71" s="111">
        <v>0</v>
      </c>
      <c r="O71" s="111"/>
      <c r="P71" s="111"/>
      <c r="Q71" s="111"/>
      <c r="R71" s="111"/>
      <c r="S71" s="111"/>
      <c r="T71" s="111"/>
      <c r="U71" s="111"/>
      <c r="V71" s="111"/>
      <c r="W71" s="111"/>
      <c r="X71" s="11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t="s">
        <v>76</v>
      </c>
      <c r="B72" s="90" t="s">
        <v>2133</v>
      </c>
      <c r="C72" s="90"/>
      <c r="D72" s="113"/>
      <c r="E72" s="113"/>
      <c r="F72" s="113"/>
      <c r="G72" s="84"/>
      <c r="H72" s="84"/>
      <c r="I72" s="84"/>
      <c r="J72" s="84"/>
      <c r="K72" s="111"/>
      <c r="L72" s="111"/>
      <c r="M72" s="111"/>
      <c r="N72" s="111">
        <v>0</v>
      </c>
      <c r="O72" s="111"/>
      <c r="P72" s="111"/>
      <c r="Q72" s="111"/>
      <c r="R72" s="111"/>
      <c r="S72" s="111"/>
      <c r="T72" s="111"/>
      <c r="U72" s="111"/>
      <c r="V72" s="111"/>
      <c r="W72" s="111"/>
      <c r="X72" s="11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t="s">
        <v>76</v>
      </c>
      <c r="B74" s="90" t="s">
        <v>2134</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t="s">
        <v>76</v>
      </c>
      <c r="B75" s="90" t="s">
        <v>2135</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t="s">
        <v>76</v>
      </c>
      <c r="B76" s="90" t="s">
        <v>2136</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c r="A77" t="s">
        <v>76</v>
      </c>
      <c r="B77" s="90" t="s">
        <v>2137</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A78" t="s">
        <v>76</v>
      </c>
      <c r="B78" s="90" t="s">
        <v>2138</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c r="B79" s="90" t="s">
        <v>2139</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c r="BC79" s="365"/>
      <c r="BD79" s="365"/>
    </row>
    <row r="80" spans="1:56">
      <c r="B80" s="100" t="s">
        <v>2140</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c r="BC80" s="365"/>
      <c r="BD80" s="365"/>
    </row>
    <row r="81" spans="1:56">
      <c r="B81" s="99" t="s">
        <v>2141</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c r="BC81" s="365"/>
      <c r="BD81" s="365"/>
    </row>
    <row r="82" spans="1:56">
      <c r="B82" s="99" t="s">
        <v>1344</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c r="BC82" s="365"/>
      <c r="BD82" s="365"/>
    </row>
    <row r="83" spans="1:56">
      <c r="B83" s="99" t="s">
        <v>2142</v>
      </c>
      <c r="C83" s="90"/>
      <c r="D83" s="105"/>
      <c r="E83" s="105"/>
      <c r="F83" s="105"/>
      <c r="G83" s="84"/>
      <c r="H83" s="84"/>
      <c r="I83" s="84"/>
      <c r="J83" s="84"/>
      <c r="K83" s="111"/>
      <c r="L83" s="111"/>
      <c r="M83" s="111"/>
      <c r="N83" s="115"/>
      <c r="O83" s="111"/>
      <c r="P83" s="111"/>
      <c r="Q83" s="111"/>
      <c r="R83" s="111"/>
      <c r="S83" s="111"/>
      <c r="T83" s="111"/>
      <c r="U83" s="111"/>
      <c r="V83" s="111"/>
      <c r="W83" s="111"/>
      <c r="X83" s="115"/>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c r="BC83" s="365"/>
      <c r="BD83" s="365"/>
    </row>
    <row r="84" spans="1:56">
      <c r="A84" t="s">
        <v>76</v>
      </c>
      <c r="B84" s="90" t="s">
        <v>2143</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c r="BC84" s="365"/>
      <c r="BD84" s="365"/>
    </row>
    <row r="85" spans="1:56" ht="17.25">
      <c r="A85" t="s">
        <v>76</v>
      </c>
      <c r="B85" s="90" t="s">
        <v>2144</v>
      </c>
      <c r="C85" s="90"/>
      <c r="D85" s="107"/>
      <c r="E85" s="107"/>
      <c r="F85" s="107"/>
      <c r="G85" s="84"/>
      <c r="H85" s="84"/>
      <c r="I85" s="84"/>
      <c r="J85" s="84"/>
      <c r="K85" s="111">
        <v>-131000000000</v>
      </c>
      <c r="L85" s="111">
        <v>-195000000000</v>
      </c>
      <c r="M85" s="111">
        <v>-469000000000</v>
      </c>
      <c r="N85" s="115"/>
      <c r="O85" s="111">
        <v>-310000000000</v>
      </c>
      <c r="P85" s="483">
        <v>389000000000</v>
      </c>
      <c r="Q85" s="483">
        <v>491000000000</v>
      </c>
      <c r="R85" s="483"/>
      <c r="S85" s="483"/>
      <c r="T85" s="483"/>
      <c r="U85" s="483"/>
      <c r="V85" s="483"/>
      <c r="W85" s="483"/>
      <c r="X85" s="483"/>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c r="BC85" s="365"/>
      <c r="BD85" s="365"/>
    </row>
    <row r="86" spans="1:56">
      <c r="A86" t="s">
        <v>76</v>
      </c>
      <c r="B86" s="90" t="s">
        <v>2145</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c r="BC86" s="365"/>
      <c r="BD86" s="365"/>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85">
        <f>P89+P98</f>
        <v>-546000000000</v>
      </c>
      <c r="Q87" s="485">
        <f t="shared" ref="Q87" si="8">Q89+Q98</f>
        <v>-743000000000</v>
      </c>
      <c r="R87" s="125">
        <f>R89+R98</f>
        <v>-92195900000</v>
      </c>
      <c r="S87" s="125">
        <f t="shared" ref="S87:T87" si="9">S89+S98</f>
        <v>-74168300000</v>
      </c>
      <c r="T87" s="125">
        <f t="shared" si="9"/>
        <v>757361400000</v>
      </c>
      <c r="U87" s="485"/>
      <c r="V87" s="485"/>
      <c r="W87" s="485"/>
      <c r="X87" s="48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c r="BC87" s="365"/>
      <c r="BD87" s="365"/>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83">
        <v>-409000000000</v>
      </c>
      <c r="Q88" s="483">
        <v>-506000000000</v>
      </c>
      <c r="R88" s="483"/>
      <c r="S88" s="483"/>
      <c r="T88" s="483"/>
      <c r="U88" s="483"/>
      <c r="V88" s="483"/>
      <c r="W88" s="483"/>
      <c r="X88" s="483"/>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c r="BC88" s="365"/>
      <c r="BD88" s="365"/>
    </row>
    <row r="89" spans="1:56" ht="17.25">
      <c r="A89" t="s">
        <v>120</v>
      </c>
      <c r="B89" s="90" t="s">
        <v>1084</v>
      </c>
      <c r="C89" s="11" t="s">
        <v>119</v>
      </c>
      <c r="D89" s="105"/>
      <c r="E89" s="105"/>
      <c r="F89" s="105"/>
      <c r="G89" s="84"/>
      <c r="H89" s="84"/>
      <c r="I89" s="84"/>
      <c r="J89" s="84"/>
      <c r="K89" s="111">
        <v>49000000000</v>
      </c>
      <c r="L89" s="111">
        <v>59000000000</v>
      </c>
      <c r="M89" s="111">
        <v>-12000000000</v>
      </c>
      <c r="N89" s="171">
        <v>-603000000000</v>
      </c>
      <c r="O89" s="111">
        <v>300000000000</v>
      </c>
      <c r="P89" s="483">
        <v>-431000000000</v>
      </c>
      <c r="Q89" s="483">
        <v>-415000000000</v>
      </c>
      <c r="R89" s="483">
        <v>52456000000</v>
      </c>
      <c r="S89" s="483">
        <v>216148000000</v>
      </c>
      <c r="T89" s="483">
        <v>479051000000</v>
      </c>
      <c r="U89" s="483"/>
      <c r="V89" s="483"/>
      <c r="W89" s="483"/>
      <c r="X89" s="483"/>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c r="BC89" s="365"/>
      <c r="BD89" s="365"/>
    </row>
    <row r="90" spans="1:56" ht="17.25">
      <c r="A90" t="s">
        <v>122</v>
      </c>
      <c r="B90" s="99" t="s">
        <v>1614</v>
      </c>
      <c r="C90" s="90" t="s">
        <v>124</v>
      </c>
      <c r="D90" s="113"/>
      <c r="E90" s="113"/>
      <c r="F90" s="113"/>
      <c r="G90" s="84"/>
      <c r="H90" s="84"/>
      <c r="I90" s="84"/>
      <c r="J90" s="84"/>
      <c r="K90" s="111">
        <v>44000000000</v>
      </c>
      <c r="L90" s="111">
        <v>73000000000</v>
      </c>
      <c r="M90" s="111">
        <v>-76000000000</v>
      </c>
      <c r="N90" s="115"/>
      <c r="O90" s="111">
        <v>230000000000</v>
      </c>
      <c r="P90" s="483">
        <v>-431000000000</v>
      </c>
      <c r="Q90" s="483">
        <v>-415000000000</v>
      </c>
      <c r="R90" s="483"/>
      <c r="S90" s="483"/>
      <c r="T90" s="483"/>
      <c r="U90" s="483"/>
      <c r="V90" s="483"/>
      <c r="W90" s="483"/>
      <c r="X90" s="483"/>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c r="BC90" s="365"/>
      <c r="BD90" s="365"/>
    </row>
    <row r="91" spans="1:56" ht="17.25">
      <c r="B91" s="99" t="s">
        <v>2146</v>
      </c>
      <c r="C91" s="90"/>
      <c r="D91" s="113"/>
      <c r="E91" s="113"/>
      <c r="F91" s="113"/>
      <c r="G91" s="84"/>
      <c r="H91" s="84"/>
      <c r="I91" s="84"/>
      <c r="J91" s="84"/>
      <c r="K91" s="111"/>
      <c r="L91" s="111"/>
      <c r="M91" s="111"/>
      <c r="N91" s="115"/>
      <c r="O91" s="111"/>
      <c r="P91" s="483">
        <v>-431000000000</v>
      </c>
      <c r="Q91" s="483">
        <v>-415000000000</v>
      </c>
      <c r="R91" s="483"/>
      <c r="S91" s="483"/>
      <c r="T91" s="483"/>
      <c r="U91" s="483"/>
      <c r="V91" s="483"/>
      <c r="W91" s="483"/>
      <c r="X91" s="483"/>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c r="BC91" s="365"/>
      <c r="BD91" s="365"/>
    </row>
    <row r="92" spans="1:56" ht="17.25">
      <c r="B92" s="99" t="s">
        <v>2147</v>
      </c>
      <c r="C92" s="90"/>
      <c r="D92" s="113"/>
      <c r="E92" s="113"/>
      <c r="F92" s="113"/>
      <c r="G92" s="84"/>
      <c r="H92" s="84"/>
      <c r="I92" s="84"/>
      <c r="J92" s="84"/>
      <c r="K92" s="111"/>
      <c r="L92" s="111"/>
      <c r="M92" s="111"/>
      <c r="N92" s="115"/>
      <c r="O92" s="111"/>
      <c r="P92" s="483">
        <v>0</v>
      </c>
      <c r="Q92" s="483">
        <v>0</v>
      </c>
      <c r="R92" s="483"/>
      <c r="S92" s="483"/>
      <c r="T92" s="483"/>
      <c r="U92" s="483"/>
      <c r="V92" s="483"/>
      <c r="W92" s="483"/>
      <c r="X92" s="483"/>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c r="BC92" s="365"/>
      <c r="BD92" s="365"/>
    </row>
    <row r="93" spans="1:56">
      <c r="A93" s="41"/>
      <c r="B93" s="100" t="s">
        <v>2148</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c r="BA93" s="365"/>
      <c r="BB93" s="365"/>
      <c r="BC93" s="365"/>
      <c r="BD93" s="365"/>
    </row>
    <row r="94" spans="1:56">
      <c r="A94" s="41"/>
      <c r="B94" s="100" t="s">
        <v>2149</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c r="BA94" s="365"/>
      <c r="BB94" s="365"/>
      <c r="BC94" s="365"/>
      <c r="BD94" s="365"/>
    </row>
    <row r="95" spans="1:56" ht="17.25">
      <c r="A95" t="s">
        <v>428</v>
      </c>
      <c r="B95" s="99" t="s">
        <v>2150</v>
      </c>
      <c r="C95" s="90" t="s">
        <v>124</v>
      </c>
      <c r="D95" s="113"/>
      <c r="E95" s="113"/>
      <c r="F95" s="113"/>
      <c r="G95" s="84"/>
      <c r="H95" s="84"/>
      <c r="I95" s="84"/>
      <c r="J95" s="84"/>
      <c r="K95" s="115">
        <f>K89-K90</f>
        <v>5000000000</v>
      </c>
      <c r="L95" s="115">
        <f>L89-L90</f>
        <v>-14000000000</v>
      </c>
      <c r="M95" s="115">
        <f>M89-M90</f>
        <v>64000000000</v>
      </c>
      <c r="N95" s="115"/>
      <c r="O95" s="111">
        <v>70000000000</v>
      </c>
      <c r="P95" s="483">
        <v>0</v>
      </c>
      <c r="Q95" s="483">
        <v>0</v>
      </c>
      <c r="R95" s="483"/>
      <c r="S95" s="483"/>
      <c r="T95" s="483"/>
      <c r="U95" s="483"/>
      <c r="V95" s="483"/>
      <c r="W95" s="483"/>
      <c r="X95" s="48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c r="BB95" s="365"/>
      <c r="BC95" s="365"/>
      <c r="BD95" s="365"/>
    </row>
    <row r="96" spans="1:56" ht="17.25">
      <c r="B96" s="99" t="s">
        <v>592</v>
      </c>
      <c r="C96" s="90"/>
      <c r="D96" s="113"/>
      <c r="E96" s="113"/>
      <c r="F96" s="113"/>
      <c r="G96" s="84"/>
      <c r="H96" s="84"/>
      <c r="I96" s="84"/>
      <c r="J96" s="84"/>
      <c r="K96" s="115"/>
      <c r="L96" s="115"/>
      <c r="M96" s="115"/>
      <c r="N96" s="115"/>
      <c r="O96" s="111"/>
      <c r="P96" s="483">
        <v>0</v>
      </c>
      <c r="Q96" s="483">
        <v>0</v>
      </c>
      <c r="R96" s="483"/>
      <c r="S96" s="483"/>
      <c r="T96" s="483"/>
      <c r="U96" s="483"/>
      <c r="V96" s="483"/>
      <c r="W96" s="483"/>
      <c r="X96" s="483"/>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c r="BA96" s="365"/>
      <c r="BB96" s="365"/>
      <c r="BC96" s="365"/>
      <c r="BD96" s="365"/>
    </row>
    <row r="97" spans="1:56" ht="17.25">
      <c r="B97" s="99" t="s">
        <v>2151</v>
      </c>
      <c r="C97" s="90"/>
      <c r="D97" s="113"/>
      <c r="E97" s="113"/>
      <c r="F97" s="113"/>
      <c r="G97" s="84"/>
      <c r="H97" s="84"/>
      <c r="I97" s="84"/>
      <c r="J97" s="84"/>
      <c r="K97" s="115"/>
      <c r="L97" s="115"/>
      <c r="M97" s="115"/>
      <c r="N97" s="115"/>
      <c r="O97" s="111"/>
      <c r="P97" s="483">
        <v>0</v>
      </c>
      <c r="Q97" s="483">
        <v>0</v>
      </c>
      <c r="R97" s="483"/>
      <c r="S97" s="483"/>
      <c r="T97" s="483"/>
      <c r="U97" s="483"/>
      <c r="V97" s="483"/>
      <c r="W97" s="483"/>
      <c r="X97" s="483"/>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c r="BA97" s="365"/>
      <c r="BB97" s="365"/>
      <c r="BC97" s="365"/>
      <c r="BD97" s="365"/>
    </row>
    <row r="98" spans="1:56" ht="17.25">
      <c r="A98" t="s">
        <v>117</v>
      </c>
      <c r="B98" s="90" t="s">
        <v>2139</v>
      </c>
      <c r="C98" s="11" t="s">
        <v>119</v>
      </c>
      <c r="D98" s="105"/>
      <c r="E98" s="105"/>
      <c r="F98" s="105"/>
      <c r="G98" s="84"/>
      <c r="H98" s="84"/>
      <c r="I98" s="84"/>
      <c r="J98" s="84"/>
      <c r="K98" s="111">
        <v>196000000000</v>
      </c>
      <c r="L98" s="111">
        <v>107000000000</v>
      </c>
      <c r="M98" s="111">
        <v>456000000000</v>
      </c>
      <c r="N98" s="111">
        <v>17000000000</v>
      </c>
      <c r="O98" s="111">
        <v>11000000000</v>
      </c>
      <c r="P98" s="485">
        <f>P100+P99+P103+P104+P105</f>
        <v>-115000000000</v>
      </c>
      <c r="Q98" s="485">
        <f t="shared" ref="Q98" si="10">Q100+Q99+Q103+Q104+Q105</f>
        <v>-328000000000</v>
      </c>
      <c r="R98" s="483">
        <f>R99+R100+R104</f>
        <v>-144651900000</v>
      </c>
      <c r="S98" s="483">
        <f t="shared" ref="S98" si="11">S99+S100+S104</f>
        <v>-290316300000</v>
      </c>
      <c r="T98" s="483">
        <f>T99+T100+T104+T103</f>
        <v>278310400000</v>
      </c>
      <c r="U98" s="483"/>
      <c r="V98" s="483"/>
      <c r="W98" s="485"/>
      <c r="X98" s="48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c r="BA98" s="365"/>
      <c r="BB98" s="365"/>
      <c r="BC98" s="365"/>
      <c r="BD98" s="365"/>
    </row>
    <row r="99" spans="1:56" ht="13.5" customHeight="1">
      <c r="A99" s="100" t="s">
        <v>1348</v>
      </c>
      <c r="B99" s="100" t="s">
        <v>2140</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c r="BA99" s="365"/>
      <c r="BB99" s="365"/>
      <c r="BC99" s="365"/>
      <c r="BD99" s="365"/>
    </row>
    <row r="100" spans="1:56" ht="17.25">
      <c r="A100" s="99" t="s">
        <v>606</v>
      </c>
      <c r="B100" s="99" t="s">
        <v>2141</v>
      </c>
      <c r="C100" s="58" t="s">
        <v>264</v>
      </c>
      <c r="D100" s="113"/>
      <c r="E100" s="113"/>
      <c r="F100" s="113"/>
      <c r="G100" s="84"/>
      <c r="H100" s="84"/>
      <c r="I100" s="84"/>
      <c r="J100" s="84"/>
      <c r="K100" s="111">
        <v>-271000000000</v>
      </c>
      <c r="L100" s="111">
        <v>-405000000000</v>
      </c>
      <c r="M100" s="111">
        <v>-660000000000</v>
      </c>
      <c r="N100" s="111">
        <v>-298000000000</v>
      </c>
      <c r="O100" s="111">
        <v>-258000000000</v>
      </c>
      <c r="P100" s="483">
        <v>-273000000000</v>
      </c>
      <c r="Q100" s="483">
        <v>-392000000000</v>
      </c>
      <c r="R100" s="125">
        <v>-369067800000</v>
      </c>
      <c r="S100" s="125">
        <v>-341301500000</v>
      </c>
      <c r="T100" s="125">
        <v>-225937000000</v>
      </c>
      <c r="U100" s="483"/>
      <c r="V100" s="483"/>
      <c r="W100" s="483"/>
      <c r="X100" s="483"/>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c r="BA100" s="365"/>
      <c r="BB100" s="365"/>
      <c r="BC100" s="365"/>
      <c r="BD100" s="365"/>
    </row>
    <row r="101" spans="1:56" ht="17.25">
      <c r="A101" s="100" t="s">
        <v>1348</v>
      </c>
      <c r="B101" s="100" t="s">
        <v>1348</v>
      </c>
      <c r="C101" s="58" t="s">
        <v>975</v>
      </c>
      <c r="D101" s="113"/>
      <c r="E101" s="113"/>
      <c r="F101" s="113"/>
      <c r="G101" s="84"/>
      <c r="H101" s="84"/>
      <c r="I101" s="84"/>
      <c r="J101" s="84"/>
      <c r="K101" s="111"/>
      <c r="L101" s="111"/>
      <c r="M101" s="111"/>
      <c r="N101" s="111"/>
      <c r="O101" s="111"/>
      <c r="P101" s="483">
        <v>-137000000000</v>
      </c>
      <c r="Q101" s="483">
        <v>-237000000000</v>
      </c>
      <c r="R101" s="483"/>
      <c r="S101" s="483"/>
      <c r="T101" s="483"/>
      <c r="U101" s="483"/>
      <c r="V101" s="483"/>
      <c r="W101" s="483"/>
      <c r="X101" s="483"/>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c r="BA101" s="365"/>
      <c r="BB101" s="365"/>
      <c r="BC101" s="365"/>
      <c r="BD101" s="365"/>
    </row>
    <row r="102" spans="1:56" ht="17.25">
      <c r="A102" s="100" t="s">
        <v>2152</v>
      </c>
      <c r="B102" s="100" t="s">
        <v>2152</v>
      </c>
      <c r="C102" s="58" t="s">
        <v>975</v>
      </c>
      <c r="D102" s="113"/>
      <c r="E102" s="113"/>
      <c r="F102" s="113"/>
      <c r="G102" s="84"/>
      <c r="H102" s="84"/>
      <c r="I102" s="84"/>
      <c r="J102" s="84"/>
      <c r="K102" s="111"/>
      <c r="L102" s="111"/>
      <c r="M102" s="111"/>
      <c r="N102" s="111"/>
      <c r="O102" s="111"/>
      <c r="P102" s="483">
        <v>-136000000000</v>
      </c>
      <c r="Q102" s="483">
        <v>-155000000000</v>
      </c>
      <c r="R102" s="483"/>
      <c r="S102" s="483"/>
      <c r="T102" s="483"/>
      <c r="U102" s="483"/>
      <c r="V102" s="483"/>
      <c r="W102" s="483"/>
      <c r="X102" s="483"/>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c r="BA102" s="365"/>
      <c r="BB102" s="365"/>
      <c r="BC102" s="365"/>
      <c r="BD102" s="365"/>
    </row>
    <row r="103" spans="1:56" ht="17.25">
      <c r="A103" s="99" t="s">
        <v>2153</v>
      </c>
      <c r="B103" s="99" t="s">
        <v>2153</v>
      </c>
      <c r="C103" s="58" t="s">
        <v>264</v>
      </c>
      <c r="D103" s="113"/>
      <c r="E103" s="113"/>
      <c r="F103" s="113"/>
      <c r="G103" s="84"/>
      <c r="H103" s="84"/>
      <c r="I103" s="84"/>
      <c r="J103" s="84"/>
      <c r="K103" s="111"/>
      <c r="L103" s="111"/>
      <c r="M103" s="111"/>
      <c r="N103" s="111"/>
      <c r="O103" s="111"/>
      <c r="P103" s="483">
        <v>0</v>
      </c>
      <c r="Q103" s="483">
        <v>0</v>
      </c>
      <c r="R103" s="483"/>
      <c r="S103" s="483"/>
      <c r="T103" s="125">
        <v>101002600000</v>
      </c>
      <c r="U103" s="483"/>
      <c r="V103" s="483"/>
      <c r="W103" s="483"/>
      <c r="X103" s="483"/>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c r="BA103" s="365"/>
      <c r="BB103" s="365"/>
      <c r="BC103" s="365"/>
      <c r="BD103" s="365"/>
    </row>
    <row r="104" spans="1:56" ht="17.25">
      <c r="A104" s="99" t="s">
        <v>1253</v>
      </c>
      <c r="B104" s="99" t="s">
        <v>1344</v>
      </c>
      <c r="C104" s="58" t="s">
        <v>264</v>
      </c>
      <c r="D104" s="113"/>
      <c r="E104" s="113"/>
      <c r="F104" s="113"/>
      <c r="G104" s="84"/>
      <c r="H104" s="84"/>
      <c r="I104" s="84"/>
      <c r="J104" s="84"/>
      <c r="K104" s="111">
        <v>61000000000</v>
      </c>
      <c r="L104" s="111">
        <v>52000000000</v>
      </c>
      <c r="M104" s="111">
        <v>396000000000</v>
      </c>
      <c r="N104" s="115">
        <v>317000000000</v>
      </c>
      <c r="O104" s="111">
        <v>269000000000</v>
      </c>
      <c r="P104" s="483">
        <v>158000000000</v>
      </c>
      <c r="Q104" s="483">
        <v>64000000000</v>
      </c>
      <c r="R104" s="125">
        <v>184042600000</v>
      </c>
      <c r="S104" s="483"/>
      <c r="T104" s="125">
        <v>372838100000</v>
      </c>
      <c r="U104" s="483"/>
      <c r="V104" s="483"/>
      <c r="W104" s="483"/>
      <c r="X104" s="483"/>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c r="BA104" s="365"/>
      <c r="BB104" s="365"/>
      <c r="BC104" s="365"/>
      <c r="BD104" s="365"/>
    </row>
    <row r="105" spans="1:56" ht="17.25">
      <c r="A105" s="99" t="s">
        <v>2154</v>
      </c>
      <c r="B105" s="99" t="s">
        <v>2142</v>
      </c>
      <c r="C105" s="58" t="s">
        <v>264</v>
      </c>
      <c r="D105" s="113"/>
      <c r="E105" s="113"/>
      <c r="F105" s="113"/>
      <c r="G105" s="84"/>
      <c r="H105" s="84"/>
      <c r="I105" s="84"/>
      <c r="J105" s="84"/>
      <c r="K105" s="111">
        <v>406000000000</v>
      </c>
      <c r="L105" s="111">
        <v>460000000000</v>
      </c>
      <c r="M105" s="111">
        <v>720000000000</v>
      </c>
      <c r="N105" s="115"/>
      <c r="O105" s="111"/>
      <c r="P105" s="483">
        <v>0</v>
      </c>
      <c r="Q105" s="483">
        <v>0</v>
      </c>
      <c r="R105" s="483"/>
      <c r="S105" s="483"/>
      <c r="T105" s="483"/>
      <c r="U105" s="483"/>
      <c r="V105" s="483"/>
      <c r="W105" s="483"/>
      <c r="X105" s="483"/>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c r="BA105" s="365"/>
      <c r="BB105" s="365"/>
      <c r="BC105" s="365"/>
      <c r="BD105" s="365"/>
    </row>
    <row r="106" spans="1:56">
      <c r="A106" s="90" t="s">
        <v>76</v>
      </c>
      <c r="B106" s="90" t="s">
        <v>2155</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c r="BA106" s="365"/>
      <c r="BB106" s="365"/>
      <c r="BC106" s="365"/>
      <c r="BD106" s="365"/>
    </row>
    <row r="107" spans="1:56">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c r="BA107" s="365"/>
      <c r="BB107" s="365"/>
      <c r="BC107" s="365"/>
      <c r="BD107" s="365"/>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c r="BA108" s="365"/>
      <c r="BB108" s="365"/>
      <c r="BC108" s="365"/>
      <c r="BD108" s="365"/>
    </row>
    <row r="109" spans="1:56">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c r="BA109" s="365"/>
      <c r="BB109" s="365"/>
      <c r="BC109" s="365"/>
      <c r="BD109" s="365"/>
    </row>
    <row r="110" spans="1:56">
      <c r="B110" t="s">
        <v>875</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c r="BC110" s="365"/>
      <c r="BD110" s="365"/>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c r="BC111" s="365"/>
      <c r="BD111" s="365"/>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5"/>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c r="BC112" s="365"/>
      <c r="BD112" s="365"/>
    </row>
    <row r="113" spans="2:56">
      <c r="B113" t="s">
        <v>1829</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5"/>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c r="BC113" s="365"/>
      <c r="BD113" s="365"/>
    </row>
    <row r="114" spans="2:56">
      <c r="B114" t="s">
        <v>2156</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5"/>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c r="BC114" s="365"/>
      <c r="BD114" s="365"/>
    </row>
    <row r="115" spans="2:56">
      <c r="B115" t="s">
        <v>2157</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5"/>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c r="BC115" s="365"/>
      <c r="BD115" s="365"/>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5"/>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c r="BC116" s="365"/>
      <c r="BD116" s="365"/>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5"/>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c r="BC117" s="365"/>
      <c r="BD117" s="365"/>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5"/>
      <c r="Z118" s="365"/>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c r="BC118" s="365"/>
      <c r="BD118" s="365"/>
    </row>
    <row r="119" spans="2:56">
      <c r="B119" t="s">
        <v>936</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5"/>
      <c r="Z119" s="365"/>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c r="BC119" s="365"/>
      <c r="BD119" s="365"/>
    </row>
    <row r="120" spans="2:56">
      <c r="B120" t="s">
        <v>876</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5"/>
      <c r="Z120" s="365"/>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c r="BC120" s="365"/>
      <c r="BD120" s="365"/>
    </row>
    <row r="121" spans="2:56">
      <c r="B121" t="s">
        <v>2158</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5"/>
      <c r="Z121" s="365"/>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c r="BC121" s="365"/>
      <c r="BD121" s="365"/>
    </row>
    <row r="122" spans="2:56">
      <c r="B122" t="s">
        <v>2159</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5"/>
      <c r="Z122" s="365"/>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c r="BC122" s="365"/>
      <c r="BD122" s="365"/>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5"/>
      <c r="Z123" s="365"/>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c r="BC123" s="365"/>
      <c r="BD123" s="365"/>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528</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2160</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2161</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4">
        <f t="shared" ref="K129:W129" si="32">(K6/K128)*100</f>
        <v>10.371199050154265</v>
      </c>
      <c r="L129" s="364">
        <f t="shared" si="32"/>
        <v>12.623575588685926</v>
      </c>
      <c r="M129" s="364">
        <f t="shared" si="32"/>
        <v>14.916557547923498</v>
      </c>
      <c r="N129" s="364">
        <f t="shared" si="32"/>
        <v>21.132380405867561</v>
      </c>
      <c r="O129" s="364">
        <f t="shared" si="32"/>
        <v>17.980212456745953</v>
      </c>
      <c r="P129" s="364">
        <f t="shared" si="32"/>
        <v>17.30306829064418</v>
      </c>
      <c r="Q129" s="364">
        <f t="shared" si="32"/>
        <v>16.690348311344554</v>
      </c>
      <c r="R129" s="364">
        <f t="shared" si="32"/>
        <v>19.661764346323338</v>
      </c>
      <c r="S129" s="364">
        <f t="shared" si="32"/>
        <v>16.731701166887643</v>
      </c>
      <c r="T129" s="364">
        <f t="shared" si="32"/>
        <v>12.966170846988453</v>
      </c>
      <c r="U129" s="364">
        <f t="shared" si="32"/>
        <v>0</v>
      </c>
      <c r="V129" s="364">
        <f t="shared" si="32"/>
        <v>0</v>
      </c>
      <c r="W129" s="364">
        <f t="shared" si="32"/>
        <v>0</v>
      </c>
    </row>
    <row r="130" spans="2:23">
      <c r="B130" t="s">
        <v>152</v>
      </c>
      <c r="K130" s="364">
        <f t="shared" ref="K130:W130" si="33">(K46/K128)*100</f>
        <v>11.55377590878075</v>
      </c>
      <c r="L130" s="364">
        <f t="shared" si="33"/>
        <v>13.964132288369385</v>
      </c>
      <c r="M130" s="364">
        <f t="shared" si="33"/>
        <v>17.486046155453387</v>
      </c>
      <c r="N130" s="364">
        <f t="shared" si="33"/>
        <v>17.975162971852736</v>
      </c>
      <c r="O130" s="364">
        <f t="shared" si="33"/>
        <v>19.166723938663196</v>
      </c>
      <c r="P130" s="364">
        <f t="shared" si="33"/>
        <v>15.48523621341697</v>
      </c>
      <c r="Q130" s="364">
        <f t="shared" si="33"/>
        <v>14.682268043719837</v>
      </c>
      <c r="R130" s="364">
        <f t="shared" si="33"/>
        <v>19.709371500141838</v>
      </c>
      <c r="S130" s="364">
        <f t="shared" si="33"/>
        <v>17.077704593519975</v>
      </c>
      <c r="T130" s="364">
        <f t="shared" si="33"/>
        <v>13.622135678701259</v>
      </c>
      <c r="U130" s="364">
        <f t="shared" si="33"/>
        <v>0</v>
      </c>
      <c r="V130" s="364">
        <f t="shared" si="33"/>
        <v>0</v>
      </c>
      <c r="W130" s="364">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D6" activePane="bottomRight" state="frozen"/>
      <selection pane="topRight" activeCell="C1" sqref="C1"/>
      <selection pane="bottomLeft" activeCell="A6" sqref="A6"/>
      <selection pane="bottomRight" activeCell="F19" sqref="F19"/>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34" bestFit="1" customWidth="1"/>
    <col min="21" max="23" width="20.5703125" style="534" bestFit="1" customWidth="1"/>
    <col min="24" max="24" width="20.42578125" style="534" bestFit="1" customWidth="1"/>
    <col min="25" max="25" width="20.5703125" style="534" bestFit="1" customWidth="1"/>
    <col min="26" max="28" width="8.85546875" style="534"/>
    <col min="31" max="31" width="15.140625" bestFit="1" customWidth="1"/>
  </cols>
  <sheetData>
    <row r="1" spans="1:46">
      <c r="A1" s="26" t="s">
        <v>2162</v>
      </c>
      <c r="B1" s="82" t="s">
        <v>2163</v>
      </c>
      <c r="C1" s="82"/>
      <c r="D1" s="27"/>
      <c r="E1" s="27"/>
      <c r="F1" s="27"/>
      <c r="G1" s="27"/>
      <c r="H1" s="27"/>
      <c r="I1" s="27"/>
      <c r="J1" s="27"/>
      <c r="K1" s="27"/>
      <c r="L1" s="27"/>
      <c r="M1" s="27"/>
      <c r="N1" s="27"/>
      <c r="O1" s="28"/>
      <c r="P1" s="28"/>
      <c r="Q1" s="28"/>
      <c r="R1" s="551"/>
      <c r="S1" s="550"/>
      <c r="T1" s="550"/>
      <c r="U1" s="550"/>
      <c r="V1" s="550"/>
      <c r="W1" s="550"/>
      <c r="X1" s="550"/>
      <c r="Y1" s="1168"/>
      <c r="Z1" s="1168"/>
      <c r="AA1" s="1168"/>
      <c r="AB1" s="1168"/>
      <c r="AC1" s="365"/>
      <c r="AD1" s="365"/>
      <c r="AE1" s="365"/>
      <c r="AF1" s="365"/>
      <c r="AG1" s="365"/>
      <c r="AH1" s="365"/>
      <c r="AI1" s="365"/>
      <c r="AJ1" s="365"/>
      <c r="AK1" s="365"/>
      <c r="AL1" s="365"/>
      <c r="AM1" s="365"/>
      <c r="AN1" s="365"/>
      <c r="AO1" s="365"/>
      <c r="AP1" s="365"/>
      <c r="AQ1" s="365"/>
      <c r="AR1" s="365"/>
      <c r="AS1" s="365"/>
      <c r="AT1" s="365"/>
    </row>
    <row r="2" spans="1:46">
      <c r="B2" s="30" t="s">
        <v>2164</v>
      </c>
      <c r="C2" s="30"/>
      <c r="D2" s="28"/>
      <c r="E2" s="28"/>
      <c r="F2" s="28"/>
      <c r="G2" s="28"/>
      <c r="H2" s="28"/>
      <c r="I2" s="28"/>
      <c r="J2" s="28"/>
      <c r="K2" s="28"/>
      <c r="L2" s="28"/>
      <c r="M2" s="28"/>
      <c r="N2" s="28"/>
      <c r="O2" s="28"/>
      <c r="P2" s="28"/>
      <c r="Q2" s="28"/>
      <c r="R2" s="553"/>
      <c r="S2" s="554"/>
      <c r="T2" s="555"/>
      <c r="U2" s="550"/>
      <c r="V2" s="550"/>
      <c r="W2" s="550"/>
      <c r="X2" s="550"/>
      <c r="Y2" s="1168"/>
      <c r="Z2" s="1168"/>
      <c r="AA2" s="1168"/>
      <c r="AB2" s="1168"/>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0">
        <v>2014</v>
      </c>
      <c r="S3" s="550">
        <v>2015</v>
      </c>
      <c r="T3" s="550">
        <v>2016</v>
      </c>
      <c r="U3" s="550">
        <v>2017</v>
      </c>
      <c r="V3" s="550">
        <v>2018</v>
      </c>
      <c r="W3" s="550">
        <v>2019</v>
      </c>
      <c r="X3" s="550">
        <v>2020</v>
      </c>
      <c r="Y3" s="1168">
        <v>2021</v>
      </c>
      <c r="Z3" s="1168"/>
      <c r="AA3" s="1168"/>
      <c r="AB3" s="1168"/>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1" t="s">
        <v>19</v>
      </c>
      <c r="S4" s="550" t="s">
        <v>20</v>
      </c>
      <c r="T4" s="550" t="s">
        <v>21</v>
      </c>
      <c r="U4" s="550" t="s">
        <v>22</v>
      </c>
      <c r="V4" s="550" t="s">
        <v>23</v>
      </c>
      <c r="W4" s="550" t="s">
        <v>24</v>
      </c>
      <c r="X4" s="550" t="s">
        <v>25</v>
      </c>
      <c r="Y4" s="1168" t="s">
        <v>26</v>
      </c>
      <c r="Z4" s="1168"/>
      <c r="AA4" s="1168"/>
      <c r="AB4" s="1168"/>
      <c r="AC4" s="365"/>
      <c r="AD4" s="365"/>
      <c r="AE4" s="365"/>
      <c r="AF4" s="365"/>
      <c r="AG4" s="365"/>
      <c r="AH4" s="365"/>
      <c r="AI4" s="365"/>
      <c r="AJ4" s="365"/>
      <c r="AK4" s="365"/>
      <c r="AL4" s="365"/>
      <c r="AM4" s="365"/>
      <c r="AN4" s="365"/>
      <c r="AO4" s="365"/>
      <c r="AP4" s="365"/>
      <c r="AQ4" s="365"/>
      <c r="AR4" s="365"/>
      <c r="AS4" s="365"/>
      <c r="AT4" s="365"/>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2165</v>
      </c>
      <c r="P5" s="28" t="s">
        <v>2166</v>
      </c>
      <c r="Q5" s="28" t="s">
        <v>2167</v>
      </c>
      <c r="R5" s="551" t="s">
        <v>30</v>
      </c>
      <c r="S5" s="551" t="s">
        <v>30</v>
      </c>
      <c r="T5" s="550" t="s">
        <v>369</v>
      </c>
      <c r="U5" s="550" t="s">
        <v>32</v>
      </c>
      <c r="V5" s="550" t="s">
        <v>32</v>
      </c>
      <c r="W5" s="550" t="s">
        <v>32</v>
      </c>
      <c r="X5" s="550" t="s">
        <v>32</v>
      </c>
      <c r="Y5" s="550" t="s">
        <v>32</v>
      </c>
      <c r="Z5" s="1168"/>
      <c r="AA5" s="1168"/>
      <c r="AB5" s="1168"/>
      <c r="AC5" s="365"/>
      <c r="AD5" s="365"/>
      <c r="AE5" s="365"/>
      <c r="AF5" s="365"/>
      <c r="AG5" s="365"/>
      <c r="AH5" s="365"/>
      <c r="AI5" s="365"/>
      <c r="AJ5" s="365"/>
      <c r="AK5" s="365"/>
      <c r="AL5" s="365"/>
      <c r="AM5" s="365"/>
      <c r="AN5" s="365"/>
      <c r="AO5" s="365"/>
      <c r="AP5" s="365"/>
      <c r="AQ5" s="365"/>
      <c r="AR5" s="365"/>
      <c r="AS5" s="365"/>
      <c r="AT5" s="365"/>
    </row>
    <row r="6" spans="1:46" s="848" customFormat="1" ht="16.5">
      <c r="A6" s="19" t="s">
        <v>33</v>
      </c>
      <c r="B6" s="19" t="s">
        <v>34</v>
      </c>
      <c r="C6" s="848" t="s">
        <v>35</v>
      </c>
      <c r="D6" s="1169">
        <v>30467000000</v>
      </c>
      <c r="E6" s="910">
        <v>28774000000</v>
      </c>
      <c r="F6" s="910">
        <v>30947000000</v>
      </c>
      <c r="G6" s="919">
        <v>37966000000</v>
      </c>
      <c r="H6" s="919">
        <v>42156000000</v>
      </c>
      <c r="I6" s="1169">
        <v>46714000000</v>
      </c>
      <c r="J6" s="1169">
        <v>47742000000</v>
      </c>
      <c r="K6" s="1095">
        <v>53002000000</v>
      </c>
      <c r="L6" s="919">
        <v>73092000000</v>
      </c>
      <c r="M6" s="919">
        <v>68953000000</v>
      </c>
      <c r="N6" s="919">
        <v>71124000000</v>
      </c>
      <c r="O6" s="919">
        <f>O7+O17</f>
        <v>75480000000</v>
      </c>
      <c r="P6" s="1094">
        <v>82904000000</v>
      </c>
      <c r="Q6" s="1094">
        <v>82258000000</v>
      </c>
      <c r="R6" s="1170">
        <v>87326000000</v>
      </c>
      <c r="S6" s="1170">
        <v>114222000000</v>
      </c>
      <c r="T6" s="1170">
        <v>109424000000</v>
      </c>
      <c r="U6" s="1170">
        <v>114444000000</v>
      </c>
      <c r="V6" s="1170">
        <v>122358000000</v>
      </c>
      <c r="W6" s="1170">
        <v>132089000000</v>
      </c>
      <c r="X6" s="882">
        <v>141874000000</v>
      </c>
      <c r="Y6" s="2596">
        <v>152653000000</v>
      </c>
      <c r="Z6" s="1171"/>
      <c r="AA6" s="1171"/>
      <c r="AB6" s="1171"/>
      <c r="AC6" s="916"/>
      <c r="AD6" s="916"/>
      <c r="AE6" s="916"/>
      <c r="AF6" s="916"/>
      <c r="AG6" s="916"/>
      <c r="AH6" s="916"/>
      <c r="AI6" s="916"/>
      <c r="AJ6" s="916"/>
      <c r="AK6" s="916"/>
      <c r="AL6" s="916"/>
      <c r="AM6" s="916"/>
      <c r="AN6" s="916"/>
      <c r="AO6" s="916"/>
      <c r="AP6" s="916"/>
      <c r="AQ6" s="916"/>
      <c r="AR6" s="916"/>
      <c r="AS6" s="916"/>
      <c r="AT6" s="916"/>
    </row>
    <row r="7" spans="1:46">
      <c r="A7" s="43" t="s">
        <v>36</v>
      </c>
      <c r="B7" s="90" t="s">
        <v>2168</v>
      </c>
      <c r="C7" s="11" t="s">
        <v>38</v>
      </c>
      <c r="D7" s="135">
        <v>23969000000</v>
      </c>
      <c r="E7" s="158">
        <v>23702000000</v>
      </c>
      <c r="F7" s="158">
        <v>24720000000</v>
      </c>
      <c r="G7" s="1173">
        <f>G8+G14</f>
        <v>31224000000</v>
      </c>
      <c r="H7" s="1173">
        <f t="shared" ref="H7:Q7" si="0">H8+H14</f>
        <v>34063000000</v>
      </c>
      <c r="I7" s="1173">
        <f t="shared" si="0"/>
        <v>38931000000</v>
      </c>
      <c r="J7" s="1173">
        <f t="shared" si="0"/>
        <v>42465000000</v>
      </c>
      <c r="K7" s="1173">
        <f t="shared" si="0"/>
        <v>45533000000</v>
      </c>
      <c r="L7" s="1173">
        <f t="shared" si="0"/>
        <v>50254000000</v>
      </c>
      <c r="M7" s="1173">
        <f t="shared" si="0"/>
        <v>57005000000</v>
      </c>
      <c r="N7" s="1173">
        <f t="shared" si="0"/>
        <v>60419000000</v>
      </c>
      <c r="O7" s="1173">
        <f t="shared" si="0"/>
        <v>62165000000</v>
      </c>
      <c r="P7" s="1173">
        <f t="shared" si="0"/>
        <v>62330000000</v>
      </c>
      <c r="Q7" s="1173">
        <f t="shared" si="0"/>
        <v>70806000000</v>
      </c>
      <c r="R7" s="873">
        <f t="shared" ref="R7:Y7" si="1">R6-R17</f>
        <v>74127000000</v>
      </c>
      <c r="S7" s="873">
        <f t="shared" si="1"/>
        <v>93102000000</v>
      </c>
      <c r="T7" s="873">
        <f t="shared" si="1"/>
        <v>94411000000</v>
      </c>
      <c r="U7" s="873">
        <f t="shared" si="1"/>
        <v>100570000000</v>
      </c>
      <c r="V7" s="873">
        <f t="shared" si="1"/>
        <v>110054000000</v>
      </c>
      <c r="W7" s="873">
        <f t="shared" si="1"/>
        <v>118680000000</v>
      </c>
      <c r="X7" s="1141">
        <f t="shared" si="1"/>
        <v>127371000000</v>
      </c>
      <c r="Y7" s="2597">
        <f t="shared" si="1"/>
        <v>136955000000</v>
      </c>
      <c r="Z7" s="1168"/>
      <c r="AA7" s="1168"/>
      <c r="AB7" s="1168"/>
      <c r="AC7" s="365"/>
      <c r="AD7" s="365"/>
      <c r="AE7" s="365"/>
      <c r="AF7" s="365"/>
      <c r="AG7" s="365"/>
      <c r="AH7" s="365"/>
      <c r="AI7" s="365"/>
      <c r="AJ7" s="365"/>
      <c r="AK7" s="365"/>
      <c r="AL7" s="365"/>
      <c r="AM7" s="365"/>
      <c r="AN7" s="365"/>
      <c r="AO7" s="365"/>
      <c r="AP7" s="365"/>
      <c r="AQ7" s="365"/>
      <c r="AR7" s="365"/>
      <c r="AS7" s="365"/>
      <c r="AT7" s="365"/>
    </row>
    <row r="8" spans="1:46" ht="16.5">
      <c r="A8" s="20" t="s">
        <v>39</v>
      </c>
      <c r="B8" s="90" t="s">
        <v>465</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167">
        <v>52600000000</v>
      </c>
      <c r="S8" s="1167">
        <v>61779000000</v>
      </c>
      <c r="T8" s="1167">
        <v>63349000000</v>
      </c>
      <c r="U8" s="1167">
        <v>65438000000</v>
      </c>
      <c r="V8" s="1167">
        <v>72985000000</v>
      </c>
      <c r="W8" s="1167">
        <v>80038000000</v>
      </c>
      <c r="X8" s="571">
        <v>87164000000</v>
      </c>
      <c r="Y8" s="2598">
        <v>95036000000</v>
      </c>
      <c r="Z8" s="1168"/>
      <c r="AA8" s="1168"/>
      <c r="AB8" s="1168"/>
      <c r="AC8" s="365"/>
      <c r="AD8" s="365"/>
      <c r="AE8" s="365"/>
      <c r="AF8" s="365"/>
      <c r="AG8" s="365"/>
      <c r="AH8" s="365"/>
      <c r="AI8" s="365"/>
      <c r="AJ8" s="365"/>
      <c r="AK8" s="365"/>
      <c r="AL8" s="365"/>
      <c r="AM8" s="365"/>
      <c r="AN8" s="365"/>
      <c r="AO8" s="365"/>
      <c r="AP8" s="365"/>
      <c r="AQ8" s="365"/>
      <c r="AR8" s="365"/>
      <c r="AS8" s="365"/>
      <c r="AT8" s="365"/>
    </row>
    <row r="9" spans="1:46">
      <c r="A9" t="s">
        <v>76</v>
      </c>
      <c r="B9" s="90" t="s">
        <v>2169</v>
      </c>
      <c r="C9" s="90"/>
      <c r="D9" s="115"/>
      <c r="E9" s="115"/>
      <c r="F9" s="115"/>
      <c r="G9" s="115"/>
      <c r="H9" s="115"/>
      <c r="I9" s="135">
        <v>24714000000</v>
      </c>
      <c r="J9" s="135">
        <v>27027000000</v>
      </c>
      <c r="K9" s="175">
        <v>28775000000</v>
      </c>
      <c r="L9" s="164"/>
      <c r="M9" s="164"/>
      <c r="N9" s="164"/>
      <c r="O9" s="164"/>
      <c r="P9" s="164"/>
      <c r="Q9" s="125"/>
      <c r="R9" s="866"/>
      <c r="S9" s="866"/>
      <c r="T9" s="866"/>
      <c r="U9" s="866"/>
      <c r="V9" s="866"/>
      <c r="W9" s="866"/>
      <c r="X9" s="571"/>
      <c r="Y9" s="2598"/>
      <c r="Z9" s="1168"/>
      <c r="AA9" s="1168"/>
      <c r="AB9" s="1168"/>
      <c r="AC9" s="365"/>
      <c r="AD9" s="365"/>
      <c r="AE9" s="365"/>
      <c r="AF9" s="365"/>
      <c r="AG9" s="365"/>
      <c r="AH9" s="365"/>
      <c r="AI9" s="365"/>
      <c r="AJ9" s="365"/>
      <c r="AK9" s="365"/>
      <c r="AL9" s="365"/>
      <c r="AM9" s="365"/>
      <c r="AN9" s="365"/>
      <c r="AO9" s="365"/>
      <c r="AP9" s="365"/>
      <c r="AQ9" s="365"/>
      <c r="AR9" s="365"/>
      <c r="AS9" s="365"/>
      <c r="AT9" s="365"/>
    </row>
    <row r="10" spans="1:46" ht="16.5">
      <c r="A10" s="99" t="s">
        <v>2170</v>
      </c>
      <c r="B10" s="99" t="s">
        <v>2171</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167">
        <v>22941000000</v>
      </c>
      <c r="S10" s="1167">
        <v>26724000000</v>
      </c>
      <c r="T10" s="1167">
        <v>26541000000</v>
      </c>
      <c r="U10" s="1167">
        <v>27338000000</v>
      </c>
      <c r="V10" s="1167">
        <v>30101000000</v>
      </c>
      <c r="W10" s="1167">
        <v>33013000000</v>
      </c>
      <c r="X10" s="571">
        <v>36081000000</v>
      </c>
      <c r="Y10" s="2598">
        <v>39494000000</v>
      </c>
      <c r="Z10" s="1168"/>
      <c r="AA10" s="1168"/>
      <c r="AB10" s="1168"/>
      <c r="AC10" s="365"/>
      <c r="AD10" s="365"/>
      <c r="AE10" s="365"/>
      <c r="AF10" s="365"/>
      <c r="AG10" s="365"/>
      <c r="AH10" s="365"/>
      <c r="AI10" s="365"/>
      <c r="AJ10" s="365"/>
      <c r="AK10" s="365"/>
      <c r="AL10" s="365"/>
      <c r="AM10" s="365"/>
      <c r="AN10" s="365"/>
      <c r="AO10" s="365"/>
      <c r="AP10" s="365"/>
      <c r="AQ10" s="365"/>
      <c r="AR10" s="365"/>
      <c r="AS10" s="365"/>
      <c r="AT10" s="365"/>
    </row>
    <row r="11" spans="1:46" ht="16.5">
      <c r="A11" s="99" t="s">
        <v>2172</v>
      </c>
      <c r="B11" s="99" t="s">
        <v>2173</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167">
        <v>29660000000</v>
      </c>
      <c r="S11" s="1167">
        <v>35055000000</v>
      </c>
      <c r="T11" s="1167">
        <v>36808000000</v>
      </c>
      <c r="U11" s="1167">
        <v>38100000000</v>
      </c>
      <c r="V11" s="1167">
        <v>42884000000</v>
      </c>
      <c r="W11" s="1167">
        <v>47025000000</v>
      </c>
      <c r="X11" s="571">
        <v>51082000000</v>
      </c>
      <c r="Y11" s="2598">
        <v>55542000000</v>
      </c>
      <c r="Z11" s="1168"/>
      <c r="AA11" s="1168"/>
      <c r="AB11" s="1168"/>
      <c r="AC11" s="365"/>
      <c r="AD11" s="365"/>
      <c r="AE11" s="464"/>
      <c r="AF11" s="365"/>
      <c r="AG11" s="365"/>
      <c r="AH11" s="365"/>
      <c r="AI11" s="365"/>
      <c r="AJ11" s="365"/>
      <c r="AK11" s="365"/>
      <c r="AL11" s="365"/>
      <c r="AM11" s="365"/>
      <c r="AN11" s="365"/>
      <c r="AO11" s="365"/>
      <c r="AP11" s="365"/>
      <c r="AQ11" s="365"/>
      <c r="AR11" s="365"/>
      <c r="AS11" s="365"/>
      <c r="AT11" s="365"/>
    </row>
    <row r="12" spans="1:46" ht="16.5">
      <c r="A12" s="99" t="s">
        <v>992</v>
      </c>
      <c r="B12" s="99" t="s">
        <v>2174</v>
      </c>
      <c r="C12" t="s">
        <v>2175</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167">
        <v>26485000000</v>
      </c>
      <c r="S12" s="1167">
        <v>31280000000</v>
      </c>
      <c r="T12" s="1167">
        <v>31948000000</v>
      </c>
      <c r="U12" s="1167">
        <v>33750000000</v>
      </c>
      <c r="V12" s="1167">
        <v>36980000000</v>
      </c>
      <c r="W12" s="1167">
        <v>40519000000</v>
      </c>
      <c r="X12" s="571">
        <v>43979000000</v>
      </c>
      <c r="Y12" s="2598">
        <v>47787000000</v>
      </c>
      <c r="Z12" s="1168"/>
      <c r="AA12" s="1168"/>
      <c r="AB12" s="1168"/>
      <c r="AC12" s="365"/>
      <c r="AD12" s="365"/>
      <c r="AE12" s="365"/>
      <c r="AF12" s="365"/>
      <c r="AG12" s="365"/>
      <c r="AH12" s="365"/>
      <c r="AI12" s="365"/>
      <c r="AJ12" s="365"/>
      <c r="AK12" s="365"/>
      <c r="AL12" s="365"/>
      <c r="AM12" s="365"/>
      <c r="AN12" s="365"/>
      <c r="AO12" s="365"/>
      <c r="AP12" s="365"/>
      <c r="AQ12" s="365"/>
      <c r="AR12" s="365"/>
      <c r="AS12" s="365"/>
      <c r="AT12" s="365"/>
    </row>
    <row r="13" spans="1:46" ht="16.5">
      <c r="A13" s="99" t="s">
        <v>49</v>
      </c>
      <c r="B13" s="99" t="s">
        <v>2176</v>
      </c>
      <c r="C13" t="s">
        <v>2175</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167">
        <v>3175000000</v>
      </c>
      <c r="S13" s="1167">
        <v>3775000000</v>
      </c>
      <c r="T13" s="1167">
        <v>4860000000</v>
      </c>
      <c r="U13" s="1167">
        <v>4350000000</v>
      </c>
      <c r="V13" s="1167">
        <v>5903000000</v>
      </c>
      <c r="W13" s="1167">
        <v>6506000000</v>
      </c>
      <c r="X13" s="571">
        <v>7103000000</v>
      </c>
      <c r="Y13" s="2598">
        <v>7755000000</v>
      </c>
      <c r="Z13" s="1168"/>
      <c r="AA13" s="1168"/>
      <c r="AB13" s="1168"/>
      <c r="AC13" s="365"/>
      <c r="AD13" s="365"/>
      <c r="AE13" s="365"/>
      <c r="AF13" s="365"/>
      <c r="AG13" s="365"/>
      <c r="AH13" s="365"/>
      <c r="AI13" s="365"/>
      <c r="AJ13" s="365"/>
      <c r="AK13" s="365"/>
      <c r="AL13" s="365"/>
      <c r="AM13" s="365"/>
      <c r="AN13" s="365"/>
      <c r="AO13" s="365"/>
      <c r="AP13" s="365"/>
      <c r="AQ13" s="365"/>
      <c r="AR13" s="365"/>
      <c r="AS13" s="365"/>
      <c r="AT13" s="365"/>
    </row>
    <row r="14" spans="1:46">
      <c r="A14" s="20" t="s">
        <v>51</v>
      </c>
      <c r="B14" s="90" t="s">
        <v>843</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866">
        <v>21527000000</v>
      </c>
      <c r="S14" s="866">
        <v>31323000000</v>
      </c>
      <c r="T14" s="866">
        <v>31062000000</v>
      </c>
      <c r="U14" s="866">
        <v>35132000000</v>
      </c>
      <c r="V14" s="866">
        <v>37069000000</v>
      </c>
      <c r="W14" s="866">
        <v>38643000000</v>
      </c>
      <c r="X14" s="571">
        <v>40207000000</v>
      </c>
      <c r="Y14" s="2598">
        <v>41918000000</v>
      </c>
      <c r="Z14" s="1168"/>
      <c r="AA14" s="1168"/>
      <c r="AB14" s="1168"/>
      <c r="AC14" s="365"/>
      <c r="AD14" s="365"/>
      <c r="AE14" s="365"/>
      <c r="AF14" s="365"/>
      <c r="AG14" s="365"/>
      <c r="AH14" s="365"/>
      <c r="AI14" s="365"/>
      <c r="AJ14" s="365"/>
      <c r="AK14" s="365"/>
      <c r="AL14" s="365"/>
      <c r="AM14" s="365"/>
      <c r="AN14" s="365"/>
      <c r="AO14" s="365"/>
      <c r="AP14" s="365"/>
      <c r="AQ14" s="365"/>
      <c r="AR14" s="365"/>
      <c r="AS14" s="365"/>
      <c r="AT14" s="365"/>
    </row>
    <row r="15" spans="1:46" ht="16.5">
      <c r="A15" s="99" t="s">
        <v>2177</v>
      </c>
      <c r="B15" s="99" t="s">
        <v>2178</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167">
        <v>8684000000</v>
      </c>
      <c r="S15" s="1167">
        <v>13037000000</v>
      </c>
      <c r="T15" s="1167">
        <v>11777000000</v>
      </c>
      <c r="U15" s="1167">
        <v>13227000000</v>
      </c>
      <c r="V15" s="1167">
        <v>15163000000</v>
      </c>
      <c r="W15" s="1167">
        <v>16737000000</v>
      </c>
      <c r="X15" s="571">
        <v>18302000000</v>
      </c>
      <c r="Y15" s="2598">
        <v>20013000000</v>
      </c>
      <c r="Z15" s="1168"/>
      <c r="AA15" s="1168"/>
      <c r="AB15" s="1168"/>
      <c r="AC15" s="365"/>
      <c r="AD15" s="365"/>
      <c r="AE15" s="365"/>
      <c r="AF15" s="365"/>
      <c r="AG15" s="365"/>
      <c r="AH15" s="365"/>
      <c r="AI15" s="365"/>
      <c r="AJ15" s="365"/>
      <c r="AK15" s="365"/>
      <c r="AL15" s="365"/>
      <c r="AM15" s="365"/>
      <c r="AN15" s="365"/>
      <c r="AO15" s="365"/>
      <c r="AP15" s="365"/>
      <c r="AQ15" s="365"/>
      <c r="AR15" s="365"/>
      <c r="AS15" s="365"/>
      <c r="AT15" s="365"/>
    </row>
    <row r="16" spans="1:46" ht="16.5">
      <c r="A16" s="99" t="s">
        <v>2179</v>
      </c>
      <c r="B16" s="99" t="s">
        <v>2180</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167">
        <v>12843000000</v>
      </c>
      <c r="S16" s="1167">
        <v>18286000000</v>
      </c>
      <c r="T16" s="1167">
        <v>19285000000</v>
      </c>
      <c r="U16" s="1167">
        <v>21905000000</v>
      </c>
      <c r="V16" s="1167">
        <v>21905000000</v>
      </c>
      <c r="W16" s="1167">
        <v>21905000000</v>
      </c>
      <c r="X16" s="571">
        <v>21905000000</v>
      </c>
      <c r="Y16" s="2598">
        <v>21905000000</v>
      </c>
      <c r="Z16" s="1168"/>
      <c r="AA16" s="1168"/>
      <c r="AB16" s="1168"/>
      <c r="AC16" s="365"/>
      <c r="AD16" s="365"/>
      <c r="AE16" s="365"/>
      <c r="AF16" s="365"/>
      <c r="AG16" s="365"/>
      <c r="AH16" s="365"/>
      <c r="AI16" s="365"/>
      <c r="AJ16" s="365"/>
      <c r="AK16" s="365"/>
      <c r="AL16" s="365"/>
      <c r="AM16" s="365"/>
      <c r="AN16" s="365"/>
      <c r="AO16" s="365"/>
      <c r="AP16" s="365"/>
      <c r="AQ16" s="365"/>
      <c r="AR16" s="365"/>
      <c r="AS16" s="365"/>
      <c r="AT16" s="365"/>
    </row>
    <row r="17" spans="1:46" s="848" customFormat="1" ht="16.5">
      <c r="A17" s="917" t="s">
        <v>53</v>
      </c>
      <c r="B17" s="917" t="s">
        <v>53</v>
      </c>
      <c r="C17" s="118" t="s">
        <v>38</v>
      </c>
      <c r="D17" s="1169">
        <v>6498000000</v>
      </c>
      <c r="E17" s="910">
        <v>5072000000</v>
      </c>
      <c r="F17" s="910">
        <v>6227000000</v>
      </c>
      <c r="G17" s="919">
        <v>6742000000</v>
      </c>
      <c r="H17" s="919">
        <v>8093000000</v>
      </c>
      <c r="I17" s="1169">
        <v>7783000000</v>
      </c>
      <c r="J17" s="1169">
        <v>5277000000</v>
      </c>
      <c r="K17" s="1095">
        <v>7469000000</v>
      </c>
      <c r="L17" s="919">
        <v>22838000000</v>
      </c>
      <c r="M17" s="919">
        <v>11948000000</v>
      </c>
      <c r="N17" s="919">
        <v>10705000000</v>
      </c>
      <c r="O17" s="919">
        <v>13315000000</v>
      </c>
      <c r="P17" s="1094">
        <v>20574000000</v>
      </c>
      <c r="Q17" s="1094">
        <v>11452000000</v>
      </c>
      <c r="R17" s="1170">
        <v>13199000000</v>
      </c>
      <c r="S17" s="1170">
        <v>21120000000</v>
      </c>
      <c r="T17" s="1170">
        <v>15013000000</v>
      </c>
      <c r="U17" s="1170">
        <v>13874000000</v>
      </c>
      <c r="V17" s="1170">
        <v>12304000000</v>
      </c>
      <c r="W17" s="1170">
        <v>13409000000</v>
      </c>
      <c r="X17" s="882">
        <v>14503000000</v>
      </c>
      <c r="Y17" s="2596">
        <v>15698000000</v>
      </c>
      <c r="Z17" s="1171"/>
      <c r="AA17" s="1171"/>
      <c r="AB17" s="1171"/>
      <c r="AC17" s="916"/>
      <c r="AD17" s="916"/>
      <c r="AE17" s="916"/>
      <c r="AF17" s="916"/>
      <c r="AG17" s="916"/>
      <c r="AH17" s="916"/>
      <c r="AI17" s="916"/>
      <c r="AJ17" s="916"/>
      <c r="AK17" s="916"/>
      <c r="AL17" s="916"/>
      <c r="AM17" s="916"/>
      <c r="AN17" s="916"/>
      <c r="AO17" s="916"/>
      <c r="AP17" s="916"/>
      <c r="AQ17" s="916"/>
      <c r="AR17" s="916"/>
      <c r="AS17" s="916"/>
      <c r="AT17" s="916"/>
    </row>
    <row r="18" spans="1:46" ht="16.5">
      <c r="A18" s="20" t="s">
        <v>564</v>
      </c>
      <c r="B18" s="99" t="s">
        <v>2181</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167">
        <v>9521000000</v>
      </c>
      <c r="S18" s="1167">
        <v>8474000000</v>
      </c>
      <c r="T18" s="1167">
        <v>6500000000</v>
      </c>
      <c r="U18" s="1167">
        <v>7282000000</v>
      </c>
      <c r="V18" s="1167">
        <v>10819000000</v>
      </c>
      <c r="W18" s="1167">
        <v>11924000000</v>
      </c>
      <c r="X18" s="571">
        <v>13018000000</v>
      </c>
      <c r="Y18" s="2598">
        <v>14213000000</v>
      </c>
      <c r="Z18" s="1168"/>
      <c r="AA18" s="1168"/>
      <c r="AB18" s="1168"/>
      <c r="AC18" s="365"/>
      <c r="AD18" s="365"/>
      <c r="AE18" s="365"/>
      <c r="AF18" s="365"/>
      <c r="AG18" s="365"/>
      <c r="AH18" s="365"/>
      <c r="AI18" s="365"/>
      <c r="AJ18" s="365"/>
      <c r="AK18" s="365"/>
      <c r="AL18" s="365"/>
      <c r="AM18" s="365"/>
      <c r="AN18" s="365"/>
      <c r="AO18" s="365"/>
      <c r="AP18" s="365"/>
      <c r="AQ18" s="365"/>
      <c r="AR18" s="365"/>
      <c r="AS18" s="365"/>
      <c r="AT18" s="365"/>
    </row>
    <row r="19" spans="1:46">
      <c r="A19" s="99" t="s">
        <v>1807</v>
      </c>
      <c r="B19" s="99" t="s">
        <v>888</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866"/>
      <c r="S19" s="866"/>
      <c r="T19" s="866"/>
      <c r="U19" s="866"/>
      <c r="V19" s="866"/>
      <c r="W19" s="866"/>
      <c r="X19" s="571"/>
      <c r="Y19" s="2598"/>
      <c r="Z19" s="1168"/>
      <c r="AA19" s="1168"/>
      <c r="AB19" s="1168"/>
      <c r="AC19" s="365"/>
      <c r="AD19" s="365"/>
      <c r="AE19" s="365"/>
      <c r="AF19" s="365"/>
      <c r="AG19" s="365"/>
      <c r="AH19" s="365"/>
      <c r="AI19" s="365"/>
      <c r="AJ19" s="365"/>
      <c r="AK19" s="365"/>
      <c r="AL19" s="365"/>
      <c r="AM19" s="365"/>
      <c r="AN19" s="365"/>
      <c r="AO19" s="365"/>
      <c r="AP19" s="365"/>
      <c r="AQ19" s="365"/>
      <c r="AR19" s="365"/>
      <c r="AS19" s="365"/>
      <c r="AT19" s="365"/>
    </row>
    <row r="20" spans="1:46" ht="16.5">
      <c r="A20" s="20" t="s">
        <v>886</v>
      </c>
      <c r="B20" s="99" t="s">
        <v>2182</v>
      </c>
      <c r="C20" s="14" t="s">
        <v>57</v>
      </c>
      <c r="D20" s="135">
        <v>1020000000</v>
      </c>
      <c r="E20" s="158"/>
      <c r="F20" s="158"/>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167">
        <v>3678000000</v>
      </c>
      <c r="S20" s="1167">
        <v>12646000000</v>
      </c>
      <c r="T20" s="1167">
        <v>8513000000</v>
      </c>
      <c r="U20" s="1167">
        <v>6592000000</v>
      </c>
      <c r="V20" s="1167">
        <v>1485000000</v>
      </c>
      <c r="W20" s="1167">
        <v>1485000000</v>
      </c>
      <c r="X20" s="571">
        <v>1485000000</v>
      </c>
      <c r="Y20" s="2598">
        <v>1485000000</v>
      </c>
      <c r="Z20" s="1168"/>
      <c r="AA20" s="1168"/>
      <c r="AB20" s="1168"/>
      <c r="AC20" s="365"/>
      <c r="AD20" s="365"/>
      <c r="AE20" s="365"/>
      <c r="AF20" s="365"/>
      <c r="AG20" s="365"/>
      <c r="AH20" s="365"/>
      <c r="AI20" s="365"/>
      <c r="AJ20" s="365"/>
      <c r="AK20" s="365"/>
      <c r="AL20" s="365"/>
      <c r="AM20" s="365"/>
      <c r="AN20" s="365"/>
      <c r="AO20" s="365"/>
      <c r="AP20" s="365"/>
      <c r="AQ20" s="365"/>
      <c r="AR20" s="365"/>
      <c r="AS20" s="365"/>
      <c r="AT20" s="365"/>
    </row>
    <row r="21" spans="1:46" s="848" customFormat="1" ht="16.5">
      <c r="A21" s="848" t="s">
        <v>71</v>
      </c>
      <c r="B21" s="848" t="s">
        <v>72</v>
      </c>
      <c r="C21" s="909" t="s">
        <v>35</v>
      </c>
      <c r="D21" s="1169">
        <v>32204000000</v>
      </c>
      <c r="E21" s="910">
        <v>30215000000</v>
      </c>
      <c r="F21" s="910">
        <v>34659000000</v>
      </c>
      <c r="G21" s="919">
        <v>40491000000</v>
      </c>
      <c r="H21" s="919">
        <v>44399000000</v>
      </c>
      <c r="I21" s="1169">
        <v>46410000000</v>
      </c>
      <c r="J21" s="1169">
        <v>51118000000</v>
      </c>
      <c r="K21" s="1095">
        <v>56885000000</v>
      </c>
      <c r="L21" s="919">
        <v>70903000000</v>
      </c>
      <c r="M21" s="919">
        <v>77483000000</v>
      </c>
      <c r="N21" s="919">
        <v>72140000000</v>
      </c>
      <c r="O21" s="919">
        <v>77515000000</v>
      </c>
      <c r="P21" s="1094">
        <v>89473000000</v>
      </c>
      <c r="Q21" s="1094">
        <v>97425000000</v>
      </c>
      <c r="R21" s="1170">
        <v>114392000000</v>
      </c>
      <c r="S21" s="1170">
        <v>180805000000</v>
      </c>
      <c r="T21" s="1170">
        <v>162750000000</v>
      </c>
      <c r="U21" s="1170">
        <v>120108000000</v>
      </c>
      <c r="V21" s="1170">
        <v>124958000000</v>
      </c>
      <c r="W21" s="1170">
        <v>136060000000</v>
      </c>
      <c r="X21" s="882">
        <v>149156000000</v>
      </c>
      <c r="Y21" s="2596">
        <v>163411000000</v>
      </c>
      <c r="Z21" s="1171"/>
      <c r="AA21" s="1171"/>
      <c r="AB21" s="1171"/>
      <c r="AC21" s="916"/>
      <c r="AD21" s="916"/>
      <c r="AE21" s="916"/>
      <c r="AF21" s="916"/>
      <c r="AG21" s="916"/>
      <c r="AH21" s="916"/>
      <c r="AI21" s="916"/>
      <c r="AJ21" s="916"/>
      <c r="AK21" s="916"/>
      <c r="AL21" s="916"/>
      <c r="AM21" s="916"/>
      <c r="AN21" s="916"/>
      <c r="AO21" s="916"/>
      <c r="AP21" s="916"/>
      <c r="AQ21" s="916"/>
      <c r="AR21" s="916"/>
      <c r="AS21" s="916"/>
      <c r="AT21" s="916"/>
    </row>
    <row r="22" spans="1:46" ht="16.5">
      <c r="A22" s="203" t="s">
        <v>73</v>
      </c>
      <c r="B22" s="90" t="s">
        <v>2119</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167">
        <v>64566000000</v>
      </c>
      <c r="S22" s="1167">
        <v>70685000000</v>
      </c>
      <c r="T22" s="1167">
        <v>81607000000</v>
      </c>
      <c r="U22" s="1167">
        <v>83979000000</v>
      </c>
      <c r="V22" s="1167">
        <v>93266000000</v>
      </c>
      <c r="W22" s="1167">
        <v>93557000000</v>
      </c>
      <c r="X22" s="571">
        <v>98089000000</v>
      </c>
      <c r="Y22" s="2598">
        <v>102488000000</v>
      </c>
      <c r="Z22" s="1168"/>
      <c r="AA22" s="1168"/>
      <c r="AB22" s="1168"/>
      <c r="AC22" s="365"/>
      <c r="AD22" s="365"/>
      <c r="AE22" s="365"/>
      <c r="AF22" s="365"/>
      <c r="AG22" s="365"/>
      <c r="AH22" s="365"/>
      <c r="AI22" s="365"/>
      <c r="AJ22" s="365"/>
      <c r="AK22" s="365"/>
      <c r="AL22" s="365"/>
      <c r="AM22" s="365"/>
      <c r="AN22" s="365"/>
      <c r="AO22" s="365"/>
      <c r="AP22" s="365"/>
      <c r="AQ22" s="365"/>
      <c r="AR22" s="365"/>
      <c r="AS22" s="365"/>
      <c r="AT22" s="365"/>
    </row>
    <row r="23" spans="1:46" ht="16.5">
      <c r="A23" s="20" t="s">
        <v>79</v>
      </c>
      <c r="B23" s="99" t="s">
        <v>2183</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167">
        <v>29561000000</v>
      </c>
      <c r="S23" s="1167">
        <v>31023000000</v>
      </c>
      <c r="T23" s="1167">
        <v>34212000000</v>
      </c>
      <c r="U23" s="1167">
        <v>35482000000</v>
      </c>
      <c r="V23" s="1167">
        <v>38247000000</v>
      </c>
      <c r="W23" s="1167">
        <v>41207000000</v>
      </c>
      <c r="X23" s="571">
        <v>43957000000</v>
      </c>
      <c r="Y23" s="2598">
        <v>46866000000</v>
      </c>
      <c r="Z23" s="1168"/>
      <c r="AA23" s="1168"/>
      <c r="AB23" s="1168"/>
      <c r="AC23" s="365"/>
      <c r="AD23" s="365"/>
      <c r="AE23" s="365"/>
      <c r="AF23" s="365"/>
      <c r="AG23" s="365"/>
      <c r="AH23" s="365"/>
      <c r="AI23" s="365"/>
      <c r="AJ23" s="365"/>
      <c r="AK23" s="365"/>
      <c r="AL23" s="365"/>
      <c r="AM23" s="365"/>
      <c r="AN23" s="365"/>
      <c r="AO23" s="365"/>
      <c r="AP23" s="365"/>
      <c r="AQ23" s="365"/>
      <c r="AR23" s="365"/>
      <c r="AS23" s="365"/>
      <c r="AT23" s="365"/>
    </row>
    <row r="24" spans="1:46" ht="16.5">
      <c r="A24" s="100" t="s">
        <v>2184</v>
      </c>
      <c r="B24" s="100" t="s">
        <v>2185</v>
      </c>
      <c r="C24" s="90" t="s">
        <v>2186</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167">
        <v>26432000000</v>
      </c>
      <c r="S24" s="1167">
        <v>27748000000</v>
      </c>
      <c r="T24" s="1167">
        <v>30846000000</v>
      </c>
      <c r="U24" s="1167">
        <v>32016000000</v>
      </c>
      <c r="V24" s="1167">
        <v>34467000000</v>
      </c>
      <c r="W24" s="1167">
        <v>37085000000</v>
      </c>
      <c r="X24" s="571">
        <v>39505000000</v>
      </c>
      <c r="Y24" s="2598">
        <v>42057000000</v>
      </c>
      <c r="Z24" s="1168"/>
      <c r="AA24" s="1168"/>
      <c r="AB24" s="1168"/>
      <c r="AC24" s="365"/>
      <c r="AD24" s="365"/>
      <c r="AE24" s="365"/>
      <c r="AF24" s="365"/>
      <c r="AG24" s="365"/>
      <c r="AH24" s="365"/>
      <c r="AI24" s="365"/>
      <c r="AJ24" s="365"/>
      <c r="AK24" s="365"/>
      <c r="AL24" s="365"/>
      <c r="AM24" s="365"/>
      <c r="AN24" s="365"/>
      <c r="AO24" s="365"/>
      <c r="AP24" s="365"/>
      <c r="AQ24" s="365"/>
      <c r="AR24" s="365"/>
      <c r="AS24" s="365"/>
      <c r="AT24" s="365"/>
    </row>
    <row r="25" spans="1:46" ht="16.5">
      <c r="A25" s="100" t="s">
        <v>2187</v>
      </c>
      <c r="B25" s="100" t="s">
        <v>2188</v>
      </c>
      <c r="C25" s="90" t="s">
        <v>2186</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167">
        <v>3129000000</v>
      </c>
      <c r="S25" s="1167">
        <v>3275000000</v>
      </c>
      <c r="T25" s="1167">
        <v>3366000000</v>
      </c>
      <c r="U25" s="1167">
        <v>3466000000</v>
      </c>
      <c r="V25" s="1167">
        <v>3780000000</v>
      </c>
      <c r="W25" s="1167">
        <v>4122000000</v>
      </c>
      <c r="X25" s="571">
        <v>4452000000</v>
      </c>
      <c r="Y25" s="2598">
        <v>4809000000</v>
      </c>
      <c r="Z25" s="1168"/>
      <c r="AA25" s="1168"/>
      <c r="AB25" s="1168"/>
      <c r="AC25" s="365"/>
      <c r="AD25" s="365"/>
      <c r="AE25" s="365"/>
      <c r="AF25" s="365"/>
      <c r="AG25" s="365"/>
      <c r="AH25" s="365"/>
      <c r="AI25" s="365"/>
      <c r="AJ25" s="365"/>
      <c r="AK25" s="365"/>
      <c r="AL25" s="365"/>
      <c r="AM25" s="365"/>
      <c r="AN25" s="365"/>
      <c r="AO25" s="365"/>
      <c r="AP25" s="365"/>
      <c r="AQ25" s="365"/>
      <c r="AR25" s="365"/>
      <c r="AS25" s="365"/>
      <c r="AT25" s="365"/>
    </row>
    <row r="26" spans="1:46" ht="16.5">
      <c r="A26" s="99" t="s">
        <v>83</v>
      </c>
      <c r="B26" s="99" t="s">
        <v>1593</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167">
        <v>20245000000</v>
      </c>
      <c r="S26" s="1167">
        <v>22999000000</v>
      </c>
      <c r="T26" s="1167">
        <v>27702000000</v>
      </c>
      <c r="U26" s="1167">
        <v>26148000000</v>
      </c>
      <c r="V26" s="1167">
        <v>26890000000</v>
      </c>
      <c r="W26" s="1167">
        <v>27818000000</v>
      </c>
      <c r="X26" s="571">
        <v>28885000000</v>
      </c>
      <c r="Y26" s="2598">
        <v>29938000000</v>
      </c>
      <c r="Z26" s="1168"/>
      <c r="AA26" s="1168"/>
      <c r="AB26" s="1168"/>
      <c r="AC26" s="365"/>
      <c r="AD26" s="365"/>
      <c r="AE26" s="365"/>
      <c r="AF26" s="365"/>
      <c r="AG26" s="365"/>
      <c r="AH26" s="365"/>
      <c r="AI26" s="365"/>
      <c r="AJ26" s="365"/>
      <c r="AK26" s="365"/>
      <c r="AL26" s="365"/>
      <c r="AM26" s="365"/>
      <c r="AN26" s="365"/>
      <c r="AO26" s="365"/>
      <c r="AP26" s="365"/>
      <c r="AQ26" s="365"/>
      <c r="AR26" s="365"/>
      <c r="AS26" s="365"/>
      <c r="AT26" s="365"/>
    </row>
    <row r="27" spans="1:46">
      <c r="A27" s="100" t="s">
        <v>76</v>
      </c>
      <c r="B27" s="100" t="s">
        <v>2189</v>
      </c>
      <c r="C27" s="90"/>
      <c r="D27" s="115"/>
      <c r="E27" s="115"/>
      <c r="F27" s="115"/>
      <c r="G27" s="164"/>
      <c r="H27" s="164"/>
      <c r="I27" s="115"/>
      <c r="J27" s="115"/>
      <c r="K27" s="175"/>
      <c r="L27" s="164">
        <v>0</v>
      </c>
      <c r="M27" s="164">
        <v>0</v>
      </c>
      <c r="N27" s="164">
        <v>500000000</v>
      </c>
      <c r="O27" s="164">
        <v>1300000000</v>
      </c>
      <c r="P27" s="164"/>
      <c r="Q27" s="125"/>
      <c r="R27" s="866"/>
      <c r="S27" s="866"/>
      <c r="T27" s="866"/>
      <c r="U27" s="866"/>
      <c r="V27" s="866"/>
      <c r="W27" s="866"/>
      <c r="X27" s="571"/>
      <c r="Y27" s="2598"/>
      <c r="Z27" s="1168"/>
      <c r="AA27" s="1168"/>
      <c r="AB27" s="1168"/>
      <c r="AC27" s="365"/>
      <c r="AD27" s="365"/>
      <c r="AE27" s="365"/>
      <c r="AF27" s="365"/>
      <c r="AG27" s="365"/>
      <c r="AH27" s="365"/>
      <c r="AI27" s="365"/>
      <c r="AJ27" s="365"/>
      <c r="AK27" s="365"/>
      <c r="AL27" s="365"/>
      <c r="AM27" s="365"/>
      <c r="AN27" s="365"/>
      <c r="AO27" s="365"/>
      <c r="AP27" s="365"/>
      <c r="AQ27" s="365"/>
      <c r="AR27" s="365"/>
      <c r="AS27" s="365"/>
      <c r="AT27" s="365"/>
    </row>
    <row r="28" spans="1:46" ht="16.5">
      <c r="A28" s="100" t="s">
        <v>2190</v>
      </c>
      <c r="B28" s="100" t="s">
        <v>2191</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167">
        <v>16577000000</v>
      </c>
      <c r="S28" s="1167">
        <v>19055000000</v>
      </c>
      <c r="T28" s="1167">
        <v>22789000000</v>
      </c>
      <c r="U28" s="1167">
        <v>20413000000</v>
      </c>
      <c r="V28" s="1167">
        <v>21058000000</v>
      </c>
      <c r="W28" s="1167">
        <v>21857000000</v>
      </c>
      <c r="X28" s="571">
        <v>22781000000</v>
      </c>
      <c r="Y28" s="2598">
        <v>23690000000</v>
      </c>
      <c r="Z28" s="1168"/>
      <c r="AA28" s="1168"/>
      <c r="AB28" s="1168"/>
      <c r="AC28" s="365"/>
      <c r="AD28" s="365"/>
      <c r="AE28" s="365"/>
      <c r="AF28" s="365"/>
      <c r="AG28" s="365"/>
      <c r="AH28" s="365"/>
      <c r="AI28" s="365"/>
      <c r="AJ28" s="365"/>
      <c r="AK28" s="365"/>
      <c r="AL28" s="365"/>
      <c r="AM28" s="365"/>
      <c r="AN28" s="365"/>
      <c r="AO28" s="365"/>
      <c r="AP28" s="365"/>
      <c r="AQ28" s="365"/>
      <c r="AR28" s="365"/>
      <c r="AS28" s="365"/>
      <c r="AT28" s="365"/>
    </row>
    <row r="29" spans="1:46">
      <c r="A29" s="100" t="s">
        <v>76</v>
      </c>
      <c r="B29" s="100" t="s">
        <v>2192</v>
      </c>
      <c r="C29" s="90"/>
      <c r="D29" s="115"/>
      <c r="E29" s="115"/>
      <c r="F29" s="115"/>
      <c r="G29" s="115"/>
      <c r="H29" s="115"/>
      <c r="I29" s="115"/>
      <c r="J29" s="115"/>
      <c r="K29" s="175"/>
      <c r="L29" s="175"/>
      <c r="M29" s="164">
        <v>0</v>
      </c>
      <c r="N29" s="164">
        <v>0</v>
      </c>
      <c r="O29" s="164">
        <v>0</v>
      </c>
      <c r="P29" s="164">
        <v>0</v>
      </c>
      <c r="Q29" s="125"/>
      <c r="R29" s="866"/>
      <c r="S29" s="866"/>
      <c r="T29" s="866"/>
      <c r="U29" s="866"/>
      <c r="V29" s="866"/>
      <c r="W29" s="866"/>
      <c r="X29" s="571"/>
      <c r="Y29" s="2598"/>
      <c r="Z29" s="1168"/>
      <c r="AA29" s="1168"/>
      <c r="AB29" s="1168"/>
      <c r="AC29" s="365"/>
      <c r="AD29" s="365"/>
      <c r="AE29" s="365"/>
      <c r="AF29" s="365"/>
      <c r="AG29" s="365"/>
      <c r="AH29" s="365"/>
      <c r="AI29" s="365"/>
      <c r="AJ29" s="365"/>
      <c r="AK29" s="365"/>
      <c r="AL29" s="365"/>
      <c r="AM29" s="365"/>
      <c r="AN29" s="365"/>
      <c r="AO29" s="365"/>
      <c r="AP29" s="365"/>
      <c r="AQ29" s="365"/>
      <c r="AR29" s="365"/>
      <c r="AS29" s="365"/>
      <c r="AT29" s="365"/>
    </row>
    <row r="30" spans="1:46" ht="16.5">
      <c r="A30" s="100" t="s">
        <v>2193</v>
      </c>
      <c r="B30" s="100" t="s">
        <v>2194</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167">
        <v>3668000000</v>
      </c>
      <c r="S30" s="1167">
        <v>3944000000</v>
      </c>
      <c r="T30" s="1167">
        <v>4913000000</v>
      </c>
      <c r="U30" s="1167">
        <v>5735000000</v>
      </c>
      <c r="V30" s="1167">
        <v>5831000000</v>
      </c>
      <c r="W30" s="1167">
        <v>5961000000</v>
      </c>
      <c r="X30" s="571">
        <v>6105000000</v>
      </c>
      <c r="Y30" s="2598">
        <v>6248000000</v>
      </c>
      <c r="Z30" s="1168"/>
      <c r="AA30" s="1168"/>
      <c r="AB30" s="1168"/>
      <c r="AC30" s="365"/>
      <c r="AD30" s="365"/>
      <c r="AE30" s="365"/>
      <c r="AF30" s="365"/>
      <c r="AG30" s="365"/>
      <c r="AH30" s="365"/>
      <c r="AI30" s="365"/>
      <c r="AJ30" s="365"/>
      <c r="AK30" s="365"/>
      <c r="AL30" s="365"/>
      <c r="AM30" s="365"/>
      <c r="AN30" s="365"/>
      <c r="AO30" s="365"/>
      <c r="AP30" s="365"/>
      <c r="AQ30" s="365"/>
      <c r="AR30" s="365"/>
      <c r="AS30" s="365"/>
      <c r="AT30" s="365"/>
    </row>
    <row r="31" spans="1:46" ht="16.5">
      <c r="A31" s="103" t="s">
        <v>2195</v>
      </c>
      <c r="B31" s="103" t="s">
        <v>2195</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167">
        <v>1456000000</v>
      </c>
      <c r="S31" s="1167">
        <v>1320000000</v>
      </c>
      <c r="T31" s="1167">
        <v>1403000000</v>
      </c>
      <c r="U31" s="1167">
        <v>1403000000</v>
      </c>
      <c r="V31" s="1167">
        <v>1489000000</v>
      </c>
      <c r="W31" s="1167">
        <v>1640000000</v>
      </c>
      <c r="X31" s="571">
        <v>1791000000</v>
      </c>
      <c r="Y31" s="2598">
        <v>1956000000</v>
      </c>
      <c r="Z31" s="1168"/>
      <c r="AA31" s="1168"/>
      <c r="AB31" s="1168"/>
      <c r="AC31" s="365"/>
      <c r="AD31" s="365"/>
      <c r="AE31" s="365"/>
      <c r="AF31" s="365"/>
      <c r="AG31" s="365"/>
      <c r="AH31" s="365"/>
      <c r="AI31" s="365"/>
      <c r="AJ31" s="365"/>
      <c r="AK31" s="365"/>
      <c r="AL31" s="365"/>
      <c r="AM31" s="365"/>
      <c r="AN31" s="365"/>
      <c r="AO31" s="365"/>
      <c r="AP31" s="365"/>
      <c r="AQ31" s="365"/>
      <c r="AR31" s="365"/>
      <c r="AS31" s="365"/>
      <c r="AT31" s="365"/>
    </row>
    <row r="32" spans="1:46" ht="16.5">
      <c r="A32" s="20" t="s">
        <v>895</v>
      </c>
      <c r="B32" s="99" t="s">
        <v>2196</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167">
        <v>10955000000</v>
      </c>
      <c r="S32" s="1167">
        <v>12239000000</v>
      </c>
      <c r="T32" s="1167">
        <v>12767000000</v>
      </c>
      <c r="U32" s="1167">
        <v>13096000000</v>
      </c>
      <c r="V32" s="1167">
        <v>13596000000</v>
      </c>
      <c r="W32" s="1167">
        <v>14096000000</v>
      </c>
      <c r="X32" s="571">
        <v>14596000000</v>
      </c>
      <c r="Y32" s="2598">
        <v>15096000000</v>
      </c>
      <c r="Z32" s="1168"/>
      <c r="AA32" s="1168"/>
      <c r="AB32" s="1168"/>
      <c r="AC32" s="365"/>
      <c r="AD32" s="365"/>
      <c r="AE32" s="365"/>
      <c r="AF32" s="365"/>
      <c r="AG32" s="365"/>
      <c r="AH32" s="365"/>
      <c r="AI32" s="365"/>
      <c r="AJ32" s="365"/>
      <c r="AK32" s="365"/>
      <c r="AL32" s="365"/>
      <c r="AM32" s="365"/>
      <c r="AN32" s="365"/>
      <c r="AO32" s="365"/>
      <c r="AP32" s="365"/>
      <c r="AQ32" s="365"/>
      <c r="AR32" s="365"/>
      <c r="AS32" s="365"/>
      <c r="AT32" s="365"/>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167">
        <v>892000000</v>
      </c>
      <c r="S33" s="1167">
        <v>1747000000</v>
      </c>
      <c r="T33" s="1167">
        <v>4630000000</v>
      </c>
      <c r="U33" s="1167">
        <v>7049000000</v>
      </c>
      <c r="V33" s="1167">
        <v>12165000000</v>
      </c>
      <c r="W33" s="1167">
        <v>7829000000</v>
      </c>
      <c r="X33" s="571">
        <v>7807000000</v>
      </c>
      <c r="Y33" s="2598">
        <v>7487000000</v>
      </c>
      <c r="Z33" s="1168"/>
      <c r="AA33" s="1168"/>
      <c r="AB33" s="1168"/>
      <c r="AC33" s="365"/>
      <c r="AD33" s="365"/>
      <c r="AE33" s="365"/>
      <c r="AF33" s="365"/>
      <c r="AG33" s="365"/>
      <c r="AH33" s="365"/>
      <c r="AI33" s="365"/>
      <c r="AJ33" s="365"/>
      <c r="AK33" s="365"/>
      <c r="AL33" s="365"/>
      <c r="AM33" s="365"/>
      <c r="AN33" s="365"/>
      <c r="AO33" s="365"/>
      <c r="AP33" s="365"/>
      <c r="AQ33" s="365"/>
      <c r="AR33" s="365"/>
      <c r="AS33" s="365"/>
      <c r="AT33" s="365"/>
    </row>
    <row r="34" spans="1:46" ht="16.5">
      <c r="A34" s="20"/>
      <c r="B34" s="103" t="s">
        <v>2197</v>
      </c>
      <c r="C34" s="11"/>
      <c r="D34" s="135"/>
      <c r="E34" s="158"/>
      <c r="F34" s="158"/>
      <c r="G34" s="164"/>
      <c r="H34" s="164"/>
      <c r="I34" s="135"/>
      <c r="J34" s="135"/>
      <c r="K34" s="164"/>
      <c r="L34" s="164"/>
      <c r="M34" s="164"/>
      <c r="N34" s="164"/>
      <c r="O34" s="164"/>
      <c r="P34" s="164"/>
      <c r="Q34" s="142"/>
      <c r="R34" s="1167">
        <v>892000000</v>
      </c>
      <c r="S34" s="1167">
        <v>796000000</v>
      </c>
      <c r="T34" s="1167">
        <v>4630000000</v>
      </c>
      <c r="U34" s="1167">
        <v>7049000000</v>
      </c>
      <c r="V34" s="1167">
        <v>7357000000</v>
      </c>
      <c r="W34" s="1167">
        <v>1441000000</v>
      </c>
      <c r="X34" s="571">
        <v>1418000000</v>
      </c>
      <c r="Y34" s="2598">
        <v>1361000000</v>
      </c>
      <c r="Z34" s="1168"/>
      <c r="AA34" s="1168"/>
      <c r="AB34" s="1168"/>
      <c r="AC34" s="365"/>
      <c r="AD34" s="365"/>
      <c r="AE34" s="365"/>
      <c r="AF34" s="365"/>
      <c r="AG34" s="365"/>
      <c r="AH34" s="365"/>
      <c r="AI34" s="365"/>
      <c r="AJ34" s="365"/>
      <c r="AK34" s="365"/>
      <c r="AL34" s="365"/>
      <c r="AM34" s="365"/>
      <c r="AN34" s="365"/>
      <c r="AO34" s="365"/>
      <c r="AP34" s="365"/>
      <c r="AQ34" s="365"/>
      <c r="AR34" s="365"/>
      <c r="AS34" s="365"/>
      <c r="AT34" s="365"/>
    </row>
    <row r="35" spans="1:46" ht="16.5">
      <c r="A35" s="20"/>
      <c r="B35" s="103" t="s">
        <v>2198</v>
      </c>
      <c r="C35" s="11"/>
      <c r="D35" s="135"/>
      <c r="E35" s="158"/>
      <c r="F35" s="158"/>
      <c r="G35" s="164"/>
      <c r="H35" s="164"/>
      <c r="I35" s="135"/>
      <c r="J35" s="135"/>
      <c r="K35" s="164"/>
      <c r="L35" s="164"/>
      <c r="M35" s="164"/>
      <c r="N35" s="164"/>
      <c r="O35" s="164"/>
      <c r="P35" s="164"/>
      <c r="Q35" s="142"/>
      <c r="R35" s="1167">
        <v>0</v>
      </c>
      <c r="S35" s="1167">
        <v>951000000</v>
      </c>
      <c r="T35" s="1167">
        <v>0</v>
      </c>
      <c r="U35" s="1167">
        <v>0</v>
      </c>
      <c r="V35" s="1167">
        <v>4807000000</v>
      </c>
      <c r="W35" s="1167">
        <v>6389000000</v>
      </c>
      <c r="X35" s="571">
        <v>6389000000</v>
      </c>
      <c r="Y35" s="2598">
        <v>6127000000</v>
      </c>
      <c r="Z35" s="1168"/>
      <c r="AA35" s="1168"/>
      <c r="AB35" s="1168"/>
      <c r="AC35" s="365"/>
      <c r="AD35" s="365"/>
      <c r="AE35" s="365"/>
      <c r="AF35" s="365"/>
      <c r="AG35" s="365"/>
      <c r="AH35" s="365"/>
      <c r="AI35" s="365"/>
      <c r="AJ35" s="365"/>
      <c r="AK35" s="365"/>
      <c r="AL35" s="365"/>
      <c r="AM35" s="365"/>
      <c r="AN35" s="365"/>
      <c r="AO35" s="365"/>
      <c r="AP35" s="365"/>
      <c r="AQ35" s="365"/>
      <c r="AR35" s="365"/>
      <c r="AS35" s="365"/>
      <c r="AT35" s="365"/>
    </row>
    <row r="36" spans="1:46" ht="16.5">
      <c r="A36" s="20"/>
      <c r="B36" s="103" t="s">
        <v>2199</v>
      </c>
      <c r="C36" s="11"/>
      <c r="D36" s="135"/>
      <c r="E36" s="158"/>
      <c r="F36" s="158"/>
      <c r="G36" s="164"/>
      <c r="H36" s="164"/>
      <c r="I36" s="135"/>
      <c r="J36" s="135"/>
      <c r="K36" s="164"/>
      <c r="L36" s="164"/>
      <c r="M36" s="164"/>
      <c r="N36" s="164"/>
      <c r="O36" s="164"/>
      <c r="P36" s="164"/>
      <c r="Q36" s="142"/>
      <c r="R36" s="1167">
        <v>0</v>
      </c>
      <c r="S36" s="1167">
        <v>447000000</v>
      </c>
      <c r="T36" s="1167">
        <v>0</v>
      </c>
      <c r="U36" s="1167">
        <v>0</v>
      </c>
      <c r="V36" s="1167">
        <v>4807000000</v>
      </c>
      <c r="W36" s="1167">
        <v>5244000000</v>
      </c>
      <c r="X36" s="571">
        <v>5244000000</v>
      </c>
      <c r="Y36" s="2598">
        <v>4982000000</v>
      </c>
      <c r="Z36" s="1168"/>
      <c r="AA36" s="1168"/>
      <c r="AB36" s="1168"/>
      <c r="AC36" s="365"/>
      <c r="AD36" s="365"/>
      <c r="AE36" s="365"/>
      <c r="AF36" s="365"/>
      <c r="AG36" s="365"/>
      <c r="AH36" s="365"/>
      <c r="AI36" s="365"/>
      <c r="AJ36" s="365"/>
      <c r="AK36" s="365"/>
      <c r="AL36" s="365"/>
      <c r="AM36" s="365"/>
      <c r="AN36" s="365"/>
      <c r="AO36" s="365"/>
      <c r="AP36" s="365"/>
      <c r="AQ36" s="365"/>
      <c r="AR36" s="365"/>
      <c r="AS36" s="365"/>
      <c r="AT36" s="365"/>
    </row>
    <row r="37" spans="1:46" ht="16.5">
      <c r="A37" s="20"/>
      <c r="B37" s="103" t="s">
        <v>2200</v>
      </c>
      <c r="C37" s="11"/>
      <c r="D37" s="135"/>
      <c r="E37" s="158"/>
      <c r="F37" s="158"/>
      <c r="G37" s="164"/>
      <c r="H37" s="164"/>
      <c r="I37" s="135"/>
      <c r="J37" s="135"/>
      <c r="K37" s="164"/>
      <c r="L37" s="164"/>
      <c r="M37" s="164"/>
      <c r="N37" s="164"/>
      <c r="O37" s="164"/>
      <c r="P37" s="164"/>
      <c r="Q37" s="142"/>
      <c r="R37" s="1167">
        <v>0</v>
      </c>
      <c r="S37" s="1167">
        <v>503000000</v>
      </c>
      <c r="T37" s="1167">
        <v>0</v>
      </c>
      <c r="U37" s="1167">
        <v>0</v>
      </c>
      <c r="V37" s="1167">
        <v>0</v>
      </c>
      <c r="W37" s="1167">
        <v>1145000000</v>
      </c>
      <c r="X37" s="571">
        <v>1145000000</v>
      </c>
      <c r="Y37" s="2598">
        <v>1145000000</v>
      </c>
      <c r="Z37" s="1168"/>
      <c r="AA37" s="1168"/>
      <c r="AB37" s="1168"/>
      <c r="AC37" s="365"/>
      <c r="AD37" s="365"/>
      <c r="AE37" s="365"/>
      <c r="AF37" s="365"/>
      <c r="AG37" s="365"/>
      <c r="AH37" s="365"/>
      <c r="AI37" s="365"/>
      <c r="AJ37" s="365"/>
      <c r="AK37" s="365"/>
      <c r="AL37" s="365"/>
      <c r="AM37" s="365"/>
      <c r="AN37" s="365"/>
      <c r="AO37" s="365"/>
      <c r="AP37" s="365"/>
      <c r="AQ37" s="365"/>
      <c r="AR37" s="365"/>
      <c r="AS37" s="365"/>
      <c r="AT37" s="365"/>
    </row>
    <row r="38" spans="1:46" ht="16.5">
      <c r="A38" s="20"/>
      <c r="B38" s="103" t="s">
        <v>2201</v>
      </c>
      <c r="C38" s="11"/>
      <c r="D38" s="135"/>
      <c r="E38" s="158"/>
      <c r="F38" s="158"/>
      <c r="G38" s="164"/>
      <c r="H38" s="164"/>
      <c r="I38" s="135"/>
      <c r="J38" s="135"/>
      <c r="K38" s="164"/>
      <c r="L38" s="164"/>
      <c r="M38" s="164"/>
      <c r="N38" s="164"/>
      <c r="O38" s="164"/>
      <c r="P38" s="164"/>
      <c r="Q38" s="142"/>
      <c r="R38" s="1167">
        <v>1456000000</v>
      </c>
      <c r="S38" s="1167">
        <v>1357000000</v>
      </c>
      <c r="T38" s="1167">
        <v>893000000</v>
      </c>
      <c r="U38" s="1167">
        <v>801000000</v>
      </c>
      <c r="V38" s="1167">
        <v>880000000</v>
      </c>
      <c r="W38" s="1167">
        <v>967000000</v>
      </c>
      <c r="X38" s="571">
        <v>1052000000</v>
      </c>
      <c r="Y38" s="2598">
        <v>1146000000</v>
      </c>
      <c r="Z38" s="1168"/>
      <c r="AA38" s="1168"/>
      <c r="AB38" s="1168"/>
      <c r="AC38" s="365"/>
      <c r="AD38" s="365"/>
      <c r="AE38" s="365"/>
      <c r="AF38" s="365"/>
      <c r="AG38" s="365"/>
      <c r="AH38" s="365"/>
      <c r="AI38" s="365"/>
      <c r="AJ38" s="365"/>
      <c r="AK38" s="365"/>
      <c r="AL38" s="365"/>
      <c r="AM38" s="365"/>
      <c r="AN38" s="365"/>
      <c r="AO38" s="365"/>
      <c r="AP38" s="365"/>
      <c r="AQ38" s="365"/>
      <c r="AR38" s="365"/>
      <c r="AS38" s="365"/>
      <c r="AT38" s="365"/>
    </row>
    <row r="39" spans="1:46">
      <c r="A39" s="99" t="s">
        <v>2202</v>
      </c>
      <c r="B39" s="99" t="s">
        <v>2203</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866"/>
      <c r="S39" s="866"/>
      <c r="T39" s="866"/>
      <c r="U39" s="866"/>
      <c r="V39" s="866"/>
      <c r="W39" s="866"/>
      <c r="X39" s="571"/>
      <c r="Y39" s="2598"/>
      <c r="Z39" s="1168"/>
      <c r="AA39" s="1168"/>
      <c r="AB39" s="1168"/>
      <c r="AC39" s="365"/>
      <c r="AD39" s="365"/>
      <c r="AE39" s="365"/>
      <c r="AF39" s="365"/>
      <c r="AG39" s="365"/>
      <c r="AH39" s="365"/>
      <c r="AI39" s="365"/>
      <c r="AJ39" s="365"/>
      <c r="AK39" s="365"/>
      <c r="AL39" s="365"/>
      <c r="AM39" s="365"/>
      <c r="AN39" s="365"/>
      <c r="AO39" s="365"/>
      <c r="AP39" s="365"/>
      <c r="AQ39" s="365"/>
      <c r="AR39" s="365"/>
      <c r="AS39" s="365"/>
      <c r="AT39" s="365"/>
    </row>
    <row r="40" spans="1:46">
      <c r="A40" s="99" t="s">
        <v>391</v>
      </c>
      <c r="B40" s="1172" t="s">
        <v>2204</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168"/>
      <c r="AA40" s="1168"/>
      <c r="AB40" s="1168"/>
      <c r="AC40" s="365"/>
      <c r="AD40" s="365"/>
      <c r="AE40" s="365"/>
      <c r="AF40" s="365"/>
      <c r="AG40" s="365"/>
      <c r="AH40" s="365"/>
      <c r="AI40" s="365"/>
      <c r="AJ40" s="365"/>
      <c r="AK40" s="365"/>
      <c r="AL40" s="365"/>
      <c r="AM40" s="365"/>
      <c r="AN40" s="365"/>
      <c r="AO40" s="365"/>
      <c r="AP40" s="365"/>
      <c r="AQ40" s="365"/>
      <c r="AR40" s="365"/>
      <c r="AS40" s="365"/>
      <c r="AT40" s="365"/>
    </row>
    <row r="41" spans="1:46" ht="16.5">
      <c r="A41" s="90" t="s">
        <v>1229</v>
      </c>
      <c r="B41" s="90" t="s">
        <v>2205</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167">
        <v>49827000000</v>
      </c>
      <c r="S41" s="1167">
        <v>110120000000</v>
      </c>
      <c r="T41" s="1167">
        <v>81143000000</v>
      </c>
      <c r="U41" s="1167">
        <v>36129000000</v>
      </c>
      <c r="V41" s="1167">
        <v>31693000000</v>
      </c>
      <c r="W41" s="1167">
        <v>42503000000</v>
      </c>
      <c r="X41" s="571">
        <v>51067000000</v>
      </c>
      <c r="Y41" s="2598">
        <v>60923000000</v>
      </c>
      <c r="Z41" s="1168"/>
      <c r="AA41" s="1168"/>
      <c r="AB41" s="1168"/>
      <c r="AC41" s="365"/>
      <c r="AD41" s="365"/>
      <c r="AE41" s="365"/>
      <c r="AF41" s="365"/>
      <c r="AG41" s="365"/>
      <c r="AH41" s="365"/>
      <c r="AI41" s="365"/>
      <c r="AJ41" s="365"/>
      <c r="AK41" s="365"/>
      <c r="AL41" s="365"/>
      <c r="AM41" s="365"/>
      <c r="AN41" s="365"/>
      <c r="AO41" s="365"/>
      <c r="AP41" s="365"/>
      <c r="AQ41" s="365"/>
      <c r="AR41" s="365"/>
      <c r="AS41" s="365"/>
      <c r="AT41" s="365"/>
    </row>
    <row r="42" spans="1:46" ht="16.5">
      <c r="A42" s="99" t="s">
        <v>239</v>
      </c>
      <c r="B42" s="99" t="s">
        <v>1597</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167">
        <v>19368000000</v>
      </c>
      <c r="S42" s="1167">
        <v>30704000000</v>
      </c>
      <c r="T42" s="1167">
        <v>15188000000</v>
      </c>
      <c r="U42" s="1167">
        <v>13176000000</v>
      </c>
      <c r="V42" s="1167">
        <v>12012000000</v>
      </c>
      <c r="W42" s="1167">
        <v>20279000000</v>
      </c>
      <c r="X42" s="571">
        <v>23371000000</v>
      </c>
      <c r="Y42" s="2598">
        <v>26859000000</v>
      </c>
      <c r="Z42" s="1168"/>
      <c r="AA42" s="1168"/>
      <c r="AB42" s="1168"/>
      <c r="AC42" s="365"/>
      <c r="AD42" s="365"/>
      <c r="AE42" s="365"/>
      <c r="AF42" s="365"/>
      <c r="AG42" s="365"/>
      <c r="AH42" s="365"/>
      <c r="AI42" s="365"/>
      <c r="AJ42" s="365"/>
      <c r="AK42" s="365"/>
      <c r="AL42" s="365"/>
      <c r="AM42" s="365"/>
      <c r="AN42" s="365"/>
      <c r="AO42" s="365"/>
      <c r="AP42" s="365"/>
      <c r="AQ42" s="365"/>
      <c r="AR42" s="365"/>
      <c r="AS42" s="365"/>
      <c r="AT42" s="365"/>
    </row>
    <row r="43" spans="1:46">
      <c r="A43" t="s">
        <v>76</v>
      </c>
      <c r="B43" s="100" t="s">
        <v>2192</v>
      </c>
      <c r="C43" s="90"/>
      <c r="D43" s="115"/>
      <c r="E43" s="115"/>
      <c r="F43" s="115"/>
      <c r="G43" s="115">
        <v>0</v>
      </c>
      <c r="H43" s="115">
        <v>0</v>
      </c>
      <c r="I43" s="115">
        <v>0</v>
      </c>
      <c r="J43" s="115">
        <v>0</v>
      </c>
      <c r="K43" s="175"/>
      <c r="L43" s="175">
        <v>0</v>
      </c>
      <c r="M43" s="164">
        <v>0</v>
      </c>
      <c r="N43" s="164">
        <v>0</v>
      </c>
      <c r="O43" s="164">
        <v>0</v>
      </c>
      <c r="P43" s="164">
        <v>0</v>
      </c>
      <c r="Q43" s="125"/>
      <c r="R43" s="866"/>
      <c r="S43" s="866"/>
      <c r="T43" s="866"/>
      <c r="U43" s="866"/>
      <c r="V43" s="866"/>
      <c r="W43" s="866"/>
      <c r="X43" s="571"/>
      <c r="Y43" s="2598"/>
      <c r="Z43" s="1168"/>
      <c r="AA43" s="1168"/>
      <c r="AB43" s="1168"/>
      <c r="AC43" s="365"/>
      <c r="AD43" s="365"/>
      <c r="AE43" s="365"/>
      <c r="AF43" s="365"/>
      <c r="AG43" s="365"/>
      <c r="AH43" s="365"/>
      <c r="AI43" s="365"/>
      <c r="AJ43" s="365"/>
      <c r="AK43" s="365"/>
      <c r="AL43" s="365"/>
      <c r="AM43" s="365"/>
      <c r="AN43" s="365"/>
      <c r="AO43" s="365"/>
      <c r="AP43" s="365"/>
      <c r="AQ43" s="365"/>
      <c r="AR43" s="365"/>
      <c r="AS43" s="365"/>
      <c r="AT43" s="365"/>
    </row>
    <row r="44" spans="1:46" ht="16.5">
      <c r="A44" s="20" t="s">
        <v>395</v>
      </c>
      <c r="B44" s="103" t="s">
        <v>681</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167">
        <v>30459000000</v>
      </c>
      <c r="S44" s="1167">
        <v>79416000000</v>
      </c>
      <c r="T44" s="1167">
        <v>65955000000</v>
      </c>
      <c r="U44" s="1167">
        <v>22953000000</v>
      </c>
      <c r="V44" s="1167">
        <v>19681000000</v>
      </c>
      <c r="W44" s="1167">
        <v>22223000000</v>
      </c>
      <c r="X44" s="571">
        <v>27696000000</v>
      </c>
      <c r="Y44" s="2598">
        <v>34063000000</v>
      </c>
      <c r="Z44" s="1168"/>
      <c r="AA44" s="1168"/>
      <c r="AB44" s="1168"/>
      <c r="AC44" s="365"/>
      <c r="AD44" s="365"/>
      <c r="AE44" s="365"/>
      <c r="AF44" s="365"/>
      <c r="AG44" s="365"/>
      <c r="AH44" s="365"/>
      <c r="AI44" s="365"/>
      <c r="AJ44" s="365"/>
      <c r="AK44" s="365"/>
      <c r="AL44" s="365"/>
      <c r="AM44" s="365"/>
      <c r="AN44" s="365"/>
      <c r="AO44" s="365"/>
      <c r="AP44" s="365"/>
      <c r="AQ44" s="365"/>
      <c r="AR44" s="365"/>
      <c r="AS44" s="365"/>
      <c r="AT44" s="365"/>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167">
        <v>9521000000</v>
      </c>
      <c r="S45" s="1167">
        <v>8474000000</v>
      </c>
      <c r="T45" s="1167">
        <v>6500000000</v>
      </c>
      <c r="U45" s="1167">
        <v>7282000000</v>
      </c>
      <c r="V45" s="1167">
        <v>10819000000</v>
      </c>
      <c r="W45" s="1167">
        <v>11924000000</v>
      </c>
      <c r="X45" s="571">
        <v>13018000000</v>
      </c>
      <c r="Y45" s="2598">
        <v>14213000000</v>
      </c>
      <c r="Z45" s="1168"/>
      <c r="AA45" s="1168"/>
      <c r="AB45" s="1168"/>
      <c r="AC45" s="365"/>
      <c r="AD45" s="365"/>
      <c r="AE45" s="365"/>
      <c r="AF45" s="365"/>
      <c r="AG45" s="365"/>
      <c r="AH45" s="365"/>
      <c r="AI45" s="365"/>
      <c r="AJ45" s="365"/>
      <c r="AK45" s="365"/>
      <c r="AL45" s="365"/>
      <c r="AM45" s="365"/>
      <c r="AN45" s="365"/>
      <c r="AO45" s="365"/>
      <c r="AP45" s="365"/>
      <c r="AQ45" s="365"/>
      <c r="AR45" s="365"/>
      <c r="AS45" s="365"/>
      <c r="AT45" s="365"/>
    </row>
    <row r="46" spans="1:46" ht="16.5">
      <c r="A46" t="s">
        <v>76</v>
      </c>
      <c r="B46" s="117" t="s">
        <v>444</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167">
        <v>3767000000</v>
      </c>
      <c r="S46" s="1167">
        <v>5377000000</v>
      </c>
      <c r="T46" s="1167">
        <v>5943000000</v>
      </c>
      <c r="U46" s="1167">
        <v>7282000000</v>
      </c>
      <c r="V46" s="1167">
        <v>8862000000</v>
      </c>
      <c r="W46" s="1167">
        <v>10300000000</v>
      </c>
      <c r="X46" s="571">
        <v>14677000000</v>
      </c>
      <c r="Y46" s="2598">
        <v>19850000000</v>
      </c>
      <c r="Z46" s="1168"/>
      <c r="AA46" s="1168"/>
      <c r="AB46" s="1168"/>
      <c r="AC46" s="365"/>
      <c r="AD46" s="365"/>
      <c r="AE46" s="365"/>
      <c r="AF46" s="365"/>
      <c r="AG46" s="365"/>
      <c r="AH46" s="365"/>
      <c r="AI46" s="365"/>
      <c r="AJ46" s="365"/>
      <c r="AK46" s="365"/>
      <c r="AL46" s="365"/>
      <c r="AM46" s="365"/>
      <c r="AN46" s="365"/>
      <c r="AO46" s="365"/>
      <c r="AP46" s="365"/>
      <c r="AQ46" s="365"/>
      <c r="AR46" s="365"/>
      <c r="AS46" s="365"/>
      <c r="AT46" s="365"/>
    </row>
    <row r="47" spans="1:46" ht="16.5">
      <c r="B47" s="117" t="s">
        <v>2198</v>
      </c>
      <c r="C47" s="117"/>
      <c r="D47" s="115"/>
      <c r="E47" s="115"/>
      <c r="F47" s="115"/>
      <c r="G47" s="164"/>
      <c r="H47" s="164"/>
      <c r="I47" s="135"/>
      <c r="J47" s="135"/>
      <c r="K47" s="175"/>
      <c r="L47" s="164"/>
      <c r="M47" s="164"/>
      <c r="N47" s="164"/>
      <c r="O47" s="164"/>
      <c r="P47" s="142"/>
      <c r="Q47" s="142"/>
      <c r="R47" s="1167">
        <v>17171000000</v>
      </c>
      <c r="S47" s="1167">
        <v>65565000000</v>
      </c>
      <c r="T47" s="1167">
        <v>53512000000</v>
      </c>
      <c r="U47" s="1167">
        <v>8389000000</v>
      </c>
      <c r="V47" s="1167">
        <v>0</v>
      </c>
      <c r="W47" s="1167">
        <v>0</v>
      </c>
      <c r="X47" s="571">
        <v>0</v>
      </c>
      <c r="Y47" s="2598">
        <v>0</v>
      </c>
      <c r="Z47" s="1168"/>
      <c r="AA47" s="1168"/>
      <c r="AB47" s="1168"/>
      <c r="AC47" s="365"/>
      <c r="AD47" s="365"/>
      <c r="AE47" s="365"/>
      <c r="AF47" s="365"/>
      <c r="AG47" s="365"/>
      <c r="AH47" s="365"/>
      <c r="AI47" s="365"/>
      <c r="AJ47" s="365"/>
      <c r="AK47" s="365"/>
      <c r="AL47" s="365"/>
      <c r="AM47" s="365"/>
      <c r="AN47" s="365"/>
      <c r="AO47" s="365"/>
      <c r="AP47" s="365"/>
      <c r="AQ47" s="365"/>
      <c r="AR47" s="365"/>
      <c r="AS47" s="365"/>
      <c r="AT47" s="365"/>
    </row>
    <row r="48" spans="1:46" ht="16.5">
      <c r="A48" t="s">
        <v>76</v>
      </c>
      <c r="B48" s="90" t="s">
        <v>2206</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167">
        <v>-27066000000</v>
      </c>
      <c r="S48" s="1167">
        <v>-66582000000</v>
      </c>
      <c r="T48" s="1167">
        <v>-53326000000</v>
      </c>
      <c r="U48" s="1167">
        <v>-5664000000</v>
      </c>
      <c r="V48" s="1167">
        <v>-2601000000</v>
      </c>
      <c r="W48" s="1167">
        <v>-3971000000</v>
      </c>
      <c r="X48" s="571">
        <v>-7281000000</v>
      </c>
      <c r="Y48" s="2598">
        <v>-10758000000</v>
      </c>
      <c r="Z48" s="1168"/>
      <c r="AA48" s="1168"/>
      <c r="AB48" s="1168"/>
      <c r="AC48" s="365"/>
      <c r="AD48" s="365"/>
      <c r="AE48" s="365"/>
      <c r="AF48" s="365"/>
      <c r="AG48" s="365"/>
      <c r="AH48" s="365"/>
      <c r="AI48" s="365"/>
      <c r="AJ48" s="365"/>
      <c r="AK48" s="365"/>
      <c r="AL48" s="365"/>
      <c r="AM48" s="365"/>
      <c r="AN48" s="365"/>
      <c r="AO48" s="365"/>
      <c r="AP48" s="365"/>
      <c r="AQ48" s="365"/>
      <c r="AR48" s="365"/>
      <c r="AS48" s="365"/>
      <c r="AT48" s="365"/>
    </row>
    <row r="49" spans="1:46" ht="16.5">
      <c r="A49" t="s">
        <v>76</v>
      </c>
      <c r="B49" s="90" t="s">
        <v>2207</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167"/>
      <c r="S49" s="1167"/>
      <c r="T49" s="1167"/>
      <c r="U49" s="1167"/>
      <c r="V49" s="1167"/>
      <c r="W49" s="1167"/>
      <c r="X49" s="571"/>
      <c r="Y49" s="2598"/>
      <c r="Z49" s="1168"/>
      <c r="AA49" s="1168"/>
      <c r="AB49" s="1168"/>
      <c r="AC49" s="365"/>
      <c r="AD49" s="365"/>
      <c r="AE49" s="365"/>
      <c r="AF49" s="365"/>
      <c r="AG49" s="365"/>
      <c r="AH49" s="365"/>
      <c r="AI49" s="365"/>
      <c r="AJ49" s="365"/>
      <c r="AK49" s="365"/>
      <c r="AL49" s="365"/>
      <c r="AM49" s="365"/>
      <c r="AN49" s="365"/>
      <c r="AO49" s="365"/>
      <c r="AP49" s="365"/>
      <c r="AQ49" s="365"/>
      <c r="AR49" s="365"/>
      <c r="AS49" s="365"/>
      <c r="AT49" s="365"/>
    </row>
    <row r="50" spans="1:46" ht="16.5">
      <c r="A50" t="s">
        <v>76</v>
      </c>
      <c r="B50" s="90" t="s">
        <v>2208</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167">
        <v>-1416000000</v>
      </c>
      <c r="S50" s="1167">
        <v>-1698000000</v>
      </c>
      <c r="T50" s="1167">
        <v>-1700000000</v>
      </c>
      <c r="U50" s="1167">
        <v>-1700000000</v>
      </c>
      <c r="V50" s="1167">
        <v>-1700000000</v>
      </c>
      <c r="W50" s="1167">
        <v>-1700000000</v>
      </c>
      <c r="X50" s="571">
        <v>0</v>
      </c>
      <c r="Y50" s="2598">
        <v>0</v>
      </c>
      <c r="Z50" s="1168"/>
      <c r="AA50" s="1168"/>
      <c r="AB50" s="1168"/>
      <c r="AC50" s="365"/>
      <c r="AD50" s="365"/>
      <c r="AE50" s="365"/>
      <c r="AF50" s="365"/>
      <c r="AG50" s="365"/>
      <c r="AH50" s="365"/>
      <c r="AI50" s="365"/>
      <c r="AJ50" s="365"/>
      <c r="AK50" s="365"/>
      <c r="AL50" s="365"/>
      <c r="AM50" s="365"/>
      <c r="AN50" s="365"/>
      <c r="AO50" s="365"/>
      <c r="AP50" s="365"/>
      <c r="AQ50" s="365"/>
      <c r="AR50" s="365"/>
      <c r="AS50" s="365"/>
      <c r="AT50" s="365"/>
    </row>
    <row r="51" spans="1:46" ht="16.5">
      <c r="A51" t="s">
        <v>76</v>
      </c>
      <c r="B51" s="90" t="s">
        <v>2209</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167"/>
      <c r="S51" s="1167"/>
      <c r="T51" s="1167"/>
      <c r="U51" s="1167"/>
      <c r="V51" s="1167"/>
      <c r="W51" s="1167"/>
      <c r="X51" s="571"/>
      <c r="Y51" s="2598"/>
      <c r="Z51" s="1168"/>
      <c r="AA51" s="1168"/>
      <c r="AB51" s="1168"/>
      <c r="AC51" s="365"/>
      <c r="AD51" s="365"/>
      <c r="AE51" s="365"/>
      <c r="AF51" s="365"/>
      <c r="AG51" s="365"/>
      <c r="AH51" s="365"/>
      <c r="AI51" s="365"/>
      <c r="AJ51" s="365"/>
      <c r="AK51" s="365"/>
      <c r="AL51" s="365"/>
      <c r="AM51" s="365"/>
      <c r="AN51" s="365"/>
      <c r="AO51" s="365"/>
      <c r="AP51" s="365"/>
      <c r="AQ51" s="365"/>
      <c r="AR51" s="365"/>
      <c r="AS51" s="365"/>
      <c r="AT51" s="365"/>
    </row>
    <row r="52" spans="1:46" ht="16.5">
      <c r="A52" t="s">
        <v>76</v>
      </c>
      <c r="B52" s="90" t="s">
        <v>2210</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167"/>
      <c r="S52" s="1167"/>
      <c r="T52" s="1167"/>
      <c r="U52" s="1167"/>
      <c r="V52" s="1167"/>
      <c r="W52" s="1167"/>
      <c r="X52" s="571"/>
      <c r="Y52" s="2598"/>
      <c r="Z52" s="1168"/>
      <c r="AA52" s="1168"/>
      <c r="AB52" s="1168"/>
      <c r="AC52" s="365"/>
      <c r="AD52" s="365"/>
      <c r="AE52" s="365"/>
      <c r="AF52" s="365"/>
      <c r="AG52" s="365"/>
      <c r="AH52" s="365"/>
      <c r="AI52" s="365"/>
      <c r="AJ52" s="365"/>
      <c r="AK52" s="365"/>
      <c r="AL52" s="365"/>
      <c r="AM52" s="365"/>
      <c r="AN52" s="365"/>
      <c r="AO52" s="365"/>
      <c r="AP52" s="365"/>
      <c r="AQ52" s="365"/>
      <c r="AR52" s="365"/>
      <c r="AS52" s="365"/>
      <c r="AT52" s="365"/>
    </row>
    <row r="53" spans="1:46" ht="16.5">
      <c r="A53" t="s">
        <v>76</v>
      </c>
      <c r="B53" s="90" t="s">
        <v>2211</v>
      </c>
      <c r="C53" s="90"/>
      <c r="D53" s="115"/>
      <c r="E53" s="115"/>
      <c r="F53" s="115"/>
      <c r="G53" s="115"/>
      <c r="H53" s="115"/>
      <c r="I53" s="115"/>
      <c r="J53" s="115"/>
      <c r="K53" s="175"/>
      <c r="L53" s="115"/>
      <c r="M53" s="164">
        <v>67000000</v>
      </c>
      <c r="N53" s="164">
        <v>0</v>
      </c>
      <c r="O53" s="164">
        <v>39000000</v>
      </c>
      <c r="P53" s="142">
        <v>-35000000</v>
      </c>
      <c r="Q53" s="142">
        <v>1000000</v>
      </c>
      <c r="R53" s="1167"/>
      <c r="S53" s="1167"/>
      <c r="T53" s="1167"/>
      <c r="U53" s="1167"/>
      <c r="V53" s="1167"/>
      <c r="W53" s="1167"/>
      <c r="X53" s="571"/>
      <c r="Y53" s="2598"/>
      <c r="Z53" s="1168"/>
      <c r="AA53" s="1168"/>
      <c r="AB53" s="1168"/>
      <c r="AC53" s="365"/>
      <c r="AD53" s="365"/>
      <c r="AE53" s="365"/>
      <c r="AF53" s="365"/>
      <c r="AG53" s="365"/>
      <c r="AH53" s="365"/>
      <c r="AI53" s="365"/>
      <c r="AJ53" s="365"/>
      <c r="AK53" s="365"/>
      <c r="AL53" s="365"/>
      <c r="AM53" s="365"/>
      <c r="AN53" s="365"/>
      <c r="AO53" s="365"/>
      <c r="AP53" s="365"/>
      <c r="AQ53" s="365"/>
      <c r="AR53" s="365"/>
      <c r="AS53" s="365"/>
      <c r="AT53" s="365"/>
    </row>
    <row r="54" spans="1:46" ht="16.5">
      <c r="A54" t="s">
        <v>76</v>
      </c>
      <c r="B54" s="90" t="s">
        <v>2212</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167">
        <v>-28482000000</v>
      </c>
      <c r="S54" s="1167">
        <v>-68280000000</v>
      </c>
      <c r="T54" s="1167">
        <v>-55026000000</v>
      </c>
      <c r="U54" s="1167">
        <v>-7364000000</v>
      </c>
      <c r="V54" s="1167">
        <v>-4301000000</v>
      </c>
      <c r="W54" s="1167">
        <v>-5671000000</v>
      </c>
      <c r="X54" s="571">
        <v>-7281000000</v>
      </c>
      <c r="Y54" s="2598">
        <v>-10758000000</v>
      </c>
      <c r="Z54" s="1168"/>
      <c r="AA54" s="1168"/>
      <c r="AB54" s="1168"/>
      <c r="AC54" s="365"/>
      <c r="AD54" s="365"/>
      <c r="AE54" s="365"/>
      <c r="AF54" s="365"/>
      <c r="AG54" s="365"/>
      <c r="AH54" s="365"/>
      <c r="AI54" s="365"/>
      <c r="AJ54" s="365"/>
      <c r="AK54" s="365"/>
      <c r="AL54" s="365"/>
      <c r="AM54" s="365"/>
      <c r="AN54" s="365"/>
      <c r="AO54" s="365"/>
      <c r="AP54" s="365"/>
      <c r="AQ54" s="365"/>
      <c r="AR54" s="365"/>
      <c r="AS54" s="365"/>
      <c r="AT54" s="365"/>
    </row>
    <row r="55" spans="1:46" s="848" customFormat="1" ht="16.5">
      <c r="A55" s="909" t="s">
        <v>115</v>
      </c>
      <c r="B55" s="909" t="s">
        <v>115</v>
      </c>
      <c r="C55" s="909" t="s">
        <v>35</v>
      </c>
      <c r="D55" s="1169">
        <v>1271000000</v>
      </c>
      <c r="E55" s="910">
        <v>2046000000</v>
      </c>
      <c r="F55" s="910">
        <v>4407000000</v>
      </c>
      <c r="G55" s="919">
        <v>5556000000</v>
      </c>
      <c r="H55" s="919">
        <v>3508000000</v>
      </c>
      <c r="I55" s="1169">
        <v>2750000000</v>
      </c>
      <c r="J55" s="1169">
        <v>3157000000</v>
      </c>
      <c r="K55" s="1095">
        <v>4882000000</v>
      </c>
      <c r="L55" s="919">
        <v>3360000000</v>
      </c>
      <c r="M55" s="919">
        <f>10666000000+M75</f>
        <v>10648000000</v>
      </c>
      <c r="N55" s="919">
        <f>2698000000+N75</f>
        <v>2754000000</v>
      </c>
      <c r="O55" s="919">
        <f>5910000000+O75</f>
        <v>5909000000</v>
      </c>
      <c r="P55" s="1094">
        <v>7978000000</v>
      </c>
      <c r="Q55" s="1094">
        <v>17866000000</v>
      </c>
      <c r="R55" s="1170">
        <v>28482000000</v>
      </c>
      <c r="S55" s="1170">
        <v>68280000000</v>
      </c>
      <c r="T55" s="1170">
        <v>55026000000</v>
      </c>
      <c r="U55" s="1170">
        <v>7364000000</v>
      </c>
      <c r="V55" s="1170">
        <v>4301000000</v>
      </c>
      <c r="W55" s="1170">
        <v>5671000000</v>
      </c>
      <c r="X55" s="882">
        <v>7281000000</v>
      </c>
      <c r="Y55" s="2596">
        <v>10758000000</v>
      </c>
      <c r="Z55" s="1171"/>
      <c r="AA55" s="1171"/>
      <c r="AB55" s="1171"/>
      <c r="AC55" s="916"/>
      <c r="AD55" s="916"/>
      <c r="AE55" s="916"/>
      <c r="AF55" s="916"/>
      <c r="AG55" s="916"/>
      <c r="AH55" s="916"/>
      <c r="AI55" s="916"/>
      <c r="AJ55" s="916"/>
      <c r="AK55" s="916"/>
      <c r="AL55" s="916"/>
      <c r="AM55" s="916"/>
      <c r="AN55" s="916"/>
      <c r="AO55" s="916"/>
      <c r="AP55" s="916"/>
      <c r="AQ55" s="916"/>
      <c r="AR55" s="916"/>
      <c r="AS55" s="916"/>
      <c r="AT55" s="916"/>
    </row>
    <row r="56" spans="1:46" ht="16.5">
      <c r="A56" s="43" t="s">
        <v>120</v>
      </c>
      <c r="B56" s="90" t="s">
        <v>424</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167">
        <v>10524000000</v>
      </c>
      <c r="S56" s="1167">
        <v>193000000</v>
      </c>
      <c r="T56" s="1167">
        <v>-1685000000</v>
      </c>
      <c r="U56" s="1167">
        <v>-5337000000</v>
      </c>
      <c r="V56" s="1167">
        <v>-724000000</v>
      </c>
      <c r="W56" s="1167">
        <v>-187000000</v>
      </c>
      <c r="X56" s="571">
        <v>-187000000</v>
      </c>
      <c r="Y56" s="2598">
        <v>-156000000</v>
      </c>
      <c r="Z56" s="1168"/>
      <c r="AA56" s="1168"/>
      <c r="AB56" s="1168"/>
      <c r="AC56" s="365"/>
      <c r="AD56" s="365"/>
      <c r="AE56" s="365"/>
      <c r="AF56" s="365"/>
      <c r="AG56" s="365"/>
      <c r="AH56" s="365"/>
      <c r="AI56" s="365"/>
      <c r="AJ56" s="365"/>
      <c r="AK56" s="365"/>
      <c r="AL56" s="365"/>
      <c r="AM56" s="365"/>
      <c r="AN56" s="365"/>
      <c r="AO56" s="365"/>
      <c r="AP56" s="365"/>
      <c r="AQ56" s="365"/>
      <c r="AR56" s="365"/>
      <c r="AS56" s="365"/>
      <c r="AT56" s="365"/>
    </row>
    <row r="57" spans="1:46" ht="16.5">
      <c r="A57" s="20" t="s">
        <v>122</v>
      </c>
      <c r="B57" s="99" t="s">
        <v>425</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167">
        <v>-3024000000</v>
      </c>
      <c r="S57" s="1167">
        <v>318000000</v>
      </c>
      <c r="T57" s="1167">
        <v>-1560000000</v>
      </c>
      <c r="U57" s="1167">
        <v>-5212000000</v>
      </c>
      <c r="V57" s="1167">
        <v>-599000000</v>
      </c>
      <c r="W57" s="1167">
        <v>-62000000</v>
      </c>
      <c r="X57" s="571">
        <v>-62000000</v>
      </c>
      <c r="Y57" s="2598">
        <v>-31000000</v>
      </c>
      <c r="Z57" s="1168"/>
      <c r="AA57" s="1168"/>
      <c r="AB57" s="1168"/>
      <c r="AC57" s="365"/>
      <c r="AD57" s="365"/>
      <c r="AE57" s="365"/>
      <c r="AF57" s="365"/>
      <c r="AG57" s="365"/>
      <c r="AH57" s="365"/>
      <c r="AI57" s="365"/>
      <c r="AJ57" s="365"/>
      <c r="AK57" s="365"/>
      <c r="AL57" s="365"/>
      <c r="AM57" s="365"/>
      <c r="AN57" s="365"/>
      <c r="AO57" s="365"/>
      <c r="AP57" s="365"/>
      <c r="AQ57" s="365"/>
      <c r="AR57" s="365"/>
      <c r="AS57" s="365"/>
      <c r="AT57" s="365"/>
    </row>
    <row r="58" spans="1:46" ht="16.5">
      <c r="A58" t="s">
        <v>76</v>
      </c>
      <c r="B58" s="100" t="s">
        <v>2213</v>
      </c>
      <c r="C58" s="90" t="s">
        <v>3078</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167">
        <v>-3600000000</v>
      </c>
      <c r="S58" s="1167">
        <v>682000000</v>
      </c>
      <c r="T58" s="1167">
        <v>-1082000000</v>
      </c>
      <c r="U58" s="1167">
        <v>-4705000000</v>
      </c>
      <c r="V58" s="1167">
        <v>-62000000</v>
      </c>
      <c r="W58" s="1167">
        <v>-62000000</v>
      </c>
      <c r="X58" s="571">
        <v>-62000000</v>
      </c>
      <c r="Y58" s="2598">
        <v>-31000000</v>
      </c>
      <c r="Z58" s="1168"/>
      <c r="AA58" s="1168"/>
      <c r="AB58" s="1168"/>
      <c r="AC58" s="365"/>
      <c r="AD58" s="365"/>
      <c r="AE58" s="365"/>
      <c r="AF58" s="365"/>
      <c r="AG58" s="365"/>
      <c r="AH58" s="365"/>
      <c r="AI58" s="365"/>
      <c r="AJ58" s="365"/>
      <c r="AK58" s="365"/>
      <c r="AL58" s="365"/>
      <c r="AM58" s="365"/>
      <c r="AN58" s="365"/>
      <c r="AO58" s="365"/>
      <c r="AP58" s="365"/>
      <c r="AQ58" s="365"/>
      <c r="AR58" s="365"/>
      <c r="AS58" s="365"/>
      <c r="AT58" s="365"/>
    </row>
    <row r="59" spans="1:46" ht="16.5">
      <c r="A59" t="s">
        <v>76</v>
      </c>
      <c r="B59" s="100" t="s">
        <v>1619</v>
      </c>
      <c r="C59" s="90" t="s">
        <v>3078</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167">
        <v>576000000</v>
      </c>
      <c r="S59" s="1167">
        <v>-364000000</v>
      </c>
      <c r="T59" s="1167">
        <v>-478000000</v>
      </c>
      <c r="U59" s="1167">
        <v>-507000000</v>
      </c>
      <c r="V59" s="1167">
        <v>-538000000</v>
      </c>
      <c r="W59" s="1167">
        <v>0</v>
      </c>
      <c r="X59" s="571">
        <v>0</v>
      </c>
      <c r="Y59" s="2598">
        <v>0</v>
      </c>
      <c r="Z59" s="1168"/>
      <c r="AA59" s="1168"/>
      <c r="AB59" s="1168"/>
      <c r="AC59" s="365"/>
      <c r="AD59" s="365"/>
      <c r="AE59" s="365"/>
      <c r="AF59" s="365"/>
      <c r="AG59" s="365"/>
      <c r="AH59" s="365"/>
      <c r="AI59" s="365"/>
      <c r="AJ59" s="365"/>
      <c r="AK59" s="365"/>
      <c r="AL59" s="365"/>
      <c r="AM59" s="365"/>
      <c r="AN59" s="365"/>
      <c r="AO59" s="365"/>
      <c r="AP59" s="365"/>
      <c r="AQ59" s="365"/>
      <c r="AR59" s="365"/>
      <c r="AS59" s="365"/>
      <c r="AT59" s="365"/>
    </row>
    <row r="60" spans="1:46" ht="16.5">
      <c r="A60" s="20" t="s">
        <v>428</v>
      </c>
      <c r="B60" s="99" t="s">
        <v>2214</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167">
        <v>13548000000</v>
      </c>
      <c r="S60" s="1167">
        <v>-125000000</v>
      </c>
      <c r="T60" s="1167">
        <v>-125000000</v>
      </c>
      <c r="U60" s="1167">
        <v>-125000000</v>
      </c>
      <c r="V60" s="1167">
        <v>-125000000</v>
      </c>
      <c r="W60" s="1167">
        <v>-125000000</v>
      </c>
      <c r="X60" s="571">
        <v>-125000000</v>
      </c>
      <c r="Y60" s="2598">
        <v>-125000000</v>
      </c>
      <c r="Z60" s="1168"/>
      <c r="AA60" s="1168"/>
      <c r="AB60" s="1168"/>
      <c r="AC60" s="365"/>
      <c r="AD60" s="365"/>
      <c r="AE60" s="365"/>
      <c r="AF60" s="365"/>
      <c r="AG60" s="365"/>
      <c r="AH60" s="365"/>
      <c r="AI60" s="365"/>
      <c r="AJ60" s="365"/>
      <c r="AK60" s="365"/>
      <c r="AL60" s="365"/>
      <c r="AM60" s="365"/>
      <c r="AN60" s="365"/>
      <c r="AO60" s="365"/>
      <c r="AP60" s="365"/>
      <c r="AQ60" s="365"/>
      <c r="AR60" s="365"/>
      <c r="AS60" s="365"/>
      <c r="AT60" s="365"/>
    </row>
    <row r="61" spans="1:46" ht="16.5">
      <c r="A61" s="99" t="s">
        <v>430</v>
      </c>
      <c r="B61" s="99" t="s">
        <v>430</v>
      </c>
      <c r="C61" s="90" t="s">
        <v>124</v>
      </c>
      <c r="D61" s="135"/>
      <c r="E61" s="158"/>
      <c r="F61" s="158"/>
      <c r="G61" s="164"/>
      <c r="H61" s="164"/>
      <c r="I61" s="135"/>
      <c r="J61" s="135"/>
      <c r="K61" s="164"/>
      <c r="L61" s="164"/>
      <c r="M61" s="164"/>
      <c r="N61" s="164"/>
      <c r="O61" s="164"/>
      <c r="P61" s="142"/>
      <c r="Q61" s="142"/>
      <c r="R61" s="1167"/>
      <c r="S61" s="1167"/>
      <c r="T61" s="1167"/>
      <c r="U61" s="1167"/>
      <c r="V61" s="1167"/>
      <c r="W61" s="1167"/>
      <c r="X61" s="571"/>
      <c r="Y61" s="2598"/>
      <c r="Z61" s="1168"/>
      <c r="AA61" s="1168"/>
      <c r="AB61" s="1168"/>
      <c r="AC61" s="365"/>
      <c r="AD61" s="365"/>
      <c r="AE61" s="365"/>
      <c r="AF61" s="365"/>
      <c r="AG61" s="365"/>
      <c r="AH61" s="365"/>
      <c r="AI61" s="365"/>
      <c r="AJ61" s="365"/>
      <c r="AK61" s="365"/>
      <c r="AL61" s="365"/>
      <c r="AM61" s="365"/>
      <c r="AN61" s="365"/>
      <c r="AO61" s="365"/>
      <c r="AP61" s="365"/>
      <c r="AQ61" s="365"/>
      <c r="AR61" s="365"/>
      <c r="AS61" s="365"/>
      <c r="AT61" s="365"/>
    </row>
    <row r="62" spans="1:46" ht="16.5">
      <c r="A62" s="43" t="s">
        <v>117</v>
      </c>
      <c r="B62" s="90" t="s">
        <v>413</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167">
        <v>17958000000</v>
      </c>
      <c r="S62" s="1167">
        <v>68087000000</v>
      </c>
      <c r="T62" s="1167">
        <v>56711000000</v>
      </c>
      <c r="U62" s="1167">
        <v>12701000000</v>
      </c>
      <c r="V62" s="1167">
        <f>V63+V68+V76</f>
        <v>5026000000</v>
      </c>
      <c r="W62" s="1167">
        <f t="shared" ref="W62:Y62" si="4">W63+W68+W76</f>
        <v>5859000000</v>
      </c>
      <c r="X62" s="1167">
        <f t="shared" si="4"/>
        <v>7468000000</v>
      </c>
      <c r="Y62" s="1167">
        <f t="shared" si="4"/>
        <v>10914000000</v>
      </c>
      <c r="Z62" s="1168"/>
      <c r="AA62" s="1168"/>
      <c r="AB62" s="1168"/>
      <c r="AC62" s="365"/>
      <c r="AD62" s="365"/>
      <c r="AE62" s="365"/>
      <c r="AF62" s="365"/>
      <c r="AG62" s="365"/>
      <c r="AH62" s="365"/>
      <c r="AI62" s="365"/>
      <c r="AJ62" s="365"/>
      <c r="AK62" s="365"/>
      <c r="AL62" s="365"/>
      <c r="AM62" s="365"/>
      <c r="AN62" s="365"/>
      <c r="AO62" s="365"/>
      <c r="AP62" s="365"/>
      <c r="AQ62" s="365"/>
      <c r="AR62" s="365"/>
      <c r="AS62" s="365"/>
      <c r="AT62" s="365"/>
    </row>
    <row r="63" spans="1:46" ht="16.5">
      <c r="A63" s="103" t="s">
        <v>415</v>
      </c>
      <c r="B63" s="103" t="s">
        <v>415</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167">
        <v>20938000000</v>
      </c>
      <c r="S63" s="1167">
        <v>70942000000</v>
      </c>
      <c r="T63" s="1167">
        <v>59455000000</v>
      </c>
      <c r="U63" s="1167">
        <v>15671000000</v>
      </c>
      <c r="V63" s="1167">
        <v>8862000000</v>
      </c>
      <c r="W63" s="1167">
        <v>10300000000</v>
      </c>
      <c r="X63" s="571">
        <v>14677000000</v>
      </c>
      <c r="Y63" s="2598">
        <v>19850000000</v>
      </c>
      <c r="Z63" s="1168"/>
      <c r="AA63" s="1168"/>
      <c r="AB63" s="1168"/>
      <c r="AC63" s="365"/>
      <c r="AD63" s="365"/>
      <c r="AE63" s="365"/>
      <c r="AF63" s="365"/>
      <c r="AG63" s="365"/>
      <c r="AH63" s="365"/>
      <c r="AI63" s="365"/>
      <c r="AJ63" s="365"/>
      <c r="AK63" s="365"/>
      <c r="AL63" s="365"/>
      <c r="AM63" s="365"/>
      <c r="AN63" s="365"/>
      <c r="AO63" s="365"/>
      <c r="AP63" s="365"/>
      <c r="AQ63" s="365"/>
      <c r="AR63" s="365"/>
      <c r="AS63" s="365"/>
      <c r="AT63" s="365"/>
    </row>
    <row r="64" spans="1:46" ht="16.5">
      <c r="A64" s="103"/>
      <c r="B64" s="103" t="s">
        <v>2197</v>
      </c>
      <c r="C64" s="58"/>
      <c r="D64" s="135"/>
      <c r="E64" s="158"/>
      <c r="F64" s="158"/>
      <c r="G64" s="164"/>
      <c r="H64" s="164"/>
      <c r="I64" s="135"/>
      <c r="J64" s="135"/>
      <c r="K64" s="175"/>
      <c r="L64" s="164"/>
      <c r="M64" s="164"/>
      <c r="N64" s="164"/>
      <c r="O64" s="164"/>
      <c r="P64" s="142"/>
      <c r="Q64" s="142"/>
      <c r="R64" s="1167">
        <v>3767000000</v>
      </c>
      <c r="S64" s="1167">
        <v>5377000000</v>
      </c>
      <c r="T64" s="1167">
        <v>5943000000</v>
      </c>
      <c r="U64" s="1167">
        <v>7282000000</v>
      </c>
      <c r="V64" s="1167">
        <v>8862000000</v>
      </c>
      <c r="W64" s="1167">
        <v>10300000000</v>
      </c>
      <c r="X64" s="571">
        <v>14677000000</v>
      </c>
      <c r="Y64" s="2598">
        <v>19850000000</v>
      </c>
      <c r="Z64" s="1168"/>
      <c r="AA64" s="1168"/>
      <c r="AB64" s="1168"/>
      <c r="AC64" s="365"/>
      <c r="AD64" s="365"/>
      <c r="AE64" s="365"/>
      <c r="AF64" s="365"/>
      <c r="AG64" s="365"/>
      <c r="AH64" s="365"/>
      <c r="AI64" s="365"/>
      <c r="AJ64" s="365"/>
      <c r="AK64" s="365"/>
      <c r="AL64" s="365"/>
      <c r="AM64" s="365"/>
      <c r="AN64" s="365"/>
      <c r="AO64" s="365"/>
      <c r="AP64" s="365"/>
      <c r="AQ64" s="365"/>
      <c r="AR64" s="365"/>
      <c r="AS64" s="365"/>
      <c r="AT64" s="365"/>
    </row>
    <row r="65" spans="1:46" ht="16.5">
      <c r="A65" s="103"/>
      <c r="B65" s="103" t="s">
        <v>2198</v>
      </c>
      <c r="C65" s="58"/>
      <c r="D65" s="135"/>
      <c r="E65" s="158"/>
      <c r="F65" s="158"/>
      <c r="G65" s="164"/>
      <c r="H65" s="164"/>
      <c r="I65" s="135"/>
      <c r="J65" s="135"/>
      <c r="K65" s="175"/>
      <c r="L65" s="164"/>
      <c r="M65" s="164"/>
      <c r="N65" s="164"/>
      <c r="O65" s="164"/>
      <c r="P65" s="142"/>
      <c r="Q65" s="142"/>
      <c r="R65" s="1167">
        <v>17171000000</v>
      </c>
      <c r="S65" s="1167">
        <v>65565000000</v>
      </c>
      <c r="T65" s="1167">
        <v>53512000000</v>
      </c>
      <c r="U65" s="1167">
        <v>8389000000</v>
      </c>
      <c r="V65" s="1167">
        <v>0</v>
      </c>
      <c r="W65" s="1167">
        <v>0</v>
      </c>
      <c r="X65" s="571">
        <v>0</v>
      </c>
      <c r="Y65" s="2598">
        <v>0</v>
      </c>
      <c r="Z65" s="1168"/>
      <c r="AA65" s="1168"/>
      <c r="AB65" s="1168"/>
      <c r="AC65" s="365"/>
      <c r="AD65" s="365"/>
      <c r="AE65" s="365"/>
      <c r="AF65" s="365"/>
      <c r="AG65" s="365"/>
      <c r="AH65" s="365"/>
      <c r="AI65" s="365"/>
      <c r="AJ65" s="365"/>
      <c r="AK65" s="365"/>
      <c r="AL65" s="365"/>
      <c r="AM65" s="365"/>
      <c r="AN65" s="365"/>
      <c r="AO65" s="365"/>
      <c r="AP65" s="365"/>
      <c r="AQ65" s="365"/>
      <c r="AR65" s="365"/>
      <c r="AS65" s="365"/>
      <c r="AT65" s="365"/>
    </row>
    <row r="66" spans="1:46" ht="16.5">
      <c r="A66" s="103"/>
      <c r="B66" s="103" t="s">
        <v>2215</v>
      </c>
      <c r="C66" s="58"/>
      <c r="D66" s="135"/>
      <c r="E66" s="158"/>
      <c r="F66" s="158"/>
      <c r="G66" s="164"/>
      <c r="H66" s="164"/>
      <c r="I66" s="135"/>
      <c r="J66" s="135"/>
      <c r="K66" s="175"/>
      <c r="L66" s="164"/>
      <c r="M66" s="164"/>
      <c r="N66" s="164"/>
      <c r="O66" s="164"/>
      <c r="P66" s="142"/>
      <c r="Q66" s="142"/>
      <c r="R66" s="1167">
        <v>0</v>
      </c>
      <c r="S66" s="1167">
        <v>53922000000</v>
      </c>
      <c r="T66" s="1167">
        <v>33480000000</v>
      </c>
      <c r="U66" s="1167">
        <v>0</v>
      </c>
      <c r="V66" s="1167">
        <v>0</v>
      </c>
      <c r="W66" s="1167">
        <v>0</v>
      </c>
      <c r="X66" s="571">
        <v>0</v>
      </c>
      <c r="Y66" s="2598">
        <v>0</v>
      </c>
      <c r="Z66" s="1168"/>
      <c r="AA66" s="1168"/>
      <c r="AB66" s="1168"/>
      <c r="AC66" s="365"/>
      <c r="AD66" s="365"/>
      <c r="AE66" s="365"/>
      <c r="AF66" s="365"/>
      <c r="AG66" s="365"/>
      <c r="AH66" s="365"/>
      <c r="AI66" s="365"/>
      <c r="AJ66" s="365"/>
      <c r="AK66" s="365"/>
      <c r="AL66" s="365"/>
      <c r="AM66" s="365"/>
      <c r="AN66" s="365"/>
      <c r="AO66" s="365"/>
      <c r="AP66" s="365"/>
      <c r="AQ66" s="365"/>
      <c r="AR66" s="365"/>
      <c r="AS66" s="365"/>
      <c r="AT66" s="365"/>
    </row>
    <row r="67" spans="1:46" ht="16.5">
      <c r="A67" s="103"/>
      <c r="B67" s="103" t="s">
        <v>2216</v>
      </c>
      <c r="C67" s="58"/>
      <c r="D67" s="135"/>
      <c r="E67" s="158"/>
      <c r="F67" s="158"/>
      <c r="G67" s="164"/>
      <c r="H67" s="164"/>
      <c r="I67" s="135"/>
      <c r="J67" s="135"/>
      <c r="K67" s="175"/>
      <c r="L67" s="164"/>
      <c r="M67" s="164"/>
      <c r="N67" s="164"/>
      <c r="O67" s="164"/>
      <c r="P67" s="142"/>
      <c r="Q67" s="142"/>
      <c r="R67" s="1167">
        <v>17171000000</v>
      </c>
      <c r="S67" s="1167">
        <v>11643000000</v>
      </c>
      <c r="T67" s="1167">
        <v>20032000000</v>
      </c>
      <c r="U67" s="1167">
        <v>8389000000</v>
      </c>
      <c r="V67" s="1167">
        <v>0</v>
      </c>
      <c r="W67" s="1167">
        <v>0</v>
      </c>
      <c r="X67" s="571">
        <v>0</v>
      </c>
      <c r="Y67" s="2598">
        <v>0</v>
      </c>
      <c r="Z67" s="1168"/>
      <c r="AA67" s="1168"/>
      <c r="AB67" s="1168"/>
      <c r="AC67" s="365"/>
      <c r="AD67" s="365"/>
      <c r="AE67" s="365"/>
      <c r="AF67" s="365"/>
      <c r="AG67" s="365"/>
      <c r="AH67" s="365"/>
      <c r="AI67" s="365"/>
      <c r="AJ67" s="365"/>
      <c r="AK67" s="365"/>
      <c r="AL67" s="365"/>
      <c r="AM67" s="365"/>
      <c r="AN67" s="365"/>
      <c r="AO67" s="365"/>
      <c r="AP67" s="365"/>
      <c r="AQ67" s="365"/>
      <c r="AR67" s="365"/>
      <c r="AS67" s="365"/>
      <c r="AT67" s="365"/>
    </row>
    <row r="68" spans="1:46" ht="16.5">
      <c r="A68" s="20" t="s">
        <v>258</v>
      </c>
      <c r="B68" s="99" t="s">
        <v>2217</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167">
        <v>-2979000000</v>
      </c>
      <c r="S68" s="1167">
        <v>-2854000000</v>
      </c>
      <c r="T68" s="1167">
        <v>-2744000000</v>
      </c>
      <c r="U68" s="1167">
        <v>-2970000000</v>
      </c>
      <c r="V68" s="1167">
        <v>-4286000000</v>
      </c>
      <c r="W68" s="1167">
        <v>-5308000000</v>
      </c>
      <c r="X68" s="571">
        <v>-10094000000</v>
      </c>
      <c r="Y68" s="2598">
        <v>-15104000000</v>
      </c>
      <c r="Z68" s="1168"/>
      <c r="AA68" s="1168"/>
      <c r="AB68" s="1168"/>
      <c r="AC68" s="365"/>
      <c r="AD68" s="365"/>
      <c r="AE68" s="365"/>
      <c r="AF68" s="365"/>
      <c r="AG68" s="365"/>
      <c r="AH68" s="365"/>
      <c r="AI68" s="365"/>
      <c r="AJ68" s="365"/>
      <c r="AK68" s="365"/>
      <c r="AL68" s="365"/>
      <c r="AM68" s="365"/>
      <c r="AN68" s="365"/>
      <c r="AO68" s="365"/>
      <c r="AP68" s="365"/>
      <c r="AQ68" s="365"/>
      <c r="AR68" s="365"/>
      <c r="AS68" s="365"/>
      <c r="AT68" s="365"/>
    </row>
    <row r="69" spans="1:46" ht="16.5">
      <c r="A69" s="20"/>
      <c r="B69" s="99" t="s">
        <v>2197</v>
      </c>
      <c r="C69" s="58"/>
      <c r="D69" s="135"/>
      <c r="E69" s="158"/>
      <c r="F69" s="158"/>
      <c r="G69" s="164"/>
      <c r="H69" s="164"/>
      <c r="I69" s="135"/>
      <c r="J69" s="135"/>
      <c r="K69" s="175"/>
      <c r="L69" s="164"/>
      <c r="M69" s="164"/>
      <c r="N69" s="164"/>
      <c r="O69" s="164"/>
      <c r="P69" s="142"/>
      <c r="Q69" s="142"/>
      <c r="R69" s="1167">
        <v>-2979000000</v>
      </c>
      <c r="S69" s="1167">
        <v>-2854000000</v>
      </c>
      <c r="T69" s="1167">
        <v>-2744000000</v>
      </c>
      <c r="U69" s="1167">
        <v>-2970000000</v>
      </c>
      <c r="V69" s="1167">
        <v>-4286000000</v>
      </c>
      <c r="W69" s="1167">
        <v>-5308000000</v>
      </c>
      <c r="X69" s="571">
        <v>-5724000000</v>
      </c>
      <c r="Y69" s="2598">
        <v>-6364000000</v>
      </c>
      <c r="Z69" s="1168"/>
      <c r="AA69" s="1168"/>
      <c r="AB69" s="1168"/>
      <c r="AC69" s="365"/>
      <c r="AD69" s="365"/>
      <c r="AE69" s="365"/>
      <c r="AF69" s="365"/>
      <c r="AG69" s="365"/>
      <c r="AH69" s="365"/>
      <c r="AI69" s="365"/>
      <c r="AJ69" s="365"/>
      <c r="AK69" s="365"/>
      <c r="AL69" s="365"/>
      <c r="AM69" s="365"/>
      <c r="AN69" s="365"/>
      <c r="AO69" s="365"/>
      <c r="AP69" s="365"/>
      <c r="AQ69" s="365"/>
      <c r="AR69" s="365"/>
      <c r="AS69" s="365"/>
      <c r="AT69" s="365"/>
    </row>
    <row r="70" spans="1:46" ht="16.5">
      <c r="A70" s="20"/>
      <c r="B70" s="99" t="s">
        <v>2198</v>
      </c>
      <c r="C70" s="58"/>
      <c r="D70" s="135"/>
      <c r="E70" s="158"/>
      <c r="F70" s="158"/>
      <c r="G70" s="164"/>
      <c r="H70" s="164"/>
      <c r="I70" s="135"/>
      <c r="J70" s="135"/>
      <c r="K70" s="175"/>
      <c r="L70" s="164"/>
      <c r="M70" s="164"/>
      <c r="N70" s="164"/>
      <c r="O70" s="164"/>
      <c r="P70" s="142"/>
      <c r="Q70" s="142"/>
      <c r="R70" s="1167">
        <v>0</v>
      </c>
      <c r="S70" s="1167">
        <v>0</v>
      </c>
      <c r="T70" s="1167">
        <v>0</v>
      </c>
      <c r="U70" s="1167">
        <v>0</v>
      </c>
      <c r="V70" s="1167">
        <v>0</v>
      </c>
      <c r="W70" s="1167">
        <v>0</v>
      </c>
      <c r="X70" s="571">
        <v>-4370000000</v>
      </c>
      <c r="Y70" s="2598">
        <v>-8740000000</v>
      </c>
      <c r="Z70" s="1168"/>
      <c r="AA70" s="1168"/>
      <c r="AB70" s="1168"/>
      <c r="AC70" s="365"/>
      <c r="AD70" s="365"/>
      <c r="AE70" s="365"/>
      <c r="AF70" s="365"/>
      <c r="AG70" s="365"/>
      <c r="AH70" s="365"/>
      <c r="AI70" s="365"/>
      <c r="AJ70" s="365"/>
      <c r="AK70" s="365"/>
      <c r="AL70" s="365"/>
      <c r="AM70" s="365"/>
      <c r="AN70" s="365"/>
      <c r="AO70" s="365"/>
      <c r="AP70" s="365"/>
      <c r="AQ70" s="365"/>
      <c r="AR70" s="365"/>
      <c r="AS70" s="365"/>
      <c r="AT70" s="365"/>
    </row>
    <row r="71" spans="1:46" ht="16.5">
      <c r="A71" s="20"/>
      <c r="B71" s="99" t="s">
        <v>2215</v>
      </c>
      <c r="C71" s="58"/>
      <c r="D71" s="135"/>
      <c r="E71" s="158"/>
      <c r="F71" s="158"/>
      <c r="G71" s="164"/>
      <c r="H71" s="164"/>
      <c r="I71" s="135"/>
      <c r="J71" s="135"/>
      <c r="K71" s="175"/>
      <c r="L71" s="164"/>
      <c r="M71" s="164"/>
      <c r="N71" s="164"/>
      <c r="O71" s="164"/>
      <c r="P71" s="142"/>
      <c r="Q71" s="142"/>
      <c r="R71" s="1167">
        <v>0</v>
      </c>
      <c r="S71" s="1167">
        <v>0</v>
      </c>
      <c r="T71" s="1167">
        <v>0</v>
      </c>
      <c r="U71" s="1167">
        <v>0</v>
      </c>
      <c r="V71" s="1167">
        <v>0</v>
      </c>
      <c r="W71" s="1167">
        <v>0</v>
      </c>
      <c r="X71" s="571">
        <v>-4370000000</v>
      </c>
      <c r="Y71" s="2598">
        <v>-8740000000</v>
      </c>
      <c r="Z71" s="1168"/>
      <c r="AA71" s="1168"/>
      <c r="AB71" s="1168"/>
      <c r="AC71" s="365"/>
      <c r="AD71" s="365"/>
      <c r="AE71" s="365"/>
      <c r="AF71" s="365"/>
      <c r="AG71" s="365"/>
      <c r="AH71" s="365"/>
      <c r="AI71" s="365"/>
      <c r="AJ71" s="365"/>
      <c r="AK71" s="365"/>
      <c r="AL71" s="365"/>
      <c r="AM71" s="365"/>
      <c r="AN71" s="365"/>
      <c r="AO71" s="365"/>
      <c r="AP71" s="365"/>
      <c r="AQ71" s="365"/>
      <c r="AR71" s="365"/>
      <c r="AS71" s="365"/>
      <c r="AT71" s="365"/>
    </row>
    <row r="72" spans="1:46" ht="16.5">
      <c r="A72" s="20"/>
      <c r="B72" s="99" t="s">
        <v>2216</v>
      </c>
      <c r="C72" s="58"/>
      <c r="D72" s="135"/>
      <c r="E72" s="158"/>
      <c r="F72" s="158"/>
      <c r="G72" s="164"/>
      <c r="H72" s="164"/>
      <c r="I72" s="135"/>
      <c r="J72" s="135"/>
      <c r="K72" s="175"/>
      <c r="L72" s="164"/>
      <c r="M72" s="164"/>
      <c r="N72" s="164"/>
      <c r="O72" s="164"/>
      <c r="P72" s="142"/>
      <c r="Q72" s="142"/>
      <c r="R72" s="1167">
        <v>0</v>
      </c>
      <c r="S72" s="1167">
        <v>0</v>
      </c>
      <c r="T72" s="1167">
        <v>0</v>
      </c>
      <c r="U72" s="1167">
        <v>0</v>
      </c>
      <c r="V72" s="1167">
        <v>0</v>
      </c>
      <c r="W72" s="1167">
        <v>0</v>
      </c>
      <c r="X72" s="571">
        <v>0</v>
      </c>
      <c r="Y72" s="2598">
        <v>0</v>
      </c>
      <c r="Z72" s="1168"/>
      <c r="AA72" s="1168"/>
      <c r="AB72" s="1168"/>
      <c r="AC72" s="365"/>
      <c r="AD72" s="365"/>
      <c r="AE72" s="365"/>
      <c r="AF72" s="365"/>
      <c r="AG72" s="365"/>
      <c r="AH72" s="365"/>
      <c r="AI72" s="365"/>
      <c r="AJ72" s="365"/>
      <c r="AK72" s="365"/>
      <c r="AL72" s="365"/>
      <c r="AM72" s="365"/>
      <c r="AN72" s="365"/>
      <c r="AO72" s="365"/>
      <c r="AP72" s="365"/>
      <c r="AQ72" s="365"/>
      <c r="AR72" s="365"/>
      <c r="AS72" s="365"/>
      <c r="AT72" s="365"/>
    </row>
    <row r="73" spans="1:46">
      <c r="A73" t="s">
        <v>76</v>
      </c>
      <c r="B73" s="100" t="s">
        <v>2218</v>
      </c>
      <c r="C73" s="90"/>
      <c r="D73" s="115"/>
      <c r="E73" s="115"/>
      <c r="F73" s="115"/>
      <c r="G73" s="164">
        <v>-645000000</v>
      </c>
      <c r="H73" s="164">
        <v>-724000000</v>
      </c>
      <c r="I73" s="135">
        <v>-1152000000</v>
      </c>
      <c r="J73" s="135">
        <v>-1181000000</v>
      </c>
      <c r="K73" s="175"/>
      <c r="L73" s="175"/>
      <c r="M73" s="175"/>
      <c r="N73" s="175"/>
      <c r="O73" s="175"/>
      <c r="P73" s="175"/>
      <c r="Y73" s="1168"/>
      <c r="Z73" s="1168"/>
      <c r="AA73" s="1168"/>
      <c r="AB73" s="1168"/>
      <c r="AC73" s="365"/>
      <c r="AD73" s="365"/>
      <c r="AE73" s="365"/>
      <c r="AF73" s="365"/>
      <c r="AG73" s="365"/>
      <c r="AH73" s="365"/>
      <c r="AI73" s="365"/>
      <c r="AJ73" s="365"/>
      <c r="AK73" s="365"/>
      <c r="AL73" s="365"/>
      <c r="AM73" s="365"/>
      <c r="AN73" s="365"/>
      <c r="AO73" s="365"/>
      <c r="AP73" s="365"/>
      <c r="AQ73" s="365"/>
      <c r="AR73" s="365"/>
      <c r="AS73" s="365"/>
      <c r="AT73" s="365"/>
    </row>
    <row r="74" spans="1:46">
      <c r="A74" t="s">
        <v>76</v>
      </c>
      <c r="B74" s="100" t="s">
        <v>2219</v>
      </c>
      <c r="C74" s="90"/>
      <c r="D74" s="115"/>
      <c r="E74" s="115"/>
      <c r="F74" s="115"/>
      <c r="G74" s="164">
        <v>205000000</v>
      </c>
      <c r="H74" s="164">
        <v>70000000</v>
      </c>
      <c r="I74" s="135">
        <v>361000000</v>
      </c>
      <c r="J74" s="135">
        <v>20000000</v>
      </c>
      <c r="K74" s="175">
        <v>-103000000</v>
      </c>
      <c r="L74" s="164"/>
      <c r="M74" s="164"/>
      <c r="N74" s="164"/>
      <c r="O74" s="164"/>
      <c r="P74" s="164"/>
      <c r="Y74" s="1168"/>
      <c r="Z74" s="1168"/>
      <c r="AA74" s="1168"/>
      <c r="AB74" s="1168"/>
      <c r="AC74" s="365"/>
      <c r="AD74" s="365"/>
      <c r="AE74" s="365"/>
      <c r="AF74" s="365"/>
      <c r="AG74" s="365"/>
      <c r="AH74" s="365"/>
      <c r="AI74" s="365"/>
      <c r="AJ74" s="365"/>
      <c r="AK74" s="365"/>
      <c r="AL74" s="365"/>
      <c r="AM74" s="365"/>
      <c r="AN74" s="365"/>
      <c r="AO74" s="365"/>
      <c r="AP74" s="365"/>
      <c r="AQ74" s="365"/>
      <c r="AR74" s="365"/>
      <c r="AS74" s="365"/>
      <c r="AT74" s="365"/>
    </row>
    <row r="75" spans="1:46">
      <c r="A75" s="117" t="s">
        <v>1560</v>
      </c>
      <c r="B75" s="117" t="s">
        <v>1560</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168"/>
      <c r="AA75" s="1168"/>
      <c r="AB75" s="1168"/>
      <c r="AC75" s="365"/>
      <c r="AD75" s="365"/>
      <c r="AE75" s="365"/>
      <c r="AF75" s="365"/>
      <c r="AG75" s="365"/>
      <c r="AH75" s="365"/>
      <c r="AI75" s="365"/>
      <c r="AJ75" s="365"/>
      <c r="AK75" s="365"/>
      <c r="AL75" s="365"/>
      <c r="AM75" s="365"/>
      <c r="AN75" s="365"/>
      <c r="AO75" s="365"/>
      <c r="AP75" s="365"/>
      <c r="AQ75" s="365"/>
      <c r="AR75" s="365"/>
      <c r="AS75" s="365"/>
      <c r="AT75" s="365"/>
    </row>
    <row r="76" spans="1:46">
      <c r="A76" s="117" t="s">
        <v>1560</v>
      </c>
      <c r="B76" s="117" t="s">
        <v>1560</v>
      </c>
      <c r="C76" t="s">
        <v>264</v>
      </c>
      <c r="R76" s="534">
        <v>0</v>
      </c>
      <c r="S76" s="534">
        <v>0</v>
      </c>
      <c r="T76" s="534">
        <v>0</v>
      </c>
      <c r="U76" s="534">
        <v>0</v>
      </c>
      <c r="V76" s="897">
        <v>450000000</v>
      </c>
      <c r="W76" s="534">
        <v>867000000</v>
      </c>
      <c r="X76" s="534">
        <v>2885000000</v>
      </c>
      <c r="Y76" s="1168">
        <v>6168000000</v>
      </c>
      <c r="Z76" s="1168"/>
      <c r="AA76" s="1168"/>
      <c r="AB76" s="1168"/>
      <c r="AC76" s="365"/>
      <c r="AD76" s="365"/>
      <c r="AE76" s="365"/>
      <c r="AF76" s="365"/>
      <c r="AG76" s="365"/>
      <c r="AH76" s="365"/>
      <c r="AI76" s="365"/>
      <c r="AJ76" s="365"/>
      <c r="AK76" s="365"/>
      <c r="AL76" s="365"/>
      <c r="AM76" s="365"/>
      <c r="AN76" s="365"/>
      <c r="AO76" s="365"/>
      <c r="AP76" s="365"/>
      <c r="AQ76" s="365"/>
      <c r="AR76" s="365"/>
      <c r="AS76" s="365"/>
      <c r="AT76" s="365"/>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34" t="s">
        <v>139</v>
      </c>
      <c r="S77" s="534" t="s">
        <v>139</v>
      </c>
      <c r="T77" s="534" t="s">
        <v>139</v>
      </c>
      <c r="U77" s="534" t="s">
        <v>139</v>
      </c>
      <c r="V77" s="534" t="s">
        <v>139</v>
      </c>
      <c r="W77" s="534" t="s">
        <v>139</v>
      </c>
      <c r="X77" s="534" t="s">
        <v>139</v>
      </c>
      <c r="Y77" s="534" t="s">
        <v>139</v>
      </c>
      <c r="Z77" s="1168"/>
      <c r="AA77" s="1168"/>
      <c r="AB77" s="1168"/>
      <c r="AC77" s="365"/>
      <c r="AD77" s="365"/>
      <c r="AE77" s="365"/>
      <c r="AF77" s="365"/>
      <c r="AG77" s="365"/>
      <c r="AH77" s="365"/>
      <c r="AI77" s="365"/>
      <c r="AJ77" s="365"/>
      <c r="AK77" s="365"/>
      <c r="AL77" s="365"/>
      <c r="AM77" s="365"/>
      <c r="AN77" s="365"/>
      <c r="AO77" s="365"/>
      <c r="AP77" s="365"/>
      <c r="AQ77" s="365"/>
      <c r="AR77" s="365"/>
      <c r="AS77" s="365"/>
      <c r="AT77" s="365"/>
    </row>
    <row r="78" spans="1:46">
      <c r="Y78" s="1168"/>
      <c r="Z78" s="1168"/>
      <c r="AA78" s="1168"/>
      <c r="AB78" s="1168"/>
      <c r="AC78" s="365"/>
      <c r="AD78" s="365"/>
      <c r="AE78" s="365"/>
      <c r="AF78" s="365"/>
      <c r="AG78" s="365"/>
      <c r="AH78" s="365"/>
      <c r="AI78" s="365"/>
      <c r="AJ78" s="365"/>
      <c r="AK78" s="365"/>
      <c r="AL78" s="365"/>
      <c r="AM78" s="365"/>
      <c r="AN78" s="365"/>
      <c r="AO78" s="365"/>
      <c r="AP78" s="365"/>
      <c r="AQ78" s="365"/>
      <c r="AR78" s="365"/>
      <c r="AS78" s="365"/>
      <c r="AT78" s="365"/>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8">
        <f t="shared" si="5"/>
        <v>0</v>
      </c>
      <c r="P79" s="51">
        <f t="shared" si="5"/>
        <v>0</v>
      </c>
      <c r="Y79" s="1168"/>
      <c r="Z79" s="1168"/>
      <c r="AA79" s="1168"/>
      <c r="AB79" s="1168"/>
      <c r="AC79" s="365"/>
      <c r="AD79" s="365"/>
      <c r="AE79" s="365"/>
      <c r="AF79" s="365"/>
      <c r="AG79" s="365"/>
      <c r="AH79" s="365"/>
      <c r="AI79" s="365"/>
      <c r="AJ79" s="365"/>
      <c r="AK79" s="365"/>
      <c r="AL79" s="365"/>
      <c r="AM79" s="365"/>
      <c r="AN79" s="365"/>
      <c r="AO79" s="365"/>
      <c r="AP79" s="365"/>
      <c r="AQ79" s="365"/>
      <c r="AR79" s="365"/>
      <c r="AS79" s="365"/>
      <c r="AT79" s="365"/>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72">
        <f t="shared" si="6"/>
        <v>0</v>
      </c>
      <c r="S80" s="572">
        <f t="shared" si="6"/>
        <v>0</v>
      </c>
      <c r="T80" s="572">
        <f t="shared" si="6"/>
        <v>0</v>
      </c>
      <c r="U80" s="572">
        <f t="shared" si="6"/>
        <v>0</v>
      </c>
      <c r="V80" s="572">
        <f t="shared" si="6"/>
        <v>0</v>
      </c>
      <c r="W80" s="572">
        <f t="shared" si="6"/>
        <v>-1000000</v>
      </c>
      <c r="X80" s="572">
        <f t="shared" si="6"/>
        <v>0</v>
      </c>
      <c r="Y80" s="572">
        <f t="shared" si="6"/>
        <v>1000000</v>
      </c>
      <c r="Z80" s="1168"/>
      <c r="AA80" s="1168"/>
      <c r="AB80" s="1168"/>
      <c r="AC80" s="365"/>
      <c r="AD80" s="365"/>
      <c r="AE80" s="365"/>
      <c r="AF80" s="365"/>
      <c r="AG80" s="365"/>
      <c r="AH80" s="365"/>
      <c r="AI80" s="365"/>
      <c r="AJ80" s="365"/>
      <c r="AK80" s="365"/>
      <c r="AL80" s="365"/>
      <c r="AM80" s="365"/>
      <c r="AN80" s="365"/>
      <c r="AO80" s="365"/>
      <c r="AP80" s="365"/>
      <c r="AQ80" s="365"/>
      <c r="AR80" s="365"/>
      <c r="AS80" s="365"/>
      <c r="AT80" s="365"/>
    </row>
    <row r="81" spans="2:46">
      <c r="B81" t="s">
        <v>451</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72">
        <f t="shared" si="7"/>
        <v>-1000000</v>
      </c>
      <c r="S81" s="572">
        <f t="shared" si="7"/>
        <v>0</v>
      </c>
      <c r="T81" s="572">
        <f t="shared" si="7"/>
        <v>0</v>
      </c>
      <c r="U81" s="572">
        <f t="shared" si="7"/>
        <v>0</v>
      </c>
      <c r="V81" s="572">
        <f t="shared" si="7"/>
        <v>0</v>
      </c>
      <c r="W81" s="572">
        <f t="shared" si="7"/>
        <v>0</v>
      </c>
      <c r="X81" s="572">
        <f t="shared" si="7"/>
        <v>1000000</v>
      </c>
      <c r="Y81" s="572">
        <f t="shared" si="7"/>
        <v>0</v>
      </c>
      <c r="Z81" s="1168"/>
      <c r="AA81" s="1168"/>
      <c r="AB81" s="1168"/>
      <c r="AC81" s="365"/>
      <c r="AD81" s="365"/>
      <c r="AE81" s="365"/>
      <c r="AF81" s="365"/>
      <c r="AG81" s="365"/>
      <c r="AH81" s="365"/>
      <c r="AI81" s="365"/>
      <c r="AJ81" s="365"/>
      <c r="AK81" s="365"/>
      <c r="AL81" s="365"/>
      <c r="AM81" s="365"/>
      <c r="AN81" s="365"/>
      <c r="AO81" s="365"/>
      <c r="AP81" s="365"/>
      <c r="AQ81" s="365"/>
      <c r="AR81" s="365"/>
      <c r="AS81" s="365"/>
      <c r="AT81" s="365"/>
    </row>
    <row r="82" spans="2:46">
      <c r="B82" t="s">
        <v>2220</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72">
        <f t="shared" si="8"/>
        <v>0</v>
      </c>
      <c r="S82" s="572">
        <f t="shared" si="8"/>
        <v>0</v>
      </c>
      <c r="T82" s="572">
        <f t="shared" si="8"/>
        <v>0</v>
      </c>
      <c r="U82" s="572">
        <f t="shared" si="8"/>
        <v>0</v>
      </c>
      <c r="V82" s="572">
        <f t="shared" si="8"/>
        <v>1000000</v>
      </c>
      <c r="W82" s="572">
        <f t="shared" si="8"/>
        <v>0</v>
      </c>
      <c r="X82" s="572">
        <f t="shared" si="8"/>
        <v>0</v>
      </c>
      <c r="Y82" s="572">
        <f t="shared" si="8"/>
        <v>0</v>
      </c>
      <c r="Z82" s="1168"/>
      <c r="AA82" s="1168"/>
      <c r="AB82" s="1168"/>
      <c r="AC82" s="365"/>
      <c r="AD82" s="365"/>
      <c r="AE82" s="365"/>
      <c r="AF82" s="365"/>
      <c r="AG82" s="365"/>
      <c r="AH82" s="365"/>
      <c r="AI82" s="365"/>
      <c r="AJ82" s="365"/>
      <c r="AK82" s="365"/>
      <c r="AL82" s="365"/>
      <c r="AM82" s="365"/>
      <c r="AN82" s="365"/>
      <c r="AO82" s="365"/>
      <c r="AP82" s="365"/>
      <c r="AQ82" s="365"/>
      <c r="AR82" s="365"/>
      <c r="AS82" s="365"/>
      <c r="AT82" s="365"/>
    </row>
    <row r="83" spans="2:46">
      <c r="B83" t="s">
        <v>1362</v>
      </c>
      <c r="D83" s="130">
        <f t="shared" ref="D83:Y83" si="9">D17-D18-D19-D20</f>
        <v>0</v>
      </c>
      <c r="E83" s="223">
        <f t="shared" si="9"/>
        <v>5072000000</v>
      </c>
      <c r="F83" s="223">
        <f t="shared" si="9"/>
        <v>6227000000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72">
        <f t="shared" si="9"/>
        <v>0</v>
      </c>
      <c r="S83" s="572">
        <f t="shared" si="9"/>
        <v>0</v>
      </c>
      <c r="T83" s="572">
        <f t="shared" si="9"/>
        <v>0</v>
      </c>
      <c r="U83" s="572">
        <f t="shared" si="9"/>
        <v>0</v>
      </c>
      <c r="V83" s="572">
        <f t="shared" si="9"/>
        <v>0</v>
      </c>
      <c r="W83" s="572">
        <f t="shared" si="9"/>
        <v>0</v>
      </c>
      <c r="X83" s="572">
        <f t="shared" si="9"/>
        <v>0</v>
      </c>
      <c r="Y83" s="572">
        <f t="shared" si="9"/>
        <v>0</v>
      </c>
      <c r="Z83" s="1168"/>
      <c r="AA83" s="1168"/>
      <c r="AB83" s="1168"/>
      <c r="AC83" s="365"/>
      <c r="AD83" s="365"/>
      <c r="AE83" s="365"/>
      <c r="AF83" s="365"/>
      <c r="AG83" s="365"/>
      <c r="AH83" s="365"/>
      <c r="AI83" s="365"/>
      <c r="AJ83" s="365"/>
      <c r="AK83" s="365"/>
      <c r="AL83" s="365"/>
      <c r="AM83" s="365"/>
      <c r="AN83" s="365"/>
      <c r="AO83" s="365"/>
      <c r="AP83" s="365"/>
      <c r="AQ83" s="365"/>
      <c r="AR83" s="365"/>
      <c r="AS83" s="365"/>
      <c r="AT83" s="365"/>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72">
        <f t="shared" si="10"/>
        <v>-1000000</v>
      </c>
      <c r="S84" s="572">
        <f t="shared" si="10"/>
        <v>0</v>
      </c>
      <c r="T84" s="572">
        <f t="shared" si="10"/>
        <v>0</v>
      </c>
      <c r="U84" s="572">
        <f t="shared" si="10"/>
        <v>0</v>
      </c>
      <c r="V84" s="572">
        <f t="shared" si="10"/>
        <v>-1000000</v>
      </c>
      <c r="W84" s="572">
        <f t="shared" si="10"/>
        <v>0</v>
      </c>
      <c r="X84" s="572">
        <f t="shared" si="10"/>
        <v>0</v>
      </c>
      <c r="Y84" s="572">
        <f t="shared" si="10"/>
        <v>0</v>
      </c>
      <c r="Z84" s="1168"/>
      <c r="AA84" s="1168"/>
      <c r="AB84" s="1168"/>
      <c r="AC84" s="365"/>
      <c r="AD84" s="365"/>
      <c r="AE84" s="365"/>
      <c r="AF84" s="365"/>
      <c r="AG84" s="365"/>
      <c r="AH84" s="365"/>
      <c r="AI84" s="365"/>
      <c r="AJ84" s="365"/>
      <c r="AK84" s="365"/>
      <c r="AL84" s="365"/>
      <c r="AM84" s="365"/>
      <c r="AN84" s="365"/>
      <c r="AO84" s="365"/>
      <c r="AP84" s="365"/>
      <c r="AQ84" s="365"/>
      <c r="AR84" s="365"/>
      <c r="AS84" s="365"/>
      <c r="AT84" s="365"/>
    </row>
    <row r="85" spans="2:46">
      <c r="B85" t="s">
        <v>2221</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72">
        <f t="shared" si="11"/>
        <v>0</v>
      </c>
      <c r="S85" s="572">
        <f t="shared" si="11"/>
        <v>0</v>
      </c>
      <c r="T85" s="572">
        <f t="shared" si="11"/>
        <v>0</v>
      </c>
      <c r="U85" s="572">
        <f t="shared" si="11"/>
        <v>0</v>
      </c>
      <c r="V85" s="572">
        <f t="shared" si="11"/>
        <v>0</v>
      </c>
      <c r="W85" s="572">
        <f t="shared" si="11"/>
        <v>0</v>
      </c>
      <c r="X85" s="572">
        <f t="shared" si="11"/>
        <v>0</v>
      </c>
      <c r="Y85" s="572">
        <f t="shared" si="11"/>
        <v>0</v>
      </c>
      <c r="Z85" s="1168"/>
      <c r="AA85" s="1168"/>
      <c r="AB85" s="1168"/>
      <c r="AC85" s="365"/>
      <c r="AD85" s="365"/>
      <c r="AE85" s="365"/>
      <c r="AF85" s="365"/>
      <c r="AG85" s="365"/>
      <c r="AH85" s="365"/>
      <c r="AI85" s="365"/>
      <c r="AJ85" s="365"/>
      <c r="AK85" s="365"/>
      <c r="AL85" s="365"/>
      <c r="AM85" s="365"/>
      <c r="AN85" s="365"/>
      <c r="AO85" s="365"/>
      <c r="AP85" s="365"/>
      <c r="AQ85" s="365"/>
      <c r="AR85" s="365"/>
      <c r="AS85" s="365"/>
      <c r="AT85" s="365"/>
    </row>
    <row r="86" spans="2:46">
      <c r="B86" t="s">
        <v>2222</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72">
        <f t="shared" si="12"/>
        <v>0</v>
      </c>
      <c r="S86" s="572">
        <f t="shared" si="12"/>
        <v>0</v>
      </c>
      <c r="T86" s="572">
        <f t="shared" si="12"/>
        <v>0</v>
      </c>
      <c r="U86" s="572">
        <f t="shared" si="12"/>
        <v>0</v>
      </c>
      <c r="V86" s="572">
        <f t="shared" si="12"/>
        <v>0</v>
      </c>
      <c r="W86" s="572">
        <f t="shared" si="12"/>
        <v>0</v>
      </c>
      <c r="X86" s="572">
        <f t="shared" si="12"/>
        <v>0</v>
      </c>
      <c r="Y86" s="572">
        <f t="shared" si="12"/>
        <v>0</v>
      </c>
      <c r="Z86" s="1168"/>
      <c r="AA86" s="1168"/>
      <c r="AB86" s="1168"/>
      <c r="AC86" s="365"/>
      <c r="AD86" s="365"/>
      <c r="AE86" s="365"/>
      <c r="AF86" s="365"/>
      <c r="AG86" s="365"/>
      <c r="AH86" s="365"/>
      <c r="AI86" s="365"/>
      <c r="AJ86" s="365"/>
      <c r="AK86" s="365"/>
      <c r="AL86" s="365"/>
      <c r="AM86" s="365"/>
      <c r="AN86" s="365"/>
      <c r="AO86" s="365"/>
      <c r="AP86" s="365"/>
      <c r="AQ86" s="365"/>
      <c r="AR86" s="365"/>
      <c r="AS86" s="365"/>
      <c r="AT86" s="365"/>
    </row>
    <row r="87" spans="2:46">
      <c r="B87" t="s">
        <v>537</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49">
        <f t="shared" si="13"/>
        <v>0</v>
      </c>
      <c r="P87" s="130">
        <f t="shared" si="13"/>
        <v>0</v>
      </c>
      <c r="Q87" s="130">
        <f t="shared" si="13"/>
        <v>0</v>
      </c>
      <c r="R87" s="572">
        <f t="shared" si="13"/>
        <v>0</v>
      </c>
      <c r="S87" s="572">
        <f t="shared" si="13"/>
        <v>0</v>
      </c>
      <c r="T87" s="572">
        <f t="shared" si="13"/>
        <v>0</v>
      </c>
      <c r="U87" s="572">
        <f t="shared" si="13"/>
        <v>0</v>
      </c>
      <c r="V87" s="572">
        <f t="shared" si="13"/>
        <v>1000000</v>
      </c>
      <c r="W87" s="572">
        <f t="shared" si="13"/>
        <v>0</v>
      </c>
      <c r="X87" s="572">
        <f t="shared" si="13"/>
        <v>-1000000</v>
      </c>
      <c r="Y87" s="572">
        <f t="shared" si="13"/>
        <v>0</v>
      </c>
      <c r="Z87" s="1168"/>
      <c r="AA87" s="1168"/>
      <c r="AB87" s="1168"/>
      <c r="AC87" s="365"/>
      <c r="AD87" s="365"/>
      <c r="AE87" s="365"/>
      <c r="AF87" s="365"/>
      <c r="AG87" s="365"/>
      <c r="AH87" s="365"/>
      <c r="AI87" s="365"/>
      <c r="AJ87" s="365"/>
      <c r="AK87" s="365"/>
      <c r="AL87" s="365"/>
      <c r="AM87" s="365"/>
      <c r="AN87" s="365"/>
      <c r="AO87" s="365"/>
      <c r="AP87" s="365"/>
      <c r="AQ87" s="365"/>
      <c r="AR87" s="365"/>
      <c r="AS87" s="365"/>
      <c r="AT87" s="365"/>
    </row>
    <row r="88" spans="2:46">
      <c r="B88" t="s">
        <v>1623</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72">
        <f t="shared" si="14"/>
        <v>0</v>
      </c>
      <c r="S88" s="572">
        <f t="shared" si="14"/>
        <v>0</v>
      </c>
      <c r="T88" s="572">
        <f t="shared" si="14"/>
        <v>0</v>
      </c>
      <c r="U88" s="572">
        <f t="shared" si="14"/>
        <v>0</v>
      </c>
      <c r="V88" s="572">
        <f t="shared" si="14"/>
        <v>0</v>
      </c>
      <c r="W88" s="572">
        <f t="shared" si="14"/>
        <v>1000000</v>
      </c>
      <c r="X88" s="572">
        <f t="shared" si="14"/>
        <v>0</v>
      </c>
      <c r="Y88" s="572">
        <f t="shared" si="14"/>
        <v>1000000</v>
      </c>
      <c r="Z88" s="1168"/>
      <c r="AA88" s="1168"/>
      <c r="AB88" s="1168"/>
      <c r="AC88" s="365"/>
      <c r="AD88" s="365"/>
      <c r="AE88" s="365"/>
      <c r="AF88" s="365"/>
      <c r="AG88" s="365"/>
      <c r="AH88" s="365"/>
      <c r="AI88" s="365"/>
      <c r="AJ88" s="365"/>
      <c r="AK88" s="365"/>
      <c r="AL88" s="365"/>
      <c r="AM88" s="365"/>
      <c r="AN88" s="365"/>
      <c r="AO88" s="365"/>
      <c r="AP88" s="365"/>
      <c r="AQ88" s="365"/>
      <c r="AR88" s="365"/>
      <c r="AS88" s="365"/>
      <c r="AT88" s="365"/>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168"/>
      <c r="AA89" s="1168"/>
      <c r="AB89" s="1168"/>
      <c r="AC89" s="365"/>
      <c r="AD89" s="365"/>
      <c r="AE89" s="365"/>
      <c r="AF89" s="365"/>
      <c r="AG89" s="365"/>
      <c r="AH89" s="365"/>
      <c r="AI89" s="365"/>
      <c r="AJ89" s="365"/>
      <c r="AK89" s="365"/>
      <c r="AL89" s="365"/>
      <c r="AM89" s="365"/>
      <c r="AN89" s="365"/>
      <c r="AO89" s="365"/>
      <c r="AP89" s="365"/>
      <c r="AQ89" s="365"/>
      <c r="AR89" s="365"/>
      <c r="AS89" s="365"/>
      <c r="AT89" s="365"/>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75">
        <f t="shared" si="18"/>
        <v>0</v>
      </c>
      <c r="S90" s="575">
        <f t="shared" si="18"/>
        <v>0</v>
      </c>
      <c r="T90" s="575">
        <f t="shared" si="18"/>
        <v>0</v>
      </c>
      <c r="U90" s="575">
        <f t="shared" si="18"/>
        <v>0</v>
      </c>
      <c r="V90" s="575">
        <f t="shared" si="18"/>
        <v>0</v>
      </c>
      <c r="W90" s="575">
        <f t="shared" si="18"/>
        <v>0</v>
      </c>
      <c r="X90" s="575">
        <f t="shared" si="18"/>
        <v>0</v>
      </c>
      <c r="Y90" s="575">
        <f t="shared" si="18"/>
        <v>0</v>
      </c>
      <c r="Z90" s="1168"/>
      <c r="AA90" s="1168"/>
      <c r="AB90" s="1168"/>
      <c r="AC90" s="365"/>
      <c r="AD90" s="365"/>
      <c r="AE90" s="365"/>
      <c r="AF90" s="365"/>
      <c r="AG90" s="365"/>
      <c r="AH90" s="365"/>
      <c r="AI90" s="365"/>
      <c r="AJ90" s="365"/>
      <c r="AK90" s="365"/>
      <c r="AL90" s="365"/>
      <c r="AM90" s="365"/>
      <c r="AN90" s="365"/>
      <c r="AO90" s="365"/>
      <c r="AP90" s="365"/>
      <c r="AQ90" s="365"/>
      <c r="AR90" s="365"/>
      <c r="AS90" s="365"/>
      <c r="AT90" s="365"/>
    </row>
    <row r="91" spans="2:46">
      <c r="B91" t="s">
        <v>1363</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168"/>
      <c r="AA91" s="1168"/>
      <c r="AB91" s="1168"/>
      <c r="AC91" s="365"/>
      <c r="AD91" s="365"/>
      <c r="AE91" s="365"/>
      <c r="AF91" s="365"/>
      <c r="AG91" s="365"/>
      <c r="AH91" s="365"/>
      <c r="AI91" s="365"/>
      <c r="AJ91" s="365"/>
      <c r="AK91" s="365"/>
      <c r="AL91" s="365"/>
      <c r="AM91" s="365"/>
      <c r="AN91" s="365"/>
      <c r="AO91" s="365"/>
      <c r="AP91" s="365"/>
      <c r="AQ91" s="365"/>
      <c r="AR91" s="365"/>
      <c r="AS91" s="365"/>
      <c r="AT91" s="365"/>
    </row>
    <row r="92" spans="2:46">
      <c r="Y92" s="1168"/>
      <c r="Z92" s="1168"/>
      <c r="AA92" s="1168"/>
      <c r="AB92" s="1168"/>
      <c r="AC92" s="365"/>
      <c r="AD92" s="365"/>
      <c r="AE92" s="365"/>
      <c r="AF92" s="365"/>
      <c r="AG92" s="365"/>
      <c r="AH92" s="365"/>
      <c r="AI92" s="365"/>
      <c r="AJ92" s="365"/>
      <c r="AK92" s="365"/>
      <c r="AL92" s="365"/>
      <c r="AM92" s="365"/>
      <c r="AN92" s="365"/>
      <c r="AO92" s="365"/>
      <c r="AP92" s="365"/>
      <c r="AQ92" s="365"/>
      <c r="AR92" s="365"/>
      <c r="AS92" s="365"/>
      <c r="AT92" s="365"/>
    </row>
    <row r="94" spans="2:46">
      <c r="B94" t="s">
        <v>1040</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34">
        <v>282228000000</v>
      </c>
      <c r="S94" s="534">
        <v>306896000000</v>
      </c>
      <c r="T94" s="534">
        <v>335669000000</v>
      </c>
      <c r="U94" s="534">
        <v>360666000000</v>
      </c>
      <c r="V94" s="534">
        <v>388679000000</v>
      </c>
      <c r="W94" s="534">
        <v>423014000000</v>
      </c>
      <c r="X94" s="534">
        <v>459605000000</v>
      </c>
      <c r="Y94" s="534">
        <v>499361000000</v>
      </c>
      <c r="Z94" s="534">
        <v>542556000000</v>
      </c>
      <c r="AA94" s="534">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34" t="b">
        <f t="shared" si="25"/>
        <v>0</v>
      </c>
      <c r="S98" s="534" t="b">
        <f t="shared" si="25"/>
        <v>0</v>
      </c>
      <c r="T98" s="534" t="b">
        <f t="shared" si="25"/>
        <v>0</v>
      </c>
      <c r="U98" s="534" t="b">
        <f t="shared" si="25"/>
        <v>0</v>
      </c>
      <c r="V98" s="534"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I6" activePane="bottomRight" state="frozen"/>
      <selection pane="topRight" activeCell="R7" sqref="R7"/>
      <selection pane="bottomLeft" activeCell="R7" sqref="R7"/>
      <selection pane="bottomRight" activeCell="M44" sqref="M44"/>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5" width="12.5703125" bestFit="1" customWidth="1"/>
    <col min="16" max="16" width="19.85546875" bestFit="1" customWidth="1"/>
    <col min="17" max="18" width="12.7109375" bestFit="1" customWidth="1"/>
    <col min="19" max="19" width="13.7109375" bestFit="1" customWidth="1"/>
    <col min="20" max="22" width="12.7109375" bestFit="1" customWidth="1"/>
    <col min="23" max="26" width="12" bestFit="1" customWidth="1"/>
    <col min="27" max="27" width="11" bestFit="1" customWidth="1"/>
  </cols>
  <sheetData>
    <row r="1" spans="1:47">
      <c r="A1" s="369" t="s">
        <v>2223</v>
      </c>
      <c r="B1" s="82" t="s">
        <v>2224</v>
      </c>
      <c r="C1" s="82"/>
      <c r="D1" s="27"/>
      <c r="E1" s="27"/>
      <c r="F1" s="27"/>
      <c r="G1" s="27"/>
      <c r="H1" s="27"/>
      <c r="I1" s="27"/>
      <c r="J1" s="27"/>
      <c r="K1" s="27"/>
      <c r="L1" s="27"/>
      <c r="M1" s="27"/>
      <c r="N1" s="27"/>
      <c r="O1" s="28"/>
      <c r="P1" s="28"/>
      <c r="Q1" s="28"/>
      <c r="R1" s="29"/>
      <c r="S1" s="28"/>
      <c r="T1" s="28"/>
      <c r="U1" s="28"/>
      <c r="V1" s="28"/>
      <c r="W1" s="28"/>
      <c r="X1" s="2"/>
    </row>
    <row r="2" spans="1:47">
      <c r="B2" s="30" t="s">
        <v>2225</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2226</v>
      </c>
      <c r="P5" s="28" t="s">
        <v>30</v>
      </c>
      <c r="Q5" s="28" t="s">
        <v>30</v>
      </c>
      <c r="R5" s="28" t="s">
        <v>30</v>
      </c>
      <c r="S5" s="28" t="s">
        <v>30</v>
      </c>
      <c r="T5" s="28" t="s">
        <v>32</v>
      </c>
      <c r="U5" s="28" t="s">
        <v>32</v>
      </c>
      <c r="V5" s="28" t="s">
        <v>32</v>
      </c>
      <c r="W5" s="28" t="s">
        <v>32</v>
      </c>
      <c r="X5" s="2" t="s">
        <v>32</v>
      </c>
      <c r="Y5" s="2" t="s">
        <v>32</v>
      </c>
      <c r="Z5" s="2" t="s">
        <v>32</v>
      </c>
    </row>
    <row r="6" spans="1:47" s="9" customFormat="1">
      <c r="A6" s="1175" t="s">
        <v>785</v>
      </c>
      <c r="B6" s="1176" t="s">
        <v>785</v>
      </c>
      <c r="C6" s="1063" t="s">
        <v>35</v>
      </c>
      <c r="D6" s="894">
        <f t="shared" ref="D6:L6" si="0">D7+D13</f>
        <v>231100000</v>
      </c>
      <c r="E6" s="894">
        <f t="shared" si="0"/>
        <v>278900000</v>
      </c>
      <c r="F6" s="894">
        <f t="shared" si="0"/>
        <v>206900000</v>
      </c>
      <c r="G6" s="894">
        <f t="shared" si="0"/>
        <v>222800000</v>
      </c>
      <c r="H6" s="894">
        <f t="shared" si="0"/>
        <v>285000000</v>
      </c>
      <c r="I6" s="894">
        <f t="shared" si="0"/>
        <v>290000000</v>
      </c>
      <c r="J6" s="894">
        <f t="shared" si="0"/>
        <v>323500000</v>
      </c>
      <c r="K6" s="894">
        <f t="shared" si="0"/>
        <v>356500000</v>
      </c>
      <c r="L6" s="894">
        <f t="shared" si="0"/>
        <v>424473000</v>
      </c>
      <c r="M6" s="1159">
        <v>452900000</v>
      </c>
      <c r="N6" s="1159">
        <v>471300000</v>
      </c>
      <c r="O6" s="1159">
        <v>482300000</v>
      </c>
      <c r="P6" s="1159">
        <v>406300000</v>
      </c>
      <c r="Q6" s="1159">
        <v>419900000</v>
      </c>
      <c r="R6" s="1159">
        <v>389000000</v>
      </c>
      <c r="S6" s="1159">
        <v>475300000</v>
      </c>
      <c r="T6" s="1159">
        <v>540400000</v>
      </c>
      <c r="U6" s="894">
        <v>554600000</v>
      </c>
      <c r="V6" s="1159">
        <v>533500000</v>
      </c>
      <c r="W6" s="1158">
        <v>537800000</v>
      </c>
      <c r="X6" s="1177">
        <v>551000000</v>
      </c>
      <c r="Y6">
        <v>561400000</v>
      </c>
      <c r="Z6">
        <v>578900000</v>
      </c>
      <c r="AA6"/>
      <c r="AB6"/>
      <c r="AC6"/>
      <c r="AD6"/>
      <c r="AE6"/>
      <c r="AF6"/>
      <c r="AG6"/>
      <c r="AH6"/>
      <c r="AI6"/>
      <c r="AJ6"/>
      <c r="AK6"/>
      <c r="AL6"/>
      <c r="AM6"/>
      <c r="AN6"/>
      <c r="AO6"/>
      <c r="AP6"/>
      <c r="AQ6"/>
      <c r="AR6"/>
      <c r="AS6"/>
      <c r="AT6"/>
      <c r="AU6"/>
    </row>
    <row r="7" spans="1:47" ht="16.5">
      <c r="A7" s="441" t="s">
        <v>36</v>
      </c>
      <c r="B7" s="27" t="s">
        <v>533</v>
      </c>
      <c r="C7" s="345" t="s">
        <v>38</v>
      </c>
      <c r="D7" s="125">
        <v>211400000</v>
      </c>
      <c r="E7" s="894">
        <f>E8+E14</f>
        <v>210900000</v>
      </c>
      <c r="F7" s="894">
        <f>F8+F14</f>
        <v>206900000</v>
      </c>
      <c r="G7" s="125">
        <v>191900000</v>
      </c>
      <c r="H7" s="125">
        <v>221800000</v>
      </c>
      <c r="I7" s="125">
        <v>245700000</v>
      </c>
      <c r="J7" s="178">
        <v>263200000</v>
      </c>
      <c r="K7" s="894">
        <f>K8+K14</f>
        <v>289800000</v>
      </c>
      <c r="L7" s="894">
        <f>L8+L14</f>
        <v>316274000</v>
      </c>
      <c r="M7" s="298">
        <f>M8+M14</f>
        <v>339100000</v>
      </c>
      <c r="N7" s="298">
        <f t="shared" ref="N7:O7" si="1">N8+N14</f>
        <v>357200000</v>
      </c>
      <c r="O7" s="298">
        <f t="shared" si="1"/>
        <v>355400000</v>
      </c>
      <c r="P7" s="298">
        <f>P6-P13</f>
        <v>370400000</v>
      </c>
      <c r="Q7" s="298">
        <f t="shared" ref="Q7:Z7" si="2">Q6-Q13</f>
        <v>376000000</v>
      </c>
      <c r="R7" s="298">
        <f t="shared" si="2"/>
        <v>360300000</v>
      </c>
      <c r="S7" s="298">
        <f t="shared" si="2"/>
        <v>444400000</v>
      </c>
      <c r="T7" s="298">
        <f t="shared" si="2"/>
        <v>526500000</v>
      </c>
      <c r="U7" s="298">
        <f t="shared" si="2"/>
        <v>532000000</v>
      </c>
      <c r="V7" s="298">
        <f t="shared" si="2"/>
        <v>502100000</v>
      </c>
      <c r="W7" s="28">
        <f t="shared" si="2"/>
        <v>502000000</v>
      </c>
      <c r="X7" s="2">
        <f t="shared" si="2"/>
        <v>514500000</v>
      </c>
      <c r="Y7">
        <f t="shared" si="2"/>
        <v>524100000</v>
      </c>
      <c r="Z7">
        <f t="shared" si="2"/>
        <v>540900000</v>
      </c>
    </row>
    <row r="8" spans="1:47">
      <c r="A8" s="28" t="s">
        <v>2227</v>
      </c>
      <c r="B8" s="28" t="s">
        <v>2227</v>
      </c>
      <c r="C8" s="58" t="s">
        <v>41</v>
      </c>
      <c r="D8" s="125"/>
      <c r="E8" s="894">
        <f>E9+E10+E11+E12</f>
        <v>179600000</v>
      </c>
      <c r="F8" s="894">
        <f>F9+F10+F11+F12</f>
        <v>170100000</v>
      </c>
      <c r="G8" s="298">
        <v>167900000</v>
      </c>
      <c r="H8" s="298">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894">
        <v>342000000</v>
      </c>
      <c r="T8" s="125">
        <v>366900000</v>
      </c>
      <c r="U8" s="125">
        <v>372000000</v>
      </c>
      <c r="V8" s="125">
        <v>387000000</v>
      </c>
      <c r="W8" s="28">
        <v>403600000</v>
      </c>
      <c r="X8" s="2">
        <v>422300000</v>
      </c>
      <c r="Y8">
        <v>437700000</v>
      </c>
      <c r="Z8">
        <v>452300000</v>
      </c>
    </row>
    <row r="9" spans="1:47">
      <c r="A9" s="28" t="s">
        <v>2228</v>
      </c>
      <c r="B9" s="28" t="s">
        <v>2228</v>
      </c>
      <c r="C9" s="90" t="s">
        <v>44</v>
      </c>
      <c r="D9" s="125"/>
      <c r="E9" s="298">
        <v>54600000</v>
      </c>
      <c r="F9" s="298">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8">
        <v>70300000</v>
      </c>
      <c r="U9" s="298">
        <v>67800000</v>
      </c>
      <c r="V9" s="298">
        <v>68400000</v>
      </c>
      <c r="W9" s="28">
        <v>68000000</v>
      </c>
      <c r="X9" s="2">
        <v>70600000</v>
      </c>
      <c r="Y9">
        <v>73100000</v>
      </c>
      <c r="Z9">
        <v>75600000</v>
      </c>
    </row>
    <row r="10" spans="1:47">
      <c r="A10" s="28" t="s">
        <v>2229</v>
      </c>
      <c r="B10" s="28" t="s">
        <v>2229</v>
      </c>
      <c r="C10" s="90" t="s">
        <v>44</v>
      </c>
      <c r="D10" s="125"/>
      <c r="E10" s="298">
        <v>2600000</v>
      </c>
      <c r="F10" s="298">
        <v>2200000</v>
      </c>
      <c r="G10" s="298"/>
      <c r="H10" s="298"/>
      <c r="I10" s="298"/>
      <c r="J10" s="178">
        <v>7900000</v>
      </c>
      <c r="K10" s="178">
        <v>7200000</v>
      </c>
      <c r="L10" s="125">
        <v>9512000</v>
      </c>
      <c r="M10" s="125">
        <v>10900000</v>
      </c>
      <c r="N10" s="125">
        <v>8900000</v>
      </c>
      <c r="O10" s="125">
        <v>7800000</v>
      </c>
      <c r="P10" s="125">
        <v>6700000</v>
      </c>
      <c r="Q10" s="125">
        <v>7700000</v>
      </c>
      <c r="R10" s="125">
        <v>7700000</v>
      </c>
      <c r="S10" s="125">
        <v>6800000</v>
      </c>
      <c r="T10" s="298">
        <v>6700000</v>
      </c>
      <c r="U10" s="298">
        <v>7000000</v>
      </c>
      <c r="V10" s="298">
        <v>7300000</v>
      </c>
      <c r="W10" s="28">
        <v>7500000</v>
      </c>
      <c r="X10" s="2">
        <v>7800000</v>
      </c>
      <c r="Y10">
        <v>8100000</v>
      </c>
      <c r="Z10">
        <v>8400000</v>
      </c>
    </row>
    <row r="11" spans="1:47">
      <c r="A11" s="28" t="s">
        <v>47</v>
      </c>
      <c r="B11" s="28" t="s">
        <v>47</v>
      </c>
      <c r="C11" s="90" t="s">
        <v>44</v>
      </c>
      <c r="D11" s="125"/>
      <c r="E11" s="298">
        <v>28600000</v>
      </c>
      <c r="F11" s="298">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8">
        <v>212500000</v>
      </c>
      <c r="U11" s="298">
        <v>214900000</v>
      </c>
      <c r="V11" s="298">
        <v>225500000</v>
      </c>
      <c r="W11" s="28">
        <v>235700000</v>
      </c>
      <c r="X11" s="2">
        <v>244700000</v>
      </c>
      <c r="Y11">
        <v>253700000</v>
      </c>
      <c r="Z11">
        <v>262200000</v>
      </c>
    </row>
    <row r="12" spans="1:47">
      <c r="A12" s="28" t="s">
        <v>2230</v>
      </c>
      <c r="B12" s="28" t="s">
        <v>2230</v>
      </c>
      <c r="C12" s="90" t="s">
        <v>44</v>
      </c>
      <c r="D12" s="125"/>
      <c r="E12" s="298">
        <v>93800000</v>
      </c>
      <c r="F12" s="298">
        <v>97600000</v>
      </c>
      <c r="G12" s="298"/>
      <c r="H12" s="298"/>
      <c r="I12" s="298"/>
      <c r="J12" s="178">
        <v>96700000</v>
      </c>
      <c r="K12" s="178">
        <v>54600000</v>
      </c>
      <c r="L12" s="125">
        <v>63017000</v>
      </c>
      <c r="M12" s="125">
        <v>68600000</v>
      </c>
      <c r="N12" s="125">
        <v>68400000</v>
      </c>
      <c r="O12" s="125">
        <v>70000000</v>
      </c>
      <c r="P12" s="125">
        <v>57300000</v>
      </c>
      <c r="Q12" s="125">
        <v>59300000</v>
      </c>
      <c r="R12" s="125">
        <v>64599999.999999993</v>
      </c>
      <c r="S12" s="125">
        <v>69700000</v>
      </c>
      <c r="T12" s="298">
        <v>77500000</v>
      </c>
      <c r="U12" s="298">
        <v>82300000</v>
      </c>
      <c r="V12" s="298">
        <v>85800000</v>
      </c>
      <c r="W12" s="28">
        <v>92400000</v>
      </c>
      <c r="X12" s="2">
        <v>99200000</v>
      </c>
      <c r="Y12">
        <v>102800000</v>
      </c>
      <c r="Z12">
        <v>106200000</v>
      </c>
    </row>
    <row r="13" spans="1:47" s="848" customFormat="1">
      <c r="A13" s="1176" t="s">
        <v>53</v>
      </c>
      <c r="B13" s="1176" t="s">
        <v>53</v>
      </c>
      <c r="C13" s="1160" t="s">
        <v>38</v>
      </c>
      <c r="D13" s="1159">
        <v>19700000</v>
      </c>
      <c r="E13" s="1093">
        <v>68000000</v>
      </c>
      <c r="F13" s="1159">
        <v>0</v>
      </c>
      <c r="G13" s="1159">
        <v>30900000</v>
      </c>
      <c r="H13" s="1159">
        <v>63200000</v>
      </c>
      <c r="I13" s="1159">
        <v>44300000</v>
      </c>
      <c r="J13" s="1157">
        <v>60300000</v>
      </c>
      <c r="K13" s="1157">
        <v>66700000</v>
      </c>
      <c r="L13" s="1159">
        <v>108199000</v>
      </c>
      <c r="M13" s="1159">
        <v>113800000</v>
      </c>
      <c r="N13" s="1159">
        <v>114100000</v>
      </c>
      <c r="O13" s="1159">
        <v>126900000</v>
      </c>
      <c r="P13" s="1159">
        <v>35900000</v>
      </c>
      <c r="Q13" s="1159">
        <v>43900000</v>
      </c>
      <c r="R13" s="1159">
        <v>28700000</v>
      </c>
      <c r="S13" s="1159">
        <v>30900000</v>
      </c>
      <c r="T13" s="1093">
        <v>13900000</v>
      </c>
      <c r="U13" s="1093">
        <v>22600000</v>
      </c>
      <c r="V13" s="1093">
        <v>31400000</v>
      </c>
      <c r="W13" s="1158">
        <v>35800000</v>
      </c>
      <c r="X13" s="1177">
        <v>36500000</v>
      </c>
      <c r="Y13" s="848">
        <v>37300000</v>
      </c>
      <c r="Z13" s="848">
        <v>38000000</v>
      </c>
    </row>
    <row r="14" spans="1:47">
      <c r="A14" s="27" t="s">
        <v>560</v>
      </c>
      <c r="B14" s="27" t="s">
        <v>560</v>
      </c>
      <c r="C14" s="58" t="s">
        <v>41</v>
      </c>
      <c r="D14" s="125"/>
      <c r="E14" s="298">
        <v>31300000</v>
      </c>
      <c r="F14" s="298">
        <v>36800000</v>
      </c>
      <c r="G14" s="298">
        <v>23900000</v>
      </c>
      <c r="H14" s="298">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8">
        <v>159600000</v>
      </c>
      <c r="U14" s="298">
        <v>160000000</v>
      </c>
      <c r="V14" s="298">
        <v>115100000</v>
      </c>
      <c r="W14" s="28">
        <v>98300000</v>
      </c>
      <c r="X14" s="2">
        <v>92100000</v>
      </c>
      <c r="Y14">
        <v>86500000</v>
      </c>
      <c r="Z14">
        <v>88600000</v>
      </c>
    </row>
    <row r="15" spans="1:47">
      <c r="A15" s="28" t="s">
        <v>2231</v>
      </c>
      <c r="B15" s="28" t="s">
        <v>2231</v>
      </c>
      <c r="C15" s="34" t="s">
        <v>1515</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8">
        <v>1300000</v>
      </c>
      <c r="U15" s="298">
        <v>1300000</v>
      </c>
      <c r="V15" s="298">
        <v>1400000</v>
      </c>
      <c r="W15" s="28">
        <v>1400000</v>
      </c>
      <c r="X15" s="2">
        <v>1500000</v>
      </c>
      <c r="Y15">
        <v>1600000</v>
      </c>
      <c r="Z15">
        <v>1600000</v>
      </c>
    </row>
    <row r="16" spans="1:47">
      <c r="A16" s="28" t="s">
        <v>2232</v>
      </c>
      <c r="B16" s="28" t="s">
        <v>2233</v>
      </c>
      <c r="C16" s="34" t="s">
        <v>1515</v>
      </c>
      <c r="D16" s="125"/>
      <c r="E16" s="125"/>
      <c r="F16" s="125"/>
      <c r="G16" s="298"/>
      <c r="H16" s="298"/>
      <c r="I16" s="125"/>
      <c r="J16" s="125"/>
      <c r="K16" s="125"/>
      <c r="L16" s="125"/>
      <c r="M16" s="125">
        <v>9700000</v>
      </c>
      <c r="N16" s="125">
        <v>10200000</v>
      </c>
      <c r="O16" s="125">
        <v>9600000</v>
      </c>
      <c r="P16" s="125">
        <v>10900000</v>
      </c>
      <c r="Q16" s="125">
        <v>13200000</v>
      </c>
      <c r="R16" s="125">
        <v>11900000</v>
      </c>
      <c r="S16" s="125">
        <v>10800000</v>
      </c>
      <c r="T16" s="298">
        <v>11100000</v>
      </c>
      <c r="U16" s="298">
        <v>11600000</v>
      </c>
      <c r="V16" s="298">
        <v>12100000</v>
      </c>
      <c r="W16" s="28">
        <v>12600000</v>
      </c>
      <c r="X16" s="2">
        <v>13100000</v>
      </c>
      <c r="Y16">
        <v>13500000</v>
      </c>
      <c r="Z16">
        <v>14000000</v>
      </c>
    </row>
    <row r="17" spans="1:26">
      <c r="A17" s="28" t="s">
        <v>2234</v>
      </c>
      <c r="B17" s="28" t="s">
        <v>2235</v>
      </c>
      <c r="C17" s="34" t="s">
        <v>1515</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8">
        <v>147200000</v>
      </c>
      <c r="U17" s="298">
        <v>147100000</v>
      </c>
      <c r="V17" s="298">
        <v>101600000</v>
      </c>
      <c r="W17" s="28">
        <v>84300000</v>
      </c>
      <c r="X17" s="2">
        <v>77600000</v>
      </c>
      <c r="Y17">
        <v>71400000</v>
      </c>
      <c r="Z17">
        <v>73000000</v>
      </c>
    </row>
    <row r="18" spans="1:26" s="848" customFormat="1">
      <c r="A18" s="909" t="s">
        <v>198</v>
      </c>
      <c r="B18" s="1176" t="s">
        <v>535</v>
      </c>
      <c r="C18" s="1063" t="s">
        <v>35</v>
      </c>
      <c r="D18" s="1159">
        <v>316100000</v>
      </c>
      <c r="E18" s="1159">
        <v>350300000</v>
      </c>
      <c r="F18" s="1159">
        <v>269300000</v>
      </c>
      <c r="G18" s="1159">
        <v>261300000</v>
      </c>
      <c r="H18" s="1159">
        <v>295200000</v>
      </c>
      <c r="I18" s="1159">
        <v>298700000</v>
      </c>
      <c r="J18" s="1178">
        <v>315300000</v>
      </c>
      <c r="K18" s="1178">
        <v>325300000</v>
      </c>
      <c r="L18" s="1159">
        <v>404260000</v>
      </c>
      <c r="M18" s="1159">
        <f>M20+M34+M33</f>
        <v>445100000</v>
      </c>
      <c r="N18" s="1159">
        <f>N20+N34+N33</f>
        <v>476900000</v>
      </c>
      <c r="O18" s="1159">
        <f>O20+O34+O33</f>
        <v>529600000</v>
      </c>
      <c r="P18" s="1159">
        <f t="shared" ref="P18:S18" si="3">P20+P34+P33</f>
        <v>479200000</v>
      </c>
      <c r="Q18" s="1159">
        <f t="shared" si="3"/>
        <v>459600000</v>
      </c>
      <c r="R18" s="1159">
        <f t="shared" si="3"/>
        <v>455300000</v>
      </c>
      <c r="S18" s="1159">
        <f t="shared" si="3"/>
        <v>488600000</v>
      </c>
      <c r="T18" s="1093">
        <f>T20+T34</f>
        <v>558100000</v>
      </c>
      <c r="U18" s="1093">
        <f>U20+U34</f>
        <v>550600000</v>
      </c>
      <c r="V18" s="1093">
        <v>532000000</v>
      </c>
      <c r="W18" s="1158">
        <v>535400000</v>
      </c>
      <c r="X18" s="1177">
        <v>546200000</v>
      </c>
      <c r="Y18" s="848">
        <v>547400000</v>
      </c>
      <c r="Z18" s="848">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8"/>
      <c r="U19" s="298"/>
      <c r="V19" s="298"/>
      <c r="W19" s="28"/>
      <c r="X19" s="2"/>
    </row>
    <row r="20" spans="1:26">
      <c r="A20" s="90" t="s">
        <v>476</v>
      </c>
      <c r="B20" s="1174" t="s">
        <v>73</v>
      </c>
      <c r="C20" s="58" t="s">
        <v>201</v>
      </c>
      <c r="D20" s="125">
        <f t="shared" ref="D20:L20" si="4">D19</f>
        <v>218900000</v>
      </c>
      <c r="E20" s="125">
        <f t="shared" si="4"/>
        <v>230100000</v>
      </c>
      <c r="F20" s="125">
        <f t="shared" si="4"/>
        <v>229700000</v>
      </c>
      <c r="G20" s="125">
        <f t="shared" si="4"/>
        <v>226600000</v>
      </c>
      <c r="H20" s="125">
        <f t="shared" si="4"/>
        <v>223100000</v>
      </c>
      <c r="I20" s="125">
        <f t="shared" si="4"/>
        <v>232900000</v>
      </c>
      <c r="J20" s="125">
        <f t="shared" si="4"/>
        <v>240200000</v>
      </c>
      <c r="K20" s="125">
        <f t="shared" si="4"/>
        <v>237600000</v>
      </c>
      <c r="L20" s="125">
        <f t="shared" si="4"/>
        <v>268714000</v>
      </c>
      <c r="M20" s="125">
        <f>M21+M22+M23+M26</f>
        <v>287100000</v>
      </c>
      <c r="N20" s="125">
        <f t="shared" ref="N20:R20" si="5">N21+N22+N23+N26</f>
        <v>293300000</v>
      </c>
      <c r="O20" s="125">
        <f t="shared" si="5"/>
        <v>311200000</v>
      </c>
      <c r="P20" s="125">
        <f t="shared" si="5"/>
        <v>339200000</v>
      </c>
      <c r="Q20" s="125">
        <f t="shared" si="5"/>
        <v>334600000</v>
      </c>
      <c r="R20" s="125">
        <f t="shared" si="5"/>
        <v>357100000</v>
      </c>
      <c r="S20" s="125">
        <f>S21+S22+S23+S26</f>
        <v>375600000</v>
      </c>
      <c r="T20" s="125">
        <f t="shared" ref="T20" si="6">T21+T22+T23+T26</f>
        <v>377500000</v>
      </c>
      <c r="U20" s="125">
        <f t="shared" ref="U20" si="7">U21+U22+U23+U26</f>
        <v>388100000</v>
      </c>
      <c r="V20" s="125">
        <f>V21+V22+V23+V26</f>
        <v>389400000</v>
      </c>
      <c r="W20" s="125">
        <f t="shared" ref="W20" si="8">W21+W22+W23+W26</f>
        <v>393900000</v>
      </c>
      <c r="X20" s="125">
        <f t="shared" ref="X20" si="9">X21+X22+X23+X26</f>
        <v>406100000</v>
      </c>
      <c r="Y20" s="125">
        <f t="shared" ref="Y20" si="10">Y21+Y22+Y23+Y26</f>
        <v>411100000</v>
      </c>
      <c r="Z20" s="125">
        <f t="shared" ref="Z20" si="11">Z21+Z22+Z23+Z26</f>
        <v>418000000</v>
      </c>
    </row>
    <row r="21" spans="1:26">
      <c r="A21" s="28" t="s">
        <v>2236</v>
      </c>
      <c r="B21" s="28" t="s">
        <v>2236</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8">
        <v>153200000</v>
      </c>
      <c r="U21" s="298">
        <v>161600000</v>
      </c>
      <c r="V21" s="298">
        <v>162000000</v>
      </c>
      <c r="W21" s="28">
        <v>162400000</v>
      </c>
      <c r="X21" s="2">
        <v>171300000</v>
      </c>
      <c r="Y21">
        <v>171700000</v>
      </c>
      <c r="Z21">
        <v>172200000</v>
      </c>
    </row>
    <row r="22" spans="1:26">
      <c r="A22" s="28" t="s">
        <v>2237</v>
      </c>
      <c r="B22" s="28" t="s">
        <v>2237</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8">
        <v>108800000</v>
      </c>
      <c r="U22" s="298">
        <v>110400000</v>
      </c>
      <c r="V22" s="298">
        <v>111800000</v>
      </c>
      <c r="W22" s="28">
        <v>116100000</v>
      </c>
      <c r="X22" s="2">
        <v>120400000</v>
      </c>
      <c r="Y22">
        <v>124800000</v>
      </c>
      <c r="Z22">
        <v>128900000</v>
      </c>
    </row>
    <row r="23" spans="1:26">
      <c r="A23" s="28" t="s">
        <v>1185</v>
      </c>
      <c r="B23" s="28" t="s">
        <v>1185</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8">
        <v>29400000</v>
      </c>
      <c r="U23" s="298">
        <v>30400000</v>
      </c>
      <c r="V23" s="298">
        <v>30400000</v>
      </c>
      <c r="W23" s="28">
        <v>31200000</v>
      </c>
      <c r="X23" s="2">
        <v>31300000</v>
      </c>
      <c r="Y23">
        <v>32600000</v>
      </c>
      <c r="Z23">
        <v>32100000</v>
      </c>
    </row>
    <row r="24" spans="1:26">
      <c r="A24" s="339" t="s">
        <v>209</v>
      </c>
      <c r="B24" s="339"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8"/>
      <c r="U24" s="298"/>
      <c r="V24" s="298"/>
      <c r="W24" s="28"/>
      <c r="X24" s="2"/>
    </row>
    <row r="25" spans="1:26">
      <c r="A25" s="444" t="s">
        <v>280</v>
      </c>
      <c r="B25" s="444"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8"/>
      <c r="U25" s="298"/>
      <c r="V25" s="298"/>
      <c r="W25" s="28"/>
      <c r="X25" s="2"/>
    </row>
    <row r="26" spans="1:26">
      <c r="A26" s="445" t="s">
        <v>2238</v>
      </c>
      <c r="B26" s="445" t="s">
        <v>2239</v>
      </c>
      <c r="C26" s="58" t="s">
        <v>204</v>
      </c>
      <c r="D26" s="125"/>
      <c r="E26" s="125"/>
      <c r="F26" s="125">
        <v>37600000</v>
      </c>
      <c r="G26" s="125">
        <v>39100000</v>
      </c>
      <c r="H26" s="125">
        <v>39100000</v>
      </c>
      <c r="I26" s="125"/>
      <c r="J26" s="125">
        <v>46200000</v>
      </c>
      <c r="K26" s="125">
        <v>57600000</v>
      </c>
      <c r="L26" s="125">
        <v>58261000</v>
      </c>
      <c r="M26" s="894">
        <f>M27+M28</f>
        <v>63600000</v>
      </c>
      <c r="N26" s="894">
        <f t="shared" ref="N26:O26" si="12">N27+N28</f>
        <v>66600000</v>
      </c>
      <c r="O26" s="894">
        <f t="shared" si="12"/>
        <v>69500000</v>
      </c>
      <c r="P26" s="894">
        <v>68800000</v>
      </c>
      <c r="Q26" s="894">
        <v>68900000</v>
      </c>
      <c r="R26" s="894">
        <v>74600000</v>
      </c>
      <c r="S26" s="894">
        <v>88300000</v>
      </c>
      <c r="T26" s="894">
        <v>86100000</v>
      </c>
      <c r="U26" s="894">
        <v>85700000</v>
      </c>
      <c r="V26" s="894">
        <v>85200000</v>
      </c>
      <c r="W26" s="28">
        <v>84200000</v>
      </c>
      <c r="X26" s="2">
        <v>83100000</v>
      </c>
      <c r="Y26">
        <v>82000000</v>
      </c>
      <c r="Z26">
        <v>84800000</v>
      </c>
    </row>
    <row r="27" spans="1:26">
      <c r="A27" s="339" t="s">
        <v>53</v>
      </c>
      <c r="B27" s="339" t="s">
        <v>53</v>
      </c>
      <c r="C27" s="34" t="s">
        <v>486</v>
      </c>
      <c r="D27" s="125"/>
      <c r="E27" s="125"/>
      <c r="F27" s="125"/>
      <c r="G27" s="125"/>
      <c r="H27" s="125"/>
      <c r="I27" s="125"/>
      <c r="J27" s="125"/>
      <c r="K27" s="125"/>
      <c r="L27" s="125"/>
      <c r="M27" s="125">
        <v>35300000</v>
      </c>
      <c r="N27" s="125">
        <v>36900000</v>
      </c>
      <c r="O27" s="125">
        <v>40800000</v>
      </c>
      <c r="P27" s="125"/>
      <c r="Q27" s="125"/>
      <c r="R27" s="125"/>
      <c r="S27" s="125"/>
      <c r="T27" s="298"/>
      <c r="U27" s="298"/>
      <c r="V27" s="298"/>
      <c r="W27" s="28"/>
      <c r="X27" s="2"/>
    </row>
    <row r="28" spans="1:26">
      <c r="A28" s="339" t="s">
        <v>806</v>
      </c>
      <c r="B28" s="339" t="s">
        <v>806</v>
      </c>
      <c r="C28" s="34" t="s">
        <v>486</v>
      </c>
      <c r="D28" s="125"/>
      <c r="E28" s="125"/>
      <c r="F28" s="125"/>
      <c r="G28" s="125"/>
      <c r="H28" s="125"/>
      <c r="I28" s="125"/>
      <c r="J28" s="125"/>
      <c r="K28" s="125"/>
      <c r="L28" s="125"/>
      <c r="M28" s="125">
        <v>28300000</v>
      </c>
      <c r="N28" s="125">
        <v>29700000</v>
      </c>
      <c r="O28" s="125">
        <v>28700000</v>
      </c>
      <c r="P28" s="125"/>
      <c r="Q28" s="125"/>
      <c r="R28" s="125"/>
      <c r="S28" s="125"/>
      <c r="T28" s="298"/>
      <c r="U28" s="298"/>
      <c r="V28" s="298"/>
      <c r="W28" s="28"/>
      <c r="X28" s="2"/>
    </row>
    <row r="29" spans="1:26">
      <c r="A29" s="339" t="s">
        <v>2240</v>
      </c>
      <c r="B29" s="339" t="s">
        <v>2241</v>
      </c>
      <c r="C29" s="34" t="s">
        <v>2242</v>
      </c>
      <c r="D29" s="125"/>
      <c r="E29" s="125">
        <v>13400000</v>
      </c>
      <c r="F29" s="125">
        <v>15900000</v>
      </c>
      <c r="G29" s="125"/>
      <c r="H29" s="125"/>
      <c r="I29" s="125"/>
      <c r="J29" s="125"/>
      <c r="K29" s="125"/>
      <c r="L29" s="125"/>
      <c r="M29" s="125">
        <v>22400000</v>
      </c>
      <c r="N29" s="125">
        <v>23300000</v>
      </c>
      <c r="O29" s="125">
        <v>22900000</v>
      </c>
      <c r="P29" s="125"/>
      <c r="Q29" s="125"/>
      <c r="R29" s="125"/>
      <c r="S29" s="125"/>
      <c r="T29" s="298"/>
      <c r="U29" s="298"/>
      <c r="V29" s="298"/>
      <c r="W29" s="28"/>
      <c r="X29" s="2"/>
    </row>
    <row r="30" spans="1:26">
      <c r="A30" s="339" t="s">
        <v>487</v>
      </c>
      <c r="B30" s="339" t="s">
        <v>661</v>
      </c>
      <c r="C30" s="34" t="s">
        <v>486</v>
      </c>
      <c r="D30" s="125"/>
      <c r="E30" s="125">
        <v>27000000</v>
      </c>
      <c r="F30" s="125"/>
      <c r="G30" s="125"/>
      <c r="H30" s="125"/>
      <c r="I30" s="125"/>
      <c r="J30" s="125"/>
      <c r="K30" s="125"/>
      <c r="L30" s="125"/>
      <c r="M30" s="125"/>
      <c r="N30" s="125"/>
      <c r="O30" s="125"/>
      <c r="P30" s="125"/>
      <c r="Q30" s="125"/>
      <c r="R30" s="125"/>
      <c r="S30" s="125"/>
      <c r="T30" s="298"/>
      <c r="U30" s="298"/>
      <c r="V30" s="298"/>
      <c r="W30" s="28"/>
      <c r="X30" s="2"/>
    </row>
    <row r="31" spans="1:26">
      <c r="A31" s="339" t="s">
        <v>2243</v>
      </c>
      <c r="B31" s="339" t="s">
        <v>2244</v>
      </c>
      <c r="C31" s="34" t="s">
        <v>2242</v>
      </c>
      <c r="D31" s="125"/>
      <c r="E31" s="125"/>
      <c r="F31" s="125">
        <v>21600000</v>
      </c>
      <c r="G31" s="125"/>
      <c r="H31" s="125"/>
      <c r="I31" s="125"/>
      <c r="J31" s="125"/>
      <c r="K31" s="125"/>
      <c r="L31" s="125"/>
      <c r="M31" s="125">
        <v>5900000</v>
      </c>
      <c r="N31" s="125">
        <v>6400000</v>
      </c>
      <c r="O31" s="125">
        <v>5800000</v>
      </c>
      <c r="P31" s="125"/>
      <c r="Q31" s="125"/>
      <c r="R31" s="125"/>
      <c r="S31" s="125"/>
      <c r="T31" s="298"/>
      <c r="U31" s="298"/>
      <c r="V31" s="298"/>
      <c r="W31" s="28"/>
      <c r="X31" s="2"/>
    </row>
    <row r="32" spans="1:26">
      <c r="A32" s="28" t="s">
        <v>50</v>
      </c>
      <c r="B32" s="28" t="s">
        <v>2245</v>
      </c>
      <c r="C32" s="58" t="s">
        <v>204</v>
      </c>
      <c r="D32" s="125">
        <f>D20-D21-D22-D23-D26</f>
        <v>78300000</v>
      </c>
      <c r="E32" s="125">
        <f>E20-E21-E22-E23-E26</f>
        <v>40700000</v>
      </c>
      <c r="F32" s="125"/>
      <c r="G32" s="125"/>
      <c r="H32" s="125"/>
      <c r="I32" s="125"/>
      <c r="J32" s="125"/>
      <c r="K32" s="125"/>
      <c r="L32" s="125"/>
      <c r="M32" s="125"/>
      <c r="N32" s="125"/>
      <c r="O32" s="125"/>
      <c r="P32" s="125"/>
      <c r="Q32" s="125"/>
      <c r="R32" s="125"/>
      <c r="S32" s="125"/>
      <c r="T32" s="298"/>
      <c r="U32" s="298"/>
      <c r="V32" s="298"/>
      <c r="W32" s="28"/>
      <c r="X32" s="2"/>
    </row>
    <row r="33" spans="1:26">
      <c r="A33" s="27" t="s">
        <v>244</v>
      </c>
      <c r="B33" s="27" t="s">
        <v>244</v>
      </c>
      <c r="C33" s="58" t="s">
        <v>201</v>
      </c>
      <c r="D33" s="125"/>
      <c r="E33" s="125"/>
      <c r="F33" s="125"/>
      <c r="G33" s="125"/>
      <c r="H33" s="125"/>
      <c r="I33" s="125"/>
      <c r="J33" s="125"/>
      <c r="K33" s="125"/>
      <c r="L33" s="125"/>
      <c r="M33" s="395">
        <v>0</v>
      </c>
      <c r="N33" s="395">
        <v>0</v>
      </c>
      <c r="O33" s="395">
        <v>0</v>
      </c>
      <c r="P33" s="395">
        <v>0</v>
      </c>
      <c r="Q33" s="125">
        <v>0</v>
      </c>
      <c r="R33" s="395">
        <v>0</v>
      </c>
      <c r="S33" s="395">
        <v>0</v>
      </c>
      <c r="T33" s="298">
        <v>0</v>
      </c>
      <c r="U33" s="298">
        <v>0</v>
      </c>
      <c r="V33" s="298">
        <v>0</v>
      </c>
      <c r="W33" s="28">
        <v>0</v>
      </c>
      <c r="X33" s="2">
        <v>0</v>
      </c>
      <c r="Y33">
        <v>0</v>
      </c>
      <c r="Z33">
        <v>0</v>
      </c>
    </row>
    <row r="34" spans="1:26">
      <c r="A34" s="27" t="s">
        <v>1069</v>
      </c>
      <c r="B34" s="27" t="s">
        <v>2246</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8">
        <v>180600000</v>
      </c>
      <c r="U34" s="298">
        <v>162500000</v>
      </c>
      <c r="V34" s="298">
        <v>142500000</v>
      </c>
      <c r="W34" s="28">
        <v>141500000</v>
      </c>
      <c r="X34" s="2">
        <v>140000000</v>
      </c>
      <c r="Y34">
        <v>136300000</v>
      </c>
      <c r="Z34">
        <v>135400000</v>
      </c>
    </row>
    <row r="35" spans="1:26">
      <c r="A35" t="s">
        <v>76</v>
      </c>
      <c r="B35" s="446" t="s">
        <v>2247</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8"/>
      <c r="U35" s="298"/>
      <c r="V35" s="298"/>
      <c r="W35" s="28"/>
      <c r="X35" s="2"/>
    </row>
    <row r="36" spans="1:26">
      <c r="A36" t="s">
        <v>76</v>
      </c>
      <c r="B36" s="446" t="s">
        <v>2248</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8"/>
      <c r="U36" s="298"/>
      <c r="V36" s="298"/>
      <c r="W36" s="28"/>
      <c r="X36" s="2"/>
    </row>
    <row r="37" spans="1:26">
      <c r="A37" t="s">
        <v>76</v>
      </c>
      <c r="B37" s="27" t="s">
        <v>2249</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8">
        <v>13900000</v>
      </c>
      <c r="U37" s="298">
        <v>22600000</v>
      </c>
      <c r="V37" s="298">
        <v>31400000</v>
      </c>
      <c r="W37" s="28">
        <v>35800000</v>
      </c>
      <c r="X37" s="2">
        <v>36500000</v>
      </c>
      <c r="Y37">
        <v>37300000</v>
      </c>
      <c r="Z37">
        <v>38000000</v>
      </c>
    </row>
    <row r="38" spans="1:26">
      <c r="A38" t="s">
        <v>76</v>
      </c>
      <c r="B38" s="27" t="s">
        <v>2250</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8">
        <v>166800000</v>
      </c>
      <c r="U38" s="298">
        <v>140100000</v>
      </c>
      <c r="V38" s="298">
        <v>111300000</v>
      </c>
      <c r="W38" s="28">
        <v>105800000</v>
      </c>
      <c r="X38" s="2">
        <v>103700000</v>
      </c>
      <c r="Y38">
        <v>99200000</v>
      </c>
      <c r="Z38">
        <v>97600000</v>
      </c>
    </row>
    <row r="39" spans="1:26">
      <c r="A39" t="s">
        <v>76</v>
      </c>
      <c r="B39" s="27" t="s">
        <v>468</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8">
        <v>-100000</v>
      </c>
      <c r="U39" s="298">
        <v>-100000</v>
      </c>
      <c r="V39" s="298">
        <v>-100000</v>
      </c>
      <c r="W39" s="28">
        <v>-200000</v>
      </c>
      <c r="X39" s="2">
        <v>-200000</v>
      </c>
      <c r="Y39">
        <v>-200000</v>
      </c>
      <c r="Z39">
        <v>-200000</v>
      </c>
    </row>
    <row r="40" spans="1:26">
      <c r="A40" t="s">
        <v>76</v>
      </c>
      <c r="B40" s="27" t="s">
        <v>810</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8">
        <v>163000000</v>
      </c>
      <c r="U40" s="298">
        <v>166600000</v>
      </c>
      <c r="V40" s="298">
        <v>144000000</v>
      </c>
      <c r="W40" s="28">
        <v>143900000</v>
      </c>
      <c r="X40" s="2">
        <v>144900000</v>
      </c>
      <c r="Y40">
        <v>150300000</v>
      </c>
      <c r="Z40">
        <v>160900000</v>
      </c>
    </row>
    <row r="41" spans="1:26">
      <c r="B41" s="27" t="s">
        <v>2251</v>
      </c>
      <c r="C41" s="34"/>
      <c r="D41" s="125"/>
      <c r="E41" s="125"/>
      <c r="F41" s="125"/>
      <c r="G41" s="125"/>
      <c r="H41" s="125"/>
      <c r="I41" s="125"/>
      <c r="J41" s="125"/>
      <c r="K41" s="125"/>
      <c r="L41" s="125"/>
      <c r="M41" s="125"/>
      <c r="N41" s="125"/>
      <c r="O41" s="125"/>
      <c r="P41" s="125">
        <v>0</v>
      </c>
      <c r="Q41" s="125">
        <v>0</v>
      </c>
      <c r="R41" s="125">
        <v>0</v>
      </c>
      <c r="S41" s="125">
        <v>0</v>
      </c>
      <c r="T41" s="298">
        <v>0</v>
      </c>
      <c r="U41" s="298">
        <v>22600000</v>
      </c>
      <c r="V41" s="298">
        <v>23500000</v>
      </c>
      <c r="W41" s="28">
        <v>24400000</v>
      </c>
      <c r="X41" s="2">
        <v>25300000</v>
      </c>
      <c r="Y41">
        <v>26200000</v>
      </c>
      <c r="Z41">
        <v>27100000</v>
      </c>
    </row>
    <row r="42" spans="1:26">
      <c r="A42" t="s">
        <v>76</v>
      </c>
      <c r="B42" s="27" t="s">
        <v>2252</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8">
        <v>-17600000</v>
      </c>
      <c r="U42" s="298">
        <v>4099999.9999999995</v>
      </c>
      <c r="V42" s="298">
        <v>1500000</v>
      </c>
      <c r="W42" s="28">
        <v>2400000</v>
      </c>
      <c r="X42" s="2">
        <v>4800000</v>
      </c>
      <c r="Y42">
        <v>14000000</v>
      </c>
      <c r="Z42">
        <v>25500000</v>
      </c>
    </row>
    <row r="43" spans="1:26">
      <c r="B43" s="27" t="s">
        <v>2253</v>
      </c>
      <c r="C43" s="34"/>
      <c r="D43" s="125"/>
      <c r="E43" s="125"/>
      <c r="F43" s="125"/>
      <c r="G43" s="125"/>
      <c r="H43" s="125"/>
      <c r="I43" s="125"/>
      <c r="J43" s="125"/>
      <c r="K43" s="125"/>
      <c r="L43" s="125"/>
      <c r="M43" s="125"/>
      <c r="N43" s="125"/>
      <c r="O43" s="125"/>
      <c r="P43" s="125">
        <v>-71900000</v>
      </c>
      <c r="Q43" s="125">
        <v>-39600000</v>
      </c>
      <c r="R43" s="125">
        <v>-66000000</v>
      </c>
      <c r="S43" s="125">
        <v>-13000000</v>
      </c>
      <c r="T43" s="298">
        <v>-17600000</v>
      </c>
      <c r="U43" s="298">
        <v>-18400000</v>
      </c>
      <c r="V43" s="298">
        <v>-22000000</v>
      </c>
      <c r="W43" s="28">
        <v>-22000000</v>
      </c>
      <c r="X43" s="2">
        <v>-20500000</v>
      </c>
      <c r="Y43">
        <v>-12300000</v>
      </c>
      <c r="Z43">
        <v>-1700000</v>
      </c>
    </row>
    <row r="44" spans="1:26" s="848" customFormat="1">
      <c r="A44" s="909" t="s">
        <v>592</v>
      </c>
      <c r="B44" s="1176" t="s">
        <v>2254</v>
      </c>
      <c r="C44" s="1175" t="s">
        <v>35</v>
      </c>
      <c r="D44" s="1159">
        <f t="shared" ref="D44:K44" si="13">D45</f>
        <v>90200000</v>
      </c>
      <c r="E44" s="1159">
        <f t="shared" si="13"/>
        <v>60100000</v>
      </c>
      <c r="F44" s="1159">
        <f t="shared" si="13"/>
        <v>51300000</v>
      </c>
      <c r="G44" s="1159">
        <f t="shared" si="13"/>
        <v>48700000</v>
      </c>
      <c r="H44" s="1159">
        <f t="shared" si="13"/>
        <v>2700000</v>
      </c>
      <c r="I44" s="1159">
        <f>I46+I50+I54</f>
        <v>6700000</v>
      </c>
      <c r="J44" s="1159">
        <f t="shared" si="13"/>
        <v>-14600000</v>
      </c>
      <c r="K44" s="1159">
        <f t="shared" si="13"/>
        <v>-26600000</v>
      </c>
      <c r="L44" s="1159">
        <f>L45</f>
        <v>-21402000.000000004</v>
      </c>
      <c r="M44" s="1159">
        <f>M55+M57+M65</f>
        <v>-9000000</v>
      </c>
      <c r="N44" s="1159">
        <f t="shared" ref="N44:O44" si="14">N55+N57+N65</f>
        <v>4100000</v>
      </c>
      <c r="O44" s="1159">
        <f t="shared" si="14"/>
        <v>45400000</v>
      </c>
      <c r="P44" s="1159">
        <f>P46+P50+P65</f>
        <v>71900000</v>
      </c>
      <c r="Q44" s="1159">
        <f t="shared" ref="Q44:Z44" si="15">Q46+Q50+Q65</f>
        <v>39600000</v>
      </c>
      <c r="R44" s="1159">
        <f t="shared" si="15"/>
        <v>66000000</v>
      </c>
      <c r="S44" s="1159">
        <f t="shared" si="15"/>
        <v>13000000</v>
      </c>
      <c r="T44" s="1159">
        <f t="shared" si="15"/>
        <v>17700000</v>
      </c>
      <c r="U44" s="1159">
        <f t="shared" si="15"/>
        <v>18400000</v>
      </c>
      <c r="V44" s="1159">
        <f t="shared" si="15"/>
        <v>22000000</v>
      </c>
      <c r="W44" s="1159">
        <f t="shared" si="15"/>
        <v>22100000</v>
      </c>
      <c r="X44" s="1159">
        <f t="shared" si="15"/>
        <v>20400000</v>
      </c>
      <c r="Y44" s="1159">
        <f t="shared" si="15"/>
        <v>12300000</v>
      </c>
      <c r="Z44" s="1159">
        <f t="shared" si="15"/>
        <v>1600000</v>
      </c>
    </row>
    <row r="45" spans="1:26">
      <c r="A45" t="s">
        <v>76</v>
      </c>
      <c r="B45" s="27" t="s">
        <v>2255</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c r="Q45" s="125">
        <v>-39600000</v>
      </c>
      <c r="R45" s="125">
        <v>-66000000</v>
      </c>
      <c r="S45" s="125">
        <v>-13000000</v>
      </c>
      <c r="T45" s="298">
        <v>-17600000</v>
      </c>
      <c r="U45" s="298">
        <v>-18400000</v>
      </c>
      <c r="V45" s="298">
        <v>-22000000</v>
      </c>
      <c r="W45" s="28">
        <v>-22000000</v>
      </c>
      <c r="X45" s="2">
        <v>-20500000</v>
      </c>
      <c r="Y45">
        <v>-12300000</v>
      </c>
      <c r="Z45">
        <v>-1700000</v>
      </c>
    </row>
    <row r="46" spans="1:26">
      <c r="A46" s="90" t="s">
        <v>117</v>
      </c>
      <c r="B46" s="27" t="s">
        <v>1567</v>
      </c>
      <c r="C46" s="34" t="s">
        <v>1028</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16">N62</f>
        <v>18100000</v>
      </c>
      <c r="O46" s="21">
        <f t="shared" si="16"/>
        <v>54100000</v>
      </c>
      <c r="P46" s="21">
        <f>P62</f>
        <v>40900000</v>
      </c>
      <c r="Q46" s="21">
        <f t="shared" ref="Q46:Z46" si="17">Q62</f>
        <v>53200000</v>
      </c>
      <c r="R46" s="21">
        <f t="shared" si="17"/>
        <v>-7600000</v>
      </c>
      <c r="S46" s="21">
        <f t="shared" si="17"/>
        <v>1700000</v>
      </c>
      <c r="T46" s="21">
        <f t="shared" si="17"/>
        <v>13000000</v>
      </c>
      <c r="U46" s="21">
        <f t="shared" si="17"/>
        <v>-300000</v>
      </c>
      <c r="V46" s="21">
        <f t="shared" si="17"/>
        <v>200000</v>
      </c>
      <c r="W46" s="21">
        <f t="shared" si="17"/>
        <v>-2100000</v>
      </c>
      <c r="X46" s="21">
        <f t="shared" si="17"/>
        <v>-4600000</v>
      </c>
      <c r="Y46" s="21">
        <f t="shared" si="17"/>
        <v>-12300000</v>
      </c>
      <c r="Z46" s="21">
        <f t="shared" si="17"/>
        <v>-20100000</v>
      </c>
    </row>
    <row r="47" spans="1:26">
      <c r="A47" s="446" t="s">
        <v>415</v>
      </c>
      <c r="B47" s="446" t="s">
        <v>415</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8"/>
      <c r="U47" s="298"/>
      <c r="V47" s="298"/>
      <c r="W47" s="28"/>
      <c r="X47" s="2"/>
    </row>
    <row r="48" spans="1:26">
      <c r="A48" s="446" t="s">
        <v>258</v>
      </c>
      <c r="B48" s="446"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8"/>
      <c r="U48" s="298"/>
      <c r="V48" s="298"/>
      <c r="W48" s="28"/>
      <c r="X48" s="2"/>
    </row>
    <row r="49" spans="1:26">
      <c r="A49" s="446" t="s">
        <v>236</v>
      </c>
      <c r="B49" s="446" t="s">
        <v>2256</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8"/>
      <c r="U49" s="298"/>
      <c r="V49" s="298"/>
      <c r="W49" s="28"/>
      <c r="X49" s="2"/>
    </row>
    <row r="50" spans="1:26">
      <c r="A50" s="90" t="s">
        <v>120</v>
      </c>
      <c r="B50" s="27" t="s">
        <v>2257</v>
      </c>
      <c r="C50" s="34" t="s">
        <v>1028</v>
      </c>
      <c r="D50" s="125">
        <v>2200000</v>
      </c>
      <c r="E50" s="125">
        <v>17400000</v>
      </c>
      <c r="F50" s="125">
        <v>25700000</v>
      </c>
      <c r="G50" s="125">
        <v>3800000</v>
      </c>
      <c r="H50" s="125">
        <v>-44500000</v>
      </c>
      <c r="I50" s="125">
        <v>-8600000</v>
      </c>
      <c r="J50" s="125">
        <v>-23700000</v>
      </c>
      <c r="K50" s="125">
        <v>-15600000</v>
      </c>
      <c r="L50" s="125">
        <v>-7134000</v>
      </c>
      <c r="M50" s="125">
        <f t="shared" ref="M50:O50" si="18">M55+M58</f>
        <v>-53100000</v>
      </c>
      <c r="N50" s="125">
        <f t="shared" si="18"/>
        <v>18500000</v>
      </c>
      <c r="O50" s="125">
        <f t="shared" si="18"/>
        <v>-20300000</v>
      </c>
      <c r="P50" s="125">
        <f>P55+P58</f>
        <v>-83400000</v>
      </c>
      <c r="Q50" s="125">
        <f t="shared" ref="Q50:Y50" si="19">Q55+Q58</f>
        <v>22200000</v>
      </c>
      <c r="R50" s="125">
        <f t="shared" si="19"/>
        <v>4900000</v>
      </c>
      <c r="S50" s="125">
        <f t="shared" si="19"/>
        <v>-200900000</v>
      </c>
      <c r="T50" s="125">
        <f t="shared" si="19"/>
        <v>-99000000</v>
      </c>
      <c r="U50" s="125">
        <f t="shared" si="19"/>
        <v>18700000</v>
      </c>
      <c r="V50" s="125">
        <f t="shared" si="19"/>
        <v>21800000</v>
      </c>
      <c r="W50" s="125">
        <f t="shared" si="19"/>
        <v>24200000</v>
      </c>
      <c r="X50" s="125">
        <f t="shared" si="19"/>
        <v>25000000</v>
      </c>
      <c r="Y50" s="125">
        <f t="shared" si="19"/>
        <v>24600000</v>
      </c>
      <c r="Z50" s="125">
        <f>Z55+Z58</f>
        <v>21700000</v>
      </c>
    </row>
    <row r="51" spans="1:26">
      <c r="A51" s="446" t="s">
        <v>349</v>
      </c>
      <c r="B51" s="446" t="s">
        <v>349</v>
      </c>
      <c r="C51" s="34" t="s">
        <v>2258</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8"/>
      <c r="U51" s="298"/>
      <c r="V51" s="298"/>
      <c r="W51" s="28"/>
      <c r="X51" s="2"/>
    </row>
    <row r="52" spans="1:26">
      <c r="A52" s="446" t="s">
        <v>350</v>
      </c>
      <c r="B52" s="446" t="s">
        <v>350</v>
      </c>
      <c r="C52" s="34" t="s">
        <v>2258</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8"/>
      <c r="U52" s="298"/>
      <c r="V52" s="298"/>
      <c r="W52" s="28"/>
      <c r="X52" s="2"/>
    </row>
    <row r="53" spans="1:26">
      <c r="A53" s="446" t="s">
        <v>50</v>
      </c>
      <c r="B53" s="446" t="s">
        <v>50</v>
      </c>
      <c r="C53" s="34" t="s">
        <v>2258</v>
      </c>
      <c r="D53" s="125"/>
      <c r="E53" s="125">
        <v>0</v>
      </c>
      <c r="F53" s="125">
        <v>0</v>
      </c>
      <c r="G53" s="125">
        <v>0</v>
      </c>
      <c r="H53" s="125">
        <v>4600000</v>
      </c>
      <c r="I53" s="125">
        <v>10200000</v>
      </c>
      <c r="J53" s="125">
        <v>-700000</v>
      </c>
      <c r="K53" s="125">
        <v>-2400000</v>
      </c>
      <c r="L53" s="125"/>
      <c r="M53" s="125"/>
      <c r="N53" s="125"/>
      <c r="O53" s="125"/>
      <c r="P53" s="125"/>
      <c r="Q53" s="125"/>
      <c r="R53" s="125"/>
      <c r="S53" s="125"/>
      <c r="T53" s="298"/>
      <c r="U53" s="298"/>
      <c r="V53" s="298"/>
      <c r="W53" s="28"/>
      <c r="X53" s="2"/>
    </row>
    <row r="54" spans="1:26">
      <c r="A54" s="27" t="s">
        <v>2259</v>
      </c>
      <c r="B54" s="27" t="s">
        <v>521</v>
      </c>
      <c r="C54" s="34" t="s">
        <v>1028</v>
      </c>
      <c r="D54" s="125"/>
      <c r="E54" s="125"/>
      <c r="F54" s="125"/>
      <c r="G54" s="125"/>
      <c r="H54" s="125"/>
      <c r="I54" s="125">
        <v>-10900000</v>
      </c>
      <c r="J54" s="125"/>
      <c r="K54" s="125"/>
      <c r="L54" s="125">
        <v>-3567000</v>
      </c>
      <c r="M54" s="125"/>
      <c r="N54" s="125"/>
      <c r="O54" s="125"/>
      <c r="P54" s="125"/>
      <c r="Q54" s="125"/>
      <c r="R54" s="125"/>
      <c r="S54" s="125"/>
      <c r="T54" s="125"/>
      <c r="U54" s="125"/>
      <c r="V54" s="125"/>
      <c r="W54" s="125"/>
      <c r="X54" s="125"/>
      <c r="Y54" s="125"/>
      <c r="Z54" s="125"/>
    </row>
    <row r="55" spans="1:26">
      <c r="B55" s="27" t="s">
        <v>2260</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8">
        <v>-103700000</v>
      </c>
      <c r="U55" s="298">
        <v>18800000</v>
      </c>
      <c r="V55" s="298">
        <v>21700000</v>
      </c>
      <c r="W55" s="28">
        <v>24900000</v>
      </c>
      <c r="X55" s="2">
        <v>26700000</v>
      </c>
      <c r="Y55">
        <v>29000000</v>
      </c>
      <c r="Z55">
        <v>28900000</v>
      </c>
    </row>
    <row r="56" spans="1:26">
      <c r="B56" s="27" t="s">
        <v>2261</v>
      </c>
      <c r="C56" s="34"/>
      <c r="D56" s="125"/>
      <c r="E56" s="125"/>
      <c r="F56" s="125"/>
      <c r="G56" s="125"/>
      <c r="H56" s="125"/>
      <c r="I56" s="125"/>
      <c r="J56" s="125"/>
      <c r="K56" s="125"/>
      <c r="L56" s="125"/>
      <c r="M56" s="125">
        <v>-47600000</v>
      </c>
      <c r="N56" s="125">
        <v>17690000</v>
      </c>
      <c r="O56" s="125">
        <v>-17100000</v>
      </c>
      <c r="P56" s="125">
        <v>-67500000</v>
      </c>
      <c r="Q56" s="125">
        <v>16700000</v>
      </c>
      <c r="R56" s="125">
        <v>-18200000</v>
      </c>
      <c r="S56" s="125">
        <v>-196200000</v>
      </c>
      <c r="T56" s="298">
        <v>-103700000</v>
      </c>
      <c r="U56" s="298">
        <v>18800000</v>
      </c>
      <c r="V56" s="298">
        <v>21700000</v>
      </c>
      <c r="W56" s="28">
        <v>24900000</v>
      </c>
      <c r="X56" s="2">
        <v>26700000</v>
      </c>
      <c r="Y56">
        <v>29000000</v>
      </c>
      <c r="Z56">
        <v>28900000</v>
      </c>
    </row>
    <row r="57" spans="1:26">
      <c r="B57" s="27" t="s">
        <v>2262</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8">
        <v>17600000</v>
      </c>
      <c r="U57" s="298">
        <v>-400000</v>
      </c>
      <c r="V57" s="298">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8">
        <v>4700000</v>
      </c>
      <c r="U58" s="298">
        <v>-100000</v>
      </c>
      <c r="V58" s="298">
        <v>100000</v>
      </c>
      <c r="W58" s="28">
        <v>-700000</v>
      </c>
      <c r="X58" s="2">
        <v>-1700000</v>
      </c>
      <c r="Y58">
        <v>-4400000</v>
      </c>
      <c r="Z58">
        <v>-7200000</v>
      </c>
    </row>
    <row r="59" spans="1:26">
      <c r="B59" s="27" t="s">
        <v>2263</v>
      </c>
      <c r="C59" s="34"/>
      <c r="D59" s="125"/>
      <c r="E59" s="125"/>
      <c r="F59" s="125"/>
      <c r="G59" s="125"/>
      <c r="H59" s="125"/>
      <c r="I59" s="125"/>
      <c r="J59" s="125"/>
      <c r="K59" s="125"/>
      <c r="L59" s="125"/>
      <c r="M59" s="125">
        <v>-3900000</v>
      </c>
      <c r="N59" s="125">
        <v>-600000</v>
      </c>
      <c r="O59" s="125">
        <v>-9700000</v>
      </c>
      <c r="P59" s="125"/>
      <c r="Q59" s="125"/>
      <c r="R59" s="125"/>
      <c r="S59" s="125"/>
      <c r="T59" s="298"/>
      <c r="U59" s="298"/>
      <c r="V59" s="298"/>
      <c r="W59" s="28"/>
      <c r="X59" s="2"/>
    </row>
    <row r="60" spans="1:26">
      <c r="B60" s="27" t="s">
        <v>444</v>
      </c>
      <c r="C60" s="34"/>
      <c r="D60" s="125"/>
      <c r="E60" s="125"/>
      <c r="F60" s="125"/>
      <c r="G60" s="125"/>
      <c r="H60" s="125"/>
      <c r="I60" s="125"/>
      <c r="J60" s="125"/>
      <c r="K60" s="125"/>
      <c r="L60" s="125"/>
      <c r="M60" s="125">
        <v>-1600000</v>
      </c>
      <c r="N60" s="125">
        <v>-1700000</v>
      </c>
      <c r="O60" s="125">
        <v>3200000</v>
      </c>
      <c r="P60" s="125"/>
      <c r="Q60" s="125"/>
      <c r="R60" s="125"/>
      <c r="S60" s="125"/>
      <c r="T60" s="298"/>
      <c r="U60" s="298"/>
      <c r="V60" s="298"/>
      <c r="W60" s="28"/>
      <c r="X60" s="2"/>
    </row>
    <row r="61" spans="1:26">
      <c r="B61" s="27" t="s">
        <v>2264</v>
      </c>
      <c r="C61" s="34"/>
      <c r="D61" s="125"/>
      <c r="E61" s="125"/>
      <c r="F61" s="125"/>
      <c r="G61" s="125"/>
      <c r="H61" s="125"/>
      <c r="I61" s="125"/>
      <c r="J61" s="125"/>
      <c r="K61" s="125"/>
      <c r="L61" s="125"/>
      <c r="M61" s="125">
        <v>0</v>
      </c>
      <c r="N61" s="125">
        <v>3200000</v>
      </c>
      <c r="O61" s="125">
        <v>3300000</v>
      </c>
      <c r="P61" s="125"/>
      <c r="Q61" s="125"/>
      <c r="R61" s="125"/>
      <c r="S61" s="125"/>
      <c r="T61" s="298"/>
      <c r="U61" s="298"/>
      <c r="V61" s="298"/>
      <c r="W61" s="28"/>
      <c r="X61" s="2"/>
    </row>
    <row r="62" spans="1:26">
      <c r="B62" s="27" t="s">
        <v>2265</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8">
        <v>13000000</v>
      </c>
      <c r="U62" s="298">
        <v>-300000</v>
      </c>
      <c r="V62" s="298">
        <v>200000</v>
      </c>
      <c r="W62" s="28">
        <v>-2100000</v>
      </c>
      <c r="X62" s="2">
        <v>-4600000</v>
      </c>
      <c r="Y62">
        <v>-12300000</v>
      </c>
      <c r="Z62">
        <v>-20100000</v>
      </c>
    </row>
    <row r="63" spans="1:26">
      <c r="B63" s="27" t="s">
        <v>2263</v>
      </c>
      <c r="C63" s="34"/>
      <c r="D63" s="125"/>
      <c r="E63" s="125"/>
      <c r="F63" s="125"/>
      <c r="G63" s="125"/>
      <c r="H63" s="125"/>
      <c r="I63" s="125"/>
      <c r="J63" s="125"/>
      <c r="K63" s="125"/>
      <c r="L63" s="125"/>
      <c r="M63" s="125">
        <v>0</v>
      </c>
      <c r="N63" s="125">
        <v>100000</v>
      </c>
      <c r="O63" s="125">
        <v>-1100000</v>
      </c>
      <c r="P63" s="125"/>
      <c r="Q63" s="125"/>
      <c r="R63" s="125"/>
      <c r="S63" s="125"/>
      <c r="T63" s="298"/>
      <c r="U63" s="298"/>
      <c r="V63" s="298"/>
      <c r="W63" s="28"/>
      <c r="X63" s="2"/>
    </row>
    <row r="64" spans="1:26">
      <c r="B64" s="27" t="s">
        <v>444</v>
      </c>
      <c r="C64" s="34"/>
      <c r="D64" s="125"/>
      <c r="E64" s="125"/>
      <c r="F64" s="125"/>
      <c r="G64" s="125"/>
      <c r="H64" s="125"/>
      <c r="I64" s="125"/>
      <c r="J64" s="125"/>
      <c r="K64" s="125"/>
      <c r="L64" s="125"/>
      <c r="M64" s="125">
        <v>-12600000</v>
      </c>
      <c r="N64" s="125">
        <v>18000000</v>
      </c>
      <c r="O64" s="125">
        <v>55200000</v>
      </c>
      <c r="P64" s="125">
        <f>P65*1000000</f>
        <v>114400000000000</v>
      </c>
      <c r="Q64" s="125">
        <f t="shared" ref="Q64:Z64" si="20">Q65*1000000</f>
        <v>-35800000000000</v>
      </c>
      <c r="R64" s="125">
        <f t="shared" si="20"/>
        <v>68700000000000</v>
      </c>
      <c r="S64" s="125">
        <f t="shared" si="20"/>
        <v>212200000000000</v>
      </c>
      <c r="T64" s="125">
        <f t="shared" si="20"/>
        <v>103700000000000</v>
      </c>
      <c r="U64" s="125">
        <f t="shared" si="20"/>
        <v>0</v>
      </c>
      <c r="V64" s="125">
        <f t="shared" si="20"/>
        <v>0</v>
      </c>
      <c r="W64" s="125">
        <f t="shared" si="20"/>
        <v>0</v>
      </c>
      <c r="X64" s="125">
        <f t="shared" si="20"/>
        <v>0</v>
      </c>
      <c r="Y64" s="125">
        <f t="shared" si="20"/>
        <v>0</v>
      </c>
      <c r="Z64" s="125">
        <f t="shared" si="20"/>
        <v>0</v>
      </c>
    </row>
    <row r="65" spans="1:27">
      <c r="A65" s="27" t="s">
        <v>7221</v>
      </c>
      <c r="B65" s="27" t="s">
        <v>7221</v>
      </c>
      <c r="C65" s="34" t="s">
        <v>1028</v>
      </c>
      <c r="D65" s="125"/>
      <c r="E65" s="125"/>
      <c r="F65" s="125"/>
      <c r="G65" s="125"/>
      <c r="H65" s="125"/>
      <c r="I65" s="125"/>
      <c r="J65" s="125"/>
      <c r="K65" s="125"/>
      <c r="L65" s="125"/>
      <c r="M65" s="125">
        <v>56700000</v>
      </c>
      <c r="N65" s="125">
        <v>-32600000</v>
      </c>
      <c r="O65" s="125">
        <v>11600000</v>
      </c>
      <c r="P65" s="13">
        <v>114400000</v>
      </c>
      <c r="Q65" s="13">
        <v>-35800000</v>
      </c>
      <c r="R65" s="125">
        <v>68700000</v>
      </c>
      <c r="S65" s="125">
        <v>212200000</v>
      </c>
      <c r="T65" s="125">
        <v>103700000</v>
      </c>
      <c r="U65" s="298">
        <v>0</v>
      </c>
      <c r="V65" s="298">
        <v>0</v>
      </c>
      <c r="W65" s="298">
        <v>0</v>
      </c>
      <c r="X65" s="28">
        <v>0</v>
      </c>
      <c r="Y65" s="2">
        <v>0</v>
      </c>
      <c r="Z65" s="2632">
        <v>0</v>
      </c>
    </row>
    <row r="66" spans="1:27">
      <c r="B66" s="27"/>
      <c r="C66" s="34"/>
      <c r="W66" s="28"/>
      <c r="X66" s="2"/>
    </row>
    <row r="67" spans="1: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1:27">
      <c r="B68" s="27"/>
      <c r="C68" s="34"/>
      <c r="W68" s="28"/>
      <c r="X68" s="2"/>
    </row>
    <row r="69" spans="1:27">
      <c r="B69" t="s">
        <v>2266</v>
      </c>
      <c r="C69" s="34"/>
      <c r="D69" s="21">
        <f>D6-D13-D7</f>
        <v>0</v>
      </c>
      <c r="E69" s="21">
        <f>E6-E13-E7</f>
        <v>0</v>
      </c>
      <c r="F69" s="21">
        <f t="shared" ref="F69:V69" si="21">F6-F13-F7</f>
        <v>0</v>
      </c>
      <c r="G69" s="21">
        <f t="shared" si="21"/>
        <v>0</v>
      </c>
      <c r="H69" s="21">
        <f t="shared" si="21"/>
        <v>0</v>
      </c>
      <c r="I69" s="21">
        <f t="shared" si="21"/>
        <v>0</v>
      </c>
      <c r="J69" s="21">
        <f t="shared" si="21"/>
        <v>0</v>
      </c>
      <c r="K69" s="21">
        <f>K6-K13-K7</f>
        <v>0</v>
      </c>
      <c r="L69" s="21">
        <f t="shared" si="21"/>
        <v>0</v>
      </c>
      <c r="M69" s="21">
        <f t="shared" si="21"/>
        <v>0</v>
      </c>
      <c r="N69" s="21">
        <f t="shared" si="21"/>
        <v>0</v>
      </c>
      <c r="O69" s="21">
        <f t="shared" si="21"/>
        <v>0</v>
      </c>
      <c r="P69" s="21">
        <f t="shared" si="21"/>
        <v>0</v>
      </c>
      <c r="Q69" s="21">
        <f t="shared" si="21"/>
        <v>0</v>
      </c>
      <c r="R69" s="21">
        <f t="shared" si="21"/>
        <v>0</v>
      </c>
      <c r="S69" s="21">
        <f t="shared" si="21"/>
        <v>0</v>
      </c>
      <c r="T69" s="21">
        <f t="shared" si="21"/>
        <v>0</v>
      </c>
      <c r="U69" s="21">
        <f>U6-U13-U7</f>
        <v>0</v>
      </c>
      <c r="V69" s="21">
        <f t="shared" si="21"/>
        <v>0</v>
      </c>
      <c r="W69" s="21">
        <f t="shared" ref="W69:Z69" si="22">W6-W13-W7</f>
        <v>0</v>
      </c>
      <c r="X69" s="21">
        <f t="shared" si="22"/>
        <v>0</v>
      </c>
      <c r="Y69" s="21">
        <f t="shared" si="22"/>
        <v>0</v>
      </c>
      <c r="Z69" s="21">
        <f t="shared" si="22"/>
        <v>0</v>
      </c>
    </row>
    <row r="70" spans="1:27">
      <c r="B70" t="s">
        <v>450</v>
      </c>
      <c r="C70" s="34"/>
      <c r="D70" s="131">
        <f>D7-D8-D14</f>
        <v>211400000</v>
      </c>
      <c r="E70" s="21">
        <f>E7-E8-E14</f>
        <v>0</v>
      </c>
      <c r="F70" s="21">
        <f t="shared" ref="F70:V70" si="23">F7-F8-F14</f>
        <v>0</v>
      </c>
      <c r="G70" s="21">
        <f t="shared" si="23"/>
        <v>100000</v>
      </c>
      <c r="H70" s="21">
        <f t="shared" si="23"/>
        <v>100000</v>
      </c>
      <c r="I70" s="21">
        <f t="shared" si="23"/>
        <v>0</v>
      </c>
      <c r="J70" s="21">
        <f t="shared" si="23"/>
        <v>0</v>
      </c>
      <c r="K70" s="21">
        <f t="shared" si="23"/>
        <v>2.9802322387695313E-8</v>
      </c>
      <c r="L70" s="21">
        <f>L7-L8-L14</f>
        <v>0</v>
      </c>
      <c r="M70" s="21">
        <f t="shared" si="23"/>
        <v>0</v>
      </c>
      <c r="N70" s="21">
        <f t="shared" si="23"/>
        <v>0</v>
      </c>
      <c r="O70" s="21">
        <f t="shared" si="23"/>
        <v>0</v>
      </c>
      <c r="P70" s="21">
        <f t="shared" si="23"/>
        <v>-100000</v>
      </c>
      <c r="Q70" s="21">
        <f t="shared" si="23"/>
        <v>100000</v>
      </c>
      <c r="R70" s="21">
        <f t="shared" si="23"/>
        <v>0</v>
      </c>
      <c r="S70" s="21">
        <f t="shared" si="23"/>
        <v>0</v>
      </c>
      <c r="T70" s="21">
        <f t="shared" si="23"/>
        <v>0</v>
      </c>
      <c r="U70" s="21">
        <f t="shared" si="23"/>
        <v>0</v>
      </c>
      <c r="V70" s="21">
        <f t="shared" si="23"/>
        <v>0</v>
      </c>
      <c r="W70" s="21">
        <f t="shared" ref="W70:Z70" si="24">W7-W8-W14</f>
        <v>100000</v>
      </c>
      <c r="X70" s="21">
        <f t="shared" si="24"/>
        <v>100000</v>
      </c>
      <c r="Y70" s="21">
        <f t="shared" si="24"/>
        <v>-100000</v>
      </c>
      <c r="Z70" s="21">
        <f t="shared" si="24"/>
        <v>0</v>
      </c>
    </row>
    <row r="71" spans="1:27">
      <c r="B71" t="s">
        <v>451</v>
      </c>
      <c r="D71" s="21">
        <f>D8-D9-D10-D11-D12</f>
        <v>0</v>
      </c>
      <c r="E71" s="21">
        <f>E8-E9-E10-E11-E12</f>
        <v>0</v>
      </c>
      <c r="F71" s="21">
        <f>F8-F9-F10-F11-F12</f>
        <v>0</v>
      </c>
      <c r="G71" s="131">
        <f t="shared" ref="G71:V71" si="25">G8-G9-G10-G11-G12</f>
        <v>167900000</v>
      </c>
      <c r="H71" s="131">
        <f t="shared" si="25"/>
        <v>193600000</v>
      </c>
      <c r="I71" s="131">
        <f>I8-I9-I10-I11-I12</f>
        <v>213300000</v>
      </c>
      <c r="J71" s="21">
        <f t="shared" si="25"/>
        <v>100000</v>
      </c>
      <c r="K71" s="21">
        <f t="shared" si="25"/>
        <v>0</v>
      </c>
      <c r="L71" s="21">
        <f t="shared" si="25"/>
        <v>0</v>
      </c>
      <c r="M71" s="21">
        <f t="shared" si="25"/>
        <v>-100000</v>
      </c>
      <c r="N71" s="21">
        <f t="shared" si="25"/>
        <v>0</v>
      </c>
      <c r="O71" s="21">
        <f t="shared" si="25"/>
        <v>0</v>
      </c>
      <c r="P71" s="21">
        <f t="shared" si="25"/>
        <v>100000</v>
      </c>
      <c r="Q71" s="21">
        <f t="shared" si="25"/>
        <v>-100000</v>
      </c>
      <c r="R71" s="21">
        <f t="shared" si="25"/>
        <v>0</v>
      </c>
      <c r="S71" s="21">
        <f>S8-S9-S10-S11-S12</f>
        <v>100000</v>
      </c>
      <c r="T71" s="21">
        <f t="shared" si="25"/>
        <v>-100000</v>
      </c>
      <c r="U71" s="21">
        <f t="shared" si="25"/>
        <v>0</v>
      </c>
      <c r="V71" s="21">
        <f t="shared" si="25"/>
        <v>0</v>
      </c>
      <c r="W71" s="21">
        <f t="shared" ref="W71:Z71" si="26">W8-W9-W10-W11-W12</f>
        <v>0</v>
      </c>
      <c r="X71" s="21">
        <f t="shared" si="26"/>
        <v>0</v>
      </c>
      <c r="Y71" s="21">
        <f t="shared" si="26"/>
        <v>0</v>
      </c>
      <c r="Z71" s="21">
        <f t="shared" si="26"/>
        <v>-100000</v>
      </c>
    </row>
    <row r="72" spans="1:27">
      <c r="B72" t="s">
        <v>1761</v>
      </c>
      <c r="D72" s="21">
        <f>D14-D15-D16-D17</f>
        <v>0</v>
      </c>
      <c r="E72" s="131">
        <f t="shared" ref="E72:V72" si="27">E14-E15-E16-E17</f>
        <v>31300000</v>
      </c>
      <c r="F72" s="131">
        <f t="shared" si="27"/>
        <v>36800000</v>
      </c>
      <c r="G72" s="131">
        <f t="shared" si="27"/>
        <v>23900000</v>
      </c>
      <c r="H72" s="131">
        <f t="shared" si="27"/>
        <v>28100000</v>
      </c>
      <c r="I72" s="131">
        <f t="shared" si="27"/>
        <v>32400000</v>
      </c>
      <c r="J72" s="131">
        <f t="shared" si="27"/>
        <v>23700000</v>
      </c>
      <c r="K72" s="131">
        <f t="shared" si="27"/>
        <v>27400000</v>
      </c>
      <c r="L72" s="131">
        <f>L14-L15-L16-L17</f>
        <v>27347000</v>
      </c>
      <c r="M72" s="21">
        <f t="shared" si="27"/>
        <v>0</v>
      </c>
      <c r="N72" s="21">
        <f t="shared" si="27"/>
        <v>0</v>
      </c>
      <c r="O72" s="21">
        <f t="shared" si="27"/>
        <v>10000</v>
      </c>
      <c r="P72" s="21">
        <f t="shared" si="27"/>
        <v>0</v>
      </c>
      <c r="Q72" s="21">
        <f t="shared" si="27"/>
        <v>0</v>
      </c>
      <c r="R72" s="21">
        <f t="shared" si="27"/>
        <v>0</v>
      </c>
      <c r="S72" s="21">
        <f t="shared" si="27"/>
        <v>100000</v>
      </c>
      <c r="T72" s="21">
        <f t="shared" si="27"/>
        <v>0</v>
      </c>
      <c r="U72" s="21">
        <f t="shared" si="27"/>
        <v>0</v>
      </c>
      <c r="V72" s="21">
        <f t="shared" si="27"/>
        <v>0</v>
      </c>
      <c r="W72" s="21">
        <f t="shared" ref="W72:Z72" si="28">W14-W15-W16-W17</f>
        <v>0</v>
      </c>
      <c r="X72" s="21">
        <f t="shared" si="28"/>
        <v>-100000</v>
      </c>
      <c r="Y72" s="21">
        <f t="shared" si="28"/>
        <v>0</v>
      </c>
      <c r="Z72" s="21">
        <f t="shared" si="28"/>
        <v>0</v>
      </c>
    </row>
    <row r="73" spans="1:27">
      <c r="B73" t="s">
        <v>2267</v>
      </c>
      <c r="D73" s="21">
        <f>D18-D20-D33-D34</f>
        <v>-100000</v>
      </c>
      <c r="E73" s="21">
        <f t="shared" ref="E73:V73" si="29">E18-E20-E33-E34</f>
        <v>0</v>
      </c>
      <c r="F73" s="21">
        <f t="shared" si="29"/>
        <v>0</v>
      </c>
      <c r="G73" s="21">
        <f t="shared" si="29"/>
        <v>0</v>
      </c>
      <c r="H73" s="21">
        <f t="shared" si="29"/>
        <v>0</v>
      </c>
      <c r="I73" s="21">
        <f>I18-I20-I33-I34</f>
        <v>0</v>
      </c>
      <c r="J73" s="21">
        <f t="shared" si="29"/>
        <v>-100000</v>
      </c>
      <c r="K73" s="21">
        <f t="shared" si="29"/>
        <v>0</v>
      </c>
      <c r="L73" s="21">
        <f t="shared" si="29"/>
        <v>0</v>
      </c>
      <c r="M73" s="21">
        <f t="shared" si="29"/>
        <v>0</v>
      </c>
      <c r="N73" s="21">
        <f t="shared" si="29"/>
        <v>0</v>
      </c>
      <c r="O73" s="21">
        <f t="shared" si="29"/>
        <v>0</v>
      </c>
      <c r="P73" s="21">
        <f t="shared" si="29"/>
        <v>0</v>
      </c>
      <c r="Q73" s="21">
        <f t="shared" si="29"/>
        <v>0</v>
      </c>
      <c r="R73" s="21">
        <f t="shared" si="29"/>
        <v>0</v>
      </c>
      <c r="S73" s="21">
        <f t="shared" si="29"/>
        <v>0</v>
      </c>
      <c r="T73" s="21">
        <f t="shared" si="29"/>
        <v>0</v>
      </c>
      <c r="U73" s="21">
        <f t="shared" si="29"/>
        <v>0</v>
      </c>
      <c r="V73" s="21">
        <f t="shared" si="29"/>
        <v>100000</v>
      </c>
      <c r="W73" s="21">
        <f t="shared" ref="W73:Z73" si="30">W18-W20-W33-W34</f>
        <v>0</v>
      </c>
      <c r="X73" s="21">
        <f t="shared" si="30"/>
        <v>100000</v>
      </c>
      <c r="Y73" s="21">
        <f t="shared" si="30"/>
        <v>0</v>
      </c>
      <c r="Z73" s="21">
        <f t="shared" si="30"/>
        <v>100000</v>
      </c>
    </row>
    <row r="74" spans="1:27">
      <c r="B74" t="s">
        <v>826</v>
      </c>
      <c r="D74" s="21">
        <f>D20-D21-D22-D23-D26-D32</f>
        <v>0</v>
      </c>
      <c r="E74" s="21">
        <f>E20-E21-E22-E23-E26-E32</f>
        <v>0</v>
      </c>
      <c r="F74" s="21">
        <f t="shared" ref="F74:V74" si="31">F20-F21-F22-F23-F26-F32</f>
        <v>0</v>
      </c>
      <c r="G74" s="21">
        <f t="shared" si="31"/>
        <v>100000</v>
      </c>
      <c r="H74" s="21">
        <f t="shared" si="31"/>
        <v>0</v>
      </c>
      <c r="I74" s="21">
        <f>I20-I21-I22-I23-I26-I32</f>
        <v>0</v>
      </c>
      <c r="J74" s="21">
        <f t="shared" si="31"/>
        <v>0</v>
      </c>
      <c r="K74" s="21">
        <f t="shared" si="31"/>
        <v>0</v>
      </c>
      <c r="L74" s="21">
        <f t="shared" si="31"/>
        <v>0</v>
      </c>
      <c r="M74" s="21">
        <f>M20-M21-M22-M23-M26-M32</f>
        <v>0</v>
      </c>
      <c r="N74" s="21">
        <f t="shared" si="31"/>
        <v>0</v>
      </c>
      <c r="O74" s="21">
        <f t="shared" si="31"/>
        <v>0</v>
      </c>
      <c r="P74" s="21">
        <f t="shared" si="31"/>
        <v>0</v>
      </c>
      <c r="Q74" s="21">
        <f t="shared" si="31"/>
        <v>0</v>
      </c>
      <c r="R74" s="21">
        <f t="shared" si="31"/>
        <v>0</v>
      </c>
      <c r="S74" s="21">
        <f t="shared" si="31"/>
        <v>0</v>
      </c>
      <c r="T74" s="21">
        <f t="shared" si="31"/>
        <v>0</v>
      </c>
      <c r="U74" s="21">
        <f t="shared" si="31"/>
        <v>0</v>
      </c>
      <c r="V74" s="21">
        <f t="shared" si="31"/>
        <v>0</v>
      </c>
      <c r="W74" s="21">
        <f t="shared" ref="W74:Z74" si="32">W20-W21-W22-W23-W26-W32</f>
        <v>0</v>
      </c>
      <c r="X74" s="21">
        <f t="shared" si="32"/>
        <v>0</v>
      </c>
      <c r="Y74" s="21">
        <f t="shared" si="32"/>
        <v>0</v>
      </c>
      <c r="Z74" s="21">
        <f t="shared" si="32"/>
        <v>0</v>
      </c>
    </row>
    <row r="75" spans="1:27">
      <c r="B75" t="s">
        <v>291</v>
      </c>
      <c r="D75" s="21">
        <f t="shared" ref="D75:V75" si="33">D23-D24-D25</f>
        <v>-100000</v>
      </c>
      <c r="E75" s="21">
        <f t="shared" si="33"/>
        <v>100000</v>
      </c>
      <c r="F75" s="21">
        <f t="shared" si="33"/>
        <v>100000</v>
      </c>
      <c r="G75" s="21">
        <f t="shared" si="33"/>
        <v>0</v>
      </c>
      <c r="H75" s="21">
        <f t="shared" si="33"/>
        <v>0</v>
      </c>
      <c r="I75" s="21">
        <f t="shared" si="33"/>
        <v>0</v>
      </c>
      <c r="J75" s="21">
        <f t="shared" si="33"/>
        <v>0</v>
      </c>
      <c r="K75" s="21">
        <f t="shared" si="33"/>
        <v>100000</v>
      </c>
      <c r="L75" s="131">
        <f t="shared" si="33"/>
        <v>22591000</v>
      </c>
      <c r="M75" s="131">
        <f t="shared" si="33"/>
        <v>21900000</v>
      </c>
      <c r="N75" s="131">
        <f t="shared" si="33"/>
        <v>17800000</v>
      </c>
      <c r="O75" s="131">
        <f t="shared" si="33"/>
        <v>20600000</v>
      </c>
      <c r="P75" s="131">
        <f t="shared" si="33"/>
        <v>26600000</v>
      </c>
      <c r="Q75" s="131">
        <f t="shared" si="33"/>
        <v>28100000</v>
      </c>
      <c r="R75" s="131">
        <f t="shared" si="33"/>
        <v>22800000</v>
      </c>
      <c r="S75" s="131">
        <f t="shared" si="33"/>
        <v>28400000</v>
      </c>
      <c r="T75" s="131">
        <f t="shared" si="33"/>
        <v>29400000</v>
      </c>
      <c r="U75" s="131">
        <f t="shared" si="33"/>
        <v>30400000</v>
      </c>
      <c r="V75" s="131">
        <f t="shared" si="33"/>
        <v>30400000</v>
      </c>
      <c r="W75" s="131">
        <f t="shared" ref="W75:Z75" si="34">W23-W24-W25</f>
        <v>31200000</v>
      </c>
      <c r="X75" s="131">
        <f t="shared" si="34"/>
        <v>31300000</v>
      </c>
      <c r="Y75" s="131">
        <f t="shared" si="34"/>
        <v>32600000</v>
      </c>
      <c r="Z75" s="131">
        <f t="shared" si="34"/>
        <v>32100000</v>
      </c>
    </row>
    <row r="76" spans="1:27">
      <c r="B76" t="s">
        <v>457</v>
      </c>
      <c r="D76" s="21">
        <f t="shared" ref="D76:U76" si="35">D44-D46-D50-D54</f>
        <v>0</v>
      </c>
      <c r="E76" s="21">
        <f t="shared" si="35"/>
        <v>0</v>
      </c>
      <c r="F76" s="21">
        <f t="shared" si="35"/>
        <v>0</v>
      </c>
      <c r="G76" s="21">
        <f t="shared" si="35"/>
        <v>0</v>
      </c>
      <c r="H76" s="21">
        <f t="shared" si="35"/>
        <v>-100000</v>
      </c>
      <c r="I76" s="21">
        <f>I44-I46-I50-I54</f>
        <v>0</v>
      </c>
      <c r="J76" s="21">
        <f t="shared" si="35"/>
        <v>0</v>
      </c>
      <c r="K76" s="21">
        <f t="shared" si="35"/>
        <v>-200000</v>
      </c>
      <c r="L76" s="21">
        <f t="shared" si="35"/>
        <v>0</v>
      </c>
      <c r="M76" s="21">
        <f t="shared" si="35"/>
        <v>56700000</v>
      </c>
      <c r="N76" s="21">
        <f t="shared" si="35"/>
        <v>-32500000</v>
      </c>
      <c r="O76" s="21">
        <f t="shared" si="35"/>
        <v>11600000</v>
      </c>
      <c r="P76" s="21">
        <f t="shared" si="35"/>
        <v>114400000</v>
      </c>
      <c r="Q76" s="21">
        <f>Q44-Q46-Q50-Q54</f>
        <v>-35800000</v>
      </c>
      <c r="R76" s="21">
        <f t="shared" si="35"/>
        <v>68700000</v>
      </c>
      <c r="S76" s="21">
        <f t="shared" si="35"/>
        <v>212200000</v>
      </c>
      <c r="T76" s="21">
        <f t="shared" si="35"/>
        <v>103700000</v>
      </c>
      <c r="U76" s="21">
        <f t="shared" si="35"/>
        <v>0</v>
      </c>
      <c r="V76" s="21">
        <f>V44-V46-V50-V54</f>
        <v>0</v>
      </c>
      <c r="W76" s="21">
        <f t="shared" ref="W76:Z76" si="36">W44-W46-W50-W54</f>
        <v>0</v>
      </c>
      <c r="X76" s="21">
        <f t="shared" si="36"/>
        <v>0</v>
      </c>
      <c r="Y76" s="21">
        <f t="shared" si="36"/>
        <v>0</v>
      </c>
      <c r="Z76" s="21">
        <f t="shared" si="36"/>
        <v>0</v>
      </c>
    </row>
    <row r="77" spans="1:27">
      <c r="B77" t="s">
        <v>1363</v>
      </c>
      <c r="D77" s="131">
        <f>D46-D47-D48-D49</f>
        <v>88000000</v>
      </c>
      <c r="E77" s="131">
        <f t="shared" ref="E77:U77" si="37">E46-E47-E48-E49</f>
        <v>42700000</v>
      </c>
      <c r="F77" s="131">
        <f>F46-F47-F48-F49</f>
        <v>25600000</v>
      </c>
      <c r="G77" s="21">
        <f t="shared" si="37"/>
        <v>-100000</v>
      </c>
      <c r="H77" s="21">
        <f t="shared" si="37"/>
        <v>0</v>
      </c>
      <c r="I77" s="21">
        <f t="shared" si="37"/>
        <v>0</v>
      </c>
      <c r="J77" s="21">
        <f t="shared" si="37"/>
        <v>0</v>
      </c>
      <c r="K77" s="21">
        <f t="shared" si="37"/>
        <v>0</v>
      </c>
      <c r="L77" s="131">
        <f t="shared" si="37"/>
        <v>-10701000.000000002</v>
      </c>
      <c r="M77" s="131">
        <f t="shared" si="37"/>
        <v>-12600000</v>
      </c>
      <c r="N77" s="131">
        <f t="shared" si="37"/>
        <v>18100000</v>
      </c>
      <c r="O77" s="131">
        <f t="shared" si="37"/>
        <v>54100000</v>
      </c>
      <c r="P77" s="131">
        <f t="shared" si="37"/>
        <v>40900000</v>
      </c>
      <c r="Q77" s="131">
        <f t="shared" si="37"/>
        <v>53200000</v>
      </c>
      <c r="R77" s="131">
        <f t="shared" si="37"/>
        <v>-7600000</v>
      </c>
      <c r="S77" s="131">
        <f t="shared" si="37"/>
        <v>1700000</v>
      </c>
      <c r="T77" s="131">
        <f t="shared" si="37"/>
        <v>13000000</v>
      </c>
      <c r="U77" s="131">
        <f t="shared" si="37"/>
        <v>-300000</v>
      </c>
      <c r="V77" s="131">
        <f>V46-V47-V48-V49</f>
        <v>200000</v>
      </c>
      <c r="W77" s="131">
        <f t="shared" ref="W77:Z77" si="38">W46-W47-W48-W49</f>
        <v>-2100000</v>
      </c>
      <c r="X77" s="131">
        <f t="shared" si="38"/>
        <v>-4600000</v>
      </c>
      <c r="Y77" s="131">
        <f t="shared" si="38"/>
        <v>-12300000</v>
      </c>
      <c r="Z77" s="131">
        <f t="shared" si="38"/>
        <v>-20100000</v>
      </c>
    </row>
    <row r="78" spans="1:27">
      <c r="B78" t="s">
        <v>362</v>
      </c>
      <c r="D78" s="21">
        <f>D50-D51-D52-D53</f>
        <v>0</v>
      </c>
      <c r="E78" s="21">
        <f t="shared" ref="E78:V78" si="39">E50-E51-E52-E53</f>
        <v>0</v>
      </c>
      <c r="F78" s="21">
        <f t="shared" si="39"/>
        <v>-100000</v>
      </c>
      <c r="G78" s="21">
        <f t="shared" si="39"/>
        <v>0</v>
      </c>
      <c r="H78" s="21">
        <f t="shared" si="39"/>
        <v>0</v>
      </c>
      <c r="I78" s="21">
        <f t="shared" si="39"/>
        <v>0</v>
      </c>
      <c r="J78" s="21">
        <f t="shared" si="39"/>
        <v>-1.862645149230957E-9</v>
      </c>
      <c r="K78" s="21">
        <f t="shared" si="39"/>
        <v>200000</v>
      </c>
      <c r="L78" s="131">
        <f>L50-L51-L52-L53</f>
        <v>-7134000</v>
      </c>
      <c r="M78" s="131">
        <f t="shared" si="39"/>
        <v>-53100000</v>
      </c>
      <c r="N78" s="131">
        <f t="shared" si="39"/>
        <v>18500000</v>
      </c>
      <c r="O78" s="131">
        <f t="shared" si="39"/>
        <v>-20300000</v>
      </c>
      <c r="P78" s="131">
        <f t="shared" si="39"/>
        <v>-83400000</v>
      </c>
      <c r="Q78" s="131">
        <f t="shared" si="39"/>
        <v>22200000</v>
      </c>
      <c r="R78" s="131">
        <f t="shared" si="39"/>
        <v>4900000</v>
      </c>
      <c r="S78" s="131">
        <f t="shared" si="39"/>
        <v>-200900000</v>
      </c>
      <c r="T78" s="131">
        <f t="shared" si="39"/>
        <v>-99000000</v>
      </c>
      <c r="U78" s="131">
        <f t="shared" si="39"/>
        <v>18700000</v>
      </c>
      <c r="V78" s="131">
        <f t="shared" si="39"/>
        <v>21800000</v>
      </c>
      <c r="W78" s="131">
        <f t="shared" ref="W78:Z78" si="40">W50-W51-W52-W53</f>
        <v>24200000</v>
      </c>
      <c r="X78" s="131">
        <f t="shared" si="40"/>
        <v>25000000</v>
      </c>
      <c r="Y78" s="131">
        <f t="shared" si="40"/>
        <v>24600000</v>
      </c>
      <c r="Z78" s="131">
        <f t="shared" si="40"/>
        <v>21700000</v>
      </c>
    </row>
    <row r="79" spans="1:27" ht="15.75" thickBot="1">
      <c r="C79" s="21"/>
    </row>
    <row r="80" spans="1: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421">
        <v>1373000000</v>
      </c>
      <c r="R80" s="2422">
        <v>1426000000</v>
      </c>
      <c r="S80" s="2422">
        <v>1445000000</v>
      </c>
      <c r="T80" s="2422">
        <v>1570000000</v>
      </c>
      <c r="U80" s="2422">
        <v>1513000000</v>
      </c>
      <c r="V80" s="2422">
        <v>1284000000</v>
      </c>
      <c r="W80" s="2422">
        <v>1464000000</v>
      </c>
      <c r="X80" s="2423">
        <v>1596000000</v>
      </c>
      <c r="Y80" s="214">
        <v>1683000000</v>
      </c>
      <c r="Z80" s="214">
        <v>1761000000</v>
      </c>
      <c r="AA80" s="214">
        <v>1816000000</v>
      </c>
    </row>
    <row r="81" spans="4:26">
      <c r="D81" s="364">
        <f t="shared" ref="D81:U81" si="41">(D6/D80)*100</f>
        <v>25.479603087100333</v>
      </c>
      <c r="E81" s="364">
        <f t="shared" si="41"/>
        <v>30.118790496760262</v>
      </c>
      <c r="F81" s="364">
        <f t="shared" si="41"/>
        <v>22.686403508771928</v>
      </c>
      <c r="G81" s="364">
        <f t="shared" si="41"/>
        <v>23.576719576719576</v>
      </c>
      <c r="H81" s="364">
        <f t="shared" si="41"/>
        <v>28.162055335968379</v>
      </c>
      <c r="I81" s="364">
        <f t="shared" si="41"/>
        <v>28.999999999999996</v>
      </c>
      <c r="J81" s="364">
        <f t="shared" si="41"/>
        <v>30.121042830540034</v>
      </c>
      <c r="K81" s="364">
        <f t="shared" si="41"/>
        <v>30.785837651122627</v>
      </c>
      <c r="L81" s="364">
        <f t="shared" si="41"/>
        <v>33.528672985781995</v>
      </c>
      <c r="M81" s="364">
        <f t="shared" si="41"/>
        <v>33.622865627319968</v>
      </c>
      <c r="N81" s="364">
        <f t="shared" si="41"/>
        <v>35.409466566491361</v>
      </c>
      <c r="O81" s="364">
        <f t="shared" si="41"/>
        <v>35.127458120903135</v>
      </c>
      <c r="P81" s="364">
        <f t="shared" si="41"/>
        <v>29.230215827338128</v>
      </c>
      <c r="Q81" s="364">
        <f t="shared" si="41"/>
        <v>30.582665695557175</v>
      </c>
      <c r="R81" s="364">
        <f t="shared" si="41"/>
        <v>27.279102384291726</v>
      </c>
      <c r="S81" s="364">
        <f t="shared" si="41"/>
        <v>32.892733564013845</v>
      </c>
      <c r="T81" s="364">
        <f t="shared" si="41"/>
        <v>34.420382165605098</v>
      </c>
      <c r="U81" s="364">
        <f t="shared" si="41"/>
        <v>36.655651024454727</v>
      </c>
      <c r="V81" s="364">
        <f>(V6/V80)*100</f>
        <v>41.549844236760123</v>
      </c>
      <c r="W81" s="364">
        <f t="shared" ref="W81:Z81" si="42">(W6/W80)*100</f>
        <v>36.734972677595628</v>
      </c>
      <c r="X81" s="364">
        <f t="shared" si="42"/>
        <v>34.523809523809526</v>
      </c>
      <c r="Y81" s="364">
        <f t="shared" si="42"/>
        <v>33.357100415923945</v>
      </c>
      <c r="Z81" s="364">
        <f t="shared" si="42"/>
        <v>32.873367404883588</v>
      </c>
    </row>
    <row r="82" spans="4:26">
      <c r="D82" s="364">
        <f t="shared" ref="D82:U82" si="43">(D18/D80)*100</f>
        <v>34.851157662624033</v>
      </c>
      <c r="E82" s="364">
        <f t="shared" si="43"/>
        <v>37.829373650107989</v>
      </c>
      <c r="F82" s="364">
        <f t="shared" si="43"/>
        <v>29.528508771929822</v>
      </c>
      <c r="G82" s="364">
        <f t="shared" si="43"/>
        <v>27.650793650793648</v>
      </c>
      <c r="H82" s="364">
        <f t="shared" si="43"/>
        <v>29.169960474308297</v>
      </c>
      <c r="I82" s="364">
        <f t="shared" si="43"/>
        <v>29.87</v>
      </c>
      <c r="J82" s="364">
        <f t="shared" si="43"/>
        <v>29.35754189944134</v>
      </c>
      <c r="K82" s="364">
        <f t="shared" si="43"/>
        <v>28.091537132987909</v>
      </c>
      <c r="L82" s="364">
        <f t="shared" si="43"/>
        <v>31.932069510268562</v>
      </c>
      <c r="M82" s="364">
        <f t="shared" si="43"/>
        <v>33.043801039346697</v>
      </c>
      <c r="N82" s="364">
        <f t="shared" si="43"/>
        <v>35.830202854996244</v>
      </c>
      <c r="O82" s="364">
        <f t="shared" si="43"/>
        <v>38.572469045884922</v>
      </c>
      <c r="P82" s="364">
        <f t="shared" si="43"/>
        <v>34.474820143884891</v>
      </c>
      <c r="Q82" s="364">
        <f t="shared" si="43"/>
        <v>33.47414420975965</v>
      </c>
      <c r="R82" s="364">
        <f t="shared" si="43"/>
        <v>31.928471248246844</v>
      </c>
      <c r="S82" s="364">
        <f t="shared" si="43"/>
        <v>33.813148788927336</v>
      </c>
      <c r="T82" s="364">
        <f t="shared" si="43"/>
        <v>35.547770700636946</v>
      </c>
      <c r="U82" s="364">
        <f t="shared" si="43"/>
        <v>36.391275611368137</v>
      </c>
      <c r="V82" s="364">
        <f>(V18/V80)*100</f>
        <v>41.433021806853581</v>
      </c>
      <c r="W82" s="364">
        <f t="shared" ref="W82:Z82" si="44">(W18/W80)*100</f>
        <v>36.571038251366126</v>
      </c>
      <c r="X82" s="364">
        <f t="shared" si="44"/>
        <v>34.223057644110277</v>
      </c>
      <c r="Y82" s="364">
        <f t="shared" si="44"/>
        <v>32.525252525252526</v>
      </c>
      <c r="Z82" s="364">
        <f t="shared" si="44"/>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L15" activePane="bottomRight" state="frozen"/>
      <selection pane="topRight" activeCell="R7" sqref="R7"/>
      <selection pane="bottomLeft" activeCell="R7" sqref="R7"/>
      <selection pane="bottomRight" activeCell="Q39" sqref="Q39"/>
    </sheetView>
  </sheetViews>
  <sheetFormatPr defaultRowHeight="15"/>
  <cols>
    <col min="1" max="1" width="21" style="1183" bestFit="1" customWidth="1"/>
    <col min="2" max="2" width="33.7109375" style="1183" bestFit="1" customWidth="1"/>
    <col min="3" max="3" width="19.28515625" style="1183" bestFit="1" customWidth="1"/>
    <col min="4" max="10" width="9.7109375" style="1183" bestFit="1" customWidth="1"/>
    <col min="11" max="14" width="17.85546875" style="1183" bestFit="1" customWidth="1"/>
    <col min="15" max="15" width="18.140625" style="1183" bestFit="1" customWidth="1"/>
    <col min="16" max="16" width="18.42578125" style="1183" bestFit="1" customWidth="1"/>
    <col min="17" max="24" width="17.42578125" style="1183" bestFit="1" customWidth="1"/>
    <col min="25" max="26" width="18.42578125" style="1183" bestFit="1" customWidth="1"/>
    <col min="27" max="29" width="8.85546875" style="1183"/>
  </cols>
  <sheetData>
    <row r="1" spans="1:29">
      <c r="A1" s="1125" t="s">
        <v>2268</v>
      </c>
      <c r="B1" s="1179" t="s">
        <v>2269</v>
      </c>
      <c r="C1" s="1179"/>
      <c r="D1" s="1180"/>
      <c r="E1" s="1180"/>
      <c r="F1" s="1180"/>
      <c r="G1" s="1180"/>
      <c r="H1" s="1180"/>
      <c r="I1" s="1180"/>
      <c r="J1" s="1180"/>
      <c r="K1" s="1180"/>
      <c r="L1" s="1180"/>
      <c r="M1" s="1180"/>
      <c r="N1" s="1180"/>
      <c r="O1" s="1181"/>
      <c r="P1" s="1181"/>
      <c r="Q1" s="1181"/>
      <c r="R1" s="1182"/>
      <c r="S1" s="1181"/>
      <c r="T1" s="1181"/>
      <c r="U1" s="1181"/>
      <c r="V1" s="1181"/>
      <c r="W1" s="1181"/>
      <c r="X1" s="1181"/>
    </row>
    <row r="2" spans="1:29">
      <c r="B2" s="1184" t="s">
        <v>2270</v>
      </c>
      <c r="C2" s="1184"/>
      <c r="D2" s="1181"/>
      <c r="E2" s="1181"/>
      <c r="F2" s="1181"/>
      <c r="G2" s="1181"/>
      <c r="H2" s="1181"/>
      <c r="I2" s="1181"/>
      <c r="J2" s="1181"/>
      <c r="K2" s="1181"/>
      <c r="L2" s="1181"/>
      <c r="M2" s="1181"/>
      <c r="N2" s="1181"/>
      <c r="O2" s="1181"/>
      <c r="P2" s="1181"/>
      <c r="Q2" s="1181"/>
      <c r="R2" s="1185"/>
      <c r="S2" s="1186"/>
      <c r="T2" s="1187"/>
      <c r="U2" s="1181"/>
      <c r="V2" s="1181"/>
      <c r="W2" s="1181"/>
      <c r="X2" s="1181"/>
    </row>
    <row r="3" spans="1:29">
      <c r="B3" s="1188" t="s">
        <v>3</v>
      </c>
      <c r="C3" s="1188"/>
      <c r="D3" s="1181">
        <v>2000</v>
      </c>
      <c r="E3" s="1181">
        <v>2001</v>
      </c>
      <c r="F3" s="1181">
        <v>2002</v>
      </c>
      <c r="G3" s="1181">
        <v>2003</v>
      </c>
      <c r="H3" s="1181">
        <v>2004</v>
      </c>
      <c r="I3" s="1181">
        <v>2005</v>
      </c>
      <c r="J3" s="1181">
        <v>2006</v>
      </c>
      <c r="K3" s="1181">
        <v>2007</v>
      </c>
      <c r="L3" s="1181">
        <v>2008</v>
      </c>
      <c r="M3" s="1181">
        <v>2009</v>
      </c>
      <c r="N3" s="1181">
        <v>2010</v>
      </c>
      <c r="O3" s="1181">
        <v>2011</v>
      </c>
      <c r="P3" s="1181">
        <v>2012</v>
      </c>
      <c r="Q3" s="1181">
        <v>2013</v>
      </c>
      <c r="R3" s="1181">
        <v>2014</v>
      </c>
      <c r="S3" s="1181">
        <v>2015</v>
      </c>
      <c r="T3" s="1181">
        <v>2016</v>
      </c>
      <c r="U3" s="1181">
        <v>2017</v>
      </c>
      <c r="V3" s="1181">
        <v>2018</v>
      </c>
      <c r="W3" s="1181">
        <v>2019</v>
      </c>
      <c r="X3" s="1181">
        <v>2020</v>
      </c>
      <c r="Y3" s="1181">
        <v>2021</v>
      </c>
      <c r="Z3" s="1181">
        <v>2022</v>
      </c>
    </row>
    <row r="4" spans="1:29">
      <c r="B4" s="1188" t="s">
        <v>4</v>
      </c>
      <c r="C4" s="1188"/>
      <c r="D4" s="1181" t="s">
        <v>5</v>
      </c>
      <c r="E4" s="1181" t="s">
        <v>6</v>
      </c>
      <c r="F4" s="1181" t="s">
        <v>7</v>
      </c>
      <c r="G4" s="1181" t="s">
        <v>8</v>
      </c>
      <c r="H4" s="1181" t="s">
        <v>9</v>
      </c>
      <c r="I4" s="1181" t="s">
        <v>10</v>
      </c>
      <c r="J4" s="1181" t="s">
        <v>11</v>
      </c>
      <c r="K4" s="1181" t="s">
        <v>12</v>
      </c>
      <c r="L4" s="1181" t="s">
        <v>13</v>
      </c>
      <c r="M4" s="1181" t="s">
        <v>14</v>
      </c>
      <c r="N4" s="1181" t="s">
        <v>15</v>
      </c>
      <c r="O4" s="1181" t="s">
        <v>16</v>
      </c>
      <c r="P4" s="1181" t="s">
        <v>17</v>
      </c>
      <c r="Q4" s="1181" t="s">
        <v>18</v>
      </c>
      <c r="R4" s="1182" t="s">
        <v>19</v>
      </c>
      <c r="S4" s="1181" t="s">
        <v>20</v>
      </c>
      <c r="T4" s="1181" t="s">
        <v>21</v>
      </c>
      <c r="U4" s="1181" t="s">
        <v>22</v>
      </c>
      <c r="V4" s="1181" t="s">
        <v>23</v>
      </c>
      <c r="W4" s="1181" t="s">
        <v>24</v>
      </c>
      <c r="X4" s="1181" t="s">
        <v>25</v>
      </c>
      <c r="Y4" s="1218" t="s">
        <v>26</v>
      </c>
      <c r="Z4" s="1218" t="s">
        <v>27</v>
      </c>
    </row>
    <row r="5" spans="1:29">
      <c r="A5" s="1183" t="s">
        <v>157</v>
      </c>
      <c r="B5" s="1188" t="s">
        <v>29</v>
      </c>
      <c r="C5" s="1188"/>
      <c r="D5" s="1181" t="s">
        <v>30</v>
      </c>
      <c r="E5" s="1181" t="s">
        <v>30</v>
      </c>
      <c r="F5" s="1181" t="s">
        <v>30</v>
      </c>
      <c r="G5" s="1181" t="s">
        <v>30</v>
      </c>
      <c r="H5" s="1181" t="s">
        <v>30</v>
      </c>
      <c r="I5" s="1180" t="s">
        <v>31</v>
      </c>
      <c r="J5" s="1180" t="s">
        <v>30</v>
      </c>
      <c r="K5" s="1180" t="s">
        <v>30</v>
      </c>
      <c r="L5" s="1180" t="s">
        <v>30</v>
      </c>
      <c r="M5" s="1180" t="s">
        <v>30</v>
      </c>
      <c r="N5" s="1181" t="s">
        <v>32</v>
      </c>
      <c r="O5" s="1181" t="s">
        <v>32</v>
      </c>
      <c r="P5" s="1181" t="s">
        <v>30</v>
      </c>
      <c r="Q5" s="1181" t="s">
        <v>30</v>
      </c>
      <c r="R5" s="1181" t="s">
        <v>30</v>
      </c>
      <c r="S5" s="1181" t="s">
        <v>30</v>
      </c>
      <c r="T5" s="1181" t="s">
        <v>30</v>
      </c>
      <c r="U5" s="1181" t="s">
        <v>32</v>
      </c>
      <c r="V5" s="1181" t="s">
        <v>32</v>
      </c>
      <c r="W5" s="1181" t="s">
        <v>32</v>
      </c>
      <c r="X5" s="1181" t="s">
        <v>32</v>
      </c>
      <c r="Y5" s="1181" t="s">
        <v>32</v>
      </c>
      <c r="Z5" s="1181" t="s">
        <v>32</v>
      </c>
    </row>
    <row r="6" spans="1:29" s="848" customFormat="1">
      <c r="A6" s="1202" t="s">
        <v>1498</v>
      </c>
      <c r="B6" s="1202" t="s">
        <v>2271</v>
      </c>
      <c r="C6" s="1202" t="s">
        <v>35</v>
      </c>
      <c r="D6" s="1203"/>
      <c r="E6" s="1203"/>
      <c r="F6" s="1203"/>
      <c r="G6" s="1203"/>
      <c r="H6" s="1203"/>
      <c r="I6" s="1203"/>
      <c r="J6" s="1203"/>
      <c r="K6" s="1204">
        <v>240100000000</v>
      </c>
      <c r="L6" s="1205">
        <v>249800000000</v>
      </c>
      <c r="M6" s="1205">
        <f>M7+M16</f>
        <v>230000000000</v>
      </c>
      <c r="N6" s="1205">
        <v>259800000000</v>
      </c>
      <c r="O6" s="1205">
        <v>293200000000</v>
      </c>
      <c r="P6" s="1209">
        <v>323500000000</v>
      </c>
      <c r="Q6" s="1209">
        <v>372500000000</v>
      </c>
      <c r="R6" s="1205">
        <f>R7+R16</f>
        <v>416000000000</v>
      </c>
      <c r="S6" s="1205">
        <f>S7+S16</f>
        <v>537300000000</v>
      </c>
      <c r="T6" s="1209">
        <v>485600000000</v>
      </c>
      <c r="U6" s="1209">
        <v>537799999999.99994</v>
      </c>
      <c r="V6" s="1209">
        <v>585500000000</v>
      </c>
      <c r="W6" s="1209">
        <v>637200000000</v>
      </c>
      <c r="X6" s="1209">
        <v>693500000000</v>
      </c>
      <c r="Y6" s="1209">
        <v>754100000000</v>
      </c>
      <c r="Z6" s="1209">
        <v>819600000000</v>
      </c>
      <c r="AA6" s="1203"/>
      <c r="AB6" s="1203"/>
      <c r="AC6" s="1203"/>
    </row>
    <row r="7" spans="1:29">
      <c r="A7" s="1189" t="s">
        <v>36</v>
      </c>
      <c r="B7" s="1189" t="s">
        <v>2272</v>
      </c>
      <c r="C7" s="1190" t="s">
        <v>38</v>
      </c>
      <c r="K7" s="1191">
        <v>237400000000</v>
      </c>
      <c r="L7" s="1192">
        <v>246900000000</v>
      </c>
      <c r="M7" s="1207">
        <f>M8+M14+M15</f>
        <v>226500000000</v>
      </c>
      <c r="N7" s="1192">
        <v>257800000000</v>
      </c>
      <c r="O7" s="1192">
        <v>289300000000</v>
      </c>
      <c r="P7" s="1210">
        <v>318600000000</v>
      </c>
      <c r="Q7" s="1210">
        <v>369400000000</v>
      </c>
      <c r="R7" s="1207">
        <f>R8+R14+R15</f>
        <v>413900000000</v>
      </c>
      <c r="S7" s="1207">
        <f>S8+S14+S15</f>
        <v>441100000000</v>
      </c>
      <c r="T7" s="1210">
        <v>484600000000</v>
      </c>
      <c r="U7" s="1210">
        <v>536700000000.00006</v>
      </c>
      <c r="V7" s="1210">
        <v>584300000000</v>
      </c>
      <c r="W7" s="1210">
        <v>635800000000</v>
      </c>
      <c r="X7" s="1210">
        <v>692100000000</v>
      </c>
      <c r="Y7" s="1210">
        <v>752500000000</v>
      </c>
      <c r="Z7" s="1210">
        <v>817900000000</v>
      </c>
    </row>
    <row r="8" spans="1:29">
      <c r="A8" s="1194" t="s">
        <v>2273</v>
      </c>
      <c r="B8" s="1194" t="s">
        <v>2274</v>
      </c>
      <c r="C8" s="1189" t="s">
        <v>41</v>
      </c>
      <c r="K8" s="1191">
        <v>218300000000</v>
      </c>
      <c r="L8" s="1192">
        <v>236200000000</v>
      </c>
      <c r="M8" s="1207">
        <f>M9+M10+M11+M12</f>
        <v>220700000000</v>
      </c>
      <c r="N8" s="1192">
        <v>248300000000</v>
      </c>
      <c r="O8" s="1192">
        <v>277700000000</v>
      </c>
      <c r="P8" s="1210">
        <v>312100000000</v>
      </c>
      <c r="Q8" s="1210">
        <v>355300000000</v>
      </c>
      <c r="R8" s="1207">
        <f>R9+R10+R11+R12</f>
        <v>392700000000</v>
      </c>
      <c r="S8" s="1207">
        <f>S9+S10+S11+S12</f>
        <v>413600000000</v>
      </c>
      <c r="T8" s="1210">
        <v>453200000000</v>
      </c>
      <c r="U8" s="1210">
        <v>504400000000</v>
      </c>
      <c r="V8" s="1210">
        <v>548900000000</v>
      </c>
      <c r="W8" s="1210">
        <v>597200000000</v>
      </c>
      <c r="X8" s="1210">
        <v>649900000000</v>
      </c>
      <c r="Y8" s="1210">
        <v>706400000000</v>
      </c>
      <c r="Z8" s="1210">
        <v>767600000000</v>
      </c>
    </row>
    <row r="9" spans="1:29">
      <c r="A9" s="1195" t="s">
        <v>2275</v>
      </c>
      <c r="B9" s="1195" t="s">
        <v>2276</v>
      </c>
      <c r="C9" s="1183" t="s">
        <v>44</v>
      </c>
      <c r="K9" s="1191">
        <v>66800000000</v>
      </c>
      <c r="L9" s="1192">
        <v>71500000000</v>
      </c>
      <c r="M9" s="1192">
        <v>66000000000</v>
      </c>
      <c r="N9" s="1192">
        <v>71600000000</v>
      </c>
      <c r="O9" s="1192">
        <v>78100000000</v>
      </c>
      <c r="P9" s="1210">
        <v>112700000000</v>
      </c>
      <c r="Q9" s="1210">
        <v>132400000000</v>
      </c>
      <c r="R9" s="1210">
        <v>144800000000</v>
      </c>
      <c r="S9" s="1210">
        <v>140300000000</v>
      </c>
      <c r="T9" s="1210">
        <v>158000000000</v>
      </c>
      <c r="U9" s="1210">
        <v>172300000000</v>
      </c>
      <c r="V9" s="1210">
        <v>187600000000</v>
      </c>
      <c r="W9" s="1210">
        <v>204900000000</v>
      </c>
      <c r="X9" s="1210">
        <v>223900000000</v>
      </c>
      <c r="Y9" s="1210">
        <v>243900000000</v>
      </c>
      <c r="Z9" s="1210">
        <v>265300000000</v>
      </c>
    </row>
    <row r="10" spans="1:29">
      <c r="A10" s="1195" t="s">
        <v>161</v>
      </c>
      <c r="B10" s="1195" t="s">
        <v>162</v>
      </c>
      <c r="C10" s="1183" t="s">
        <v>44</v>
      </c>
      <c r="K10" s="1191">
        <v>66800000000</v>
      </c>
      <c r="L10" s="1192">
        <v>74700000000</v>
      </c>
      <c r="M10" s="1192">
        <v>69900000000</v>
      </c>
      <c r="N10" s="1192">
        <v>81800000000</v>
      </c>
      <c r="O10" s="1192">
        <v>90200000000</v>
      </c>
      <c r="P10" s="1210">
        <v>92800000000</v>
      </c>
      <c r="Q10" s="1210">
        <v>113300000000</v>
      </c>
      <c r="R10" s="1210">
        <v>130400000000</v>
      </c>
      <c r="S10" s="1210">
        <v>147000000000</v>
      </c>
      <c r="T10" s="1210">
        <v>159200000000</v>
      </c>
      <c r="U10" s="1210">
        <v>179700000000</v>
      </c>
      <c r="V10" s="1210">
        <v>196600000000</v>
      </c>
      <c r="W10" s="1210">
        <v>214700000000</v>
      </c>
      <c r="X10" s="1210">
        <v>234500000000</v>
      </c>
      <c r="Y10" s="1210">
        <v>256000000000</v>
      </c>
      <c r="Z10" s="1210">
        <v>279600000000</v>
      </c>
    </row>
    <row r="11" spans="1:29">
      <c r="A11" s="1195" t="s">
        <v>553</v>
      </c>
      <c r="B11" s="1195" t="s">
        <v>553</v>
      </c>
      <c r="C11" s="1183" t="s">
        <v>44</v>
      </c>
      <c r="K11" s="1191">
        <v>61400000000</v>
      </c>
      <c r="L11" s="1192">
        <v>64900000000.000008</v>
      </c>
      <c r="M11" s="1192">
        <v>62900000000</v>
      </c>
      <c r="N11" s="1192">
        <v>68900000000</v>
      </c>
      <c r="O11" s="1192">
        <v>80900000000</v>
      </c>
      <c r="P11" s="1210">
        <v>83100000000</v>
      </c>
      <c r="Q11" s="1210">
        <v>85800000000</v>
      </c>
      <c r="R11" s="1210">
        <v>90900000000</v>
      </c>
      <c r="S11" s="1210">
        <v>95200000000</v>
      </c>
      <c r="T11" s="1210">
        <v>101800000000</v>
      </c>
      <c r="U11" s="1210">
        <v>113000000000</v>
      </c>
      <c r="V11" s="1210">
        <v>121600000000</v>
      </c>
      <c r="W11" s="1210">
        <v>130500000000</v>
      </c>
      <c r="X11" s="1210">
        <v>140100000000</v>
      </c>
      <c r="Y11" s="1210">
        <v>150400000000</v>
      </c>
      <c r="Z11" s="1210">
        <v>161500000000</v>
      </c>
    </row>
    <row r="12" spans="1:29">
      <c r="A12" s="1195" t="s">
        <v>790</v>
      </c>
      <c r="B12" s="1195" t="s">
        <v>2277</v>
      </c>
      <c r="C12" s="1183" t="s">
        <v>44</v>
      </c>
      <c r="K12" s="1191">
        <v>23200000000</v>
      </c>
      <c r="L12" s="1192">
        <v>25000000000</v>
      </c>
      <c r="M12" s="1192">
        <v>21900000000</v>
      </c>
      <c r="N12" s="1192">
        <v>26100000000</v>
      </c>
      <c r="O12" s="1192">
        <v>28500000000</v>
      </c>
      <c r="P12" s="1210">
        <v>23400000000</v>
      </c>
      <c r="Q12" s="1210">
        <v>23800000000</v>
      </c>
      <c r="R12" s="1210">
        <v>26600000000</v>
      </c>
      <c r="S12" s="1210">
        <v>31100000000</v>
      </c>
      <c r="T12" s="1210">
        <v>33500000000</v>
      </c>
      <c r="U12" s="1210">
        <v>38600000000</v>
      </c>
      <c r="V12" s="1210">
        <v>42300000000</v>
      </c>
      <c r="W12" s="1210">
        <v>46200000000</v>
      </c>
      <c r="X12" s="1210">
        <v>50400000000</v>
      </c>
      <c r="Y12" s="1210">
        <v>55100000000</v>
      </c>
      <c r="Z12" s="1210">
        <v>60100000000</v>
      </c>
    </row>
    <row r="13" spans="1:29">
      <c r="A13" s="1195" t="s">
        <v>50</v>
      </c>
      <c r="B13" s="1195" t="s">
        <v>50</v>
      </c>
      <c r="C13" s="1183" t="s">
        <v>44</v>
      </c>
      <c r="K13" s="1191">
        <v>0</v>
      </c>
      <c r="L13" s="1192">
        <v>0</v>
      </c>
      <c r="M13" s="1192">
        <v>0</v>
      </c>
      <c r="N13" s="1192">
        <v>0</v>
      </c>
      <c r="O13" s="1192">
        <v>0</v>
      </c>
      <c r="P13" s="1210"/>
      <c r="Q13" s="1210"/>
      <c r="R13" s="1210">
        <f t="shared" ref="R13:S13" si="0">R8-R9-R10-R11-R12</f>
        <v>0</v>
      </c>
      <c r="S13" s="1210">
        <f t="shared" si="0"/>
        <v>0</v>
      </c>
      <c r="T13" s="1212">
        <f>T8-T9-T10-T11-T12</f>
        <v>700000000</v>
      </c>
      <c r="U13" s="1212">
        <f t="shared" ref="U13:Z13" si="1">U8-U9-U10-U11-U12</f>
        <v>800000000</v>
      </c>
      <c r="V13" s="1212">
        <f t="shared" si="1"/>
        <v>800000000</v>
      </c>
      <c r="W13" s="1212">
        <f t="shared" si="1"/>
        <v>900000000</v>
      </c>
      <c r="X13" s="1212">
        <f t="shared" si="1"/>
        <v>1000000000</v>
      </c>
      <c r="Y13" s="1212">
        <f t="shared" si="1"/>
        <v>1000000000</v>
      </c>
      <c r="Z13" s="1212">
        <f t="shared" si="1"/>
        <v>1100000000</v>
      </c>
    </row>
    <row r="14" spans="1:29">
      <c r="A14" s="1194" t="s">
        <v>51</v>
      </c>
      <c r="B14" s="1194" t="s">
        <v>2278</v>
      </c>
      <c r="C14" s="1189" t="s">
        <v>41</v>
      </c>
      <c r="K14" s="1191">
        <v>19100000000</v>
      </c>
      <c r="L14" s="1192">
        <v>10700000000</v>
      </c>
      <c r="M14" s="1192">
        <v>5800000000</v>
      </c>
      <c r="N14" s="1192">
        <v>9500000000</v>
      </c>
      <c r="O14" s="1192">
        <v>11700000000</v>
      </c>
      <c r="P14" s="1210">
        <v>6500000000</v>
      </c>
      <c r="Q14" s="1210">
        <v>14100000000</v>
      </c>
      <c r="R14" s="1210">
        <v>21200000000</v>
      </c>
      <c r="S14" s="1210">
        <v>27500000000</v>
      </c>
      <c r="T14" s="1210">
        <v>31400000000</v>
      </c>
      <c r="U14" s="1210">
        <v>32299999999.999996</v>
      </c>
      <c r="V14" s="1210">
        <v>35300000000</v>
      </c>
      <c r="W14" s="1210">
        <v>38600000000</v>
      </c>
      <c r="X14" s="1210">
        <v>42100000000</v>
      </c>
      <c r="Y14" s="1210">
        <v>46000000000</v>
      </c>
      <c r="Z14" s="1210">
        <v>50300000000</v>
      </c>
    </row>
    <row r="15" spans="1:29">
      <c r="A15" s="1194" t="s">
        <v>468</v>
      </c>
      <c r="B15" s="1194" t="s">
        <v>2279</v>
      </c>
      <c r="C15" s="1189" t="s">
        <v>41</v>
      </c>
      <c r="K15" s="1191">
        <v>0</v>
      </c>
      <c r="L15" s="1192">
        <v>0</v>
      </c>
      <c r="M15" s="1192">
        <v>0</v>
      </c>
      <c r="N15" s="1192">
        <v>0</v>
      </c>
      <c r="O15" s="1192">
        <v>0</v>
      </c>
      <c r="P15" s="1210"/>
      <c r="Q15" s="1210"/>
      <c r="R15" s="1210"/>
      <c r="S15" s="1210"/>
      <c r="T15" s="1210"/>
      <c r="U15" s="1210"/>
      <c r="V15" s="1210"/>
      <c r="W15" s="1210"/>
      <c r="X15" s="1210"/>
      <c r="Y15" s="1210"/>
      <c r="Z15" s="1210"/>
    </row>
    <row r="16" spans="1:29" s="848" customFormat="1">
      <c r="A16" s="1202" t="s">
        <v>53</v>
      </c>
      <c r="B16" s="1202" t="s">
        <v>53</v>
      </c>
      <c r="C16" s="1206" t="s">
        <v>38</v>
      </c>
      <c r="D16" s="1203"/>
      <c r="E16" s="1203"/>
      <c r="F16" s="1203"/>
      <c r="G16" s="1203"/>
      <c r="H16" s="1203"/>
      <c r="I16" s="1203"/>
      <c r="J16" s="1203"/>
      <c r="K16" s="1204">
        <v>2700000000</v>
      </c>
      <c r="L16" s="1205">
        <v>2900000000</v>
      </c>
      <c r="M16" s="1205">
        <v>3500000000</v>
      </c>
      <c r="N16" s="1205">
        <v>2000000000</v>
      </c>
      <c r="O16" s="1205">
        <v>3900000000</v>
      </c>
      <c r="P16" s="1209">
        <v>4900000000</v>
      </c>
      <c r="Q16" s="1209">
        <v>3100000000</v>
      </c>
      <c r="R16" s="1209">
        <v>2100000000</v>
      </c>
      <c r="S16" s="1209">
        <v>96200000000</v>
      </c>
      <c r="T16" s="1209">
        <v>1000000000</v>
      </c>
      <c r="U16" s="1209">
        <v>1100000000</v>
      </c>
      <c r="V16" s="1209">
        <v>1200000000</v>
      </c>
      <c r="W16" s="1209">
        <v>1300000000</v>
      </c>
      <c r="X16" s="1209">
        <v>1500000000</v>
      </c>
      <c r="Y16" s="1209">
        <v>1600000000</v>
      </c>
      <c r="Z16" s="1209">
        <v>1700000000</v>
      </c>
      <c r="AA16" s="1203"/>
      <c r="AB16" s="1203"/>
      <c r="AC16" s="1203"/>
    </row>
    <row r="17" spans="1:29" s="848" customFormat="1">
      <c r="A17" s="1202" t="s">
        <v>71</v>
      </c>
      <c r="B17" s="1202" t="s">
        <v>71</v>
      </c>
      <c r="C17" s="1202" t="s">
        <v>35</v>
      </c>
      <c r="D17" s="1203"/>
      <c r="E17" s="1203"/>
      <c r="F17" s="1203"/>
      <c r="G17" s="1203"/>
      <c r="H17" s="1203"/>
      <c r="I17" s="1203"/>
      <c r="J17" s="1203"/>
      <c r="K17" s="1207">
        <f t="shared" ref="K17:Q17" si="2">K19+K26</f>
        <v>237600000000</v>
      </c>
      <c r="L17" s="1207">
        <f t="shared" si="2"/>
        <v>307600000000</v>
      </c>
      <c r="M17" s="1207">
        <f t="shared" si="2"/>
        <v>282900000000</v>
      </c>
      <c r="N17" s="1207">
        <f t="shared" si="2"/>
        <v>303500000000</v>
      </c>
      <c r="O17" s="1207">
        <f t="shared" si="2"/>
        <v>326700000000</v>
      </c>
      <c r="P17" s="1212">
        <f t="shared" si="2"/>
        <v>471400000000</v>
      </c>
      <c r="Q17" s="1212">
        <f t="shared" si="2"/>
        <v>450900000000</v>
      </c>
      <c r="R17" s="1212">
        <f t="shared" ref="R17:Z17" si="3">R19+R26</f>
        <v>496400000000</v>
      </c>
      <c r="S17" s="1212">
        <f t="shared" si="3"/>
        <v>533600000000</v>
      </c>
      <c r="T17" s="1212">
        <f t="shared" si="3"/>
        <v>573700000000</v>
      </c>
      <c r="U17" s="1212">
        <f t="shared" si="3"/>
        <v>655100000000</v>
      </c>
      <c r="V17" s="1212">
        <f t="shared" si="3"/>
        <v>709700000000</v>
      </c>
      <c r="W17" s="1212">
        <f t="shared" si="3"/>
        <v>775600000000</v>
      </c>
      <c r="X17" s="1212">
        <f t="shared" si="3"/>
        <v>852100000000</v>
      </c>
      <c r="Y17" s="1212">
        <f t="shared" si="3"/>
        <v>936700000000</v>
      </c>
      <c r="Z17" s="1212">
        <f t="shared" si="3"/>
        <v>1026700000000</v>
      </c>
      <c r="AA17" s="1203"/>
      <c r="AB17" s="1203"/>
      <c r="AC17" s="1203"/>
    </row>
    <row r="18" spans="1:29">
      <c r="A18" s="1183" t="s">
        <v>76</v>
      </c>
      <c r="B18" s="1189" t="s">
        <v>2280</v>
      </c>
      <c r="K18" s="1191">
        <v>216900000000</v>
      </c>
      <c r="L18" s="1192">
        <v>271300000000</v>
      </c>
      <c r="M18" s="1192">
        <v>256399999999.99997</v>
      </c>
      <c r="N18" s="1192">
        <v>264600000000.00003</v>
      </c>
      <c r="O18" s="1192">
        <v>276800000000</v>
      </c>
      <c r="P18" s="1210">
        <v>420300000000</v>
      </c>
      <c r="Q18" s="1210">
        <v>386000000000</v>
      </c>
      <c r="R18" s="1210">
        <v>423200000000</v>
      </c>
      <c r="S18" s="1210">
        <v>453400000000</v>
      </c>
      <c r="T18" s="1210">
        <v>480400000000</v>
      </c>
      <c r="U18" s="1210">
        <v>542000000000</v>
      </c>
      <c r="V18" s="1210">
        <v>580600000000</v>
      </c>
      <c r="W18" s="1210">
        <v>629000000000</v>
      </c>
      <c r="X18" s="1210">
        <v>686400000000</v>
      </c>
      <c r="Y18" s="1210">
        <v>749000000000</v>
      </c>
      <c r="Z18" s="1210">
        <v>817500000000</v>
      </c>
    </row>
    <row r="19" spans="1:29">
      <c r="A19" s="1189" t="s">
        <v>476</v>
      </c>
      <c r="B19" s="1213" t="s">
        <v>2281</v>
      </c>
      <c r="C19" s="1189" t="s">
        <v>201</v>
      </c>
      <c r="K19" s="1207">
        <f>K20+K21+K22+K29</f>
        <v>173200000000</v>
      </c>
      <c r="L19" s="1207">
        <f>L20+L21+L22+L29</f>
        <v>229500000000</v>
      </c>
      <c r="M19" s="1207">
        <f>(M21+M22+M23+M29+M20)</f>
        <v>222900000000</v>
      </c>
      <c r="N19" s="1207">
        <f>(N21+N22+N23+N29+N20)</f>
        <v>232800000000</v>
      </c>
      <c r="O19" s="1207">
        <f>(O21+O22+O23+O29+O20)</f>
        <v>247800000000</v>
      </c>
      <c r="P19" s="1212">
        <f>P20+P21+P22+P29</f>
        <v>320400000000</v>
      </c>
      <c r="Q19" s="1212">
        <f t="shared" ref="Q19:Z19" si="4">Q20+Q21+Q22+Q29</f>
        <v>357200000000</v>
      </c>
      <c r="R19" s="1212">
        <f t="shared" si="4"/>
        <v>414900000000</v>
      </c>
      <c r="S19" s="1212">
        <f t="shared" si="4"/>
        <v>429000000000</v>
      </c>
      <c r="T19" s="1212">
        <f t="shared" si="4"/>
        <v>468900000000</v>
      </c>
      <c r="U19" s="1212">
        <f t="shared" si="4"/>
        <v>526900000000</v>
      </c>
      <c r="V19" s="1212">
        <f t="shared" si="4"/>
        <v>577300000000</v>
      </c>
      <c r="W19" s="1212">
        <f t="shared" si="4"/>
        <v>631100000000</v>
      </c>
      <c r="X19" s="1212">
        <f t="shared" si="4"/>
        <v>694300000000</v>
      </c>
      <c r="Y19" s="1212">
        <f t="shared" si="4"/>
        <v>764400000000</v>
      </c>
      <c r="Z19" s="1212">
        <f t="shared" si="4"/>
        <v>838500000000</v>
      </c>
    </row>
    <row r="20" spans="1:29">
      <c r="A20" s="1194" t="s">
        <v>79</v>
      </c>
      <c r="B20" s="1194" t="s">
        <v>2282</v>
      </c>
      <c r="C20" s="1189" t="s">
        <v>204</v>
      </c>
      <c r="K20" s="1191">
        <v>47700000000</v>
      </c>
      <c r="L20" s="1192">
        <v>59500000000</v>
      </c>
      <c r="M20" s="1192">
        <v>68500000000</v>
      </c>
      <c r="N20" s="1192">
        <v>72300000000</v>
      </c>
      <c r="O20" s="1192">
        <v>78800000000</v>
      </c>
      <c r="P20" s="1210">
        <v>87800000000</v>
      </c>
      <c r="Q20" s="1210">
        <v>105300000000</v>
      </c>
      <c r="R20" s="1210">
        <v>127800000000</v>
      </c>
      <c r="S20" s="1210">
        <v>153000000000</v>
      </c>
      <c r="T20" s="1210">
        <v>150900000000</v>
      </c>
      <c r="U20" s="1210">
        <v>157000000000</v>
      </c>
      <c r="V20" s="1210">
        <v>171800000000</v>
      </c>
      <c r="W20" s="1210">
        <v>187600000000</v>
      </c>
      <c r="X20" s="1210">
        <v>204900000000</v>
      </c>
      <c r="Y20" s="1210">
        <v>223800000000</v>
      </c>
      <c r="Z20" s="1210">
        <v>244300000000</v>
      </c>
    </row>
    <row r="21" spans="1:29">
      <c r="A21" s="1194" t="s">
        <v>83</v>
      </c>
      <c r="B21" s="1194" t="s">
        <v>2283</v>
      </c>
      <c r="C21" s="1189" t="s">
        <v>204</v>
      </c>
      <c r="K21" s="1191">
        <v>31400000000</v>
      </c>
      <c r="L21" s="1192">
        <v>32500000000</v>
      </c>
      <c r="M21" s="1192">
        <v>29600000000</v>
      </c>
      <c r="N21" s="1192">
        <v>31000000000</v>
      </c>
      <c r="O21" s="1192">
        <v>32900000000</v>
      </c>
      <c r="P21" s="1210">
        <v>41500000000</v>
      </c>
      <c r="Q21" s="1210">
        <v>39300000000</v>
      </c>
      <c r="R21" s="1210">
        <v>47400000000</v>
      </c>
      <c r="S21" s="1210">
        <v>48300000000</v>
      </c>
      <c r="T21" s="1210">
        <v>46900000000</v>
      </c>
      <c r="U21" s="1210">
        <v>77400000000</v>
      </c>
      <c r="V21" s="1210">
        <v>84700000000</v>
      </c>
      <c r="W21" s="1210">
        <v>92500000000</v>
      </c>
      <c r="X21" s="1210">
        <v>101000000000</v>
      </c>
      <c r="Y21" s="1210">
        <v>110300000000</v>
      </c>
      <c r="Z21" s="1210">
        <v>120400000000</v>
      </c>
    </row>
    <row r="22" spans="1:29">
      <c r="A22" s="1194" t="s">
        <v>389</v>
      </c>
      <c r="B22" s="1194" t="s">
        <v>2284</v>
      </c>
      <c r="C22" s="1189" t="s">
        <v>204</v>
      </c>
      <c r="K22" s="1191">
        <v>72300000000</v>
      </c>
      <c r="L22" s="1192">
        <v>111400000000</v>
      </c>
      <c r="M22" s="1192">
        <v>92800000000</v>
      </c>
      <c r="N22" s="1192">
        <v>90600000000</v>
      </c>
      <c r="O22" s="1192">
        <v>86200000000</v>
      </c>
      <c r="P22" s="1210">
        <v>134900000000</v>
      </c>
      <c r="Q22" s="1210">
        <v>153400000000</v>
      </c>
      <c r="R22" s="1210">
        <v>169700000000</v>
      </c>
      <c r="S22" s="1210">
        <v>147600000000</v>
      </c>
      <c r="T22" s="1210">
        <v>175500000000</v>
      </c>
      <c r="U22" s="1210">
        <v>177900000000</v>
      </c>
      <c r="V22" s="1210">
        <v>190100000000</v>
      </c>
      <c r="W22" s="1210">
        <v>202600000000</v>
      </c>
      <c r="X22" s="1210">
        <v>220700000000</v>
      </c>
      <c r="Y22" s="1210">
        <v>240600000000</v>
      </c>
      <c r="Z22" s="1210">
        <v>262200000000</v>
      </c>
    </row>
    <row r="23" spans="1:29">
      <c r="A23" s="1195" t="s">
        <v>2285</v>
      </c>
      <c r="B23" s="1195" t="s">
        <v>2286</v>
      </c>
      <c r="C23" s="1189" t="s">
        <v>486</v>
      </c>
      <c r="K23" s="1191">
        <v>5500000000</v>
      </c>
      <c r="L23" s="1192">
        <v>7700000000</v>
      </c>
      <c r="M23" s="1192">
        <v>0</v>
      </c>
      <c r="N23" s="1192">
        <v>0</v>
      </c>
      <c r="O23" s="1192">
        <v>0</v>
      </c>
      <c r="P23" s="1210"/>
      <c r="Q23" s="1210"/>
      <c r="R23" s="1210"/>
      <c r="S23" s="1210"/>
      <c r="T23" s="1210"/>
      <c r="U23" s="1210"/>
      <c r="V23" s="1210"/>
      <c r="W23" s="1210"/>
      <c r="X23" s="1210"/>
      <c r="Y23" s="1210"/>
      <c r="Z23" s="1210"/>
    </row>
    <row r="24" spans="1:29">
      <c r="A24" s="1195" t="s">
        <v>2287</v>
      </c>
      <c r="B24" s="1195" t="s">
        <v>2288</v>
      </c>
      <c r="C24" s="1189" t="s">
        <v>486</v>
      </c>
      <c r="K24" s="1191">
        <v>16399999999.999998</v>
      </c>
      <c r="L24" s="1192">
        <v>41900000000</v>
      </c>
      <c r="M24" s="1192">
        <v>23900000000</v>
      </c>
      <c r="N24" s="1192">
        <v>22400000000</v>
      </c>
      <c r="O24" s="1192">
        <v>13600000000</v>
      </c>
      <c r="P24" s="1210">
        <v>35500000000</v>
      </c>
      <c r="Q24" s="1210">
        <v>34600000000</v>
      </c>
      <c r="R24" s="1210">
        <v>40200000000</v>
      </c>
      <c r="S24" s="1210">
        <v>24600000000</v>
      </c>
      <c r="T24" s="1210">
        <v>16800000000</v>
      </c>
      <c r="U24" s="1210">
        <v>19300000000</v>
      </c>
      <c r="V24" s="1210">
        <v>16600000000.000002</v>
      </c>
      <c r="W24" s="1210">
        <v>13000000000</v>
      </c>
      <c r="X24" s="1210">
        <v>13700000000</v>
      </c>
      <c r="Y24" s="1210">
        <v>14500000000</v>
      </c>
      <c r="Z24" s="1210">
        <v>15400000000</v>
      </c>
    </row>
    <row r="25" spans="1:29">
      <c r="A25" s="1195" t="s">
        <v>50</v>
      </c>
      <c r="B25" s="1195" t="s">
        <v>50</v>
      </c>
      <c r="C25" s="1189" t="s">
        <v>486</v>
      </c>
      <c r="K25" s="1191">
        <v>50500000000</v>
      </c>
      <c r="L25" s="1192">
        <v>61800000000</v>
      </c>
      <c r="M25" s="1192">
        <v>68900000000</v>
      </c>
      <c r="N25" s="1192">
        <v>68200000000</v>
      </c>
      <c r="O25" s="1192">
        <v>72600000000</v>
      </c>
      <c r="P25" s="1210">
        <v>99400000000</v>
      </c>
      <c r="Q25" s="1210">
        <v>118800000000</v>
      </c>
      <c r="R25" s="1211">
        <v>129400000000</v>
      </c>
      <c r="S25" s="1210">
        <v>123000000000</v>
      </c>
      <c r="T25" s="1210">
        <v>158700000000</v>
      </c>
      <c r="U25" s="1210">
        <v>158600000000</v>
      </c>
      <c r="V25" s="1210">
        <v>173600000000</v>
      </c>
      <c r="W25" s="1210">
        <v>189500000000</v>
      </c>
      <c r="X25" s="1210">
        <v>207000000000</v>
      </c>
      <c r="Y25" s="1210">
        <v>226000000000</v>
      </c>
      <c r="Z25" s="1210">
        <v>246800000000</v>
      </c>
    </row>
    <row r="26" spans="1:29">
      <c r="A26" s="1189" t="s">
        <v>237</v>
      </c>
      <c r="B26" s="1189" t="s">
        <v>2289</v>
      </c>
      <c r="C26" s="1189" t="s">
        <v>201</v>
      </c>
      <c r="K26" s="1191">
        <v>64400000000.000008</v>
      </c>
      <c r="L26" s="1192">
        <v>78100000000</v>
      </c>
      <c r="M26" s="1192">
        <v>60000000000</v>
      </c>
      <c r="N26" s="1192">
        <v>70700000000</v>
      </c>
      <c r="O26" s="1192">
        <v>78900000000</v>
      </c>
      <c r="P26" s="1210">
        <v>151000000000</v>
      </c>
      <c r="Q26" s="1210">
        <v>93700000000</v>
      </c>
      <c r="R26" s="1210">
        <v>81500000000</v>
      </c>
      <c r="S26" s="1210">
        <v>104600000000</v>
      </c>
      <c r="T26" s="1210">
        <v>104800000000</v>
      </c>
      <c r="U26" s="1210">
        <v>128199999999.99998</v>
      </c>
      <c r="V26" s="1210">
        <v>132400000000</v>
      </c>
      <c r="W26" s="1210">
        <v>144500000000</v>
      </c>
      <c r="X26" s="1210">
        <v>157800000000</v>
      </c>
      <c r="Y26" s="1210">
        <v>172300000000</v>
      </c>
      <c r="Z26" s="1210">
        <v>188200000000</v>
      </c>
    </row>
    <row r="27" spans="1:29">
      <c r="A27" s="1183" t="s">
        <v>76</v>
      </c>
      <c r="B27" s="1189" t="s">
        <v>2290</v>
      </c>
      <c r="K27" s="1191">
        <v>1100000000</v>
      </c>
      <c r="L27" s="1192">
        <v>0</v>
      </c>
      <c r="M27" s="1192">
        <v>5500000000</v>
      </c>
      <c r="N27" s="1192">
        <v>0</v>
      </c>
      <c r="O27" s="1192">
        <v>0</v>
      </c>
      <c r="P27" s="1210">
        <v>4500000000</v>
      </c>
      <c r="Q27" s="1210">
        <v>-6100000000</v>
      </c>
      <c r="R27" s="1210">
        <v>-3500000000</v>
      </c>
      <c r="S27" s="1210">
        <v>-1100000000</v>
      </c>
      <c r="T27" s="1210">
        <v>900000000</v>
      </c>
      <c r="U27" s="1210">
        <v>0</v>
      </c>
      <c r="V27" s="1210">
        <v>0</v>
      </c>
      <c r="W27" s="1210">
        <v>0</v>
      </c>
      <c r="X27" s="1210">
        <v>0</v>
      </c>
      <c r="Y27" s="1210">
        <v>0</v>
      </c>
      <c r="Z27" s="1210">
        <v>0</v>
      </c>
    </row>
    <row r="28" spans="1:29">
      <c r="A28" s="1183" t="s">
        <v>76</v>
      </c>
      <c r="B28" s="1189" t="s">
        <v>2291</v>
      </c>
      <c r="K28" s="1191">
        <v>23200000000</v>
      </c>
      <c r="L28" s="1192">
        <v>-21500000000</v>
      </c>
      <c r="M28" s="1192">
        <v>-26700000000</v>
      </c>
      <c r="N28" s="1192">
        <v>-4800000000</v>
      </c>
      <c r="O28" s="1192">
        <v>16399999999.999998</v>
      </c>
      <c r="P28" s="1210">
        <v>-96800000000</v>
      </c>
      <c r="Q28" s="1210">
        <v>-13500000000</v>
      </c>
      <c r="R28" s="1210">
        <v>-3800000000</v>
      </c>
      <c r="S28" s="1210">
        <v>84600000000</v>
      </c>
      <c r="T28" s="1210">
        <v>5200000000</v>
      </c>
      <c r="U28" s="1210">
        <v>-4200000000</v>
      </c>
      <c r="V28" s="1210">
        <v>4900000000</v>
      </c>
      <c r="W28" s="1210">
        <v>8199999999.999999</v>
      </c>
      <c r="X28" s="1210">
        <v>7200000000</v>
      </c>
      <c r="Y28" s="1210">
        <v>5000000000</v>
      </c>
      <c r="Z28" s="1210">
        <v>2100000000</v>
      </c>
    </row>
    <row r="29" spans="1:29">
      <c r="A29" s="1189" t="s">
        <v>91</v>
      </c>
      <c r="B29" s="1189" t="s">
        <v>91</v>
      </c>
      <c r="C29" s="1189" t="s">
        <v>204</v>
      </c>
      <c r="K29" s="1191">
        <v>21800000000</v>
      </c>
      <c r="L29" s="1192">
        <v>26100000000</v>
      </c>
      <c r="M29" s="1192">
        <v>32000000000</v>
      </c>
      <c r="N29" s="1192">
        <v>38900000000</v>
      </c>
      <c r="O29" s="1192">
        <v>49900000000</v>
      </c>
      <c r="P29" s="1210">
        <v>56200000000</v>
      </c>
      <c r="Q29" s="1210">
        <v>59200000000</v>
      </c>
      <c r="R29" s="1210">
        <v>70000000000</v>
      </c>
      <c r="S29" s="1210">
        <v>80100000000</v>
      </c>
      <c r="T29" s="1210">
        <v>95600000000</v>
      </c>
      <c r="U29" s="1210">
        <v>114600000000</v>
      </c>
      <c r="V29" s="1210">
        <v>130699999999.99998</v>
      </c>
      <c r="W29" s="1210">
        <v>148400000000</v>
      </c>
      <c r="X29" s="1210">
        <v>167700000000</v>
      </c>
      <c r="Y29" s="1210">
        <v>189700000000</v>
      </c>
      <c r="Z29" s="1210">
        <v>211600000000</v>
      </c>
    </row>
    <row r="30" spans="1:29">
      <c r="A30" s="1189" t="s">
        <v>212</v>
      </c>
      <c r="B30" s="1189" t="s">
        <v>212</v>
      </c>
      <c r="C30" s="1189" t="s">
        <v>211</v>
      </c>
      <c r="K30" s="1191">
        <v>12400000000</v>
      </c>
      <c r="L30" s="1192">
        <v>12400000000</v>
      </c>
      <c r="M30" s="1192">
        <v>11300000000</v>
      </c>
      <c r="N30" s="1192">
        <v>15700000000</v>
      </c>
      <c r="O30" s="1192">
        <v>17900000000</v>
      </c>
      <c r="P30" s="1210">
        <v>17700000000</v>
      </c>
      <c r="Q30" s="1210">
        <v>20500000000</v>
      </c>
      <c r="R30" s="1210">
        <v>25400000000</v>
      </c>
      <c r="S30" s="1210">
        <v>32900000000</v>
      </c>
      <c r="T30" s="1210">
        <v>41300000000</v>
      </c>
      <c r="U30" s="1210">
        <v>52100000000</v>
      </c>
      <c r="V30" s="1210">
        <v>60100000000</v>
      </c>
      <c r="W30" s="1210">
        <v>68900000000</v>
      </c>
      <c r="X30" s="1210">
        <v>78600000000</v>
      </c>
      <c r="Y30" s="1210">
        <v>89700000000</v>
      </c>
      <c r="Z30" s="1210">
        <v>100900000000</v>
      </c>
    </row>
    <row r="31" spans="1:29">
      <c r="A31" s="1189" t="s">
        <v>517</v>
      </c>
      <c r="B31" s="1189" t="s">
        <v>2292</v>
      </c>
      <c r="C31" s="1189" t="s">
        <v>211</v>
      </c>
      <c r="K31" s="1191">
        <v>9400000000</v>
      </c>
      <c r="L31" s="1192">
        <v>13600000000</v>
      </c>
      <c r="M31" s="1192">
        <v>20700000000</v>
      </c>
      <c r="N31" s="1192">
        <v>23200000000</v>
      </c>
      <c r="O31" s="1192">
        <v>32000000000</v>
      </c>
      <c r="P31" s="1210">
        <v>38500000000</v>
      </c>
      <c r="Q31" s="1210">
        <v>38700000000</v>
      </c>
      <c r="R31" s="1210">
        <v>44600000000</v>
      </c>
      <c r="S31" s="1210">
        <v>47200000000</v>
      </c>
      <c r="T31" s="1210">
        <v>54200000000</v>
      </c>
      <c r="U31" s="1210">
        <v>62600000000</v>
      </c>
      <c r="V31" s="1210">
        <v>70700000000</v>
      </c>
      <c r="W31" s="1210">
        <v>79500000000</v>
      </c>
      <c r="X31" s="1210">
        <v>89100000000</v>
      </c>
      <c r="Y31" s="1210">
        <v>100000000000</v>
      </c>
      <c r="Z31" s="1210">
        <v>110700000000</v>
      </c>
    </row>
    <row r="32" spans="1:29">
      <c r="A32" s="1183" t="s">
        <v>76</v>
      </c>
      <c r="B32" s="1189" t="s">
        <v>2293</v>
      </c>
      <c r="K32" s="1191">
        <v>1400000000</v>
      </c>
      <c r="L32" s="1192">
        <v>-47600000000</v>
      </c>
      <c r="M32" s="1192">
        <v>-58600000000</v>
      </c>
      <c r="N32" s="1192">
        <v>-43700000000</v>
      </c>
      <c r="O32" s="1192">
        <v>-33500000000</v>
      </c>
      <c r="P32" s="1210">
        <v>-153000000000</v>
      </c>
      <c r="Q32" s="1210">
        <v>-72700000000</v>
      </c>
      <c r="R32" s="1210">
        <v>-73800000000</v>
      </c>
      <c r="S32" s="1210">
        <v>4500000000</v>
      </c>
      <c r="T32" s="1210">
        <v>-90300000000</v>
      </c>
      <c r="U32" s="1210">
        <v>-118800000000</v>
      </c>
      <c r="V32" s="1210">
        <v>-125800000000</v>
      </c>
      <c r="W32" s="1210">
        <v>-140200000000</v>
      </c>
      <c r="X32" s="1210">
        <v>-160600000000</v>
      </c>
      <c r="Y32" s="1210">
        <v>-184700000000</v>
      </c>
      <c r="Z32" s="1210">
        <v>-209500000000</v>
      </c>
    </row>
    <row r="33" spans="1:29">
      <c r="A33" s="1183" t="s">
        <v>76</v>
      </c>
      <c r="B33" s="1189" t="s">
        <v>2294</v>
      </c>
      <c r="K33" s="1191">
        <v>0</v>
      </c>
      <c r="L33" s="1192">
        <v>-1700000000</v>
      </c>
      <c r="M33" s="1192">
        <v>6200000000</v>
      </c>
      <c r="N33" s="1192">
        <v>-4600000000</v>
      </c>
      <c r="O33" s="1192">
        <v>0</v>
      </c>
      <c r="P33" s="1210">
        <v>-3500000000</v>
      </c>
      <c r="Q33" s="1210">
        <v>-18300000000</v>
      </c>
      <c r="R33" s="1210">
        <v>-10800000000</v>
      </c>
      <c r="S33" s="1210">
        <v>-10400000000</v>
      </c>
      <c r="T33" s="1210">
        <v>-6000000000</v>
      </c>
      <c r="U33" s="1210">
        <v>-10900000000</v>
      </c>
      <c r="V33" s="1210">
        <v>-13600000000</v>
      </c>
      <c r="W33" s="1210">
        <v>-9400000000</v>
      </c>
      <c r="X33" s="1210">
        <v>-9600000000</v>
      </c>
      <c r="Y33" s="1210">
        <v>-10100000000</v>
      </c>
      <c r="Z33" s="1210">
        <v>-13000000000</v>
      </c>
    </row>
    <row r="34" spans="1:29">
      <c r="A34" s="1183" t="s">
        <v>76</v>
      </c>
      <c r="B34" s="1189" t="s">
        <v>2295</v>
      </c>
      <c r="K34" s="1191">
        <v>1400000000</v>
      </c>
      <c r="L34" s="1192">
        <v>-49300000000</v>
      </c>
      <c r="M34" s="1192">
        <v>-52400000000</v>
      </c>
      <c r="N34" s="1192">
        <v>-48300000000</v>
      </c>
      <c r="O34" s="1192">
        <v>-33500000000</v>
      </c>
      <c r="P34" s="1210">
        <v>-156500000000</v>
      </c>
      <c r="Q34" s="1210">
        <v>-91000000000</v>
      </c>
      <c r="R34" s="1210">
        <v>-84500000000</v>
      </c>
      <c r="S34" s="1210">
        <v>-6000000000</v>
      </c>
      <c r="T34" s="1210">
        <v>-96300000000</v>
      </c>
      <c r="U34" s="1210">
        <v>-129699999999.99998</v>
      </c>
      <c r="V34" s="1210">
        <v>-139400000000</v>
      </c>
      <c r="W34" s="1210">
        <v>-149600000000</v>
      </c>
      <c r="X34" s="1210">
        <v>-170100000000</v>
      </c>
      <c r="Y34" s="1210">
        <v>-194700000000</v>
      </c>
      <c r="Z34" s="1210">
        <v>-222500000000</v>
      </c>
    </row>
    <row r="35" spans="1:29">
      <c r="A35" s="1183" t="s">
        <v>76</v>
      </c>
      <c r="B35" s="1189" t="s">
        <v>2296</v>
      </c>
      <c r="K35" s="1191">
        <v>23200000000</v>
      </c>
      <c r="L35" s="1192">
        <v>-23200000000</v>
      </c>
      <c r="M35" s="1192">
        <v>-20400000000</v>
      </c>
      <c r="N35" s="1192">
        <v>-9400000000</v>
      </c>
      <c r="O35" s="1192">
        <v>16399999999.999998</v>
      </c>
      <c r="P35" s="1210">
        <v>-100300000000</v>
      </c>
      <c r="Q35" s="1210">
        <v>-31700000000</v>
      </c>
      <c r="R35" s="1210">
        <v>-14500000000</v>
      </c>
      <c r="S35" s="1210">
        <v>74100000000</v>
      </c>
      <c r="T35" s="1210">
        <v>-800000000</v>
      </c>
      <c r="U35" s="1210">
        <v>-15000000000</v>
      </c>
      <c r="V35" s="1210">
        <v>-8700000000</v>
      </c>
      <c r="W35" s="1210">
        <v>-1200000000</v>
      </c>
      <c r="X35" s="1210">
        <v>-2400000000</v>
      </c>
      <c r="Y35" s="1210">
        <v>-5100000000</v>
      </c>
      <c r="Z35" s="1210">
        <v>-10900000000</v>
      </c>
    </row>
    <row r="36" spans="1:29">
      <c r="A36" s="1183" t="s">
        <v>76</v>
      </c>
      <c r="B36" s="1189" t="s">
        <v>91</v>
      </c>
      <c r="K36" s="1191">
        <v>21800000000</v>
      </c>
      <c r="L36" s="1192">
        <v>26100000000</v>
      </c>
      <c r="M36" s="1192">
        <v>32000000000</v>
      </c>
      <c r="N36" s="1192">
        <v>38900000000</v>
      </c>
      <c r="O36" s="1192">
        <v>49900000000</v>
      </c>
      <c r="P36" s="1210">
        <v>56200000000</v>
      </c>
      <c r="Q36" s="1210">
        <v>59200000000</v>
      </c>
      <c r="R36" s="1210">
        <v>70000000000</v>
      </c>
      <c r="S36" s="1210">
        <v>80100000000</v>
      </c>
      <c r="T36" s="1210">
        <v>95600000000</v>
      </c>
      <c r="U36" s="1210">
        <v>114600000000</v>
      </c>
      <c r="V36" s="1210">
        <v>130699999999.99998</v>
      </c>
      <c r="W36" s="1210">
        <v>148400000000</v>
      </c>
      <c r="X36" s="1210">
        <v>167700000000</v>
      </c>
      <c r="Y36" s="1210">
        <v>189700000000</v>
      </c>
      <c r="Z36" s="1210">
        <v>211600000000</v>
      </c>
    </row>
    <row r="37" spans="1:29" s="848" customFormat="1">
      <c r="A37" s="1202" t="s">
        <v>115</v>
      </c>
      <c r="B37" s="1202" t="s">
        <v>2297</v>
      </c>
      <c r="C37" s="1202" t="s">
        <v>35</v>
      </c>
      <c r="D37" s="1203"/>
      <c r="E37" s="1203"/>
      <c r="F37" s="1203"/>
      <c r="G37" s="1203"/>
      <c r="H37" s="1203"/>
      <c r="I37" s="1203"/>
      <c r="J37" s="1203"/>
      <c r="K37" s="1205">
        <f>K38+K39</f>
        <v>1300000000</v>
      </c>
      <c r="L37" s="1205">
        <f>L38+L39</f>
        <v>55000000000</v>
      </c>
      <c r="M37" s="1205">
        <v>52400000000</v>
      </c>
      <c r="N37" s="1205">
        <v>48300000000</v>
      </c>
      <c r="O37" s="1205">
        <v>33500000000</v>
      </c>
      <c r="P37" s="1212">
        <f>P17-P6</f>
        <v>147900000000</v>
      </c>
      <c r="Q37" s="1212">
        <f>Q17-Q6</f>
        <v>78400000000</v>
      </c>
      <c r="R37" s="1212">
        <f t="shared" ref="R37:Z37" si="5">R17-R6</f>
        <v>80400000000</v>
      </c>
      <c r="S37" s="1212">
        <f t="shared" si="5"/>
        <v>-3700000000</v>
      </c>
      <c r="T37" s="1212">
        <f t="shared" si="5"/>
        <v>88100000000</v>
      </c>
      <c r="U37" s="1212">
        <f t="shared" si="5"/>
        <v>117300000000.00006</v>
      </c>
      <c r="V37" s="1212">
        <f t="shared" si="5"/>
        <v>124200000000</v>
      </c>
      <c r="W37" s="1212">
        <f t="shared" si="5"/>
        <v>138400000000</v>
      </c>
      <c r="X37" s="1212">
        <f t="shared" si="5"/>
        <v>158600000000</v>
      </c>
      <c r="Y37" s="1212">
        <f t="shared" si="5"/>
        <v>182600000000</v>
      </c>
      <c r="Z37" s="1212">
        <f t="shared" si="5"/>
        <v>207100000000</v>
      </c>
      <c r="AA37" s="1203"/>
      <c r="AB37" s="1203"/>
      <c r="AC37" s="1203"/>
    </row>
    <row r="38" spans="1:29">
      <c r="A38" s="1189" t="s">
        <v>117</v>
      </c>
      <c r="B38" s="1189" t="s">
        <v>2298</v>
      </c>
      <c r="C38" s="1189" t="s">
        <v>252</v>
      </c>
      <c r="K38" s="1191">
        <v>6800000000</v>
      </c>
      <c r="L38" s="1192">
        <v>24300000000</v>
      </c>
      <c r="M38" s="1192">
        <v>35600000000</v>
      </c>
      <c r="N38" s="1192">
        <v>61300000000</v>
      </c>
      <c r="O38" s="1192">
        <v>40800000000</v>
      </c>
    </row>
    <row r="39" spans="1:29">
      <c r="A39" s="1189" t="s">
        <v>2299</v>
      </c>
      <c r="B39" s="1189" t="s">
        <v>2300</v>
      </c>
      <c r="C39" s="1189" t="s">
        <v>252</v>
      </c>
      <c r="K39" s="1191">
        <v>-5500000000</v>
      </c>
      <c r="L39" s="1192">
        <v>30700000000</v>
      </c>
      <c r="M39" s="1192">
        <v>16700000000</v>
      </c>
      <c r="N39" s="1192">
        <v>-13100000000</v>
      </c>
      <c r="O39" s="1192">
        <v>-7400000000</v>
      </c>
      <c r="P39" s="1215"/>
    </row>
    <row r="41" spans="1:29">
      <c r="K41" s="1183" t="s">
        <v>139</v>
      </c>
      <c r="L41" s="1183" t="s">
        <v>139</v>
      </c>
      <c r="M41" s="1183" t="s">
        <v>139</v>
      </c>
      <c r="N41" s="1183" t="s">
        <v>139</v>
      </c>
      <c r="O41" s="1183" t="s">
        <v>139</v>
      </c>
      <c r="P41" s="1183" t="s">
        <v>139</v>
      </c>
      <c r="Q41" s="1183" t="s">
        <v>139</v>
      </c>
      <c r="R41" s="1183" t="s">
        <v>139</v>
      </c>
      <c r="S41" s="1183" t="s">
        <v>139</v>
      </c>
      <c r="T41" s="1183" t="s">
        <v>139</v>
      </c>
      <c r="U41" s="1183" t="s">
        <v>139</v>
      </c>
      <c r="V41" s="1183" t="s">
        <v>139</v>
      </c>
      <c r="W41" s="1183" t="s">
        <v>139</v>
      </c>
      <c r="X41" s="1183" t="s">
        <v>139</v>
      </c>
      <c r="Y41" s="1183" t="s">
        <v>139</v>
      </c>
      <c r="Z41" s="1183" t="s">
        <v>139</v>
      </c>
    </row>
    <row r="43" spans="1:29">
      <c r="B43" s="1183" t="s">
        <v>2301</v>
      </c>
      <c r="K43" s="1196">
        <f>K6-K7-K16</f>
        <v>0</v>
      </c>
      <c r="L43" s="1196">
        <f>L6-L7-L16</f>
        <v>0</v>
      </c>
      <c r="M43" s="1196">
        <f>M6-M7-M16</f>
        <v>0</v>
      </c>
      <c r="N43" s="1196">
        <f>N6-N7-N16</f>
        <v>0</v>
      </c>
      <c r="O43" s="1210">
        <f>O6-O7-O16</f>
        <v>0</v>
      </c>
      <c r="P43" s="1210">
        <f t="shared" ref="P43:Z43" si="6">P6-P7-P16</f>
        <v>0</v>
      </c>
      <c r="Q43" s="1210">
        <f t="shared" si="6"/>
        <v>0</v>
      </c>
      <c r="R43" s="1210">
        <f t="shared" si="6"/>
        <v>0</v>
      </c>
      <c r="S43" s="1210">
        <f t="shared" si="6"/>
        <v>0</v>
      </c>
      <c r="T43" s="1210">
        <f t="shared" si="6"/>
        <v>0</v>
      </c>
      <c r="U43" s="1210">
        <f t="shared" si="6"/>
        <v>-1.220703125E-4</v>
      </c>
      <c r="V43" s="1210">
        <f t="shared" si="6"/>
        <v>0</v>
      </c>
      <c r="W43" s="1210">
        <f t="shared" si="6"/>
        <v>100000000</v>
      </c>
      <c r="X43" s="1210">
        <f t="shared" si="6"/>
        <v>-100000000</v>
      </c>
      <c r="Y43" s="1210">
        <f t="shared" si="6"/>
        <v>0</v>
      </c>
      <c r="Z43" s="1210">
        <f t="shared" si="6"/>
        <v>0</v>
      </c>
    </row>
    <row r="44" spans="1:29">
      <c r="B44" s="1183" t="s">
        <v>141</v>
      </c>
      <c r="K44" s="1196">
        <f>K7-K8-K14-K15</f>
        <v>0</v>
      </c>
      <c r="L44" s="1196">
        <f>L7-L8-L14-L15</f>
        <v>0</v>
      </c>
      <c r="M44" s="1196">
        <f>M7-M8-M14-M15</f>
        <v>0</v>
      </c>
      <c r="N44" s="1196">
        <f>N7-N8-N14-N15</f>
        <v>0</v>
      </c>
      <c r="O44" s="1210">
        <f>O7-O8-O14-O15</f>
        <v>-100000000</v>
      </c>
      <c r="P44" s="1210">
        <f t="shared" ref="P44:Z44" si="7">P7-P8-P14-P15</f>
        <v>0</v>
      </c>
      <c r="Q44" s="1210">
        <f t="shared" si="7"/>
        <v>0</v>
      </c>
      <c r="R44" s="1210">
        <f t="shared" si="7"/>
        <v>0</v>
      </c>
      <c r="S44" s="1210">
        <f t="shared" si="7"/>
        <v>0</v>
      </c>
      <c r="T44" s="1210">
        <f t="shared" si="7"/>
        <v>0</v>
      </c>
      <c r="U44" s="1210">
        <f t="shared" si="7"/>
        <v>6.4849853515625E-5</v>
      </c>
      <c r="V44" s="1210">
        <f t="shared" si="7"/>
        <v>100000000</v>
      </c>
      <c r="W44" s="1210">
        <f t="shared" si="7"/>
        <v>0</v>
      </c>
      <c r="X44" s="1210">
        <f t="shared" si="7"/>
        <v>100000000</v>
      </c>
      <c r="Y44" s="1210">
        <f t="shared" si="7"/>
        <v>100000000</v>
      </c>
      <c r="Z44" s="1210">
        <f t="shared" si="7"/>
        <v>0</v>
      </c>
    </row>
    <row r="45" spans="1:29">
      <c r="B45" s="1183" t="s">
        <v>451</v>
      </c>
      <c r="K45" s="1196">
        <f>K8-K9-K10-K11-K12-K13</f>
        <v>100000000</v>
      </c>
      <c r="L45" s="1196">
        <f>L8-L9-L10-L11-L12-L13</f>
        <v>99999999.999992371</v>
      </c>
      <c r="M45" s="1196">
        <f>M8-M9-M10-M11-M12-M13</f>
        <v>0</v>
      </c>
      <c r="N45" s="1196">
        <f>N8-N9-N10-N11-N12-N13</f>
        <v>-100000000</v>
      </c>
      <c r="O45" s="1210">
        <f>O8-O9-O10-O11-O12-O13</f>
        <v>0</v>
      </c>
      <c r="P45" s="1210">
        <f t="shared" ref="P45:Z45" si="8">P8-P9-P10-P11-P12-P13</f>
        <v>100000000</v>
      </c>
      <c r="Q45" s="1210">
        <f t="shared" si="8"/>
        <v>0</v>
      </c>
      <c r="R45" s="1210">
        <f t="shared" si="8"/>
        <v>0</v>
      </c>
      <c r="S45" s="1210">
        <f t="shared" si="8"/>
        <v>0</v>
      </c>
      <c r="T45" s="1210">
        <f t="shared" si="8"/>
        <v>0</v>
      </c>
      <c r="U45" s="1210">
        <f t="shared" si="8"/>
        <v>0</v>
      </c>
      <c r="V45" s="1210">
        <f t="shared" si="8"/>
        <v>0</v>
      </c>
      <c r="W45" s="1210">
        <f t="shared" si="8"/>
        <v>0</v>
      </c>
      <c r="X45" s="1210">
        <f t="shared" si="8"/>
        <v>0</v>
      </c>
      <c r="Y45" s="1210">
        <f t="shared" si="8"/>
        <v>0</v>
      </c>
      <c r="Z45" s="1210">
        <f t="shared" si="8"/>
        <v>0</v>
      </c>
    </row>
    <row r="46" spans="1:29">
      <c r="B46" s="1183" t="s">
        <v>145</v>
      </c>
      <c r="K46" s="1193">
        <f>K17-K19-K26</f>
        <v>0</v>
      </c>
      <c r="L46" s="1193">
        <f>L17-L19-L26</f>
        <v>0</v>
      </c>
      <c r="M46" s="1193">
        <f>M17-M19-M26</f>
        <v>0</v>
      </c>
      <c r="N46" s="1193">
        <f>N17-N19-N26</f>
        <v>0</v>
      </c>
      <c r="O46" s="1210">
        <f>O17-O19-O26</f>
        <v>0</v>
      </c>
      <c r="P46" s="1210">
        <f t="shared" ref="P46:Z46" si="9">P17-P19-P26</f>
        <v>0</v>
      </c>
      <c r="Q46" s="1210">
        <f t="shared" si="9"/>
        <v>0</v>
      </c>
      <c r="R46" s="1210">
        <f t="shared" si="9"/>
        <v>0</v>
      </c>
      <c r="S46" s="1210">
        <f t="shared" si="9"/>
        <v>0</v>
      </c>
      <c r="T46" s="1210">
        <f t="shared" si="9"/>
        <v>0</v>
      </c>
      <c r="U46" s="1210">
        <f t="shared" si="9"/>
        <v>0</v>
      </c>
      <c r="V46" s="1210">
        <f t="shared" si="9"/>
        <v>0</v>
      </c>
      <c r="W46" s="1210">
        <f t="shared" si="9"/>
        <v>0</v>
      </c>
      <c r="X46" s="1210">
        <f t="shared" si="9"/>
        <v>0</v>
      </c>
      <c r="Y46" s="1210">
        <f t="shared" si="9"/>
        <v>0</v>
      </c>
      <c r="Z46" s="1210">
        <f t="shared" si="9"/>
        <v>0</v>
      </c>
    </row>
    <row r="47" spans="1:29">
      <c r="B47" s="1183" t="s">
        <v>2302</v>
      </c>
      <c r="K47" s="1193">
        <f>K19-K20-K21-K22-K29</f>
        <v>0</v>
      </c>
      <c r="L47" s="1193">
        <f>L19-L20-L21-L22-L29</f>
        <v>0</v>
      </c>
      <c r="M47" s="1193">
        <f>M19-M20-M21-M22-M29</f>
        <v>0</v>
      </c>
      <c r="N47" s="1193">
        <f>N19-N20-N21-N22-N29</f>
        <v>0</v>
      </c>
      <c r="O47" s="1210">
        <f>O19-O20-O21-O22-O29</f>
        <v>0</v>
      </c>
      <c r="P47" s="1210">
        <f t="shared" ref="P47:Z47" si="10">P19-P20-P21-P22-P29</f>
        <v>0</v>
      </c>
      <c r="Q47" s="1210">
        <f t="shared" si="10"/>
        <v>0</v>
      </c>
      <c r="R47" s="1210">
        <f t="shared" si="10"/>
        <v>0</v>
      </c>
      <c r="S47" s="1210">
        <f t="shared" si="10"/>
        <v>0</v>
      </c>
      <c r="T47" s="1210">
        <f t="shared" si="10"/>
        <v>0</v>
      </c>
      <c r="U47" s="1210">
        <f t="shared" si="10"/>
        <v>0</v>
      </c>
      <c r="V47" s="1210">
        <f t="shared" si="10"/>
        <v>0</v>
      </c>
      <c r="W47" s="1210">
        <f t="shared" si="10"/>
        <v>0</v>
      </c>
      <c r="X47" s="1210">
        <f t="shared" si="10"/>
        <v>0</v>
      </c>
      <c r="Y47" s="1210">
        <f t="shared" si="10"/>
        <v>0</v>
      </c>
      <c r="Z47" s="1210">
        <f t="shared" si="10"/>
        <v>0</v>
      </c>
    </row>
    <row r="48" spans="1:29">
      <c r="B48" s="1183" t="s">
        <v>721</v>
      </c>
      <c r="K48" s="1193">
        <f>K22-K23-K24-K25</f>
        <v>-100000000</v>
      </c>
      <c r="L48" s="1193">
        <f>L22-L23-L24-L25</f>
        <v>0</v>
      </c>
      <c r="M48" s="1193">
        <f>M22-M23-M24-M25</f>
        <v>0</v>
      </c>
      <c r="N48" s="1193">
        <f>N22-N23-N24-N25</f>
        <v>0</v>
      </c>
      <c r="O48" s="1210">
        <f>O22-O23-O24-O25</f>
        <v>0</v>
      </c>
      <c r="P48" s="1210">
        <f t="shared" ref="P48:Z48" si="11">P22-P23-P24-P25</f>
        <v>0</v>
      </c>
      <c r="Q48" s="1210">
        <f t="shared" si="11"/>
        <v>0</v>
      </c>
      <c r="R48" s="1210">
        <f t="shared" si="11"/>
        <v>100000000</v>
      </c>
      <c r="S48" s="1210">
        <f t="shared" si="11"/>
        <v>0</v>
      </c>
      <c r="T48" s="1210">
        <f t="shared" si="11"/>
        <v>0</v>
      </c>
      <c r="U48" s="1210">
        <f t="shared" si="11"/>
        <v>0</v>
      </c>
      <c r="V48" s="1210">
        <f t="shared" si="11"/>
        <v>-100000000</v>
      </c>
      <c r="W48" s="1210">
        <f t="shared" si="11"/>
        <v>100000000</v>
      </c>
      <c r="X48" s="1210">
        <f t="shared" si="11"/>
        <v>0</v>
      </c>
      <c r="Y48" s="1210">
        <f t="shared" si="11"/>
        <v>100000000</v>
      </c>
      <c r="Z48" s="1210">
        <f t="shared" si="11"/>
        <v>0</v>
      </c>
    </row>
    <row r="49" spans="2:26">
      <c r="B49" s="1183" t="s">
        <v>291</v>
      </c>
      <c r="K49" s="1193">
        <f>K29-K30-K31</f>
        <v>0</v>
      </c>
      <c r="L49" s="1193">
        <f>L29-L30-L31</f>
        <v>100000000</v>
      </c>
      <c r="M49" s="1193">
        <f>M29-M30-M31</f>
        <v>0</v>
      </c>
      <c r="N49" s="1193">
        <f>N29-N30-N31</f>
        <v>0</v>
      </c>
      <c r="O49" s="1210">
        <f>O29-O30-O31</f>
        <v>0</v>
      </c>
      <c r="P49" s="1210">
        <f t="shared" ref="P49:Z49" si="12">P29-P30-P31</f>
        <v>0</v>
      </c>
      <c r="Q49" s="1210">
        <f t="shared" si="12"/>
        <v>0</v>
      </c>
      <c r="R49" s="1210">
        <f t="shared" si="12"/>
        <v>0</v>
      </c>
      <c r="S49" s="1210">
        <f t="shared" si="12"/>
        <v>0</v>
      </c>
      <c r="T49" s="1210">
        <f t="shared" si="12"/>
        <v>100000000</v>
      </c>
      <c r="U49" s="1210">
        <f t="shared" si="12"/>
        <v>-100000000</v>
      </c>
      <c r="V49" s="1210">
        <f t="shared" si="12"/>
        <v>-100000000.00001526</v>
      </c>
      <c r="W49" s="1210">
        <f t="shared" si="12"/>
        <v>0</v>
      </c>
      <c r="X49" s="1210">
        <f t="shared" si="12"/>
        <v>0</v>
      </c>
      <c r="Y49" s="1210">
        <f t="shared" si="12"/>
        <v>0</v>
      </c>
      <c r="Z49" s="1210">
        <f t="shared" si="12"/>
        <v>0</v>
      </c>
    </row>
    <row r="50" spans="2:26">
      <c r="B50" s="1183" t="s">
        <v>148</v>
      </c>
      <c r="K50" s="1193">
        <f>K37-K38-K39</f>
        <v>0</v>
      </c>
      <c r="L50" s="1193">
        <f>L37-L38-L39</f>
        <v>0</v>
      </c>
      <c r="M50" s="1193">
        <f>M37-M38-M39</f>
        <v>100000000</v>
      </c>
      <c r="N50" s="1193">
        <f>N37-N38-N39</f>
        <v>100000000</v>
      </c>
      <c r="O50" s="1210">
        <f>O37-O38-O39</f>
        <v>100000000</v>
      </c>
      <c r="P50" s="1214">
        <f t="shared" ref="P50:Z50" si="13">P37-P38-P39</f>
        <v>147900000000</v>
      </c>
      <c r="Q50" s="1214">
        <f t="shared" si="13"/>
        <v>78400000000</v>
      </c>
      <c r="R50" s="1214">
        <f t="shared" si="13"/>
        <v>80400000000</v>
      </c>
      <c r="S50" s="1214">
        <f t="shared" si="13"/>
        <v>-3700000000</v>
      </c>
      <c r="T50" s="1214">
        <f t="shared" si="13"/>
        <v>88100000000</v>
      </c>
      <c r="U50" s="1214">
        <f t="shared" si="13"/>
        <v>117300000000.00006</v>
      </c>
      <c r="V50" s="1214">
        <f t="shared" si="13"/>
        <v>124200000000</v>
      </c>
      <c r="W50" s="1214">
        <f t="shared" si="13"/>
        <v>138400000000</v>
      </c>
      <c r="X50" s="1214">
        <f t="shared" si="13"/>
        <v>158600000000</v>
      </c>
      <c r="Y50" s="1214">
        <f t="shared" si="13"/>
        <v>182600000000</v>
      </c>
      <c r="Z50" s="1214">
        <f t="shared" si="13"/>
        <v>207100000000</v>
      </c>
    </row>
    <row r="51" spans="2:26">
      <c r="J51" s="1193"/>
      <c r="R51" s="1216"/>
      <c r="T51" s="1217"/>
    </row>
    <row r="52" spans="2:26" ht="15.75" thickBot="1"/>
    <row r="53" spans="2:26" ht="15.75" thickBot="1">
      <c r="B53" s="1183" t="s">
        <v>623</v>
      </c>
      <c r="K53" s="1197">
        <v>1455253000000</v>
      </c>
      <c r="L53" s="1198">
        <v>1656962000000</v>
      </c>
      <c r="M53" s="1198">
        <v>1729468000000</v>
      </c>
      <c r="N53" s="1198">
        <v>1978852000000</v>
      </c>
      <c r="O53" s="1198">
        <v>2218429000000</v>
      </c>
      <c r="P53" s="1198"/>
      <c r="Q53" s="1198"/>
      <c r="R53" s="1199"/>
      <c r="S53" s="1199"/>
      <c r="T53" s="1199"/>
      <c r="U53" s="1199"/>
      <c r="V53" s="1199"/>
      <c r="W53" s="1199"/>
      <c r="X53" s="1200"/>
    </row>
    <row r="54" spans="2:26">
      <c r="B54" s="1183" t="s">
        <v>2303</v>
      </c>
      <c r="K54" s="1201">
        <f>(K6/K53)*100</f>
        <v>16.498849340973702</v>
      </c>
      <c r="L54" s="1201">
        <f>(L6/L53)*100</f>
        <v>15.075783270829385</v>
      </c>
      <c r="M54" s="1201">
        <f>(M6/M53)*100</f>
        <v>13.298887287882749</v>
      </c>
      <c r="N54" s="1201">
        <f>(N6/N53)*100</f>
        <v>13.128824186952839</v>
      </c>
      <c r="O54" s="1201">
        <f>(O6/O53)*100</f>
        <v>13.216560007104125</v>
      </c>
    </row>
    <row r="55" spans="2:26">
      <c r="B55" s="1183" t="s">
        <v>152</v>
      </c>
      <c r="K55" s="1201">
        <f>(K17/K53)*100</f>
        <v>16.327057906769475</v>
      </c>
      <c r="L55" s="1201">
        <f>(L17/L53)*100</f>
        <v>18.564095012438425</v>
      </c>
      <c r="M55" s="1201">
        <f>(M17/M53)*100</f>
        <v>16.357631364095777</v>
      </c>
      <c r="N55" s="1201">
        <f>(N17/N53)*100</f>
        <v>15.337175291532667</v>
      </c>
      <c r="O55" s="1201">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J6" activePane="bottomRight" state="frozen"/>
      <selection pane="topRight" activeCell="R7" sqref="R7"/>
      <selection pane="bottomLeft" activeCell="R7" sqref="R7"/>
      <selection pane="bottomRight" activeCell="S16" sqref="S16"/>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69" t="s">
        <v>2304</v>
      </c>
      <c r="B1" s="1224" t="s">
        <v>2305</v>
      </c>
      <c r="C1" s="82"/>
      <c r="D1" s="27"/>
      <c r="E1" s="27"/>
      <c r="F1" s="27"/>
      <c r="G1" s="27"/>
      <c r="H1" s="27"/>
      <c r="I1" s="27"/>
      <c r="J1" s="27"/>
      <c r="K1" s="27"/>
      <c r="L1" s="27"/>
      <c r="M1" s="27"/>
      <c r="N1" s="27"/>
      <c r="O1" s="28"/>
      <c r="P1" s="28"/>
      <c r="Q1" s="28"/>
      <c r="R1" s="29"/>
      <c r="S1" s="28"/>
      <c r="T1" s="28"/>
      <c r="U1" s="28"/>
      <c r="V1" s="28"/>
      <c r="W1" s="28"/>
      <c r="X1" s="2"/>
    </row>
    <row r="2" spans="1:26">
      <c r="B2" s="1225" t="s">
        <v>2306</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848" customFormat="1">
      <c r="A6" s="909" t="s">
        <v>33</v>
      </c>
      <c r="B6" s="1175" t="s">
        <v>2307</v>
      </c>
      <c r="C6" s="1063" t="s">
        <v>35</v>
      </c>
      <c r="D6" s="1158"/>
      <c r="E6" s="1158"/>
      <c r="F6" s="1158"/>
      <c r="G6" s="1158"/>
      <c r="H6" s="1158"/>
      <c r="I6" s="1176"/>
      <c r="J6" s="1176"/>
      <c r="K6" s="1176"/>
      <c r="L6" s="1093">
        <f>L7+L18</f>
        <v>22062000000</v>
      </c>
      <c r="M6" s="1093">
        <f t="shared" ref="M6:V6" si="0">M7+M18</f>
        <v>18378000000</v>
      </c>
      <c r="N6" s="1093">
        <f t="shared" si="0"/>
        <v>23186000000</v>
      </c>
      <c r="O6" s="1093">
        <f t="shared" si="0"/>
        <v>31190000000</v>
      </c>
      <c r="P6" s="1093">
        <f t="shared" si="0"/>
        <v>34570000000</v>
      </c>
      <c r="Q6" s="1093">
        <f t="shared" si="0"/>
        <v>37260000000</v>
      </c>
      <c r="R6" s="1093">
        <f t="shared" si="0"/>
        <v>39016000000</v>
      </c>
      <c r="S6" s="1093">
        <f t="shared" si="0"/>
        <v>35093000000</v>
      </c>
      <c r="T6" s="1093">
        <f t="shared" si="0"/>
        <v>34267000000</v>
      </c>
      <c r="U6" s="1093">
        <f t="shared" si="0"/>
        <v>35005000000</v>
      </c>
      <c r="V6" s="1093">
        <f t="shared" si="0"/>
        <v>36273000000</v>
      </c>
      <c r="W6" s="1093"/>
      <c r="X6" s="1093"/>
    </row>
    <row r="7" spans="1:26" ht="16.5">
      <c r="A7" s="139" t="s">
        <v>36</v>
      </c>
      <c r="B7" s="153" t="s">
        <v>36</v>
      </c>
      <c r="C7" s="345" t="s">
        <v>38</v>
      </c>
      <c r="L7" s="486">
        <v>22062000000</v>
      </c>
      <c r="M7" s="486">
        <v>18378000000</v>
      </c>
      <c r="N7" s="486">
        <v>23186000000</v>
      </c>
      <c r="O7" s="486">
        <v>31190000000</v>
      </c>
      <c r="P7" s="486">
        <v>34570000000</v>
      </c>
      <c r="Q7" s="486">
        <v>37260000000</v>
      </c>
      <c r="R7" s="486">
        <v>39016000000</v>
      </c>
      <c r="S7" s="486">
        <f>S8+S11+S15</f>
        <v>35093000000</v>
      </c>
      <c r="T7" s="486">
        <v>34267000000</v>
      </c>
      <c r="U7" s="486">
        <v>35005000000</v>
      </c>
      <c r="V7" s="486">
        <v>36273000000</v>
      </c>
      <c r="W7" s="486"/>
      <c r="X7" s="486"/>
    </row>
    <row r="8" spans="1:26" ht="16.5">
      <c r="A8" t="s">
        <v>2308</v>
      </c>
      <c r="B8" s="90" t="s">
        <v>2309</v>
      </c>
      <c r="C8" s="58" t="s">
        <v>41</v>
      </c>
      <c r="L8" s="366">
        <v>8675000000</v>
      </c>
      <c r="M8" s="366">
        <v>5212000000</v>
      </c>
      <c r="N8" s="366">
        <v>7845000000</v>
      </c>
      <c r="O8" s="366">
        <v>12935000000</v>
      </c>
      <c r="P8" s="366">
        <v>12220000000</v>
      </c>
      <c r="Q8" s="366">
        <v>11433000000</v>
      </c>
      <c r="R8" s="366">
        <v>10906000000</v>
      </c>
      <c r="S8" s="366">
        <v>7968000000</v>
      </c>
      <c r="T8" s="366">
        <v>7053000000</v>
      </c>
      <c r="U8" s="366">
        <v>7162000000</v>
      </c>
      <c r="V8" s="366">
        <v>7519000000</v>
      </c>
      <c r="W8" s="366"/>
      <c r="X8" s="366"/>
    </row>
    <row r="9" spans="1:26" ht="16.5">
      <c r="A9" s="99" t="s">
        <v>2310</v>
      </c>
      <c r="B9" s="99" t="s">
        <v>2310</v>
      </c>
      <c r="C9" s="90" t="s">
        <v>1630</v>
      </c>
      <c r="L9" s="366">
        <v>7354000000</v>
      </c>
      <c r="M9" s="366">
        <v>3763000000</v>
      </c>
      <c r="N9" s="366">
        <v>6061000000</v>
      </c>
      <c r="O9" s="366">
        <v>11214000000</v>
      </c>
      <c r="P9" s="366">
        <v>9895000000</v>
      </c>
      <c r="Q9" s="366">
        <v>9153000000</v>
      </c>
      <c r="R9" s="366">
        <v>8857000000</v>
      </c>
      <c r="S9" s="366">
        <v>5628000000</v>
      </c>
      <c r="T9" s="366">
        <v>4775000000</v>
      </c>
      <c r="U9" s="366">
        <v>4966000000</v>
      </c>
      <c r="V9" s="366">
        <v>5410000000</v>
      </c>
      <c r="W9" s="366"/>
      <c r="X9" s="366"/>
      <c r="Z9" s="410"/>
    </row>
    <row r="10" spans="1:26" ht="16.5">
      <c r="A10" s="99" t="s">
        <v>2311</v>
      </c>
      <c r="B10" s="99" t="s">
        <v>2312</v>
      </c>
      <c r="C10" s="90" t="s">
        <v>1630</v>
      </c>
      <c r="L10" s="366">
        <v>1321000000</v>
      </c>
      <c r="M10" s="366">
        <v>1448000000</v>
      </c>
      <c r="N10" s="366">
        <v>1784000000</v>
      </c>
      <c r="O10" s="366">
        <v>1721000000</v>
      </c>
      <c r="P10" s="366">
        <v>2325000000</v>
      </c>
      <c r="Q10" s="366">
        <v>2280000000</v>
      </c>
      <c r="R10" s="366">
        <v>2049000000</v>
      </c>
      <c r="S10" s="366">
        <v>2340000000</v>
      </c>
      <c r="T10" s="366">
        <v>2278000000</v>
      </c>
      <c r="U10" s="366">
        <v>2196000000</v>
      </c>
      <c r="V10" s="366">
        <v>2109000000</v>
      </c>
      <c r="W10" s="366"/>
      <c r="X10" s="366"/>
    </row>
    <row r="11" spans="1:26" ht="16.5">
      <c r="A11" s="90" t="s">
        <v>1903</v>
      </c>
      <c r="B11" s="90" t="s">
        <v>1903</v>
      </c>
      <c r="C11" s="58" t="s">
        <v>41</v>
      </c>
      <c r="L11" s="366">
        <v>12494000000</v>
      </c>
      <c r="M11" s="366">
        <v>12373000000</v>
      </c>
      <c r="N11" s="366">
        <v>13994000000</v>
      </c>
      <c r="O11" s="366">
        <v>16489000000</v>
      </c>
      <c r="P11" s="366">
        <v>19783000000</v>
      </c>
      <c r="Q11" s="366">
        <v>22630000000</v>
      </c>
      <c r="R11" s="366">
        <v>23944000000</v>
      </c>
      <c r="S11" s="366">
        <v>26310000000</v>
      </c>
      <c r="T11" s="366">
        <v>25837000000</v>
      </c>
      <c r="U11" s="366">
        <v>26271000000</v>
      </c>
      <c r="V11" s="366">
        <v>27126000000</v>
      </c>
      <c r="W11" s="366"/>
      <c r="X11" s="366"/>
    </row>
    <row r="12" spans="1:26" ht="16.5">
      <c r="A12" s="152" t="s">
        <v>371</v>
      </c>
      <c r="B12" s="152" t="s">
        <v>371</v>
      </c>
      <c r="C12" s="90" t="s">
        <v>1906</v>
      </c>
      <c r="L12" s="366">
        <v>6919000000</v>
      </c>
      <c r="M12" s="366">
        <v>7553000000</v>
      </c>
      <c r="N12" s="366">
        <v>8667000000</v>
      </c>
      <c r="O12" s="366">
        <v>9765000000</v>
      </c>
      <c r="P12" s="366">
        <v>12255000000</v>
      </c>
      <c r="Q12" s="366">
        <v>13668000000</v>
      </c>
      <c r="R12" s="366">
        <v>14460000000</v>
      </c>
      <c r="S12" s="366">
        <v>16176000000</v>
      </c>
      <c r="T12" s="366">
        <v>15693000000</v>
      </c>
      <c r="U12" s="366">
        <v>15820000000</v>
      </c>
      <c r="V12" s="366">
        <v>16307000000</v>
      </c>
      <c r="W12" s="366"/>
      <c r="X12" s="366"/>
    </row>
    <row r="13" spans="1:26" ht="16.5">
      <c r="A13" s="99" t="s">
        <v>2313</v>
      </c>
      <c r="B13" s="99" t="s">
        <v>1055</v>
      </c>
      <c r="C13" s="90" t="s">
        <v>1906</v>
      </c>
      <c r="L13" s="366">
        <v>2097000000</v>
      </c>
      <c r="M13" s="366">
        <v>2061000000</v>
      </c>
      <c r="N13" s="366">
        <v>2549000000</v>
      </c>
      <c r="O13" s="366">
        <v>3971000000</v>
      </c>
      <c r="P13" s="366">
        <v>4756000000</v>
      </c>
      <c r="Q13" s="366">
        <v>4547000000</v>
      </c>
      <c r="R13" s="366">
        <v>4723000000</v>
      </c>
      <c r="S13" s="366">
        <v>5137000000</v>
      </c>
      <c r="T13" s="366">
        <v>5329000000</v>
      </c>
      <c r="U13" s="366">
        <v>5490000000</v>
      </c>
      <c r="V13" s="366">
        <v>5683000000</v>
      </c>
      <c r="W13" s="366"/>
      <c r="X13" s="366"/>
    </row>
    <row r="14" spans="1:26" ht="16.5">
      <c r="A14" s="152" t="s">
        <v>50</v>
      </c>
      <c r="B14" s="152" t="s">
        <v>50</v>
      </c>
      <c r="C14" s="90" t="s">
        <v>1906</v>
      </c>
      <c r="L14" s="366">
        <v>3478000000</v>
      </c>
      <c r="M14" s="366">
        <v>2759000000</v>
      </c>
      <c r="N14" s="366">
        <v>2778000000</v>
      </c>
      <c r="O14" s="366">
        <v>2753000000</v>
      </c>
      <c r="P14" s="366">
        <v>2772000000</v>
      </c>
      <c r="Q14" s="366">
        <v>4416000000</v>
      </c>
      <c r="R14" s="366">
        <v>4761000000</v>
      </c>
      <c r="S14" s="366">
        <v>4996000000</v>
      </c>
      <c r="T14" s="366">
        <v>4816000000</v>
      </c>
      <c r="U14" s="366">
        <v>4961000000</v>
      </c>
      <c r="V14" s="366">
        <v>5136000000</v>
      </c>
      <c r="W14" s="366"/>
      <c r="X14" s="366"/>
    </row>
    <row r="15" spans="1:26" ht="16.5">
      <c r="A15" s="90" t="s">
        <v>2314</v>
      </c>
      <c r="B15" s="90" t="s">
        <v>2314</v>
      </c>
      <c r="C15" s="90" t="s">
        <v>41</v>
      </c>
      <c r="L15" s="366">
        <v>893000000</v>
      </c>
      <c r="M15" s="366">
        <v>794000000</v>
      </c>
      <c r="N15" s="366">
        <v>1346000000</v>
      </c>
      <c r="O15" s="366">
        <v>1766000000</v>
      </c>
      <c r="P15" s="366">
        <v>2567000000</v>
      </c>
      <c r="Q15" s="366">
        <v>3196000000</v>
      </c>
      <c r="R15" s="366">
        <v>4166000000</v>
      </c>
      <c r="S15" s="366">
        <f>S16</f>
        <v>815000000</v>
      </c>
      <c r="T15" s="366">
        <v>1376000000</v>
      </c>
      <c r="U15" s="366">
        <v>1572000000</v>
      </c>
      <c r="V15" s="366">
        <v>1627000000</v>
      </c>
      <c r="W15" s="366"/>
      <c r="X15" s="366"/>
    </row>
    <row r="16" spans="1:26" ht="16.5">
      <c r="A16" s="99" t="s">
        <v>2315</v>
      </c>
      <c r="B16" s="99" t="s">
        <v>2316</v>
      </c>
      <c r="C16" s="90" t="s">
        <v>2317</v>
      </c>
      <c r="L16" s="366">
        <v>582000000</v>
      </c>
      <c r="M16" s="366">
        <v>517000000</v>
      </c>
      <c r="N16" s="366">
        <v>877000000</v>
      </c>
      <c r="O16" s="366">
        <v>1151000000</v>
      </c>
      <c r="P16" s="366">
        <v>1818000000</v>
      </c>
      <c r="Q16" s="366">
        <v>2593000000</v>
      </c>
      <c r="R16" s="366">
        <v>3987000000</v>
      </c>
      <c r="S16" s="366">
        <v>815000000</v>
      </c>
      <c r="T16" s="366">
        <v>1017000000</v>
      </c>
      <c r="U16" s="366">
        <v>1572000000</v>
      </c>
      <c r="V16" s="366">
        <v>1627000000</v>
      </c>
      <c r="W16" s="366"/>
      <c r="X16" s="366"/>
    </row>
    <row r="17" spans="1:24">
      <c r="A17" s="1172" t="s">
        <v>50</v>
      </c>
      <c r="B17" s="1172" t="s">
        <v>50</v>
      </c>
      <c r="C17" s="1223" t="s">
        <v>2317</v>
      </c>
      <c r="L17" s="366">
        <f>L15-L16</f>
        <v>311000000</v>
      </c>
      <c r="M17" s="366">
        <f t="shared" ref="M17:V17" si="1">M15-M16</f>
        <v>277000000</v>
      </c>
      <c r="N17" s="366">
        <f t="shared" si="1"/>
        <v>469000000</v>
      </c>
      <c r="O17" s="366">
        <f t="shared" si="1"/>
        <v>615000000</v>
      </c>
      <c r="P17" s="366">
        <f t="shared" si="1"/>
        <v>749000000</v>
      </c>
      <c r="Q17" s="366">
        <f t="shared" si="1"/>
        <v>603000000</v>
      </c>
      <c r="R17" s="366">
        <f t="shared" si="1"/>
        <v>179000000</v>
      </c>
      <c r="S17" s="366">
        <v>0</v>
      </c>
      <c r="T17" s="366">
        <f t="shared" si="1"/>
        <v>359000000</v>
      </c>
      <c r="U17" s="366">
        <f t="shared" si="1"/>
        <v>0</v>
      </c>
      <c r="V17" s="366">
        <f t="shared" si="1"/>
        <v>0</v>
      </c>
      <c r="W17" s="366"/>
      <c r="X17" s="366"/>
    </row>
    <row r="18" spans="1:24">
      <c r="A18" s="90" t="s">
        <v>795</v>
      </c>
      <c r="B18" s="90" t="s">
        <v>795</v>
      </c>
      <c r="C18" s="345" t="s">
        <v>38</v>
      </c>
      <c r="L18" s="366">
        <v>0</v>
      </c>
      <c r="M18" s="366">
        <v>0</v>
      </c>
      <c r="N18" s="366">
        <v>0</v>
      </c>
      <c r="O18" s="366">
        <v>0</v>
      </c>
      <c r="P18" s="366">
        <v>0</v>
      </c>
      <c r="Q18" s="366">
        <v>0</v>
      </c>
      <c r="R18" s="366">
        <v>0</v>
      </c>
      <c r="S18" s="366">
        <v>0</v>
      </c>
      <c r="T18" s="366">
        <v>0</v>
      </c>
      <c r="U18" s="366">
        <v>0</v>
      </c>
      <c r="V18" s="366">
        <v>0</v>
      </c>
      <c r="W18" s="366"/>
      <c r="X18" s="366"/>
    </row>
    <row r="19" spans="1:24" s="848" customFormat="1">
      <c r="A19" s="1063" t="s">
        <v>198</v>
      </c>
      <c r="B19" s="909" t="s">
        <v>71</v>
      </c>
      <c r="C19" s="1219" t="s">
        <v>35</v>
      </c>
      <c r="L19" s="1220">
        <f>L21+L34</f>
        <v>21763000000</v>
      </c>
      <c r="M19" s="1220">
        <f t="shared" ref="M19:V19" si="2">M21+M34</f>
        <v>20610000000</v>
      </c>
      <c r="N19" s="1220">
        <f t="shared" si="2"/>
        <v>24123000000</v>
      </c>
      <c r="O19" s="1220">
        <f t="shared" si="2"/>
        <v>31195000000</v>
      </c>
      <c r="P19" s="1220">
        <f t="shared" si="2"/>
        <v>35393000000</v>
      </c>
      <c r="Q19" s="1220">
        <f t="shared" si="2"/>
        <v>41608000000</v>
      </c>
      <c r="R19" s="1220">
        <f t="shared" si="2"/>
        <v>44412000000</v>
      </c>
      <c r="S19" s="1220">
        <f t="shared" si="2"/>
        <v>40128000000</v>
      </c>
      <c r="T19" s="1220">
        <f t="shared" si="2"/>
        <v>37999000000</v>
      </c>
      <c r="U19" s="1220">
        <f t="shared" si="2"/>
        <v>37037000000</v>
      </c>
      <c r="V19" s="1220">
        <f t="shared" si="2"/>
        <v>37839000000</v>
      </c>
      <c r="W19" s="1220"/>
      <c r="X19" s="1220"/>
    </row>
    <row r="20" spans="1:24" s="15" customFormat="1" ht="16.5">
      <c r="A20" s="448" t="s">
        <v>476</v>
      </c>
      <c r="B20" s="96" t="s">
        <v>73</v>
      </c>
      <c r="C20" s="58" t="s">
        <v>201</v>
      </c>
      <c r="L20" s="457">
        <f>L22+L34</f>
        <v>14762000000</v>
      </c>
      <c r="M20" s="457">
        <f t="shared" ref="M20:V20" si="3">M22+M34</f>
        <v>13930000000</v>
      </c>
      <c r="N20" s="457">
        <f t="shared" si="3"/>
        <v>16905000000</v>
      </c>
      <c r="O20" s="457">
        <f t="shared" si="3"/>
        <v>21970000000</v>
      </c>
      <c r="P20" s="457">
        <f t="shared" si="3"/>
        <v>24431000000</v>
      </c>
      <c r="Q20" s="457">
        <f t="shared" si="3"/>
        <v>26977000000</v>
      </c>
      <c r="R20" s="457">
        <f t="shared" si="3"/>
        <v>29046000000</v>
      </c>
      <c r="S20" s="457">
        <f t="shared" si="3"/>
        <v>27803000000</v>
      </c>
      <c r="T20" s="457">
        <f t="shared" si="3"/>
        <v>26218000000</v>
      </c>
      <c r="U20" s="457">
        <f t="shared" si="3"/>
        <v>26660000000</v>
      </c>
      <c r="V20" s="457">
        <f t="shared" si="3"/>
        <v>27741000000</v>
      </c>
      <c r="W20" s="457"/>
      <c r="X20" s="457"/>
    </row>
    <row r="21" spans="1:24" ht="16.5">
      <c r="B21" s="90" t="s">
        <v>2318</v>
      </c>
      <c r="L21" s="486">
        <v>21058000000</v>
      </c>
      <c r="M21" s="486">
        <v>20261000000</v>
      </c>
      <c r="N21" s="486">
        <v>23710000000</v>
      </c>
      <c r="O21" s="486">
        <v>30693000000</v>
      </c>
      <c r="P21" s="486">
        <v>34741000000</v>
      </c>
      <c r="Q21" s="486">
        <v>40637000000</v>
      </c>
      <c r="R21" s="486">
        <v>43388000000</v>
      </c>
      <c r="S21" s="486">
        <v>38692000000</v>
      </c>
      <c r="T21" s="486">
        <v>35927000000</v>
      </c>
      <c r="U21" s="486">
        <v>34572000000</v>
      </c>
      <c r="V21" s="486">
        <v>35142000000</v>
      </c>
      <c r="W21" s="486"/>
      <c r="X21" s="486"/>
    </row>
    <row r="22" spans="1:24" ht="16.5">
      <c r="B22" s="139" t="s">
        <v>541</v>
      </c>
      <c r="C22" s="90"/>
      <c r="L22" s="366">
        <v>14057000000</v>
      </c>
      <c r="M22" s="366">
        <v>13581000000</v>
      </c>
      <c r="N22" s="366">
        <v>16492000000</v>
      </c>
      <c r="O22" s="366">
        <v>21468000000</v>
      </c>
      <c r="P22" s="366">
        <v>23779000000</v>
      </c>
      <c r="Q22" s="366">
        <v>26006000000</v>
      </c>
      <c r="R22" s="366">
        <v>28022000000</v>
      </c>
      <c r="S22" s="366">
        <v>26367000000</v>
      </c>
      <c r="T22" s="366">
        <v>24146000000</v>
      </c>
      <c r="U22" s="366">
        <v>24195000000</v>
      </c>
      <c r="V22" s="366">
        <v>25044000000</v>
      </c>
      <c r="W22" s="366"/>
      <c r="X22" s="366"/>
    </row>
    <row r="23" spans="1:24" ht="16.5">
      <c r="A23" s="99" t="s">
        <v>80</v>
      </c>
      <c r="B23" s="99" t="s">
        <v>80</v>
      </c>
      <c r="C23" s="58" t="s">
        <v>81</v>
      </c>
      <c r="L23" s="366">
        <v>4869000000</v>
      </c>
      <c r="M23" s="366">
        <v>5929000000</v>
      </c>
      <c r="N23" s="366">
        <v>6786000000</v>
      </c>
      <c r="O23" s="366">
        <v>7265000000</v>
      </c>
      <c r="P23" s="366">
        <v>8345000000</v>
      </c>
      <c r="Q23" s="366">
        <v>8896000000</v>
      </c>
      <c r="R23" s="366">
        <v>9479000000</v>
      </c>
      <c r="S23" s="366">
        <v>9869000000</v>
      </c>
      <c r="T23" s="366">
        <v>9571000000</v>
      </c>
      <c r="U23" s="366">
        <v>9450000000</v>
      </c>
      <c r="V23" s="366">
        <v>9566000000</v>
      </c>
      <c r="W23" s="366"/>
      <c r="X23" s="366"/>
    </row>
    <row r="24" spans="1:24" ht="16.5">
      <c r="A24" s="99" t="s">
        <v>84</v>
      </c>
      <c r="B24" s="99" t="s">
        <v>84</v>
      </c>
      <c r="C24" s="58" t="s">
        <v>81</v>
      </c>
      <c r="L24" s="366">
        <v>2086000000</v>
      </c>
      <c r="M24" s="366">
        <v>1924000000</v>
      </c>
      <c r="N24" s="366">
        <v>2090000000</v>
      </c>
      <c r="O24" s="366">
        <v>2543000000</v>
      </c>
      <c r="P24" s="366">
        <v>3473000000</v>
      </c>
      <c r="Q24" s="366">
        <v>4435000000</v>
      </c>
      <c r="R24" s="366">
        <v>5325000000</v>
      </c>
      <c r="S24" s="366">
        <v>4710000000</v>
      </c>
      <c r="T24" s="366">
        <v>4645000000</v>
      </c>
      <c r="U24" s="366">
        <v>4627000000</v>
      </c>
      <c r="V24" s="366">
        <v>4746000000</v>
      </c>
      <c r="W24" s="366"/>
      <c r="X24" s="366"/>
    </row>
    <row r="25" spans="1:24" ht="16.5">
      <c r="A25" s="99" t="s">
        <v>2319</v>
      </c>
      <c r="B25" s="99" t="s">
        <v>2320</v>
      </c>
      <c r="C25" s="58" t="s">
        <v>81</v>
      </c>
      <c r="L25" s="366">
        <v>1563000000</v>
      </c>
      <c r="M25" s="366">
        <v>1875000000</v>
      </c>
      <c r="N25" s="366">
        <v>2245000000</v>
      </c>
      <c r="O25" s="366">
        <v>3225000000</v>
      </c>
      <c r="P25" s="366">
        <v>3338000000</v>
      </c>
      <c r="Q25" s="366">
        <v>3410000000</v>
      </c>
      <c r="R25" s="366">
        <v>3640000000</v>
      </c>
      <c r="S25" s="366">
        <v>4003000000</v>
      </c>
      <c r="T25" s="366">
        <v>4181000000</v>
      </c>
      <c r="U25" s="366">
        <v>4329000000</v>
      </c>
      <c r="V25" s="366">
        <v>4471000000</v>
      </c>
      <c r="W25" s="366"/>
      <c r="X25" s="366"/>
    </row>
    <row r="26" spans="1:24" ht="16.5">
      <c r="A26" s="152" t="s">
        <v>50</v>
      </c>
      <c r="B26" s="152" t="s">
        <v>50</v>
      </c>
      <c r="C26" s="58" t="s">
        <v>81</v>
      </c>
      <c r="L26" s="366">
        <v>5538000000</v>
      </c>
      <c r="M26" s="366">
        <v>3853000000</v>
      </c>
      <c r="N26" s="366">
        <v>5371000000</v>
      </c>
      <c r="O26" s="366">
        <v>8436000000</v>
      </c>
      <c r="P26" s="366">
        <v>8623000000</v>
      </c>
      <c r="Q26" s="366">
        <v>9265000000</v>
      </c>
      <c r="R26" s="366">
        <v>9578000000</v>
      </c>
      <c r="S26" s="366">
        <v>7784000000</v>
      </c>
      <c r="T26" s="366">
        <v>5749000000</v>
      </c>
      <c r="U26" s="366">
        <v>5789000000</v>
      </c>
      <c r="V26" s="366">
        <v>6261000000</v>
      </c>
      <c r="W26" s="366"/>
      <c r="X26" s="366"/>
    </row>
    <row r="27" spans="1:24" ht="16.5">
      <c r="A27" s="100" t="s">
        <v>2321</v>
      </c>
      <c r="B27" s="100" t="s">
        <v>2321</v>
      </c>
      <c r="C27" s="90" t="s">
        <v>1013</v>
      </c>
      <c r="L27" s="366">
        <v>3042000000</v>
      </c>
      <c r="M27" s="366">
        <v>1966000000</v>
      </c>
      <c r="N27" s="366">
        <v>3466000000</v>
      </c>
      <c r="O27" s="366">
        <v>4850000000</v>
      </c>
      <c r="P27" s="366">
        <v>5363000000</v>
      </c>
      <c r="Q27" s="366">
        <v>5735000000</v>
      </c>
      <c r="R27" s="366">
        <v>6363000000</v>
      </c>
      <c r="S27" s="366">
        <v>4798000000</v>
      </c>
      <c r="T27" s="366">
        <v>3141000000</v>
      </c>
      <c r="U27" s="366">
        <v>3180000000</v>
      </c>
      <c r="V27" s="366">
        <v>3777000000</v>
      </c>
      <c r="W27" s="366"/>
      <c r="X27" s="366"/>
    </row>
    <row r="28" spans="1:24" ht="16.5">
      <c r="A28" s="100" t="s">
        <v>2322</v>
      </c>
      <c r="B28" s="100" t="s">
        <v>2323</v>
      </c>
      <c r="C28" s="90" t="s">
        <v>1013</v>
      </c>
      <c r="L28" s="366"/>
      <c r="M28" s="366"/>
      <c r="N28" s="366"/>
      <c r="O28" s="366">
        <v>1765000000</v>
      </c>
      <c r="P28" s="366">
        <v>1788000000</v>
      </c>
      <c r="Q28" s="366">
        <v>1674000000</v>
      </c>
      <c r="R28" s="366">
        <v>1683000000</v>
      </c>
      <c r="S28" s="366">
        <v>1526000000</v>
      </c>
      <c r="T28" s="366">
        <v>1227000000</v>
      </c>
      <c r="U28" s="366">
        <v>1200000000</v>
      </c>
      <c r="V28" s="366">
        <v>1150000000</v>
      </c>
      <c r="W28" s="366"/>
      <c r="X28" s="366"/>
    </row>
    <row r="29" spans="1:24" ht="16.5">
      <c r="A29" s="138" t="s">
        <v>50</v>
      </c>
      <c r="B29" s="138" t="s">
        <v>50</v>
      </c>
      <c r="C29" s="90" t="s">
        <v>1013</v>
      </c>
      <c r="L29" s="366">
        <f>L26-L27-L28</f>
        <v>2496000000</v>
      </c>
      <c r="M29" s="366">
        <f t="shared" ref="M29:V29" si="4">M26-M27-M28</f>
        <v>1887000000</v>
      </c>
      <c r="N29" s="366">
        <f t="shared" si="4"/>
        <v>1905000000</v>
      </c>
      <c r="O29" s="366">
        <f t="shared" si="4"/>
        <v>1821000000</v>
      </c>
      <c r="P29" s="366">
        <f t="shared" si="4"/>
        <v>1472000000</v>
      </c>
      <c r="Q29" s="366">
        <f t="shared" si="4"/>
        <v>1856000000</v>
      </c>
      <c r="R29" s="366">
        <f t="shared" si="4"/>
        <v>1532000000</v>
      </c>
      <c r="S29" s="366">
        <f t="shared" si="4"/>
        <v>1460000000</v>
      </c>
      <c r="T29" s="366">
        <f t="shared" si="4"/>
        <v>1381000000</v>
      </c>
      <c r="U29" s="366">
        <f t="shared" si="4"/>
        <v>1409000000</v>
      </c>
      <c r="V29" s="366">
        <f t="shared" si="4"/>
        <v>1334000000</v>
      </c>
      <c r="W29" s="366"/>
      <c r="X29" s="366"/>
    </row>
    <row r="30" spans="1:24" ht="16.5">
      <c r="B30" s="139" t="s">
        <v>540</v>
      </c>
      <c r="L30" s="366">
        <v>7001000000</v>
      </c>
      <c r="M30" s="366">
        <v>6680000000</v>
      </c>
      <c r="N30" s="366">
        <v>7218000000</v>
      </c>
      <c r="O30" s="366">
        <v>9224000000</v>
      </c>
      <c r="P30" s="366">
        <v>10963000000</v>
      </c>
      <c r="Q30" s="366">
        <v>14631000000</v>
      </c>
      <c r="R30" s="366">
        <v>15366000000</v>
      </c>
      <c r="S30" s="366">
        <v>12326000000</v>
      </c>
      <c r="T30" s="366">
        <v>11780000000</v>
      </c>
      <c r="U30" s="366">
        <v>10377000000</v>
      </c>
      <c r="V30" s="366">
        <v>10098000000</v>
      </c>
      <c r="W30" s="366"/>
      <c r="X30" s="366"/>
    </row>
    <row r="31" spans="1:24" ht="16.5">
      <c r="A31" s="139" t="s">
        <v>237</v>
      </c>
      <c r="B31" s="99" t="s">
        <v>2324</v>
      </c>
      <c r="C31" s="58" t="s">
        <v>201</v>
      </c>
      <c r="L31" s="366">
        <v>6930000000</v>
      </c>
      <c r="M31" s="366">
        <v>6310000000</v>
      </c>
      <c r="N31" s="366">
        <v>6571000000</v>
      </c>
      <c r="O31" s="366">
        <v>8891000000</v>
      </c>
      <c r="P31" s="366">
        <v>10312000000</v>
      </c>
      <c r="Q31" s="366">
        <v>14039000000</v>
      </c>
      <c r="R31" s="366">
        <v>13991000000</v>
      </c>
      <c r="S31" s="366">
        <v>11113000000</v>
      </c>
      <c r="T31" s="366">
        <v>10508000000</v>
      </c>
      <c r="U31" s="366">
        <v>9066000000</v>
      </c>
      <c r="V31" s="366">
        <v>8741000000</v>
      </c>
      <c r="W31" s="366"/>
      <c r="X31" s="366"/>
    </row>
    <row r="32" spans="1:24" ht="16.5">
      <c r="A32" s="152" t="s">
        <v>2325</v>
      </c>
      <c r="B32" s="152" t="s">
        <v>2325</v>
      </c>
      <c r="C32" s="58" t="s">
        <v>201</v>
      </c>
      <c r="L32" s="366">
        <v>71000000</v>
      </c>
      <c r="M32" s="366">
        <v>370000000</v>
      </c>
      <c r="N32" s="366">
        <v>647000000</v>
      </c>
      <c r="O32" s="366">
        <v>334000000</v>
      </c>
      <c r="P32" s="366">
        <v>650000000</v>
      </c>
      <c r="Q32" s="366">
        <v>592000000</v>
      </c>
      <c r="R32" s="366">
        <v>1375000000</v>
      </c>
      <c r="S32" s="366">
        <v>1213000000</v>
      </c>
      <c r="T32" s="366">
        <v>1272000000</v>
      </c>
      <c r="U32" s="366">
        <v>1311000000</v>
      </c>
      <c r="V32" s="366">
        <v>1357000000</v>
      </c>
      <c r="W32" s="366"/>
      <c r="X32" s="366"/>
    </row>
    <row r="33" spans="1:24" ht="16.5">
      <c r="B33" s="90" t="s">
        <v>855</v>
      </c>
      <c r="C33" s="90"/>
      <c r="L33" s="486">
        <v>1004000000</v>
      </c>
      <c r="M33" s="486">
        <v>-1883000000</v>
      </c>
      <c r="N33" s="486">
        <v>-524000000</v>
      </c>
      <c r="O33" s="486">
        <v>497000000</v>
      </c>
      <c r="P33" s="486">
        <v>-172000000</v>
      </c>
      <c r="Q33" s="486">
        <v>-3377000000</v>
      </c>
      <c r="R33" s="486">
        <v>-4372000000</v>
      </c>
      <c r="S33" s="486">
        <v>-3626000000</v>
      </c>
      <c r="T33" s="486">
        <v>-1660000000</v>
      </c>
      <c r="U33" s="486">
        <v>433000000</v>
      </c>
      <c r="V33" s="486">
        <v>1131000000</v>
      </c>
      <c r="W33" s="486"/>
      <c r="X33" s="486"/>
    </row>
    <row r="34" spans="1:24" ht="16.5">
      <c r="A34" s="153" t="s">
        <v>91</v>
      </c>
      <c r="B34" s="153" t="s">
        <v>91</v>
      </c>
      <c r="C34" s="58" t="s">
        <v>81</v>
      </c>
      <c r="L34" s="486">
        <v>705000000</v>
      </c>
      <c r="M34" s="486">
        <v>349000000</v>
      </c>
      <c r="N34" s="486">
        <v>413000000</v>
      </c>
      <c r="O34" s="486">
        <v>502000000</v>
      </c>
      <c r="P34" s="486">
        <v>652000000</v>
      </c>
      <c r="Q34" s="486">
        <v>971000000</v>
      </c>
      <c r="R34" s="486">
        <v>1024000000</v>
      </c>
      <c r="S34" s="486">
        <v>1436000000</v>
      </c>
      <c r="T34" s="486">
        <v>2072000000</v>
      </c>
      <c r="U34" s="486">
        <v>2465000000</v>
      </c>
      <c r="V34" s="486">
        <v>2697000000</v>
      </c>
      <c r="W34" s="486"/>
      <c r="X34" s="486"/>
    </row>
    <row r="35" spans="1:24" ht="16.5">
      <c r="A35" s="152" t="s">
        <v>2326</v>
      </c>
      <c r="B35" s="99" t="s">
        <v>2327</v>
      </c>
      <c r="C35" s="90" t="s">
        <v>1525</v>
      </c>
      <c r="L35" s="366">
        <v>660000000</v>
      </c>
      <c r="M35" s="366">
        <v>323000000</v>
      </c>
      <c r="N35" s="366">
        <v>377000000</v>
      </c>
      <c r="O35" s="366">
        <v>452000000</v>
      </c>
      <c r="P35" s="366">
        <v>533000000</v>
      </c>
      <c r="Q35" s="366">
        <v>714000000</v>
      </c>
      <c r="R35" s="366">
        <v>829000000</v>
      </c>
      <c r="S35" s="366">
        <v>1188000000</v>
      </c>
      <c r="T35" s="366">
        <v>1630000000</v>
      </c>
      <c r="U35" s="366">
        <v>2032000000</v>
      </c>
      <c r="V35" s="366">
        <v>2253000000</v>
      </c>
      <c r="W35" s="366"/>
      <c r="X35" s="366"/>
    </row>
    <row r="36" spans="1:24">
      <c r="A36" s="99" t="s">
        <v>517</v>
      </c>
      <c r="B36" s="99" t="s">
        <v>517</v>
      </c>
      <c r="C36" s="90" t="s">
        <v>1525</v>
      </c>
      <c r="L36" s="366">
        <f>L34-L35</f>
        <v>45000000</v>
      </c>
      <c r="M36" s="366">
        <f t="shared" ref="M36:V36" si="5">M34-M35</f>
        <v>26000000</v>
      </c>
      <c r="N36" s="366">
        <f t="shared" si="5"/>
        <v>36000000</v>
      </c>
      <c r="O36" s="366">
        <f t="shared" si="5"/>
        <v>50000000</v>
      </c>
      <c r="P36" s="366">
        <f t="shared" si="5"/>
        <v>119000000</v>
      </c>
      <c r="Q36" s="366">
        <f t="shared" si="5"/>
        <v>257000000</v>
      </c>
      <c r="R36" s="366">
        <f t="shared" si="5"/>
        <v>195000000</v>
      </c>
      <c r="S36" s="366">
        <f t="shared" si="5"/>
        <v>248000000</v>
      </c>
      <c r="T36" s="366">
        <f t="shared" si="5"/>
        <v>442000000</v>
      </c>
      <c r="U36" s="366">
        <f t="shared" si="5"/>
        <v>433000000</v>
      </c>
      <c r="V36" s="366">
        <f t="shared" si="5"/>
        <v>444000000</v>
      </c>
      <c r="W36" s="366"/>
      <c r="X36" s="366"/>
    </row>
    <row r="37" spans="1:24" ht="16.5">
      <c r="B37" s="90" t="s">
        <v>2328</v>
      </c>
      <c r="C37" s="90"/>
      <c r="L37" s="486">
        <v>7300000000</v>
      </c>
      <c r="M37" s="486">
        <v>4448000000</v>
      </c>
      <c r="N37" s="486">
        <v>6281000000</v>
      </c>
      <c r="O37" s="486">
        <v>9219000000</v>
      </c>
      <c r="P37" s="486">
        <v>10139000000</v>
      </c>
      <c r="Q37" s="486">
        <v>10283000000</v>
      </c>
      <c r="R37" s="486">
        <v>9970000000</v>
      </c>
      <c r="S37" s="486">
        <v>7263000000</v>
      </c>
      <c r="T37" s="486">
        <v>8048000000</v>
      </c>
      <c r="U37" s="486">
        <v>8345000000</v>
      </c>
      <c r="V37" s="486">
        <v>8532000000</v>
      </c>
      <c r="W37" s="486"/>
      <c r="X37" s="486"/>
    </row>
    <row r="38" spans="1:24" ht="16.5">
      <c r="B38" s="90" t="s">
        <v>857</v>
      </c>
      <c r="C38" s="90"/>
      <c r="L38" s="486">
        <v>300000000</v>
      </c>
      <c r="M38" s="486">
        <v>-2232000000</v>
      </c>
      <c r="N38" s="486">
        <v>-937000000</v>
      </c>
      <c r="O38" s="486">
        <v>-5000000</v>
      </c>
      <c r="P38" s="486">
        <v>-824000000</v>
      </c>
      <c r="Q38" s="486">
        <v>-4348000000</v>
      </c>
      <c r="R38" s="486">
        <v>-5395000000</v>
      </c>
      <c r="S38" s="486">
        <v>-5062000000</v>
      </c>
      <c r="T38" s="486">
        <v>-3732000000</v>
      </c>
      <c r="U38" s="486">
        <v>-2032000000</v>
      </c>
      <c r="V38" s="486">
        <v>-1567000000</v>
      </c>
      <c r="W38" s="486"/>
      <c r="X38" s="486"/>
    </row>
    <row r="39" spans="1:24">
      <c r="B39" s="58" t="s">
        <v>2329</v>
      </c>
      <c r="L39" s="486">
        <v>1048000000</v>
      </c>
      <c r="M39" s="486">
        <v>3654000000</v>
      </c>
      <c r="N39" s="486">
        <v>2077000000</v>
      </c>
      <c r="O39" s="486">
        <v>1653000000</v>
      </c>
      <c r="P39" s="486">
        <v>2742000000</v>
      </c>
      <c r="Q39" s="486">
        <v>6454000000</v>
      </c>
      <c r="R39" s="486">
        <v>10371000000</v>
      </c>
      <c r="S39" s="486">
        <v>10167000000</v>
      </c>
      <c r="T39" s="486">
        <v>8669000000</v>
      </c>
      <c r="U39" s="486">
        <v>6758000000</v>
      </c>
      <c r="V39" s="486">
        <v>6650000000</v>
      </c>
      <c r="W39" s="486"/>
      <c r="X39" s="486"/>
    </row>
    <row r="40" spans="1:24">
      <c r="B40" s="58" t="s">
        <v>2330</v>
      </c>
      <c r="L40" s="366">
        <v>-300000000</v>
      </c>
      <c r="M40" s="366">
        <v>2232000000</v>
      </c>
      <c r="N40" s="366">
        <v>937000000</v>
      </c>
      <c r="O40" s="366">
        <v>5000000</v>
      </c>
      <c r="P40" s="366">
        <v>824000000</v>
      </c>
      <c r="Q40" s="366">
        <v>4348000000</v>
      </c>
      <c r="R40" s="366">
        <v>5395000000</v>
      </c>
      <c r="S40" s="366">
        <v>5062000000</v>
      </c>
      <c r="T40" s="366">
        <v>3732000000</v>
      </c>
      <c r="U40" s="366">
        <v>2032000000</v>
      </c>
      <c r="V40" s="366">
        <v>1567000000</v>
      </c>
      <c r="W40" s="366"/>
      <c r="X40" s="366"/>
    </row>
    <row r="41" spans="1:24">
      <c r="B41" s="58" t="s">
        <v>258</v>
      </c>
      <c r="L41" s="366">
        <v>1347000000</v>
      </c>
      <c r="M41" s="366">
        <v>1422000000</v>
      </c>
      <c r="N41" s="366">
        <v>1140000000</v>
      </c>
      <c r="O41" s="366">
        <v>1648000000</v>
      </c>
      <c r="P41" s="366">
        <v>1918000000</v>
      </c>
      <c r="Q41" s="366">
        <v>2107000000</v>
      </c>
      <c r="R41" s="366">
        <v>4976000000</v>
      </c>
      <c r="S41" s="366">
        <v>5105000000</v>
      </c>
      <c r="T41" s="366">
        <v>4937000000</v>
      </c>
      <c r="U41" s="366">
        <v>4726000000</v>
      </c>
      <c r="V41" s="366">
        <v>5083000000</v>
      </c>
      <c r="W41" s="366"/>
      <c r="X41" s="366"/>
    </row>
    <row r="42" spans="1:24">
      <c r="B42" s="58" t="s">
        <v>280</v>
      </c>
      <c r="L42" s="366">
        <v>1338000000</v>
      </c>
      <c r="M42" s="366">
        <v>1422000000</v>
      </c>
      <c r="N42" s="366">
        <v>1104000000</v>
      </c>
      <c r="O42" s="366">
        <v>1549000000</v>
      </c>
      <c r="P42" s="366">
        <v>1611000000</v>
      </c>
      <c r="Q42" s="366">
        <v>1706000000</v>
      </c>
      <c r="R42" s="366">
        <v>3556000000</v>
      </c>
      <c r="S42" s="366">
        <v>3762000000</v>
      </c>
      <c r="T42" s="366">
        <v>3308000000</v>
      </c>
      <c r="U42" s="366">
        <v>3486000000</v>
      </c>
      <c r="V42" s="366">
        <v>3328000000</v>
      </c>
      <c r="W42" s="366"/>
      <c r="X42" s="366"/>
    </row>
    <row r="43" spans="1:24">
      <c r="B43" s="58" t="s">
        <v>209</v>
      </c>
      <c r="L43" s="366">
        <v>10000000</v>
      </c>
      <c r="M43" s="366">
        <v>0</v>
      </c>
      <c r="N43" s="366">
        <v>36000000</v>
      </c>
      <c r="O43" s="366">
        <v>99000000</v>
      </c>
      <c r="P43" s="366">
        <v>307000000</v>
      </c>
      <c r="Q43" s="366">
        <v>401000000</v>
      </c>
      <c r="R43" s="366">
        <v>1420000000</v>
      </c>
      <c r="S43" s="366">
        <v>1343000000</v>
      </c>
      <c r="T43" s="366">
        <v>1629000000</v>
      </c>
      <c r="U43" s="366">
        <v>1240000000</v>
      </c>
      <c r="V43" s="366">
        <v>1756000000</v>
      </c>
      <c r="W43" s="366"/>
      <c r="X43" s="366"/>
    </row>
    <row r="44" spans="1:24" s="848" customFormat="1" ht="16.5">
      <c r="A44" s="1221" t="s">
        <v>115</v>
      </c>
      <c r="B44" s="1063" t="s">
        <v>2331</v>
      </c>
      <c r="C44" s="1219" t="s">
        <v>35</v>
      </c>
      <c r="L44" s="1222">
        <v>1048000000</v>
      </c>
      <c r="M44" s="1222">
        <v>3693000000</v>
      </c>
      <c r="N44" s="1222">
        <v>2080000000</v>
      </c>
      <c r="O44" s="1222">
        <v>1653000000</v>
      </c>
      <c r="P44" s="1222">
        <v>2742000000</v>
      </c>
      <c r="Q44" s="1222">
        <v>6454000000</v>
      </c>
      <c r="R44" s="1222">
        <v>10371000000</v>
      </c>
      <c r="S44" s="1222">
        <v>10167000000</v>
      </c>
      <c r="T44" s="1222">
        <v>8669000000</v>
      </c>
      <c r="U44" s="1222">
        <v>6758000000</v>
      </c>
      <c r="V44" s="1222">
        <v>6650000000</v>
      </c>
      <c r="W44" s="1222"/>
      <c r="X44" s="1222"/>
    </row>
    <row r="45" spans="1:24">
      <c r="A45" s="90" t="s">
        <v>117</v>
      </c>
      <c r="B45" s="58" t="s">
        <v>280</v>
      </c>
      <c r="C45" s="58" t="s">
        <v>252</v>
      </c>
      <c r="L45" s="366">
        <v>1462000000</v>
      </c>
      <c r="M45" s="366">
        <v>2390000000</v>
      </c>
      <c r="N45" s="366">
        <v>1531000000</v>
      </c>
      <c r="O45" s="366">
        <v>3222000000</v>
      </c>
      <c r="P45" s="366">
        <v>1919000000</v>
      </c>
      <c r="Q45" s="366">
        <v>5172000000</v>
      </c>
      <c r="R45" s="366">
        <v>8013000000</v>
      </c>
      <c r="S45" s="366">
        <v>9114000000</v>
      </c>
      <c r="T45" s="366">
        <v>7811000000</v>
      </c>
      <c r="U45" s="366">
        <v>5407000000</v>
      </c>
      <c r="V45" s="366">
        <v>5357000000</v>
      </c>
      <c r="W45" s="366"/>
      <c r="X45" s="366"/>
    </row>
    <row r="46" spans="1:24">
      <c r="A46" s="90" t="s">
        <v>2299</v>
      </c>
      <c r="B46" s="58" t="s">
        <v>209</v>
      </c>
      <c r="C46" s="58" t="s">
        <v>252</v>
      </c>
      <c r="L46" s="366">
        <v>-789000000</v>
      </c>
      <c r="M46" s="366">
        <v>1338000000</v>
      </c>
      <c r="N46" s="366">
        <v>1320000000</v>
      </c>
      <c r="O46" s="366">
        <v>-26000000</v>
      </c>
      <c r="P46" s="366">
        <v>762000000</v>
      </c>
      <c r="Q46" s="366">
        <v>1672000000</v>
      </c>
      <c r="R46" s="366">
        <v>1367000000</v>
      </c>
      <c r="S46" s="366">
        <v>1506000000</v>
      </c>
      <c r="T46" s="366">
        <v>1274000000</v>
      </c>
      <c r="U46" s="366">
        <v>1351000000</v>
      </c>
      <c r="V46" s="366">
        <v>1293000000</v>
      </c>
      <c r="W46" s="366"/>
      <c r="X46" s="366"/>
    </row>
    <row r="47" spans="1:24">
      <c r="B47" s="64" t="s">
        <v>2332</v>
      </c>
      <c r="L47" s="366">
        <v>-794000000</v>
      </c>
      <c r="M47" s="366">
        <v>962000000</v>
      </c>
      <c r="N47" s="366">
        <v>1000000000</v>
      </c>
      <c r="O47" s="366">
        <v>-623000000</v>
      </c>
      <c r="P47" s="366">
        <v>-293000000</v>
      </c>
      <c r="Q47" s="366">
        <v>240000000</v>
      </c>
      <c r="R47" s="366">
        <v>-120000000</v>
      </c>
      <c r="S47" s="366">
        <v>0</v>
      </c>
      <c r="T47" s="366">
        <v>0</v>
      </c>
      <c r="U47" s="366">
        <v>0</v>
      </c>
      <c r="V47" s="366">
        <v>0</v>
      </c>
      <c r="W47" s="366"/>
      <c r="X47" s="366"/>
    </row>
    <row r="48" spans="1:24">
      <c r="A48" s="58" t="s">
        <v>2333</v>
      </c>
      <c r="B48" s="58" t="s">
        <v>2333</v>
      </c>
      <c r="C48" s="58" t="s">
        <v>252</v>
      </c>
      <c r="L48" s="366">
        <v>374000000</v>
      </c>
      <c r="M48" s="366">
        <v>-35000000</v>
      </c>
      <c r="N48" s="366">
        <v>-771000000</v>
      </c>
      <c r="O48" s="366">
        <v>-1542000000</v>
      </c>
      <c r="P48" s="366">
        <v>60000000</v>
      </c>
      <c r="Q48" s="366">
        <v>-389000000</v>
      </c>
      <c r="R48" s="366">
        <v>992000000</v>
      </c>
      <c r="S48" s="366">
        <v>-453000000</v>
      </c>
      <c r="T48" s="366">
        <v>-416000000</v>
      </c>
      <c r="U48" s="366">
        <v>0</v>
      </c>
      <c r="V48" s="366">
        <v>0</v>
      </c>
      <c r="W48" s="366"/>
      <c r="X48" s="366"/>
    </row>
    <row r="49" spans="1:25">
      <c r="A49" s="64" t="s">
        <v>2334</v>
      </c>
      <c r="B49" s="64" t="s">
        <v>2334</v>
      </c>
      <c r="C49" s="58" t="s">
        <v>2335</v>
      </c>
      <c r="L49" s="366">
        <v>61000000</v>
      </c>
      <c r="M49" s="366">
        <v>24000000</v>
      </c>
      <c r="N49" s="366">
        <v>23000000</v>
      </c>
      <c r="O49" s="366">
        <v>32000000</v>
      </c>
      <c r="P49" s="366">
        <v>31000000</v>
      </c>
      <c r="Q49" s="366">
        <v>21000000</v>
      </c>
      <c r="R49" s="366">
        <v>7000000</v>
      </c>
      <c r="S49" s="366">
        <v>0</v>
      </c>
      <c r="T49" s="366">
        <v>0</v>
      </c>
      <c r="U49" s="366">
        <v>0</v>
      </c>
      <c r="V49" s="366">
        <v>0</v>
      </c>
      <c r="W49" s="366"/>
      <c r="X49" s="366"/>
    </row>
    <row r="50" spans="1:25">
      <c r="A50" s="64" t="s">
        <v>2336</v>
      </c>
      <c r="B50" s="64" t="s">
        <v>2337</v>
      </c>
      <c r="C50" s="58" t="s">
        <v>2335</v>
      </c>
      <c r="L50" s="366">
        <v>313000000</v>
      </c>
      <c r="M50" s="366">
        <v>-59000000</v>
      </c>
      <c r="N50" s="366">
        <v>-794000000</v>
      </c>
      <c r="O50" s="366">
        <v>-1574000000</v>
      </c>
      <c r="P50" s="366">
        <v>29000000</v>
      </c>
      <c r="Q50" s="366">
        <v>-410000000</v>
      </c>
      <c r="R50" s="366">
        <v>984000000</v>
      </c>
      <c r="S50" s="366">
        <v>-453000000</v>
      </c>
      <c r="T50" s="366">
        <v>-416000000</v>
      </c>
      <c r="U50" s="366">
        <v>0</v>
      </c>
      <c r="V50" s="366">
        <v>0</v>
      </c>
      <c r="W50" s="366"/>
      <c r="X50" s="366"/>
    </row>
    <row r="52" spans="1:25">
      <c r="L52" t="s">
        <v>139</v>
      </c>
      <c r="M52" t="s">
        <v>139</v>
      </c>
      <c r="N52" t="s">
        <v>139</v>
      </c>
      <c r="O52" t="s">
        <v>139</v>
      </c>
      <c r="P52" t="s">
        <v>139</v>
      </c>
      <c r="Q52" t="s">
        <v>139</v>
      </c>
      <c r="R52" t="s">
        <v>139</v>
      </c>
      <c r="S52" t="s">
        <v>139</v>
      </c>
      <c r="T52" t="s">
        <v>139</v>
      </c>
      <c r="U52" t="s">
        <v>139</v>
      </c>
      <c r="V52" t="s">
        <v>139</v>
      </c>
    </row>
    <row r="54" spans="1:25">
      <c r="B54" t="s">
        <v>2307</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2338</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0</v>
      </c>
      <c r="T55" s="21">
        <f t="shared" si="7"/>
        <v>1000000</v>
      </c>
      <c r="U55" s="21">
        <f t="shared" si="7"/>
        <v>0</v>
      </c>
      <c r="V55" s="21">
        <f t="shared" si="7"/>
        <v>1000000</v>
      </c>
      <c r="W55" s="21">
        <f t="shared" si="7"/>
        <v>0</v>
      </c>
      <c r="X55" s="21">
        <f t="shared" si="7"/>
        <v>0</v>
      </c>
    </row>
    <row r="56" spans="1:25">
      <c r="B56" t="s">
        <v>2339</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2340</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2341</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2342</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2343</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2344</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457</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2345</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616</v>
      </c>
      <c r="L67" s="364">
        <f>(L6/L66)*100</f>
        <v>35.720415135275161</v>
      </c>
      <c r="M67" s="364">
        <f t="shared" ref="M67:X67" si="17">(M6/M66)*100</f>
        <v>29.395393474088294</v>
      </c>
      <c r="N67" s="364">
        <f t="shared" si="17"/>
        <v>33.33477104449716</v>
      </c>
      <c r="O67" s="364">
        <f t="shared" si="17"/>
        <v>39.343062931241093</v>
      </c>
      <c r="P67" s="364">
        <f t="shared" si="17"/>
        <v>39.45311162594296</v>
      </c>
      <c r="Q67" s="364">
        <f t="shared" si="17"/>
        <v>39.439839954272649</v>
      </c>
      <c r="R67" s="364">
        <f t="shared" si="17"/>
        <v>38.805287290015215</v>
      </c>
      <c r="S67" s="364">
        <f t="shared" si="17"/>
        <v>35.474349254485723</v>
      </c>
      <c r="T67" s="364">
        <f t="shared" si="17"/>
        <v>33.694861255875239</v>
      </c>
      <c r="U67" s="364">
        <f t="shared" si="17"/>
        <v>33.410325179196931</v>
      </c>
      <c r="V67" s="364">
        <f t="shared" si="17"/>
        <v>33.44119924770439</v>
      </c>
      <c r="W67" s="364">
        <f t="shared" si="17"/>
        <v>0</v>
      </c>
      <c r="X67" s="364">
        <f t="shared" si="17"/>
        <v>0</v>
      </c>
    </row>
    <row r="68" spans="2:24">
      <c r="B68" t="s">
        <v>145</v>
      </c>
      <c r="L68" s="364">
        <f>(L19/L66)*100</f>
        <v>35.236306526561215</v>
      </c>
      <c r="M68" s="364">
        <f t="shared" ref="M68:X68" si="18">(M19/M66)*100</f>
        <v>32.965451055662186</v>
      </c>
      <c r="N68" s="364">
        <f t="shared" si="18"/>
        <v>34.681906405003232</v>
      </c>
      <c r="O68" s="364">
        <f t="shared" si="18"/>
        <v>39.349369930749148</v>
      </c>
      <c r="P68" s="364">
        <f t="shared" si="18"/>
        <v>40.392362735811375</v>
      </c>
      <c r="Q68" s="364">
        <f t="shared" si="18"/>
        <v>44.042213119092224</v>
      </c>
      <c r="R68" s="364">
        <f t="shared" si="18"/>
        <v>44.172145251285521</v>
      </c>
      <c r="S68" s="364">
        <f t="shared" si="18"/>
        <v>40.56406368460955</v>
      </c>
      <c r="T68" s="364">
        <f t="shared" si="18"/>
        <v>37.364549941985089</v>
      </c>
      <c r="U68" s="364">
        <f t="shared" si="18"/>
        <v>35.349756139463409</v>
      </c>
      <c r="V68" s="364">
        <f t="shared" si="18"/>
        <v>34.884943024670875</v>
      </c>
      <c r="W68" s="364">
        <f t="shared" si="18"/>
        <v>0</v>
      </c>
      <c r="X68" s="364">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U6" activePane="bottomRight" state="frozen"/>
      <selection pane="topRight" activeCell="R7" sqref="R7"/>
      <selection pane="bottomLeft" activeCell="R7" sqref="R7"/>
      <selection pane="bottomRight" activeCell="AA35" sqref="AA35"/>
    </sheetView>
  </sheetViews>
  <sheetFormatPr defaultRowHeight="15"/>
  <cols>
    <col min="1" max="1" width="32.7109375" style="930" bestFit="1" customWidth="1"/>
    <col min="2" max="2" width="55.28515625" style="930" bestFit="1" customWidth="1"/>
    <col min="3" max="3" width="21.5703125" style="930" bestFit="1" customWidth="1"/>
    <col min="4" max="7" width="10.7109375" style="930" bestFit="1" customWidth="1"/>
    <col min="8" max="12" width="16" style="930" bestFit="1" customWidth="1"/>
    <col min="13" max="18" width="20.42578125" style="930" bestFit="1" customWidth="1"/>
    <col min="19" max="24" width="18.5703125" style="930" bestFit="1" customWidth="1"/>
    <col min="25" max="26" width="18.5703125" style="1027" bestFit="1" customWidth="1"/>
    <col min="27" max="27" width="12.5703125" style="1027" bestFit="1" customWidth="1"/>
    <col min="28" max="31" width="8.85546875" style="1027"/>
  </cols>
  <sheetData>
    <row r="1" spans="1:51">
      <c r="A1" s="924" t="s">
        <v>2346</v>
      </c>
      <c r="B1" s="1248" t="s">
        <v>2347</v>
      </c>
      <c r="C1" s="1248"/>
      <c r="D1" s="926"/>
      <c r="E1" s="926"/>
      <c r="F1" s="926"/>
      <c r="G1" s="926"/>
      <c r="H1" s="926"/>
      <c r="I1" s="926"/>
      <c r="J1" s="926"/>
      <c r="K1" s="926"/>
      <c r="L1" s="926"/>
      <c r="M1" s="926"/>
      <c r="N1" s="926"/>
      <c r="O1" s="927"/>
      <c r="P1" s="927"/>
      <c r="Q1" s="927"/>
      <c r="R1" s="928"/>
      <c r="S1" s="927"/>
      <c r="T1" s="927"/>
      <c r="U1" s="927"/>
      <c r="V1" s="927"/>
      <c r="W1" s="927"/>
      <c r="X1" s="927"/>
      <c r="Y1" s="1246"/>
      <c r="Z1" s="1246"/>
      <c r="AA1" s="1246"/>
      <c r="AB1" s="1246"/>
      <c r="AC1" s="1246"/>
      <c r="AD1" s="1246"/>
      <c r="AE1" s="1246"/>
      <c r="AF1" s="365"/>
      <c r="AG1" s="365"/>
      <c r="AH1" s="365"/>
      <c r="AI1" s="365"/>
      <c r="AJ1" s="365"/>
      <c r="AK1" s="365"/>
      <c r="AL1" s="365"/>
      <c r="AM1" s="365"/>
      <c r="AN1" s="365"/>
      <c r="AO1" s="365"/>
      <c r="AP1" s="365"/>
      <c r="AQ1" s="365"/>
      <c r="AR1" s="365"/>
      <c r="AS1" s="365"/>
      <c r="AT1" s="365"/>
      <c r="AU1" s="365"/>
      <c r="AV1" s="365"/>
      <c r="AW1" s="365"/>
      <c r="AX1" s="365"/>
      <c r="AY1" s="365"/>
    </row>
    <row r="2" spans="1:51">
      <c r="B2" s="1249" t="s">
        <v>2348</v>
      </c>
      <c r="C2" s="1249"/>
      <c r="D2" s="927"/>
      <c r="E2" s="927"/>
      <c r="F2" s="927"/>
      <c r="G2" s="927"/>
      <c r="H2" s="927"/>
      <c r="I2" s="927"/>
      <c r="J2" s="927"/>
      <c r="K2" s="927"/>
      <c r="L2" s="927"/>
      <c r="M2" s="927"/>
      <c r="N2" s="927"/>
      <c r="O2" s="927"/>
      <c r="P2" s="927"/>
      <c r="Q2" s="927"/>
      <c r="R2" s="932"/>
      <c r="S2" s="933"/>
      <c r="T2" s="934"/>
      <c r="U2" s="927"/>
      <c r="V2" s="927"/>
      <c r="W2" s="927"/>
      <c r="X2" s="927"/>
      <c r="Y2" s="1246"/>
      <c r="Z2" s="1246"/>
      <c r="AA2" s="1246"/>
      <c r="AB2" s="1246"/>
      <c r="AC2" s="1246"/>
      <c r="AD2" s="1246"/>
      <c r="AE2" s="1246"/>
      <c r="AF2" s="365"/>
      <c r="AG2" s="365"/>
      <c r="AH2" s="365"/>
      <c r="AI2" s="365"/>
      <c r="AJ2" s="365"/>
      <c r="AK2" s="365"/>
      <c r="AL2" s="365"/>
      <c r="AM2" s="365"/>
      <c r="AN2" s="365"/>
      <c r="AO2" s="365"/>
      <c r="AP2" s="365"/>
      <c r="AQ2" s="365"/>
      <c r="AR2" s="365"/>
      <c r="AS2" s="365"/>
      <c r="AT2" s="365"/>
      <c r="AU2" s="365"/>
      <c r="AV2" s="365"/>
      <c r="AW2" s="365"/>
      <c r="AX2" s="365"/>
      <c r="AY2" s="365"/>
    </row>
    <row r="3" spans="1:51">
      <c r="B3" s="1250" t="s">
        <v>3</v>
      </c>
      <c r="C3" s="1250"/>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2739">
        <v>2021</v>
      </c>
      <c r="Z3" s="2739">
        <v>2022</v>
      </c>
      <c r="AA3" s="1246"/>
      <c r="AB3" s="1246"/>
      <c r="AC3" s="1246"/>
      <c r="AD3" s="1246"/>
      <c r="AE3" s="1246"/>
      <c r="AF3" s="365"/>
      <c r="AG3" s="365"/>
      <c r="AH3" s="365"/>
      <c r="AI3" s="365"/>
      <c r="AJ3" s="365"/>
      <c r="AK3" s="365"/>
      <c r="AL3" s="365"/>
      <c r="AM3" s="365"/>
      <c r="AN3" s="365"/>
      <c r="AO3" s="365"/>
      <c r="AP3" s="365"/>
      <c r="AQ3" s="365"/>
      <c r="AR3" s="365"/>
      <c r="AS3" s="365"/>
      <c r="AT3" s="365"/>
      <c r="AU3" s="365"/>
      <c r="AV3" s="365"/>
      <c r="AW3" s="365"/>
      <c r="AX3" s="365"/>
      <c r="AY3" s="365"/>
    </row>
    <row r="4" spans="1:51">
      <c r="B4" s="1250" t="s">
        <v>4</v>
      </c>
      <c r="C4" s="1250"/>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2739" t="s">
        <v>26</v>
      </c>
      <c r="Z4" s="2739" t="s">
        <v>27</v>
      </c>
      <c r="AA4" s="1246"/>
      <c r="AB4" s="1246"/>
      <c r="AC4" s="1246"/>
      <c r="AD4" s="1246"/>
      <c r="AE4" s="1246"/>
      <c r="AF4" s="365"/>
      <c r="AG4" s="365"/>
      <c r="AH4" s="365"/>
      <c r="AI4" s="365"/>
      <c r="AJ4" s="365"/>
      <c r="AK4" s="365"/>
      <c r="AL4" s="365"/>
      <c r="AM4" s="365"/>
      <c r="AN4" s="365"/>
      <c r="AO4" s="365"/>
      <c r="AP4" s="365"/>
      <c r="AQ4" s="365"/>
      <c r="AR4" s="365"/>
      <c r="AS4" s="365"/>
      <c r="AT4" s="365"/>
      <c r="AU4" s="365"/>
      <c r="AV4" s="365"/>
      <c r="AW4" s="365"/>
      <c r="AX4" s="365"/>
      <c r="AY4" s="365"/>
    </row>
    <row r="5" spans="1:51">
      <c r="A5" s="930" t="s">
        <v>28</v>
      </c>
      <c r="B5" s="1250" t="s">
        <v>29</v>
      </c>
      <c r="C5" s="1250"/>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30</v>
      </c>
      <c r="R5" s="927" t="s">
        <v>30</v>
      </c>
      <c r="S5" s="927" t="s">
        <v>30</v>
      </c>
      <c r="T5" s="927" t="s">
        <v>30</v>
      </c>
      <c r="U5" s="927" t="s">
        <v>30</v>
      </c>
      <c r="V5" s="927" t="s">
        <v>32</v>
      </c>
      <c r="W5" s="927" t="s">
        <v>32</v>
      </c>
      <c r="X5" s="927" t="s">
        <v>32</v>
      </c>
      <c r="Y5" s="1025" t="s">
        <v>32</v>
      </c>
      <c r="Z5" s="1025" t="s">
        <v>32</v>
      </c>
      <c r="AA5" s="1246"/>
      <c r="AB5" s="1246"/>
      <c r="AC5" s="1246"/>
      <c r="AD5" s="1246"/>
      <c r="AE5" s="1246"/>
      <c r="AF5" s="365"/>
      <c r="AG5" s="365"/>
      <c r="AH5" s="365"/>
      <c r="AI5" s="365"/>
      <c r="AJ5" s="365"/>
      <c r="AK5" s="365"/>
      <c r="AL5" s="365"/>
      <c r="AM5" s="365"/>
      <c r="AN5" s="365"/>
      <c r="AO5" s="365"/>
      <c r="AP5" s="365"/>
      <c r="AQ5" s="365"/>
      <c r="AR5" s="365"/>
      <c r="AS5" s="365"/>
      <c r="AT5" s="365"/>
      <c r="AU5" s="365"/>
      <c r="AV5" s="365"/>
      <c r="AW5" s="365"/>
      <c r="AX5" s="365"/>
      <c r="AY5" s="365"/>
    </row>
    <row r="6" spans="1:51" s="848" customFormat="1">
      <c r="A6" s="935" t="s">
        <v>33</v>
      </c>
      <c r="B6" s="935" t="s">
        <v>2349</v>
      </c>
      <c r="C6" s="1251" t="s">
        <v>35</v>
      </c>
      <c r="D6" s="1251"/>
      <c r="E6" s="1251"/>
      <c r="F6" s="1252"/>
      <c r="G6" s="1252"/>
      <c r="H6" s="936">
        <v>124200000000</v>
      </c>
      <c r="I6" s="936">
        <v>133600000000</v>
      </c>
      <c r="J6" s="936">
        <v>176500000000</v>
      </c>
      <c r="K6" s="936">
        <f>K7+K24</f>
        <v>206309600000</v>
      </c>
      <c r="L6" s="936">
        <f>L7+L24</f>
        <v>249844500000</v>
      </c>
      <c r="M6" s="936">
        <v>288730800000</v>
      </c>
      <c r="N6" s="1252">
        <v>289819199999.99994</v>
      </c>
      <c r="O6" s="1252">
        <v>329126900000</v>
      </c>
      <c r="P6" s="936">
        <v>348900000000</v>
      </c>
      <c r="Q6" s="936">
        <v>403600000000</v>
      </c>
      <c r="R6" s="936">
        <v>498900000000</v>
      </c>
      <c r="S6" s="1253">
        <v>538400000000</v>
      </c>
      <c r="T6" s="1253">
        <f>T7+T24</f>
        <v>549000000000</v>
      </c>
      <c r="U6" s="1253">
        <f>U7+U24</f>
        <v>659300000000</v>
      </c>
      <c r="V6" s="1253">
        <f t="shared" ref="V6:Z6" si="0">V7+V24</f>
        <v>808600000000</v>
      </c>
      <c r="W6" s="1253">
        <f t="shared" si="0"/>
        <v>999600000000</v>
      </c>
      <c r="X6" s="1253">
        <f t="shared" si="0"/>
        <v>1127000000000</v>
      </c>
      <c r="Y6" s="1253">
        <f t="shared" si="0"/>
        <v>1286700000000</v>
      </c>
      <c r="Z6" s="1253">
        <f t="shared" si="0"/>
        <v>1460600000000</v>
      </c>
      <c r="AA6" s="1247"/>
      <c r="AB6" s="1247"/>
      <c r="AC6" s="1247"/>
      <c r="AD6" s="1247"/>
      <c r="AE6" s="1247"/>
      <c r="AF6" s="916"/>
      <c r="AG6" s="916"/>
      <c r="AH6" s="916"/>
      <c r="AI6" s="916"/>
      <c r="AJ6" s="916"/>
      <c r="AK6" s="916"/>
      <c r="AL6" s="916"/>
      <c r="AM6" s="916"/>
      <c r="AN6" s="916"/>
      <c r="AO6" s="916"/>
      <c r="AP6" s="916"/>
      <c r="AQ6" s="916"/>
      <c r="AR6" s="916"/>
      <c r="AS6" s="916"/>
      <c r="AT6" s="916"/>
      <c r="AU6" s="916"/>
      <c r="AV6" s="916"/>
      <c r="AW6" s="916"/>
      <c r="AX6" s="916"/>
      <c r="AY6" s="916"/>
    </row>
    <row r="7" spans="1:51">
      <c r="A7" s="940" t="s">
        <v>36</v>
      </c>
      <c r="B7" s="940" t="s">
        <v>882</v>
      </c>
      <c r="C7" s="941" t="s">
        <v>38</v>
      </c>
      <c r="D7" s="927"/>
      <c r="E7" s="927"/>
      <c r="F7" s="1254"/>
      <c r="G7" s="1254"/>
      <c r="H7" s="929">
        <f t="shared" ref="H7:O7" si="1">H8+H21+H23</f>
        <v>119100000000</v>
      </c>
      <c r="I7" s="929">
        <f t="shared" si="1"/>
        <v>130800000000</v>
      </c>
      <c r="J7" s="929">
        <f t="shared" si="1"/>
        <v>174100000000</v>
      </c>
      <c r="K7" s="929">
        <f t="shared" si="1"/>
        <v>202585600000</v>
      </c>
      <c r="L7" s="929">
        <f t="shared" si="1"/>
        <v>248053500000</v>
      </c>
      <c r="M7" s="929">
        <f t="shared" si="1"/>
        <v>280422000000</v>
      </c>
      <c r="N7" s="929">
        <f t="shared" si="1"/>
        <v>287424000000</v>
      </c>
      <c r="O7" s="929">
        <f t="shared" si="1"/>
        <v>326372700000</v>
      </c>
      <c r="P7" s="942">
        <f>(P8+P21)</f>
        <v>338800000000</v>
      </c>
      <c r="Q7" s="942">
        <f t="shared" ref="Q7:R7" si="2">(Q8+Q21)</f>
        <v>398400000000</v>
      </c>
      <c r="R7" s="942">
        <f t="shared" si="2"/>
        <v>423600000000</v>
      </c>
      <c r="S7" s="944">
        <f>S6-S24</f>
        <v>512900000000</v>
      </c>
      <c r="T7" s="944">
        <f>T8+T21</f>
        <v>545500000000</v>
      </c>
      <c r="U7" s="944">
        <f>U8+U21</f>
        <v>641600000000</v>
      </c>
      <c r="V7" s="944">
        <f t="shared" ref="V7:Z7" si="3">V8+V21</f>
        <v>807500000000</v>
      </c>
      <c r="W7" s="944">
        <f t="shared" si="3"/>
        <v>998400000000</v>
      </c>
      <c r="X7" s="944">
        <f t="shared" si="3"/>
        <v>1125800000000</v>
      </c>
      <c r="Y7" s="944">
        <f t="shared" si="3"/>
        <v>1285500000000</v>
      </c>
      <c r="Z7" s="944">
        <f t="shared" si="3"/>
        <v>1459300000000</v>
      </c>
      <c r="AA7" s="1246"/>
      <c r="AB7" s="1246"/>
      <c r="AC7" s="1246"/>
      <c r="AD7" s="1246"/>
      <c r="AE7" s="1246"/>
      <c r="AF7" s="365"/>
      <c r="AG7" s="365"/>
      <c r="AH7" s="365"/>
      <c r="AI7" s="365"/>
      <c r="AJ7" s="365"/>
      <c r="AK7" s="365"/>
      <c r="AL7" s="365"/>
      <c r="AM7" s="365"/>
      <c r="AN7" s="365"/>
      <c r="AO7" s="365"/>
      <c r="AP7" s="365"/>
      <c r="AQ7" s="365"/>
      <c r="AR7" s="365"/>
      <c r="AS7" s="365"/>
      <c r="AT7" s="365"/>
      <c r="AU7" s="365"/>
      <c r="AV7" s="365"/>
      <c r="AW7" s="365"/>
      <c r="AX7" s="365"/>
      <c r="AY7" s="365"/>
    </row>
    <row r="8" spans="1:51">
      <c r="A8" s="940" t="s">
        <v>39</v>
      </c>
      <c r="B8" s="940" t="s">
        <v>2350</v>
      </c>
      <c r="C8" s="940" t="s">
        <v>41</v>
      </c>
      <c r="D8" s="927"/>
      <c r="E8" s="927"/>
      <c r="F8" s="1254"/>
      <c r="G8" s="1254"/>
      <c r="H8" s="942">
        <v>67099999999.999992</v>
      </c>
      <c r="I8" s="942">
        <v>75800000000</v>
      </c>
      <c r="J8" s="942">
        <v>97800000000</v>
      </c>
      <c r="K8" s="963">
        <f>K9+K15+K19+K20</f>
        <v>114699199999.99998</v>
      </c>
      <c r="L8" s="963">
        <f>L9+L15+L19+L20</f>
        <v>137907000000</v>
      </c>
      <c r="M8" s="942">
        <v>163060199999.99997</v>
      </c>
      <c r="N8" s="1254">
        <v>165268800000</v>
      </c>
      <c r="O8" s="1254">
        <v>205187900000</v>
      </c>
      <c r="P8" s="942">
        <v>207400000000</v>
      </c>
      <c r="Q8" s="942">
        <v>251100000000</v>
      </c>
      <c r="R8" s="942">
        <v>260300000000</v>
      </c>
      <c r="S8" s="944">
        <v>306000000000</v>
      </c>
      <c r="T8" s="944">
        <v>352300000000</v>
      </c>
      <c r="U8" s="944">
        <f>U9+U15+U19+U20</f>
        <v>462100000000</v>
      </c>
      <c r="V8" s="944">
        <f t="shared" ref="V8:Z8" si="4">V9+V15+V19+V20</f>
        <v>625500000000</v>
      </c>
      <c r="W8" s="944">
        <f t="shared" si="4"/>
        <v>780600000000</v>
      </c>
      <c r="X8" s="944">
        <f t="shared" si="4"/>
        <v>901800000000</v>
      </c>
      <c r="Y8" s="944">
        <f t="shared" si="4"/>
        <v>1026100000000</v>
      </c>
      <c r="Z8" s="944">
        <f t="shared" si="4"/>
        <v>1165200000000</v>
      </c>
      <c r="AA8" s="1246"/>
      <c r="AB8" s="1246"/>
      <c r="AC8" s="1246"/>
      <c r="AD8" s="1246"/>
      <c r="AE8" s="1246"/>
      <c r="AF8" s="365"/>
      <c r="AG8" s="365"/>
      <c r="AH8" s="365"/>
      <c r="AI8" s="365"/>
      <c r="AJ8" s="365"/>
      <c r="AK8" s="365"/>
      <c r="AL8" s="365"/>
      <c r="AM8" s="365"/>
      <c r="AN8" s="365"/>
      <c r="AO8" s="365"/>
      <c r="AP8" s="365"/>
      <c r="AQ8" s="365"/>
      <c r="AR8" s="365"/>
      <c r="AS8" s="365"/>
      <c r="AT8" s="365"/>
      <c r="AU8" s="365"/>
      <c r="AV8" s="365"/>
      <c r="AW8" s="365"/>
      <c r="AX8" s="365"/>
      <c r="AY8" s="365"/>
    </row>
    <row r="9" spans="1:51">
      <c r="A9" s="946" t="s">
        <v>2351</v>
      </c>
      <c r="B9" s="946" t="s">
        <v>2352</v>
      </c>
      <c r="C9" s="1250" t="s">
        <v>44</v>
      </c>
      <c r="D9" s="927"/>
      <c r="E9" s="927"/>
      <c r="F9" s="1254"/>
      <c r="G9" s="1254"/>
      <c r="H9" s="942">
        <v>28100000000</v>
      </c>
      <c r="I9" s="942">
        <v>32600000000</v>
      </c>
      <c r="J9" s="942">
        <v>49500000000</v>
      </c>
      <c r="K9" s="942">
        <v>60328799999.999992</v>
      </c>
      <c r="L9" s="942">
        <v>68953500000</v>
      </c>
      <c r="M9" s="942">
        <v>83088000000</v>
      </c>
      <c r="N9" s="1254">
        <v>83832000000</v>
      </c>
      <c r="O9" s="1254">
        <v>108790900000</v>
      </c>
      <c r="P9" s="942">
        <v>104300000000</v>
      </c>
      <c r="Q9" s="942">
        <v>134199999999.99998</v>
      </c>
      <c r="R9" s="942">
        <v>139700000000</v>
      </c>
      <c r="S9" s="944">
        <v>150900000000</v>
      </c>
      <c r="T9" s="944">
        <v>158200000000</v>
      </c>
      <c r="U9" s="944">
        <v>203400000000</v>
      </c>
      <c r="V9" s="944">
        <v>259300000000</v>
      </c>
      <c r="W9" s="944">
        <v>327600000000</v>
      </c>
      <c r="X9" s="944">
        <v>370900000000</v>
      </c>
      <c r="Y9" s="944">
        <v>420900000000</v>
      </c>
      <c r="Z9" s="944">
        <v>480300000000</v>
      </c>
      <c r="AA9" s="1246"/>
      <c r="AB9" s="1246"/>
      <c r="AC9" s="1246"/>
      <c r="AD9" s="1246"/>
      <c r="AE9" s="1246"/>
      <c r="AF9" s="1246"/>
      <c r="AG9" s="365"/>
      <c r="AH9" s="365"/>
      <c r="AI9" s="365"/>
      <c r="AJ9" s="365"/>
      <c r="AK9" s="365"/>
      <c r="AL9" s="365"/>
      <c r="AM9" s="365"/>
      <c r="AN9" s="365"/>
      <c r="AO9" s="365"/>
      <c r="AP9" s="365"/>
      <c r="AQ9" s="365"/>
      <c r="AR9" s="365"/>
      <c r="AS9" s="365"/>
      <c r="AT9" s="365"/>
      <c r="AU9" s="365"/>
      <c r="AV9" s="365"/>
      <c r="AW9" s="365"/>
      <c r="AX9" s="365"/>
      <c r="AY9" s="365"/>
    </row>
    <row r="10" spans="1:51">
      <c r="A10" s="947" t="s">
        <v>170</v>
      </c>
      <c r="B10" s="947" t="s">
        <v>1502</v>
      </c>
      <c r="C10" s="930" t="s">
        <v>2353</v>
      </c>
      <c r="D10" s="927"/>
      <c r="E10" s="927"/>
      <c r="F10" s="943"/>
      <c r="G10" s="943"/>
      <c r="H10" s="943"/>
      <c r="I10" s="943"/>
      <c r="J10" s="943"/>
      <c r="K10" s="943"/>
      <c r="L10" s="943"/>
      <c r="M10" s="943"/>
      <c r="N10" s="943"/>
      <c r="O10" s="943"/>
      <c r="P10" s="942">
        <v>21700000000</v>
      </c>
      <c r="Q10" s="942">
        <v>26200000000</v>
      </c>
      <c r="R10" s="942">
        <v>31400000000</v>
      </c>
      <c r="S10" s="944">
        <v>38200000000</v>
      </c>
      <c r="T10" s="944">
        <f>T9-T11</f>
        <v>55800000000</v>
      </c>
      <c r="U10" s="944">
        <v>51000000000</v>
      </c>
      <c r="V10" s="944">
        <v>67400000000.000008</v>
      </c>
      <c r="W10" s="944">
        <v>85600000000</v>
      </c>
      <c r="X10" s="944">
        <v>103000000000</v>
      </c>
      <c r="Y10" s="944">
        <v>123500000000</v>
      </c>
      <c r="Z10" s="944">
        <v>140000000000</v>
      </c>
      <c r="AA10" s="1246"/>
      <c r="AB10" s="1246"/>
      <c r="AC10" s="1246"/>
      <c r="AD10" s="1246"/>
      <c r="AE10" s="1246"/>
      <c r="AF10" s="1246"/>
      <c r="AG10" s="365"/>
      <c r="AH10" s="365"/>
      <c r="AI10" s="365"/>
      <c r="AJ10" s="365"/>
      <c r="AK10" s="365"/>
      <c r="AL10" s="365"/>
      <c r="AM10" s="365"/>
      <c r="AN10" s="365"/>
      <c r="AO10" s="365"/>
      <c r="AP10" s="365"/>
      <c r="AQ10" s="365"/>
      <c r="AR10" s="365"/>
      <c r="AS10" s="365"/>
      <c r="AT10" s="365"/>
      <c r="AU10" s="365"/>
      <c r="AV10" s="365"/>
      <c r="AW10" s="365"/>
      <c r="AX10" s="365"/>
      <c r="AY10" s="365"/>
    </row>
    <row r="11" spans="1:51">
      <c r="A11" s="947" t="s">
        <v>1504</v>
      </c>
      <c r="B11" s="947" t="s">
        <v>1505</v>
      </c>
      <c r="C11" s="930" t="s">
        <v>2353</v>
      </c>
      <c r="D11" s="927"/>
      <c r="E11" s="927"/>
      <c r="F11" s="943"/>
      <c r="G11" s="943"/>
      <c r="H11" s="943"/>
      <c r="I11" s="943"/>
      <c r="J11" s="943"/>
      <c r="K11" s="943"/>
      <c r="L11" s="943"/>
      <c r="M11" s="943"/>
      <c r="N11" s="943"/>
      <c r="O11" s="943"/>
      <c r="P11" s="942">
        <v>69500000000</v>
      </c>
      <c r="Q11" s="942">
        <v>91500000000</v>
      </c>
      <c r="R11" s="942">
        <v>89500000000</v>
      </c>
      <c r="S11" s="944">
        <v>91600000000</v>
      </c>
      <c r="T11" s="1266">
        <f>T12+T13</f>
        <v>102400000000</v>
      </c>
      <c r="U11" s="944">
        <v>115900000000</v>
      </c>
      <c r="V11" s="944">
        <v>140100000000</v>
      </c>
      <c r="W11" s="944">
        <v>170000000000</v>
      </c>
      <c r="X11" s="944">
        <v>198800000000</v>
      </c>
      <c r="Y11" s="944">
        <v>226700000000</v>
      </c>
      <c r="Z11" s="944">
        <v>260000000000</v>
      </c>
      <c r="AA11" s="1246"/>
      <c r="AB11" s="1246"/>
      <c r="AC11" s="1246"/>
      <c r="AD11" s="1246"/>
      <c r="AE11" s="1246"/>
      <c r="AF11" s="1246"/>
      <c r="AG11" s="365"/>
      <c r="AH11" s="365"/>
      <c r="AI11" s="365"/>
      <c r="AJ11" s="365"/>
      <c r="AK11" s="365"/>
      <c r="AL11" s="365"/>
      <c r="AM11" s="365"/>
      <c r="AN11" s="365"/>
      <c r="AO11" s="365"/>
      <c r="AP11" s="365"/>
      <c r="AQ11" s="365"/>
      <c r="AR11" s="365"/>
      <c r="AS11" s="365"/>
      <c r="AT11" s="365"/>
      <c r="AU11" s="365"/>
      <c r="AV11" s="365"/>
      <c r="AW11" s="365"/>
      <c r="AX11" s="365"/>
      <c r="AY11" s="365"/>
    </row>
    <row r="12" spans="1:51">
      <c r="A12" s="930" t="s">
        <v>76</v>
      </c>
      <c r="B12" s="947" t="s">
        <v>2354</v>
      </c>
      <c r="D12" s="927"/>
      <c r="E12" s="927"/>
      <c r="F12" s="943"/>
      <c r="G12" s="943"/>
      <c r="H12" s="943"/>
      <c r="I12" s="943"/>
      <c r="J12" s="943"/>
      <c r="K12" s="943"/>
      <c r="L12" s="943"/>
      <c r="M12" s="943"/>
      <c r="N12" s="943"/>
      <c r="O12" s="943"/>
      <c r="P12" s="942">
        <v>34100000000</v>
      </c>
      <c r="Q12" s="942">
        <v>45800000000</v>
      </c>
      <c r="R12" s="942">
        <v>46100000000</v>
      </c>
      <c r="S12" s="944">
        <v>36000000000</v>
      </c>
      <c r="T12" s="944">
        <v>37300000000</v>
      </c>
      <c r="U12" s="944"/>
      <c r="V12" s="944"/>
      <c r="W12" s="944"/>
      <c r="X12" s="944"/>
      <c r="Y12" s="944"/>
      <c r="Z12" s="944"/>
      <c r="AA12" s="1246"/>
      <c r="AB12" s="1246"/>
      <c r="AC12" s="1246"/>
      <c r="AD12" s="1246"/>
      <c r="AE12" s="1246"/>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930" t="s">
        <v>76</v>
      </c>
      <c r="B13" s="947" t="s">
        <v>50</v>
      </c>
      <c r="D13" s="927"/>
      <c r="E13" s="927"/>
      <c r="F13" s="943"/>
      <c r="G13" s="943"/>
      <c r="H13" s="943"/>
      <c r="I13" s="943"/>
      <c r="J13" s="943"/>
      <c r="K13" s="943"/>
      <c r="L13" s="943"/>
      <c r="M13" s="943"/>
      <c r="N13" s="943"/>
      <c r="O13" s="943"/>
      <c r="P13" s="942">
        <v>35500000000</v>
      </c>
      <c r="Q13" s="942">
        <v>45700000000</v>
      </c>
      <c r="R13" s="942">
        <v>43500000000</v>
      </c>
      <c r="S13" s="944">
        <v>55600000000</v>
      </c>
      <c r="T13" s="944">
        <v>65099999999.999992</v>
      </c>
      <c r="U13" s="944"/>
      <c r="V13" s="944"/>
      <c r="W13" s="944"/>
      <c r="X13" s="944"/>
      <c r="Y13" s="944"/>
      <c r="Z13" s="944"/>
      <c r="AA13" s="1246"/>
      <c r="AB13" s="1246"/>
      <c r="AC13" s="1246"/>
      <c r="AD13" s="1246"/>
      <c r="AE13" s="1246"/>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947" t="s">
        <v>50</v>
      </c>
      <c r="B14" s="947" t="s">
        <v>50</v>
      </c>
      <c r="C14" s="930" t="s">
        <v>2353</v>
      </c>
      <c r="D14" s="927"/>
      <c r="E14" s="927"/>
      <c r="F14" s="943"/>
      <c r="G14" s="943"/>
      <c r="H14" s="943"/>
      <c r="I14" s="943"/>
      <c r="J14" s="943"/>
      <c r="K14" s="943"/>
      <c r="L14" s="943"/>
      <c r="M14" s="943"/>
      <c r="N14" s="943"/>
      <c r="O14" s="943"/>
      <c r="P14" s="963">
        <f t="shared" ref="P14:T14" si="5">P9-P10-P11</f>
        <v>13100000000</v>
      </c>
      <c r="Q14" s="963">
        <f t="shared" si="5"/>
        <v>16499999999.999985</v>
      </c>
      <c r="R14" s="963">
        <f t="shared" si="5"/>
        <v>18800000000</v>
      </c>
      <c r="S14" s="963">
        <f>S9-S10-S11</f>
        <v>21100000000</v>
      </c>
      <c r="T14" s="963">
        <f t="shared" si="5"/>
        <v>0</v>
      </c>
      <c r="U14" s="944">
        <f>U9-U10-U11</f>
        <v>36500000000</v>
      </c>
      <c r="V14" s="944">
        <f t="shared" ref="V14:Z14" si="6">V9-V10-V11</f>
        <v>51800000000</v>
      </c>
      <c r="W14" s="944">
        <f t="shared" si="6"/>
        <v>72000000000</v>
      </c>
      <c r="X14" s="944">
        <f t="shared" si="6"/>
        <v>69100000000</v>
      </c>
      <c r="Y14" s="944">
        <f t="shared" si="6"/>
        <v>70700000000</v>
      </c>
      <c r="Z14" s="944">
        <f t="shared" si="6"/>
        <v>80300000000</v>
      </c>
      <c r="AA14" s="1246"/>
      <c r="AB14" s="1246"/>
      <c r="AC14" s="1246"/>
      <c r="AD14" s="1246"/>
      <c r="AE14" s="1246"/>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946" t="s">
        <v>83</v>
      </c>
      <c r="B15" s="946" t="s">
        <v>2355</v>
      </c>
      <c r="C15" s="1250" t="s">
        <v>44</v>
      </c>
      <c r="D15" s="927"/>
      <c r="E15" s="927"/>
      <c r="F15" s="1254"/>
      <c r="G15" s="1254"/>
      <c r="H15" s="942">
        <v>26600000000</v>
      </c>
      <c r="I15" s="942">
        <v>31400000000</v>
      </c>
      <c r="J15" s="942">
        <v>34700000000</v>
      </c>
      <c r="K15" s="942">
        <v>39474399999.999992</v>
      </c>
      <c r="L15" s="942">
        <v>50147999999.999992</v>
      </c>
      <c r="M15" s="942">
        <v>62315999999.999992</v>
      </c>
      <c r="N15" s="1254">
        <v>63472799999.999992</v>
      </c>
      <c r="O15" s="1254">
        <v>77117600000</v>
      </c>
      <c r="P15" s="942">
        <v>84600000000</v>
      </c>
      <c r="Q15" s="942">
        <v>92900000000</v>
      </c>
      <c r="R15" s="942">
        <v>91900000000</v>
      </c>
      <c r="S15" s="944">
        <v>122900000000</v>
      </c>
      <c r="T15" s="944">
        <v>140500000000</v>
      </c>
      <c r="U15" s="944">
        <f>U16+U18</f>
        <v>208700000000</v>
      </c>
      <c r="V15" s="944">
        <f t="shared" ref="V15:Z15" si="7">V16+V18</f>
        <v>293300000000</v>
      </c>
      <c r="W15" s="944">
        <f t="shared" si="7"/>
        <v>377500000000</v>
      </c>
      <c r="X15" s="944">
        <f t="shared" si="7"/>
        <v>439500000000</v>
      </c>
      <c r="Y15" s="944">
        <f>Y16+Y18</f>
        <v>501700000000</v>
      </c>
      <c r="Z15" s="944">
        <f t="shared" si="7"/>
        <v>568100000000</v>
      </c>
      <c r="AA15" s="1246"/>
      <c r="AB15" s="1246"/>
      <c r="AC15" s="1246"/>
      <c r="AD15" s="1246"/>
      <c r="AE15" s="1246"/>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947" t="s">
        <v>2356</v>
      </c>
      <c r="B16" s="947" t="s">
        <v>2357</v>
      </c>
      <c r="C16" s="930" t="s">
        <v>2358</v>
      </c>
      <c r="D16" s="927"/>
      <c r="E16" s="927"/>
      <c r="F16" s="943"/>
      <c r="G16" s="943"/>
      <c r="H16" s="943"/>
      <c r="I16" s="943"/>
      <c r="J16" s="943"/>
      <c r="K16" s="943"/>
      <c r="L16" s="943"/>
      <c r="M16" s="943"/>
      <c r="N16" s="943"/>
      <c r="O16" s="943"/>
      <c r="P16" s="942">
        <v>10600000000</v>
      </c>
      <c r="Q16" s="942">
        <v>13400000000</v>
      </c>
      <c r="R16" s="942">
        <v>5100000000</v>
      </c>
      <c r="S16" s="944">
        <v>13400000000</v>
      </c>
      <c r="T16" s="944">
        <v>13200000000</v>
      </c>
      <c r="U16" s="944">
        <v>33100000000</v>
      </c>
      <c r="V16" s="944">
        <v>30600000000</v>
      </c>
      <c r="W16" s="944">
        <v>21400000000</v>
      </c>
      <c r="X16" s="944">
        <v>25000000000</v>
      </c>
      <c r="Y16" s="944">
        <v>26500000000</v>
      </c>
      <c r="Z16" s="944">
        <v>26100000000</v>
      </c>
      <c r="AA16" s="1246"/>
      <c r="AB16" s="1246"/>
      <c r="AC16" s="1246"/>
      <c r="AD16" s="1246"/>
      <c r="AE16" s="1246"/>
      <c r="AF16" s="1246"/>
      <c r="AG16" s="365"/>
      <c r="AH16" s="365"/>
      <c r="AI16" s="365"/>
      <c r="AJ16" s="365"/>
      <c r="AK16" s="365"/>
      <c r="AL16" s="365"/>
      <c r="AM16" s="365"/>
      <c r="AN16" s="365"/>
      <c r="AO16" s="365"/>
      <c r="AP16" s="365"/>
      <c r="AQ16" s="365"/>
      <c r="AR16" s="365"/>
      <c r="AS16" s="365"/>
      <c r="AT16" s="365"/>
      <c r="AU16" s="365"/>
      <c r="AV16" s="365"/>
      <c r="AW16" s="365"/>
      <c r="AX16" s="365"/>
      <c r="AY16" s="365"/>
    </row>
    <row r="17" spans="1:51">
      <c r="A17" s="947" t="s">
        <v>2359</v>
      </c>
      <c r="B17" s="947" t="s">
        <v>2360</v>
      </c>
      <c r="C17" s="930" t="s">
        <v>2358</v>
      </c>
      <c r="D17" s="927"/>
      <c r="E17" s="927"/>
      <c r="F17" s="943"/>
      <c r="G17" s="943"/>
      <c r="H17" s="943"/>
      <c r="I17" s="943"/>
      <c r="J17" s="943"/>
      <c r="K17" s="943"/>
      <c r="L17" s="943"/>
      <c r="M17" s="943"/>
      <c r="N17" s="943"/>
      <c r="O17" s="943"/>
      <c r="P17" s="942">
        <v>74000000000</v>
      </c>
      <c r="Q17" s="942">
        <v>79600000000</v>
      </c>
      <c r="R17" s="942">
        <v>86800000000</v>
      </c>
      <c r="S17" s="944"/>
      <c r="T17" s="944"/>
      <c r="U17" s="944"/>
      <c r="V17" s="944"/>
      <c r="W17" s="944"/>
      <c r="X17" s="944"/>
      <c r="Y17" s="944"/>
      <c r="Z17" s="944"/>
      <c r="AA17" s="1246"/>
      <c r="AB17" s="1246"/>
      <c r="AC17" s="1246"/>
      <c r="AD17" s="1246"/>
      <c r="AE17" s="1246"/>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947"/>
      <c r="B18" s="947" t="s">
        <v>2361</v>
      </c>
      <c r="C18" s="930" t="s">
        <v>2358</v>
      </c>
      <c r="D18" s="927"/>
      <c r="E18" s="927"/>
      <c r="F18" s="943"/>
      <c r="G18" s="943"/>
      <c r="H18" s="943"/>
      <c r="I18" s="943"/>
      <c r="J18" s="943"/>
      <c r="K18" s="943"/>
      <c r="L18" s="943"/>
      <c r="M18" s="943"/>
      <c r="N18" s="943"/>
      <c r="O18" s="943"/>
      <c r="P18" s="942"/>
      <c r="Q18" s="942"/>
      <c r="R18" s="942"/>
      <c r="S18" s="944">
        <v>109500000000</v>
      </c>
      <c r="T18" s="944">
        <v>127300000000</v>
      </c>
      <c r="U18" s="944">
        <v>175600000000</v>
      </c>
      <c r="V18" s="944">
        <v>262700000000</v>
      </c>
      <c r="W18" s="944">
        <v>356100000000</v>
      </c>
      <c r="X18" s="944">
        <v>414500000000</v>
      </c>
      <c r="Y18" s="944">
        <v>475200000000</v>
      </c>
      <c r="Z18" s="944">
        <v>542000000000</v>
      </c>
      <c r="AA18" s="1246"/>
      <c r="AB18" s="1246"/>
      <c r="AC18" s="1246"/>
      <c r="AD18" s="1246"/>
      <c r="AE18" s="1246"/>
      <c r="AF18" s="1246"/>
      <c r="AG18" s="365"/>
      <c r="AH18" s="365"/>
      <c r="AI18" s="365"/>
      <c r="AJ18" s="365"/>
      <c r="AK18" s="365"/>
      <c r="AL18" s="365"/>
      <c r="AM18" s="365"/>
      <c r="AN18" s="365"/>
      <c r="AO18" s="365"/>
      <c r="AP18" s="365"/>
      <c r="AQ18" s="365"/>
      <c r="AR18" s="365"/>
      <c r="AS18" s="365"/>
      <c r="AT18" s="365"/>
      <c r="AU18" s="365"/>
      <c r="AV18" s="365"/>
      <c r="AW18" s="365"/>
      <c r="AX18" s="365"/>
      <c r="AY18" s="365"/>
    </row>
    <row r="19" spans="1:51">
      <c r="A19" s="946" t="s">
        <v>790</v>
      </c>
      <c r="B19" s="946" t="s">
        <v>2362</v>
      </c>
      <c r="C19" s="1250" t="s">
        <v>44</v>
      </c>
      <c r="D19" s="927"/>
      <c r="E19" s="927"/>
      <c r="F19" s="1254"/>
      <c r="G19" s="1254"/>
      <c r="H19" s="942">
        <v>9200000000</v>
      </c>
      <c r="I19" s="942">
        <v>7700000000</v>
      </c>
      <c r="J19" s="942">
        <v>9700000000</v>
      </c>
      <c r="K19" s="942">
        <v>10427200000</v>
      </c>
      <c r="L19" s="942">
        <v>14328000000.000002</v>
      </c>
      <c r="M19" s="942">
        <v>14540399999.999998</v>
      </c>
      <c r="N19" s="1254">
        <v>14371199999.999998</v>
      </c>
      <c r="O19" s="1254">
        <v>16525199999.999998</v>
      </c>
      <c r="P19" s="942">
        <v>14800000000</v>
      </c>
      <c r="Q19" s="942">
        <v>16800000000</v>
      </c>
      <c r="R19" s="942">
        <v>17700000000</v>
      </c>
      <c r="S19" s="944">
        <v>21900000000</v>
      </c>
      <c r="T19" s="944">
        <v>28100000000</v>
      </c>
      <c r="U19" s="944">
        <v>34299999999.999996</v>
      </c>
      <c r="V19" s="944">
        <v>39100000000</v>
      </c>
      <c r="W19" s="944">
        <v>44600000000</v>
      </c>
      <c r="X19" s="944">
        <v>55300000000</v>
      </c>
      <c r="Y19" s="944">
        <v>66400000000.000008</v>
      </c>
      <c r="Z19" s="944">
        <v>74800000000</v>
      </c>
      <c r="AA19" s="1246"/>
      <c r="AB19" s="1246"/>
      <c r="AC19" s="1246"/>
      <c r="AD19" s="1246"/>
      <c r="AE19" s="1246"/>
      <c r="AF19" s="1246"/>
      <c r="AG19" s="365"/>
      <c r="AH19" s="365"/>
      <c r="AI19" s="365"/>
      <c r="AJ19" s="365"/>
      <c r="AK19" s="365"/>
      <c r="AL19" s="365"/>
      <c r="AM19" s="365"/>
      <c r="AN19" s="365"/>
      <c r="AO19" s="365"/>
      <c r="AP19" s="365"/>
      <c r="AQ19" s="365"/>
      <c r="AR19" s="365"/>
      <c r="AS19" s="365"/>
      <c r="AT19" s="365"/>
      <c r="AU19" s="365"/>
      <c r="AV19" s="365"/>
      <c r="AW19" s="365"/>
      <c r="AX19" s="365"/>
      <c r="AY19" s="365"/>
    </row>
    <row r="20" spans="1:51">
      <c r="A20" s="946" t="s">
        <v>49</v>
      </c>
      <c r="B20" s="946" t="s">
        <v>1508</v>
      </c>
      <c r="C20" s="1250" t="s">
        <v>44</v>
      </c>
      <c r="D20" s="927"/>
      <c r="E20" s="927"/>
      <c r="F20" s="943"/>
      <c r="G20" s="943"/>
      <c r="H20" s="942">
        <v>3300000000</v>
      </c>
      <c r="I20" s="942">
        <v>4000000000</v>
      </c>
      <c r="J20" s="942">
        <v>3900000000</v>
      </c>
      <c r="K20" s="942">
        <v>4468800000</v>
      </c>
      <c r="L20" s="942">
        <v>4477500000</v>
      </c>
      <c r="M20" s="942">
        <v>3115799999.9999995</v>
      </c>
      <c r="N20" s="1254">
        <v>3592799999.9999995</v>
      </c>
      <c r="O20" s="1254">
        <v>2754200000</v>
      </c>
      <c r="P20" s="942">
        <v>3700000000</v>
      </c>
      <c r="Q20" s="942">
        <v>7200000000</v>
      </c>
      <c r="R20" s="942">
        <v>11100000000</v>
      </c>
      <c r="S20" s="944">
        <v>10200000000</v>
      </c>
      <c r="T20" s="944">
        <v>25500000000</v>
      </c>
      <c r="U20" s="944">
        <v>15700000000</v>
      </c>
      <c r="V20" s="944">
        <v>33799999999.999996</v>
      </c>
      <c r="W20" s="944">
        <v>30900000000</v>
      </c>
      <c r="X20" s="944">
        <v>36100000000</v>
      </c>
      <c r="Y20" s="944">
        <v>37100000000</v>
      </c>
      <c r="Z20" s="944">
        <v>42000000000</v>
      </c>
      <c r="AA20" s="1246"/>
      <c r="AB20" s="1246"/>
      <c r="AC20" s="1246"/>
      <c r="AD20" s="1246"/>
      <c r="AE20" s="1246"/>
      <c r="AF20" s="1246"/>
      <c r="AG20" s="365"/>
      <c r="AH20" s="365"/>
      <c r="AI20" s="365"/>
      <c r="AJ20" s="365"/>
      <c r="AK20" s="365"/>
      <c r="AL20" s="365"/>
      <c r="AM20" s="365"/>
      <c r="AN20" s="365"/>
      <c r="AO20" s="365"/>
      <c r="AP20" s="365"/>
      <c r="AQ20" s="365"/>
      <c r="AR20" s="365"/>
      <c r="AS20" s="365"/>
      <c r="AT20" s="365"/>
      <c r="AU20" s="365"/>
      <c r="AV20" s="365"/>
      <c r="AW20" s="365"/>
      <c r="AX20" s="365"/>
      <c r="AY20" s="365"/>
    </row>
    <row r="21" spans="1:51">
      <c r="A21" s="940" t="s">
        <v>51</v>
      </c>
      <c r="B21" s="940" t="s">
        <v>2363</v>
      </c>
      <c r="C21" s="940" t="s">
        <v>41</v>
      </c>
      <c r="D21" s="927"/>
      <c r="E21" s="927"/>
      <c r="F21" s="1254"/>
      <c r="G21" s="1254"/>
      <c r="H21" s="942">
        <v>52000000000</v>
      </c>
      <c r="I21" s="942">
        <v>55000000000</v>
      </c>
      <c r="J21" s="942">
        <v>76300000000</v>
      </c>
      <c r="K21" s="942">
        <v>87886400000</v>
      </c>
      <c r="L21" s="942">
        <v>110146500000</v>
      </c>
      <c r="M21" s="942">
        <v>117361800000</v>
      </c>
      <c r="N21" s="1254">
        <v>122155199999.99998</v>
      </c>
      <c r="O21" s="1254">
        <v>121184800000</v>
      </c>
      <c r="P21" s="942">
        <v>131400000000</v>
      </c>
      <c r="Q21" s="942">
        <v>147300000000</v>
      </c>
      <c r="R21" s="942">
        <v>163300000000</v>
      </c>
      <c r="S21" s="944">
        <v>207000000000</v>
      </c>
      <c r="T21" s="944">
        <v>193200000000</v>
      </c>
      <c r="U21" s="944">
        <v>179500000000</v>
      </c>
      <c r="V21" s="944">
        <v>182000000000</v>
      </c>
      <c r="W21" s="944">
        <v>217800000000</v>
      </c>
      <c r="X21" s="944">
        <v>224000000000</v>
      </c>
      <c r="Y21" s="944">
        <v>259399999999.99997</v>
      </c>
      <c r="Z21" s="944">
        <v>294100000000</v>
      </c>
      <c r="AA21" s="1246"/>
      <c r="AB21" s="1246"/>
      <c r="AC21" s="1246"/>
      <c r="AD21" s="1246"/>
      <c r="AE21" s="1246"/>
      <c r="AF21" s="1246"/>
      <c r="AG21" s="365"/>
      <c r="AH21" s="365"/>
      <c r="AI21" s="365"/>
      <c r="AJ21" s="365"/>
      <c r="AK21" s="365"/>
      <c r="AL21" s="365"/>
      <c r="AM21" s="365"/>
      <c r="AN21" s="365"/>
      <c r="AO21" s="365"/>
      <c r="AP21" s="365"/>
      <c r="AQ21" s="365"/>
      <c r="AR21" s="365"/>
      <c r="AS21" s="365"/>
      <c r="AT21" s="365"/>
      <c r="AU21" s="365"/>
      <c r="AV21" s="365"/>
      <c r="AW21" s="365"/>
      <c r="AX21" s="365"/>
      <c r="AY21" s="365"/>
    </row>
    <row r="22" spans="1:51">
      <c r="A22" s="930" t="s">
        <v>76</v>
      </c>
      <c r="B22" s="947" t="s">
        <v>2364</v>
      </c>
      <c r="D22" s="927"/>
      <c r="E22" s="927"/>
      <c r="F22" s="943"/>
      <c r="G22" s="943"/>
      <c r="H22" s="943"/>
      <c r="I22" s="943"/>
      <c r="J22" s="943"/>
      <c r="K22" s="943"/>
      <c r="L22" s="943"/>
      <c r="M22" s="943"/>
      <c r="N22" s="943"/>
      <c r="O22" s="943"/>
      <c r="P22" s="942">
        <v>8600000000</v>
      </c>
      <c r="Q22" s="942">
        <v>4800000000</v>
      </c>
      <c r="R22" s="942">
        <v>9300000000</v>
      </c>
      <c r="S22" s="944">
        <v>12500000000</v>
      </c>
      <c r="T22" s="944">
        <v>12800000000</v>
      </c>
      <c r="U22" s="944"/>
      <c r="V22" s="944"/>
      <c r="W22" s="944"/>
      <c r="X22" s="944"/>
      <c r="Y22" s="944"/>
      <c r="Z22" s="944"/>
      <c r="AA22" s="1246"/>
      <c r="AB22" s="1246"/>
      <c r="AC22" s="1246"/>
      <c r="AD22" s="1246"/>
      <c r="AE22" s="1246"/>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940"/>
      <c r="B23" s="940" t="s">
        <v>562</v>
      </c>
      <c r="C23" s="940"/>
      <c r="D23" s="927"/>
      <c r="E23" s="927"/>
      <c r="F23" s="1254"/>
      <c r="G23" s="1254"/>
      <c r="H23" s="943"/>
      <c r="I23" s="943"/>
      <c r="J23" s="943"/>
      <c r="K23" s="943"/>
      <c r="L23" s="943"/>
      <c r="M23" s="943"/>
      <c r="N23" s="943"/>
      <c r="O23" s="943"/>
      <c r="P23" s="943"/>
      <c r="Q23" s="943"/>
      <c r="R23" s="943"/>
      <c r="S23" s="1255"/>
      <c r="T23" s="1255"/>
      <c r="U23" s="1255"/>
      <c r="V23" s="1255"/>
      <c r="W23" s="1255"/>
      <c r="X23" s="944"/>
      <c r="Y23" s="945"/>
      <c r="Z23" s="945"/>
      <c r="AA23" s="1246"/>
      <c r="AB23" s="1246"/>
      <c r="AC23" s="1246"/>
      <c r="AD23" s="1246"/>
      <c r="AE23" s="1246"/>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s="848" customFormat="1">
      <c r="A24" s="935" t="s">
        <v>53</v>
      </c>
      <c r="B24" s="935" t="s">
        <v>53</v>
      </c>
      <c r="C24" s="949" t="s">
        <v>38</v>
      </c>
      <c r="D24" s="1251"/>
      <c r="E24" s="1251"/>
      <c r="F24" s="1252"/>
      <c r="G24" s="1252"/>
      <c r="H24" s="936">
        <v>5100000000</v>
      </c>
      <c r="I24" s="936">
        <v>2900000000</v>
      </c>
      <c r="J24" s="936">
        <v>2400000000</v>
      </c>
      <c r="K24" s="936">
        <v>3723999999.9999995</v>
      </c>
      <c r="L24" s="936">
        <v>1791000000.0000002</v>
      </c>
      <c r="M24" s="936">
        <v>8308800000</v>
      </c>
      <c r="N24" s="1252">
        <v>2395200000</v>
      </c>
      <c r="O24" s="1252">
        <v>2754200000</v>
      </c>
      <c r="P24" s="936">
        <v>10100000000</v>
      </c>
      <c r="Q24" s="936">
        <v>5200000000</v>
      </c>
      <c r="R24" s="936">
        <v>75400000000</v>
      </c>
      <c r="S24" s="1253">
        <v>25500000000</v>
      </c>
      <c r="T24" s="1253">
        <v>3500000000</v>
      </c>
      <c r="U24" s="1253">
        <v>17700000000</v>
      </c>
      <c r="V24" s="1253">
        <v>1100000000</v>
      </c>
      <c r="W24" s="1253">
        <v>1200000000</v>
      </c>
      <c r="X24" s="938">
        <v>1200000000</v>
      </c>
      <c r="Y24" s="939">
        <v>1200000000</v>
      </c>
      <c r="Z24" s="939">
        <v>1300000000</v>
      </c>
      <c r="AA24" s="1247"/>
      <c r="AB24" s="1247"/>
      <c r="AC24" s="1247"/>
      <c r="AD24" s="1247"/>
      <c r="AE24" s="1247"/>
      <c r="AF24" s="916"/>
      <c r="AG24" s="916"/>
      <c r="AH24" s="916"/>
      <c r="AI24" s="916"/>
      <c r="AJ24" s="916"/>
      <c r="AK24" s="916"/>
      <c r="AL24" s="916"/>
      <c r="AM24" s="916"/>
      <c r="AN24" s="916"/>
      <c r="AO24" s="916"/>
      <c r="AP24" s="916"/>
      <c r="AQ24" s="916"/>
      <c r="AR24" s="916"/>
      <c r="AS24" s="916"/>
      <c r="AT24" s="916"/>
      <c r="AU24" s="916"/>
      <c r="AV24" s="916"/>
      <c r="AW24" s="916"/>
      <c r="AX24" s="916"/>
      <c r="AY24" s="916"/>
    </row>
    <row r="25" spans="1:51" s="9" customFormat="1">
      <c r="A25" s="1256" t="s">
        <v>76</v>
      </c>
      <c r="B25" s="1257" t="s">
        <v>72</v>
      </c>
      <c r="C25" s="1258"/>
      <c r="D25" s="1251"/>
      <c r="E25" s="1251"/>
      <c r="F25" s="1252"/>
      <c r="G25" s="1252"/>
      <c r="H25" s="1252">
        <f t="shared" ref="H25:Q25" si="8">H26+H38+H39</f>
        <v>164300000000</v>
      </c>
      <c r="I25" s="1252">
        <f t="shared" si="8"/>
        <v>178800000000</v>
      </c>
      <c r="J25" s="1252">
        <f t="shared" si="8"/>
        <v>233100000000</v>
      </c>
      <c r="K25" s="1252">
        <f t="shared" si="8"/>
        <v>262914399999.99997</v>
      </c>
      <c r="L25" s="1252">
        <f t="shared" si="8"/>
        <v>317902500000</v>
      </c>
      <c r="M25" s="1252">
        <f>M26+M38+M39</f>
        <v>361432800000</v>
      </c>
      <c r="N25" s="1252">
        <f t="shared" si="8"/>
        <v>385627199999.99994</v>
      </c>
      <c r="O25" s="1252">
        <f t="shared" si="8"/>
        <v>435163600000</v>
      </c>
      <c r="P25" s="1252">
        <f t="shared" si="8"/>
        <v>516400000000</v>
      </c>
      <c r="Q25" s="1252">
        <f t="shared" si="8"/>
        <v>650500000000</v>
      </c>
      <c r="R25" s="1252">
        <f>R26+R38+R39</f>
        <v>770500000000</v>
      </c>
      <c r="S25" s="1252">
        <f t="shared" ref="S25:Z25" si="9">S26+S38+S39</f>
        <v>828200000000</v>
      </c>
      <c r="T25" s="1252">
        <f t="shared" si="9"/>
        <v>899200000000</v>
      </c>
      <c r="U25" s="1252">
        <f t="shared" si="9"/>
        <v>1149500000000</v>
      </c>
      <c r="V25" s="1252">
        <f t="shared" si="9"/>
        <v>1248500000000</v>
      </c>
      <c r="W25" s="1252">
        <f>W26+W38+W39</f>
        <v>1321000000000</v>
      </c>
      <c r="X25" s="1252">
        <f t="shared" si="9"/>
        <v>1563500000000</v>
      </c>
      <c r="Y25" s="1252">
        <f t="shared" si="9"/>
        <v>1670000000000</v>
      </c>
      <c r="Z25" s="1252">
        <f t="shared" si="9"/>
        <v>1813500000000</v>
      </c>
      <c r="AA25" s="1247"/>
      <c r="AB25" s="1247"/>
      <c r="AC25" s="1247"/>
      <c r="AD25" s="1247"/>
      <c r="AE25" s="1247"/>
      <c r="AF25" s="916"/>
      <c r="AG25" s="916"/>
      <c r="AH25" s="916"/>
      <c r="AI25" s="916"/>
      <c r="AJ25" s="916"/>
      <c r="AK25" s="916"/>
      <c r="AL25" s="916"/>
      <c r="AM25" s="916"/>
      <c r="AN25" s="365"/>
      <c r="AO25" s="365"/>
      <c r="AP25" s="365"/>
      <c r="AQ25" s="365"/>
      <c r="AR25" s="365"/>
      <c r="AS25" s="365"/>
      <c r="AT25" s="365"/>
      <c r="AU25" s="365"/>
      <c r="AV25" s="365"/>
      <c r="AW25" s="365"/>
      <c r="AX25" s="365"/>
      <c r="AY25" s="365"/>
    </row>
    <row r="26" spans="1:51">
      <c r="A26" s="930" t="s">
        <v>76</v>
      </c>
      <c r="B26" s="940" t="s">
        <v>2365</v>
      </c>
      <c r="F26" s="1254"/>
      <c r="G26" s="1254"/>
      <c r="H26" s="942">
        <v>153600000000</v>
      </c>
      <c r="I26" s="942">
        <v>171400000000</v>
      </c>
      <c r="J26" s="942">
        <v>224200000000</v>
      </c>
      <c r="K26" s="942">
        <v>245039199999.99997</v>
      </c>
      <c r="L26" s="942">
        <v>305365500000</v>
      </c>
      <c r="M26" s="942">
        <v>357278400000</v>
      </c>
      <c r="N26" s="1254">
        <v>382034399999.99994</v>
      </c>
      <c r="O26" s="1254">
        <v>435163600000</v>
      </c>
      <c r="P26" s="942">
        <v>516400000000</v>
      </c>
      <c r="Q26" s="942">
        <v>644100000000</v>
      </c>
      <c r="R26" s="942">
        <v>759800000000</v>
      </c>
      <c r="S26" s="944">
        <f>S27</f>
        <v>816900000000</v>
      </c>
      <c r="T26" s="944">
        <f t="shared" ref="T26:Z26" si="10">T27</f>
        <v>886100000000</v>
      </c>
      <c r="U26" s="944">
        <f t="shared" si="10"/>
        <v>1147600000000</v>
      </c>
      <c r="V26" s="944">
        <f t="shared" si="10"/>
        <v>1239200000000</v>
      </c>
      <c r="W26" s="944">
        <f t="shared" si="10"/>
        <v>1317200000000</v>
      </c>
      <c r="X26" s="944">
        <f t="shared" si="10"/>
        <v>1546300000000</v>
      </c>
      <c r="Y26" s="944">
        <f t="shared" si="10"/>
        <v>1648800000000</v>
      </c>
      <c r="Z26" s="944">
        <f t="shared" si="10"/>
        <v>1789500000000</v>
      </c>
      <c r="AA26" s="1246"/>
      <c r="AB26" s="1246"/>
      <c r="AC26" s="1246"/>
      <c r="AD26" s="1246"/>
      <c r="AE26" s="1246"/>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257" t="s">
        <v>71</v>
      </c>
      <c r="B27" s="1257" t="s">
        <v>72</v>
      </c>
      <c r="C27" s="1256" t="s">
        <v>35</v>
      </c>
      <c r="F27" s="1254"/>
      <c r="G27" s="1254"/>
      <c r="H27" s="1254">
        <f t="shared" ref="H27:R27" si="11">H26-H39+H38</f>
        <v>164300000000</v>
      </c>
      <c r="I27" s="1254">
        <f t="shared" si="11"/>
        <v>178800000000</v>
      </c>
      <c r="J27" s="1254">
        <f t="shared" si="11"/>
        <v>233100000000</v>
      </c>
      <c r="K27" s="1254">
        <f t="shared" si="11"/>
        <v>262914399999.99997</v>
      </c>
      <c r="L27" s="1254">
        <f>L28+L38</f>
        <v>318798000000</v>
      </c>
      <c r="M27" s="1254">
        <f>M28+M38</f>
        <v>360394200000</v>
      </c>
      <c r="N27" s="1254">
        <f t="shared" si="11"/>
        <v>385627199999.99994</v>
      </c>
      <c r="O27" s="1254">
        <f>O28+O38</f>
        <v>433786500000</v>
      </c>
      <c r="P27" s="1254">
        <f>P28+P38</f>
        <v>516600000000</v>
      </c>
      <c r="Q27" s="1254">
        <f t="shared" si="11"/>
        <v>650500000000</v>
      </c>
      <c r="R27" s="1254">
        <f t="shared" si="11"/>
        <v>770500000000</v>
      </c>
      <c r="S27" s="1254">
        <f>S28-S39+S38</f>
        <v>816900000000</v>
      </c>
      <c r="T27" s="1254">
        <f t="shared" ref="T27:Z27" si="12">T28-T39+T38</f>
        <v>886100000000</v>
      </c>
      <c r="U27" s="1254">
        <f t="shared" si="12"/>
        <v>1147600000000</v>
      </c>
      <c r="V27" s="1254">
        <f t="shared" si="12"/>
        <v>1239200000000</v>
      </c>
      <c r="W27" s="1254">
        <f>W28-W39+W38</f>
        <v>1317200000000</v>
      </c>
      <c r="X27" s="1254">
        <f t="shared" si="12"/>
        <v>1546300000000</v>
      </c>
      <c r="Y27" s="1254">
        <f t="shared" si="12"/>
        <v>1648800000000</v>
      </c>
      <c r="Z27" s="1254">
        <f t="shared" si="12"/>
        <v>1789500000000</v>
      </c>
      <c r="AA27" s="1246"/>
      <c r="AB27" s="1246"/>
      <c r="AC27" s="1246"/>
      <c r="AD27" s="1246"/>
      <c r="AE27" s="1246"/>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1257" t="s">
        <v>73</v>
      </c>
      <c r="B28" s="1257" t="s">
        <v>888</v>
      </c>
      <c r="C28" s="1257" t="s">
        <v>201</v>
      </c>
      <c r="D28" s="927"/>
      <c r="E28" s="927"/>
      <c r="F28" s="1254"/>
      <c r="G28" s="1254"/>
      <c r="H28" s="942">
        <f>H29+H30+H31+H32+H35+H36+H37</f>
        <v>153700000000</v>
      </c>
      <c r="I28" s="942">
        <f t="shared" ref="I28:R28" si="13">I29+I30+I31+I32+I35+I36+I37</f>
        <v>171300000000</v>
      </c>
      <c r="J28" s="942">
        <f t="shared" si="13"/>
        <v>224200000000</v>
      </c>
      <c r="K28" s="942">
        <f t="shared" si="13"/>
        <v>245039199999.99997</v>
      </c>
      <c r="L28" s="942">
        <f>L29+L30+L31+L32+L35+L36+L37</f>
        <v>306261000000</v>
      </c>
      <c r="M28" s="942">
        <f t="shared" si="13"/>
        <v>356239800000</v>
      </c>
      <c r="N28" s="942">
        <f t="shared" si="13"/>
        <v>382034400000</v>
      </c>
      <c r="O28" s="942">
        <f t="shared" si="13"/>
        <v>433786500000</v>
      </c>
      <c r="P28" s="942">
        <f t="shared" si="13"/>
        <v>516600000000</v>
      </c>
      <c r="Q28" s="942">
        <f t="shared" si="13"/>
        <v>644100000000</v>
      </c>
      <c r="R28" s="942">
        <f t="shared" si="13"/>
        <v>759800000000</v>
      </c>
      <c r="S28" s="944">
        <f>S29+S30+S32+S36+S35+S37</f>
        <v>805600000000</v>
      </c>
      <c r="T28" s="944">
        <f t="shared" ref="T28:Z28" si="14">T29+T30+T32+T36+T35+T37</f>
        <v>873000000000</v>
      </c>
      <c r="U28" s="944">
        <f t="shared" si="14"/>
        <v>1145700000000</v>
      </c>
      <c r="V28" s="944">
        <f t="shared" si="14"/>
        <v>1229900000000</v>
      </c>
      <c r="W28" s="944">
        <f t="shared" si="14"/>
        <v>1313400000000</v>
      </c>
      <c r="X28" s="944">
        <f t="shared" si="14"/>
        <v>1529100000000</v>
      </c>
      <c r="Y28" s="944">
        <f t="shared" si="14"/>
        <v>1627600000000</v>
      </c>
      <c r="Z28" s="944">
        <f t="shared" si="14"/>
        <v>1765500000000</v>
      </c>
      <c r="AA28" s="1246"/>
      <c r="AB28" s="1246"/>
      <c r="AC28" s="1246"/>
      <c r="AD28" s="1246"/>
      <c r="AE28" s="1246"/>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946" t="s">
        <v>2366</v>
      </c>
      <c r="B29" s="946" t="s">
        <v>2367</v>
      </c>
      <c r="C29" s="940" t="s">
        <v>204</v>
      </c>
      <c r="D29" s="927"/>
      <c r="E29" s="927"/>
      <c r="F29" s="1254"/>
      <c r="G29" s="1254"/>
      <c r="H29" s="942">
        <v>37600000000</v>
      </c>
      <c r="I29" s="942">
        <v>42000000000</v>
      </c>
      <c r="J29" s="942">
        <v>47300000000</v>
      </c>
      <c r="K29" s="942">
        <v>52880799999.999992</v>
      </c>
      <c r="L29" s="942">
        <v>63580500000</v>
      </c>
      <c r="M29" s="942">
        <v>76856400000</v>
      </c>
      <c r="N29" s="1254">
        <v>86227200000</v>
      </c>
      <c r="O29" s="1254">
        <v>99151199999.999985</v>
      </c>
      <c r="P29" s="942">
        <v>124500000000</v>
      </c>
      <c r="Q29" s="942">
        <v>145100000000</v>
      </c>
      <c r="R29" s="942">
        <v>180800000000</v>
      </c>
      <c r="S29" s="944">
        <v>200900000000</v>
      </c>
      <c r="T29" s="944">
        <v>216600000000</v>
      </c>
      <c r="U29" s="944">
        <v>228100000000</v>
      </c>
      <c r="V29" s="944">
        <v>240100000000</v>
      </c>
      <c r="W29" s="944">
        <v>266100000000.00003</v>
      </c>
      <c r="X29" s="944">
        <v>306100000000</v>
      </c>
      <c r="Y29" s="944">
        <v>352500000000</v>
      </c>
      <c r="Z29" s="944">
        <v>399600000000</v>
      </c>
      <c r="AA29" s="1246"/>
      <c r="AB29" s="1246"/>
      <c r="AC29" s="1246"/>
      <c r="AD29" s="1246"/>
      <c r="AE29" s="1246"/>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946" t="s">
        <v>1006</v>
      </c>
      <c r="B30" s="946" t="s">
        <v>2368</v>
      </c>
      <c r="C30" s="940" t="s">
        <v>204</v>
      </c>
      <c r="D30" s="927"/>
      <c r="E30" s="927"/>
      <c r="F30" s="1254"/>
      <c r="G30" s="1254"/>
      <c r="H30" s="942">
        <v>9400000000</v>
      </c>
      <c r="I30" s="942">
        <v>12700000000</v>
      </c>
      <c r="J30" s="942">
        <v>14500000000</v>
      </c>
      <c r="K30" s="942">
        <v>17130399999.999998</v>
      </c>
      <c r="L30" s="942">
        <v>18805500000.000004</v>
      </c>
      <c r="M30" s="942">
        <v>24926399999.999996</v>
      </c>
      <c r="N30" s="1254">
        <v>28742399999.999996</v>
      </c>
      <c r="O30" s="1254">
        <v>33050399999.999996</v>
      </c>
      <c r="P30" s="942">
        <v>27100000000</v>
      </c>
      <c r="Q30" s="942">
        <v>27200000000</v>
      </c>
      <c r="R30" s="942">
        <v>27500000000</v>
      </c>
      <c r="S30" s="944">
        <v>31600000000</v>
      </c>
      <c r="T30" s="944">
        <v>36000000000</v>
      </c>
      <c r="U30" s="944">
        <v>42800000000</v>
      </c>
      <c r="V30" s="944">
        <v>48100000000</v>
      </c>
      <c r="W30" s="1254">
        <v>60100000000</v>
      </c>
      <c r="X30" s="1254">
        <v>66700000000</v>
      </c>
      <c r="Y30" s="1254">
        <v>71900000000</v>
      </c>
      <c r="Z30" s="1254">
        <v>79100000000</v>
      </c>
      <c r="AA30" s="1246"/>
      <c r="AB30" s="1246"/>
      <c r="AC30" s="1246"/>
      <c r="AD30" s="1246"/>
      <c r="AE30" s="1246"/>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946" t="s">
        <v>2369</v>
      </c>
      <c r="B31" s="946" t="s">
        <v>2369</v>
      </c>
      <c r="C31" s="940" t="s">
        <v>204</v>
      </c>
      <c r="D31" s="927"/>
      <c r="E31" s="927"/>
      <c r="F31" s="1254"/>
      <c r="G31" s="1254"/>
      <c r="H31" s="942"/>
      <c r="I31" s="942"/>
      <c r="J31" s="942"/>
      <c r="K31" s="942"/>
      <c r="L31" s="942"/>
      <c r="M31" s="942"/>
      <c r="N31" s="1254"/>
      <c r="O31" s="1254"/>
      <c r="P31" s="942"/>
      <c r="Q31" s="942"/>
      <c r="R31" s="942"/>
      <c r="S31" s="944"/>
      <c r="T31" s="944"/>
      <c r="U31" s="944"/>
      <c r="V31" s="944"/>
      <c r="W31" s="944"/>
      <c r="X31" s="944"/>
      <c r="Y31" s="944"/>
      <c r="Z31" s="944"/>
      <c r="AA31" s="1246"/>
      <c r="AB31" s="1246"/>
      <c r="AC31" s="1246"/>
      <c r="AD31" s="1246"/>
      <c r="AE31" s="1246"/>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946" t="s">
        <v>91</v>
      </c>
      <c r="B32" s="946" t="s">
        <v>91</v>
      </c>
      <c r="C32" s="940" t="s">
        <v>204</v>
      </c>
      <c r="D32" s="927"/>
      <c r="E32" s="927"/>
      <c r="F32" s="1254"/>
      <c r="G32" s="1254"/>
      <c r="H32" s="942">
        <v>27800000000</v>
      </c>
      <c r="I32" s="942">
        <v>30400000000</v>
      </c>
      <c r="J32" s="942">
        <v>35300000000</v>
      </c>
      <c r="K32" s="942">
        <v>39474399999.999992</v>
      </c>
      <c r="L32" s="942">
        <v>41193000000</v>
      </c>
      <c r="M32" s="942">
        <v>43621200000</v>
      </c>
      <c r="N32" s="1254">
        <v>61077599999.999992</v>
      </c>
      <c r="O32" s="1254">
        <v>72986299999.999985</v>
      </c>
      <c r="P32" s="942">
        <v>93400000000</v>
      </c>
      <c r="Q32" s="942">
        <v>135300000000.00002</v>
      </c>
      <c r="R32" s="942">
        <v>159300000000</v>
      </c>
      <c r="S32" s="944">
        <v>179000000000</v>
      </c>
      <c r="T32" s="944">
        <v>221700000000</v>
      </c>
      <c r="U32" s="944">
        <v>316600000000</v>
      </c>
      <c r="V32" s="944">
        <v>433500000000</v>
      </c>
      <c r="W32" s="944">
        <v>425700000000</v>
      </c>
      <c r="X32" s="944">
        <v>542700000000.00006</v>
      </c>
      <c r="Y32" s="944">
        <v>506900000000</v>
      </c>
      <c r="Z32" s="944">
        <v>490800000000</v>
      </c>
      <c r="AA32" s="1246"/>
      <c r="AB32" s="1246"/>
      <c r="AC32" s="1246"/>
      <c r="AD32" s="1246"/>
      <c r="AE32" s="1246"/>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947" t="s">
        <v>209</v>
      </c>
      <c r="B33" s="947" t="s">
        <v>209</v>
      </c>
      <c r="C33" s="940" t="s">
        <v>211</v>
      </c>
      <c r="D33" s="927"/>
      <c r="E33" s="927"/>
      <c r="F33" s="943"/>
      <c r="G33" s="943"/>
      <c r="H33" s="943"/>
      <c r="I33" s="943"/>
      <c r="J33" s="943"/>
      <c r="K33" s="943"/>
      <c r="L33" s="943"/>
      <c r="M33" s="943"/>
      <c r="N33" s="943"/>
      <c r="O33" s="943"/>
      <c r="P33" s="942">
        <v>90000000000</v>
      </c>
      <c r="Q33" s="942">
        <v>131400000000</v>
      </c>
      <c r="R33" s="942">
        <v>154300000000</v>
      </c>
      <c r="S33" s="944">
        <v>174300000000</v>
      </c>
      <c r="T33" s="944">
        <v>216700000000</v>
      </c>
      <c r="U33" s="944">
        <v>307000000000</v>
      </c>
      <c r="V33" s="944">
        <f>V32-V34</f>
        <v>406700000000</v>
      </c>
      <c r="W33" s="1254">
        <v>393900000000</v>
      </c>
      <c r="X33" s="1254">
        <v>511200000000</v>
      </c>
      <c r="Y33" s="1254">
        <v>477900000000</v>
      </c>
      <c r="Z33" s="1254">
        <v>462500000000</v>
      </c>
      <c r="AA33" s="1246"/>
      <c r="AB33" s="1246"/>
      <c r="AC33" s="1246"/>
      <c r="AD33" s="1246"/>
      <c r="AE33" s="1246"/>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947" t="s">
        <v>280</v>
      </c>
      <c r="B34" s="947" t="s">
        <v>280</v>
      </c>
      <c r="C34" s="940" t="s">
        <v>211</v>
      </c>
      <c r="D34" s="927"/>
      <c r="E34" s="927"/>
      <c r="F34" s="943"/>
      <c r="G34" s="943"/>
      <c r="H34" s="943"/>
      <c r="I34" s="943"/>
      <c r="J34" s="943"/>
      <c r="K34" s="943"/>
      <c r="L34" s="943"/>
      <c r="M34" s="943"/>
      <c r="N34" s="943"/>
      <c r="O34" s="943"/>
      <c r="P34" s="942">
        <v>3400000000</v>
      </c>
      <c r="Q34" s="942">
        <v>3900000000</v>
      </c>
      <c r="R34" s="942">
        <v>5000000000</v>
      </c>
      <c r="S34" s="944">
        <v>4700000000</v>
      </c>
      <c r="T34" s="944">
        <v>5100000000</v>
      </c>
      <c r="U34" s="944">
        <v>9600000000</v>
      </c>
      <c r="V34" s="944">
        <v>26800000000</v>
      </c>
      <c r="W34" s="944">
        <v>31800000000</v>
      </c>
      <c r="X34" s="944">
        <f>X32-X33</f>
        <v>31500000000.000061</v>
      </c>
      <c r="Y34" s="944">
        <f t="shared" ref="Y34:Z34" si="15">Y32-Y33</f>
        <v>29000000000</v>
      </c>
      <c r="Z34" s="944">
        <f t="shared" si="15"/>
        <v>28300000000</v>
      </c>
      <c r="AA34" s="1246"/>
      <c r="AB34" s="1246"/>
      <c r="AC34" s="1246"/>
      <c r="AD34" s="1246"/>
      <c r="AE34" s="1246"/>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946" t="s">
        <v>2370</v>
      </c>
      <c r="B35" s="946" t="s">
        <v>2371</v>
      </c>
      <c r="C35" s="940" t="s">
        <v>204</v>
      </c>
      <c r="D35" s="927"/>
      <c r="E35" s="927"/>
      <c r="F35" s="1254"/>
      <c r="G35" s="1254"/>
      <c r="H35" s="942">
        <v>34900000000</v>
      </c>
      <c r="I35" s="942">
        <v>41200000000</v>
      </c>
      <c r="J35" s="942">
        <v>86100000000</v>
      </c>
      <c r="K35" s="942">
        <v>88631200000</v>
      </c>
      <c r="L35" s="942">
        <v>124474500000</v>
      </c>
      <c r="M35" s="942">
        <v>140210999999.99997</v>
      </c>
      <c r="N35" s="1254">
        <v>140119199999.99997</v>
      </c>
      <c r="O35" s="1254">
        <v>158366500000</v>
      </c>
      <c r="P35" s="942">
        <v>204500000000</v>
      </c>
      <c r="Q35" s="942">
        <v>261800000000</v>
      </c>
      <c r="R35" s="942">
        <v>298000000000</v>
      </c>
      <c r="S35" s="944">
        <v>282100000000</v>
      </c>
      <c r="T35" s="944">
        <v>267600000000.00003</v>
      </c>
      <c r="U35" s="944">
        <v>387200000000</v>
      </c>
      <c r="V35" s="944">
        <v>331000000000</v>
      </c>
      <c r="W35" s="944">
        <v>337300000000</v>
      </c>
      <c r="X35" s="944">
        <v>342100000000</v>
      </c>
      <c r="Y35" s="944">
        <v>390700000000</v>
      </c>
      <c r="Z35" s="944">
        <v>455500000000</v>
      </c>
      <c r="AA35" s="1246"/>
      <c r="AB35" s="1246"/>
      <c r="AC35" s="1246"/>
      <c r="AD35" s="1246"/>
      <c r="AE35" s="1246"/>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946" t="s">
        <v>2372</v>
      </c>
      <c r="B36" s="946" t="s">
        <v>2373</v>
      </c>
      <c r="C36" s="940" t="s">
        <v>204</v>
      </c>
      <c r="D36" s="927"/>
      <c r="E36" s="927"/>
      <c r="F36" s="943"/>
      <c r="G36" s="943"/>
      <c r="H36" s="942">
        <v>21100000000</v>
      </c>
      <c r="I36" s="942">
        <v>21700000000</v>
      </c>
      <c r="J36" s="942">
        <v>19800000000</v>
      </c>
      <c r="K36" s="942">
        <v>21599199999.999996</v>
      </c>
      <c r="L36" s="942">
        <v>24178500000.000004</v>
      </c>
      <c r="M36" s="942">
        <v>27003600000</v>
      </c>
      <c r="N36" s="1254">
        <v>29939999999.999996</v>
      </c>
      <c r="O36" s="1254">
        <v>33050399999.999996</v>
      </c>
      <c r="P36" s="942">
        <v>31100000000</v>
      </c>
      <c r="Q36" s="942">
        <v>35100000000</v>
      </c>
      <c r="R36" s="942">
        <v>41200000000</v>
      </c>
      <c r="S36" s="944">
        <v>50300000000</v>
      </c>
      <c r="T36" s="944">
        <v>61700000000</v>
      </c>
      <c r="U36" s="944">
        <v>61700000000</v>
      </c>
      <c r="V36" s="944">
        <v>65800000000</v>
      </c>
      <c r="W36" s="944">
        <v>75700000000</v>
      </c>
      <c r="X36" s="944">
        <v>93500000000</v>
      </c>
      <c r="Y36" s="944">
        <v>106600000000</v>
      </c>
      <c r="Z36" s="944">
        <v>118900000000</v>
      </c>
      <c r="AA36" s="1246"/>
      <c r="AB36" s="1246"/>
      <c r="AC36" s="1246"/>
      <c r="AD36" s="1246"/>
      <c r="AE36" s="1246"/>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946" t="s">
        <v>1653</v>
      </c>
      <c r="B37" s="946" t="s">
        <v>1653</v>
      </c>
      <c r="C37" s="940" t="s">
        <v>204</v>
      </c>
      <c r="D37" s="927"/>
      <c r="E37" s="927"/>
      <c r="F37" s="943"/>
      <c r="G37" s="943"/>
      <c r="H37" s="942">
        <v>22900000000</v>
      </c>
      <c r="I37" s="942">
        <v>23300000000</v>
      </c>
      <c r="J37" s="942">
        <v>21200000000</v>
      </c>
      <c r="K37" s="942">
        <v>25323199999.999996</v>
      </c>
      <c r="L37" s="942">
        <v>34028999999.999996</v>
      </c>
      <c r="M37" s="942">
        <v>43621200000</v>
      </c>
      <c r="N37" s="1254">
        <v>35928000000</v>
      </c>
      <c r="O37" s="1254">
        <v>37181700000</v>
      </c>
      <c r="P37" s="942">
        <v>36000000000</v>
      </c>
      <c r="Q37" s="942">
        <v>39600000000</v>
      </c>
      <c r="R37" s="942">
        <v>53000000000</v>
      </c>
      <c r="S37" s="944">
        <v>61700000000</v>
      </c>
      <c r="T37" s="944">
        <v>69400000000</v>
      </c>
      <c r="U37" s="944">
        <v>109300000000</v>
      </c>
      <c r="V37" s="944">
        <v>111400000000</v>
      </c>
      <c r="W37" s="944">
        <v>148500000000</v>
      </c>
      <c r="X37" s="944">
        <v>178000000000</v>
      </c>
      <c r="Y37" s="944">
        <v>199000000000</v>
      </c>
      <c r="Z37" s="944">
        <v>221600000000</v>
      </c>
      <c r="AA37" s="1246"/>
      <c r="AB37" s="1246"/>
      <c r="AC37" s="1246"/>
      <c r="AD37" s="1246"/>
      <c r="AE37" s="1246"/>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940" t="s">
        <v>237</v>
      </c>
      <c r="B38" s="940" t="s">
        <v>2374</v>
      </c>
      <c r="C38" s="940" t="s">
        <v>201</v>
      </c>
      <c r="D38" s="927"/>
      <c r="E38" s="927"/>
      <c r="F38" s="1254"/>
      <c r="G38" s="1254"/>
      <c r="H38" s="942">
        <v>10700000000</v>
      </c>
      <c r="I38" s="942">
        <v>7400000000</v>
      </c>
      <c r="J38" s="942">
        <v>8900000000</v>
      </c>
      <c r="K38" s="942">
        <v>17875200000</v>
      </c>
      <c r="L38" s="942">
        <v>12536999999.999998</v>
      </c>
      <c r="M38" s="942">
        <v>4154400000</v>
      </c>
      <c r="N38" s="1254">
        <v>3592799999.9999995</v>
      </c>
      <c r="O38" s="1254"/>
      <c r="P38" s="942"/>
      <c r="Q38" s="942">
        <v>6400000000</v>
      </c>
      <c r="R38" s="942">
        <v>10700000000</v>
      </c>
      <c r="S38" s="944">
        <v>11300000000</v>
      </c>
      <c r="T38" s="944">
        <v>13100000000</v>
      </c>
      <c r="U38" s="944">
        <v>1900000000</v>
      </c>
      <c r="V38" s="944">
        <v>9300000000</v>
      </c>
      <c r="W38" s="944">
        <v>3800000000</v>
      </c>
      <c r="X38" s="944">
        <v>17200000000</v>
      </c>
      <c r="Y38" s="944">
        <v>21200000000</v>
      </c>
      <c r="Z38" s="944">
        <v>24000000000</v>
      </c>
      <c r="AA38" s="1246"/>
      <c r="AB38" s="1246"/>
      <c r="AC38" s="1246"/>
      <c r="AD38" s="1246"/>
      <c r="AE38" s="1246"/>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930" t="s">
        <v>76</v>
      </c>
      <c r="B39" s="940" t="s">
        <v>2375</v>
      </c>
      <c r="C39" s="940"/>
      <c r="D39" s="927"/>
      <c r="E39" s="927"/>
      <c r="F39" s="1254"/>
      <c r="G39" s="1254"/>
      <c r="H39" s="942"/>
      <c r="I39" s="942"/>
      <c r="J39" s="942"/>
      <c r="K39" s="942"/>
      <c r="L39" s="942"/>
      <c r="M39" s="942"/>
      <c r="N39" s="1254"/>
      <c r="O39" s="1254"/>
      <c r="P39" s="942"/>
      <c r="Q39" s="942"/>
      <c r="R39" s="942"/>
      <c r="S39" s="944"/>
      <c r="T39" s="944"/>
      <c r="U39" s="944"/>
      <c r="V39" s="944"/>
      <c r="W39" s="944"/>
      <c r="X39" s="944"/>
      <c r="Y39" s="944"/>
      <c r="Z39" s="944"/>
      <c r="AA39" s="1246"/>
      <c r="AB39" s="1246"/>
      <c r="AC39" s="1246"/>
      <c r="AD39" s="1246"/>
      <c r="AE39" s="1246"/>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930" t="s">
        <v>76</v>
      </c>
      <c r="B40" s="940" t="s">
        <v>2376</v>
      </c>
      <c r="C40" s="940"/>
      <c r="D40" s="927"/>
      <c r="E40" s="927"/>
      <c r="F40" s="943"/>
      <c r="G40" s="943"/>
      <c r="H40" s="943">
        <v>0</v>
      </c>
      <c r="I40" s="943">
        <v>0</v>
      </c>
      <c r="J40" s="942">
        <v>0</v>
      </c>
      <c r="K40" s="943"/>
      <c r="L40" s="943"/>
      <c r="M40" s="943"/>
      <c r="N40" s="943"/>
      <c r="O40" s="943"/>
      <c r="P40" s="942"/>
      <c r="Q40" s="942"/>
      <c r="R40" s="942"/>
      <c r="S40" s="944"/>
      <c r="T40" s="944"/>
      <c r="U40" s="944"/>
      <c r="V40" s="944"/>
      <c r="W40" s="944"/>
      <c r="X40" s="944"/>
      <c r="Y40" s="945"/>
      <c r="Z40" s="945"/>
      <c r="AA40" s="1246"/>
      <c r="AB40" s="1246"/>
      <c r="AC40" s="1246"/>
      <c r="AD40" s="1246"/>
      <c r="AE40" s="1246"/>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930" t="s">
        <v>76</v>
      </c>
      <c r="B41" s="940" t="s">
        <v>2377</v>
      </c>
      <c r="C41" s="940"/>
      <c r="D41" s="927"/>
      <c r="E41" s="927"/>
      <c r="F41" s="943"/>
      <c r="G41" s="943"/>
      <c r="H41" s="942">
        <v>-29400000000</v>
      </c>
      <c r="I41" s="942">
        <v>-37900000000</v>
      </c>
      <c r="J41" s="942">
        <v>-47700000000</v>
      </c>
      <c r="K41" s="942">
        <v>-38729600000</v>
      </c>
      <c r="L41" s="942">
        <v>-57312000000.000008</v>
      </c>
      <c r="M41" s="942">
        <v>-68547599999.999985</v>
      </c>
      <c r="N41" s="1254">
        <v>-92215200000</v>
      </c>
      <c r="O41" s="1254">
        <v>-106036700000</v>
      </c>
      <c r="P41" s="942"/>
      <c r="Q41" s="942"/>
      <c r="R41" s="942"/>
      <c r="S41" s="944"/>
      <c r="T41" s="944"/>
      <c r="U41" s="944"/>
      <c r="V41" s="944"/>
      <c r="W41" s="944"/>
      <c r="X41" s="944"/>
      <c r="Y41" s="945"/>
      <c r="Z41" s="945"/>
      <c r="AA41" s="1246"/>
      <c r="AB41" s="1246"/>
      <c r="AC41" s="1246"/>
      <c r="AD41" s="1246"/>
      <c r="AE41" s="1246"/>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930" t="s">
        <v>76</v>
      </c>
      <c r="B42" s="940" t="s">
        <v>2378</v>
      </c>
      <c r="C42" s="940"/>
      <c r="D42" s="927"/>
      <c r="E42" s="927"/>
      <c r="F42" s="943"/>
      <c r="G42" s="943"/>
      <c r="H42" s="943"/>
      <c r="I42" s="943"/>
      <c r="J42" s="942">
        <v>-9265500000.0000019</v>
      </c>
      <c r="K42" s="942">
        <v>-744800000</v>
      </c>
      <c r="L42" s="942">
        <v>0</v>
      </c>
      <c r="M42" s="942">
        <v>0</v>
      </c>
      <c r="N42" s="1254">
        <v>0</v>
      </c>
      <c r="O42" s="1254">
        <v>0</v>
      </c>
      <c r="P42" s="942"/>
      <c r="Q42" s="942"/>
      <c r="R42" s="942"/>
      <c r="S42" s="944"/>
      <c r="T42" s="944"/>
      <c r="U42" s="944"/>
      <c r="V42" s="944"/>
      <c r="W42" s="944"/>
      <c r="X42" s="944"/>
      <c r="Y42" s="945"/>
      <c r="Z42" s="945"/>
      <c r="AA42" s="1246"/>
      <c r="AB42" s="1246"/>
      <c r="AC42" s="1246"/>
      <c r="AD42" s="1246"/>
      <c r="AE42" s="1246"/>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930" t="s">
        <v>76</v>
      </c>
      <c r="B43" s="940" t="s">
        <v>2379</v>
      </c>
      <c r="C43" s="940"/>
      <c r="D43" s="927"/>
      <c r="E43" s="927"/>
      <c r="F43" s="943"/>
      <c r="G43" s="943"/>
      <c r="H43" s="942">
        <v>-40100000000</v>
      </c>
      <c r="I43" s="942">
        <v>-45300000000</v>
      </c>
      <c r="J43" s="942">
        <v>-56600000000</v>
      </c>
      <c r="K43" s="942">
        <v>-55860000000</v>
      </c>
      <c r="L43" s="942">
        <v>-69849000000</v>
      </c>
      <c r="M43" s="942">
        <v>-72702000000</v>
      </c>
      <c r="N43" s="1254">
        <v>-95808000000</v>
      </c>
      <c r="O43" s="1254">
        <v>-104659599999.99998</v>
      </c>
      <c r="P43" s="942">
        <v>-165700000000</v>
      </c>
      <c r="Q43" s="942">
        <v>-246900000000</v>
      </c>
      <c r="R43" s="942">
        <v>-271600000000.00003</v>
      </c>
      <c r="S43" s="944">
        <v>-278500000000</v>
      </c>
      <c r="T43" s="944">
        <v>-303200000000</v>
      </c>
      <c r="U43" s="944"/>
      <c r="V43" s="944"/>
      <c r="W43" s="944"/>
      <c r="X43" s="944"/>
      <c r="Y43" s="945"/>
      <c r="Z43" s="945"/>
      <c r="AA43" s="1246"/>
      <c r="AB43" s="1246"/>
      <c r="AC43" s="1246"/>
      <c r="AD43" s="1246"/>
      <c r="AE43" s="1246"/>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s="848" customFormat="1">
      <c r="A44" s="935" t="s">
        <v>115</v>
      </c>
      <c r="B44" s="935" t="s">
        <v>115</v>
      </c>
      <c r="C44" s="1251" t="s">
        <v>35</v>
      </c>
      <c r="D44" s="1251"/>
      <c r="E44" s="1251"/>
      <c r="F44" s="1252"/>
      <c r="G44" s="1252"/>
      <c r="H44" s="937">
        <v>35912200000</v>
      </c>
      <c r="I44" s="937">
        <v>39310500000</v>
      </c>
      <c r="J44" s="936">
        <v>47562900000.000008</v>
      </c>
      <c r="K44" s="936">
        <v>55860000000</v>
      </c>
      <c r="L44" s="936">
        <v>69849000000</v>
      </c>
      <c r="M44" s="936">
        <v>72702000000</v>
      </c>
      <c r="N44" s="1252">
        <v>95808000000</v>
      </c>
      <c r="O44" s="1252">
        <v>104659599999.99998</v>
      </c>
      <c r="P44" s="936">
        <v>165700000000</v>
      </c>
      <c r="Q44" s="936">
        <v>246900000000</v>
      </c>
      <c r="R44" s="936">
        <v>271600000000.00003</v>
      </c>
      <c r="S44" s="1253">
        <v>278500000000</v>
      </c>
      <c r="T44" s="1253">
        <f>T45+T48</f>
        <v>326400000000</v>
      </c>
      <c r="U44" s="1253">
        <f>U45+U48</f>
        <v>379600000000</v>
      </c>
      <c r="V44" s="1253">
        <f t="shared" ref="V44:Z44" si="16">V45+V48</f>
        <v>430300000000</v>
      </c>
      <c r="W44" s="1253">
        <f t="shared" si="16"/>
        <v>415000000000</v>
      </c>
      <c r="X44" s="1253">
        <f t="shared" si="16"/>
        <v>383500000000</v>
      </c>
      <c r="Y44" s="1253">
        <f t="shared" si="16"/>
        <v>345900000000</v>
      </c>
      <c r="Z44" s="1253">
        <f t="shared" si="16"/>
        <v>341400000000</v>
      </c>
      <c r="AA44" s="1247"/>
      <c r="AB44" s="1247"/>
      <c r="AC44" s="1247"/>
      <c r="AD44" s="1247"/>
      <c r="AE44" s="1247"/>
      <c r="AF44" s="916"/>
      <c r="AG44" s="916"/>
      <c r="AH44" s="916"/>
      <c r="AI44" s="916"/>
      <c r="AJ44" s="916"/>
      <c r="AK44" s="916"/>
      <c r="AL44" s="916"/>
      <c r="AM44" s="916"/>
      <c r="AN44" s="916"/>
      <c r="AO44" s="916"/>
      <c r="AP44" s="916"/>
      <c r="AQ44" s="916"/>
      <c r="AR44" s="916"/>
      <c r="AS44" s="916"/>
      <c r="AT44" s="916"/>
      <c r="AU44" s="916"/>
      <c r="AV44" s="916"/>
      <c r="AW44" s="916"/>
      <c r="AX44" s="916"/>
      <c r="AY44" s="916"/>
    </row>
    <row r="45" spans="1:51">
      <c r="A45" s="930" t="s">
        <v>120</v>
      </c>
      <c r="B45" s="940" t="s">
        <v>2380</v>
      </c>
      <c r="C45" s="940" t="s">
        <v>252</v>
      </c>
      <c r="D45" s="927"/>
      <c r="E45" s="927"/>
      <c r="F45" s="1254"/>
      <c r="G45" s="1254"/>
      <c r="H45" s="943">
        <v>32029799999.999996</v>
      </c>
      <c r="I45" s="943">
        <v>46849499999.999992</v>
      </c>
      <c r="J45" s="942">
        <v>51269100000.000008</v>
      </c>
      <c r="K45" s="942">
        <v>54370400000</v>
      </c>
      <c r="L45" s="942">
        <v>40297500000</v>
      </c>
      <c r="M45" s="942">
        <v>65431799999.999992</v>
      </c>
      <c r="N45" s="1254">
        <v>87424799999.999985</v>
      </c>
      <c r="O45" s="1254">
        <v>95019900000</v>
      </c>
      <c r="P45" s="942">
        <v>184000000000</v>
      </c>
      <c r="Q45" s="942">
        <v>268700000000</v>
      </c>
      <c r="R45" s="942">
        <v>279800000000</v>
      </c>
      <c r="S45" s="944">
        <v>279300000000</v>
      </c>
      <c r="T45" s="944">
        <v>297500000000</v>
      </c>
      <c r="U45" s="944">
        <f>U46+U47</f>
        <v>252700000000</v>
      </c>
      <c r="V45" s="944">
        <f t="shared" ref="V45:Z45" si="17">V46+V47</f>
        <v>216800000000</v>
      </c>
      <c r="W45" s="944">
        <f t="shared" si="17"/>
        <v>341300000000</v>
      </c>
      <c r="X45" s="944">
        <f t="shared" si="17"/>
        <v>406500000000</v>
      </c>
      <c r="Y45" s="944">
        <f t="shared" si="17"/>
        <v>367100000000</v>
      </c>
      <c r="Z45" s="944">
        <f t="shared" si="17"/>
        <v>412300000000</v>
      </c>
      <c r="AA45" s="1246"/>
      <c r="AB45" s="1246"/>
      <c r="AC45" s="1246"/>
      <c r="AD45" s="1246"/>
      <c r="AE45" s="1246"/>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946" t="s">
        <v>349</v>
      </c>
      <c r="B46" s="946" t="s">
        <v>349</v>
      </c>
      <c r="C46" s="940" t="s">
        <v>124</v>
      </c>
      <c r="D46" s="927"/>
      <c r="E46" s="927"/>
      <c r="F46" s="943"/>
      <c r="G46" s="943"/>
      <c r="H46" s="943"/>
      <c r="I46" s="943"/>
      <c r="J46" s="943"/>
      <c r="K46" s="943"/>
      <c r="L46" s="943"/>
      <c r="M46" s="943"/>
      <c r="N46" s="943"/>
      <c r="O46" s="943"/>
      <c r="P46" s="942">
        <v>145300000000</v>
      </c>
      <c r="Q46" s="942">
        <v>213700000000</v>
      </c>
      <c r="R46" s="942">
        <v>242100000000</v>
      </c>
      <c r="S46" s="944">
        <v>221200000000</v>
      </c>
      <c r="T46" s="944">
        <v>253100000000</v>
      </c>
      <c r="U46" s="944">
        <v>276700000000</v>
      </c>
      <c r="V46" s="944">
        <v>144000000000</v>
      </c>
      <c r="W46" s="944">
        <v>392300000000</v>
      </c>
      <c r="X46" s="944">
        <v>304400000000</v>
      </c>
      <c r="Y46" s="944">
        <v>250600000000</v>
      </c>
      <c r="Z46" s="944">
        <v>280200000000</v>
      </c>
      <c r="AA46" s="1246"/>
      <c r="AB46" s="1246"/>
      <c r="AC46" s="1246"/>
      <c r="AD46" s="1246"/>
      <c r="AE46" s="1246"/>
      <c r="AF46" s="1246"/>
      <c r="AG46" s="365"/>
      <c r="AH46" s="365"/>
      <c r="AI46" s="365"/>
      <c r="AJ46" s="365"/>
      <c r="AK46" s="365"/>
      <c r="AL46" s="365"/>
      <c r="AM46" s="365"/>
      <c r="AN46" s="365"/>
      <c r="AO46" s="365"/>
      <c r="AP46" s="365"/>
      <c r="AQ46" s="365"/>
      <c r="AR46" s="365"/>
      <c r="AS46" s="365"/>
      <c r="AT46" s="365"/>
      <c r="AU46" s="365"/>
      <c r="AV46" s="365"/>
      <c r="AW46" s="365"/>
      <c r="AX46" s="365"/>
      <c r="AY46" s="365"/>
    </row>
    <row r="47" spans="1:51">
      <c r="A47" s="946" t="s">
        <v>350</v>
      </c>
      <c r="B47" s="946" t="s">
        <v>350</v>
      </c>
      <c r="C47" s="940" t="s">
        <v>124</v>
      </c>
      <c r="D47" s="927"/>
      <c r="E47" s="927"/>
      <c r="F47" s="943"/>
      <c r="G47" s="943"/>
      <c r="H47" s="943"/>
      <c r="I47" s="943"/>
      <c r="J47" s="943"/>
      <c r="K47" s="943"/>
      <c r="L47" s="943"/>
      <c r="M47" s="943"/>
      <c r="N47" s="943"/>
      <c r="O47" s="943"/>
      <c r="P47" s="942">
        <v>38700000000</v>
      </c>
      <c r="Q47" s="942">
        <v>55000000000</v>
      </c>
      <c r="R47" s="942">
        <v>37600000000</v>
      </c>
      <c r="S47" s="944">
        <v>58100000000</v>
      </c>
      <c r="T47" s="944">
        <v>44400000000</v>
      </c>
      <c r="U47" s="944">
        <v>-24000000000</v>
      </c>
      <c r="V47" s="944">
        <v>72800000000</v>
      </c>
      <c r="W47" s="944">
        <v>-51000000000</v>
      </c>
      <c r="X47" s="944">
        <v>102100000000</v>
      </c>
      <c r="Y47" s="944">
        <v>116500000000</v>
      </c>
      <c r="Z47" s="944">
        <v>132100000000</v>
      </c>
      <c r="AA47" s="1246"/>
      <c r="AB47" s="1246"/>
      <c r="AC47" s="1246"/>
      <c r="AD47" s="1246"/>
      <c r="AE47" s="1246"/>
      <c r="AF47" s="1246"/>
      <c r="AG47" s="365"/>
      <c r="AH47" s="365"/>
      <c r="AI47" s="365"/>
      <c r="AJ47" s="365"/>
      <c r="AK47" s="365"/>
      <c r="AL47" s="365"/>
      <c r="AM47" s="365"/>
      <c r="AN47" s="365"/>
      <c r="AO47" s="365"/>
      <c r="AP47" s="365"/>
      <c r="AQ47" s="365"/>
      <c r="AR47" s="365"/>
      <c r="AS47" s="365"/>
      <c r="AT47" s="365"/>
      <c r="AU47" s="365"/>
      <c r="AV47" s="365"/>
      <c r="AW47" s="365"/>
      <c r="AX47" s="365"/>
      <c r="AY47" s="365"/>
    </row>
    <row r="48" spans="1:51">
      <c r="A48" s="940" t="s">
        <v>117</v>
      </c>
      <c r="B48" s="940" t="s">
        <v>2381</v>
      </c>
      <c r="C48" s="940" t="s">
        <v>252</v>
      </c>
      <c r="D48" s="927"/>
      <c r="E48" s="927"/>
      <c r="F48" s="1254"/>
      <c r="G48" s="1254"/>
      <c r="H48" s="943">
        <v>485300000</v>
      </c>
      <c r="I48" s="943">
        <v>-4308000000</v>
      </c>
      <c r="J48" s="942">
        <v>3706200000</v>
      </c>
      <c r="K48" s="942">
        <v>3724000000</v>
      </c>
      <c r="L48" s="942">
        <v>11641500000</v>
      </c>
      <c r="M48" s="942">
        <v>7270199999.999999</v>
      </c>
      <c r="N48" s="1254">
        <v>8383199999.999999</v>
      </c>
      <c r="O48" s="1254">
        <v>9639700000</v>
      </c>
      <c r="P48" s="942">
        <v>-9100000000</v>
      </c>
      <c r="Q48" s="942">
        <v>20300000000</v>
      </c>
      <c r="R48" s="942">
        <v>4000000000</v>
      </c>
      <c r="S48" s="944">
        <v>-800000000</v>
      </c>
      <c r="T48" s="944">
        <v>28900000000</v>
      </c>
      <c r="U48" s="944">
        <v>126900000000</v>
      </c>
      <c r="V48" s="944">
        <v>213500000000</v>
      </c>
      <c r="W48" s="944">
        <v>73700000000</v>
      </c>
      <c r="X48" s="944">
        <v>-23000000000</v>
      </c>
      <c r="Y48" s="944">
        <v>-21200000000</v>
      </c>
      <c r="Z48" s="944">
        <v>-70900000000</v>
      </c>
      <c r="AA48" s="1246"/>
      <c r="AB48" s="1246"/>
      <c r="AC48" s="1246"/>
      <c r="AD48" s="1246"/>
      <c r="AE48" s="1246"/>
      <c r="AF48" s="1246"/>
      <c r="AG48" s="365"/>
      <c r="AH48" s="365"/>
      <c r="AI48" s="365"/>
      <c r="AJ48" s="365"/>
      <c r="AK48" s="365"/>
      <c r="AL48" s="365"/>
      <c r="AM48" s="365"/>
      <c r="AN48" s="365"/>
      <c r="AO48" s="365"/>
      <c r="AP48" s="365"/>
      <c r="AQ48" s="365"/>
      <c r="AR48" s="365"/>
      <c r="AS48" s="365"/>
      <c r="AT48" s="365"/>
      <c r="AU48" s="365"/>
      <c r="AV48" s="365"/>
      <c r="AW48" s="365"/>
      <c r="AX48" s="365"/>
      <c r="AY48" s="365"/>
    </row>
    <row r="49" spans="1:51">
      <c r="A49" s="940" t="s">
        <v>50</v>
      </c>
      <c r="B49" s="940" t="s">
        <v>50</v>
      </c>
      <c r="C49" s="940" t="s">
        <v>252</v>
      </c>
      <c r="D49" s="927"/>
      <c r="E49" s="927"/>
      <c r="F49" s="942"/>
      <c r="G49" s="942"/>
      <c r="H49" s="963">
        <f>H44-H45-H48</f>
        <v>3397100000.0000038</v>
      </c>
      <c r="I49" s="963">
        <f>I44-I45-I48</f>
        <v>-3230999999.9999924</v>
      </c>
      <c r="J49" s="963">
        <f>J44-J45-J48</f>
        <v>-7412400000</v>
      </c>
      <c r="K49" s="963">
        <f>K44-K45-K48</f>
        <v>-2234400000</v>
      </c>
      <c r="L49" s="963">
        <f>L44-L45-L48</f>
        <v>17910000000</v>
      </c>
      <c r="M49" s="942"/>
      <c r="N49" s="1254"/>
      <c r="O49" s="1254"/>
      <c r="P49" s="942">
        <v>-9300000000</v>
      </c>
      <c r="Q49" s="942">
        <v>-42100000000</v>
      </c>
      <c r="R49" s="942">
        <v>-12200000000</v>
      </c>
      <c r="S49" s="944"/>
      <c r="T49" s="944"/>
      <c r="U49" s="944"/>
      <c r="V49" s="944"/>
      <c r="W49" s="944"/>
      <c r="X49" s="944"/>
      <c r="Y49" s="945"/>
      <c r="Z49" s="945"/>
      <c r="AA49" s="1246"/>
      <c r="AB49" s="1246"/>
      <c r="AC49" s="1246"/>
      <c r="AD49" s="1246"/>
      <c r="AE49" s="1246"/>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B50" s="940" t="s">
        <v>2382</v>
      </c>
      <c r="C50" s="940"/>
      <c r="D50" s="927"/>
      <c r="E50" s="927"/>
      <c r="F50" s="1254"/>
      <c r="G50" s="1254"/>
      <c r="H50" s="943"/>
      <c r="I50" s="943"/>
      <c r="J50" s="942"/>
      <c r="K50" s="942"/>
      <c r="L50" s="942"/>
      <c r="M50" s="942"/>
      <c r="N50" s="1254"/>
      <c r="O50" s="1254"/>
      <c r="P50" s="942">
        <v>0</v>
      </c>
      <c r="Q50" s="942">
        <v>0</v>
      </c>
      <c r="R50" s="942">
        <v>0</v>
      </c>
      <c r="S50" s="944">
        <v>0</v>
      </c>
      <c r="T50" s="944">
        <v>0</v>
      </c>
      <c r="U50" s="944">
        <v>0</v>
      </c>
      <c r="V50" s="944">
        <v>0</v>
      </c>
      <c r="W50" s="944">
        <v>0</v>
      </c>
      <c r="X50" s="944">
        <v>0</v>
      </c>
      <c r="Y50" s="945">
        <v>0</v>
      </c>
      <c r="Z50" s="945">
        <v>0</v>
      </c>
      <c r="AA50" s="1246"/>
      <c r="AB50" s="1246"/>
      <c r="AC50" s="1246"/>
      <c r="AD50" s="1246"/>
      <c r="AE50" s="1246"/>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940" t="s">
        <v>614</v>
      </c>
      <c r="C51" s="940"/>
      <c r="D51" s="927"/>
      <c r="E51" s="927"/>
      <c r="H51" s="1259">
        <f t="shared" ref="H51:W51" si="18">(H24/H6)*100</f>
        <v>4.1062801932367154</v>
      </c>
      <c r="I51" s="1259">
        <f t="shared" si="18"/>
        <v>2.1706586826347305</v>
      </c>
      <c r="J51" s="1259">
        <f t="shared" si="18"/>
        <v>1.3597733711048159</v>
      </c>
      <c r="K51" s="1259">
        <f t="shared" si="18"/>
        <v>1.8050541516245484</v>
      </c>
      <c r="L51" s="1259">
        <f t="shared" si="18"/>
        <v>0.71684587813620082</v>
      </c>
      <c r="M51" s="1259">
        <f t="shared" si="18"/>
        <v>2.877697841726619</v>
      </c>
      <c r="N51" s="1259">
        <f t="shared" si="18"/>
        <v>0.82644628099173578</v>
      </c>
      <c r="O51" s="1259">
        <f t="shared" si="18"/>
        <v>0.83682008368200833</v>
      </c>
      <c r="P51" s="1259">
        <f t="shared" si="18"/>
        <v>2.8948122671252507</v>
      </c>
      <c r="Q51" s="1259">
        <f t="shared" si="18"/>
        <v>1.288404360753221</v>
      </c>
      <c r="R51" s="1259">
        <f t="shared" si="18"/>
        <v>15.113249148125876</v>
      </c>
      <c r="S51" s="956">
        <f t="shared" si="18"/>
        <v>4.7362555720653789</v>
      </c>
      <c r="T51" s="956">
        <f t="shared" si="18"/>
        <v>0.63752276867030966</v>
      </c>
      <c r="U51" s="956">
        <f t="shared" si="18"/>
        <v>2.6846655543758531</v>
      </c>
      <c r="V51" s="956">
        <f t="shared" si="18"/>
        <v>0.13603759584466979</v>
      </c>
      <c r="W51" s="956">
        <f t="shared" si="18"/>
        <v>0.12004801920768307</v>
      </c>
      <c r="X51" s="944"/>
      <c r="Y51" s="945"/>
      <c r="Z51" s="945"/>
      <c r="AA51" s="1246"/>
      <c r="AB51" s="1246"/>
      <c r="AC51" s="1246"/>
      <c r="AD51" s="1246"/>
      <c r="AE51" s="1246"/>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B52" s="940"/>
      <c r="C52" s="940"/>
      <c r="D52" s="927"/>
      <c r="E52" s="927"/>
      <c r="F52" s="1260"/>
      <c r="G52" s="1260"/>
      <c r="J52" s="951"/>
      <c r="K52" s="951"/>
      <c r="L52" s="951"/>
      <c r="M52" s="951"/>
      <c r="N52" s="1260"/>
      <c r="O52" s="1261"/>
      <c r="P52" s="951"/>
      <c r="Q52" s="951"/>
      <c r="R52" s="951"/>
      <c r="S52" s="952"/>
      <c r="T52" s="952"/>
      <c r="U52" s="952"/>
      <c r="V52" s="952"/>
      <c r="W52" s="952"/>
      <c r="X52" s="944"/>
      <c r="Y52" s="945"/>
      <c r="Z52" s="945"/>
      <c r="AA52" s="1246"/>
      <c r="AB52" s="1246"/>
      <c r="AC52" s="1246"/>
      <c r="AD52" s="1246"/>
      <c r="AE52" s="1246"/>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B53" s="940"/>
      <c r="C53" s="940"/>
      <c r="D53" s="927"/>
      <c r="E53" s="927"/>
      <c r="H53" s="930" t="s">
        <v>139</v>
      </c>
      <c r="I53" s="930" t="s">
        <v>139</v>
      </c>
      <c r="J53" s="930" t="s">
        <v>139</v>
      </c>
      <c r="K53" s="930" t="s">
        <v>139</v>
      </c>
      <c r="L53" s="930" t="s">
        <v>139</v>
      </c>
      <c r="M53" s="930" t="s">
        <v>139</v>
      </c>
      <c r="N53" s="930" t="s">
        <v>139</v>
      </c>
      <c r="O53" s="930" t="s">
        <v>139</v>
      </c>
      <c r="P53" s="930" t="s">
        <v>139</v>
      </c>
      <c r="Q53" s="930" t="s">
        <v>139</v>
      </c>
      <c r="R53" s="930" t="s">
        <v>139</v>
      </c>
      <c r="S53" s="956" t="s">
        <v>139</v>
      </c>
      <c r="T53" s="956" t="s">
        <v>139</v>
      </c>
      <c r="U53" s="956" t="s">
        <v>139</v>
      </c>
      <c r="V53" s="956" t="s">
        <v>139</v>
      </c>
      <c r="W53" s="956" t="s">
        <v>139</v>
      </c>
      <c r="X53" s="956" t="s">
        <v>139</v>
      </c>
      <c r="Y53" s="956" t="s">
        <v>139</v>
      </c>
      <c r="Z53" s="956" t="s">
        <v>139</v>
      </c>
      <c r="AA53" s="1246"/>
      <c r="AB53" s="1246"/>
      <c r="AC53" s="1246"/>
      <c r="AD53" s="1246"/>
      <c r="AE53" s="1246"/>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c r="B54" s="940"/>
      <c r="C54" s="940"/>
      <c r="D54" s="927"/>
      <c r="E54" s="927"/>
      <c r="F54" s="1260"/>
      <c r="G54" s="1260"/>
      <c r="J54" s="951"/>
      <c r="K54" s="951"/>
      <c r="L54" s="951"/>
      <c r="M54" s="951"/>
      <c r="N54" s="1260"/>
      <c r="O54" s="1261"/>
      <c r="P54" s="951"/>
      <c r="Q54" s="951"/>
      <c r="R54" s="951"/>
      <c r="S54" s="952"/>
      <c r="T54" s="952"/>
      <c r="U54" s="952"/>
      <c r="V54" s="952"/>
      <c r="W54" s="952"/>
      <c r="X54" s="944"/>
      <c r="Y54" s="945"/>
      <c r="Z54" s="945"/>
      <c r="AA54" s="1246"/>
      <c r="AB54" s="1246"/>
      <c r="AC54" s="1246"/>
      <c r="AD54" s="1246"/>
      <c r="AE54" s="1246"/>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B55" s="940" t="s">
        <v>284</v>
      </c>
      <c r="C55" s="940"/>
      <c r="D55" s="927"/>
      <c r="E55" s="927"/>
      <c r="F55" s="1262"/>
      <c r="G55" s="1262"/>
      <c r="H55" s="1262">
        <f t="shared" ref="H55:Z55" si="19">H6-H7-H24</f>
        <v>0</v>
      </c>
      <c r="I55" s="1262">
        <f t="shared" si="19"/>
        <v>-100000000</v>
      </c>
      <c r="J55" s="1262">
        <f t="shared" si="19"/>
        <v>0</v>
      </c>
      <c r="K55" s="1262">
        <f t="shared" si="19"/>
        <v>0</v>
      </c>
      <c r="L55" s="1262">
        <f t="shared" si="19"/>
        <v>0</v>
      </c>
      <c r="M55" s="1262">
        <f t="shared" si="19"/>
        <v>0</v>
      </c>
      <c r="N55" s="1262">
        <f t="shared" si="19"/>
        <v>-6.103515625E-5</v>
      </c>
      <c r="O55" s="1262">
        <f t="shared" si="19"/>
        <v>0</v>
      </c>
      <c r="P55" s="1262">
        <f t="shared" si="19"/>
        <v>0</v>
      </c>
      <c r="Q55" s="1262">
        <f t="shared" si="19"/>
        <v>0</v>
      </c>
      <c r="R55" s="1262">
        <f t="shared" si="19"/>
        <v>-100000000</v>
      </c>
      <c r="S55" s="1263">
        <f t="shared" si="19"/>
        <v>0</v>
      </c>
      <c r="T55" s="1263">
        <f t="shared" si="19"/>
        <v>0</v>
      </c>
      <c r="U55" s="1263">
        <f t="shared" si="19"/>
        <v>0</v>
      </c>
      <c r="V55" s="1263">
        <f t="shared" si="19"/>
        <v>0</v>
      </c>
      <c r="W55" s="1263">
        <f t="shared" si="19"/>
        <v>0</v>
      </c>
      <c r="X55" s="1263">
        <f t="shared" si="19"/>
        <v>0</v>
      </c>
      <c r="Y55" s="1263">
        <f t="shared" si="19"/>
        <v>0</v>
      </c>
      <c r="Z55" s="1263">
        <f t="shared" si="19"/>
        <v>0</v>
      </c>
      <c r="AA55" s="1246"/>
      <c r="AB55" s="1246"/>
      <c r="AC55" s="1246"/>
      <c r="AD55" s="1246"/>
      <c r="AE55" s="1246"/>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B56" s="940" t="s">
        <v>450</v>
      </c>
      <c r="C56" s="940"/>
      <c r="D56" s="927"/>
      <c r="E56" s="927"/>
      <c r="F56" s="961"/>
      <c r="G56" s="961"/>
      <c r="H56" s="961">
        <f t="shared" ref="H56:Z56" si="20">H7-H8-H21-H23</f>
        <v>7.62939453125E-6</v>
      </c>
      <c r="I56" s="961">
        <f t="shared" si="20"/>
        <v>0</v>
      </c>
      <c r="J56" s="961">
        <f t="shared" si="20"/>
        <v>0</v>
      </c>
      <c r="K56" s="961">
        <f t="shared" si="20"/>
        <v>1.52587890625E-5</v>
      </c>
      <c r="L56" s="961">
        <f t="shared" si="20"/>
        <v>0</v>
      </c>
      <c r="M56" s="961">
        <f t="shared" si="20"/>
        <v>3.0517578125E-5</v>
      </c>
      <c r="N56" s="961">
        <f t="shared" si="20"/>
        <v>1.52587890625E-5</v>
      </c>
      <c r="O56" s="961">
        <f t="shared" si="20"/>
        <v>0</v>
      </c>
      <c r="P56" s="961">
        <f t="shared" si="20"/>
        <v>0</v>
      </c>
      <c r="Q56" s="961">
        <f t="shared" si="20"/>
        <v>0</v>
      </c>
      <c r="R56" s="961">
        <f t="shared" si="20"/>
        <v>0</v>
      </c>
      <c r="S56" s="956">
        <f t="shared" si="20"/>
        <v>-100000000</v>
      </c>
      <c r="T56" s="956">
        <f t="shared" si="20"/>
        <v>0</v>
      </c>
      <c r="U56" s="956">
        <f t="shared" si="20"/>
        <v>0</v>
      </c>
      <c r="V56" s="956">
        <f t="shared" si="20"/>
        <v>0</v>
      </c>
      <c r="W56" s="956">
        <f t="shared" si="20"/>
        <v>0</v>
      </c>
      <c r="X56" s="956">
        <f t="shared" si="20"/>
        <v>0</v>
      </c>
      <c r="Y56" s="956">
        <f t="shared" si="20"/>
        <v>3.0517578125E-5</v>
      </c>
      <c r="Z56" s="956">
        <f t="shared" si="20"/>
        <v>0</v>
      </c>
      <c r="AA56" s="1246"/>
      <c r="AB56" s="1246"/>
      <c r="AC56" s="1246"/>
      <c r="AD56" s="1246"/>
      <c r="AE56" s="1246"/>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B57" s="930" t="s">
        <v>142</v>
      </c>
      <c r="C57" s="940"/>
      <c r="D57" s="927"/>
      <c r="E57" s="927"/>
      <c r="F57" s="961"/>
      <c r="G57" s="961"/>
      <c r="H57" s="961">
        <f t="shared" ref="H57:S57" si="21">H8-H9-H15-H19-H20</f>
        <v>-100000000.00000763</v>
      </c>
      <c r="I57" s="961">
        <f t="shared" si="21"/>
        <v>100000000</v>
      </c>
      <c r="J57" s="961">
        <f t="shared" si="21"/>
        <v>0</v>
      </c>
      <c r="K57" s="961">
        <f t="shared" si="21"/>
        <v>0</v>
      </c>
      <c r="L57" s="961">
        <f t="shared" si="21"/>
        <v>0</v>
      </c>
      <c r="M57" s="961">
        <f t="shared" si="21"/>
        <v>-2.0503997802734375E-5</v>
      </c>
      <c r="N57" s="961">
        <f t="shared" si="21"/>
        <v>1.0013580322265625E-5</v>
      </c>
      <c r="O57" s="961">
        <f t="shared" si="21"/>
        <v>0</v>
      </c>
      <c r="P57" s="961">
        <f t="shared" si="21"/>
        <v>0</v>
      </c>
      <c r="Q57" s="961">
        <f t="shared" si="21"/>
        <v>1.52587890625E-5</v>
      </c>
      <c r="R57" s="961">
        <f t="shared" si="21"/>
        <v>-100000000</v>
      </c>
      <c r="S57" s="956">
        <f t="shared" si="21"/>
        <v>100000000</v>
      </c>
      <c r="T57" s="956" t="e">
        <f>T8-T9-T15-T19-T20-#REF!</f>
        <v>#REF!</v>
      </c>
      <c r="U57" s="956" t="e">
        <f>U8-U9-U15-U19-U20-#REF!</f>
        <v>#REF!</v>
      </c>
      <c r="V57" s="956" t="e">
        <f>V8-V9-V15-V19-V20-#REF!</f>
        <v>#REF!</v>
      </c>
      <c r="W57" s="956" t="e">
        <f>W8-W9-W15-W19-W20-#REF!</f>
        <v>#REF!</v>
      </c>
      <c r="X57" s="956" t="e">
        <f>X8-X9-X15-X19-X20-#REF!</f>
        <v>#REF!</v>
      </c>
      <c r="Y57" s="956" t="e">
        <f>Y8-Y9-Y15-Y19-Y20-#REF!</f>
        <v>#REF!</v>
      </c>
      <c r="Z57" s="956" t="e">
        <f>Z8-Z9-Z15-Z19-Z20-#REF!</f>
        <v>#REF!</v>
      </c>
      <c r="AA57" s="1246"/>
      <c r="AB57" s="1246"/>
      <c r="AC57" s="1246"/>
      <c r="AD57" s="1246"/>
      <c r="AE57" s="1246"/>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B58" s="930" t="s">
        <v>2383</v>
      </c>
      <c r="C58" s="940"/>
      <c r="D58" s="927"/>
      <c r="E58" s="927"/>
      <c r="F58" s="961"/>
      <c r="G58" s="961"/>
      <c r="H58" s="1264">
        <f t="shared" ref="H58:Z58" si="22">H9-H10-H11-H14</f>
        <v>28100000000</v>
      </c>
      <c r="I58" s="1264">
        <f t="shared" si="22"/>
        <v>32600000000</v>
      </c>
      <c r="J58" s="1264">
        <f t="shared" si="22"/>
        <v>49500000000</v>
      </c>
      <c r="K58" s="1264">
        <f t="shared" si="22"/>
        <v>60328799999.999992</v>
      </c>
      <c r="L58" s="1264">
        <f t="shared" si="22"/>
        <v>68953500000</v>
      </c>
      <c r="M58" s="1264">
        <f t="shared" si="22"/>
        <v>83088000000</v>
      </c>
      <c r="N58" s="1264">
        <f t="shared" si="22"/>
        <v>83832000000</v>
      </c>
      <c r="O58" s="1264">
        <f t="shared" si="22"/>
        <v>108790900000</v>
      </c>
      <c r="P58" s="961">
        <f t="shared" si="22"/>
        <v>0</v>
      </c>
      <c r="Q58" s="961">
        <f t="shared" si="22"/>
        <v>0</v>
      </c>
      <c r="R58" s="961">
        <f t="shared" si="22"/>
        <v>0</v>
      </c>
      <c r="S58" s="956">
        <f t="shared" si="22"/>
        <v>0</v>
      </c>
      <c r="T58" s="956">
        <f t="shared" si="22"/>
        <v>0</v>
      </c>
      <c r="U58" s="956">
        <f t="shared" si="22"/>
        <v>0</v>
      </c>
      <c r="V58" s="956">
        <f t="shared" si="22"/>
        <v>0</v>
      </c>
      <c r="W58" s="956">
        <f t="shared" si="22"/>
        <v>0</v>
      </c>
      <c r="X58" s="956">
        <f t="shared" si="22"/>
        <v>0</v>
      </c>
      <c r="Y58" s="956">
        <f t="shared" si="22"/>
        <v>0</v>
      </c>
      <c r="Z58" s="956">
        <f t="shared" si="22"/>
        <v>0</v>
      </c>
      <c r="AA58" s="1246"/>
      <c r="AB58" s="1246"/>
      <c r="AC58" s="1246"/>
      <c r="AD58" s="1246"/>
      <c r="AE58" s="1246"/>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c r="B59" s="940" t="s">
        <v>2384</v>
      </c>
      <c r="C59" s="940"/>
      <c r="D59" s="927"/>
      <c r="E59" s="927"/>
      <c r="F59" s="961"/>
      <c r="G59" s="961"/>
      <c r="H59" s="961">
        <f t="shared" ref="H59:Z59" si="23">H11-H12-H13</f>
        <v>0</v>
      </c>
      <c r="I59" s="961">
        <f t="shared" si="23"/>
        <v>0</v>
      </c>
      <c r="J59" s="961">
        <f t="shared" si="23"/>
        <v>0</v>
      </c>
      <c r="K59" s="961">
        <f t="shared" si="23"/>
        <v>0</v>
      </c>
      <c r="L59" s="961">
        <f t="shared" si="23"/>
        <v>0</v>
      </c>
      <c r="M59" s="961">
        <f t="shared" si="23"/>
        <v>0</v>
      </c>
      <c r="N59" s="961">
        <f t="shared" si="23"/>
        <v>0</v>
      </c>
      <c r="O59" s="961">
        <f t="shared" si="23"/>
        <v>0</v>
      </c>
      <c r="P59" s="961">
        <f t="shared" si="23"/>
        <v>-100000000</v>
      </c>
      <c r="Q59" s="961">
        <f t="shared" si="23"/>
        <v>0</v>
      </c>
      <c r="R59" s="961">
        <f t="shared" si="23"/>
        <v>-100000000</v>
      </c>
      <c r="S59" s="956">
        <f t="shared" si="23"/>
        <v>0</v>
      </c>
      <c r="T59" s="1265">
        <f t="shared" si="23"/>
        <v>0</v>
      </c>
      <c r="U59" s="956">
        <f t="shared" si="23"/>
        <v>115900000000</v>
      </c>
      <c r="V59" s="956">
        <f t="shared" si="23"/>
        <v>140100000000</v>
      </c>
      <c r="W59" s="956">
        <f t="shared" si="23"/>
        <v>170000000000</v>
      </c>
      <c r="X59" s="956">
        <f t="shared" si="23"/>
        <v>198800000000</v>
      </c>
      <c r="Y59" s="956">
        <f t="shared" si="23"/>
        <v>226700000000</v>
      </c>
      <c r="Z59" s="956">
        <f t="shared" si="23"/>
        <v>260000000000</v>
      </c>
      <c r="AA59" s="1246"/>
      <c r="AB59" s="1246"/>
      <c r="AC59" s="1246"/>
      <c r="AD59" s="1246"/>
      <c r="AE59" s="1246"/>
      <c r="AF59" s="365"/>
      <c r="AG59" s="365"/>
      <c r="AH59" s="365"/>
      <c r="AI59" s="365"/>
      <c r="AJ59" s="365"/>
      <c r="AK59" s="365"/>
      <c r="AL59" s="365"/>
      <c r="AM59" s="365"/>
      <c r="AN59" s="365"/>
      <c r="AO59" s="365"/>
      <c r="AP59" s="365"/>
      <c r="AQ59" s="365"/>
      <c r="AR59" s="365"/>
      <c r="AS59" s="365"/>
      <c r="AT59" s="365"/>
      <c r="AU59" s="365"/>
      <c r="AV59" s="365"/>
      <c r="AW59" s="365"/>
      <c r="AX59" s="365"/>
      <c r="AY59" s="365"/>
    </row>
    <row r="60" spans="1:51">
      <c r="B60" s="930" t="s">
        <v>2385</v>
      </c>
      <c r="C60" s="940"/>
      <c r="D60" s="927"/>
      <c r="E60" s="927"/>
      <c r="F60" s="961"/>
      <c r="G60" s="961"/>
      <c r="H60" s="1264">
        <f t="shared" ref="H60:R60" si="24">H15-H16-H17</f>
        <v>26600000000</v>
      </c>
      <c r="I60" s="1264">
        <f t="shared" si="24"/>
        <v>31400000000</v>
      </c>
      <c r="J60" s="1264">
        <f t="shared" si="24"/>
        <v>34700000000</v>
      </c>
      <c r="K60" s="1264">
        <f t="shared" si="24"/>
        <v>39474399999.999992</v>
      </c>
      <c r="L60" s="1264">
        <f t="shared" si="24"/>
        <v>50147999999.999992</v>
      </c>
      <c r="M60" s="1264">
        <f t="shared" si="24"/>
        <v>62315999999.999992</v>
      </c>
      <c r="N60" s="1264">
        <f t="shared" si="24"/>
        <v>63472799999.999992</v>
      </c>
      <c r="O60" s="1264">
        <f t="shared" si="24"/>
        <v>77117600000</v>
      </c>
      <c r="P60" s="961">
        <f t="shared" si="24"/>
        <v>0</v>
      </c>
      <c r="Q60" s="961">
        <f t="shared" si="24"/>
        <v>-100000000</v>
      </c>
      <c r="R60" s="961">
        <f t="shared" si="24"/>
        <v>0</v>
      </c>
      <c r="S60" s="956">
        <f t="shared" ref="S60:Z60" si="25">S15-S16-S17-S18</f>
        <v>0</v>
      </c>
      <c r="T60" s="956">
        <f t="shared" si="25"/>
        <v>0</v>
      </c>
      <c r="U60" s="956">
        <f t="shared" si="25"/>
        <v>0</v>
      </c>
      <c r="V60" s="956">
        <f t="shared" si="25"/>
        <v>0</v>
      </c>
      <c r="W60" s="956">
        <f t="shared" si="25"/>
        <v>0</v>
      </c>
      <c r="X60" s="956">
        <f t="shared" si="25"/>
        <v>0</v>
      </c>
      <c r="Y60" s="956">
        <f t="shared" si="25"/>
        <v>0</v>
      </c>
      <c r="Z60" s="956">
        <f t="shared" si="25"/>
        <v>0</v>
      </c>
      <c r="AA60" s="1246"/>
      <c r="AB60" s="1246"/>
      <c r="AC60" s="1246"/>
      <c r="AD60" s="1246"/>
      <c r="AE60" s="1246"/>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B61" s="930" t="s">
        <v>145</v>
      </c>
      <c r="C61" s="940"/>
      <c r="D61" s="927"/>
      <c r="E61" s="927"/>
      <c r="F61" s="961"/>
      <c r="G61" s="961"/>
      <c r="H61" s="961">
        <f t="shared" ref="H61:W61" si="26">H27-H28-H38</f>
        <v>-100000000</v>
      </c>
      <c r="I61" s="961">
        <f t="shared" si="26"/>
        <v>100000000</v>
      </c>
      <c r="J61" s="961">
        <f t="shared" si="26"/>
        <v>0</v>
      </c>
      <c r="K61" s="961">
        <f t="shared" si="26"/>
        <v>0</v>
      </c>
      <c r="L61" s="961">
        <f>L27-L28-L38</f>
        <v>0</v>
      </c>
      <c r="M61" s="961">
        <f>M27-M28-M38</f>
        <v>0</v>
      </c>
      <c r="N61" s="961">
        <f t="shared" si="26"/>
        <v>-6.0558319091796875E-5</v>
      </c>
      <c r="O61" s="961">
        <f t="shared" si="26"/>
        <v>0</v>
      </c>
      <c r="P61" s="961">
        <f>P27-P28-P38</f>
        <v>0</v>
      </c>
      <c r="Q61" s="961">
        <f t="shared" si="26"/>
        <v>0</v>
      </c>
      <c r="R61" s="961">
        <f t="shared" si="26"/>
        <v>0</v>
      </c>
      <c r="S61" s="956">
        <f t="shared" si="26"/>
        <v>0</v>
      </c>
      <c r="T61" s="956">
        <f t="shared" si="26"/>
        <v>0</v>
      </c>
      <c r="U61" s="956">
        <f t="shared" si="26"/>
        <v>0</v>
      </c>
      <c r="V61" s="956">
        <f t="shared" si="26"/>
        <v>0</v>
      </c>
      <c r="W61" s="956">
        <f t="shared" si="26"/>
        <v>0</v>
      </c>
      <c r="X61" s="956">
        <f t="shared" ref="X61:Z61" si="27">X27-X28-X38</f>
        <v>0</v>
      </c>
      <c r="Y61" s="956">
        <f t="shared" si="27"/>
        <v>0</v>
      </c>
      <c r="Z61" s="956">
        <f t="shared" si="27"/>
        <v>0</v>
      </c>
      <c r="AA61" s="1246"/>
      <c r="AB61" s="1246"/>
      <c r="AC61" s="1246"/>
      <c r="AD61" s="1246"/>
      <c r="AE61" s="1246"/>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B62" s="930" t="s">
        <v>2221</v>
      </c>
      <c r="C62" s="940"/>
      <c r="D62" s="927"/>
      <c r="E62" s="927"/>
      <c r="F62" s="961"/>
      <c r="G62" s="961"/>
      <c r="H62" s="961">
        <f t="shared" ref="H62:W62" si="28">H28-H29-H30-H31-H32-H35-H36-H37</f>
        <v>0</v>
      </c>
      <c r="I62" s="961">
        <f t="shared" si="28"/>
        <v>0</v>
      </c>
      <c r="J62" s="961">
        <f t="shared" si="28"/>
        <v>0</v>
      </c>
      <c r="K62" s="961">
        <f t="shared" si="28"/>
        <v>0</v>
      </c>
      <c r="L62" s="961">
        <f t="shared" si="28"/>
        <v>0</v>
      </c>
      <c r="M62" s="961">
        <f t="shared" si="28"/>
        <v>0</v>
      </c>
      <c r="N62" s="961">
        <f t="shared" si="28"/>
        <v>0</v>
      </c>
      <c r="O62" s="961">
        <f t="shared" si="28"/>
        <v>0</v>
      </c>
      <c r="P62" s="961">
        <f t="shared" si="28"/>
        <v>0</v>
      </c>
      <c r="Q62" s="961">
        <f t="shared" si="28"/>
        <v>0</v>
      </c>
      <c r="R62" s="961">
        <f t="shared" si="28"/>
        <v>0</v>
      </c>
      <c r="S62" s="956">
        <f t="shared" si="28"/>
        <v>0</v>
      </c>
      <c r="T62" s="956">
        <f t="shared" si="28"/>
        <v>0</v>
      </c>
      <c r="U62" s="956">
        <f t="shared" si="28"/>
        <v>0</v>
      </c>
      <c r="V62" s="956">
        <f t="shared" si="28"/>
        <v>0</v>
      </c>
      <c r="W62" s="956">
        <f t="shared" si="28"/>
        <v>0</v>
      </c>
      <c r="X62" s="956">
        <f t="shared" ref="X62:Z62" si="29">X28-X29-X30-X31-X32-X35-X36-X37</f>
        <v>0</v>
      </c>
      <c r="Y62" s="956">
        <f t="shared" si="29"/>
        <v>0</v>
      </c>
      <c r="Z62" s="956">
        <f t="shared" si="29"/>
        <v>0</v>
      </c>
      <c r="AA62" s="1246"/>
      <c r="AB62" s="1246"/>
      <c r="AC62" s="1246"/>
      <c r="AD62" s="1246"/>
      <c r="AE62" s="1246"/>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930" t="s">
        <v>936</v>
      </c>
      <c r="C63" s="940"/>
      <c r="D63" s="927"/>
      <c r="E63" s="927"/>
      <c r="F63" s="961"/>
      <c r="G63" s="961"/>
      <c r="H63" s="1264">
        <f t="shared" ref="H63:W63" si="30">H32-H33-H34</f>
        <v>27800000000</v>
      </c>
      <c r="I63" s="1264">
        <f t="shared" si="30"/>
        <v>30400000000</v>
      </c>
      <c r="J63" s="1264">
        <f>J32-J33-J34</f>
        <v>35300000000</v>
      </c>
      <c r="K63" s="1264">
        <f>K32-K33-K34</f>
        <v>39474399999.999992</v>
      </c>
      <c r="L63" s="1264">
        <f t="shared" si="30"/>
        <v>41193000000</v>
      </c>
      <c r="M63" s="1264">
        <f t="shared" si="30"/>
        <v>43621200000</v>
      </c>
      <c r="N63" s="1264">
        <f t="shared" si="30"/>
        <v>61077599999.999992</v>
      </c>
      <c r="O63" s="1264">
        <f t="shared" si="30"/>
        <v>72986299999.999985</v>
      </c>
      <c r="P63" s="961">
        <f t="shared" si="30"/>
        <v>0</v>
      </c>
      <c r="Q63" s="961">
        <f t="shared" si="30"/>
        <v>1.52587890625E-5</v>
      </c>
      <c r="R63" s="961">
        <f t="shared" si="30"/>
        <v>0</v>
      </c>
      <c r="S63" s="956">
        <f t="shared" si="30"/>
        <v>0</v>
      </c>
      <c r="T63" s="956">
        <f t="shared" si="30"/>
        <v>-100000000</v>
      </c>
      <c r="U63" s="956">
        <f>U32-U33-U34</f>
        <v>0</v>
      </c>
      <c r="V63" s="956">
        <f t="shared" si="30"/>
        <v>0</v>
      </c>
      <c r="W63" s="956">
        <f t="shared" si="30"/>
        <v>0</v>
      </c>
      <c r="X63" s="956">
        <f t="shared" ref="X63:Z63" si="31">X32-X33-X34</f>
        <v>0</v>
      </c>
      <c r="Y63" s="956">
        <f t="shared" si="31"/>
        <v>0</v>
      </c>
      <c r="Z63" s="956">
        <f t="shared" si="31"/>
        <v>0</v>
      </c>
      <c r="AA63" s="1246"/>
      <c r="AB63" s="1246"/>
      <c r="AC63" s="1246"/>
      <c r="AD63" s="1246"/>
      <c r="AE63" s="1246"/>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B64" s="930" t="s">
        <v>148</v>
      </c>
      <c r="C64" s="940"/>
      <c r="D64" s="927"/>
      <c r="E64" s="927"/>
      <c r="F64" s="961"/>
      <c r="G64" s="961"/>
      <c r="H64" s="961">
        <f>H44-H45-H48-H49</f>
        <v>0</v>
      </c>
      <c r="I64" s="961">
        <f t="shared" ref="I64:W64" si="32">I44-I45-I48-I49</f>
        <v>0</v>
      </c>
      <c r="J64" s="961">
        <f t="shared" si="32"/>
        <v>0</v>
      </c>
      <c r="K64" s="961">
        <f>K44-K45-K48-K49</f>
        <v>0</v>
      </c>
      <c r="L64" s="961">
        <f>L44-L45-L48-L49</f>
        <v>0</v>
      </c>
      <c r="M64" s="961">
        <f t="shared" si="32"/>
        <v>8.58306884765625E-6</v>
      </c>
      <c r="N64" s="961">
        <f t="shared" si="32"/>
        <v>1.621246337890625E-5</v>
      </c>
      <c r="O64" s="961">
        <f t="shared" si="32"/>
        <v>-1.52587890625E-5</v>
      </c>
      <c r="P64" s="961">
        <f t="shared" si="32"/>
        <v>100000000</v>
      </c>
      <c r="Q64" s="961">
        <f t="shared" si="32"/>
        <v>0</v>
      </c>
      <c r="R64" s="961">
        <f t="shared" si="32"/>
        <v>3.0517578125E-5</v>
      </c>
      <c r="S64" s="956">
        <f t="shared" si="32"/>
        <v>0</v>
      </c>
      <c r="T64" s="956">
        <f t="shared" si="32"/>
        <v>0</v>
      </c>
      <c r="U64" s="956">
        <f t="shared" si="32"/>
        <v>0</v>
      </c>
      <c r="V64" s="956">
        <f t="shared" si="32"/>
        <v>0</v>
      </c>
      <c r="W64" s="956">
        <f t="shared" si="32"/>
        <v>0</v>
      </c>
      <c r="X64" s="956">
        <f t="shared" ref="X64:Z64" si="33">X44-X45-X48-X49</f>
        <v>0</v>
      </c>
      <c r="Y64" s="956">
        <f t="shared" si="33"/>
        <v>0</v>
      </c>
      <c r="Z64" s="956">
        <f t="shared" si="33"/>
        <v>0</v>
      </c>
      <c r="AA64" s="1246"/>
      <c r="AB64" s="1246"/>
      <c r="AC64" s="1246"/>
      <c r="AD64" s="1246"/>
      <c r="AE64" s="1246"/>
      <c r="AF64" s="365"/>
      <c r="AG64" s="365"/>
      <c r="AH64" s="365"/>
      <c r="AI64" s="365"/>
      <c r="AJ64" s="365"/>
      <c r="AK64" s="365"/>
      <c r="AL64" s="365"/>
      <c r="AM64" s="365"/>
      <c r="AN64" s="365"/>
      <c r="AO64" s="365"/>
      <c r="AP64" s="365"/>
      <c r="AQ64" s="365"/>
      <c r="AR64" s="365"/>
      <c r="AS64" s="365"/>
      <c r="AT64" s="365"/>
      <c r="AU64" s="365"/>
      <c r="AV64" s="365"/>
      <c r="AW64" s="365"/>
      <c r="AX64" s="365"/>
      <c r="AY64" s="365"/>
    </row>
    <row r="65" spans="2:51">
      <c r="B65" s="930" t="s">
        <v>297</v>
      </c>
      <c r="C65" s="940"/>
      <c r="D65" s="927"/>
      <c r="E65" s="927"/>
      <c r="F65" s="961"/>
      <c r="G65" s="961"/>
      <c r="H65" s="1264">
        <f t="shared" ref="H65:W65" si="34">H45-H46-H47</f>
        <v>32029799999.999996</v>
      </c>
      <c r="I65" s="1264">
        <f t="shared" si="34"/>
        <v>46849499999.999992</v>
      </c>
      <c r="J65" s="1264">
        <f>J45-J46-J47</f>
        <v>51269100000.000008</v>
      </c>
      <c r="K65" s="1264">
        <f>K45-K46-K47</f>
        <v>54370400000</v>
      </c>
      <c r="L65" s="1264">
        <f>L45-L46-L47</f>
        <v>40297500000</v>
      </c>
      <c r="M65" s="1264">
        <f t="shared" si="34"/>
        <v>65431799999.999992</v>
      </c>
      <c r="N65" s="1264">
        <f>N45-N46-N47</f>
        <v>87424799999.999985</v>
      </c>
      <c r="O65" s="1264">
        <f>O45-O46-O47</f>
        <v>95019900000</v>
      </c>
      <c r="P65" s="961">
        <f t="shared" si="34"/>
        <v>0</v>
      </c>
      <c r="Q65" s="961">
        <f t="shared" si="34"/>
        <v>0</v>
      </c>
      <c r="R65" s="961">
        <f t="shared" si="34"/>
        <v>100000000</v>
      </c>
      <c r="S65" s="956">
        <f t="shared" si="34"/>
        <v>0</v>
      </c>
      <c r="T65" s="956">
        <f t="shared" si="34"/>
        <v>0</v>
      </c>
      <c r="U65" s="956">
        <f t="shared" si="34"/>
        <v>0</v>
      </c>
      <c r="V65" s="956">
        <f t="shared" si="34"/>
        <v>0</v>
      </c>
      <c r="W65" s="956">
        <f t="shared" si="34"/>
        <v>0</v>
      </c>
      <c r="X65" s="956">
        <f t="shared" ref="X65:Z65" si="35">X45-X46-X47</f>
        <v>0</v>
      </c>
      <c r="Y65" s="956">
        <f t="shared" si="35"/>
        <v>0</v>
      </c>
      <c r="Z65" s="956">
        <f t="shared" si="35"/>
        <v>0</v>
      </c>
      <c r="AA65" s="1246"/>
      <c r="AB65" s="1246"/>
      <c r="AC65" s="1246"/>
      <c r="AD65" s="1246"/>
      <c r="AE65" s="1246"/>
      <c r="AF65" s="365"/>
      <c r="AG65" s="365"/>
      <c r="AH65" s="365"/>
      <c r="AI65" s="365"/>
      <c r="AJ65" s="365"/>
      <c r="AK65" s="365"/>
      <c r="AL65" s="365"/>
      <c r="AM65" s="365"/>
      <c r="AN65" s="365"/>
      <c r="AO65" s="365"/>
      <c r="AP65" s="365"/>
      <c r="AQ65" s="365"/>
      <c r="AR65" s="365"/>
      <c r="AS65" s="365"/>
      <c r="AT65" s="365"/>
      <c r="AU65" s="365"/>
      <c r="AV65" s="365"/>
      <c r="AW65" s="365"/>
      <c r="AX65" s="365"/>
      <c r="AY65" s="365"/>
    </row>
    <row r="66" spans="2:51">
      <c r="S66" s="956"/>
      <c r="T66" s="956"/>
      <c r="U66" s="956"/>
      <c r="V66" s="956"/>
      <c r="W66" s="956"/>
      <c r="X66" s="956"/>
      <c r="Y66" s="945"/>
      <c r="Z66" s="945"/>
      <c r="AA66" s="1246"/>
      <c r="AB66" s="1246"/>
      <c r="AC66" s="1246"/>
      <c r="AD66" s="1246"/>
      <c r="AE66" s="1246"/>
      <c r="AF66" s="365"/>
      <c r="AG66" s="365"/>
      <c r="AH66" s="365"/>
      <c r="AI66" s="365"/>
      <c r="AJ66" s="365"/>
      <c r="AK66" s="365"/>
      <c r="AL66" s="365"/>
      <c r="AM66" s="365"/>
      <c r="AN66" s="365"/>
      <c r="AO66" s="365"/>
      <c r="AP66" s="365"/>
      <c r="AQ66" s="365"/>
      <c r="AR66" s="365"/>
      <c r="AS66" s="365"/>
      <c r="AT66" s="365"/>
      <c r="AU66" s="365"/>
      <c r="AV66" s="365"/>
      <c r="AW66" s="365"/>
      <c r="AX66" s="365"/>
      <c r="AY66" s="365"/>
    </row>
    <row r="67" spans="2:51" ht="15.75" thickBot="1">
      <c r="S67" s="956"/>
      <c r="T67" s="956"/>
      <c r="U67" s="956"/>
      <c r="V67" s="956"/>
      <c r="W67" s="956"/>
      <c r="X67" s="956"/>
      <c r="Y67" s="945"/>
      <c r="Z67" s="945"/>
      <c r="AA67" s="1246"/>
      <c r="AB67" s="1246"/>
      <c r="AC67" s="1246"/>
      <c r="AD67" s="1246"/>
      <c r="AE67" s="1246"/>
      <c r="AF67" s="365"/>
      <c r="AG67" s="365"/>
      <c r="AH67" s="365"/>
      <c r="AI67" s="365"/>
      <c r="AJ67" s="365"/>
      <c r="AK67" s="365"/>
      <c r="AL67" s="365"/>
      <c r="AM67" s="365"/>
      <c r="AN67" s="365"/>
      <c r="AO67" s="365"/>
      <c r="AP67" s="365"/>
      <c r="AQ67" s="365"/>
      <c r="AR67" s="365"/>
      <c r="AS67" s="365"/>
      <c r="AT67" s="365"/>
      <c r="AU67" s="365"/>
      <c r="AV67" s="365"/>
      <c r="AW67" s="365"/>
      <c r="AX67" s="365"/>
      <c r="AY67" s="365"/>
    </row>
    <row r="68" spans="2:51" ht="15.75" thickBot="1">
      <c r="B68" s="930" t="s">
        <v>623</v>
      </c>
      <c r="F68" s="1227"/>
      <c r="G68" s="1228"/>
      <c r="H68" s="1229">
        <v>485300000000</v>
      </c>
      <c r="I68" s="1229">
        <v>538500000000</v>
      </c>
      <c r="J68" s="1229">
        <v>617700000000</v>
      </c>
      <c r="K68" s="1229">
        <v>744800000000</v>
      </c>
      <c r="L68" s="1229">
        <v>895500000000</v>
      </c>
      <c r="M68" s="1126">
        <v>1042200000000</v>
      </c>
      <c r="N68" s="1126">
        <v>1206600000000</v>
      </c>
      <c r="O68" s="1126">
        <v>1371100000000</v>
      </c>
      <c r="P68" s="1126">
        <v>1575500000000</v>
      </c>
      <c r="Q68" s="1126">
        <v>1753300000000</v>
      </c>
      <c r="R68" s="1127">
        <v>1986623000000</v>
      </c>
      <c r="S68" s="1244">
        <v>2444000000000</v>
      </c>
      <c r="T68" s="1244">
        <v>2708000000000</v>
      </c>
      <c r="U68" s="1244">
        <v>3478000000000</v>
      </c>
      <c r="V68" s="1244">
        <v>4418000000000</v>
      </c>
      <c r="W68" s="1245">
        <v>5292000000000</v>
      </c>
      <c r="X68" s="956">
        <v>6149000000000</v>
      </c>
      <c r="Y68" s="945">
        <v>6975000000000</v>
      </c>
      <c r="Z68" s="945">
        <v>7891000000000</v>
      </c>
      <c r="AA68" s="1246"/>
      <c r="AB68" s="1246"/>
      <c r="AC68" s="1246"/>
      <c r="AD68" s="1246"/>
      <c r="AE68" s="1246"/>
      <c r="AF68" s="365"/>
      <c r="AG68" s="365"/>
      <c r="AH68" s="365"/>
      <c r="AI68" s="365"/>
      <c r="AJ68" s="365"/>
      <c r="AK68" s="365"/>
      <c r="AL68" s="365"/>
      <c r="AM68" s="365"/>
      <c r="AN68" s="365"/>
      <c r="AO68" s="365"/>
      <c r="AP68" s="365"/>
      <c r="AQ68" s="365"/>
      <c r="AR68" s="365"/>
      <c r="AS68" s="365"/>
      <c r="AT68" s="365"/>
      <c r="AU68" s="365"/>
      <c r="AV68" s="365"/>
      <c r="AW68" s="365"/>
      <c r="AX68" s="365"/>
      <c r="AY68" s="365"/>
    </row>
    <row r="69" spans="2:51">
      <c r="B69" s="930" t="s">
        <v>2386</v>
      </c>
      <c r="H69" s="930">
        <f t="shared" ref="H69:W69" si="36">(H6/H68)*100</f>
        <v>25.592417061611371</v>
      </c>
      <c r="I69" s="930">
        <f t="shared" si="36"/>
        <v>24.809656453110492</v>
      </c>
      <c r="J69" s="930">
        <f t="shared" si="36"/>
        <v>28.573741298364901</v>
      </c>
      <c r="K69" s="930">
        <f t="shared" si="36"/>
        <v>27.700000000000003</v>
      </c>
      <c r="L69" s="930">
        <f t="shared" si="36"/>
        <v>27.900000000000002</v>
      </c>
      <c r="M69" s="930">
        <f t="shared" si="36"/>
        <v>27.703972366148534</v>
      </c>
      <c r="N69" s="930">
        <f t="shared" si="36"/>
        <v>24.019492789656884</v>
      </c>
      <c r="O69" s="930">
        <f t="shared" si="36"/>
        <v>24.004587557435634</v>
      </c>
      <c r="P69" s="930">
        <f t="shared" si="36"/>
        <v>22.145350682323073</v>
      </c>
      <c r="Q69" s="930">
        <f t="shared" si="36"/>
        <v>23.019449038955113</v>
      </c>
      <c r="R69" s="930">
        <f t="shared" si="36"/>
        <v>25.112968087050234</v>
      </c>
      <c r="S69" s="930">
        <f t="shared" si="36"/>
        <v>22.029459901800326</v>
      </c>
      <c r="T69" s="930">
        <f t="shared" si="36"/>
        <v>20.273264401772526</v>
      </c>
      <c r="U69" s="930">
        <f t="shared" si="36"/>
        <v>18.956296722254169</v>
      </c>
      <c r="V69" s="930">
        <f t="shared" si="36"/>
        <v>18.302399275690355</v>
      </c>
      <c r="W69" s="930">
        <f t="shared" si="36"/>
        <v>18.888888888888889</v>
      </c>
      <c r="Y69" s="1246"/>
      <c r="Z69" s="1246"/>
      <c r="AA69" s="1246"/>
      <c r="AB69" s="1246"/>
      <c r="AC69" s="1246"/>
      <c r="AD69" s="1246"/>
      <c r="AE69" s="1246"/>
      <c r="AF69" s="365"/>
      <c r="AG69" s="365"/>
      <c r="AH69" s="365"/>
      <c r="AI69" s="365"/>
      <c r="AJ69" s="365"/>
      <c r="AK69" s="365"/>
      <c r="AL69" s="365"/>
      <c r="AM69" s="365"/>
      <c r="AN69" s="365"/>
      <c r="AO69" s="365"/>
      <c r="AP69" s="365"/>
      <c r="AQ69" s="365"/>
      <c r="AR69" s="365"/>
      <c r="AS69" s="365"/>
      <c r="AT69" s="365"/>
      <c r="AU69" s="365"/>
      <c r="AV69" s="365"/>
      <c r="AW69" s="365"/>
      <c r="AX69" s="365"/>
      <c r="AY69" s="365"/>
    </row>
    <row r="70" spans="2:51">
      <c r="B70" s="930" t="s">
        <v>2387</v>
      </c>
      <c r="H70" s="930">
        <f t="shared" ref="H70:W70" si="37">(H26/H68)*100</f>
        <v>31.650525448176385</v>
      </c>
      <c r="I70" s="930">
        <f t="shared" si="37"/>
        <v>31.829155060352832</v>
      </c>
      <c r="J70" s="930">
        <f t="shared" si="37"/>
        <v>36.295936538772864</v>
      </c>
      <c r="K70" s="930">
        <f t="shared" si="37"/>
        <v>32.9</v>
      </c>
      <c r="L70" s="930">
        <f t="shared" si="37"/>
        <v>34.1</v>
      </c>
      <c r="M70" s="930">
        <f t="shared" si="37"/>
        <v>34.281174438687387</v>
      </c>
      <c r="N70" s="930">
        <f t="shared" si="37"/>
        <v>31.662058677274985</v>
      </c>
      <c r="O70" s="930">
        <f t="shared" si="37"/>
        <v>31.738283130333311</v>
      </c>
      <c r="P70" s="930">
        <f t="shared" si="37"/>
        <v>32.77689622342114</v>
      </c>
      <c r="Q70" s="930">
        <f t="shared" si="37"/>
        <v>36.736439856271033</v>
      </c>
      <c r="R70" s="930">
        <f t="shared" si="37"/>
        <v>38.245807080658992</v>
      </c>
      <c r="S70" s="930">
        <f t="shared" si="37"/>
        <v>33.42471358428805</v>
      </c>
      <c r="T70" s="930">
        <f t="shared" si="37"/>
        <v>32.721565731166912</v>
      </c>
      <c r="U70" s="930">
        <f t="shared" si="37"/>
        <v>32.995974698102359</v>
      </c>
      <c r="V70" s="930">
        <f t="shared" si="37"/>
        <v>28.048890900860119</v>
      </c>
      <c r="W70" s="930">
        <f t="shared" si="37"/>
        <v>24.89040060468632</v>
      </c>
      <c r="Y70" s="1246"/>
      <c r="Z70" s="1246"/>
      <c r="AA70" s="1246"/>
      <c r="AB70" s="1246"/>
      <c r="AC70" s="1246"/>
      <c r="AD70" s="1246"/>
      <c r="AE70" s="1246"/>
      <c r="AF70" s="365"/>
      <c r="AG70" s="365"/>
      <c r="AH70" s="365"/>
      <c r="AI70" s="365"/>
      <c r="AJ70" s="365"/>
      <c r="AK70" s="365"/>
      <c r="AL70" s="365"/>
      <c r="AM70" s="365"/>
      <c r="AN70" s="365"/>
      <c r="AO70" s="365"/>
      <c r="AP70" s="365"/>
      <c r="AQ70" s="365"/>
      <c r="AR70" s="365"/>
      <c r="AS70" s="365"/>
      <c r="AT70" s="365"/>
      <c r="AU70" s="365"/>
      <c r="AV70" s="365"/>
      <c r="AW70" s="365"/>
      <c r="AX70" s="365"/>
      <c r="AY70" s="365"/>
    </row>
    <row r="71" spans="2:51">
      <c r="F71" s="961"/>
      <c r="G71" s="961"/>
    </row>
    <row r="72" spans="2:51" ht="13.5" customHeight="1">
      <c r="B72" s="930" t="s">
        <v>153</v>
      </c>
      <c r="D72" s="930" t="b">
        <f>IF(D15&lt;0, (D15/#REF!)*100)</f>
        <v>0</v>
      </c>
      <c r="E72" s="930" t="b">
        <f>IF(E15&lt;0, (E15/#REF!)*100)</f>
        <v>0</v>
      </c>
      <c r="F72" s="930" t="b">
        <f>IF(F15&lt;0, (F15/#REF!)*100)</f>
        <v>0</v>
      </c>
      <c r="G72" s="930" t="b">
        <f>IF(G15&lt;0, (G15/#REF!)*100)</f>
        <v>0</v>
      </c>
      <c r="H72" s="930" t="b">
        <f>IF(H6&lt;0, (H6/#REF!)*100)</f>
        <v>0</v>
      </c>
      <c r="I72" s="930" t="b">
        <f>IF(I6&lt;0, (I6/#REF!)*100)</f>
        <v>0</v>
      </c>
      <c r="J72" s="930" t="b">
        <f>IF(J6&lt;0, (J6/#REF!)*100)</f>
        <v>0</v>
      </c>
      <c r="K72" s="930" t="b">
        <f>IF(K6&lt;0, (K6/#REF!)*100)</f>
        <v>0</v>
      </c>
      <c r="L72" s="930" t="b">
        <f>IF(L6&lt;0, (L6/#REF!)*100)</f>
        <v>0</v>
      </c>
      <c r="M72" s="930" t="b">
        <f>IF(M6&lt;0, (M6/#REF!)*100)</f>
        <v>0</v>
      </c>
      <c r="N72" s="930" t="b">
        <f>IF(N6&lt;0, (N6/#REF!)*100)</f>
        <v>0</v>
      </c>
      <c r="O72" s="930" t="b">
        <f>IF(O6&lt;0, (O6/#REF!)*100)</f>
        <v>0</v>
      </c>
      <c r="P72" s="930" t="b">
        <f>IF(P6&lt;0, (P6/#REF!)*100)</f>
        <v>0</v>
      </c>
      <c r="Q72" s="930" t="b">
        <f>IF(Q6&lt;0, (Q6/#REF!)*100)</f>
        <v>0</v>
      </c>
      <c r="R72" s="930" t="b">
        <f>IF(R6&lt;0, (R6/#REF!)*100)</f>
        <v>0</v>
      </c>
      <c r="S72" s="930" t="b">
        <f>IF(S6&lt;0, (S6/#REF!)*100)</f>
        <v>0</v>
      </c>
      <c r="T72" s="930" t="b">
        <f>IF(T6&lt;0, (T6/#REF!)*100)</f>
        <v>0</v>
      </c>
      <c r="U72" s="930" t="b">
        <f>IF(U6&lt;0, (U6/#REF!)*100)</f>
        <v>0</v>
      </c>
      <c r="V72" s="930" t="b">
        <f>IF(V6&lt;0, (V6/#REF!)*100)</f>
        <v>0</v>
      </c>
      <c r="W72" s="930" t="b">
        <f>IF(W6&lt;0, (W6/#REF!)*100)</f>
        <v>0</v>
      </c>
      <c r="X72" s="930" t="b">
        <f>IF(X16&lt;0, (X16/#REF!)*100)</f>
        <v>0</v>
      </c>
    </row>
    <row r="73" spans="2:51">
      <c r="H73" s="961"/>
    </row>
    <row r="74" spans="2:51">
      <c r="F74" s="961"/>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972" customWidth="1"/>
    <col min="2" max="2" width="52.140625" style="972" bestFit="1" customWidth="1"/>
    <col min="3" max="3" width="26" style="972" bestFit="1" customWidth="1"/>
    <col min="4" max="4" width="9" style="972" bestFit="1" customWidth="1"/>
    <col min="5" max="5" width="18.7109375" style="972" bestFit="1" customWidth="1"/>
    <col min="6" max="9" width="19.140625" style="972" bestFit="1" customWidth="1"/>
    <col min="10" max="10" width="18.7109375" style="972" bestFit="1" customWidth="1"/>
    <col min="11" max="11" width="17.5703125" style="972" bestFit="1" customWidth="1"/>
    <col min="12" max="12" width="18.7109375" style="972" bestFit="1" customWidth="1"/>
    <col min="13" max="13" width="19.140625" style="972" bestFit="1" customWidth="1"/>
    <col min="14" max="14" width="18.7109375" style="972" bestFit="1" customWidth="1"/>
    <col min="15" max="16" width="19.140625" style="972" bestFit="1" customWidth="1"/>
    <col min="17" max="17" width="19.7109375" style="972" bestFit="1" customWidth="1"/>
    <col min="18" max="25" width="18.28515625" style="972" customWidth="1"/>
    <col min="26" max="26" width="19.42578125" style="972" bestFit="1" customWidth="1"/>
    <col min="27" max="27" width="19" style="972" bestFit="1" customWidth="1"/>
    <col min="28" max="32" width="8.85546875" style="972"/>
  </cols>
  <sheetData>
    <row r="1" spans="1:32">
      <c r="A1" s="966" t="s">
        <v>2388</v>
      </c>
      <c r="B1" s="1086" t="s">
        <v>2389</v>
      </c>
      <c r="C1" s="967"/>
      <c r="D1" s="968"/>
      <c r="E1" s="968"/>
      <c r="F1" s="968"/>
      <c r="G1" s="968"/>
      <c r="H1" s="968"/>
      <c r="I1" s="968"/>
      <c r="J1" s="968"/>
      <c r="K1" s="968"/>
      <c r="L1" s="968"/>
      <c r="M1" s="968"/>
      <c r="N1" s="968"/>
      <c r="O1" s="969"/>
      <c r="P1" s="969"/>
      <c r="Q1" s="969"/>
      <c r="R1" s="970"/>
      <c r="S1" s="969"/>
      <c r="T1" s="969"/>
      <c r="U1" s="969"/>
      <c r="V1" s="969"/>
      <c r="W1" s="969"/>
      <c r="X1" s="969"/>
      <c r="Y1" s="969"/>
    </row>
    <row r="2" spans="1:32">
      <c r="B2" s="1087" t="s">
        <v>2306</v>
      </c>
      <c r="C2" s="973"/>
      <c r="D2" s="969"/>
      <c r="E2" s="969"/>
      <c r="F2" s="969"/>
      <c r="G2" s="969"/>
      <c r="H2" s="969"/>
      <c r="I2" s="969"/>
      <c r="J2" s="969"/>
      <c r="K2" s="969"/>
      <c r="L2" s="969"/>
      <c r="M2" s="969"/>
      <c r="N2" s="969"/>
      <c r="O2" s="969"/>
      <c r="P2" s="969"/>
      <c r="Q2" s="969"/>
      <c r="R2" s="974"/>
      <c r="S2" s="1046"/>
      <c r="T2" s="1047"/>
      <c r="U2" s="969"/>
      <c r="V2" s="969"/>
      <c r="W2" s="969"/>
      <c r="X2" s="969"/>
      <c r="Y2" s="969"/>
    </row>
    <row r="3" spans="1:32">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32">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26</v>
      </c>
      <c r="AA4" s="969" t="s">
        <v>27</v>
      </c>
    </row>
    <row r="5" spans="1:32">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30</v>
      </c>
      <c r="V5" s="969" t="s">
        <v>32</v>
      </c>
      <c r="W5" s="969" t="s">
        <v>32</v>
      </c>
      <c r="X5" s="969" t="s">
        <v>32</v>
      </c>
      <c r="Y5" s="969" t="s">
        <v>32</v>
      </c>
      <c r="Z5" s="969" t="s">
        <v>32</v>
      </c>
      <c r="AA5" s="969" t="s">
        <v>32</v>
      </c>
    </row>
    <row r="6" spans="1:32" s="848" customFormat="1">
      <c r="A6" s="1013" t="s">
        <v>33</v>
      </c>
      <c r="B6" s="1012" t="s">
        <v>2390</v>
      </c>
      <c r="C6" s="1012" t="s">
        <v>35</v>
      </c>
      <c r="D6" s="1013"/>
      <c r="E6" s="1055">
        <v>2141015000</v>
      </c>
      <c r="F6" s="1055">
        <f>F7+F15</f>
        <v>2231892000</v>
      </c>
      <c r="G6" s="1055">
        <f>G7+G15</f>
        <v>2467708000</v>
      </c>
      <c r="H6" s="1055">
        <f>H7+H15</f>
        <v>2511882000</v>
      </c>
      <c r="I6" s="1055">
        <f>I7+I15</f>
        <v>2820510000</v>
      </c>
      <c r="J6" s="1055">
        <f>J7+J15</f>
        <v>3172220999.9999995</v>
      </c>
      <c r="K6" s="1055">
        <v>3484000000</v>
      </c>
      <c r="L6" s="1054">
        <v>3732000000</v>
      </c>
      <c r="M6" s="1054">
        <v>3399000000</v>
      </c>
      <c r="N6" s="1054">
        <v>3804000000</v>
      </c>
      <c r="O6" s="1054">
        <v>4219000000</v>
      </c>
      <c r="P6" s="1054">
        <v>4507000000</v>
      </c>
      <c r="Q6" s="1054">
        <v>4678000000</v>
      </c>
      <c r="R6" s="1054">
        <v>4739000000</v>
      </c>
      <c r="S6" s="1054">
        <v>4923000000</v>
      </c>
      <c r="T6" s="1054">
        <f>T7+T15</f>
        <v>5272000000</v>
      </c>
      <c r="U6" s="1054">
        <f t="shared" ref="U6:Z6" si="0">U7+U15</f>
        <v>5614000000</v>
      </c>
      <c r="V6" s="1054">
        <f t="shared" si="0"/>
        <v>5952000000</v>
      </c>
      <c r="W6" s="1054">
        <f t="shared" si="0"/>
        <v>6167000000</v>
      </c>
      <c r="X6" s="1054">
        <f t="shared" si="0"/>
        <v>6352000000</v>
      </c>
      <c r="Y6" s="1054">
        <f t="shared" si="0"/>
        <v>6595000000</v>
      </c>
      <c r="Z6" s="1054">
        <f t="shared" si="0"/>
        <v>6868000000</v>
      </c>
      <c r="AA6" s="1054">
        <f>AA7+AA15</f>
        <v>7129000000</v>
      </c>
      <c r="AB6" s="1013"/>
      <c r="AC6" s="1013"/>
      <c r="AD6" s="1013"/>
      <c r="AE6" s="1013"/>
      <c r="AF6" s="1013"/>
    </row>
    <row r="7" spans="1:32">
      <c r="A7" s="1235" t="s">
        <v>2391</v>
      </c>
      <c r="B7" s="1235" t="s">
        <v>1500</v>
      </c>
      <c r="C7" s="1236" t="s">
        <v>38</v>
      </c>
      <c r="E7" s="1050">
        <f>E8+E14</f>
        <v>2085763000</v>
      </c>
      <c r="F7" s="1050">
        <f t="shared" ref="F7:S7" si="1">F8+F14</f>
        <v>2188971000</v>
      </c>
      <c r="G7" s="1050">
        <f t="shared" si="1"/>
        <v>2392473000</v>
      </c>
      <c r="H7" s="1050">
        <f t="shared" si="1"/>
        <v>2464488000</v>
      </c>
      <c r="I7" s="1050">
        <f>I8+I14</f>
        <v>2769228000</v>
      </c>
      <c r="J7" s="1050">
        <f>J8+J14</f>
        <v>3135118999.9999995</v>
      </c>
      <c r="K7" s="1050">
        <v>3422000000</v>
      </c>
      <c r="L7" s="1050">
        <f t="shared" si="1"/>
        <v>3679000000</v>
      </c>
      <c r="M7" s="1050">
        <f t="shared" si="1"/>
        <v>3290000000</v>
      </c>
      <c r="N7" s="1050">
        <f t="shared" si="1"/>
        <v>3639000000</v>
      </c>
      <c r="O7" s="1050">
        <f t="shared" si="1"/>
        <v>4005000000</v>
      </c>
      <c r="P7" s="1050">
        <f t="shared" si="1"/>
        <v>4329000000</v>
      </c>
      <c r="Q7" s="1050">
        <f t="shared" si="1"/>
        <v>4607000000</v>
      </c>
      <c r="R7" s="1050">
        <f t="shared" si="1"/>
        <v>4692000000</v>
      </c>
      <c r="S7" s="1050">
        <f t="shared" si="1"/>
        <v>4870000000</v>
      </c>
      <c r="T7" s="1050">
        <f>T8+T14</f>
        <v>5226000000</v>
      </c>
      <c r="U7" s="1050">
        <f t="shared" ref="U7:AA7" si="2">U8+U14</f>
        <v>5570000000</v>
      </c>
      <c r="V7" s="1050">
        <f t="shared" si="2"/>
        <v>5822000000</v>
      </c>
      <c r="W7" s="1050">
        <f t="shared" si="2"/>
        <v>6022000000</v>
      </c>
      <c r="X7" s="1050">
        <f t="shared" si="2"/>
        <v>6292000000</v>
      </c>
      <c r="Y7" s="1050">
        <f t="shared" si="2"/>
        <v>6571000000</v>
      </c>
      <c r="Z7" s="1050">
        <f t="shared" si="2"/>
        <v>6844000000</v>
      </c>
      <c r="AA7" s="1050">
        <f t="shared" si="2"/>
        <v>7105000000</v>
      </c>
    </row>
    <row r="8" spans="1:32">
      <c r="A8" s="981" t="s">
        <v>833</v>
      </c>
      <c r="B8" s="981" t="s">
        <v>2392</v>
      </c>
      <c r="C8" s="981"/>
      <c r="D8" s="969"/>
      <c r="E8" s="1050">
        <v>2085763000</v>
      </c>
      <c r="F8" s="1061">
        <f>F9+F10+F12+F13</f>
        <v>2188971000</v>
      </c>
      <c r="G8" s="1061">
        <f>G9+G10+G12+G13</f>
        <v>2392473000</v>
      </c>
      <c r="H8" s="1061">
        <f>H9+H10+H12+H13</f>
        <v>2464488000</v>
      </c>
      <c r="I8" s="1061">
        <f>I9+I10+I12+I13</f>
        <v>2769228000</v>
      </c>
      <c r="J8" s="1061">
        <f>J9+J10+J12+J13</f>
        <v>3135118999.9999995</v>
      </c>
      <c r="K8" s="1050">
        <v>3422000000</v>
      </c>
      <c r="L8" s="1048">
        <v>3679000000</v>
      </c>
      <c r="M8" s="1048">
        <v>3290000000</v>
      </c>
      <c r="N8" s="1048">
        <v>3639000000</v>
      </c>
      <c r="O8" s="1048">
        <v>4005000000</v>
      </c>
      <c r="P8" s="1048">
        <v>4329000000</v>
      </c>
      <c r="Q8" s="1048">
        <v>4607000000</v>
      </c>
      <c r="R8" s="1048">
        <v>4692000000</v>
      </c>
      <c r="S8" s="1048">
        <v>4870000000</v>
      </c>
      <c r="T8" s="1048">
        <f>T9+T10+T12</f>
        <v>5226000000</v>
      </c>
      <c r="U8" s="1048">
        <f t="shared" ref="U8:AA8" si="3">U9+U10+U12</f>
        <v>5570000000</v>
      </c>
      <c r="V8" s="1048">
        <f t="shared" si="3"/>
        <v>5822000000</v>
      </c>
      <c r="W8" s="1048">
        <f t="shared" si="3"/>
        <v>6022000000</v>
      </c>
      <c r="X8" s="1048">
        <f t="shared" si="3"/>
        <v>6292000000</v>
      </c>
      <c r="Y8" s="1048">
        <f t="shared" si="3"/>
        <v>6571000000</v>
      </c>
      <c r="Z8" s="1048">
        <f t="shared" si="3"/>
        <v>6844000000</v>
      </c>
      <c r="AA8" s="1048">
        <f t="shared" si="3"/>
        <v>7105000000</v>
      </c>
    </row>
    <row r="9" spans="1:32">
      <c r="A9" s="988" t="s">
        <v>39</v>
      </c>
      <c r="B9" s="988" t="s">
        <v>2393</v>
      </c>
      <c r="C9" s="981" t="s">
        <v>6661</v>
      </c>
      <c r="D9" s="969"/>
      <c r="E9" s="1050">
        <v>1450365000.0000002</v>
      </c>
      <c r="F9" s="1050">
        <v>1602384000</v>
      </c>
      <c r="G9" s="1050">
        <v>1730405000</v>
      </c>
      <c r="H9" s="1050">
        <v>1816770000</v>
      </c>
      <c r="I9" s="1050">
        <v>2136750000.0000002</v>
      </c>
      <c r="J9" s="1050">
        <v>2467282999.9999995</v>
      </c>
      <c r="K9" s="1050">
        <v>2720000000</v>
      </c>
      <c r="L9" s="1048">
        <v>2886000000</v>
      </c>
      <c r="M9" s="1048">
        <v>2609000000</v>
      </c>
      <c r="N9" s="1048">
        <v>2883000000</v>
      </c>
      <c r="O9" s="1048">
        <v>3192000000</v>
      </c>
      <c r="P9" s="1048">
        <v>3434000000</v>
      </c>
      <c r="Q9" s="1048">
        <v>3745000000</v>
      </c>
      <c r="R9" s="1048">
        <v>3772000000</v>
      </c>
      <c r="S9" s="1048">
        <v>3918000000</v>
      </c>
      <c r="T9" s="125">
        <v>4166000000</v>
      </c>
      <c r="U9" s="125">
        <v>4405000000</v>
      </c>
      <c r="V9" s="125">
        <v>4649000000</v>
      </c>
      <c r="W9" s="125">
        <v>4820000000</v>
      </c>
      <c r="X9" s="125">
        <v>5037000000</v>
      </c>
      <c r="Y9" s="125">
        <v>5264000000</v>
      </c>
      <c r="Z9" s="125">
        <v>5482000000</v>
      </c>
      <c r="AA9" s="125">
        <v>5686000000</v>
      </c>
    </row>
    <row r="10" spans="1:32">
      <c r="A10" s="988" t="s">
        <v>51</v>
      </c>
      <c r="B10" s="988" t="s">
        <v>1378</v>
      </c>
      <c r="C10" s="981" t="s">
        <v>6661</v>
      </c>
      <c r="D10" s="969"/>
      <c r="E10" s="1050">
        <v>566333000</v>
      </c>
      <c r="F10" s="1050">
        <v>572280000</v>
      </c>
      <c r="G10" s="1050">
        <v>571785999.99999988</v>
      </c>
      <c r="H10" s="1050">
        <v>552930000</v>
      </c>
      <c r="I10" s="1050">
        <v>547008000</v>
      </c>
      <c r="J10" s="1050">
        <v>556530000</v>
      </c>
      <c r="K10" s="1050">
        <v>590000000</v>
      </c>
      <c r="L10" s="1048">
        <v>619000000</v>
      </c>
      <c r="M10" s="1048">
        <v>573000000</v>
      </c>
      <c r="N10" s="1048">
        <v>651000000</v>
      </c>
      <c r="O10" s="1048">
        <v>644000000</v>
      </c>
      <c r="P10" s="1048">
        <v>734000000</v>
      </c>
      <c r="Q10" s="1048">
        <v>756000000</v>
      </c>
      <c r="R10" s="1048">
        <v>797000000</v>
      </c>
      <c r="S10" s="1048">
        <v>836000000</v>
      </c>
      <c r="T10" s="125">
        <v>938000000</v>
      </c>
      <c r="U10" s="125">
        <v>1049000000</v>
      </c>
      <c r="V10" s="125">
        <v>1052000000</v>
      </c>
      <c r="W10" s="125">
        <v>1075000000</v>
      </c>
      <c r="X10" s="125">
        <v>1122000000</v>
      </c>
      <c r="Y10" s="125">
        <v>1169000000</v>
      </c>
      <c r="Z10" s="125">
        <v>1218000000</v>
      </c>
      <c r="AA10" s="125">
        <v>1269000000</v>
      </c>
    </row>
    <row r="11" spans="1:32">
      <c r="A11" s="972" t="s">
        <v>76</v>
      </c>
      <c r="B11" s="988" t="s">
        <v>2394</v>
      </c>
      <c r="C11" s="981"/>
      <c r="D11" s="969"/>
      <c r="E11" s="1050">
        <v>69065000</v>
      </c>
      <c r="F11" s="1050">
        <v>100149000</v>
      </c>
      <c r="G11" s="1050">
        <v>45140999.999999993</v>
      </c>
      <c r="H11" s="1050">
        <v>31596000.000000007</v>
      </c>
      <c r="I11" s="1050">
        <v>34188000</v>
      </c>
      <c r="J11" s="1050">
        <v>18550999.999999996</v>
      </c>
      <c r="K11" s="1050"/>
      <c r="L11" s="1048"/>
      <c r="M11" s="1048"/>
      <c r="N11" s="1048"/>
      <c r="O11" s="1048"/>
      <c r="P11" s="1048"/>
      <c r="Q11" s="1048"/>
      <c r="R11" s="1048"/>
      <c r="S11" s="1048"/>
      <c r="T11" s="1048"/>
      <c r="U11" s="1048"/>
      <c r="V11" s="1048"/>
      <c r="W11" s="1048"/>
      <c r="X11" s="1051"/>
      <c r="Y11" s="1051"/>
      <c r="Z11" s="1050"/>
      <c r="AA11" s="1050"/>
    </row>
    <row r="12" spans="1:32">
      <c r="A12" s="988" t="s">
        <v>2395</v>
      </c>
      <c r="B12" s="988" t="s">
        <v>2396</v>
      </c>
      <c r="C12" s="981" t="s">
        <v>6661</v>
      </c>
      <c r="D12" s="969"/>
      <c r="E12" s="1050">
        <v>55252000</v>
      </c>
      <c r="F12" s="1050">
        <v>0</v>
      </c>
      <c r="G12" s="1050">
        <v>90281999.999999985</v>
      </c>
      <c r="H12" s="1050">
        <v>94788000</v>
      </c>
      <c r="I12" s="1050">
        <v>85470000</v>
      </c>
      <c r="J12" s="1050">
        <v>111305999.99999999</v>
      </c>
      <c r="K12" s="1050">
        <v>111000000</v>
      </c>
      <c r="L12" s="1048">
        <v>174000000</v>
      </c>
      <c r="M12" s="1048">
        <v>108000000</v>
      </c>
      <c r="N12" s="1048">
        <v>105000000</v>
      </c>
      <c r="O12" s="1048">
        <v>169000000</v>
      </c>
      <c r="P12" s="1048">
        <v>162000000</v>
      </c>
      <c r="Q12" s="1048">
        <v>106000000</v>
      </c>
      <c r="R12" s="1048">
        <v>124000000</v>
      </c>
      <c r="S12" s="1048">
        <v>115000000</v>
      </c>
      <c r="T12" s="125">
        <v>122000000</v>
      </c>
      <c r="U12" s="125">
        <v>116000000</v>
      </c>
      <c r="V12" s="1048">
        <v>121000000</v>
      </c>
      <c r="W12" s="1048">
        <v>127000000</v>
      </c>
      <c r="X12" s="1051">
        <v>133000000</v>
      </c>
      <c r="Y12" s="1051">
        <v>138000000</v>
      </c>
      <c r="Z12" s="1050">
        <v>144000000</v>
      </c>
      <c r="AA12" s="1050">
        <v>150000000</v>
      </c>
    </row>
    <row r="13" spans="1:32">
      <c r="A13" s="988" t="s">
        <v>2397</v>
      </c>
      <c r="B13" s="988" t="s">
        <v>2398</v>
      </c>
      <c r="C13" s="981" t="s">
        <v>6661</v>
      </c>
      <c r="D13" s="969"/>
      <c r="E13" s="1050">
        <v>13813000</v>
      </c>
      <c r="F13" s="1050">
        <v>14307000</v>
      </c>
      <c r="G13" s="1050">
        <v>0</v>
      </c>
      <c r="H13" s="1050">
        <v>0</v>
      </c>
      <c r="I13" s="1050">
        <v>0</v>
      </c>
      <c r="J13" s="1050">
        <v>0</v>
      </c>
      <c r="K13" s="1050"/>
      <c r="L13" s="1048"/>
      <c r="M13" s="1048"/>
      <c r="N13" s="1048"/>
      <c r="O13" s="1048"/>
      <c r="P13" s="1048"/>
      <c r="Q13" s="1048"/>
      <c r="R13" s="1048"/>
      <c r="S13" s="1048"/>
      <c r="T13" s="1048"/>
      <c r="U13" s="1048"/>
      <c r="V13" s="1048"/>
      <c r="W13" s="1048"/>
      <c r="X13" s="1051"/>
      <c r="Y13" s="1051"/>
      <c r="Z13" s="1050"/>
      <c r="AA13" s="1050"/>
    </row>
    <row r="14" spans="1:32">
      <c r="A14" s="981"/>
      <c r="B14" s="981" t="s">
        <v>2399</v>
      </c>
      <c r="C14" s="981"/>
      <c r="D14" s="969"/>
      <c r="E14" s="1050">
        <v>0</v>
      </c>
      <c r="F14" s="1050">
        <v>0</v>
      </c>
      <c r="G14" s="1050">
        <v>0</v>
      </c>
      <c r="H14" s="1050">
        <v>0</v>
      </c>
      <c r="I14" s="1050">
        <v>0</v>
      </c>
      <c r="J14" s="1050">
        <v>0</v>
      </c>
      <c r="K14" s="1050"/>
      <c r="L14" s="1048">
        <v>0</v>
      </c>
      <c r="M14" s="1048">
        <v>0</v>
      </c>
      <c r="N14" s="1048">
        <v>0</v>
      </c>
      <c r="O14" s="1048">
        <v>0</v>
      </c>
      <c r="P14" s="1048">
        <v>0</v>
      </c>
      <c r="Q14" s="1048">
        <v>0</v>
      </c>
      <c r="R14" s="1048">
        <v>0</v>
      </c>
      <c r="S14" s="1048">
        <v>0</v>
      </c>
      <c r="T14" s="1048">
        <v>0</v>
      </c>
      <c r="U14" s="1048">
        <v>0</v>
      </c>
      <c r="V14" s="1048">
        <v>0</v>
      </c>
      <c r="W14" s="1048">
        <v>0</v>
      </c>
      <c r="X14" s="1048">
        <v>0</v>
      </c>
      <c r="Y14" s="1048">
        <v>0</v>
      </c>
      <c r="Z14" s="1048">
        <v>0</v>
      </c>
      <c r="AA14" s="1048">
        <v>0</v>
      </c>
    </row>
    <row r="15" spans="1:32" s="848" customFormat="1">
      <c r="A15" s="1012" t="s">
        <v>2400</v>
      </c>
      <c r="B15" s="1012" t="s">
        <v>2401</v>
      </c>
      <c r="C15" s="1058" t="s">
        <v>38</v>
      </c>
      <c r="D15" s="1013"/>
      <c r="E15" s="1055">
        <v>55252000</v>
      </c>
      <c r="F15" s="1055">
        <v>42921000</v>
      </c>
      <c r="G15" s="1055">
        <v>75235000</v>
      </c>
      <c r="H15" s="1055">
        <v>47394000</v>
      </c>
      <c r="I15" s="1055">
        <v>51282000</v>
      </c>
      <c r="J15" s="1055">
        <v>37101999.999999993</v>
      </c>
      <c r="K15" s="1055">
        <v>62000000</v>
      </c>
      <c r="L15" s="1054">
        <v>53000000</v>
      </c>
      <c r="M15" s="1054">
        <v>109000000</v>
      </c>
      <c r="N15" s="1054">
        <v>164000000</v>
      </c>
      <c r="O15" s="1054">
        <v>214000000</v>
      </c>
      <c r="P15" s="1054">
        <v>178000000</v>
      </c>
      <c r="Q15" s="1054">
        <v>71000000</v>
      </c>
      <c r="R15" s="1054">
        <v>46000000</v>
      </c>
      <c r="S15" s="1054">
        <v>53000000</v>
      </c>
      <c r="T15" s="1054">
        <v>46000000</v>
      </c>
      <c r="U15" s="1054">
        <v>44000000</v>
      </c>
      <c r="V15" s="1054">
        <v>130000000</v>
      </c>
      <c r="W15" s="1054">
        <v>145000000</v>
      </c>
      <c r="X15" s="1055">
        <v>60000000</v>
      </c>
      <c r="Y15" s="1055">
        <v>24000000</v>
      </c>
      <c r="Z15" s="1055">
        <v>24000000</v>
      </c>
      <c r="AA15" s="1055">
        <v>24000000</v>
      </c>
      <c r="AB15" s="1013"/>
      <c r="AC15" s="1013"/>
      <c r="AD15" s="1013"/>
      <c r="AE15" s="1013"/>
      <c r="AF15" s="1013"/>
    </row>
    <row r="16" spans="1:32" s="848" customFormat="1">
      <c r="A16" s="1065" t="s">
        <v>198</v>
      </c>
      <c r="B16" s="1065" t="s">
        <v>535</v>
      </c>
      <c r="C16" s="1012" t="s">
        <v>35</v>
      </c>
      <c r="D16" s="1013"/>
      <c r="E16" s="1084">
        <f t="shared" ref="E16:J16" si="4">E17+E25</f>
        <v>2541592000</v>
      </c>
      <c r="F16" s="1084">
        <f t="shared" si="4"/>
        <v>2560953000</v>
      </c>
      <c r="G16" s="1084">
        <f t="shared" si="4"/>
        <v>2813789000</v>
      </c>
      <c r="H16" s="1084">
        <f t="shared" si="4"/>
        <v>2985822000</v>
      </c>
      <c r="I16" s="1084">
        <f t="shared" si="4"/>
        <v>3333330000</v>
      </c>
      <c r="J16" s="1084">
        <f t="shared" si="4"/>
        <v>3747301999.9999995</v>
      </c>
      <c r="K16" s="1055">
        <v>3879000000</v>
      </c>
      <c r="L16" s="1054">
        <v>4415000000</v>
      </c>
      <c r="M16" s="1054">
        <v>4569000000</v>
      </c>
      <c r="N16" s="1054">
        <v>4721000000</v>
      </c>
      <c r="O16" s="1054">
        <v>5125000000</v>
      </c>
      <c r="P16" s="1054">
        <v>5427000000</v>
      </c>
      <c r="Q16" s="1054">
        <v>5665000000</v>
      </c>
      <c r="R16" s="1054">
        <v>5626000000</v>
      </c>
      <c r="S16" s="1054">
        <v>5799000000</v>
      </c>
      <c r="T16" s="1054">
        <f>T17+T25</f>
        <v>6079000000</v>
      </c>
      <c r="U16" s="1054">
        <f t="shared" ref="U16:AA16" si="5">U17+U25</f>
        <v>6225000000</v>
      </c>
      <c r="V16" s="1054">
        <f t="shared" si="5"/>
        <v>6536000000</v>
      </c>
      <c r="W16" s="1054">
        <f t="shared" si="5"/>
        <v>6907000000</v>
      </c>
      <c r="X16" s="1054">
        <f t="shared" si="5"/>
        <v>7146000000</v>
      </c>
      <c r="Y16" s="1054">
        <f t="shared" si="5"/>
        <v>7440000000</v>
      </c>
      <c r="Z16" s="1054">
        <f t="shared" si="5"/>
        <v>7801000000</v>
      </c>
      <c r="AA16" s="1054">
        <f t="shared" si="5"/>
        <v>8176000000</v>
      </c>
      <c r="AB16" s="1013"/>
      <c r="AC16" s="1013"/>
      <c r="AD16" s="1013"/>
      <c r="AE16" s="1013"/>
      <c r="AF16" s="1013"/>
    </row>
    <row r="17" spans="1:27">
      <c r="A17" s="981" t="s">
        <v>73</v>
      </c>
      <c r="B17" s="981" t="s">
        <v>1431</v>
      </c>
      <c r="C17" s="981" t="s">
        <v>201</v>
      </c>
      <c r="D17" s="969"/>
      <c r="E17" s="1237">
        <f t="shared" ref="E17:J17" si="6">E18+E19+E20+E21</f>
        <v>2113389000.0000002</v>
      </c>
      <c r="F17" s="1237">
        <f t="shared" si="6"/>
        <v>2231892000</v>
      </c>
      <c r="G17" s="1237">
        <f t="shared" si="6"/>
        <v>2467708000</v>
      </c>
      <c r="H17" s="1237">
        <f t="shared" si="6"/>
        <v>2638266000</v>
      </c>
      <c r="I17" s="1237">
        <f t="shared" si="6"/>
        <v>2871792000</v>
      </c>
      <c r="J17" s="1237">
        <f t="shared" si="6"/>
        <v>3172220999.9999995</v>
      </c>
      <c r="K17" s="1050">
        <v>3312000000</v>
      </c>
      <c r="L17" s="1048">
        <v>3754000000</v>
      </c>
      <c r="M17" s="1048">
        <v>3927000000</v>
      </c>
      <c r="N17" s="1048">
        <v>4044000000</v>
      </c>
      <c r="O17" s="1048">
        <v>4457000000</v>
      </c>
      <c r="P17" s="1048">
        <v>4609000000</v>
      </c>
      <c r="Q17" s="1048">
        <v>4889000000</v>
      </c>
      <c r="R17" s="1048">
        <v>4926000000</v>
      </c>
      <c r="S17" s="1048">
        <v>5098000000</v>
      </c>
      <c r="T17" s="1048">
        <f>T18+T19+T20+T21</f>
        <v>5264000000</v>
      </c>
      <c r="U17" s="1048">
        <f t="shared" ref="U17:AA17" si="7">U18+U19+U20+U21</f>
        <v>5478000000</v>
      </c>
      <c r="V17" s="1048">
        <f t="shared" si="7"/>
        <v>5642000000</v>
      </c>
      <c r="W17" s="1048">
        <f t="shared" si="7"/>
        <v>5957000000</v>
      </c>
      <c r="X17" s="1048">
        <f t="shared" si="7"/>
        <v>6239000000</v>
      </c>
      <c r="Y17" s="1048">
        <f t="shared" si="7"/>
        <v>6531000000</v>
      </c>
      <c r="Z17" s="1048">
        <f t="shared" si="7"/>
        <v>6854000000</v>
      </c>
      <c r="AA17" s="1048">
        <f t="shared" si="7"/>
        <v>7190000000</v>
      </c>
    </row>
    <row r="18" spans="1:27">
      <c r="A18" s="988" t="s">
        <v>2402</v>
      </c>
      <c r="B18" s="988" t="s">
        <v>2403</v>
      </c>
      <c r="C18" s="981" t="s">
        <v>204</v>
      </c>
      <c r="D18" s="969"/>
      <c r="E18" s="1077">
        <v>1091227000.0000002</v>
      </c>
      <c r="F18" s="1077">
        <v>1058718000</v>
      </c>
      <c r="G18" s="1077">
        <v>1098431000</v>
      </c>
      <c r="H18" s="1050">
        <v>1153254000</v>
      </c>
      <c r="I18" s="1050">
        <v>1213674000</v>
      </c>
      <c r="J18" s="1050">
        <v>1317120999.9999998</v>
      </c>
      <c r="K18" s="1050">
        <v>1409000000</v>
      </c>
      <c r="L18" s="1048">
        <v>1528000000</v>
      </c>
      <c r="M18" s="1048">
        <v>1659000000</v>
      </c>
      <c r="N18" s="1048">
        <v>1710000000</v>
      </c>
      <c r="O18" s="1048">
        <v>1928000000</v>
      </c>
      <c r="P18" s="1048">
        <v>2005000000</v>
      </c>
      <c r="Q18" s="1048">
        <v>2115000000</v>
      </c>
      <c r="R18" s="1048">
        <v>2228000000</v>
      </c>
      <c r="S18" s="1048">
        <v>2326000000</v>
      </c>
      <c r="T18" s="125">
        <v>2442000000</v>
      </c>
      <c r="U18" s="125">
        <v>2524000000</v>
      </c>
      <c r="V18" s="125">
        <v>2650000000</v>
      </c>
      <c r="W18" s="125">
        <v>2783000000</v>
      </c>
      <c r="X18" s="125">
        <v>2905000000</v>
      </c>
      <c r="Y18" s="125">
        <v>3026000000</v>
      </c>
      <c r="Z18" s="125">
        <v>3153000000</v>
      </c>
      <c r="AA18" s="125">
        <v>3285000000</v>
      </c>
    </row>
    <row r="19" spans="1:27">
      <c r="A19" s="988" t="s">
        <v>83</v>
      </c>
      <c r="B19" s="988" t="s">
        <v>2404</v>
      </c>
      <c r="C19" s="981" t="s">
        <v>204</v>
      </c>
      <c r="D19" s="969"/>
      <c r="E19" s="1077">
        <v>414390000.00000006</v>
      </c>
      <c r="F19" s="1077">
        <v>457824000</v>
      </c>
      <c r="G19" s="1077">
        <v>541692000</v>
      </c>
      <c r="H19" s="1050">
        <v>584526000.00000012</v>
      </c>
      <c r="I19" s="1050">
        <v>683760000</v>
      </c>
      <c r="J19" s="1050">
        <v>723488999.99999988</v>
      </c>
      <c r="K19" s="1050">
        <v>728000000</v>
      </c>
      <c r="L19" s="1048">
        <v>823000000</v>
      </c>
      <c r="M19" s="1048">
        <v>874000000</v>
      </c>
      <c r="N19" s="1048">
        <v>944000000</v>
      </c>
      <c r="O19" s="1048">
        <v>932000000</v>
      </c>
      <c r="P19" s="1048">
        <v>935000000</v>
      </c>
      <c r="Q19" s="1048">
        <v>1075000000</v>
      </c>
      <c r="R19" s="1048">
        <v>1049000000</v>
      </c>
      <c r="S19" s="1048">
        <v>1083000000</v>
      </c>
      <c r="T19" s="125">
        <v>1046000000</v>
      </c>
      <c r="U19" s="125">
        <v>1032000000</v>
      </c>
      <c r="V19" s="125">
        <v>1080000000</v>
      </c>
      <c r="W19" s="125">
        <v>1129000000</v>
      </c>
      <c r="X19" s="125">
        <v>1179000000</v>
      </c>
      <c r="Y19" s="125">
        <v>1228000000</v>
      </c>
      <c r="Z19" s="125">
        <v>1280000000</v>
      </c>
      <c r="AA19" s="125">
        <v>1333000000</v>
      </c>
    </row>
    <row r="20" spans="1:27">
      <c r="A20" s="988" t="s">
        <v>91</v>
      </c>
      <c r="B20" s="988" t="s">
        <v>91</v>
      </c>
      <c r="C20" s="981" t="s">
        <v>204</v>
      </c>
      <c r="D20" s="969"/>
      <c r="E20" s="1077">
        <v>193382000</v>
      </c>
      <c r="F20" s="1077">
        <v>243219000</v>
      </c>
      <c r="G20" s="1077">
        <v>300940000</v>
      </c>
      <c r="H20" s="1050">
        <v>331758000.00000006</v>
      </c>
      <c r="I20" s="1050">
        <v>376068000.00000006</v>
      </c>
      <c r="J20" s="1050">
        <v>445223999.99999994</v>
      </c>
      <c r="K20" s="1050">
        <v>507000000</v>
      </c>
      <c r="L20" s="1048">
        <v>520000000</v>
      </c>
      <c r="M20" s="1048">
        <v>531000000</v>
      </c>
      <c r="N20" s="1048">
        <v>508000000</v>
      </c>
      <c r="O20" s="1048">
        <v>518000000</v>
      </c>
      <c r="P20" s="1048">
        <v>540000000</v>
      </c>
      <c r="Q20" s="1048">
        <v>594000000</v>
      </c>
      <c r="R20" s="1048">
        <v>609000000</v>
      </c>
      <c r="S20" s="1048">
        <v>644000000</v>
      </c>
      <c r="T20" s="125">
        <v>737000000</v>
      </c>
      <c r="U20" s="125">
        <v>841000000</v>
      </c>
      <c r="V20" s="125">
        <v>952000000</v>
      </c>
      <c r="W20" s="125">
        <v>1064000000</v>
      </c>
      <c r="X20" s="125">
        <v>1154000000</v>
      </c>
      <c r="Y20" s="125">
        <v>1258000000</v>
      </c>
      <c r="Z20" s="125">
        <v>1378000000</v>
      </c>
      <c r="AA20" s="125">
        <v>1492000000</v>
      </c>
    </row>
    <row r="21" spans="1:27">
      <c r="A21" s="988" t="s">
        <v>339</v>
      </c>
      <c r="B21" s="988" t="s">
        <v>2405</v>
      </c>
      <c r="C21" s="981" t="s">
        <v>204</v>
      </c>
      <c r="D21" s="969"/>
      <c r="E21" s="1077">
        <f>E22+E24</f>
        <v>414390000</v>
      </c>
      <c r="F21" s="1077">
        <v>472130999.99999994</v>
      </c>
      <c r="G21" s="1077">
        <v>526645000</v>
      </c>
      <c r="H21" s="1061">
        <f>H22+H24</f>
        <v>568728000</v>
      </c>
      <c r="I21" s="1061">
        <f>I22+I24</f>
        <v>598290000.00000012</v>
      </c>
      <c r="J21" s="1061">
        <f>J22+J24</f>
        <v>686387000</v>
      </c>
      <c r="K21" s="1050">
        <v>667000000</v>
      </c>
      <c r="L21" s="1048">
        <v>884000000</v>
      </c>
      <c r="M21" s="1048">
        <v>863000000</v>
      </c>
      <c r="N21" s="1048">
        <v>882000000</v>
      </c>
      <c r="O21" s="1048">
        <v>1079000000</v>
      </c>
      <c r="P21" s="1048">
        <v>1128000000</v>
      </c>
      <c r="Q21" s="1048">
        <v>1105000000</v>
      </c>
      <c r="R21" s="1048">
        <v>1040000000</v>
      </c>
      <c r="S21" s="1048">
        <v>1045000000</v>
      </c>
      <c r="T21" s="1048">
        <f>T22+T24</f>
        <v>1039000000</v>
      </c>
      <c r="U21" s="1048">
        <f t="shared" ref="U21:AA21" si="8">U22+U24</f>
        <v>1081000000</v>
      </c>
      <c r="V21" s="1048">
        <f t="shared" si="8"/>
        <v>960000000</v>
      </c>
      <c r="W21" s="1048">
        <f t="shared" si="8"/>
        <v>981000000</v>
      </c>
      <c r="X21" s="1048">
        <f t="shared" si="8"/>
        <v>1001000000</v>
      </c>
      <c r="Y21" s="1048">
        <f t="shared" si="8"/>
        <v>1019000000</v>
      </c>
      <c r="Z21" s="1048">
        <f t="shared" si="8"/>
        <v>1043000000</v>
      </c>
      <c r="AA21" s="1048">
        <f t="shared" si="8"/>
        <v>1080000000</v>
      </c>
    </row>
    <row r="22" spans="1:27">
      <c r="A22" s="997" t="s">
        <v>2406</v>
      </c>
      <c r="B22" s="997" t="s">
        <v>2407</v>
      </c>
      <c r="C22" s="981" t="s">
        <v>2408</v>
      </c>
      <c r="D22" s="969"/>
      <c r="E22" s="1077">
        <v>165756000</v>
      </c>
      <c r="F22" s="1077">
        <v>200298000</v>
      </c>
      <c r="G22" s="1077">
        <v>225705000</v>
      </c>
      <c r="H22" s="1050">
        <v>221172000</v>
      </c>
      <c r="I22" s="1050">
        <v>222222000.00000003</v>
      </c>
      <c r="J22" s="1050">
        <v>333918000</v>
      </c>
      <c r="K22" s="1050">
        <v>348000000</v>
      </c>
      <c r="L22" s="1048">
        <v>425000000</v>
      </c>
      <c r="M22" s="1048">
        <v>493000000</v>
      </c>
      <c r="N22" s="1048">
        <v>525000000</v>
      </c>
      <c r="O22" s="1048">
        <v>673000000</v>
      </c>
      <c r="P22" s="1048">
        <v>709000000</v>
      </c>
      <c r="Q22" s="1048">
        <v>663000000</v>
      </c>
      <c r="R22" s="1048">
        <v>573000000</v>
      </c>
      <c r="S22" s="1048">
        <v>560000000</v>
      </c>
      <c r="T22" s="125">
        <v>519000000</v>
      </c>
      <c r="U22" s="125">
        <v>521000000</v>
      </c>
      <c r="V22" s="125">
        <v>557000000</v>
      </c>
      <c r="W22" s="125">
        <v>580000000</v>
      </c>
      <c r="X22" s="125">
        <v>603000000</v>
      </c>
      <c r="Y22" s="125">
        <v>626000000</v>
      </c>
      <c r="Z22" s="125">
        <v>650000000</v>
      </c>
      <c r="AA22" s="125">
        <v>675000000</v>
      </c>
    </row>
    <row r="23" spans="1:27">
      <c r="A23" s="997" t="s">
        <v>76</v>
      </c>
      <c r="B23" s="997" t="s">
        <v>2409</v>
      </c>
      <c r="C23" s="981"/>
      <c r="D23" s="969"/>
      <c r="E23" s="1050"/>
      <c r="F23" s="1050"/>
      <c r="G23" s="1050"/>
      <c r="H23" s="1050"/>
      <c r="I23" s="1050"/>
      <c r="J23" s="1050"/>
      <c r="K23" s="1050"/>
      <c r="L23" s="1048">
        <v>393000000</v>
      </c>
      <c r="M23" s="1048">
        <v>336000000</v>
      </c>
      <c r="N23" s="1048">
        <v>371000000</v>
      </c>
      <c r="O23" s="1048">
        <v>467000000</v>
      </c>
      <c r="P23" s="1048">
        <v>481000000</v>
      </c>
      <c r="Q23" s="1048">
        <v>442000000</v>
      </c>
      <c r="R23" s="1048"/>
      <c r="S23" s="1048"/>
      <c r="T23" s="1048"/>
      <c r="U23" s="1048"/>
      <c r="V23" s="125"/>
      <c r="W23" s="1048"/>
      <c r="X23" s="1051"/>
      <c r="Y23" s="1051"/>
      <c r="Z23" s="1050"/>
      <c r="AA23" s="1050"/>
    </row>
    <row r="24" spans="1:27">
      <c r="A24" s="997" t="s">
        <v>2410</v>
      </c>
      <c r="B24" s="997" t="s">
        <v>2411</v>
      </c>
      <c r="C24" s="981" t="s">
        <v>2408</v>
      </c>
      <c r="D24" s="969"/>
      <c r="E24" s="1050">
        <v>248634000.00000003</v>
      </c>
      <c r="F24" s="1050">
        <v>271833000</v>
      </c>
      <c r="G24" s="1050">
        <v>300940000</v>
      </c>
      <c r="H24" s="1050">
        <v>347556000.00000006</v>
      </c>
      <c r="I24" s="1050">
        <v>376068000.00000006</v>
      </c>
      <c r="J24" s="1050">
        <v>352468999.99999994</v>
      </c>
      <c r="K24" s="1050">
        <v>319000000</v>
      </c>
      <c r="L24" s="1048">
        <v>458000000</v>
      </c>
      <c r="M24" s="1048">
        <v>370000000</v>
      </c>
      <c r="N24" s="1048">
        <v>357000000</v>
      </c>
      <c r="O24" s="1048">
        <v>406000000</v>
      </c>
      <c r="P24" s="1048">
        <v>419000000</v>
      </c>
      <c r="Q24" s="1048">
        <v>442000000</v>
      </c>
      <c r="R24" s="1048">
        <v>467000000</v>
      </c>
      <c r="S24" s="1048">
        <v>485000000</v>
      </c>
      <c r="T24" s="125">
        <v>520000000</v>
      </c>
      <c r="U24" s="125">
        <v>560000000</v>
      </c>
      <c r="V24" s="125">
        <v>403000000</v>
      </c>
      <c r="W24" s="125">
        <v>401000000</v>
      </c>
      <c r="X24" s="125">
        <v>398000000</v>
      </c>
      <c r="Y24" s="125">
        <v>393000000</v>
      </c>
      <c r="Z24" s="125">
        <v>393000000</v>
      </c>
      <c r="AA24" s="125">
        <v>405000000</v>
      </c>
    </row>
    <row r="25" spans="1:27">
      <c r="A25" s="981" t="s">
        <v>237</v>
      </c>
      <c r="B25" s="981" t="s">
        <v>1442</v>
      </c>
      <c r="C25" s="981" t="s">
        <v>201</v>
      </c>
      <c r="D25" s="969"/>
      <c r="E25" s="1050">
        <v>428203000</v>
      </c>
      <c r="F25" s="1050">
        <v>329061000</v>
      </c>
      <c r="G25" s="1061">
        <f>G26+G27</f>
        <v>346081000</v>
      </c>
      <c r="H25" s="1050">
        <v>347556000.00000006</v>
      </c>
      <c r="I25" s="1050">
        <v>461538000.00000006</v>
      </c>
      <c r="J25" s="1050">
        <v>575081000</v>
      </c>
      <c r="K25" s="1050">
        <v>567000000</v>
      </c>
      <c r="L25" s="1048">
        <v>661000000</v>
      </c>
      <c r="M25" s="1048">
        <v>642000000</v>
      </c>
      <c r="N25" s="1048">
        <v>677000000</v>
      </c>
      <c r="O25" s="1048">
        <v>668000000</v>
      </c>
      <c r="P25" s="1048">
        <v>818000000</v>
      </c>
      <c r="Q25" s="1048">
        <v>776000000</v>
      </c>
      <c r="R25" s="1048">
        <v>700000000</v>
      </c>
      <c r="S25" s="1048">
        <v>701000000</v>
      </c>
      <c r="T25" s="125">
        <v>815000000</v>
      </c>
      <c r="U25" s="125">
        <v>747000000</v>
      </c>
      <c r="V25" s="125">
        <v>894000000</v>
      </c>
      <c r="W25" s="125">
        <v>950000000</v>
      </c>
      <c r="X25" s="125">
        <v>907000000</v>
      </c>
      <c r="Y25" s="125">
        <v>909000000</v>
      </c>
      <c r="Z25" s="125">
        <v>947000000</v>
      </c>
      <c r="AA25" s="125">
        <v>986000000</v>
      </c>
    </row>
    <row r="26" spans="1:27">
      <c r="A26" s="997" t="s">
        <v>2412</v>
      </c>
      <c r="B26" s="997" t="s">
        <v>2413</v>
      </c>
      <c r="C26" s="981" t="s">
        <v>241</v>
      </c>
      <c r="D26" s="969"/>
      <c r="E26" s="1050">
        <v>414390000.00000006</v>
      </c>
      <c r="F26" s="1050">
        <v>329061000</v>
      </c>
      <c r="G26" s="1050">
        <v>331034000</v>
      </c>
      <c r="H26" s="1050">
        <v>331758000.00000006</v>
      </c>
      <c r="I26" s="1050">
        <v>427350000</v>
      </c>
      <c r="J26" s="1050">
        <v>500877000</v>
      </c>
      <c r="K26" s="1050"/>
      <c r="L26" s="1048"/>
      <c r="M26" s="1048"/>
      <c r="N26" s="1048"/>
      <c r="O26" s="1048"/>
      <c r="P26" s="1048"/>
      <c r="Q26" s="1048"/>
      <c r="R26" s="1048"/>
      <c r="S26" s="1048"/>
      <c r="T26" s="1048"/>
      <c r="U26" s="1048"/>
      <c r="V26" s="1048"/>
      <c r="W26" s="1048"/>
      <c r="X26" s="1051"/>
      <c r="Y26" s="1051"/>
      <c r="Z26" s="1050"/>
      <c r="AA26" s="1050"/>
    </row>
    <row r="27" spans="1:27">
      <c r="A27" s="997" t="s">
        <v>1232</v>
      </c>
      <c r="B27" s="997" t="s">
        <v>2414</v>
      </c>
      <c r="C27" s="981" t="s">
        <v>241</v>
      </c>
      <c r="D27" s="969"/>
      <c r="E27" s="1050">
        <v>13813000</v>
      </c>
      <c r="F27" s="1050">
        <v>0</v>
      </c>
      <c r="G27" s="1050">
        <v>15047000</v>
      </c>
      <c r="H27" s="1050">
        <v>15798000.000000004</v>
      </c>
      <c r="I27" s="1050">
        <v>34188000</v>
      </c>
      <c r="J27" s="1050">
        <v>74203999.999999985</v>
      </c>
      <c r="K27" s="1050"/>
      <c r="L27" s="1048"/>
      <c r="M27" s="1048"/>
      <c r="N27" s="1048"/>
      <c r="O27" s="1048"/>
      <c r="P27" s="1048"/>
      <c r="Q27" s="1048"/>
      <c r="R27" s="1048"/>
      <c r="S27" s="1048"/>
      <c r="T27" s="1048"/>
      <c r="U27" s="1048"/>
      <c r="V27" s="1048"/>
      <c r="W27" s="1048"/>
      <c r="X27" s="1051"/>
      <c r="Y27" s="1051"/>
      <c r="Z27" s="1050"/>
      <c r="AA27" s="1050"/>
    </row>
    <row r="28" spans="1:27">
      <c r="A28" s="972" t="s">
        <v>76</v>
      </c>
      <c r="B28" s="1064" t="s">
        <v>2415</v>
      </c>
      <c r="C28" s="981"/>
      <c r="D28" s="969"/>
      <c r="E28" s="1050">
        <v>-400577000</v>
      </c>
      <c r="F28" s="1050">
        <v>-271833000</v>
      </c>
      <c r="G28" s="1050">
        <v>-331034000</v>
      </c>
      <c r="H28" s="1050"/>
      <c r="I28" s="1050"/>
      <c r="J28" s="1050"/>
      <c r="K28" s="1050"/>
      <c r="L28" s="1048"/>
      <c r="M28" s="1048"/>
      <c r="N28" s="1048"/>
      <c r="O28" s="1048"/>
      <c r="P28" s="1048"/>
      <c r="Q28" s="1048"/>
      <c r="R28" s="1048"/>
      <c r="S28" s="1048"/>
      <c r="T28" s="1048"/>
      <c r="U28" s="1048"/>
      <c r="V28" s="1048"/>
      <c r="W28" s="1048"/>
      <c r="X28" s="1051"/>
      <c r="Y28" s="1051"/>
      <c r="Z28" s="1050"/>
      <c r="AA28" s="1050"/>
    </row>
    <row r="29" spans="1:27">
      <c r="A29" s="972" t="s">
        <v>76</v>
      </c>
      <c r="B29" s="981" t="s">
        <v>2416</v>
      </c>
      <c r="C29" s="981"/>
      <c r="D29" s="969"/>
      <c r="E29" s="1050">
        <v>193382000</v>
      </c>
      <c r="F29" s="1050">
        <v>286140000</v>
      </c>
      <c r="G29" s="1050">
        <v>210657999.99999997</v>
      </c>
      <c r="H29" s="1050"/>
      <c r="I29" s="1050"/>
      <c r="J29" s="1050"/>
      <c r="K29" s="1050"/>
      <c r="L29" s="1048"/>
      <c r="M29" s="1048"/>
      <c r="N29" s="1048"/>
      <c r="O29" s="1048"/>
      <c r="P29" s="1048"/>
      <c r="Q29" s="1048"/>
      <c r="R29" s="1048"/>
      <c r="S29" s="1048"/>
      <c r="T29" s="1048"/>
      <c r="U29" s="1048"/>
      <c r="V29" s="1048"/>
      <c r="W29" s="1048"/>
      <c r="X29" s="1051"/>
      <c r="Y29" s="1051"/>
      <c r="Z29" s="1050"/>
      <c r="AA29" s="1050"/>
    </row>
    <row r="30" spans="1:27">
      <c r="A30" s="972" t="s">
        <v>76</v>
      </c>
      <c r="B30" s="981" t="s">
        <v>2417</v>
      </c>
      <c r="C30" s="981"/>
      <c r="D30" s="969"/>
      <c r="E30" s="1050">
        <v>0</v>
      </c>
      <c r="F30" s="1050">
        <v>85842000</v>
      </c>
      <c r="G30" s="1050">
        <v>0</v>
      </c>
      <c r="H30" s="1050"/>
      <c r="I30" s="1050"/>
      <c r="J30" s="1050"/>
      <c r="K30" s="1050"/>
      <c r="L30" s="1048"/>
      <c r="M30" s="1048"/>
      <c r="N30" s="1048"/>
      <c r="O30" s="1048"/>
      <c r="P30" s="1048"/>
      <c r="Q30" s="1048"/>
      <c r="R30" s="1048"/>
      <c r="S30" s="1048"/>
      <c r="T30" s="1048"/>
      <c r="U30" s="1048"/>
      <c r="V30" s="1048"/>
      <c r="W30" s="1048"/>
      <c r="X30" s="1051"/>
      <c r="Y30" s="1051"/>
      <c r="Z30" s="1050"/>
      <c r="AA30" s="1050"/>
    </row>
    <row r="31" spans="1:27">
      <c r="A31" s="972" t="s">
        <v>76</v>
      </c>
      <c r="B31" s="981" t="s">
        <v>2418</v>
      </c>
      <c r="C31" s="981"/>
      <c r="D31" s="969"/>
      <c r="E31" s="1050">
        <v>-386764000</v>
      </c>
      <c r="F31" s="1050">
        <v>-400596000</v>
      </c>
      <c r="G31" s="1050">
        <v>-240752000</v>
      </c>
      <c r="H31" s="1077">
        <v>-126384000.00000003</v>
      </c>
      <c r="I31" s="1077">
        <v>-136752000</v>
      </c>
      <c r="J31" s="1077">
        <v>-92754999.999999985</v>
      </c>
      <c r="K31" s="1050">
        <v>112000000</v>
      </c>
      <c r="L31" s="1048">
        <v>-164000000</v>
      </c>
      <c r="M31" s="1048">
        <v>-640000000</v>
      </c>
      <c r="N31" s="1048">
        <v>-410000000</v>
      </c>
      <c r="O31" s="1048">
        <v>-388000000</v>
      </c>
      <c r="P31" s="1048">
        <v>-379000000</v>
      </c>
      <c r="Q31" s="1048">
        <v>-393000000</v>
      </c>
      <c r="R31" s="1048">
        <v>-278000000</v>
      </c>
      <c r="S31" s="1048">
        <v>-233000000</v>
      </c>
      <c r="T31" s="1048"/>
      <c r="U31" s="1048"/>
      <c r="V31" s="1048"/>
      <c r="W31" s="1048"/>
      <c r="X31" s="1051"/>
      <c r="Y31" s="1051"/>
      <c r="Z31" s="1050"/>
      <c r="AA31" s="1050"/>
    </row>
    <row r="32" spans="1:27">
      <c r="A32" s="972" t="s">
        <v>76</v>
      </c>
      <c r="B32" s="981" t="s">
        <v>2419</v>
      </c>
      <c r="C32" s="981"/>
      <c r="D32" s="969"/>
      <c r="E32" s="1050">
        <v>-593959000</v>
      </c>
      <c r="F32" s="1050">
        <v>-643815000</v>
      </c>
      <c r="G32" s="1050">
        <v>-556739000</v>
      </c>
      <c r="H32" s="1077">
        <v>-473940000</v>
      </c>
      <c r="I32" s="1077">
        <v>-512820000.00000006</v>
      </c>
      <c r="J32" s="1077">
        <v>-537978999.99999988</v>
      </c>
      <c r="K32" s="1050">
        <v>-395000000</v>
      </c>
      <c r="L32" s="1048">
        <v>-683000000</v>
      </c>
      <c r="M32" s="1048">
        <v>-1171000000</v>
      </c>
      <c r="N32" s="1048">
        <v>-917000000</v>
      </c>
      <c r="O32" s="1048">
        <v>-906000000</v>
      </c>
      <c r="P32" s="1048">
        <v>-919000000</v>
      </c>
      <c r="Q32" s="1048">
        <v>-987000000</v>
      </c>
      <c r="R32" s="1048">
        <v>-887000000</v>
      </c>
      <c r="S32" s="1048">
        <v>-876000000</v>
      </c>
      <c r="T32" s="1048"/>
      <c r="U32" s="1048"/>
      <c r="V32" s="1048"/>
      <c r="W32" s="1048"/>
      <c r="X32" s="1051"/>
      <c r="Y32" s="1051"/>
      <c r="Z32" s="1050"/>
      <c r="AA32" s="1050"/>
    </row>
    <row r="33" spans="1:32" s="848" customFormat="1">
      <c r="A33" s="1065" t="s">
        <v>115</v>
      </c>
      <c r="B33" s="1065" t="s">
        <v>115</v>
      </c>
      <c r="C33" s="1013" t="s">
        <v>35</v>
      </c>
      <c r="D33" s="1013"/>
      <c r="E33" s="1055">
        <f>E34+E38</f>
        <v>607772000</v>
      </c>
      <c r="F33" s="1055">
        <v>643815000</v>
      </c>
      <c r="G33" s="1055">
        <v>556739000</v>
      </c>
      <c r="H33" s="1055">
        <f>H34+H38</f>
        <v>489738000</v>
      </c>
      <c r="I33" s="1084">
        <v>512820000.00000006</v>
      </c>
      <c r="J33" s="1055">
        <f>J34+J38</f>
        <v>519427999.99999988</v>
      </c>
      <c r="K33" s="1055">
        <v>395000000</v>
      </c>
      <c r="L33" s="1054">
        <v>683000000</v>
      </c>
      <c r="M33" s="1054">
        <v>1171000000</v>
      </c>
      <c r="N33" s="1054">
        <v>917000000</v>
      </c>
      <c r="O33" s="1054">
        <v>906000000</v>
      </c>
      <c r="P33" s="1054">
        <v>919000000</v>
      </c>
      <c r="Q33" s="1054">
        <v>987000000</v>
      </c>
      <c r="R33" s="1054">
        <v>887000000</v>
      </c>
      <c r="S33" s="1054">
        <v>876000000</v>
      </c>
      <c r="T33" s="1054">
        <f t="shared" ref="T33" si="9">T34+T38+T44</f>
        <v>807000000</v>
      </c>
      <c r="U33" s="1054">
        <f t="shared" ref="U33" si="10">U34+U38+U44</f>
        <v>611000000</v>
      </c>
      <c r="V33" s="1054">
        <f t="shared" ref="V33" si="11">V34+V38+V44</f>
        <v>584000000</v>
      </c>
      <c r="W33" s="1054">
        <f t="shared" ref="W33" si="12">W34+W38+W44</f>
        <v>740000000</v>
      </c>
      <c r="X33" s="1054">
        <f t="shared" ref="X33" si="13">X34+X38+X44</f>
        <v>795000000</v>
      </c>
      <c r="Y33" s="1054">
        <f t="shared" ref="Y33" si="14">Y34+Y38+Y44</f>
        <v>846000000</v>
      </c>
      <c r="Z33" s="1054">
        <f t="shared" ref="Z33" si="15">Z34+Z38+Z44</f>
        <v>933000000</v>
      </c>
      <c r="AA33" s="1054">
        <f t="shared" ref="AA33" si="16">AA34+AA38+AA44</f>
        <v>1047000000</v>
      </c>
      <c r="AB33" s="1013"/>
      <c r="AC33" s="1013"/>
      <c r="AD33" s="1013"/>
      <c r="AE33" s="1013"/>
      <c r="AF33" s="1013"/>
    </row>
    <row r="34" spans="1:32">
      <c r="A34" s="1064" t="s">
        <v>117</v>
      </c>
      <c r="B34" s="1064" t="s">
        <v>280</v>
      </c>
      <c r="C34" s="981" t="s">
        <v>252</v>
      </c>
      <c r="D34" s="969"/>
      <c r="E34" s="1050">
        <v>621585000</v>
      </c>
      <c r="F34" s="1050">
        <v>1774068000</v>
      </c>
      <c r="G34" s="1050">
        <v>616926999.99999988</v>
      </c>
      <c r="H34" s="1237">
        <f>H35+H36+H37</f>
        <v>252768000</v>
      </c>
      <c r="I34" s="1077">
        <v>341880000</v>
      </c>
      <c r="J34" s="1237">
        <f>J35+J36+J37</f>
        <v>482325999.99999988</v>
      </c>
      <c r="K34" s="1050">
        <v>-115000000</v>
      </c>
      <c r="L34" s="1048">
        <v>127000000</v>
      </c>
      <c r="M34" s="1048">
        <v>785000000</v>
      </c>
      <c r="N34" s="1048">
        <v>274000000</v>
      </c>
      <c r="O34" s="1048">
        <v>121000000</v>
      </c>
      <c r="P34" s="1048">
        <v>912000000</v>
      </c>
      <c r="Q34" s="1048">
        <v>13000000</v>
      </c>
      <c r="R34" s="1048">
        <v>788000000</v>
      </c>
      <c r="S34" s="1048">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988" t="s">
        <v>415</v>
      </c>
      <c r="B35" s="988" t="s">
        <v>415</v>
      </c>
      <c r="C35" s="981" t="s">
        <v>1939</v>
      </c>
      <c r="D35" s="969"/>
      <c r="E35" s="1050">
        <v>966910000</v>
      </c>
      <c r="F35" s="1050">
        <v>1273323000</v>
      </c>
      <c r="G35" s="1050">
        <v>436362999.99999994</v>
      </c>
      <c r="H35" s="1077">
        <v>631920000</v>
      </c>
      <c r="I35" s="1077">
        <v>735042000</v>
      </c>
      <c r="J35" s="1077">
        <v>890447999.99999988</v>
      </c>
      <c r="K35" s="1050">
        <v>205000000</v>
      </c>
      <c r="L35" s="1048">
        <v>427000000</v>
      </c>
      <c r="M35" s="1048">
        <v>1076000000</v>
      </c>
      <c r="N35" s="1048">
        <v>584000000</v>
      </c>
      <c r="O35" s="1048">
        <v>1067000000</v>
      </c>
      <c r="P35" s="1048">
        <v>1202000000</v>
      </c>
      <c r="Q35" s="1048">
        <v>269000000</v>
      </c>
      <c r="R35" s="1048">
        <v>1059000000</v>
      </c>
      <c r="S35" s="1048">
        <v>332000000</v>
      </c>
      <c r="T35" s="125">
        <v>236000000</v>
      </c>
      <c r="U35" s="125">
        <v>942000000</v>
      </c>
      <c r="V35" s="125">
        <v>755000000</v>
      </c>
      <c r="W35" s="125">
        <v>242000000</v>
      </c>
      <c r="X35" s="125">
        <v>300000000</v>
      </c>
      <c r="Y35" s="125">
        <v>340000000</v>
      </c>
      <c r="Z35" s="125">
        <v>340000000</v>
      </c>
      <c r="AA35" s="125">
        <v>340000000</v>
      </c>
    </row>
    <row r="36" spans="1:32">
      <c r="A36" s="988" t="s">
        <v>258</v>
      </c>
      <c r="B36" s="988" t="s">
        <v>258</v>
      </c>
      <c r="C36" s="981" t="s">
        <v>1939</v>
      </c>
      <c r="D36" s="969"/>
      <c r="E36" s="1050">
        <v>-345325000</v>
      </c>
      <c r="F36" s="1050">
        <v>-500745000</v>
      </c>
      <c r="G36" s="1050">
        <v>-180563999.99999997</v>
      </c>
      <c r="H36" s="1077">
        <v>-379152000</v>
      </c>
      <c r="I36" s="1077">
        <v>-393162000</v>
      </c>
      <c r="J36" s="1077">
        <v>-408122000</v>
      </c>
      <c r="K36" s="1050">
        <v>-320000000</v>
      </c>
      <c r="L36" s="1048">
        <v>-300000000</v>
      </c>
      <c r="M36" s="1048">
        <v>-291000000</v>
      </c>
      <c r="N36" s="1048">
        <v>-310000000</v>
      </c>
      <c r="O36" s="1048">
        <v>-946000000</v>
      </c>
      <c r="P36" s="1048">
        <v>-290000000</v>
      </c>
      <c r="Q36" s="1048">
        <v>-256000000</v>
      </c>
      <c r="R36" s="1048">
        <v>-271000000</v>
      </c>
      <c r="S36" s="1048">
        <v>-345000000</v>
      </c>
      <c r="T36" s="125">
        <v>-305000000</v>
      </c>
      <c r="U36" s="125">
        <v>-323000000</v>
      </c>
      <c r="V36" s="125">
        <v>-355000000</v>
      </c>
      <c r="W36" s="125">
        <v>-1147000000</v>
      </c>
      <c r="X36" s="125">
        <v>-355000000</v>
      </c>
      <c r="Y36" s="125">
        <v>-356000000</v>
      </c>
      <c r="Z36" s="125">
        <v>-376000000</v>
      </c>
      <c r="AA36" s="125">
        <v>-1158000000</v>
      </c>
    </row>
    <row r="37" spans="1:32">
      <c r="A37" s="988" t="s">
        <v>421</v>
      </c>
      <c r="B37" s="988" t="s">
        <v>2420</v>
      </c>
      <c r="C37" s="981" t="s">
        <v>1939</v>
      </c>
      <c r="D37" s="969"/>
      <c r="E37" s="1050"/>
      <c r="F37" s="1061">
        <f>F34-F35-F36</f>
        <v>1001490000</v>
      </c>
      <c r="G37" s="1061">
        <f>G34-G35-G36</f>
        <v>361127999.99999988</v>
      </c>
      <c r="H37" s="1077"/>
      <c r="I37" s="1077"/>
      <c r="J37" s="1077"/>
      <c r="K37" s="1050"/>
      <c r="L37" s="1048"/>
      <c r="M37" s="1048"/>
      <c r="N37" s="1048"/>
      <c r="O37" s="1048"/>
      <c r="P37" s="1048"/>
      <c r="Q37" s="1048"/>
      <c r="R37" s="1048"/>
      <c r="S37" s="1048"/>
      <c r="T37" s="1048"/>
      <c r="U37" s="1048"/>
      <c r="V37" s="1048"/>
      <c r="W37" s="1048"/>
      <c r="X37" s="125"/>
      <c r="Y37" s="125"/>
      <c r="Z37" s="125"/>
      <c r="AA37" s="125"/>
    </row>
    <row r="38" spans="1:32" ht="18.75" customHeight="1">
      <c r="A38" s="1064" t="s">
        <v>120</v>
      </c>
      <c r="B38" s="1064" t="s">
        <v>209</v>
      </c>
      <c r="C38" s="981" t="s">
        <v>252</v>
      </c>
      <c r="D38" s="969"/>
      <c r="E38" s="1061">
        <f>E39+E40+E41+E42+E43</f>
        <v>-13813000.000000015</v>
      </c>
      <c r="F38" s="1050">
        <v>-629508000.00000012</v>
      </c>
      <c r="G38" s="1050">
        <v>225705000</v>
      </c>
      <c r="H38" s="1061">
        <f>H39+H40+H41+H42+H43</f>
        <v>236970000</v>
      </c>
      <c r="I38" s="1077">
        <v>170940000</v>
      </c>
      <c r="J38" s="1061">
        <f>J39+J40+J41+J42+J43</f>
        <v>37101999.999999978</v>
      </c>
      <c r="K38" s="1050">
        <v>510000000</v>
      </c>
      <c r="L38" s="1048">
        <v>557000000</v>
      </c>
      <c r="M38" s="1048">
        <v>385000000</v>
      </c>
      <c r="N38" s="1048">
        <v>643000000</v>
      </c>
      <c r="O38" s="1048">
        <v>785000000</v>
      </c>
      <c r="P38" s="1048">
        <v>7000000</v>
      </c>
      <c r="Q38" s="1048">
        <v>975000000</v>
      </c>
      <c r="R38" s="1048">
        <v>100000000</v>
      </c>
      <c r="S38" s="1048">
        <v>889000000</v>
      </c>
      <c r="T38" s="1048">
        <f>T41+T40+T39</f>
        <v>876000000</v>
      </c>
      <c r="U38" s="1048">
        <f t="shared" ref="U38:AA38" si="18">U41+U40+U39</f>
        <v>-8000000</v>
      </c>
      <c r="V38" s="1048">
        <f t="shared" si="18"/>
        <v>184000000</v>
      </c>
      <c r="W38" s="1048">
        <f t="shared" si="18"/>
        <v>186000000</v>
      </c>
      <c r="X38" s="1048">
        <f t="shared" si="18"/>
        <v>318000000</v>
      </c>
      <c r="Y38" s="1048">
        <f t="shared" si="18"/>
        <v>111000000</v>
      </c>
      <c r="Z38" s="1048">
        <f t="shared" si="18"/>
        <v>77000000</v>
      </c>
      <c r="AA38" s="1048">
        <f t="shared" si="18"/>
        <v>218000000</v>
      </c>
    </row>
    <row r="39" spans="1:32">
      <c r="A39" s="988" t="s">
        <v>2421</v>
      </c>
      <c r="B39" s="988" t="s">
        <v>2422</v>
      </c>
      <c r="C39" s="981" t="s">
        <v>124</v>
      </c>
      <c r="D39" s="969"/>
      <c r="E39" s="1050">
        <v>27626000</v>
      </c>
      <c r="F39" s="1050">
        <v>-85842000</v>
      </c>
      <c r="G39" s="1050">
        <v>105328999.99999999</v>
      </c>
      <c r="H39" s="1050">
        <v>-63192000.000000015</v>
      </c>
      <c r="I39" s="1050">
        <v>85470000</v>
      </c>
      <c r="J39" s="1050">
        <v>-55652999.999999993</v>
      </c>
      <c r="K39" s="1050">
        <v>146000000</v>
      </c>
      <c r="L39" s="1048">
        <v>26000000</v>
      </c>
      <c r="M39" s="1048">
        <v>-296000000</v>
      </c>
      <c r="N39" s="1048">
        <v>271000000</v>
      </c>
      <c r="O39" s="1048">
        <v>197000000</v>
      </c>
      <c r="P39" s="1048">
        <v>-737000000</v>
      </c>
      <c r="Q39" s="1048">
        <v>758000000</v>
      </c>
      <c r="R39" s="1048">
        <v>-5000000</v>
      </c>
      <c r="S39" s="1048">
        <v>24000000</v>
      </c>
      <c r="T39" s="1048">
        <v>-116000000</v>
      </c>
      <c r="U39" s="1048">
        <v>15000000</v>
      </c>
      <c r="V39" s="1048">
        <v>15000000</v>
      </c>
      <c r="W39" s="125">
        <v>-30000000</v>
      </c>
      <c r="X39" s="125">
        <v>-30000000</v>
      </c>
      <c r="Y39" s="125">
        <v>-30000000</v>
      </c>
      <c r="Z39" s="125">
        <v>-30000000</v>
      </c>
      <c r="AA39" s="125">
        <v>-30000000</v>
      </c>
    </row>
    <row r="40" spans="1:32">
      <c r="A40" s="988" t="s">
        <v>861</v>
      </c>
      <c r="B40" s="988" t="s">
        <v>1471</v>
      </c>
      <c r="C40" s="981" t="s">
        <v>124</v>
      </c>
      <c r="D40" s="969"/>
      <c r="E40" s="1050">
        <v>124317000.00000001</v>
      </c>
      <c r="F40" s="1050">
        <v>-200298000</v>
      </c>
      <c r="G40" s="1050">
        <v>0</v>
      </c>
      <c r="H40" s="1050">
        <v>15798000.000000004</v>
      </c>
      <c r="I40" s="1050">
        <v>-17094000</v>
      </c>
      <c r="J40" s="1050">
        <v>74203999.999999985</v>
      </c>
      <c r="K40" s="1050">
        <v>43000000</v>
      </c>
      <c r="L40" s="1048">
        <v>93000000</v>
      </c>
      <c r="M40" s="1048">
        <v>239000000</v>
      </c>
      <c r="N40" s="1048">
        <v>-67000000</v>
      </c>
      <c r="O40" s="1048">
        <v>164000000</v>
      </c>
      <c r="P40" s="1048">
        <v>162000000</v>
      </c>
      <c r="Q40" s="1048">
        <v>-171000000</v>
      </c>
      <c r="R40" s="1048">
        <v>-557000000</v>
      </c>
      <c r="S40" s="1048">
        <v>732000000</v>
      </c>
      <c r="T40" s="125">
        <v>72000000</v>
      </c>
      <c r="U40" s="125">
        <v>-601000000</v>
      </c>
      <c r="V40" s="1048">
        <v>0</v>
      </c>
      <c r="W40" s="1048">
        <v>-150000000</v>
      </c>
      <c r="X40" s="1051">
        <v>0</v>
      </c>
      <c r="Y40" s="1051">
        <v>0</v>
      </c>
      <c r="Z40" s="1050">
        <v>0</v>
      </c>
      <c r="AA40" s="1050">
        <v>0</v>
      </c>
    </row>
    <row r="41" spans="1:32">
      <c r="A41" s="988" t="s">
        <v>2423</v>
      </c>
      <c r="B41" s="988" t="s">
        <v>2424</v>
      </c>
      <c r="C41" s="981" t="s">
        <v>124</v>
      </c>
      <c r="D41" s="969"/>
      <c r="E41" s="1050">
        <v>-124317000.00000001</v>
      </c>
      <c r="F41" s="1050">
        <v>-85842000</v>
      </c>
      <c r="G41" s="1050">
        <v>0</v>
      </c>
      <c r="H41" s="1050">
        <v>0</v>
      </c>
      <c r="I41" s="1050">
        <v>119658000</v>
      </c>
      <c r="J41" s="1050">
        <v>74203999.999999985</v>
      </c>
      <c r="K41" s="1050">
        <v>335000000</v>
      </c>
      <c r="L41" s="1048">
        <v>438000000</v>
      </c>
      <c r="M41" s="1048">
        <v>440000000</v>
      </c>
      <c r="N41" s="1048">
        <v>436000000</v>
      </c>
      <c r="O41" s="1048">
        <v>421000000</v>
      </c>
      <c r="P41" s="1048">
        <v>582000000</v>
      </c>
      <c r="Q41" s="1048">
        <v>388000000</v>
      </c>
      <c r="R41" s="1048">
        <v>662000000</v>
      </c>
      <c r="S41" s="1048">
        <v>133000000</v>
      </c>
      <c r="T41" s="125">
        <v>920000000</v>
      </c>
      <c r="U41" s="125">
        <v>578000000</v>
      </c>
      <c r="V41" s="125">
        <v>169000000</v>
      </c>
      <c r="W41" s="125">
        <v>366000000</v>
      </c>
      <c r="X41" s="125">
        <v>348000000</v>
      </c>
      <c r="Y41" s="125">
        <v>141000000</v>
      </c>
      <c r="Z41" s="125">
        <v>107000000</v>
      </c>
      <c r="AA41" s="125">
        <v>248000000</v>
      </c>
    </row>
    <row r="42" spans="1:32">
      <c r="A42" s="988" t="s">
        <v>2425</v>
      </c>
      <c r="B42" s="988" t="s">
        <v>2426</v>
      </c>
      <c r="C42" s="981" t="s">
        <v>124</v>
      </c>
      <c r="D42" s="969"/>
      <c r="E42" s="1050">
        <v>13813000</v>
      </c>
      <c r="F42" s="1050">
        <v>14307000</v>
      </c>
      <c r="G42" s="1050">
        <v>0</v>
      </c>
      <c r="H42" s="1050">
        <v>205374000.00000003</v>
      </c>
      <c r="I42" s="1050">
        <v>0</v>
      </c>
      <c r="J42" s="1050">
        <v>0</v>
      </c>
      <c r="K42" s="1050"/>
      <c r="L42" s="1048"/>
      <c r="M42" s="1048"/>
      <c r="N42" s="1048"/>
      <c r="O42" s="1048"/>
      <c r="P42" s="1048"/>
      <c r="Q42" s="1048"/>
      <c r="R42" s="1048"/>
      <c r="S42" s="1048"/>
      <c r="T42" s="1048"/>
      <c r="U42" s="1048"/>
      <c r="V42" s="1048"/>
      <c r="W42" s="1048"/>
      <c r="X42" s="1051"/>
      <c r="Y42" s="1051"/>
    </row>
    <row r="43" spans="1:32">
      <c r="A43" s="988" t="s">
        <v>2427</v>
      </c>
      <c r="B43" s="988" t="s">
        <v>922</v>
      </c>
      <c r="C43" s="981" t="s">
        <v>124</v>
      </c>
      <c r="D43" s="969"/>
      <c r="E43" s="1050">
        <v>-55252000</v>
      </c>
      <c r="F43" s="1061">
        <f>F38-F39-F40-F41-F42</f>
        <v>-271833000.00000012</v>
      </c>
      <c r="G43" s="1061">
        <f>G38-G39-G40-G41-G42</f>
        <v>120376000.00000001</v>
      </c>
      <c r="H43" s="1050">
        <v>78990000</v>
      </c>
      <c r="I43" s="1050">
        <v>-17094000</v>
      </c>
      <c r="J43" s="1050">
        <v>-55652999.999999993</v>
      </c>
      <c r="K43" s="1050">
        <v>-14000000</v>
      </c>
      <c r="L43" s="1048"/>
      <c r="M43" s="1061">
        <f>M38-M39-M40-M41-M42</f>
        <v>2000000</v>
      </c>
      <c r="N43" s="1061">
        <f>N38-N39-N40-N41-N42</f>
        <v>3000000</v>
      </c>
      <c r="O43" s="1061">
        <f>O38-O39-O40-O41-O42</f>
        <v>3000000</v>
      </c>
      <c r="P43" s="1048"/>
      <c r="Q43" s="1048"/>
      <c r="R43" s="1048"/>
      <c r="S43" s="1048"/>
      <c r="T43" s="1048"/>
      <c r="U43" s="1048"/>
      <c r="V43" s="1048"/>
      <c r="W43" s="1048"/>
      <c r="X43" s="1051"/>
      <c r="Y43" s="1051"/>
    </row>
    <row r="44" spans="1:32">
      <c r="A44" s="981" t="s">
        <v>2428</v>
      </c>
      <c r="B44" s="981" t="s">
        <v>2429</v>
      </c>
      <c r="C44" s="981" t="s">
        <v>252</v>
      </c>
      <c r="D44" s="969"/>
      <c r="E44" s="1050"/>
      <c r="F44" s="1061">
        <f>F33-F34-F38</f>
        <v>-500744999.99999988</v>
      </c>
      <c r="G44" s="1061">
        <f>G33-G34-G38</f>
        <v>-285892999.99999988</v>
      </c>
      <c r="H44" s="1050"/>
      <c r="I44" s="1050"/>
      <c r="J44" s="1050"/>
      <c r="K44" s="1050"/>
      <c r="L44" s="1048"/>
      <c r="M44" s="1048"/>
      <c r="N44" s="1048"/>
      <c r="O44" s="1048"/>
      <c r="P44" s="1048"/>
      <c r="Q44" s="1048"/>
      <c r="R44" s="1048"/>
      <c r="S44" s="1048"/>
      <c r="T44" s="1048"/>
      <c r="U44" s="1048"/>
      <c r="V44" s="1048"/>
      <c r="W44" s="1048">
        <v>1459000000</v>
      </c>
      <c r="X44" s="1051">
        <v>532000000</v>
      </c>
      <c r="Y44">
        <v>751000000</v>
      </c>
      <c r="Z44" s="972">
        <v>892000000</v>
      </c>
      <c r="AA44" s="21">
        <v>1647000000</v>
      </c>
    </row>
    <row r="45" spans="1:32">
      <c r="B45" s="981" t="s">
        <v>614</v>
      </c>
      <c r="C45" s="981"/>
      <c r="D45" s="969"/>
      <c r="E45" s="1050"/>
      <c r="F45" s="1050"/>
      <c r="G45" s="1050"/>
      <c r="H45" s="1050"/>
      <c r="I45" s="1050"/>
      <c r="J45" s="1050"/>
      <c r="K45" s="1050"/>
      <c r="L45" s="1050">
        <f t="shared" ref="L45:W45" si="19">(L15/L6)*100</f>
        <v>1.420150053590568</v>
      </c>
      <c r="M45" s="1050">
        <f t="shared" si="19"/>
        <v>3.2068255369226244</v>
      </c>
      <c r="N45" s="1050">
        <f t="shared" si="19"/>
        <v>4.3112513144058884</v>
      </c>
      <c r="O45" s="1050">
        <f t="shared" si="19"/>
        <v>5.0722920123251951</v>
      </c>
      <c r="P45" s="1050">
        <f t="shared" si="19"/>
        <v>3.949412025737741</v>
      </c>
      <c r="Q45" s="1050">
        <f t="shared" si="19"/>
        <v>1.5177426250534416</v>
      </c>
      <c r="R45" s="1050">
        <f t="shared" si="19"/>
        <v>0.97066891749314188</v>
      </c>
      <c r="S45" s="1050">
        <f t="shared" si="19"/>
        <v>1.0765793215518993</v>
      </c>
      <c r="T45" s="1050">
        <f t="shared" si="19"/>
        <v>0.87253414264036422</v>
      </c>
      <c r="U45" s="1050">
        <f t="shared" si="19"/>
        <v>0.78375489846811541</v>
      </c>
      <c r="V45" s="1050">
        <f t="shared" si="19"/>
        <v>2.1841397849462365</v>
      </c>
      <c r="W45" s="1050">
        <f t="shared" si="19"/>
        <v>2.3512242581482079</v>
      </c>
      <c r="X45" s="969"/>
      <c r="Y45" s="969"/>
    </row>
    <row r="46" spans="1:32">
      <c r="B46" s="981"/>
      <c r="C46" s="981"/>
      <c r="D46" s="969"/>
      <c r="L46" s="1048"/>
      <c r="M46" s="1048"/>
      <c r="N46" s="1048"/>
      <c r="O46" s="1048"/>
      <c r="P46" s="1048"/>
      <c r="Q46" s="1048"/>
      <c r="R46" s="1048"/>
      <c r="S46" s="1048"/>
      <c r="T46" s="1048"/>
      <c r="U46" s="1048"/>
      <c r="V46" s="1048"/>
      <c r="W46" s="1048"/>
      <c r="X46" s="969"/>
      <c r="Y46" s="969"/>
    </row>
    <row r="47" spans="1:32">
      <c r="B47" s="981"/>
      <c r="C47" s="981"/>
      <c r="D47" s="969"/>
      <c r="E47" s="972" t="s">
        <v>139</v>
      </c>
      <c r="F47" s="972" t="s">
        <v>139</v>
      </c>
      <c r="G47" s="972" t="s">
        <v>139</v>
      </c>
      <c r="H47" s="972" t="s">
        <v>139</v>
      </c>
      <c r="I47" s="972" t="s">
        <v>139</v>
      </c>
      <c r="J47" s="972" t="s">
        <v>139</v>
      </c>
      <c r="K47" s="972" t="s">
        <v>139</v>
      </c>
      <c r="L47" s="972" t="s">
        <v>139</v>
      </c>
      <c r="M47" s="972" t="s">
        <v>139</v>
      </c>
      <c r="N47" s="972" t="s">
        <v>139</v>
      </c>
      <c r="O47" s="972" t="s">
        <v>139</v>
      </c>
      <c r="P47" s="972" t="s">
        <v>139</v>
      </c>
      <c r="Q47" s="972" t="s">
        <v>139</v>
      </c>
      <c r="R47" s="972" t="s">
        <v>139</v>
      </c>
      <c r="S47" s="972" t="s">
        <v>139</v>
      </c>
      <c r="T47" s="972" t="s">
        <v>139</v>
      </c>
      <c r="U47" s="972" t="s">
        <v>139</v>
      </c>
      <c r="V47" s="972" t="s">
        <v>139</v>
      </c>
      <c r="W47" s="972" t="s">
        <v>139</v>
      </c>
      <c r="X47" s="972" t="s">
        <v>139</v>
      </c>
      <c r="Y47" s="972" t="s">
        <v>139</v>
      </c>
      <c r="Z47" s="972" t="s">
        <v>139</v>
      </c>
      <c r="AA47" s="972" t="s">
        <v>139</v>
      </c>
    </row>
    <row r="48" spans="1:32">
      <c r="B48" s="981"/>
      <c r="C48" s="981"/>
      <c r="D48" s="969"/>
      <c r="L48" s="1048"/>
      <c r="M48" s="1048"/>
      <c r="N48" s="1048"/>
      <c r="O48" s="1048"/>
      <c r="P48" s="1048"/>
      <c r="Q48" s="1048"/>
      <c r="R48" s="1048"/>
      <c r="S48" s="1048"/>
      <c r="T48" s="1048"/>
      <c r="U48" s="1048"/>
      <c r="V48" s="1048"/>
      <c r="W48" s="1048"/>
      <c r="X48" s="1048"/>
      <c r="Y48" s="1048"/>
    </row>
    <row r="49" spans="2:27">
      <c r="B49" s="981" t="s">
        <v>2430</v>
      </c>
      <c r="C49" s="981"/>
      <c r="D49" s="969"/>
      <c r="E49" s="995">
        <f>E6-E7-E15</f>
        <v>0</v>
      </c>
      <c r="F49" s="995">
        <f>F6-F7-F15</f>
        <v>0</v>
      </c>
      <c r="G49" s="995">
        <f t="shared" ref="G49:W49" si="20">G6-G7-G15</f>
        <v>0</v>
      </c>
      <c r="H49" s="995">
        <f t="shared" si="20"/>
        <v>0</v>
      </c>
      <c r="I49" s="995">
        <f t="shared" si="20"/>
        <v>0</v>
      </c>
      <c r="J49" s="995">
        <f>J6-J7-J15</f>
        <v>0</v>
      </c>
      <c r="K49" s="995">
        <f t="shared" si="20"/>
        <v>0</v>
      </c>
      <c r="L49" s="995">
        <f t="shared" si="20"/>
        <v>0</v>
      </c>
      <c r="M49" s="995">
        <f t="shared" si="20"/>
        <v>0</v>
      </c>
      <c r="N49" s="995">
        <f t="shared" si="20"/>
        <v>1000000</v>
      </c>
      <c r="O49" s="995">
        <f t="shared" si="20"/>
        <v>0</v>
      </c>
      <c r="P49" s="995">
        <f t="shared" si="20"/>
        <v>0</v>
      </c>
      <c r="Q49" s="995">
        <f t="shared" si="20"/>
        <v>0</v>
      </c>
      <c r="R49" s="995">
        <f t="shared" si="20"/>
        <v>1000000</v>
      </c>
      <c r="S49" s="995">
        <f t="shared" si="20"/>
        <v>0</v>
      </c>
      <c r="T49" s="995">
        <f t="shared" si="20"/>
        <v>0</v>
      </c>
      <c r="U49" s="995">
        <f t="shared" si="20"/>
        <v>0</v>
      </c>
      <c r="V49" s="995">
        <f t="shared" si="20"/>
        <v>0</v>
      </c>
      <c r="W49" s="995">
        <f t="shared" si="20"/>
        <v>0</v>
      </c>
      <c r="X49" s="995">
        <f>X6-X7-X15</f>
        <v>0</v>
      </c>
      <c r="Y49" s="995">
        <f>Y6-Y7-Y15</f>
        <v>0</v>
      </c>
      <c r="Z49" s="995">
        <f t="shared" ref="Z49:AA49" si="21">Z6-Z7-Z15</f>
        <v>0</v>
      </c>
      <c r="AA49" s="995">
        <f t="shared" si="21"/>
        <v>0</v>
      </c>
    </row>
    <row r="50" spans="2:27">
      <c r="B50" s="981" t="s">
        <v>450</v>
      </c>
      <c r="C50" s="981"/>
      <c r="D50" s="969"/>
      <c r="E50" s="995">
        <f>E7-E8-E14</f>
        <v>0</v>
      </c>
      <c r="F50" s="995">
        <f t="shared" ref="F50:W50" si="22">F7-F8-F14</f>
        <v>0</v>
      </c>
      <c r="G50" s="995">
        <f t="shared" si="22"/>
        <v>0</v>
      </c>
      <c r="H50" s="995">
        <f t="shared" si="22"/>
        <v>0</v>
      </c>
      <c r="I50" s="995">
        <f t="shared" si="22"/>
        <v>0</v>
      </c>
      <c r="J50" s="995">
        <f t="shared" si="22"/>
        <v>0</v>
      </c>
      <c r="K50" s="995">
        <f t="shared" si="22"/>
        <v>0</v>
      </c>
      <c r="L50" s="995">
        <f t="shared" si="22"/>
        <v>0</v>
      </c>
      <c r="M50" s="995">
        <f t="shared" si="22"/>
        <v>0</v>
      </c>
      <c r="N50" s="995">
        <f t="shared" si="22"/>
        <v>0</v>
      </c>
      <c r="O50" s="995">
        <f t="shared" si="22"/>
        <v>0</v>
      </c>
      <c r="P50" s="995">
        <f t="shared" si="22"/>
        <v>0</v>
      </c>
      <c r="Q50" s="995">
        <f t="shared" si="22"/>
        <v>0</v>
      </c>
      <c r="R50" s="995">
        <f t="shared" si="22"/>
        <v>0</v>
      </c>
      <c r="S50" s="995">
        <f t="shared" si="22"/>
        <v>0</v>
      </c>
      <c r="T50" s="995">
        <f t="shared" si="22"/>
        <v>0</v>
      </c>
      <c r="U50" s="995">
        <f t="shared" si="22"/>
        <v>0</v>
      </c>
      <c r="V50" s="995">
        <f t="shared" si="22"/>
        <v>0</v>
      </c>
      <c r="W50" s="995">
        <f t="shared" si="22"/>
        <v>0</v>
      </c>
      <c r="X50" s="995">
        <f>X7-X8-X14</f>
        <v>0</v>
      </c>
      <c r="Y50" s="995">
        <f>Y7-Y8-Y14</f>
        <v>0</v>
      </c>
      <c r="Z50" s="995">
        <f t="shared" ref="Z50:AA50" si="23">Z7-Z8-Z14</f>
        <v>0</v>
      </c>
      <c r="AA50" s="995">
        <f t="shared" si="23"/>
        <v>0</v>
      </c>
    </row>
    <row r="51" spans="2:27">
      <c r="B51" s="972" t="s">
        <v>361</v>
      </c>
      <c r="C51" s="981"/>
      <c r="D51" s="969"/>
      <c r="E51" s="995">
        <f>E8-E9-E10-E12-E13</f>
        <v>-2.384185791015625E-7</v>
      </c>
      <c r="F51" s="995">
        <f t="shared" ref="F51:W51" si="24">F8-F9-F10-F12-F13</f>
        <v>0</v>
      </c>
      <c r="G51" s="995">
        <f>G8-G9-G10-G12-G13</f>
        <v>1.3411045074462891E-7</v>
      </c>
      <c r="H51" s="995">
        <f t="shared" si="24"/>
        <v>0</v>
      </c>
      <c r="I51" s="995">
        <f t="shared" si="24"/>
        <v>-2.384185791015625E-7</v>
      </c>
      <c r="J51" s="995">
        <f t="shared" si="24"/>
        <v>1.4901161193847656E-8</v>
      </c>
      <c r="K51" s="995">
        <f t="shared" si="24"/>
        <v>1000000</v>
      </c>
      <c r="L51" s="995">
        <f t="shared" si="24"/>
        <v>0</v>
      </c>
      <c r="M51" s="995">
        <f t="shared" si="24"/>
        <v>0</v>
      </c>
      <c r="N51" s="995">
        <f t="shared" si="24"/>
        <v>0</v>
      </c>
      <c r="O51" s="995">
        <f t="shared" si="24"/>
        <v>0</v>
      </c>
      <c r="P51" s="995">
        <f t="shared" si="24"/>
        <v>-1000000</v>
      </c>
      <c r="Q51" s="995">
        <f t="shared" si="24"/>
        <v>0</v>
      </c>
      <c r="R51" s="995">
        <f t="shared" si="24"/>
        <v>-1000000</v>
      </c>
      <c r="S51" s="995">
        <f t="shared" si="24"/>
        <v>1000000</v>
      </c>
      <c r="T51" s="995">
        <f t="shared" si="24"/>
        <v>0</v>
      </c>
      <c r="U51" s="995">
        <f t="shared" si="24"/>
        <v>0</v>
      </c>
      <c r="V51" s="995">
        <f t="shared" si="24"/>
        <v>0</v>
      </c>
      <c r="W51" s="995">
        <f t="shared" si="24"/>
        <v>0</v>
      </c>
      <c r="X51" s="995">
        <f>X8-X9-X10-X12-X13</f>
        <v>0</v>
      </c>
      <c r="Y51" s="995">
        <f>Y8-Y9-Y10-Y12-Y13</f>
        <v>0</v>
      </c>
      <c r="Z51" s="995">
        <f t="shared" ref="Z51:AA51" si="25">Z8-Z9-Z10-Z12-Z13</f>
        <v>0</v>
      </c>
      <c r="AA51" s="995">
        <f t="shared" si="25"/>
        <v>0</v>
      </c>
    </row>
    <row r="52" spans="2:27">
      <c r="B52" s="972" t="s">
        <v>145</v>
      </c>
      <c r="C52" s="981"/>
      <c r="D52" s="969"/>
      <c r="E52" s="995">
        <f>E16-E17-E25</f>
        <v>0</v>
      </c>
      <c r="F52" s="995">
        <f>F16-F17-F25</f>
        <v>0</v>
      </c>
      <c r="G52" s="995">
        <f t="shared" ref="G52:V52" si="26">G16-G17-G25</f>
        <v>0</v>
      </c>
      <c r="H52" s="995">
        <f t="shared" si="26"/>
        <v>0</v>
      </c>
      <c r="I52" s="995">
        <f t="shared" si="26"/>
        <v>0</v>
      </c>
      <c r="J52" s="995">
        <f>J16-J17-J25</f>
        <v>0</v>
      </c>
      <c r="K52" s="995">
        <f t="shared" si="26"/>
        <v>0</v>
      </c>
      <c r="L52" s="995">
        <f t="shared" si="26"/>
        <v>0</v>
      </c>
      <c r="M52" s="995">
        <f t="shared" si="26"/>
        <v>0</v>
      </c>
      <c r="N52" s="995">
        <f t="shared" si="26"/>
        <v>0</v>
      </c>
      <c r="O52" s="995">
        <f t="shared" si="26"/>
        <v>0</v>
      </c>
      <c r="P52" s="995">
        <f t="shared" si="26"/>
        <v>0</v>
      </c>
      <c r="Q52" s="995">
        <f t="shared" si="26"/>
        <v>0</v>
      </c>
      <c r="R52" s="995">
        <f t="shared" si="26"/>
        <v>0</v>
      </c>
      <c r="S52" s="995">
        <f t="shared" si="26"/>
        <v>0</v>
      </c>
      <c r="T52" s="995">
        <f t="shared" si="26"/>
        <v>0</v>
      </c>
      <c r="U52" s="995">
        <f t="shared" si="26"/>
        <v>0</v>
      </c>
      <c r="V52" s="995">
        <f t="shared" si="26"/>
        <v>0</v>
      </c>
      <c r="W52" s="995">
        <f>W16-W17-W25</f>
        <v>0</v>
      </c>
      <c r="X52" s="995">
        <f>X16-X17-X25</f>
        <v>0</v>
      </c>
      <c r="Y52" s="995">
        <f>Y16-Y17-Y25</f>
        <v>0</v>
      </c>
      <c r="Z52" s="995">
        <f t="shared" ref="Z52:AA52" si="27">Z16-Z17-Z25</f>
        <v>0</v>
      </c>
      <c r="AA52" s="995">
        <f t="shared" si="27"/>
        <v>0</v>
      </c>
    </row>
    <row r="53" spans="2:27">
      <c r="B53" s="981" t="s">
        <v>289</v>
      </c>
      <c r="C53" s="981"/>
      <c r="D53" s="969"/>
      <c r="E53" s="995">
        <f>E17-E18-E19-E20-E21</f>
        <v>0</v>
      </c>
      <c r="F53" s="995">
        <f t="shared" ref="F53:V53" si="28">F17-F18-F19-F20-F21</f>
        <v>0</v>
      </c>
      <c r="G53" s="995">
        <f t="shared" si="28"/>
        <v>0</v>
      </c>
      <c r="H53" s="995">
        <f>H17-H18-H19-H20-H21</f>
        <v>0</v>
      </c>
      <c r="I53" s="995">
        <f>I17-I18-I19-I20-I21</f>
        <v>0</v>
      </c>
      <c r="J53" s="995">
        <f t="shared" si="28"/>
        <v>0</v>
      </c>
      <c r="K53" s="995">
        <f t="shared" si="28"/>
        <v>1000000</v>
      </c>
      <c r="L53" s="995">
        <f t="shared" si="28"/>
        <v>-1000000</v>
      </c>
      <c r="M53" s="995">
        <f t="shared" si="28"/>
        <v>0</v>
      </c>
      <c r="N53" s="995">
        <f t="shared" si="28"/>
        <v>0</v>
      </c>
      <c r="O53" s="995">
        <f t="shared" si="28"/>
        <v>0</v>
      </c>
      <c r="P53" s="995">
        <f t="shared" si="28"/>
        <v>1000000</v>
      </c>
      <c r="Q53" s="995">
        <f t="shared" si="28"/>
        <v>0</v>
      </c>
      <c r="R53" s="995">
        <f t="shared" si="28"/>
        <v>0</v>
      </c>
      <c r="S53" s="995">
        <f t="shared" si="28"/>
        <v>0</v>
      </c>
      <c r="T53" s="995">
        <f t="shared" si="28"/>
        <v>0</v>
      </c>
      <c r="U53" s="995">
        <f t="shared" si="28"/>
        <v>0</v>
      </c>
      <c r="V53" s="995">
        <f t="shared" si="28"/>
        <v>0</v>
      </c>
      <c r="W53" s="995">
        <f>W17-W18-W19-W20-W21</f>
        <v>0</v>
      </c>
      <c r="X53" s="995">
        <f>X17-X18-X19-X20-X21</f>
        <v>0</v>
      </c>
      <c r="Y53" s="995">
        <f>Y17-Y18-Y19-Y20-Y21</f>
        <v>0</v>
      </c>
      <c r="Z53" s="995">
        <f t="shared" ref="Z53:AA53" si="29">Z17-Z18-Z19-Z20-Z21</f>
        <v>0</v>
      </c>
      <c r="AA53" s="995">
        <f t="shared" si="29"/>
        <v>0</v>
      </c>
    </row>
    <row r="54" spans="2:27">
      <c r="B54" s="981" t="s">
        <v>2431</v>
      </c>
      <c r="C54" s="981"/>
      <c r="D54" s="969"/>
      <c r="E54" s="995">
        <f>E21-E22-E24</f>
        <v>0</v>
      </c>
      <c r="F54" s="995">
        <f t="shared" ref="F54:V54" si="30">F21-F22-F24</f>
        <v>0</v>
      </c>
      <c r="G54" s="995">
        <f t="shared" si="30"/>
        <v>0</v>
      </c>
      <c r="H54" s="995">
        <f>H21-H22-H24</f>
        <v>0</v>
      </c>
      <c r="I54" s="995">
        <f>I21-I22-I24</f>
        <v>0</v>
      </c>
      <c r="J54" s="995">
        <f>J21-J22-J24</f>
        <v>0</v>
      </c>
      <c r="K54" s="995">
        <f t="shared" si="30"/>
        <v>0</v>
      </c>
      <c r="L54" s="995">
        <f t="shared" si="30"/>
        <v>1000000</v>
      </c>
      <c r="M54" s="995">
        <f t="shared" si="30"/>
        <v>0</v>
      </c>
      <c r="N54" s="995">
        <f t="shared" si="30"/>
        <v>0</v>
      </c>
      <c r="O54" s="995">
        <f t="shared" si="30"/>
        <v>0</v>
      </c>
      <c r="P54" s="995">
        <f t="shared" si="30"/>
        <v>0</v>
      </c>
      <c r="Q54" s="995">
        <f t="shared" si="30"/>
        <v>0</v>
      </c>
      <c r="R54" s="995">
        <f t="shared" si="30"/>
        <v>0</v>
      </c>
      <c r="S54" s="995">
        <f t="shared" si="30"/>
        <v>0</v>
      </c>
      <c r="T54" s="995">
        <f t="shared" si="30"/>
        <v>0</v>
      </c>
      <c r="U54" s="995">
        <f t="shared" si="30"/>
        <v>0</v>
      </c>
      <c r="V54" s="995">
        <f t="shared" si="30"/>
        <v>0</v>
      </c>
      <c r="W54" s="995">
        <f>W21-W22-W24</f>
        <v>0</v>
      </c>
      <c r="X54" s="995">
        <f>X21-X22-X24</f>
        <v>0</v>
      </c>
      <c r="Y54" s="995">
        <f>Y21-Y22-Y24</f>
        <v>0</v>
      </c>
      <c r="Z54" s="995">
        <f t="shared" ref="Z54:AA54" si="31">Z21-Z22-Z24</f>
        <v>0</v>
      </c>
      <c r="AA54" s="995">
        <f t="shared" si="31"/>
        <v>0</v>
      </c>
    </row>
    <row r="55" spans="2:27">
      <c r="B55" s="981" t="s">
        <v>1623</v>
      </c>
      <c r="C55" s="981"/>
      <c r="D55" s="969"/>
      <c r="E55" s="995">
        <f>E25-E26-E27</f>
        <v>-5.9604644775390625E-8</v>
      </c>
      <c r="F55" s="995">
        <f t="shared" ref="F55:W55" si="32">F25-F26-F27</f>
        <v>0</v>
      </c>
      <c r="G55" s="995">
        <f t="shared" si="32"/>
        <v>0</v>
      </c>
      <c r="H55" s="995">
        <f t="shared" si="32"/>
        <v>0</v>
      </c>
      <c r="I55" s="995">
        <f t="shared" si="32"/>
        <v>5.9604644775390625E-8</v>
      </c>
      <c r="J55" s="995">
        <f t="shared" si="32"/>
        <v>0</v>
      </c>
      <c r="K55" s="1003">
        <f>K25-K26-K27</f>
        <v>567000000</v>
      </c>
      <c r="L55" s="1003">
        <f t="shared" si="32"/>
        <v>661000000</v>
      </c>
      <c r="M55" s="1003">
        <f t="shared" si="32"/>
        <v>642000000</v>
      </c>
      <c r="N55" s="1003">
        <f t="shared" si="32"/>
        <v>677000000</v>
      </c>
      <c r="O55" s="1003">
        <f t="shared" si="32"/>
        <v>668000000</v>
      </c>
      <c r="P55" s="1003">
        <f t="shared" si="32"/>
        <v>818000000</v>
      </c>
      <c r="Q55" s="1003">
        <f t="shared" si="32"/>
        <v>776000000</v>
      </c>
      <c r="R55" s="1003">
        <f t="shared" si="32"/>
        <v>700000000</v>
      </c>
      <c r="S55" s="1003">
        <f t="shared" si="32"/>
        <v>701000000</v>
      </c>
      <c r="T55" s="1003">
        <f t="shared" si="32"/>
        <v>815000000</v>
      </c>
      <c r="U55" s="1003">
        <f t="shared" si="32"/>
        <v>747000000</v>
      </c>
      <c r="V55" s="1003">
        <f>V25-V26-V27</f>
        <v>894000000</v>
      </c>
      <c r="W55" s="1003">
        <f t="shared" si="32"/>
        <v>950000000</v>
      </c>
      <c r="X55" s="1003">
        <f>X25-X26-X27</f>
        <v>907000000</v>
      </c>
      <c r="Y55" s="1003">
        <f>Y25-Y26-Y27</f>
        <v>909000000</v>
      </c>
      <c r="Z55" s="1003">
        <f t="shared" ref="Z55:AA55" si="33">Z25-Z26-Z27</f>
        <v>947000000</v>
      </c>
      <c r="AA55" s="1003">
        <f t="shared" si="33"/>
        <v>986000000</v>
      </c>
    </row>
    <row r="56" spans="2:27">
      <c r="B56" s="981" t="s">
        <v>148</v>
      </c>
      <c r="C56" s="981"/>
      <c r="D56" s="969"/>
      <c r="E56" s="995">
        <f t="shared" ref="E56:J56" si="34">E33-E34-E38-E44</f>
        <v>1.4901161193847656E-8</v>
      </c>
      <c r="F56" s="995">
        <f t="shared" si="34"/>
        <v>0</v>
      </c>
      <c r="G56" s="995">
        <f t="shared" si="34"/>
        <v>0</v>
      </c>
      <c r="H56" s="995">
        <f t="shared" si="34"/>
        <v>0</v>
      </c>
      <c r="I56" s="995">
        <f t="shared" si="34"/>
        <v>5.9604644775390625E-8</v>
      </c>
      <c r="J56" s="995">
        <f t="shared" si="34"/>
        <v>2.2351741790771484E-8</v>
      </c>
      <c r="K56" s="995">
        <f t="shared" ref="K56:W56" si="35">K33-K34-K38-K44</f>
        <v>0</v>
      </c>
      <c r="L56" s="995">
        <f t="shared" si="35"/>
        <v>-1000000</v>
      </c>
      <c r="M56" s="995">
        <f t="shared" si="35"/>
        <v>1000000</v>
      </c>
      <c r="N56" s="995">
        <f t="shared" si="35"/>
        <v>0</v>
      </c>
      <c r="O56" s="995">
        <f t="shared" si="35"/>
        <v>0</v>
      </c>
      <c r="P56" s="995">
        <f t="shared" si="35"/>
        <v>0</v>
      </c>
      <c r="Q56" s="995">
        <f t="shared" si="35"/>
        <v>-1000000</v>
      </c>
      <c r="R56" s="995">
        <f>R33-R34-R38-R44</f>
        <v>-1000000</v>
      </c>
      <c r="S56" s="995">
        <f t="shared" si="35"/>
        <v>0</v>
      </c>
      <c r="T56" s="995">
        <f t="shared" si="35"/>
        <v>0</v>
      </c>
      <c r="U56" s="995">
        <f t="shared" si="35"/>
        <v>0</v>
      </c>
      <c r="V56" s="995">
        <f t="shared" si="35"/>
        <v>0</v>
      </c>
      <c r="W56" s="995">
        <f t="shared" si="35"/>
        <v>0</v>
      </c>
      <c r="X56" s="995">
        <f>X33-X34-X38-X44</f>
        <v>0</v>
      </c>
      <c r="Y56" s="995">
        <f>Y33-Y34-Y38-Y44</f>
        <v>0</v>
      </c>
      <c r="Z56" s="995">
        <f t="shared" ref="Z56:AA56" si="36">Z33-Z34-Z38-Z44</f>
        <v>0</v>
      </c>
      <c r="AA56" s="995">
        <f t="shared" si="36"/>
        <v>0</v>
      </c>
    </row>
    <row r="57" spans="2:27">
      <c r="B57" s="981" t="s">
        <v>528</v>
      </c>
      <c r="C57" s="981"/>
      <c r="D57" s="969"/>
      <c r="E57" s="995">
        <f>E34-E35-E36</f>
        <v>0</v>
      </c>
      <c r="F57" s="995">
        <f>F34-F35-F36-F37</f>
        <v>0</v>
      </c>
      <c r="G57" s="995">
        <f>G34-G35-G36-G37</f>
        <v>0</v>
      </c>
      <c r="H57" s="995">
        <f>H34-H35-H36</f>
        <v>0</v>
      </c>
      <c r="I57" s="995">
        <f>I34-I35-I36</f>
        <v>0</v>
      </c>
      <c r="J57" s="995">
        <f>J34-J35-J36</f>
        <v>0</v>
      </c>
      <c r="K57" s="995">
        <f t="shared" ref="K57:V57" si="37">K34-K35-K36</f>
        <v>0</v>
      </c>
      <c r="L57" s="995">
        <f t="shared" si="37"/>
        <v>0</v>
      </c>
      <c r="M57" s="995">
        <f t="shared" si="37"/>
        <v>0</v>
      </c>
      <c r="N57" s="995">
        <f t="shared" si="37"/>
        <v>0</v>
      </c>
      <c r="O57" s="995">
        <f t="shared" si="37"/>
        <v>0</v>
      </c>
      <c r="P57" s="995">
        <f t="shared" si="37"/>
        <v>0</v>
      </c>
      <c r="Q57" s="995">
        <f t="shared" si="37"/>
        <v>0</v>
      </c>
      <c r="R57" s="995">
        <f t="shared" si="37"/>
        <v>0</v>
      </c>
      <c r="S57" s="995">
        <f t="shared" si="37"/>
        <v>0</v>
      </c>
      <c r="T57" s="995">
        <f t="shared" si="37"/>
        <v>0</v>
      </c>
      <c r="U57" s="995">
        <f t="shared" si="37"/>
        <v>0</v>
      </c>
      <c r="V57" s="995">
        <f t="shared" si="37"/>
        <v>0</v>
      </c>
      <c r="W57" s="995">
        <f>W34-W35-W36</f>
        <v>0</v>
      </c>
      <c r="X57" s="995">
        <f>X34-X35-X36</f>
        <v>0</v>
      </c>
      <c r="Y57" s="995">
        <f>Y34-Y35-Y36</f>
        <v>0</v>
      </c>
      <c r="Z57" s="995">
        <f t="shared" ref="Z57:AA57" si="38">Z34-Z35-Z36</f>
        <v>0</v>
      </c>
      <c r="AA57" s="995">
        <f t="shared" si="38"/>
        <v>0</v>
      </c>
    </row>
    <row r="58" spans="2:27">
      <c r="B58" s="981" t="s">
        <v>297</v>
      </c>
      <c r="C58" s="981"/>
      <c r="D58" s="969"/>
      <c r="E58" s="995">
        <f>E38-E39-E40-E41-E43-E42</f>
        <v>-1.4901161193847656E-8</v>
      </c>
      <c r="F58" s="995">
        <f t="shared" ref="F58:W58" si="39">F38-F39-F40-F41-F43-F42</f>
        <v>0</v>
      </c>
      <c r="G58" s="995">
        <f t="shared" si="39"/>
        <v>0</v>
      </c>
      <c r="H58" s="995">
        <f t="shared" si="39"/>
        <v>0</v>
      </c>
      <c r="I58" s="995">
        <f t="shared" si="39"/>
        <v>0</v>
      </c>
      <c r="J58" s="995">
        <f>J38-J39-J40-J41-J43-J42</f>
        <v>-7.4505805969238281E-9</v>
      </c>
      <c r="K58" s="995">
        <f t="shared" si="39"/>
        <v>0</v>
      </c>
      <c r="L58" s="995">
        <f t="shared" si="39"/>
        <v>0</v>
      </c>
      <c r="M58" s="995">
        <f t="shared" si="39"/>
        <v>0</v>
      </c>
      <c r="N58" s="995">
        <f t="shared" si="39"/>
        <v>0</v>
      </c>
      <c r="O58" s="995">
        <f t="shared" si="39"/>
        <v>0</v>
      </c>
      <c r="P58" s="995">
        <f>P38-P39-P40-P41-P43-P42</f>
        <v>0</v>
      </c>
      <c r="Q58" s="995">
        <f t="shared" si="39"/>
        <v>0</v>
      </c>
      <c r="R58" s="995">
        <f t="shared" si="39"/>
        <v>0</v>
      </c>
      <c r="S58" s="995">
        <f t="shared" si="39"/>
        <v>0</v>
      </c>
      <c r="T58" s="995">
        <f t="shared" si="39"/>
        <v>0</v>
      </c>
      <c r="U58" s="995">
        <f t="shared" si="39"/>
        <v>0</v>
      </c>
      <c r="V58" s="995">
        <f t="shared" si="39"/>
        <v>0</v>
      </c>
      <c r="W58" s="995">
        <f t="shared" si="39"/>
        <v>0</v>
      </c>
      <c r="X58" s="995">
        <f>X38-X39-X40-X41-X43-X42</f>
        <v>0</v>
      </c>
      <c r="Y58" s="995">
        <f>Y38-Y39-Y40-Y41-Y43-Y42</f>
        <v>0</v>
      </c>
      <c r="Z58" s="995">
        <f t="shared" ref="Z58:AA58" si="40">Z38-Z39-Z40-Z41-Z43-Z42</f>
        <v>0</v>
      </c>
      <c r="AA58" s="995">
        <f t="shared" si="40"/>
        <v>0</v>
      </c>
    </row>
    <row r="59" spans="2:27">
      <c r="B59" s="981"/>
      <c r="C59" s="981"/>
      <c r="D59" s="969"/>
    </row>
    <row r="60" spans="2:27">
      <c r="B60" s="981" t="s">
        <v>623</v>
      </c>
      <c r="C60" s="981"/>
      <c r="D60" s="969"/>
      <c r="E60" s="995">
        <v>13813000000</v>
      </c>
      <c r="F60" s="995">
        <v>14307000000</v>
      </c>
      <c r="G60" s="995">
        <v>15047000000</v>
      </c>
      <c r="H60" s="995">
        <v>15798000000</v>
      </c>
      <c r="I60" s="995">
        <v>17094000000.000002</v>
      </c>
      <c r="J60" s="995">
        <v>18551000000</v>
      </c>
      <c r="K60" s="995">
        <v>20105000000</v>
      </c>
      <c r="L60" s="995">
        <v>21431000000</v>
      </c>
      <c r="M60" s="995">
        <v>20661000000</v>
      </c>
      <c r="N60" s="995">
        <v>21418000000</v>
      </c>
      <c r="O60" s="995">
        <v>23139000000</v>
      </c>
      <c r="P60" s="995">
        <v>23814000000</v>
      </c>
      <c r="Q60" s="995">
        <v>24259000000</v>
      </c>
      <c r="R60" s="1233">
        <v>25054000000</v>
      </c>
      <c r="S60" s="1233">
        <v>25850000000</v>
      </c>
      <c r="T60" s="21">
        <v>23912000000</v>
      </c>
      <c r="U60" s="21">
        <v>24805000000</v>
      </c>
      <c r="V60" s="21">
        <v>25970000000</v>
      </c>
      <c r="W60" s="21">
        <v>27152000000</v>
      </c>
      <c r="X60" s="21">
        <v>28351000000</v>
      </c>
      <c r="Y60" s="21">
        <v>29532000000</v>
      </c>
      <c r="Z60" s="21">
        <v>30771000000</v>
      </c>
      <c r="AA60" s="21">
        <v>32050000000</v>
      </c>
    </row>
    <row r="61" spans="2:27">
      <c r="B61" s="981" t="s">
        <v>2432</v>
      </c>
      <c r="C61" s="981"/>
      <c r="D61" s="969"/>
      <c r="E61" s="972">
        <f t="shared" ref="E61:Q61" si="41">(E6/E60)*100</f>
        <v>15.5</v>
      </c>
      <c r="F61" s="972">
        <f t="shared" si="41"/>
        <v>15.6</v>
      </c>
      <c r="G61" s="972">
        <f t="shared" si="41"/>
        <v>16.400000000000002</v>
      </c>
      <c r="H61" s="972">
        <f t="shared" si="41"/>
        <v>15.9</v>
      </c>
      <c r="I61" s="972">
        <f t="shared" si="41"/>
        <v>16.499999999999996</v>
      </c>
      <c r="J61" s="972">
        <f t="shared" si="41"/>
        <v>17.099999999999998</v>
      </c>
      <c r="K61" s="972">
        <f t="shared" si="41"/>
        <v>17.329022631186273</v>
      </c>
      <c r="L61" s="972">
        <f t="shared" si="41"/>
        <v>17.41402641034016</v>
      </c>
      <c r="M61" s="972">
        <f t="shared" si="41"/>
        <v>16.451285029766225</v>
      </c>
      <c r="N61" s="972">
        <f t="shared" si="41"/>
        <v>17.760761975908114</v>
      </c>
      <c r="O61" s="972">
        <f t="shared" si="41"/>
        <v>18.233285794546006</v>
      </c>
      <c r="P61" s="972">
        <f t="shared" si="41"/>
        <v>18.925841941714957</v>
      </c>
      <c r="Q61" s="972">
        <f t="shared" si="41"/>
        <v>19.28356486252525</v>
      </c>
      <c r="R61" s="972">
        <f t="shared" ref="R61:S61" si="42">(R6/R60)*100</f>
        <v>18.915143290492537</v>
      </c>
      <c r="S61" s="972">
        <f t="shared" si="42"/>
        <v>19.044487427466152</v>
      </c>
      <c r="T61" s="972">
        <f t="shared" ref="T61:AA61" si="43">(T6/T60)*100</f>
        <v>22.047507527601205</v>
      </c>
      <c r="U61" s="972">
        <f t="shared" si="43"/>
        <v>22.632533763354161</v>
      </c>
      <c r="V61" s="972">
        <f t="shared" si="43"/>
        <v>22.918752406623028</v>
      </c>
      <c r="W61" s="972">
        <f t="shared" si="43"/>
        <v>22.712875662934589</v>
      </c>
      <c r="X61" s="972">
        <f t="shared" si="43"/>
        <v>22.404853444322949</v>
      </c>
      <c r="Y61" s="972">
        <f t="shared" si="43"/>
        <v>22.331707977786806</v>
      </c>
      <c r="Z61" s="972">
        <f t="shared" si="43"/>
        <v>22.319716616294563</v>
      </c>
      <c r="AA61" s="972">
        <f t="shared" si="43"/>
        <v>22.243369734789393</v>
      </c>
    </row>
    <row r="62" spans="2:27">
      <c r="B62" s="981" t="s">
        <v>145</v>
      </c>
      <c r="C62" s="981"/>
      <c r="D62" s="969"/>
      <c r="E62" s="972">
        <f t="shared" ref="E62:Q62" si="44">(E16/E60)*100</f>
        <v>18.399999999999999</v>
      </c>
      <c r="F62" s="972">
        <f t="shared" si="44"/>
        <v>17.899999999999999</v>
      </c>
      <c r="G62" s="972">
        <f t="shared" si="44"/>
        <v>18.7</v>
      </c>
      <c r="H62" s="972">
        <f t="shared" si="44"/>
        <v>18.899999999999999</v>
      </c>
      <c r="I62" s="972">
        <f t="shared" si="44"/>
        <v>19.499999999999996</v>
      </c>
      <c r="J62" s="972">
        <f t="shared" si="44"/>
        <v>20.2</v>
      </c>
      <c r="K62" s="972">
        <f t="shared" si="44"/>
        <v>19.293708032827656</v>
      </c>
      <c r="L62" s="972">
        <f t="shared" si="44"/>
        <v>20.60099855349727</v>
      </c>
      <c r="M62" s="972">
        <f t="shared" si="44"/>
        <v>22.114128067373311</v>
      </c>
      <c r="N62" s="972">
        <f t="shared" si="44"/>
        <v>22.04220748902792</v>
      </c>
      <c r="O62" s="972">
        <f t="shared" si="44"/>
        <v>22.148753187259604</v>
      </c>
      <c r="P62" s="972">
        <f t="shared" si="44"/>
        <v>22.789115646258505</v>
      </c>
      <c r="Q62" s="972">
        <f t="shared" si="44"/>
        <v>23.352157961993488</v>
      </c>
      <c r="R62" s="972">
        <f t="shared" ref="R62:S62" si="45">(R16/R60)*100</f>
        <v>22.455496128362736</v>
      </c>
      <c r="S62" s="972">
        <f t="shared" si="45"/>
        <v>22.433268858800773</v>
      </c>
      <c r="T62" s="972">
        <f t="shared" ref="T62:AA62" si="46">(T16/T60)*100</f>
        <v>25.422382067581129</v>
      </c>
      <c r="U62" s="972">
        <f t="shared" si="46"/>
        <v>25.095746825236848</v>
      </c>
      <c r="V62" s="972">
        <f t="shared" si="46"/>
        <v>25.167500962649207</v>
      </c>
      <c r="W62" s="972">
        <f t="shared" si="46"/>
        <v>25.438273423688862</v>
      </c>
      <c r="X62" s="972">
        <f t="shared" si="46"/>
        <v>25.205460124863322</v>
      </c>
      <c r="Y62" s="972">
        <f t="shared" si="46"/>
        <v>25.193010971149938</v>
      </c>
      <c r="Z62" s="972">
        <f t="shared" si="46"/>
        <v>25.351792271944362</v>
      </c>
      <c r="AA62" s="972">
        <f t="shared" si="46"/>
        <v>25.510140405616227</v>
      </c>
    </row>
    <row r="63" spans="2:27">
      <c r="F63" s="995"/>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2433</v>
      </c>
      <c r="B1" s="82" t="s">
        <v>2434</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2435</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95" t="s">
        <v>33</v>
      </c>
      <c r="B6" s="95" t="s">
        <v>34</v>
      </c>
      <c r="C6" s="15" t="s">
        <v>35</v>
      </c>
      <c r="D6" s="200"/>
      <c r="E6" s="250"/>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20" t="s">
        <v>2436</v>
      </c>
      <c r="B8" s="90" t="s">
        <v>2437</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39</v>
      </c>
      <c r="B9" s="99" t="s">
        <v>315</v>
      </c>
      <c r="C9" s="90" t="s">
        <v>1630</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99" t="s">
        <v>560</v>
      </c>
      <c r="B10" s="99" t="s">
        <v>378</v>
      </c>
      <c r="C10" s="90" t="s">
        <v>1630</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38" t="s">
        <v>955</v>
      </c>
      <c r="B11" s="138" t="s">
        <v>955</v>
      </c>
      <c r="C11" s="139" t="s">
        <v>2438</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2439</v>
      </c>
      <c r="B12" s="100" t="s">
        <v>2440</v>
      </c>
      <c r="C12" s="139" t="s">
        <v>2438</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ht="16.5">
      <c r="A13" s="100" t="s">
        <v>2441</v>
      </c>
      <c r="B13" s="100" t="s">
        <v>2442</v>
      </c>
      <c r="C13" s="139" t="s">
        <v>2438</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20" t="s">
        <v>313</v>
      </c>
      <c r="B14" s="90" t="s">
        <v>2443</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99" t="s">
        <v>39</v>
      </c>
      <c r="B15" s="99" t="s">
        <v>315</v>
      </c>
      <c r="C15" s="90" t="s">
        <v>1906</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00" t="s">
        <v>1291</v>
      </c>
      <c r="B16" s="100" t="s">
        <v>2444</v>
      </c>
      <c r="C16" s="90" t="s">
        <v>2445</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ht="16.5">
      <c r="A17" s="100" t="s">
        <v>2446</v>
      </c>
      <c r="B17" s="100" t="s">
        <v>2447</v>
      </c>
      <c r="C17" s="90" t="s">
        <v>2445</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100" t="s">
        <v>2448</v>
      </c>
      <c r="B18" s="100" t="s">
        <v>2449</v>
      </c>
      <c r="C18" s="90" t="s">
        <v>2445</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ht="16.5">
      <c r="A19" s="100" t="s">
        <v>49</v>
      </c>
      <c r="B19" s="100" t="s">
        <v>1054</v>
      </c>
      <c r="C19" s="90" t="s">
        <v>2445</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s="99" t="s">
        <v>560</v>
      </c>
      <c r="B20" s="99" t="s">
        <v>378</v>
      </c>
      <c r="C20" s="90" t="s">
        <v>1906</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s="15" customFormat="1" ht="16.5">
      <c r="A21" s="251" t="s">
        <v>53</v>
      </c>
      <c r="B21" s="252"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t="s">
        <v>76</v>
      </c>
      <c r="B24" s="139" t="s">
        <v>535</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99" t="s">
        <v>797</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20" t="s">
        <v>83</v>
      </c>
      <c r="B27" s="99" t="s">
        <v>2450</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389</v>
      </c>
      <c r="B33" s="138" t="s">
        <v>389</v>
      </c>
      <c r="C33" s="139" t="s">
        <v>2451</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0"/>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100" t="s">
        <v>2452</v>
      </c>
      <c r="B34" s="100" t="s">
        <v>2453</v>
      </c>
      <c r="C34" s="139" t="s">
        <v>2451</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0"/>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203" t="s">
        <v>237</v>
      </c>
      <c r="B35" s="90" t="s">
        <v>2454</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0" t="s">
        <v>76</v>
      </c>
      <c r="B36" s="90" t="s">
        <v>588</v>
      </c>
      <c r="C36" s="11"/>
      <c r="D36" s="90"/>
      <c r="E36" s="113"/>
      <c r="F36" s="106"/>
      <c r="G36" s="106"/>
      <c r="H36" s="106"/>
      <c r="I36" s="106"/>
      <c r="J36" s="141"/>
      <c r="K36" s="141"/>
      <c r="L36" s="141"/>
      <c r="M36" s="141"/>
      <c r="N36" s="141"/>
      <c r="O36" s="141"/>
      <c r="P36" s="141"/>
      <c r="Q36" s="141"/>
      <c r="R36" s="141"/>
      <c r="S36" s="125"/>
      <c r="T36" s="125"/>
      <c r="U36" s="125"/>
      <c r="V36" s="141"/>
      <c r="W36" s="141"/>
      <c r="X36" s="470"/>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t="s">
        <v>76</v>
      </c>
      <c r="B37" s="90" t="s">
        <v>2455</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0"/>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2456</v>
      </c>
      <c r="C38" s="90"/>
      <c r="D38" s="90"/>
      <c r="E38" s="253"/>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0"/>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2457</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0"/>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18" t="s">
        <v>115</v>
      </c>
      <c r="B40" s="18" t="s">
        <v>115</v>
      </c>
      <c r="C40" s="18" t="s">
        <v>35</v>
      </c>
      <c r="D40" s="18"/>
      <c r="E40" s="254"/>
      <c r="F40" s="219"/>
      <c r="G40" s="219"/>
      <c r="H40" s="219"/>
      <c r="I40" s="219"/>
      <c r="J40" s="255">
        <f t="shared" ref="J40:R40" si="12">-(J42-J56)</f>
        <v>-1133000000000</v>
      </c>
      <c r="K40" s="255">
        <f t="shared" si="12"/>
        <v>-1094300000000</v>
      </c>
      <c r="L40" s="255">
        <f t="shared" si="12"/>
        <v>-1292500000000</v>
      </c>
      <c r="M40" s="255">
        <f t="shared" si="12"/>
        <v>284000000000</v>
      </c>
      <c r="N40" s="255">
        <f t="shared" si="12"/>
        <v>337000000000</v>
      </c>
      <c r="O40" s="255">
        <f t="shared" si="12"/>
        <v>521000000000</v>
      </c>
      <c r="P40" s="255">
        <f t="shared" si="12"/>
        <v>653000000000</v>
      </c>
      <c r="Q40" s="255">
        <f t="shared" si="12"/>
        <v>695000000000</v>
      </c>
      <c r="R40" s="255">
        <f t="shared" si="12"/>
        <v>266000000000</v>
      </c>
      <c r="S40" s="255">
        <f>S42+S58</f>
        <v>273000000000</v>
      </c>
      <c r="T40" s="255">
        <f t="shared" ref="T40:U40" si="13">T42+T58</f>
        <v>375000000000</v>
      </c>
      <c r="U40" s="255">
        <f t="shared" si="13"/>
        <v>359000000000</v>
      </c>
      <c r="V40" s="255"/>
      <c r="W40" s="255"/>
      <c r="X40" s="25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s="43" t="s">
        <v>120</v>
      </c>
      <c r="B41" s="90" t="s">
        <v>2458</v>
      </c>
      <c r="C41" s="11" t="s">
        <v>119</v>
      </c>
      <c r="D41" s="90"/>
      <c r="E41" s="253"/>
      <c r="F41" s="106"/>
      <c r="G41" s="106"/>
      <c r="H41" s="106"/>
      <c r="I41" s="106"/>
      <c r="J41" s="362">
        <f>-(J42-J57)</f>
        <v>-1083200000000</v>
      </c>
      <c r="K41" s="362">
        <f t="shared" ref="K41:P41" si="14">-(K42-K57)</f>
        <v>-1084700000000</v>
      </c>
      <c r="L41" s="362">
        <f t="shared" si="14"/>
        <v>-1292500000000</v>
      </c>
      <c r="M41" s="362">
        <f t="shared" si="14"/>
        <v>47000000000</v>
      </c>
      <c r="N41" s="362">
        <f t="shared" si="14"/>
        <v>286000000000</v>
      </c>
      <c r="O41" s="362">
        <f t="shared" si="14"/>
        <v>241000000000</v>
      </c>
      <c r="P41" s="362">
        <f t="shared" si="14"/>
        <v>703000000000</v>
      </c>
      <c r="Q41" s="362">
        <f>-(Q42-Q57)</f>
        <v>711000000000</v>
      </c>
      <c r="R41" s="362">
        <f>-(R42-R57)</f>
        <v>381000000000</v>
      </c>
      <c r="S41" s="362">
        <f>S42+S57</f>
        <v>319000000000</v>
      </c>
      <c r="T41" s="362">
        <f t="shared" ref="T41:U41" si="15">T42+T57</f>
        <v>227000000000</v>
      </c>
      <c r="U41" s="362">
        <f t="shared" si="15"/>
        <v>209000000000</v>
      </c>
      <c r="V41" s="362"/>
      <c r="W41" s="362"/>
      <c r="X41" s="36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B42" s="90" t="s">
        <v>815</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s="99"/>
      <c r="B43" s="99" t="s">
        <v>441</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100" t="s">
        <v>2459</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100" t="s">
        <v>2460</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00" t="s">
        <v>2461</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00" t="s">
        <v>2462</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100" t="s">
        <v>2463</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100" t="s">
        <v>2464</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ht="16.5">
      <c r="B50" s="100" t="s">
        <v>7139</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152"/>
      <c r="B51" s="152" t="s">
        <v>444</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B52" s="100" t="s">
        <v>1159</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0"/>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99"/>
      <c r="B53" s="99" t="s">
        <v>819</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0"/>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t="s">
        <v>76</v>
      </c>
      <c r="B54" s="100" t="s">
        <v>2465</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0"/>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99" t="s">
        <v>2466</v>
      </c>
      <c r="B55" s="99" t="s">
        <v>2467</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0"/>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t="s">
        <v>76</v>
      </c>
      <c r="B56" s="90" t="s">
        <v>821</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5"/>
      <c r="Z56" s="365"/>
      <c r="AA56" s="365"/>
      <c r="AB56" s="464"/>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52" t="s">
        <v>444</v>
      </c>
      <c r="B60" s="152" t="s">
        <v>444</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ht="16.5">
      <c r="A61" s="20" t="s">
        <v>258</v>
      </c>
      <c r="B61" s="99" t="s">
        <v>2468</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ht="16.5">
      <c r="A62" s="99" t="s">
        <v>1468</v>
      </c>
      <c r="B62" s="99" t="s">
        <v>2469</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ht="15" customHeight="1">
      <c r="A63" s="152"/>
      <c r="B63" s="152" t="s">
        <v>444</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ht="16.5">
      <c r="A64" s="20"/>
      <c r="B64" s="99" t="s">
        <v>2468</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ht="16.5">
      <c r="A65" s="99"/>
      <c r="B65" s="99" t="s">
        <v>2469</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ht="15" customHeight="1">
      <c r="A66" s="152"/>
      <c r="B66" s="152" t="s">
        <v>444</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0"/>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ht="16.5">
      <c r="A67" s="20"/>
      <c r="B67" s="99" t="s">
        <v>2468</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0"/>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ht="16.5">
      <c r="A68" s="99"/>
      <c r="B68" s="99" t="s">
        <v>2469</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0"/>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ht="16.5">
      <c r="A69" t="s">
        <v>76</v>
      </c>
      <c r="B69" s="90" t="s">
        <v>2470</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0"/>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X70" s="3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X72" s="3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B73" t="s">
        <v>449</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5"/>
      <c r="Y74" s="365"/>
      <c r="Z74" s="365"/>
      <c r="AA74" s="464"/>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B75" t="s">
        <v>2471</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B76" t="s">
        <v>1761</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B77" t="s">
        <v>2472</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5"/>
      <c r="Z77" s="365"/>
      <c r="AA77" s="464"/>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ustomHeight="1">
      <c r="B80" t="s">
        <v>826</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2:48" ht="16.5" customHeight="1">
      <c r="B81" t="s">
        <v>2473</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2:48" ht="16.5" customHeight="1">
      <c r="B82" t="s">
        <v>2474</v>
      </c>
      <c r="J82" s="51">
        <f>J32-J33-J34</f>
        <v>0</v>
      </c>
      <c r="K82" s="51">
        <f t="shared" ref="K82:W82" si="34">K32-K33-K34</f>
        <v>0</v>
      </c>
      <c r="L82" s="51">
        <f t="shared" si="34"/>
        <v>0</v>
      </c>
      <c r="M82" s="51">
        <f t="shared" si="34"/>
        <v>0</v>
      </c>
      <c r="N82" s="51">
        <f t="shared" si="34"/>
        <v>0</v>
      </c>
      <c r="O82" s="51">
        <f t="shared" si="34"/>
        <v>0</v>
      </c>
      <c r="P82" s="471">
        <f>P32-P33-P34</f>
        <v>2000000000</v>
      </c>
      <c r="Q82" s="471">
        <f t="shared" si="34"/>
        <v>2000000000</v>
      </c>
      <c r="R82" s="471">
        <f t="shared" si="34"/>
        <v>3000000000</v>
      </c>
      <c r="S82" s="471">
        <f t="shared" si="34"/>
        <v>5000000000</v>
      </c>
      <c r="T82" s="471">
        <f t="shared" si="34"/>
        <v>4000000000</v>
      </c>
      <c r="U82" s="471">
        <f t="shared" si="34"/>
        <v>4000000000</v>
      </c>
      <c r="V82" s="471">
        <f t="shared" si="34"/>
        <v>0</v>
      </c>
      <c r="W82" s="471">
        <f t="shared" si="34"/>
        <v>0</v>
      </c>
      <c r="X82" s="471">
        <f>X32-X33-X34</f>
        <v>0</v>
      </c>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2:48">
      <c r="B84" t="s">
        <v>362</v>
      </c>
      <c r="J84" s="472">
        <f>J44-J46-J55-J58-J57</f>
        <v>580800000000</v>
      </c>
      <c r="K84" s="472">
        <f t="shared" ref="K84:W84" si="36">K41-K43-K52-K55-K54</f>
        <v>-2169400000000</v>
      </c>
      <c r="L84" s="472">
        <f t="shared" si="36"/>
        <v>-2585000000000</v>
      </c>
      <c r="M84" s="472">
        <f t="shared" si="36"/>
        <v>94000000000</v>
      </c>
      <c r="N84" s="472">
        <f t="shared" si="36"/>
        <v>572000000000</v>
      </c>
      <c r="O84" s="472">
        <f t="shared" si="36"/>
        <v>482000000000</v>
      </c>
      <c r="P84" s="472">
        <f t="shared" si="36"/>
        <v>1406000000000</v>
      </c>
      <c r="Q84" s="472">
        <f t="shared" si="36"/>
        <v>1422000000000</v>
      </c>
      <c r="R84" s="472">
        <f t="shared" si="36"/>
        <v>762000000000</v>
      </c>
      <c r="S84" s="472">
        <f t="shared" si="36"/>
        <v>0</v>
      </c>
      <c r="T84" s="472">
        <f t="shared" si="36"/>
        <v>0</v>
      </c>
      <c r="U84" s="472">
        <f t="shared" si="36"/>
        <v>0</v>
      </c>
      <c r="V84" s="472">
        <f t="shared" si="36"/>
        <v>0</v>
      </c>
      <c r="W84" s="472">
        <f t="shared" si="36"/>
        <v>0</v>
      </c>
      <c r="X84" s="472">
        <f>X41-X43-X52-X55-X54</f>
        <v>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2:48">
      <c r="B85" t="s">
        <v>1363</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2:48">
      <c r="I86" s="21"/>
      <c r="X86" s="36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2:48">
      <c r="B87" t="s">
        <v>724</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2:48">
      <c r="B88" t="s">
        <v>151</v>
      </c>
      <c r="J88" s="364">
        <f t="shared" ref="J88:W88" si="38">(J6/J87)*100</f>
        <v>49.780063317722785</v>
      </c>
      <c r="K88" s="364">
        <f t="shared" si="38"/>
        <v>47.217201992674326</v>
      </c>
      <c r="L88" s="364">
        <f t="shared" si="38"/>
        <v>44.13933148828864</v>
      </c>
      <c r="M88" s="364">
        <f t="shared" si="38"/>
        <v>53.551047287067313</v>
      </c>
      <c r="N88" s="364">
        <f t="shared" si="38"/>
        <v>37.495025503066977</v>
      </c>
      <c r="O88" s="364">
        <f t="shared" si="38"/>
        <v>38.393887596065582</v>
      </c>
      <c r="P88" s="364">
        <f t="shared" si="38"/>
        <v>37.931033664000132</v>
      </c>
      <c r="Q88" s="364">
        <f t="shared" si="38"/>
        <v>34.959349698997919</v>
      </c>
      <c r="R88" s="364">
        <f t="shared" si="38"/>
        <v>34.643203172528786</v>
      </c>
      <c r="S88" s="364">
        <f t="shared" si="38"/>
        <v>30.630389990976532</v>
      </c>
      <c r="T88" s="364">
        <f t="shared" si="38"/>
        <v>23.059419979607977</v>
      </c>
      <c r="U88" s="364">
        <f t="shared" si="38"/>
        <v>22.540558082227328</v>
      </c>
      <c r="V88" s="364">
        <f t="shared" si="38"/>
        <v>0</v>
      </c>
      <c r="W88" s="364">
        <f t="shared" si="38"/>
        <v>0</v>
      </c>
      <c r="X88" s="469"/>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2:48">
      <c r="B89" t="s">
        <v>152</v>
      </c>
      <c r="J89" s="364">
        <f t="shared" ref="J89:W89" si="39">(J22/J87)*100</f>
        <v>22.579329950929832</v>
      </c>
      <c r="K89" s="364">
        <f t="shared" si="39"/>
        <v>25.229551075574523</v>
      </c>
      <c r="L89" s="364">
        <f t="shared" si="39"/>
        <v>25.445417749310639</v>
      </c>
      <c r="M89" s="364">
        <f t="shared" si="39"/>
        <v>63.953700053980725</v>
      </c>
      <c r="N89" s="364">
        <f t="shared" si="39"/>
        <v>43.874932213491199</v>
      </c>
      <c r="O89" s="364">
        <f t="shared" si="39"/>
        <v>37.288833618221638</v>
      </c>
      <c r="P89" s="364">
        <f t="shared" si="39"/>
        <v>47.761048021994533</v>
      </c>
      <c r="Q89" s="364">
        <f t="shared" si="39"/>
        <v>43.199582460268779</v>
      </c>
      <c r="R89" s="364">
        <f t="shared" si="39"/>
        <v>41.604032613698912</v>
      </c>
      <c r="S89" s="364">
        <f t="shared" si="39"/>
        <v>0</v>
      </c>
      <c r="T89" s="364">
        <f t="shared" si="39"/>
        <v>0</v>
      </c>
      <c r="U89" s="364">
        <f t="shared" si="39"/>
        <v>0</v>
      </c>
      <c r="V89" s="364">
        <f t="shared" si="39"/>
        <v>0</v>
      </c>
      <c r="W89" s="364">
        <f t="shared" si="39"/>
        <v>0</v>
      </c>
      <c r="X89" s="46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2475</v>
      </c>
      <c r="B1" s="82" t="s">
        <v>2476</v>
      </c>
      <c r="C1" s="82"/>
      <c r="D1" s="27"/>
      <c r="E1" s="27"/>
      <c r="F1" s="27"/>
      <c r="G1" s="27"/>
      <c r="H1" s="27"/>
      <c r="I1" s="27"/>
      <c r="J1" s="27"/>
      <c r="K1" s="27"/>
      <c r="L1" s="27"/>
      <c r="M1" s="27"/>
      <c r="N1" s="27"/>
      <c r="O1" s="28"/>
      <c r="P1" s="28"/>
      <c r="Q1" s="28"/>
      <c r="R1" s="29"/>
      <c r="S1" s="28"/>
      <c r="T1" s="28"/>
      <c r="U1" s="28"/>
      <c r="V1" s="28"/>
      <c r="W1" s="28"/>
      <c r="X1" s="2"/>
      <c r="Y1" s="365"/>
    </row>
    <row r="2" spans="1:26">
      <c r="B2" s="30" t="s">
        <v>2477</v>
      </c>
      <c r="C2" s="30"/>
      <c r="D2" s="28"/>
      <c r="E2" s="28"/>
      <c r="F2" s="28"/>
      <c r="G2" s="28"/>
      <c r="H2" s="28"/>
      <c r="I2" s="28"/>
      <c r="J2" s="28"/>
      <c r="K2" s="28"/>
      <c r="L2" s="28"/>
      <c r="M2" s="28"/>
      <c r="N2" s="28"/>
      <c r="O2" s="28"/>
      <c r="P2" s="28"/>
      <c r="Q2" s="28"/>
      <c r="R2" s="31"/>
      <c r="S2" s="32"/>
      <c r="T2" s="33"/>
      <c r="U2" s="28"/>
      <c r="V2" s="28"/>
      <c r="W2" s="28"/>
      <c r="X2" s="2"/>
      <c r="Y2" s="365"/>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2226</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689">
        <v>199609000000</v>
      </c>
      <c r="T6" s="689">
        <v>244819000000</v>
      </c>
      <c r="U6" s="689">
        <v>269151000000</v>
      </c>
      <c r="V6" s="689">
        <v>336421000000</v>
      </c>
      <c r="W6" s="689">
        <v>405367000000</v>
      </c>
      <c r="X6" s="690">
        <v>481630000000</v>
      </c>
      <c r="Y6" s="690">
        <v>571150000000</v>
      </c>
      <c r="Z6" s="690">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691">
        <v>186589000000</v>
      </c>
      <c r="T7" s="691">
        <v>231805000000</v>
      </c>
      <c r="U7" s="691">
        <f>U8+U13</f>
        <v>256674000000</v>
      </c>
      <c r="V7" s="691">
        <f t="shared" ref="V7:Z7" si="0">V8+V13</f>
        <v>318144000000</v>
      </c>
      <c r="W7" s="691">
        <f t="shared" si="0"/>
        <v>386444000000</v>
      </c>
      <c r="X7" s="691">
        <f t="shared" si="0"/>
        <v>462992000000</v>
      </c>
      <c r="Y7" s="691">
        <f t="shared" si="0"/>
        <v>552760000000</v>
      </c>
      <c r="Z7" s="691">
        <f t="shared" si="0"/>
        <v>668098000000</v>
      </c>
    </row>
    <row r="8" spans="1:26">
      <c r="A8" s="35" t="s">
        <v>39</v>
      </c>
      <c r="B8" s="58" t="s">
        <v>731</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691">
        <v>165277000000</v>
      </c>
      <c r="T8" s="691">
        <v>190520000000</v>
      </c>
      <c r="U8" s="691">
        <f>U9+U10</f>
        <v>210172000000</v>
      </c>
      <c r="V8" s="691">
        <f t="shared" ref="V8:Z8" si="1">V9+V10</f>
        <v>268161000000</v>
      </c>
      <c r="W8" s="691">
        <f t="shared" si="1"/>
        <v>331128000000</v>
      </c>
      <c r="X8" s="691">
        <f t="shared" si="1"/>
        <v>401867000000</v>
      </c>
      <c r="Y8" s="691">
        <f t="shared" si="1"/>
        <v>485209000000</v>
      </c>
      <c r="Z8" s="691">
        <f t="shared" si="1"/>
        <v>593321000000</v>
      </c>
    </row>
    <row r="9" spans="1:26">
      <c r="A9" s="64" t="s">
        <v>989</v>
      </c>
      <c r="B9" s="64" t="s">
        <v>990</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691">
        <v>60149000000</v>
      </c>
      <c r="T9" s="691">
        <v>71844000000</v>
      </c>
      <c r="U9" s="691">
        <v>81417000000</v>
      </c>
      <c r="V9" s="691">
        <v>106117000000</v>
      </c>
      <c r="W9" s="691">
        <v>132933000000</v>
      </c>
      <c r="X9" s="643">
        <v>165363000000</v>
      </c>
      <c r="Y9" s="643">
        <v>205102000000</v>
      </c>
      <c r="Z9" s="643">
        <v>254778000000</v>
      </c>
    </row>
    <row r="10" spans="1:26">
      <c r="A10" s="64" t="s">
        <v>992</v>
      </c>
      <c r="B10" s="64" t="s">
        <v>993</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691">
        <v>105129000000</v>
      </c>
      <c r="T10" s="691">
        <v>118676000000</v>
      </c>
      <c r="U10" s="691">
        <f>U11+U12</f>
        <v>128755000000</v>
      </c>
      <c r="V10" s="691">
        <f t="shared" ref="V10:Z10" si="2">V11+V12</f>
        <v>162044000000</v>
      </c>
      <c r="W10" s="691">
        <f t="shared" si="2"/>
        <v>198195000000</v>
      </c>
      <c r="X10" s="691">
        <f t="shared" si="2"/>
        <v>236504000000</v>
      </c>
      <c r="Y10" s="691">
        <f t="shared" si="2"/>
        <v>280107000000</v>
      </c>
      <c r="Z10" s="691">
        <f t="shared" si="2"/>
        <v>338543000000</v>
      </c>
    </row>
    <row r="11" spans="1:26">
      <c r="A11" s="65" t="s">
        <v>2478</v>
      </c>
      <c r="B11" s="65" t="s">
        <v>2479</v>
      </c>
      <c r="C11" s="58" t="s">
        <v>1049</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691">
        <v>52339000000</v>
      </c>
      <c r="T11" s="691">
        <v>55953000000</v>
      </c>
      <c r="U11" s="691">
        <v>62553000000</v>
      </c>
      <c r="V11" s="691">
        <v>76495000000</v>
      </c>
      <c r="W11" s="691">
        <v>92800000000</v>
      </c>
      <c r="X11" s="643">
        <v>111897000000</v>
      </c>
      <c r="Y11" s="643">
        <v>136469000000</v>
      </c>
      <c r="Z11" s="643">
        <v>166673000000</v>
      </c>
    </row>
    <row r="12" spans="1:26">
      <c r="A12" s="65" t="s">
        <v>2480</v>
      </c>
      <c r="B12" s="65" t="s">
        <v>2481</v>
      </c>
      <c r="C12" s="58" t="s">
        <v>1049</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691">
        <v>52790000000</v>
      </c>
      <c r="T12" s="691">
        <v>62723000000</v>
      </c>
      <c r="U12" s="691">
        <v>66202000000</v>
      </c>
      <c r="V12" s="691">
        <v>85549000000</v>
      </c>
      <c r="W12" s="691">
        <v>105395000000</v>
      </c>
      <c r="X12" s="643">
        <v>124607000000</v>
      </c>
      <c r="Y12" s="643">
        <v>143638000000</v>
      </c>
      <c r="Z12" s="643">
        <v>171870000000</v>
      </c>
    </row>
    <row r="13" spans="1:26">
      <c r="A13" s="1" t="s">
        <v>51</v>
      </c>
      <c r="B13" s="58" t="s">
        <v>742</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691">
        <v>21312000000</v>
      </c>
      <c r="T13" s="691">
        <v>41285000000</v>
      </c>
      <c r="U13" s="691">
        <v>46502000000</v>
      </c>
      <c r="V13" s="691">
        <v>49983000000</v>
      </c>
      <c r="W13" s="691">
        <v>55316000000</v>
      </c>
      <c r="X13" s="643">
        <v>61125000000</v>
      </c>
      <c r="Y13" s="643">
        <v>67551000000</v>
      </c>
      <c r="Z13" s="643">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689">
        <v>13020000000</v>
      </c>
      <c r="T14" s="689">
        <v>13014000000</v>
      </c>
      <c r="U14" s="689">
        <v>12477000000</v>
      </c>
      <c r="V14" s="689">
        <v>18277000000</v>
      </c>
      <c r="W14" s="689">
        <v>18923000000</v>
      </c>
      <c r="X14" s="690">
        <v>18637000000</v>
      </c>
      <c r="Y14" s="690">
        <v>18389000000</v>
      </c>
      <c r="Z14" s="690">
        <v>18170000000</v>
      </c>
    </row>
    <row r="15" spans="1:26">
      <c r="A15" s="64" t="s">
        <v>2482</v>
      </c>
      <c r="B15" s="64" t="s">
        <v>2483</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692"/>
      <c r="T15" s="691"/>
      <c r="U15" s="691"/>
      <c r="V15" s="691"/>
      <c r="W15" s="691"/>
      <c r="X15" s="643"/>
      <c r="Y15" s="643"/>
      <c r="Z15" s="643"/>
    </row>
    <row r="16" spans="1:26">
      <c r="A16" s="20" t="s">
        <v>1296</v>
      </c>
      <c r="B16" s="64" t="s">
        <v>1609</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691">
        <v>2866000000</v>
      </c>
      <c r="T16" s="691">
        <v>291000000</v>
      </c>
      <c r="U16" s="691">
        <v>588000000</v>
      </c>
      <c r="V16" s="691">
        <v>2140000000</v>
      </c>
      <c r="W16" s="691">
        <v>1528000000</v>
      </c>
      <c r="X16" s="643">
        <v>1790000000</v>
      </c>
      <c r="Y16" s="643">
        <v>2093000000</v>
      </c>
      <c r="Z16" s="643">
        <v>2449000000</v>
      </c>
    </row>
    <row r="17" spans="1:26">
      <c r="A17" s="64" t="s">
        <v>4372</v>
      </c>
      <c r="B17" s="64" t="s">
        <v>4372</v>
      </c>
      <c r="C17" s="14" t="s">
        <v>57</v>
      </c>
      <c r="D17" s="135"/>
      <c r="E17" s="135"/>
      <c r="F17" s="135"/>
      <c r="G17" s="135"/>
      <c r="H17" s="135"/>
      <c r="I17" s="135"/>
      <c r="J17" s="135">
        <v>989000000</v>
      </c>
      <c r="K17" s="135"/>
      <c r="L17" s="135"/>
      <c r="M17" s="135"/>
      <c r="N17" s="159"/>
      <c r="O17" s="159"/>
      <c r="P17" s="135"/>
      <c r="Q17" s="135"/>
      <c r="R17" s="135"/>
      <c r="S17" s="691"/>
      <c r="T17" s="691"/>
      <c r="U17" s="691"/>
      <c r="V17" s="691"/>
      <c r="W17" s="691"/>
      <c r="X17" s="643"/>
      <c r="Y17" s="643"/>
      <c r="Z17" s="643"/>
    </row>
    <row r="18" spans="1:26">
      <c r="A18" s="7" t="s">
        <v>564</v>
      </c>
      <c r="B18" s="64" t="s">
        <v>2484</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691">
        <v>10154000000</v>
      </c>
      <c r="T18" s="691">
        <v>12724000000</v>
      </c>
      <c r="U18" s="691">
        <v>11889000000</v>
      </c>
      <c r="V18" s="691">
        <v>16137000000</v>
      </c>
      <c r="W18" s="691">
        <v>17395000000</v>
      </c>
      <c r="X18" s="643">
        <v>16847000000</v>
      </c>
      <c r="Y18" s="643">
        <v>16297000000</v>
      </c>
      <c r="Z18" s="643">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689">
        <v>224881000000</v>
      </c>
      <c r="T19" s="689">
        <v>280893000000</v>
      </c>
      <c r="U19" s="689">
        <v>329658000000</v>
      </c>
      <c r="V19" s="689">
        <v>389800000000</v>
      </c>
      <c r="W19" s="689">
        <f>W21+W29</f>
        <v>468196000000</v>
      </c>
      <c r="X19" s="690">
        <v>550625000000</v>
      </c>
      <c r="Y19" s="690">
        <v>648365000000</v>
      </c>
      <c r="Z19" s="690">
        <v>773662000000</v>
      </c>
    </row>
    <row r="20" spans="1:26">
      <c r="A20" t="s">
        <v>76</v>
      </c>
      <c r="B20" t="s">
        <v>2485</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691"/>
      <c r="T20" s="691"/>
      <c r="U20" s="691"/>
      <c r="V20" s="691"/>
      <c r="W20" s="691"/>
      <c r="X20" s="643"/>
      <c r="Y20" s="643"/>
      <c r="Z20" s="643"/>
    </row>
    <row r="21" spans="1:26">
      <c r="A21" s="1" t="s">
        <v>73</v>
      </c>
      <c r="B21" s="58" t="s">
        <v>2486</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691">
        <v>107198000000</v>
      </c>
      <c r="T21" s="691">
        <v>136709000000</v>
      </c>
      <c r="U21" s="691">
        <v>176635000000</v>
      </c>
      <c r="V21" s="691">
        <v>210705000000</v>
      </c>
      <c r="W21" s="691">
        <f>W22+W23+W24+W28</f>
        <v>245906000000</v>
      </c>
      <c r="X21" s="643">
        <v>292520000000</v>
      </c>
      <c r="Y21" s="643">
        <v>343899000000</v>
      </c>
      <c r="Z21" s="643">
        <v>407087000000</v>
      </c>
    </row>
    <row r="22" spans="1:26">
      <c r="A22" s="64" t="s">
        <v>2487</v>
      </c>
      <c r="B22" s="64" t="s">
        <v>2488</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691">
        <v>8814000000</v>
      </c>
      <c r="T22" s="691">
        <v>9498000000</v>
      </c>
      <c r="U22" s="691">
        <v>11940000000</v>
      </c>
      <c r="V22" s="691">
        <v>12300000000</v>
      </c>
      <c r="W22" s="691">
        <v>15000000000</v>
      </c>
      <c r="X22" s="643">
        <v>17572000000</v>
      </c>
      <c r="Y22" s="643">
        <v>20541000000</v>
      </c>
      <c r="Z22" s="643">
        <v>24038000000</v>
      </c>
    </row>
    <row r="23" spans="1:26">
      <c r="A23" s="64" t="s">
        <v>2489</v>
      </c>
      <c r="B23" s="64" t="s">
        <v>2490</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691">
        <v>55674000000</v>
      </c>
      <c r="T23" s="691">
        <v>71690000000</v>
      </c>
      <c r="U23" s="691">
        <v>89918000000</v>
      </c>
      <c r="V23" s="691">
        <v>109829000000</v>
      </c>
      <c r="W23" s="691">
        <v>129338000000</v>
      </c>
      <c r="X23" s="643">
        <v>155780000000</v>
      </c>
      <c r="Y23" s="643">
        <v>182673000000</v>
      </c>
      <c r="Z23" s="643">
        <v>216497000000</v>
      </c>
    </row>
    <row r="24" spans="1:26">
      <c r="A24" s="64" t="s">
        <v>90</v>
      </c>
      <c r="B24" s="64" t="s">
        <v>751</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691">
        <v>5338000000</v>
      </c>
      <c r="T24" s="691">
        <v>7232000000</v>
      </c>
      <c r="U24" s="691">
        <v>8248000000</v>
      </c>
      <c r="V24" s="691">
        <v>11391000000</v>
      </c>
      <c r="W24" s="691">
        <v>13172000000</v>
      </c>
      <c r="X24" s="643">
        <v>15613000000</v>
      </c>
      <c r="Y24" s="643">
        <v>19638000000</v>
      </c>
      <c r="Z24" s="643">
        <v>24897000000</v>
      </c>
    </row>
    <row r="25" spans="1:26">
      <c r="A25" s="42" t="s">
        <v>209</v>
      </c>
      <c r="B25" s="65" t="s">
        <v>2491</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691">
        <v>2835000000</v>
      </c>
      <c r="T25" s="691">
        <v>3639000000</v>
      </c>
      <c r="U25" s="691">
        <v>4126000000</v>
      </c>
      <c r="V25" s="691">
        <v>6546000000</v>
      </c>
      <c r="W25" s="691">
        <v>7781000000</v>
      </c>
      <c r="X25" s="643">
        <v>9457000000</v>
      </c>
      <c r="Y25" s="643">
        <v>12659000000</v>
      </c>
      <c r="Z25" s="643">
        <v>17030000000</v>
      </c>
    </row>
    <row r="26" spans="1:26">
      <c r="A26" s="42" t="s">
        <v>280</v>
      </c>
      <c r="B26" s="65" t="s">
        <v>2492</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691">
        <v>2502000000</v>
      </c>
      <c r="T26" s="691">
        <v>3593000000</v>
      </c>
      <c r="U26" s="691">
        <v>4122000000</v>
      </c>
      <c r="V26" s="691">
        <v>4845000000</v>
      </c>
      <c r="W26" s="691">
        <v>5391000000</v>
      </c>
      <c r="X26" s="643">
        <v>6156000000</v>
      </c>
      <c r="Y26" s="643">
        <v>6979000000</v>
      </c>
      <c r="Z26" s="643">
        <v>7866000000</v>
      </c>
    </row>
    <row r="27" spans="1:26">
      <c r="A27" s="64" t="s">
        <v>2493</v>
      </c>
      <c r="B27" s="64" t="s">
        <v>2494</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693"/>
      <c r="T27" s="691"/>
      <c r="U27" s="691"/>
      <c r="V27" s="691"/>
      <c r="W27" s="691"/>
      <c r="X27" s="643"/>
      <c r="Y27" s="643"/>
      <c r="Z27" s="643"/>
    </row>
    <row r="28" spans="1:26">
      <c r="A28" s="20" t="s">
        <v>391</v>
      </c>
      <c r="B28" s="64" t="s">
        <v>2495</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691">
        <v>37373000000</v>
      </c>
      <c r="T28" s="691">
        <v>48289000000</v>
      </c>
      <c r="U28" s="691">
        <v>66529000000</v>
      </c>
      <c r="V28" s="691">
        <v>77185000000</v>
      </c>
      <c r="W28" s="691">
        <v>88396000000</v>
      </c>
      <c r="X28" s="643">
        <v>103555000000</v>
      </c>
      <c r="Y28" s="643">
        <v>121047000000</v>
      </c>
      <c r="Z28" s="643">
        <v>141655000000</v>
      </c>
    </row>
    <row r="29" spans="1:26">
      <c r="A29" s="58" t="s">
        <v>237</v>
      </c>
      <c r="B29" s="58" t="s">
        <v>1812</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691">
        <v>117683000000</v>
      </c>
      <c r="T29" s="691">
        <v>144184000000</v>
      </c>
      <c r="U29" s="691">
        <v>153023000000</v>
      </c>
      <c r="V29" s="691">
        <v>179095000000</v>
      </c>
      <c r="W29" s="691">
        <v>222290000000</v>
      </c>
      <c r="X29" s="643">
        <v>258105000000</v>
      </c>
      <c r="Y29" s="643">
        <v>304466000000</v>
      </c>
      <c r="Z29" s="643">
        <v>366575000000</v>
      </c>
    </row>
    <row r="30" spans="1:26">
      <c r="A30" s="40" t="s">
        <v>239</v>
      </c>
      <c r="B30" s="65" t="s">
        <v>2496</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691">
        <v>92424000000</v>
      </c>
      <c r="T30" s="691">
        <v>109236000000</v>
      </c>
      <c r="U30" s="691">
        <v>115772000000</v>
      </c>
      <c r="V30" s="691">
        <v>151439000000</v>
      </c>
      <c r="W30" s="691">
        <v>185860000000</v>
      </c>
      <c r="X30" s="643">
        <v>223438000000</v>
      </c>
      <c r="Y30" s="643">
        <v>271059000000</v>
      </c>
      <c r="Z30" s="643">
        <v>333250000000</v>
      </c>
    </row>
    <row r="31" spans="1:26">
      <c r="A31" s="65" t="s">
        <v>2497</v>
      </c>
      <c r="B31" s="65" t="s">
        <v>2498</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691">
        <v>10154000000</v>
      </c>
      <c r="T31" s="691">
        <v>12724000000</v>
      </c>
      <c r="U31" s="691">
        <v>11889000000</v>
      </c>
      <c r="V31" s="691">
        <v>16137000000</v>
      </c>
      <c r="W31" s="691">
        <v>17395000000</v>
      </c>
      <c r="X31" s="643">
        <v>16847000000</v>
      </c>
      <c r="Y31" s="643">
        <v>16297000000</v>
      </c>
      <c r="Z31" s="643">
        <v>15721000000</v>
      </c>
    </row>
    <row r="32" spans="1:26">
      <c r="A32" s="65" t="s">
        <v>2499</v>
      </c>
      <c r="B32" s="65" t="s">
        <v>2500</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691">
        <v>15105000000</v>
      </c>
      <c r="T32" s="691">
        <v>22225000000</v>
      </c>
      <c r="U32" s="691">
        <v>25362000000</v>
      </c>
      <c r="V32" s="691">
        <v>11519000000</v>
      </c>
      <c r="W32" s="691">
        <v>19036000000</v>
      </c>
      <c r="X32" s="643">
        <v>17820000000</v>
      </c>
      <c r="Y32" s="643">
        <v>17110000000</v>
      </c>
      <c r="Z32" s="643">
        <v>17604000000</v>
      </c>
    </row>
    <row r="33" spans="1:26">
      <c r="A33" t="s">
        <v>76</v>
      </c>
      <c r="B33" s="65" t="s">
        <v>2501</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691"/>
      <c r="T33" s="691"/>
      <c r="U33" s="691"/>
      <c r="V33" s="691"/>
      <c r="W33" s="691"/>
      <c r="X33" s="643"/>
      <c r="Y33" s="643"/>
      <c r="Z33" s="643"/>
    </row>
    <row r="34" spans="1:26">
      <c r="A34" t="s">
        <v>398</v>
      </c>
      <c r="B34" s="65" t="s">
        <v>2502</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693"/>
      <c r="T34" s="691"/>
      <c r="U34" s="691"/>
      <c r="V34" s="691"/>
      <c r="W34" s="691"/>
      <c r="X34" s="643"/>
      <c r="Y34" s="643"/>
      <c r="Z34" s="643"/>
    </row>
    <row r="35" spans="1:26">
      <c r="A35" t="s">
        <v>76</v>
      </c>
      <c r="B35" s="58" t="s">
        <v>2503</v>
      </c>
      <c r="C35" s="58"/>
      <c r="D35" s="135"/>
      <c r="E35" s="135"/>
      <c r="F35" s="135"/>
      <c r="G35" s="135"/>
      <c r="H35" s="135"/>
      <c r="I35" s="135"/>
      <c r="J35" s="135"/>
      <c r="K35" s="135"/>
      <c r="L35" s="135"/>
      <c r="M35" s="135"/>
      <c r="N35" s="135"/>
      <c r="O35" s="135"/>
      <c r="P35" s="135"/>
      <c r="Q35" s="135">
        <v>-16736000000</v>
      </c>
      <c r="R35" s="135">
        <v>-27394000000</v>
      </c>
      <c r="S35" s="691">
        <v>0</v>
      </c>
      <c r="T35" s="691">
        <v>0</v>
      </c>
      <c r="U35" s="691">
        <v>0</v>
      </c>
      <c r="V35" s="691">
        <v>0</v>
      </c>
      <c r="W35" s="691">
        <v>0</v>
      </c>
      <c r="X35" s="643">
        <v>0</v>
      </c>
      <c r="Y35" s="643">
        <v>0</v>
      </c>
      <c r="Z35" s="643">
        <v>0</v>
      </c>
    </row>
    <row r="36" spans="1:26">
      <c r="A36" t="s">
        <v>76</v>
      </c>
      <c r="B36" s="64" t="s">
        <v>2504</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691">
        <v>-25272000000</v>
      </c>
      <c r="T36" s="691">
        <v>-36073000000</v>
      </c>
      <c r="U36" s="691">
        <v>-60507000000</v>
      </c>
      <c r="V36" s="691">
        <v>-53379000000</v>
      </c>
      <c r="W36" s="691">
        <v>-62829000000</v>
      </c>
      <c r="X36" s="643">
        <v>-68995000000</v>
      </c>
      <c r="Y36" s="643">
        <v>-77216000000</v>
      </c>
      <c r="Z36" s="643">
        <v>-87394000000</v>
      </c>
    </row>
    <row r="37" spans="1:26">
      <c r="A37" t="s">
        <v>76</v>
      </c>
      <c r="B37" s="64" t="s">
        <v>2505</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691">
        <v>-38293000000</v>
      </c>
      <c r="T37" s="691">
        <v>-49088000000</v>
      </c>
      <c r="U37" s="691">
        <v>-72984000000</v>
      </c>
      <c r="V37" s="691">
        <v>-71656000000</v>
      </c>
      <c r="W37" s="691">
        <v>-81752000000</v>
      </c>
      <c r="X37" s="643">
        <v>-87633000000</v>
      </c>
      <c r="Y37" s="643">
        <v>-95605000000</v>
      </c>
      <c r="Z37" s="643">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689">
        <f>S40+S48</f>
        <v>31621000000</v>
      </c>
      <c r="T38" s="689">
        <f t="shared" ref="T38:Z38" si="3">T40+T48</f>
        <v>50738000000</v>
      </c>
      <c r="U38" s="689">
        <f t="shared" si="3"/>
        <v>62257000000</v>
      </c>
      <c r="V38" s="689">
        <f t="shared" si="3"/>
        <v>53379000000</v>
      </c>
      <c r="W38" s="689">
        <f t="shared" si="3"/>
        <v>62828000000</v>
      </c>
      <c r="X38" s="689">
        <f t="shared" si="3"/>
        <v>68996000000</v>
      </c>
      <c r="Y38" s="689">
        <f t="shared" si="3"/>
        <v>77216000000</v>
      </c>
      <c r="Z38" s="689">
        <f t="shared" si="3"/>
        <v>87394000000</v>
      </c>
    </row>
    <row r="39" spans="1:26">
      <c r="A39" s="90" t="s">
        <v>76</v>
      </c>
      <c r="B39" s="90" t="s">
        <v>2506</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691"/>
      <c r="T39" s="691"/>
      <c r="U39" s="691"/>
      <c r="V39" s="691"/>
      <c r="W39" s="691"/>
      <c r="X39" s="643"/>
      <c r="Y39" s="643"/>
      <c r="Z39" s="643"/>
    </row>
    <row r="40" spans="1:26">
      <c r="A40" t="s">
        <v>117</v>
      </c>
      <c r="B40" s="58" t="s">
        <v>2507</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691">
        <v>13155000000</v>
      </c>
      <c r="T40" s="691">
        <v>26034000000</v>
      </c>
      <c r="U40" s="691">
        <v>28953000000</v>
      </c>
      <c r="V40" s="691">
        <v>15479000000</v>
      </c>
      <c r="W40" s="691">
        <v>22761000000</v>
      </c>
      <c r="X40" s="643">
        <v>21758000000</v>
      </c>
      <c r="Y40" s="643">
        <v>21300000000</v>
      </c>
      <c r="Z40" s="643">
        <v>21958000000</v>
      </c>
    </row>
    <row r="41" spans="1:26">
      <c r="A41" s="86" t="s">
        <v>444</v>
      </c>
      <c r="B41" s="64" t="s">
        <v>2508</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691">
        <v>15105000000</v>
      </c>
      <c r="T41" s="691">
        <v>28223000000</v>
      </c>
      <c r="U41" s="691">
        <v>31621000000</v>
      </c>
      <c r="V41" s="691">
        <v>18508000000</v>
      </c>
      <c r="W41" s="691">
        <v>26716000000</v>
      </c>
      <c r="X41" s="643">
        <v>26817000000</v>
      </c>
      <c r="Y41" s="643">
        <v>27627000000</v>
      </c>
      <c r="Z41" s="643">
        <v>29912000000</v>
      </c>
    </row>
    <row r="42" spans="1:26">
      <c r="A42" s="65" t="s">
        <v>2509</v>
      </c>
      <c r="B42" s="65" t="s">
        <v>2509</v>
      </c>
      <c r="C42" s="58" t="s">
        <v>499</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691">
        <v>15105000000</v>
      </c>
      <c r="T42" s="691">
        <v>22225000000</v>
      </c>
      <c r="U42" s="691">
        <v>25362000000</v>
      </c>
      <c r="V42" s="691">
        <v>11519000000</v>
      </c>
      <c r="W42" s="691">
        <v>19036000000</v>
      </c>
      <c r="X42" s="643">
        <v>17820000000</v>
      </c>
      <c r="Y42" s="643">
        <v>17110000000</v>
      </c>
      <c r="Z42" s="643">
        <v>17604000000</v>
      </c>
    </row>
    <row r="43" spans="1:26">
      <c r="A43" s="65" t="s">
        <v>2510</v>
      </c>
      <c r="B43" s="65" t="s">
        <v>2510</v>
      </c>
      <c r="C43" s="58" t="s">
        <v>499</v>
      </c>
      <c r="D43" s="159"/>
      <c r="E43" s="135"/>
      <c r="F43" s="135"/>
      <c r="G43" s="135"/>
      <c r="H43" s="159"/>
      <c r="I43" s="159"/>
      <c r="J43" s="159"/>
      <c r="K43" s="159"/>
      <c r="L43" s="159"/>
      <c r="M43" s="159"/>
      <c r="N43" s="135">
        <v>0</v>
      </c>
      <c r="O43" s="135">
        <v>0</v>
      </c>
      <c r="P43" s="135">
        <v>0</v>
      </c>
      <c r="Q43" s="135">
        <v>5032000000</v>
      </c>
      <c r="R43" s="135">
        <v>5442000000</v>
      </c>
      <c r="S43" s="691">
        <v>0</v>
      </c>
      <c r="T43" s="691">
        <v>5999000000</v>
      </c>
      <c r="U43" s="691">
        <v>6259000000</v>
      </c>
      <c r="V43" s="691">
        <v>6989000000</v>
      </c>
      <c r="W43" s="691">
        <v>7680000000</v>
      </c>
      <c r="X43" s="643">
        <v>8997000000</v>
      </c>
      <c r="Y43" s="643">
        <v>10517000000</v>
      </c>
      <c r="Z43" s="643">
        <v>12307000000</v>
      </c>
    </row>
    <row r="44" spans="1:26">
      <c r="A44" s="66" t="s">
        <v>2511</v>
      </c>
      <c r="B44" s="66" t="s">
        <v>2511</v>
      </c>
      <c r="C44" s="58" t="s">
        <v>2512</v>
      </c>
      <c r="D44" s="159"/>
      <c r="E44" s="135"/>
      <c r="F44" s="135"/>
      <c r="G44" s="135"/>
      <c r="H44" s="159">
        <f>H41-H42-H43</f>
        <v>2262000000</v>
      </c>
      <c r="I44" s="159"/>
      <c r="J44" s="159"/>
      <c r="K44" s="159"/>
      <c r="L44" s="159"/>
      <c r="M44" s="159"/>
      <c r="N44" s="159">
        <f>N41-N42-N43</f>
        <v>0</v>
      </c>
      <c r="O44" s="159">
        <f>O41-O42-O43</f>
        <v>0</v>
      </c>
      <c r="P44" s="159">
        <f>P41-P42-P43</f>
        <v>0</v>
      </c>
      <c r="Q44" s="159"/>
      <c r="R44" s="159"/>
      <c r="S44" s="688"/>
      <c r="T44" s="688"/>
      <c r="U44" s="688"/>
      <c r="V44" s="688"/>
      <c r="W44" s="688"/>
      <c r="X44" s="643"/>
      <c r="Y44" s="643"/>
      <c r="Z44" s="643"/>
    </row>
    <row r="45" spans="1:26">
      <c r="A45" s="20" t="s">
        <v>2513</v>
      </c>
      <c r="B45" s="64" t="s">
        <v>2514</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691"/>
      <c r="T45" s="691"/>
      <c r="U45" s="691"/>
      <c r="V45" s="691"/>
      <c r="W45" s="691"/>
      <c r="X45" s="643"/>
      <c r="Y45" s="643"/>
      <c r="Z45" s="643"/>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691">
        <v>-1950000000</v>
      </c>
      <c r="T46" s="691">
        <v>-2190000000</v>
      </c>
      <c r="U46" s="691">
        <v>-2669000000</v>
      </c>
      <c r="V46" s="691">
        <v>-3029000000</v>
      </c>
      <c r="W46" s="691">
        <v>-3954000000</v>
      </c>
      <c r="X46" s="643">
        <v>-5059000000</v>
      </c>
      <c r="Y46" s="643">
        <v>-6327000000</v>
      </c>
      <c r="Z46" s="643">
        <v>-7954000000</v>
      </c>
    </row>
    <row r="47" spans="1:26">
      <c r="A47" s="64" t="s">
        <v>421</v>
      </c>
      <c r="B47" s="64" t="s">
        <v>2420</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691"/>
      <c r="T47" s="691"/>
      <c r="U47" s="691"/>
      <c r="V47" s="691"/>
      <c r="W47" s="691"/>
      <c r="X47" s="691"/>
      <c r="Y47" s="691"/>
      <c r="Z47" s="691"/>
    </row>
    <row r="48" spans="1:26">
      <c r="A48" t="s">
        <v>120</v>
      </c>
      <c r="B48" s="64" t="s">
        <v>1193</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691">
        <v>18466000000</v>
      </c>
      <c r="T48" s="691">
        <v>24704000000</v>
      </c>
      <c r="U48" s="691">
        <v>33304000000</v>
      </c>
      <c r="V48" s="691">
        <v>37900000000</v>
      </c>
      <c r="W48" s="691">
        <v>40067000000</v>
      </c>
      <c r="X48" s="691">
        <v>47238000000</v>
      </c>
      <c r="Y48" s="691">
        <v>55916000000</v>
      </c>
      <c r="Z48" s="691">
        <v>65436000000</v>
      </c>
    </row>
    <row r="49" spans="1:26">
      <c r="A49" t="s">
        <v>120</v>
      </c>
      <c r="B49" s="58" t="s">
        <v>2515</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44"/>
      <c r="T49" s="644"/>
      <c r="U49" s="644"/>
      <c r="V49" s="644"/>
      <c r="W49" s="644"/>
      <c r="X49" s="644"/>
      <c r="Y49" s="644"/>
      <c r="Z49" s="644"/>
    </row>
    <row r="50" spans="1:26">
      <c r="A50" s="64" t="s">
        <v>858</v>
      </c>
      <c r="B50" s="64" t="s">
        <v>858</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45"/>
      <c r="T50" s="645"/>
      <c r="U50" s="645"/>
      <c r="V50" s="645"/>
      <c r="W50" s="645"/>
      <c r="X50" s="645"/>
      <c r="Y50" s="645"/>
      <c r="Z50" s="645"/>
    </row>
    <row r="51" spans="1:26">
      <c r="B51" s="58" t="s">
        <v>2516</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614</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5"/>
    </row>
    <row r="53" spans="1:26" ht="16.5">
      <c r="B53" s="90" t="s">
        <v>2517</v>
      </c>
      <c r="C53" s="58"/>
      <c r="D53" s="135"/>
      <c r="E53" s="135"/>
      <c r="F53" s="135"/>
      <c r="G53" s="135"/>
      <c r="H53" s="135"/>
      <c r="I53" s="135"/>
      <c r="J53" s="135"/>
      <c r="K53" s="135"/>
      <c r="L53" s="135"/>
      <c r="M53" s="135"/>
      <c r="N53" s="135"/>
      <c r="O53" s="135"/>
      <c r="P53" s="135"/>
      <c r="Q53" s="135"/>
      <c r="R53" s="135"/>
      <c r="S53" s="135"/>
      <c r="T53" s="135"/>
      <c r="U53" s="135"/>
      <c r="V53" s="135"/>
      <c r="W53" s="135"/>
      <c r="X53" s="125"/>
      <c r="Y53" s="365"/>
    </row>
    <row r="54" spans="1:26" ht="16.5">
      <c r="B54" s="90" t="s">
        <v>2518</v>
      </c>
      <c r="C54" s="58"/>
      <c r="D54" s="135"/>
      <c r="E54" s="135"/>
      <c r="F54" s="135"/>
      <c r="G54" s="135"/>
      <c r="H54" s="135"/>
      <c r="I54" s="135"/>
      <c r="J54" s="135"/>
      <c r="K54" s="135"/>
      <c r="L54" s="135"/>
      <c r="M54" s="135"/>
      <c r="N54" s="135"/>
      <c r="O54" s="135"/>
      <c r="P54" s="135"/>
      <c r="Q54" s="135"/>
      <c r="R54" s="475">
        <v>126782000000</v>
      </c>
      <c r="S54" s="694">
        <v>148493000000</v>
      </c>
      <c r="T54" s="694">
        <v>184576000000</v>
      </c>
      <c r="U54" s="694">
        <v>204284000000</v>
      </c>
      <c r="V54" s="694">
        <v>248045000000</v>
      </c>
      <c r="W54" s="694">
        <v>291597000000</v>
      </c>
      <c r="X54" s="694">
        <v>345567000000</v>
      </c>
      <c r="Y54" s="694">
        <v>404268000000</v>
      </c>
      <c r="Z54" s="644">
        <v>475077000000</v>
      </c>
    </row>
    <row r="55" spans="1:26" ht="16.5">
      <c r="B55" s="686" t="s">
        <v>2519</v>
      </c>
      <c r="C55" s="58"/>
      <c r="D55" s="135"/>
      <c r="E55" s="135"/>
      <c r="F55" s="135"/>
      <c r="G55" s="135"/>
      <c r="H55" s="135"/>
      <c r="I55" s="135"/>
      <c r="J55" s="135"/>
      <c r="K55" s="135"/>
      <c r="L55" s="135"/>
      <c r="M55" s="135"/>
      <c r="N55" s="135"/>
      <c r="O55" s="135"/>
      <c r="P55" s="135"/>
      <c r="Q55" s="135"/>
      <c r="R55" s="694">
        <v>-23600000000</v>
      </c>
      <c r="S55" s="694">
        <v>-19934000000</v>
      </c>
      <c r="T55" s="694">
        <v>-28842000000</v>
      </c>
      <c r="U55" s="694">
        <v>-52259000000</v>
      </c>
      <c r="V55" s="694">
        <v>-41988000000</v>
      </c>
      <c r="W55" s="694">
        <v>-49657000000</v>
      </c>
      <c r="X55" s="694">
        <v>-53382000000</v>
      </c>
      <c r="Y55" s="694">
        <v>-57578000000</v>
      </c>
      <c r="Z55" s="644">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5"/>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5"/>
    </row>
    <row r="59" spans="1:26">
      <c r="B59" t="s">
        <v>823</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450</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451</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2520</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452</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2521</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V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2522</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2523</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876</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2524</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2525</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5"/>
    </row>
    <row r="72" spans="2:25">
      <c r="D72" s="21"/>
    </row>
    <row r="73" spans="2:25" ht="16.5">
      <c r="B73" t="s">
        <v>1040</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75">
        <v>1236678000000</v>
      </c>
      <c r="T73" s="247">
        <v>1458409000000</v>
      </c>
      <c r="U73" s="247">
        <v>1718040000000</v>
      </c>
      <c r="V73" s="247">
        <v>2007951000000</v>
      </c>
      <c r="W73" s="247">
        <v>2336722000000</v>
      </c>
      <c r="X73" s="247">
        <v>2724152000000</v>
      </c>
      <c r="Y73" s="247">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2526</v>
      </c>
      <c r="B1" s="82" t="s">
        <v>2527</v>
      </c>
      <c r="C1" s="82"/>
      <c r="D1" s="27"/>
      <c r="E1" s="27"/>
      <c r="F1" s="27"/>
      <c r="G1" s="27"/>
      <c r="H1" s="27"/>
      <c r="I1" s="27"/>
      <c r="J1" s="27"/>
      <c r="K1" s="27"/>
      <c r="L1" s="27"/>
      <c r="M1" s="27"/>
      <c r="N1" s="27"/>
      <c r="O1" s="28"/>
      <c r="P1" s="28"/>
      <c r="Q1" s="28"/>
      <c r="R1" s="29"/>
      <c r="S1" s="28"/>
      <c r="T1" s="28"/>
      <c r="U1" s="28"/>
      <c r="V1" s="28"/>
      <c r="W1" s="28"/>
      <c r="X1" s="2"/>
    </row>
    <row r="2" spans="1:26">
      <c r="B2" s="30" t="s">
        <v>2528</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2529</v>
      </c>
      <c r="C6" s="18" t="s">
        <v>35</v>
      </c>
      <c r="I6" s="295">
        <v>1223000000</v>
      </c>
      <c r="J6" s="295">
        <v>1400000000</v>
      </c>
      <c r="K6" s="295">
        <v>1389000000</v>
      </c>
      <c r="L6" s="295">
        <v>1455000000</v>
      </c>
      <c r="M6" s="263">
        <v>1411000000</v>
      </c>
      <c r="N6" s="263">
        <v>1538000000</v>
      </c>
      <c r="O6" s="263">
        <v>1805000000</v>
      </c>
      <c r="P6" s="263">
        <v>1928000000</v>
      </c>
      <c r="Q6" s="263">
        <v>2094000000</v>
      </c>
      <c r="R6" s="263">
        <f>R7+R12</f>
        <v>2293202000</v>
      </c>
      <c r="S6" s="263">
        <f t="shared" ref="S6:Z6" si="0">S7+S12</f>
        <v>2562000000</v>
      </c>
      <c r="T6" s="263">
        <f t="shared" si="0"/>
        <v>2671305000</v>
      </c>
      <c r="U6" s="263">
        <f t="shared" si="0"/>
        <v>2960463000</v>
      </c>
      <c r="V6" s="263">
        <f t="shared" si="0"/>
        <v>3144864000</v>
      </c>
      <c r="W6" s="263">
        <f t="shared" si="0"/>
        <v>3325560000</v>
      </c>
      <c r="X6" s="263">
        <f t="shared" si="0"/>
        <v>3541720000</v>
      </c>
      <c r="Y6" s="263">
        <f t="shared" si="0"/>
        <v>3785632000</v>
      </c>
      <c r="Z6" s="263">
        <f t="shared" si="0"/>
        <v>4027854000</v>
      </c>
    </row>
    <row r="7" spans="1:26">
      <c r="A7" s="90" t="s">
        <v>159</v>
      </c>
      <c r="B7" s="90" t="s">
        <v>2530</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465</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950</v>
      </c>
      <c r="B9" s="100" t="s">
        <v>2531</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630"/>
      <c r="Y9" s="125"/>
      <c r="Z9" s="125"/>
    </row>
    <row r="10" spans="1:26">
      <c r="A10" t="s">
        <v>76</v>
      </c>
      <c r="B10" s="100" t="s">
        <v>2532</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630"/>
      <c r="Y10" s="125"/>
      <c r="Z10" s="125"/>
    </row>
    <row r="11" spans="1:26">
      <c r="A11" s="100" t="s">
        <v>947</v>
      </c>
      <c r="B11" s="100" t="s">
        <v>2533</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630"/>
      <c r="Y11" s="125"/>
      <c r="Z11" s="125"/>
    </row>
    <row r="12" spans="1:26">
      <c r="A12" s="336" t="s">
        <v>53</v>
      </c>
      <c r="B12" s="336" t="s">
        <v>53</v>
      </c>
      <c r="C12" s="11" t="s">
        <v>38</v>
      </c>
      <c r="D12" s="28"/>
      <c r="E12" s="28"/>
      <c r="F12" s="28"/>
      <c r="G12" s="28"/>
      <c r="H12" s="28"/>
      <c r="I12" s="298">
        <v>0</v>
      </c>
      <c r="J12" s="298">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647</v>
      </c>
      <c r="B13" s="99" t="s">
        <v>2534</v>
      </c>
      <c r="C13" s="58" t="s">
        <v>41</v>
      </c>
      <c r="D13" s="28"/>
      <c r="E13" s="28"/>
      <c r="F13" s="28"/>
      <c r="G13" s="28"/>
      <c r="H13" s="28"/>
      <c r="I13" s="337">
        <v>156000000</v>
      </c>
      <c r="J13" s="337">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535</v>
      </c>
      <c r="C14" s="18" t="s">
        <v>35</v>
      </c>
      <c r="D14" s="36"/>
      <c r="E14" s="36"/>
      <c r="F14" s="36"/>
      <c r="G14" s="36"/>
      <c r="H14" s="36"/>
      <c r="I14" s="263">
        <v>1392000000</v>
      </c>
      <c r="J14" s="263">
        <v>1559000000</v>
      </c>
      <c r="K14" s="263">
        <v>1504000000</v>
      </c>
      <c r="L14" s="263">
        <v>1447000000</v>
      </c>
      <c r="M14" s="263">
        <v>1645000000</v>
      </c>
      <c r="N14" s="263">
        <v>1669000000</v>
      </c>
      <c r="O14" s="263">
        <v>1897000000</v>
      </c>
      <c r="P14" s="263">
        <v>2005000000</v>
      </c>
      <c r="Q14" s="263">
        <v>2131000000</v>
      </c>
      <c r="R14" s="263">
        <f>R15+R24</f>
        <v>2665530000</v>
      </c>
      <c r="S14" s="263">
        <f t="shared" ref="S14:Z14" si="3">S15+S24</f>
        <v>2928000000</v>
      </c>
      <c r="T14" s="263">
        <f t="shared" si="3"/>
        <v>2818080000</v>
      </c>
      <c r="U14" s="263">
        <f t="shared" si="3"/>
        <v>3274293000</v>
      </c>
      <c r="V14" s="263">
        <f t="shared" si="3"/>
        <v>3602096000</v>
      </c>
      <c r="W14" s="263">
        <f t="shared" si="3"/>
        <v>3669993000</v>
      </c>
      <c r="X14" s="263">
        <f t="shared" si="3"/>
        <v>3895892000</v>
      </c>
      <c r="Y14" s="263">
        <f t="shared" si="3"/>
        <v>4149376000</v>
      </c>
      <c r="Z14" s="263">
        <f t="shared" si="3"/>
        <v>4414872000</v>
      </c>
    </row>
    <row r="15" spans="1:26">
      <c r="A15" s="117" t="s">
        <v>73</v>
      </c>
      <c r="B15" s="117" t="s">
        <v>541</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479</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630">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630">
        <v>772005000</v>
      </c>
      <c r="X17" s="2630">
        <v>809536000</v>
      </c>
      <c r="Y17" s="125">
        <v>862208000</v>
      </c>
      <c r="Z17" s="125">
        <v>903042000</v>
      </c>
    </row>
    <row r="18" spans="1:26">
      <c r="A18" s="99"/>
      <c r="B18" s="99" t="s">
        <v>7142</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2535</v>
      </c>
      <c r="B21" s="99" t="s">
        <v>2536</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1915</v>
      </c>
      <c r="B22" s="99" t="s">
        <v>2537</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7143</v>
      </c>
      <c r="B23" s="90" t="s">
        <v>2538</v>
      </c>
      <c r="C23" s="58" t="s">
        <v>201</v>
      </c>
      <c r="D23" s="28"/>
      <c r="E23" s="28"/>
      <c r="F23" s="28"/>
      <c r="G23" s="28"/>
      <c r="H23" s="28"/>
      <c r="I23" s="298"/>
      <c r="J23" s="298"/>
      <c r="K23" s="298"/>
      <c r="L23" s="298"/>
      <c r="M23" s="193">
        <v>0</v>
      </c>
      <c r="N23" s="178">
        <v>40000000</v>
      </c>
      <c r="O23" s="178">
        <v>110000000</v>
      </c>
      <c r="P23" s="178">
        <v>41000000</v>
      </c>
      <c r="Q23" s="178">
        <v>0</v>
      </c>
      <c r="R23" s="178"/>
      <c r="S23" s="178"/>
      <c r="T23" s="135"/>
      <c r="U23" s="135"/>
      <c r="V23" s="135"/>
      <c r="W23" s="135"/>
      <c r="X23" s="2630"/>
      <c r="Y23" s="125"/>
      <c r="Z23" s="125"/>
    </row>
    <row r="24" spans="1:26">
      <c r="A24" s="90" t="s">
        <v>904</v>
      </c>
      <c r="B24" s="90" t="s">
        <v>2539</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1653</v>
      </c>
      <c r="B25" s="103" t="s">
        <v>1653</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630"/>
      <c r="Y25" s="125"/>
      <c r="Z25" s="125"/>
    </row>
    <row r="26" spans="1:26">
      <c r="A26" s="99" t="s">
        <v>2540</v>
      </c>
      <c r="B26" s="99" t="s">
        <v>2541</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630"/>
      <c r="Y26" s="125"/>
      <c r="Z26" s="125"/>
    </row>
    <row r="27" spans="1:26">
      <c r="A27" t="s">
        <v>76</v>
      </c>
      <c r="B27" s="90" t="s">
        <v>1599</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630"/>
      <c r="Y27" s="125"/>
      <c r="Z27" s="125"/>
    </row>
    <row r="28" spans="1:26">
      <c r="A28" t="s">
        <v>76</v>
      </c>
      <c r="B28" s="90" t="s">
        <v>2542</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630"/>
      <c r="Y28" s="125"/>
      <c r="Z28" s="125"/>
    </row>
    <row r="29" spans="1:26">
      <c r="A29" t="s">
        <v>76</v>
      </c>
      <c r="B29" s="90" t="s">
        <v>2543</v>
      </c>
      <c r="C29" s="90"/>
      <c r="D29" s="28"/>
      <c r="E29" s="28"/>
      <c r="F29" s="28"/>
      <c r="G29" s="28"/>
      <c r="H29" s="28"/>
      <c r="I29" s="298"/>
      <c r="J29" s="298"/>
      <c r="K29" s="178">
        <v>-55000000</v>
      </c>
      <c r="L29" s="178">
        <v>16000000</v>
      </c>
      <c r="M29" s="178"/>
      <c r="N29" s="178"/>
      <c r="O29" s="178"/>
      <c r="P29" s="178"/>
      <c r="Q29" s="178"/>
      <c r="R29" s="178"/>
      <c r="S29" s="178"/>
      <c r="T29" s="135"/>
      <c r="U29" s="135"/>
      <c r="V29" s="135"/>
      <c r="W29" s="135"/>
      <c r="X29" s="2630"/>
      <c r="Y29" s="125"/>
      <c r="Z29" s="125"/>
    </row>
    <row r="30" spans="1:26">
      <c r="A30" t="s">
        <v>76</v>
      </c>
      <c r="B30" s="90" t="s">
        <v>2544</v>
      </c>
      <c r="C30" s="90"/>
      <c r="D30" s="28"/>
      <c r="E30" s="28"/>
      <c r="F30" s="28"/>
      <c r="G30" s="28"/>
      <c r="H30" s="28"/>
      <c r="I30" s="298"/>
      <c r="J30" s="298"/>
      <c r="K30" s="178">
        <v>-60000000</v>
      </c>
      <c r="L30" s="178">
        <v>-5000000</v>
      </c>
      <c r="M30" s="178"/>
      <c r="N30" s="178"/>
      <c r="O30" s="178"/>
      <c r="P30" s="178"/>
      <c r="Q30" s="178"/>
      <c r="R30" s="178"/>
      <c r="S30" s="178"/>
      <c r="T30" s="135"/>
      <c r="U30" s="135"/>
      <c r="V30" s="135"/>
      <c r="W30" s="135"/>
      <c r="X30" s="2630"/>
      <c r="Y30" s="125"/>
      <c r="Z30" s="125"/>
    </row>
    <row r="31" spans="1:26" s="9" customFormat="1">
      <c r="A31" s="170" t="s">
        <v>115</v>
      </c>
      <c r="B31" s="170" t="s">
        <v>115</v>
      </c>
      <c r="C31" s="9" t="s">
        <v>35</v>
      </c>
      <c r="D31" s="36"/>
      <c r="E31" s="36"/>
      <c r="F31" s="36"/>
      <c r="G31" s="36"/>
      <c r="H31" s="36"/>
      <c r="I31" s="263">
        <v>169000000</v>
      </c>
      <c r="J31" s="263">
        <v>159000000</v>
      </c>
      <c r="K31" s="295">
        <f>K32+K35+K38+K39</f>
        <v>60000000</v>
      </c>
      <c r="L31" s="295">
        <f t="shared" ref="L31:Q31" si="5">L32+L35+L38+L39</f>
        <v>3000000</v>
      </c>
      <c r="M31" s="295">
        <f t="shared" si="5"/>
        <v>251000000</v>
      </c>
      <c r="N31" s="295">
        <f t="shared" si="5"/>
        <v>143000000</v>
      </c>
      <c r="O31" s="295">
        <f t="shared" si="5"/>
        <v>56000000</v>
      </c>
      <c r="P31" s="295">
        <f t="shared" si="5"/>
        <v>27000000</v>
      </c>
      <c r="Q31" s="295">
        <f t="shared" si="5"/>
        <v>-25000000</v>
      </c>
      <c r="R31" s="295">
        <f>R39+R40+R41</f>
        <v>363866000</v>
      </c>
      <c r="S31" s="295">
        <f t="shared" ref="S31:Z31" si="6">S39+S40+S41</f>
        <v>375150000</v>
      </c>
      <c r="T31" s="295">
        <f t="shared" si="6"/>
        <v>136990000</v>
      </c>
      <c r="U31" s="295">
        <f t="shared" si="6"/>
        <v>334752000</v>
      </c>
      <c r="V31" s="295">
        <f t="shared" si="6"/>
        <v>423776000</v>
      </c>
      <c r="W31" s="295">
        <f t="shared" si="6"/>
        <v>344433000</v>
      </c>
      <c r="X31" s="295">
        <f t="shared" si="6"/>
        <v>354172000</v>
      </c>
      <c r="Y31" s="295">
        <f t="shared" si="6"/>
        <v>350272000</v>
      </c>
      <c r="Z31" s="295">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630"/>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630"/>
      <c r="Y33" s="125"/>
      <c r="Z33" s="125"/>
    </row>
    <row r="34" spans="1:26">
      <c r="A34" s="103" t="s">
        <v>350</v>
      </c>
      <c r="B34" s="99" t="s">
        <v>2545</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630"/>
      <c r="Y34" s="125"/>
      <c r="Z34" s="125"/>
    </row>
    <row r="35" spans="1:26">
      <c r="A35" s="117" t="s">
        <v>117</v>
      </c>
      <c r="B35" s="117" t="s">
        <v>212</v>
      </c>
      <c r="C35" s="58" t="s">
        <v>252</v>
      </c>
      <c r="D35" s="28"/>
      <c r="E35" s="28"/>
      <c r="F35" s="28"/>
      <c r="G35" s="28"/>
      <c r="H35" s="28"/>
      <c r="I35" s="178">
        <v>-11000000</v>
      </c>
      <c r="J35" s="178">
        <v>270000000</v>
      </c>
      <c r="K35" s="328">
        <f>K36+K37</f>
        <v>3000000</v>
      </c>
      <c r="L35" s="328">
        <f>L36+L37</f>
        <v>11000000</v>
      </c>
      <c r="M35" s="178">
        <v>8000000</v>
      </c>
      <c r="N35" s="178">
        <v>45000000</v>
      </c>
      <c r="O35" s="178">
        <v>281000000</v>
      </c>
      <c r="P35" s="178">
        <v>130000000</v>
      </c>
      <c r="Q35" s="178">
        <v>243000000</v>
      </c>
      <c r="R35" s="178"/>
      <c r="S35" s="178"/>
      <c r="T35" s="135"/>
      <c r="U35" s="135"/>
      <c r="V35" s="135"/>
      <c r="W35" s="135"/>
      <c r="X35" s="2630"/>
      <c r="Y35" s="125"/>
      <c r="Z35" s="125"/>
    </row>
    <row r="36" spans="1:26">
      <c r="A36" s="103" t="s">
        <v>2546</v>
      </c>
      <c r="B36" s="103" t="s">
        <v>2546</v>
      </c>
      <c r="C36" s="90" t="s">
        <v>1939</v>
      </c>
      <c r="D36" s="28"/>
      <c r="E36" s="28"/>
      <c r="F36" s="28"/>
      <c r="G36" s="28"/>
      <c r="H36" s="28"/>
      <c r="I36" s="298"/>
      <c r="J36" s="298"/>
      <c r="K36" s="178">
        <v>20000000</v>
      </c>
      <c r="L36" s="178">
        <v>24000000</v>
      </c>
      <c r="M36" s="178">
        <v>29000000</v>
      </c>
      <c r="N36" s="178">
        <v>61000000</v>
      </c>
      <c r="O36" s="178">
        <v>572000000</v>
      </c>
      <c r="P36" s="178">
        <v>150000000</v>
      </c>
      <c r="Q36" s="178">
        <v>263000000</v>
      </c>
      <c r="R36" s="178"/>
      <c r="S36" s="178"/>
      <c r="T36" s="135"/>
      <c r="U36" s="135"/>
      <c r="V36" s="135"/>
      <c r="W36" s="135"/>
      <c r="X36" s="2630"/>
      <c r="Y36" s="125"/>
      <c r="Z36" s="125"/>
    </row>
    <row r="37" spans="1:26">
      <c r="A37" s="103" t="s">
        <v>258</v>
      </c>
      <c r="B37" s="103" t="s">
        <v>258</v>
      </c>
      <c r="C37" s="90" t="s">
        <v>1939</v>
      </c>
      <c r="D37" s="28"/>
      <c r="E37" s="28"/>
      <c r="F37" s="28"/>
      <c r="G37" s="28"/>
      <c r="H37" s="28"/>
      <c r="I37" s="298"/>
      <c r="J37" s="298"/>
      <c r="K37" s="178">
        <v>-17000000</v>
      </c>
      <c r="L37" s="178">
        <v>-13000000</v>
      </c>
      <c r="M37" s="178">
        <v>-21000000</v>
      </c>
      <c r="N37" s="178">
        <v>-16000000</v>
      </c>
      <c r="O37" s="178">
        <v>-291000000</v>
      </c>
      <c r="P37" s="178">
        <v>-20000000</v>
      </c>
      <c r="Q37" s="178">
        <v>-20000000</v>
      </c>
      <c r="R37" s="178"/>
      <c r="S37" s="178"/>
      <c r="T37" s="135"/>
      <c r="U37" s="135"/>
      <c r="V37" s="135"/>
      <c r="W37" s="135"/>
      <c r="X37" s="2630"/>
      <c r="Y37" s="125"/>
      <c r="Z37" s="125"/>
    </row>
    <row r="38" spans="1:26">
      <c r="A38" s="99" t="s">
        <v>2547</v>
      </c>
      <c r="B38" s="99" t="s">
        <v>2548</v>
      </c>
      <c r="C38" s="58" t="s">
        <v>252</v>
      </c>
      <c r="D38" s="28"/>
      <c r="E38" s="28"/>
      <c r="F38" s="28"/>
      <c r="G38" s="28"/>
      <c r="H38" s="28"/>
      <c r="I38" s="298"/>
      <c r="J38" s="298"/>
      <c r="K38" s="178">
        <v>191000000</v>
      </c>
      <c r="L38" s="178">
        <v>-56000000</v>
      </c>
      <c r="M38" s="178">
        <v>20000000</v>
      </c>
      <c r="N38" s="178">
        <v>-9000000</v>
      </c>
      <c r="O38" s="178">
        <v>-36000000</v>
      </c>
      <c r="P38" s="178">
        <v>-50000000</v>
      </c>
      <c r="Q38" s="178">
        <v>-63000000</v>
      </c>
      <c r="R38" s="178"/>
      <c r="S38" s="178"/>
      <c r="T38" s="135"/>
      <c r="U38" s="135"/>
      <c r="V38" s="135"/>
      <c r="W38" s="135"/>
      <c r="X38" s="2630"/>
      <c r="Y38" s="125"/>
      <c r="Z38" s="125"/>
    </row>
    <row r="39" spans="1:26">
      <c r="A39" s="90" t="s">
        <v>1350</v>
      </c>
      <c r="B39" s="90" t="s">
        <v>1350</v>
      </c>
      <c r="C39" s="58" t="s">
        <v>252</v>
      </c>
      <c r="D39" s="28"/>
      <c r="E39" s="28"/>
      <c r="F39" s="28"/>
      <c r="G39" s="28"/>
      <c r="H39" s="28"/>
      <c r="I39" s="298"/>
      <c r="J39" s="298"/>
      <c r="K39" s="298"/>
      <c r="L39" s="298"/>
      <c r="M39" s="178">
        <v>0</v>
      </c>
      <c r="N39" s="178">
        <v>0</v>
      </c>
      <c r="O39" s="178">
        <v>0</v>
      </c>
      <c r="P39" s="178">
        <v>0</v>
      </c>
      <c r="Q39" s="178">
        <v>0</v>
      </c>
      <c r="R39" s="125">
        <v>16924000</v>
      </c>
      <c r="S39" s="125">
        <v>192150000</v>
      </c>
      <c r="T39" s="135">
        <v>0</v>
      </c>
      <c r="U39" s="125">
        <v>10461000</v>
      </c>
      <c r="V39" s="135">
        <v>33456000</v>
      </c>
      <c r="W39" s="135">
        <v>47508000</v>
      </c>
      <c r="X39" s="2630">
        <v>50596000</v>
      </c>
      <c r="Y39" s="125">
        <v>26944000</v>
      </c>
      <c r="Z39" s="2630">
        <v>0</v>
      </c>
    </row>
    <row r="40" spans="1:26">
      <c r="A40" s="90"/>
      <c r="B40" s="90" t="s">
        <v>4839</v>
      </c>
      <c r="C40" s="58" t="s">
        <v>252</v>
      </c>
      <c r="D40" s="28"/>
      <c r="E40" s="28"/>
      <c r="F40" s="28"/>
      <c r="G40" s="28"/>
      <c r="H40" s="28"/>
      <c r="I40" s="298"/>
      <c r="J40" s="298"/>
      <c r="K40" s="298"/>
      <c r="L40" s="298"/>
      <c r="M40" s="178"/>
      <c r="N40" s="178"/>
      <c r="O40" s="178"/>
      <c r="P40" s="178"/>
      <c r="Q40" s="178"/>
      <c r="R40" s="125">
        <v>245398000</v>
      </c>
      <c r="S40" s="125">
        <v>146400000</v>
      </c>
      <c r="T40" s="125">
        <v>195700000</v>
      </c>
      <c r="U40" s="125">
        <v>324291000</v>
      </c>
      <c r="V40" s="125">
        <v>390320000</v>
      </c>
      <c r="W40" s="135">
        <v>296925000</v>
      </c>
      <c r="X40" s="2630">
        <v>303576000</v>
      </c>
      <c r="Y40" s="125">
        <v>323328000</v>
      </c>
      <c r="Z40" s="2630">
        <v>372684000</v>
      </c>
    </row>
    <row r="41" spans="1:26">
      <c r="A41" s="90"/>
      <c r="B41" s="90" t="s">
        <v>50</v>
      </c>
      <c r="C41" s="58" t="s">
        <v>252</v>
      </c>
      <c r="D41" s="28"/>
      <c r="E41" s="28"/>
      <c r="F41" s="28"/>
      <c r="G41" s="28"/>
      <c r="H41" s="28"/>
      <c r="I41" s="298"/>
      <c r="J41" s="298"/>
      <c r="K41" s="298"/>
      <c r="L41" s="298"/>
      <c r="M41" s="178"/>
      <c r="N41" s="178"/>
      <c r="O41" s="178"/>
      <c r="P41" s="178"/>
      <c r="Q41" s="178"/>
      <c r="R41" s="125">
        <v>101544000</v>
      </c>
      <c r="S41" s="125">
        <v>36600000</v>
      </c>
      <c r="T41" s="125">
        <v>-58710000</v>
      </c>
      <c r="U41" s="125">
        <v>0</v>
      </c>
      <c r="V41" s="125">
        <v>0</v>
      </c>
      <c r="W41" s="135">
        <v>0</v>
      </c>
      <c r="X41" s="2630">
        <v>0</v>
      </c>
      <c r="Y41" s="125">
        <v>0</v>
      </c>
      <c r="Z41" s="2630">
        <v>0</v>
      </c>
    </row>
    <row r="42" spans="1:26">
      <c r="A42" t="s">
        <v>76</v>
      </c>
      <c r="B42" s="117" t="s">
        <v>1489</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8"/>
      <c r="J43" s="298"/>
      <c r="K43" s="298"/>
      <c r="L43" s="298"/>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2549</v>
      </c>
      <c r="C46" s="90"/>
      <c r="D46" s="28"/>
      <c r="E46" s="28"/>
      <c r="F46" s="28"/>
      <c r="G46" s="28"/>
      <c r="H46" s="28"/>
      <c r="I46" s="298">
        <f>I6-I7-I12</f>
        <v>0</v>
      </c>
      <c r="J46" s="298">
        <f t="shared" ref="J46:S46" si="8">J6-J7-J12</f>
        <v>0</v>
      </c>
      <c r="K46" s="298">
        <f t="shared" si="8"/>
        <v>0</v>
      </c>
      <c r="L46" s="298">
        <f t="shared" si="8"/>
        <v>0</v>
      </c>
      <c r="M46" s="298">
        <f t="shared" si="8"/>
        <v>1000000</v>
      </c>
      <c r="N46" s="298">
        <f t="shared" si="8"/>
        <v>1000000</v>
      </c>
      <c r="O46" s="298">
        <f t="shared" si="8"/>
        <v>-1000000</v>
      </c>
      <c r="P46" s="298">
        <f t="shared" si="8"/>
        <v>0</v>
      </c>
      <c r="Q46" s="298">
        <f t="shared" si="8"/>
        <v>0</v>
      </c>
      <c r="R46" s="298">
        <f t="shared" si="8"/>
        <v>0</v>
      </c>
      <c r="S46" s="298">
        <f t="shared" si="8"/>
        <v>0</v>
      </c>
      <c r="T46" s="298">
        <f t="shared" ref="T46:X46" si="9">T6-T7-T12</f>
        <v>0</v>
      </c>
      <c r="U46" s="298">
        <f t="shared" si="9"/>
        <v>0</v>
      </c>
      <c r="V46" s="298">
        <f t="shared" si="9"/>
        <v>0</v>
      </c>
      <c r="W46" s="298">
        <f t="shared" si="9"/>
        <v>0</v>
      </c>
      <c r="X46" s="298">
        <f t="shared" si="9"/>
        <v>0</v>
      </c>
      <c r="Y46" s="298">
        <f t="shared" ref="Y46:Z46" si="10">Y6-Y7-Y12</f>
        <v>0</v>
      </c>
      <c r="Z46" s="298">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876</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1171</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1040</v>
      </c>
      <c r="I55">
        <v>2918000000</v>
      </c>
      <c r="J55">
        <v>3012000000</v>
      </c>
      <c r="K55">
        <v>3305000000</v>
      </c>
      <c r="L55">
        <v>3523000000</v>
      </c>
      <c r="M55">
        <v>2871000000</v>
      </c>
      <c r="N55">
        <v>3140000000</v>
      </c>
      <c r="O55">
        <v>3646000000</v>
      </c>
      <c r="P55">
        <v>3850000000</v>
      </c>
      <c r="Q55">
        <v>4034000000</v>
      </c>
      <c r="R55" s="381">
        <v>8553000000.000001</v>
      </c>
      <c r="S55" s="381">
        <v>9206000000</v>
      </c>
      <c r="T55" s="381">
        <v>9748000000</v>
      </c>
      <c r="U55" s="603">
        <v>10452000000</v>
      </c>
      <c r="V55" s="603">
        <v>11207000000</v>
      </c>
      <c r="W55" s="603">
        <v>11982000000</v>
      </c>
      <c r="X55" s="603">
        <v>12811000000</v>
      </c>
      <c r="Y55" s="603">
        <v>12811000001</v>
      </c>
      <c r="Z55" s="603">
        <v>12811000002</v>
      </c>
    </row>
    <row r="56" spans="2:26">
      <c r="B56" t="s">
        <v>2550</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2551</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O15" activePane="bottomRight" state="frozen"/>
      <selection pane="topRight" activeCell="R7" sqref="R7"/>
      <selection pane="bottomLeft" activeCell="R7" sqref="R7"/>
      <selection pane="bottomRight" activeCell="S23" sqref="S23"/>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69" t="s">
        <v>2552</v>
      </c>
      <c r="B1" s="82" t="s">
        <v>2553</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2554</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24"/>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24"/>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2166</v>
      </c>
      <c r="Q5" s="28" t="s">
        <v>2166</v>
      </c>
      <c r="R5" s="28" t="s">
        <v>30</v>
      </c>
      <c r="S5" s="28" t="s">
        <v>30</v>
      </c>
      <c r="T5" s="28" t="s">
        <v>30</v>
      </c>
      <c r="U5" s="28" t="s">
        <v>2556</v>
      </c>
      <c r="V5" s="28" t="s">
        <v>2556</v>
      </c>
      <c r="W5" s="28" t="s">
        <v>2556</v>
      </c>
      <c r="X5" s="28" t="s">
        <v>2556</v>
      </c>
      <c r="Y5" s="2" t="s">
        <v>32</v>
      </c>
      <c r="Z5" s="2" t="s">
        <v>32</v>
      </c>
      <c r="AB5" s="424"/>
      <c r="AC5" s="90"/>
      <c r="AD5" s="90"/>
      <c r="AE5" s="90"/>
      <c r="AF5" s="90"/>
      <c r="AG5" s="90"/>
      <c r="AH5" s="90"/>
      <c r="AI5" s="90"/>
      <c r="AJ5" s="90"/>
      <c r="AK5" s="90"/>
    </row>
    <row r="6" spans="1:39" s="9" customFormat="1" ht="16.5">
      <c r="A6" s="18" t="s">
        <v>33</v>
      </c>
      <c r="B6" s="18" t="s">
        <v>1138</v>
      </c>
      <c r="C6" s="9" t="s">
        <v>35</v>
      </c>
      <c r="D6" s="293">
        <v>1207600000000</v>
      </c>
      <c r="E6" s="293">
        <v>1173600000000</v>
      </c>
      <c r="F6" s="293">
        <v>1089900000000.0001</v>
      </c>
      <c r="G6" s="301">
        <f>G7+G22</f>
        <v>1064000000000</v>
      </c>
      <c r="H6" s="301">
        <f>H7+H22</f>
        <v>1141800000000</v>
      </c>
      <c r="I6" s="178">
        <v>1434200000000</v>
      </c>
      <c r="J6" s="178">
        <v>1582600000000</v>
      </c>
      <c r="K6" s="178">
        <v>1636500000000</v>
      </c>
      <c r="L6" s="142">
        <v>2078000000000</v>
      </c>
      <c r="M6" s="193">
        <v>1685000000000</v>
      </c>
      <c r="N6" s="193">
        <v>1834000000000</v>
      </c>
      <c r="O6" s="142">
        <v>2469000000000</v>
      </c>
      <c r="P6" s="304">
        <v>2638000000000</v>
      </c>
      <c r="Q6" s="304">
        <v>2622000000000</v>
      </c>
      <c r="R6" s="304">
        <v>2673000000000</v>
      </c>
      <c r="S6" s="304">
        <v>1797000000000</v>
      </c>
      <c r="T6" s="294">
        <v>1424000000000</v>
      </c>
      <c r="U6" s="304">
        <v>1613000000000</v>
      </c>
      <c r="V6" s="304">
        <v>1677000000000</v>
      </c>
      <c r="W6" s="294">
        <v>1787000000000</v>
      </c>
      <c r="X6" s="294">
        <v>1895000000000</v>
      </c>
      <c r="Y6" s="294"/>
      <c r="Z6" s="294"/>
      <c r="AA6" s="365"/>
      <c r="AB6" s="424"/>
      <c r="AC6" s="90"/>
      <c r="AD6" s="410"/>
      <c r="AE6" s="410"/>
      <c r="AF6" s="410"/>
      <c r="AG6" s="410"/>
      <c r="AH6" s="410"/>
      <c r="AI6" s="410"/>
      <c r="AJ6" s="410"/>
      <c r="AK6" s="410"/>
      <c r="AL6" s="365"/>
      <c r="AM6" s="365"/>
    </row>
    <row r="7" spans="1:39" ht="17.25">
      <c r="A7" s="139" t="s">
        <v>36</v>
      </c>
      <c r="B7" s="139" t="s">
        <v>36</v>
      </c>
      <c r="C7" s="345" t="s">
        <v>38</v>
      </c>
      <c r="D7" s="293">
        <v>1207600000000</v>
      </c>
      <c r="E7" s="321">
        <f>E8+E11</f>
        <v>1173700000000</v>
      </c>
      <c r="F7" s="321">
        <f>F8+F11</f>
        <v>1088000000000</v>
      </c>
      <c r="G7" s="321">
        <f>G8+G11</f>
        <v>1062800000000</v>
      </c>
      <c r="H7" s="321">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8">
        <v>1424000000000</v>
      </c>
      <c r="U7" s="142">
        <v>1613000000000</v>
      </c>
      <c r="V7" s="142">
        <v>1677000000000</v>
      </c>
      <c r="W7" s="298">
        <v>1787000000000</v>
      </c>
      <c r="X7" s="298">
        <v>1895000000000</v>
      </c>
      <c r="Y7" s="298"/>
      <c r="Z7" s="298"/>
      <c r="AA7" s="365"/>
      <c r="AB7" s="502"/>
      <c r="AC7" s="139"/>
      <c r="AD7" s="410"/>
      <c r="AE7" s="410"/>
      <c r="AF7" s="410"/>
      <c r="AG7" s="410"/>
      <c r="AH7" s="410"/>
      <c r="AI7" s="410"/>
      <c r="AJ7" s="410"/>
      <c r="AK7" s="410"/>
      <c r="AL7" s="365"/>
      <c r="AM7" s="365"/>
    </row>
    <row r="8" spans="1:39" ht="16.5">
      <c r="A8" s="388" t="s">
        <v>1902</v>
      </c>
      <c r="B8" s="388" t="s">
        <v>2308</v>
      </c>
      <c r="C8" s="58" t="s">
        <v>41</v>
      </c>
      <c r="D8" s="293">
        <v>814700000000</v>
      </c>
      <c r="E8" s="293">
        <v>752900000000</v>
      </c>
      <c r="F8" s="293">
        <v>609000000000</v>
      </c>
      <c r="G8" s="293">
        <v>583900000000</v>
      </c>
      <c r="H8" s="293">
        <v>628200000000</v>
      </c>
      <c r="I8" s="178">
        <v>907200000000</v>
      </c>
      <c r="J8" s="178">
        <v>1012900000000</v>
      </c>
      <c r="K8" s="178">
        <v>958500000000</v>
      </c>
      <c r="L8" s="125">
        <v>1362000000000</v>
      </c>
      <c r="M8" s="125">
        <v>837000000000</v>
      </c>
      <c r="N8" s="298">
        <v>986000000000</v>
      </c>
      <c r="O8" s="298">
        <v>1372000000000</v>
      </c>
      <c r="P8" s="298">
        <v>1531000000000</v>
      </c>
      <c r="Q8" s="298">
        <v>1344000000000</v>
      </c>
      <c r="R8" s="125">
        <v>1322000000000</v>
      </c>
      <c r="S8" s="298">
        <v>603000000000</v>
      </c>
      <c r="T8" s="298">
        <v>423000000000</v>
      </c>
      <c r="U8" s="298">
        <v>520000000000</v>
      </c>
      <c r="V8" s="298">
        <v>511000000000</v>
      </c>
      <c r="W8" s="298">
        <v>494000000000</v>
      </c>
      <c r="X8" s="389">
        <v>505000000000</v>
      </c>
      <c r="Y8" s="389"/>
      <c r="Z8" s="389"/>
      <c r="AA8" s="365"/>
      <c r="AB8" s="424"/>
      <c r="AC8" s="90"/>
      <c r="AD8" s="410"/>
      <c r="AE8" s="151"/>
      <c r="AF8" s="151"/>
      <c r="AG8" s="151"/>
      <c r="AH8" s="151"/>
      <c r="AI8" s="151"/>
      <c r="AJ8" s="151"/>
      <c r="AK8" s="151"/>
      <c r="AL8" s="365"/>
      <c r="AM8" s="365"/>
    </row>
    <row r="9" spans="1:39">
      <c r="A9" s="99" t="s">
        <v>2557</v>
      </c>
      <c r="B9" s="99" t="s">
        <v>2558</v>
      </c>
      <c r="C9" s="27" t="s">
        <v>309</v>
      </c>
      <c r="D9" s="125"/>
      <c r="E9" s="293">
        <v>752900000000</v>
      </c>
      <c r="F9" s="293">
        <v>609000000000</v>
      </c>
      <c r="G9" s="293">
        <v>570200000000</v>
      </c>
      <c r="H9" s="293">
        <v>600000000000</v>
      </c>
      <c r="I9" s="178">
        <v>835200000000</v>
      </c>
      <c r="J9" s="178">
        <v>951000000000</v>
      </c>
      <c r="K9" s="178"/>
      <c r="L9" s="125"/>
      <c r="M9" s="125"/>
      <c r="N9" s="298"/>
      <c r="O9" s="298"/>
      <c r="P9" s="298"/>
      <c r="Q9" s="298"/>
      <c r="R9" s="298"/>
      <c r="S9" s="298"/>
      <c r="T9" s="298"/>
      <c r="U9" s="298"/>
      <c r="V9" s="298"/>
      <c r="W9" s="298"/>
      <c r="X9" s="389"/>
      <c r="Y9" s="389"/>
      <c r="Z9" s="389"/>
      <c r="AA9" s="365"/>
      <c r="AL9" s="365"/>
      <c r="AM9" s="365"/>
    </row>
    <row r="10" spans="1:39">
      <c r="A10" t="s">
        <v>2559</v>
      </c>
      <c r="B10" s="99" t="s">
        <v>2560</v>
      </c>
      <c r="C10" s="27" t="s">
        <v>309</v>
      </c>
      <c r="D10" s="125"/>
      <c r="E10" s="293">
        <v>0</v>
      </c>
      <c r="F10" s="293">
        <v>0</v>
      </c>
      <c r="G10" s="293">
        <v>13700000000</v>
      </c>
      <c r="H10" s="293">
        <v>28200000000</v>
      </c>
      <c r="I10" s="178">
        <v>71900000000</v>
      </c>
      <c r="J10" s="178">
        <v>61900000000</v>
      </c>
      <c r="K10" s="178"/>
      <c r="L10" s="125"/>
      <c r="M10" s="125"/>
      <c r="N10" s="298"/>
      <c r="O10" s="298"/>
      <c r="P10" s="298"/>
      <c r="Q10" s="298"/>
      <c r="R10" s="298"/>
      <c r="S10" s="298"/>
      <c r="T10" s="298"/>
      <c r="U10" s="298"/>
      <c r="V10" s="298"/>
      <c r="W10" s="298"/>
      <c r="X10" s="389"/>
      <c r="Y10" s="389"/>
      <c r="Z10" s="389"/>
      <c r="AA10" s="365"/>
      <c r="AL10" s="365"/>
      <c r="AM10" s="365"/>
    </row>
    <row r="11" spans="1:39" ht="16.5">
      <c r="A11" s="388" t="s">
        <v>1637</v>
      </c>
      <c r="B11" s="388" t="s">
        <v>2561</v>
      </c>
      <c r="C11" s="58" t="s">
        <v>41</v>
      </c>
      <c r="D11" s="125">
        <v>392900000000</v>
      </c>
      <c r="E11" s="293">
        <v>420800000000</v>
      </c>
      <c r="F11" s="293">
        <v>479000000000</v>
      </c>
      <c r="G11" s="293">
        <v>478900000000</v>
      </c>
      <c r="H11" s="293">
        <v>511500000000</v>
      </c>
      <c r="I11" s="178">
        <v>525000000000</v>
      </c>
      <c r="J11" s="178">
        <v>569700000000</v>
      </c>
      <c r="K11" s="178">
        <v>677800000000</v>
      </c>
      <c r="L11" s="125">
        <v>716000000000</v>
      </c>
      <c r="M11" s="125">
        <v>848000000000</v>
      </c>
      <c r="N11" s="298">
        <v>848000000000</v>
      </c>
      <c r="O11" s="298">
        <v>1097000000000</v>
      </c>
      <c r="P11" s="298">
        <v>1107000000000</v>
      </c>
      <c r="Q11" s="298">
        <v>1278000000000</v>
      </c>
      <c r="R11" s="125">
        <v>1351000000000</v>
      </c>
      <c r="S11" s="298">
        <v>1194000000000</v>
      </c>
      <c r="T11" s="298">
        <v>1001000000000</v>
      </c>
      <c r="U11" s="298">
        <v>1093000000000</v>
      </c>
      <c r="V11" s="298">
        <v>1166000000000</v>
      </c>
      <c r="W11" s="298">
        <v>1293000000000</v>
      </c>
      <c r="X11" s="298">
        <v>1389000000000</v>
      </c>
      <c r="Y11" s="298"/>
      <c r="Z11" s="298"/>
      <c r="AA11" s="365"/>
      <c r="AB11" s="424"/>
      <c r="AC11" s="90"/>
      <c r="AD11" s="410"/>
      <c r="AE11" s="410"/>
      <c r="AF11" s="410"/>
      <c r="AG11" s="410"/>
      <c r="AH11" s="410"/>
      <c r="AI11" s="410"/>
      <c r="AJ11" s="410"/>
      <c r="AK11" s="410"/>
      <c r="AL11" s="365"/>
      <c r="AM11" s="365"/>
    </row>
    <row r="12" spans="1:39" ht="16.5">
      <c r="A12" s="390" t="s">
        <v>39</v>
      </c>
      <c r="B12" s="390" t="s">
        <v>315</v>
      </c>
      <c r="C12" s="27" t="s">
        <v>316</v>
      </c>
      <c r="D12" s="319">
        <f>D13+D14+D17</f>
        <v>376800000000</v>
      </c>
      <c r="E12" s="319">
        <f>E13+E14+E17</f>
        <v>385800000000</v>
      </c>
      <c r="F12" s="319">
        <f>F13+F14+F17</f>
        <v>427700000000</v>
      </c>
      <c r="G12" s="319">
        <f>G13+G14+G17</f>
        <v>432500000000</v>
      </c>
      <c r="H12" s="319">
        <f>H13+H14+H17</f>
        <v>452900000000</v>
      </c>
      <c r="I12" s="125"/>
      <c r="J12" s="125"/>
      <c r="K12" s="178">
        <v>605700000000</v>
      </c>
      <c r="L12" s="142">
        <v>679000000000</v>
      </c>
      <c r="M12" s="142">
        <v>798000000000</v>
      </c>
      <c r="N12" s="142">
        <v>803000000000</v>
      </c>
      <c r="O12" s="142">
        <v>1046000000000</v>
      </c>
      <c r="P12" s="298">
        <v>1048000000000</v>
      </c>
      <c r="Q12" s="298">
        <v>1213000000000</v>
      </c>
      <c r="R12" s="125">
        <v>1334000000000</v>
      </c>
      <c r="S12" s="298">
        <v>1158000000000</v>
      </c>
      <c r="T12" s="298">
        <v>899000000000</v>
      </c>
      <c r="U12" s="298">
        <v>990000000000</v>
      </c>
      <c r="V12" s="298">
        <v>1057000000000</v>
      </c>
      <c r="W12" s="298">
        <v>1190000000000</v>
      </c>
      <c r="X12" s="389">
        <v>1278000000000</v>
      </c>
      <c r="Y12" s="389"/>
      <c r="Z12" s="389"/>
      <c r="AA12" s="365"/>
      <c r="AB12" s="424"/>
      <c r="AC12" s="90"/>
      <c r="AD12" s="410"/>
      <c r="AE12" s="410"/>
      <c r="AF12" s="410"/>
      <c r="AG12" s="410"/>
      <c r="AH12" s="410"/>
      <c r="AI12" s="410"/>
      <c r="AJ12" s="410"/>
      <c r="AK12" s="410"/>
      <c r="AL12" s="365"/>
      <c r="AM12" s="365"/>
    </row>
    <row r="13" spans="1:39" ht="16.5">
      <c r="A13" s="99" t="s">
        <v>42</v>
      </c>
      <c r="B13" s="99" t="s">
        <v>2444</v>
      </c>
      <c r="C13" s="27" t="s">
        <v>319</v>
      </c>
      <c r="D13" s="293">
        <v>81900000000</v>
      </c>
      <c r="E13" s="293">
        <v>96600000000</v>
      </c>
      <c r="F13" s="293">
        <v>134199999999.99998</v>
      </c>
      <c r="G13" s="293">
        <v>122600000000</v>
      </c>
      <c r="H13" s="293">
        <v>137300000000.00002</v>
      </c>
      <c r="I13" s="125"/>
      <c r="J13" s="125"/>
      <c r="K13" s="178">
        <v>193500000000</v>
      </c>
      <c r="L13" s="142">
        <v>234000000000</v>
      </c>
      <c r="M13" s="142">
        <v>325000000000</v>
      </c>
      <c r="N13" s="142">
        <v>235000000000</v>
      </c>
      <c r="O13" s="142">
        <v>422000000000</v>
      </c>
      <c r="P13" s="298">
        <v>310000000000</v>
      </c>
      <c r="Q13" s="298">
        <v>343000000000</v>
      </c>
      <c r="R13" s="125">
        <v>385000000000</v>
      </c>
      <c r="S13" s="298">
        <v>398000000000</v>
      </c>
      <c r="T13" s="298">
        <v>300000000000</v>
      </c>
      <c r="U13" s="298">
        <v>331000000000</v>
      </c>
      <c r="V13" s="298">
        <v>352000000000</v>
      </c>
      <c r="W13" s="298">
        <v>386000000000</v>
      </c>
      <c r="X13" s="389">
        <v>421000000000</v>
      </c>
      <c r="Y13" s="389"/>
      <c r="Z13" s="389"/>
      <c r="AA13" s="365"/>
      <c r="AB13" s="424"/>
      <c r="AC13" s="90"/>
      <c r="AD13" s="151"/>
      <c r="AE13" s="151"/>
      <c r="AF13" s="151"/>
      <c r="AG13" s="151"/>
      <c r="AH13" s="151"/>
      <c r="AI13" s="151"/>
      <c r="AJ13" s="151"/>
      <c r="AK13" s="151"/>
      <c r="AL13" s="365"/>
      <c r="AM13" s="365"/>
    </row>
    <row r="14" spans="1:39" ht="16.5">
      <c r="A14" s="13" t="s">
        <v>2562</v>
      </c>
      <c r="B14" s="13" t="s">
        <v>2563</v>
      </c>
      <c r="C14" s="27" t="s">
        <v>319</v>
      </c>
      <c r="D14" s="293">
        <v>80200000000</v>
      </c>
      <c r="E14" s="293">
        <v>70800000000</v>
      </c>
      <c r="F14" s="293">
        <v>83500000000</v>
      </c>
      <c r="G14" s="293">
        <v>109600000000</v>
      </c>
      <c r="H14" s="293">
        <v>115100000000</v>
      </c>
      <c r="I14" s="125"/>
      <c r="J14" s="125"/>
      <c r="K14" s="178">
        <v>130300000000.00002</v>
      </c>
      <c r="L14" s="125">
        <v>131000000000</v>
      </c>
      <c r="M14" s="125">
        <v>142000000000</v>
      </c>
      <c r="N14" s="125">
        <v>163000000000</v>
      </c>
      <c r="O14" s="125">
        <v>198000000000</v>
      </c>
      <c r="P14" s="298">
        <v>184000000000</v>
      </c>
      <c r="Q14" s="298">
        <v>280000000000</v>
      </c>
      <c r="R14" s="125">
        <v>374000000000</v>
      </c>
      <c r="S14" s="298">
        <v>167000000000</v>
      </c>
      <c r="T14" s="298">
        <v>223000000000</v>
      </c>
      <c r="U14" s="298">
        <v>237000000000</v>
      </c>
      <c r="V14" s="298">
        <v>256000000000</v>
      </c>
      <c r="W14" s="298">
        <v>297000000000</v>
      </c>
      <c r="X14" s="389">
        <v>340000000000</v>
      </c>
      <c r="Y14" s="389"/>
      <c r="Z14" s="389"/>
      <c r="AA14" s="365"/>
      <c r="AB14" s="424"/>
      <c r="AC14" s="90"/>
      <c r="AD14" s="151"/>
      <c r="AE14" s="151"/>
      <c r="AF14" s="151"/>
      <c r="AG14" s="151"/>
      <c r="AH14" s="151"/>
      <c r="AI14" s="151"/>
      <c r="AJ14" s="151"/>
      <c r="AK14" s="151"/>
      <c r="AL14" s="365"/>
      <c r="AM14" s="365"/>
    </row>
    <row r="15" spans="1:39" ht="16.5">
      <c r="A15" s="41" t="s">
        <v>2564</v>
      </c>
      <c r="B15" s="41" t="s">
        <v>2565</v>
      </c>
      <c r="C15" s="27" t="s">
        <v>2566</v>
      </c>
      <c r="D15" s="125"/>
      <c r="E15" s="293">
        <v>61700000000</v>
      </c>
      <c r="F15" s="293">
        <v>64400000000.000008</v>
      </c>
      <c r="G15" s="293">
        <v>80300000000</v>
      </c>
      <c r="H15" s="293">
        <v>82600000000</v>
      </c>
      <c r="I15" s="125"/>
      <c r="J15" s="125"/>
      <c r="K15" s="178">
        <v>92400000000</v>
      </c>
      <c r="L15" s="125">
        <v>85000000000</v>
      </c>
      <c r="M15" s="125">
        <v>82000000000</v>
      </c>
      <c r="N15" s="125">
        <v>93000000000</v>
      </c>
      <c r="O15" s="125">
        <v>144000000000</v>
      </c>
      <c r="P15" s="298">
        <v>126000000000</v>
      </c>
      <c r="Q15" s="298">
        <v>213000000000</v>
      </c>
      <c r="R15" s="125">
        <v>291000000000</v>
      </c>
      <c r="S15" s="298">
        <v>101000000000</v>
      </c>
      <c r="T15" s="298">
        <v>155000000000</v>
      </c>
      <c r="U15" s="298">
        <v>168000000000</v>
      </c>
      <c r="V15" s="298">
        <v>183000000000</v>
      </c>
      <c r="W15" s="298">
        <v>218000000000</v>
      </c>
      <c r="X15" s="389">
        <v>255000000000</v>
      </c>
      <c r="Y15" s="389"/>
      <c r="Z15" s="389"/>
      <c r="AA15" s="365"/>
      <c r="AB15" s="424"/>
      <c r="AC15" s="90"/>
      <c r="AD15" s="151"/>
      <c r="AE15" s="151"/>
      <c r="AF15" s="151"/>
      <c r="AG15" s="151"/>
      <c r="AH15" s="151"/>
      <c r="AI15" s="151"/>
      <c r="AJ15" s="151"/>
      <c r="AK15" s="151"/>
      <c r="AL15" s="365"/>
      <c r="AM15" s="365"/>
    </row>
    <row r="16" spans="1:39" ht="17.25">
      <c r="A16" s="41" t="s">
        <v>50</v>
      </c>
      <c r="B16" s="41" t="s">
        <v>50</v>
      </c>
      <c r="C16" s="27" t="s">
        <v>2566</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5"/>
      <c r="AB16" s="502"/>
      <c r="AC16" s="139"/>
      <c r="AD16" s="151"/>
      <c r="AE16" s="151"/>
      <c r="AF16" s="151"/>
      <c r="AG16" s="151"/>
      <c r="AH16" s="151"/>
      <c r="AI16" s="151"/>
      <c r="AJ16" s="151"/>
      <c r="AK16" s="151"/>
      <c r="AL16" s="365"/>
      <c r="AM16" s="365"/>
    </row>
    <row r="17" spans="1:39" ht="16.5">
      <c r="A17" s="99" t="s">
        <v>2448</v>
      </c>
      <c r="B17" s="99" t="s">
        <v>2449</v>
      </c>
      <c r="C17" s="27" t="s">
        <v>319</v>
      </c>
      <c r="D17" s="293">
        <v>214700000000</v>
      </c>
      <c r="E17" s="293">
        <v>218400000000</v>
      </c>
      <c r="F17" s="293">
        <v>210000000000</v>
      </c>
      <c r="G17" s="293">
        <v>200300000000</v>
      </c>
      <c r="H17" s="293">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5"/>
      <c r="AB17" s="424"/>
      <c r="AC17" s="90"/>
      <c r="AD17" s="151"/>
      <c r="AE17" s="151"/>
      <c r="AF17" s="151"/>
      <c r="AG17" s="151"/>
      <c r="AH17" s="151"/>
      <c r="AI17" s="151"/>
      <c r="AJ17" s="151"/>
      <c r="AK17" s="151"/>
      <c r="AL17" s="365"/>
      <c r="AM17" s="365"/>
    </row>
    <row r="18" spans="1:39" ht="16.5">
      <c r="A18" s="100" t="s">
        <v>2567</v>
      </c>
      <c r="B18" s="100" t="s">
        <v>2568</v>
      </c>
      <c r="C18" s="27" t="s">
        <v>2569</v>
      </c>
      <c r="D18" s="293">
        <v>186700000000</v>
      </c>
      <c r="E18" s="293">
        <v>187800000000</v>
      </c>
      <c r="F18" s="293">
        <v>180900000000</v>
      </c>
      <c r="G18" s="293">
        <v>171200000000</v>
      </c>
      <c r="H18" s="293">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5"/>
      <c r="AB18" s="424"/>
      <c r="AC18" s="90"/>
      <c r="AD18" s="151"/>
      <c r="AE18" s="151"/>
      <c r="AF18" s="151"/>
      <c r="AG18" s="151"/>
      <c r="AH18" s="151"/>
      <c r="AI18" s="151"/>
      <c r="AJ18" s="151"/>
      <c r="AK18" s="151"/>
      <c r="AL18" s="365"/>
      <c r="AM18" s="365"/>
    </row>
    <row r="19" spans="1:39" ht="16.5">
      <c r="A19" s="100" t="s">
        <v>2570</v>
      </c>
      <c r="B19" s="100" t="s">
        <v>2571</v>
      </c>
      <c r="C19" s="27" t="s">
        <v>2569</v>
      </c>
      <c r="D19" s="293">
        <v>28000000000</v>
      </c>
      <c r="E19" s="293">
        <v>30600000000</v>
      </c>
      <c r="F19" s="293">
        <v>29100000000</v>
      </c>
      <c r="G19" s="293">
        <v>29100000000</v>
      </c>
      <c r="H19" s="293">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5"/>
      <c r="AB19" s="424"/>
      <c r="AC19" s="90"/>
      <c r="AD19" s="151"/>
      <c r="AE19" s="151"/>
      <c r="AF19" s="151"/>
      <c r="AG19" s="151"/>
      <c r="AH19" s="151"/>
      <c r="AI19" s="151"/>
      <c r="AJ19" s="151"/>
      <c r="AK19" s="151"/>
      <c r="AL19" s="365"/>
      <c r="AM19" s="365"/>
    </row>
    <row r="20" spans="1:39" ht="16.5">
      <c r="A20" s="99" t="s">
        <v>2572</v>
      </c>
      <c r="B20" s="99" t="s">
        <v>2573</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5"/>
      <c r="AB20" s="424"/>
      <c r="AC20" s="90"/>
      <c r="AD20" s="151"/>
      <c r="AE20" s="151"/>
      <c r="AF20" s="151"/>
      <c r="AG20" s="151"/>
      <c r="AH20" s="151"/>
      <c r="AI20" s="151"/>
      <c r="AJ20" s="151"/>
      <c r="AK20" s="151"/>
      <c r="AL20" s="365"/>
      <c r="AM20" s="365"/>
    </row>
    <row r="21" spans="1:39" ht="16.5">
      <c r="A21" s="99" t="s">
        <v>188</v>
      </c>
      <c r="B21" s="99" t="s">
        <v>1911</v>
      </c>
      <c r="C21" s="27" t="s">
        <v>316</v>
      </c>
      <c r="D21" s="293">
        <v>16100000000.000002</v>
      </c>
      <c r="E21" s="293">
        <v>35000000000</v>
      </c>
      <c r="F21" s="293">
        <v>51300000000</v>
      </c>
      <c r="G21" s="293">
        <v>46400000000</v>
      </c>
      <c r="H21" s="293">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5"/>
      <c r="AB21" s="424"/>
      <c r="AC21" s="90"/>
      <c r="AD21" s="151"/>
      <c r="AE21" s="151"/>
      <c r="AF21" s="151"/>
      <c r="AG21" s="151"/>
      <c r="AH21" s="151"/>
      <c r="AI21" s="151"/>
      <c r="AJ21" s="151"/>
      <c r="AK21" s="151"/>
      <c r="AL21" s="365"/>
      <c r="AM21" s="365"/>
    </row>
    <row r="22" spans="1:39" s="9" customFormat="1" ht="17.25">
      <c r="A22" s="148" t="s">
        <v>53</v>
      </c>
      <c r="B22" s="148" t="s">
        <v>53</v>
      </c>
      <c r="C22" s="355" t="s">
        <v>38</v>
      </c>
      <c r="D22" s="294">
        <v>0</v>
      </c>
      <c r="E22" s="294">
        <v>0</v>
      </c>
      <c r="F22" s="294">
        <v>1900000000</v>
      </c>
      <c r="G22" s="294">
        <v>1200000000</v>
      </c>
      <c r="H22" s="294">
        <v>2100000000</v>
      </c>
      <c r="I22" s="295">
        <v>2000000000</v>
      </c>
      <c r="J22" s="295">
        <v>0</v>
      </c>
      <c r="K22" s="295">
        <v>200000000</v>
      </c>
      <c r="L22" s="304">
        <v>0</v>
      </c>
      <c r="M22" s="304">
        <v>1000000000</v>
      </c>
      <c r="N22" s="304">
        <v>0</v>
      </c>
      <c r="O22" s="304">
        <v>0</v>
      </c>
      <c r="P22" s="304">
        <v>0</v>
      </c>
      <c r="Q22" s="304">
        <v>0</v>
      </c>
      <c r="R22" s="304">
        <v>0</v>
      </c>
      <c r="S22" s="304">
        <v>0</v>
      </c>
      <c r="T22" s="304">
        <v>0</v>
      </c>
      <c r="U22" s="304">
        <v>0</v>
      </c>
      <c r="V22" s="304">
        <v>0</v>
      </c>
      <c r="W22" s="304">
        <v>0</v>
      </c>
      <c r="X22" s="304">
        <v>0</v>
      </c>
      <c r="Y22" s="304"/>
      <c r="Z22" s="304"/>
      <c r="AA22" s="365"/>
      <c r="AB22" s="502"/>
      <c r="AC22" s="139"/>
      <c r="AD22" s="151"/>
      <c r="AE22" s="151"/>
      <c r="AF22" s="151"/>
      <c r="AG22" s="151"/>
      <c r="AH22" s="151"/>
      <c r="AI22" s="151"/>
      <c r="AJ22" s="151"/>
      <c r="AK22" s="90"/>
      <c r="AL22" s="365"/>
      <c r="AM22" s="365"/>
    </row>
    <row r="23" spans="1:39" s="9" customFormat="1" ht="16.5">
      <c r="A23" s="18" t="s">
        <v>71</v>
      </c>
      <c r="B23" s="18" t="s">
        <v>1156</v>
      </c>
      <c r="C23" s="9" t="s">
        <v>35</v>
      </c>
      <c r="D23" s="295">
        <v>786100000000</v>
      </c>
      <c r="E23" s="293">
        <v>1061900000000.0001</v>
      </c>
      <c r="F23" s="293">
        <v>969200000000</v>
      </c>
      <c r="G23" s="293">
        <v>802700000000</v>
      </c>
      <c r="H23" s="293">
        <v>855300000000</v>
      </c>
      <c r="I23" s="178">
        <v>1041099999999.9999</v>
      </c>
      <c r="J23" s="178">
        <v>1122100000000</v>
      </c>
      <c r="K23" s="178">
        <v>1165600000000</v>
      </c>
      <c r="L23" s="142">
        <v>1336000000000</v>
      </c>
      <c r="M23" s="193">
        <v>1348000000000</v>
      </c>
      <c r="N23" s="193">
        <v>1707000000000</v>
      </c>
      <c r="O23" s="303">
        <f>O24+O35+O36+O41+O42+O44+O45+O46</f>
        <v>2019000000000</v>
      </c>
      <c r="P23" s="304">
        <f>P24+P36+P41+P42+P43</f>
        <v>2497000000000</v>
      </c>
      <c r="Q23" s="304">
        <f>Q24+Q36+Q41+Q42+Q43</f>
        <v>2567000000000</v>
      </c>
      <c r="R23" s="304">
        <v>2135000000000</v>
      </c>
      <c r="S23" s="304">
        <f>S24+S36+S41+S42+S43</f>
        <v>1892000000000</v>
      </c>
      <c r="T23" s="304">
        <f>T24+T35+T36+T41+T42+T43</f>
        <v>1862000000000</v>
      </c>
      <c r="U23" s="304">
        <v>1893000000000</v>
      </c>
      <c r="V23" s="304">
        <v>1786000000000</v>
      </c>
      <c r="W23" s="304">
        <v>1846000000000</v>
      </c>
      <c r="X23" s="304">
        <v>1923000000000</v>
      </c>
      <c r="Y23" s="304"/>
      <c r="Z23" s="304"/>
      <c r="AA23" s="365"/>
      <c r="AB23" s="424"/>
      <c r="AC23" s="90"/>
      <c r="AD23" s="410"/>
      <c r="AE23" s="410"/>
      <c r="AF23" s="410"/>
      <c r="AG23" s="410"/>
      <c r="AH23" s="410"/>
      <c r="AI23" s="410"/>
      <c r="AJ23" s="410"/>
      <c r="AK23" s="410"/>
      <c r="AL23" s="365"/>
      <c r="AM23" s="365"/>
    </row>
    <row r="24" spans="1:39" ht="16.5">
      <c r="A24" s="90" t="s">
        <v>73</v>
      </c>
      <c r="B24" s="90" t="s">
        <v>332</v>
      </c>
      <c r="C24" s="58" t="s">
        <v>201</v>
      </c>
      <c r="D24" s="293">
        <v>674800000000</v>
      </c>
      <c r="E24" s="293">
        <v>860400000000</v>
      </c>
      <c r="F24" s="293">
        <v>687400000000</v>
      </c>
      <c r="G24" s="293">
        <v>613500000000</v>
      </c>
      <c r="H24" s="293">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5"/>
      <c r="AB24" s="424"/>
      <c r="AC24" s="90"/>
      <c r="AD24" s="410"/>
      <c r="AE24" s="410"/>
      <c r="AF24" s="410"/>
      <c r="AG24" s="410"/>
      <c r="AH24" s="410"/>
      <c r="AI24" s="410"/>
      <c r="AJ24" s="410"/>
      <c r="AK24" s="410"/>
      <c r="AL24" s="365"/>
      <c r="AM24" s="365"/>
    </row>
    <row r="25" spans="1:39" ht="16.5">
      <c r="A25" s="99" t="s">
        <v>79</v>
      </c>
      <c r="B25" s="99" t="s">
        <v>80</v>
      </c>
      <c r="C25" s="58" t="s">
        <v>204</v>
      </c>
      <c r="D25" s="293">
        <v>216600000000</v>
      </c>
      <c r="E25" s="293">
        <v>219600000000</v>
      </c>
      <c r="F25" s="293">
        <v>220600000000</v>
      </c>
      <c r="G25" s="293">
        <v>229000000000</v>
      </c>
      <c r="H25" s="293">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5"/>
      <c r="AB25" s="424"/>
      <c r="AC25" s="90"/>
      <c r="AD25" s="151"/>
      <c r="AE25" s="151"/>
      <c r="AF25" s="151"/>
      <c r="AG25" s="151"/>
      <c r="AH25" s="151"/>
      <c r="AI25" s="151"/>
      <c r="AJ25" s="151"/>
      <c r="AK25" s="151"/>
      <c r="AL25" s="365"/>
      <c r="AM25" s="365"/>
    </row>
    <row r="26" spans="1:39" ht="16.5">
      <c r="A26" s="99" t="s">
        <v>83</v>
      </c>
      <c r="B26" s="99" t="s">
        <v>48</v>
      </c>
      <c r="C26" s="58" t="s">
        <v>204</v>
      </c>
      <c r="D26" s="293">
        <v>128300000000.00002</v>
      </c>
      <c r="E26" s="293">
        <v>177000000000</v>
      </c>
      <c r="F26" s="293">
        <v>156700000000</v>
      </c>
      <c r="G26" s="293">
        <v>124800000000</v>
      </c>
      <c r="H26" s="293">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5"/>
      <c r="AB26" s="424"/>
      <c r="AC26" s="90"/>
      <c r="AD26" s="151"/>
      <c r="AE26" s="151"/>
      <c r="AF26" s="151"/>
      <c r="AG26" s="151"/>
      <c r="AH26" s="151"/>
      <c r="AI26" s="151"/>
      <c r="AJ26" s="151"/>
      <c r="AK26" s="151"/>
      <c r="AL26" s="365"/>
      <c r="AM26" s="365"/>
    </row>
    <row r="27" spans="1:39" ht="16.5">
      <c r="A27" s="99" t="s">
        <v>90</v>
      </c>
      <c r="B27" s="99" t="s">
        <v>341</v>
      </c>
      <c r="C27" s="58" t="s">
        <v>204</v>
      </c>
      <c r="D27" s="293">
        <v>212000000000</v>
      </c>
      <c r="E27" s="293">
        <v>303700000000</v>
      </c>
      <c r="F27" s="293">
        <v>151300000000</v>
      </c>
      <c r="G27" s="293">
        <v>141500000000</v>
      </c>
      <c r="H27" s="293">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5"/>
      <c r="AB27" s="424"/>
      <c r="AC27" s="90"/>
      <c r="AD27" s="151"/>
      <c r="AE27" s="151"/>
      <c r="AF27" s="151"/>
      <c r="AG27" s="151"/>
      <c r="AH27" s="151"/>
      <c r="AI27" s="151"/>
      <c r="AJ27" s="151"/>
      <c r="AK27" s="151"/>
      <c r="AL27" s="365"/>
      <c r="AM27" s="365"/>
    </row>
    <row r="28" spans="1:39" ht="17.25">
      <c r="A28" s="138" t="s">
        <v>209</v>
      </c>
      <c r="B28" s="138" t="s">
        <v>209</v>
      </c>
      <c r="C28" s="27" t="s">
        <v>211</v>
      </c>
      <c r="D28" s="293">
        <v>27800000000</v>
      </c>
      <c r="E28" s="293">
        <v>34299999999.999996</v>
      </c>
      <c r="F28" s="293">
        <v>33700000000.000004</v>
      </c>
      <c r="G28" s="293">
        <v>30400000000</v>
      </c>
      <c r="H28" s="293">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5"/>
      <c r="AB28" s="502"/>
      <c r="AC28" s="139"/>
      <c r="AD28" s="151"/>
      <c r="AE28" s="151"/>
      <c r="AF28" s="151"/>
      <c r="AG28" s="151"/>
      <c r="AH28" s="151"/>
      <c r="AI28" s="151"/>
      <c r="AJ28" s="151"/>
      <c r="AK28" s="151"/>
      <c r="AL28" s="365"/>
      <c r="AM28" s="365"/>
    </row>
    <row r="29" spans="1:39" ht="17.25">
      <c r="A29" s="138" t="s">
        <v>212</v>
      </c>
      <c r="B29" s="138" t="s">
        <v>212</v>
      </c>
      <c r="C29" s="27" t="s">
        <v>211</v>
      </c>
      <c r="D29" s="293">
        <v>184200000000</v>
      </c>
      <c r="E29" s="293">
        <v>269399999999.99997</v>
      </c>
      <c r="F29" s="293">
        <v>117600000000</v>
      </c>
      <c r="G29" s="293">
        <v>111100000000</v>
      </c>
      <c r="H29" s="293">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5"/>
      <c r="AB29" s="502"/>
      <c r="AC29" s="139"/>
      <c r="AD29" s="151"/>
      <c r="AE29" s="151"/>
      <c r="AF29" s="151"/>
      <c r="AG29" s="151"/>
      <c r="AH29" s="151"/>
      <c r="AI29" s="151"/>
      <c r="AJ29" s="151"/>
      <c r="AK29" s="151"/>
      <c r="AL29" s="365"/>
      <c r="AM29" s="365"/>
    </row>
    <row r="30" spans="1:39" ht="16.5">
      <c r="A30" s="99" t="s">
        <v>2238</v>
      </c>
      <c r="B30" s="99" t="s">
        <v>2574</v>
      </c>
      <c r="C30" s="58" t="s">
        <v>204</v>
      </c>
      <c r="D30" s="293">
        <v>117800000000</v>
      </c>
      <c r="E30" s="293">
        <v>160100000000</v>
      </c>
      <c r="F30" s="293">
        <v>158800000000</v>
      </c>
      <c r="G30" s="293">
        <v>118300000000</v>
      </c>
      <c r="H30" s="293">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5"/>
      <c r="AB30" s="424"/>
      <c r="AC30" s="90"/>
      <c r="AD30" s="151"/>
      <c r="AE30" s="151"/>
      <c r="AF30" s="151"/>
      <c r="AG30" s="151"/>
      <c r="AH30" s="151"/>
      <c r="AI30" s="151"/>
      <c r="AJ30" s="151"/>
      <c r="AK30" s="151"/>
      <c r="AL30" s="365"/>
      <c r="AM30" s="365"/>
    </row>
    <row r="31" spans="1:39" ht="16.5">
      <c r="A31" s="103" t="s">
        <v>389</v>
      </c>
      <c r="B31" s="103" t="s">
        <v>389</v>
      </c>
      <c r="C31" s="27" t="s">
        <v>486</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5"/>
      <c r="AL31" s="365"/>
      <c r="AM31" s="365"/>
    </row>
    <row r="32" spans="1:39" ht="16.5">
      <c r="A32" s="103" t="s">
        <v>215</v>
      </c>
      <c r="B32" s="103" t="s">
        <v>215</v>
      </c>
      <c r="C32" s="27" t="s">
        <v>486</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5"/>
      <c r="AL32" s="365"/>
      <c r="AM32" s="365"/>
    </row>
    <row r="33" spans="1:39" ht="16.5">
      <c r="A33" t="s">
        <v>76</v>
      </c>
      <c r="B33" s="100" t="s">
        <v>2575</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5"/>
      <c r="AB33" s="424"/>
      <c r="AC33" s="90"/>
      <c r="AD33" s="151"/>
      <c r="AE33" s="151"/>
      <c r="AF33" s="151"/>
      <c r="AG33" s="151"/>
      <c r="AH33" s="151"/>
      <c r="AI33" s="151"/>
      <c r="AJ33" s="151"/>
      <c r="AK33" s="90"/>
      <c r="AL33" s="365"/>
      <c r="AM33" s="365"/>
    </row>
    <row r="34" spans="1:39" ht="16.5">
      <c r="A34" t="s">
        <v>76</v>
      </c>
      <c r="B34" s="100" t="s">
        <v>2576</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5"/>
      <c r="AL34" s="365"/>
      <c r="AM34" s="365"/>
    </row>
    <row r="35" spans="1:39" ht="16.5">
      <c r="A35" s="90" t="s">
        <v>2577</v>
      </c>
      <c r="B35" s="90" t="s">
        <v>2578</v>
      </c>
      <c r="C35" s="58" t="s">
        <v>201</v>
      </c>
      <c r="D35" s="125"/>
      <c r="E35" s="293">
        <v>0</v>
      </c>
      <c r="F35" s="293">
        <v>0</v>
      </c>
      <c r="G35" s="293">
        <v>13700000000</v>
      </c>
      <c r="H35" s="293">
        <v>28200000000</v>
      </c>
      <c r="I35" s="125"/>
      <c r="J35" s="125"/>
      <c r="K35" s="178"/>
      <c r="L35" s="142"/>
      <c r="M35" s="142"/>
      <c r="N35" s="142"/>
      <c r="O35" s="142"/>
      <c r="P35" s="142"/>
      <c r="Q35" s="142"/>
      <c r="R35" s="142"/>
      <c r="S35" s="142"/>
      <c r="T35" s="142"/>
      <c r="U35" s="142"/>
      <c r="V35" s="142"/>
      <c r="W35" s="142"/>
      <c r="X35" s="142"/>
      <c r="Y35" s="142"/>
      <c r="Z35" s="142"/>
      <c r="AA35" s="365"/>
      <c r="AL35" s="365"/>
      <c r="AM35" s="365"/>
    </row>
    <row r="36" spans="1:39" ht="16.5">
      <c r="A36" s="90" t="s">
        <v>237</v>
      </c>
      <c r="B36" s="90" t="s">
        <v>342</v>
      </c>
      <c r="C36" s="58" t="s">
        <v>201</v>
      </c>
      <c r="D36" s="125">
        <v>105100000000</v>
      </c>
      <c r="E36" s="319">
        <f>E37+E40</f>
        <v>163600000000</v>
      </c>
      <c r="F36" s="319">
        <f>F37+F40</f>
        <v>136600000000</v>
      </c>
      <c r="G36" s="319">
        <f>G37+G40</f>
        <v>130700000000</v>
      </c>
      <c r="H36" s="319">
        <f>H37+H40</f>
        <v>160000000000</v>
      </c>
      <c r="I36" s="178">
        <v>193400000000</v>
      </c>
      <c r="J36" s="178">
        <v>238800000000</v>
      </c>
      <c r="K36" s="178">
        <v>246800000000</v>
      </c>
      <c r="L36" s="142">
        <v>299000000000</v>
      </c>
      <c r="M36" s="142">
        <v>309000000000</v>
      </c>
      <c r="N36" s="142">
        <v>601000000000</v>
      </c>
      <c r="O36" s="303">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5"/>
      <c r="AB36" s="424"/>
      <c r="AC36" s="90"/>
      <c r="AD36" s="151"/>
      <c r="AE36" s="151"/>
      <c r="AF36" s="151"/>
      <c r="AG36" s="151"/>
      <c r="AH36" s="151"/>
      <c r="AI36" s="151"/>
      <c r="AJ36" s="151"/>
      <c r="AK36" s="151"/>
      <c r="AL36" s="365"/>
      <c r="AM36" s="365"/>
    </row>
    <row r="37" spans="1:39" ht="16.5">
      <c r="A37" s="99" t="s">
        <v>239</v>
      </c>
      <c r="B37" s="99" t="s">
        <v>1231</v>
      </c>
      <c r="C37" s="58" t="s">
        <v>241</v>
      </c>
      <c r="D37" s="125">
        <v>82400000000</v>
      </c>
      <c r="E37" s="293">
        <v>154300000000</v>
      </c>
      <c r="F37" s="293">
        <v>117000000000</v>
      </c>
      <c r="G37" s="293">
        <v>122000000000</v>
      </c>
      <c r="H37" s="293">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5"/>
      <c r="AB37" s="424"/>
      <c r="AC37" s="90"/>
      <c r="AD37" s="151"/>
      <c r="AE37" s="151"/>
      <c r="AF37" s="151"/>
      <c r="AG37" s="151"/>
      <c r="AH37" s="151"/>
      <c r="AI37" s="151"/>
      <c r="AJ37" s="151"/>
      <c r="AK37" s="151"/>
      <c r="AL37" s="365"/>
      <c r="AM37" s="365"/>
    </row>
    <row r="38" spans="1:39" ht="16.5">
      <c r="A38" s="100" t="s">
        <v>2579</v>
      </c>
      <c r="B38" s="100" t="s">
        <v>2580</v>
      </c>
      <c r="C38" s="27" t="s">
        <v>2581</v>
      </c>
      <c r="D38" s="125"/>
      <c r="E38" s="293">
        <v>50000000000</v>
      </c>
      <c r="F38" s="293">
        <v>50000000000</v>
      </c>
      <c r="G38" s="293">
        <v>50000000000</v>
      </c>
      <c r="H38" s="293">
        <v>50000000000</v>
      </c>
      <c r="I38" s="178"/>
      <c r="J38" s="178"/>
      <c r="K38" s="178"/>
      <c r="L38" s="142"/>
      <c r="M38" s="142"/>
      <c r="N38" s="142"/>
      <c r="O38" s="142"/>
      <c r="P38" s="142"/>
      <c r="Q38" s="142"/>
      <c r="R38" s="142"/>
      <c r="S38" s="142"/>
      <c r="T38" s="142"/>
      <c r="U38" s="142"/>
      <c r="V38" s="142"/>
      <c r="W38" s="142"/>
      <c r="X38" s="142"/>
      <c r="Y38" s="142"/>
      <c r="Z38" s="142"/>
      <c r="AA38" s="365"/>
      <c r="AL38" s="365"/>
      <c r="AM38" s="365"/>
    </row>
    <row r="39" spans="1:39" ht="16.5">
      <c r="A39" s="100" t="s">
        <v>2582</v>
      </c>
      <c r="B39" s="100" t="s">
        <v>2583</v>
      </c>
      <c r="C39" s="27" t="s">
        <v>2581</v>
      </c>
      <c r="D39" s="125"/>
      <c r="E39" s="293">
        <v>104300000000</v>
      </c>
      <c r="F39" s="293">
        <v>67000000000</v>
      </c>
      <c r="G39" s="293">
        <v>72000000000</v>
      </c>
      <c r="H39" s="293">
        <v>92200000000</v>
      </c>
      <c r="I39" s="178"/>
      <c r="J39" s="178"/>
      <c r="K39" s="178"/>
      <c r="L39" s="142"/>
      <c r="M39" s="142"/>
      <c r="N39" s="142"/>
      <c r="O39" s="142"/>
      <c r="P39" s="142"/>
      <c r="Q39" s="142"/>
      <c r="R39" s="142"/>
      <c r="S39" s="142"/>
      <c r="T39" s="142"/>
      <c r="U39" s="142"/>
      <c r="V39" s="142"/>
      <c r="W39" s="142"/>
      <c r="X39" s="142"/>
      <c r="Y39" s="142"/>
      <c r="Z39" s="142"/>
      <c r="AA39" s="365"/>
      <c r="AL39" s="365"/>
      <c r="AM39" s="365"/>
    </row>
    <row r="40" spans="1:39" ht="16.5">
      <c r="A40" s="99" t="s">
        <v>242</v>
      </c>
      <c r="B40" s="99" t="s">
        <v>396</v>
      </c>
      <c r="C40" s="58" t="s">
        <v>241</v>
      </c>
      <c r="D40" s="125">
        <v>22700000000</v>
      </c>
      <c r="E40" s="293">
        <v>9300000000</v>
      </c>
      <c r="F40" s="293">
        <v>19600000000</v>
      </c>
      <c r="G40" s="293">
        <v>8700000000</v>
      </c>
      <c r="H40" s="293">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5"/>
      <c r="AB40" s="424"/>
      <c r="AC40" s="90"/>
      <c r="AD40" s="151"/>
      <c r="AE40" s="151"/>
      <c r="AF40" s="151"/>
      <c r="AG40" s="151"/>
      <c r="AH40" s="151"/>
      <c r="AI40" s="151"/>
      <c r="AJ40" s="151"/>
      <c r="AK40" s="151"/>
      <c r="AL40" s="365"/>
      <c r="AM40" s="365"/>
    </row>
    <row r="41" spans="1:39" ht="16.5">
      <c r="A41" s="90" t="s">
        <v>612</v>
      </c>
      <c r="B41" s="90" t="s">
        <v>1159</v>
      </c>
      <c r="C41" s="58" t="s">
        <v>201</v>
      </c>
      <c r="D41" s="125">
        <v>6200000000</v>
      </c>
      <c r="E41" s="293">
        <v>37900000000</v>
      </c>
      <c r="F41" s="293">
        <v>17100000000.000002</v>
      </c>
      <c r="G41" s="293">
        <v>300000000</v>
      </c>
      <c r="H41" s="293">
        <v>0</v>
      </c>
      <c r="I41" s="178">
        <v>5000000000</v>
      </c>
      <c r="J41" s="178">
        <v>0</v>
      </c>
      <c r="K41" s="178">
        <v>9700000000</v>
      </c>
      <c r="L41" s="142">
        <v>21000000000</v>
      </c>
      <c r="M41" s="142">
        <v>51000000000</v>
      </c>
      <c r="N41" s="142">
        <v>65000000000</v>
      </c>
      <c r="O41" s="142">
        <v>19000000000</v>
      </c>
      <c r="P41" s="2629">
        <v>0</v>
      </c>
      <c r="Q41" s="2629">
        <v>0</v>
      </c>
      <c r="R41" s="142">
        <v>0</v>
      </c>
      <c r="S41" s="2629">
        <v>0</v>
      </c>
      <c r="T41" s="142">
        <v>25000000000</v>
      </c>
      <c r="U41" s="142">
        <v>0</v>
      </c>
      <c r="V41" s="142">
        <v>0</v>
      </c>
      <c r="W41" s="142">
        <v>0</v>
      </c>
      <c r="X41" s="142">
        <v>0</v>
      </c>
      <c r="Y41" s="142"/>
      <c r="Z41" s="142"/>
      <c r="AA41" s="365"/>
      <c r="AB41" s="424"/>
      <c r="AC41" s="90"/>
      <c r="AD41" s="151"/>
      <c r="AE41" s="151"/>
      <c r="AF41" s="151"/>
      <c r="AG41" s="151"/>
      <c r="AH41" s="151"/>
      <c r="AI41" s="151"/>
      <c r="AJ41" s="151"/>
      <c r="AK41" s="90"/>
      <c r="AL41" s="365"/>
      <c r="AM41" s="365"/>
    </row>
    <row r="42" spans="1:39" ht="16.5">
      <c r="A42" s="90" t="s">
        <v>7145</v>
      </c>
      <c r="B42" s="90" t="s">
        <v>2584</v>
      </c>
      <c r="C42" s="58" t="s">
        <v>201</v>
      </c>
      <c r="D42" s="125"/>
      <c r="E42" s="293">
        <v>0</v>
      </c>
      <c r="F42" s="293">
        <v>60500000000</v>
      </c>
      <c r="G42" s="293">
        <v>44500000000</v>
      </c>
      <c r="H42" s="293">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5"/>
      <c r="AB42" s="424"/>
      <c r="AC42" s="90"/>
      <c r="AD42" s="151"/>
      <c r="AE42" s="151"/>
      <c r="AF42" s="151"/>
      <c r="AG42" s="151"/>
      <c r="AH42" s="151"/>
      <c r="AI42" s="151"/>
      <c r="AJ42" s="151"/>
      <c r="AK42" s="90"/>
      <c r="AL42" s="365"/>
      <c r="AM42" s="365"/>
    </row>
    <row r="43" spans="1:39" ht="16.5">
      <c r="A43" s="619" t="s">
        <v>7144</v>
      </c>
      <c r="B43" s="619" t="s">
        <v>2585</v>
      </c>
      <c r="C43" s="633" t="s">
        <v>201</v>
      </c>
      <c r="D43" s="125"/>
      <c r="E43" s="293"/>
      <c r="F43" s="293"/>
      <c r="G43" s="293"/>
      <c r="H43" s="293"/>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5"/>
      <c r="AB43" s="424"/>
      <c r="AC43" s="90"/>
      <c r="AD43" s="151"/>
      <c r="AE43" s="151"/>
      <c r="AF43" s="151"/>
      <c r="AG43" s="151"/>
      <c r="AH43" s="151"/>
      <c r="AI43" s="151"/>
      <c r="AJ43" s="151"/>
      <c r="AK43" s="90"/>
      <c r="AL43" s="365"/>
      <c r="AM43" s="365"/>
    </row>
    <row r="44" spans="1:39" ht="16.5">
      <c r="A44" s="90" t="s">
        <v>2586</v>
      </c>
      <c r="B44" s="90" t="s">
        <v>2587</v>
      </c>
      <c r="C44" s="58" t="s">
        <v>201</v>
      </c>
      <c r="D44" s="125"/>
      <c r="E44" s="293"/>
      <c r="F44" s="293">
        <v>67600000000</v>
      </c>
      <c r="G44" s="293"/>
      <c r="H44" s="293"/>
      <c r="I44" s="178"/>
      <c r="J44" s="178"/>
      <c r="K44" s="178"/>
      <c r="L44" s="142"/>
      <c r="M44" s="142"/>
      <c r="N44" s="142"/>
      <c r="O44" s="142"/>
      <c r="P44" s="142"/>
      <c r="Q44" s="142"/>
      <c r="R44" s="142"/>
      <c r="S44" s="142"/>
      <c r="T44" s="142"/>
      <c r="U44" s="142"/>
      <c r="V44" s="142"/>
      <c r="W44" s="142"/>
      <c r="X44" s="142"/>
      <c r="Y44" s="142"/>
      <c r="Z44" s="142"/>
      <c r="AA44" s="365"/>
      <c r="AL44" s="365"/>
      <c r="AM44" s="365"/>
    </row>
    <row r="45" spans="1:39" ht="16.5">
      <c r="A45" s="90" t="s">
        <v>473</v>
      </c>
      <c r="B45" s="90" t="s">
        <v>2588</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5"/>
      <c r="AL45" s="365"/>
      <c r="AM45" s="365"/>
    </row>
    <row r="46" spans="1:39" ht="16.5">
      <c r="A46" s="90" t="s">
        <v>1232</v>
      </c>
      <c r="B46" s="90" t="s">
        <v>1233</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5"/>
      <c r="AL46" s="365"/>
      <c r="AM46" s="365"/>
    </row>
    <row r="47" spans="1:39" ht="16.5">
      <c r="A47" t="s">
        <v>76</v>
      </c>
      <c r="B47" s="90" t="s">
        <v>2589</v>
      </c>
      <c r="C47" s="34"/>
      <c r="D47" s="125">
        <v>421500000000</v>
      </c>
      <c r="E47" s="293">
        <v>111700000000</v>
      </c>
      <c r="F47" s="293">
        <v>120700000000</v>
      </c>
      <c r="G47" s="293">
        <v>261300000000</v>
      </c>
      <c r="H47" s="293">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5"/>
      <c r="AB47" s="424"/>
      <c r="AC47" s="90"/>
      <c r="AD47" s="151"/>
      <c r="AE47" s="151"/>
      <c r="AF47" s="151"/>
      <c r="AG47" s="151"/>
      <c r="AH47" s="151"/>
      <c r="AI47" s="151"/>
      <c r="AJ47" s="151"/>
      <c r="AK47" s="151"/>
      <c r="AL47" s="365"/>
      <c r="AM47" s="365"/>
    </row>
    <row r="48" spans="1:39" ht="16.5">
      <c r="A48" t="s">
        <v>76</v>
      </c>
      <c r="B48" s="90" t="s">
        <v>1936</v>
      </c>
      <c r="C48" s="34"/>
      <c r="D48" s="125">
        <v>-276100000000</v>
      </c>
      <c r="E48" s="293">
        <v>54700000000</v>
      </c>
      <c r="F48" s="293">
        <v>1100000000</v>
      </c>
      <c r="G48" s="293">
        <v>-36400000000</v>
      </c>
      <c r="H48" s="293">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5"/>
      <c r="AB48" s="424"/>
      <c r="AC48" s="90"/>
      <c r="AD48" s="151"/>
      <c r="AE48" s="151"/>
      <c r="AF48" s="151"/>
      <c r="AG48" s="151"/>
      <c r="AH48" s="151"/>
      <c r="AI48" s="151"/>
      <c r="AJ48" s="151"/>
      <c r="AK48" s="90"/>
      <c r="AL48" s="365"/>
      <c r="AM48" s="365"/>
    </row>
    <row r="49" spans="1:39" ht="16.5">
      <c r="A49" t="s">
        <v>76</v>
      </c>
      <c r="B49" s="99" t="s">
        <v>2453</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5"/>
      <c r="AB49" s="424"/>
      <c r="AC49" s="90"/>
      <c r="AD49" s="151"/>
      <c r="AE49" s="151"/>
      <c r="AF49" s="151"/>
      <c r="AG49" s="151"/>
      <c r="AH49" s="151"/>
      <c r="AI49" s="151"/>
      <c r="AJ49" s="151"/>
      <c r="AK49" s="90"/>
      <c r="AL49" s="365"/>
      <c r="AM49" s="365"/>
    </row>
    <row r="50" spans="1:39" ht="16.5">
      <c r="A50" t="s">
        <v>76</v>
      </c>
      <c r="B50" s="99" t="s">
        <v>2590</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5"/>
      <c r="AB50" s="424"/>
      <c r="AC50" s="90"/>
      <c r="AD50" s="151"/>
      <c r="AE50" s="151"/>
      <c r="AF50" s="151"/>
      <c r="AG50" s="151"/>
      <c r="AH50" s="151"/>
      <c r="AI50" s="151"/>
      <c r="AJ50" s="151"/>
      <c r="AK50" s="90"/>
      <c r="AL50" s="365"/>
      <c r="AM50" s="365"/>
    </row>
    <row r="51" spans="1:39" ht="16.5">
      <c r="A51" s="607" t="s">
        <v>2591</v>
      </c>
      <c r="B51" s="648" t="s">
        <v>2591</v>
      </c>
      <c r="C51" s="701"/>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5"/>
      <c r="AB51" s="424"/>
      <c r="AC51" s="90"/>
      <c r="AD51" s="151"/>
      <c r="AE51" s="151"/>
      <c r="AF51" s="151"/>
      <c r="AG51" s="151"/>
      <c r="AH51" s="151"/>
      <c r="AI51" s="151"/>
      <c r="AJ51" s="151"/>
      <c r="AK51" s="90"/>
      <c r="AL51" s="365"/>
      <c r="AM51" s="365"/>
    </row>
    <row r="52" spans="1:39" ht="16.5">
      <c r="A52" t="s">
        <v>76</v>
      </c>
      <c r="B52" s="90" t="s">
        <v>2592</v>
      </c>
      <c r="C52" s="34"/>
      <c r="D52" s="125">
        <v>145400000000</v>
      </c>
      <c r="E52" s="293">
        <v>166400000000</v>
      </c>
      <c r="F52" s="293">
        <v>121800000000</v>
      </c>
      <c r="G52" s="293">
        <v>224900000000</v>
      </c>
      <c r="H52" s="293">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5"/>
      <c r="AB52" s="424"/>
      <c r="AC52" s="90"/>
      <c r="AD52" s="151"/>
      <c r="AE52" s="151"/>
      <c r="AF52" s="151"/>
      <c r="AG52" s="151"/>
      <c r="AH52" s="151"/>
      <c r="AI52" s="151"/>
      <c r="AJ52" s="151"/>
      <c r="AK52" s="151"/>
      <c r="AL52" s="365"/>
      <c r="AM52" s="365"/>
    </row>
    <row r="53" spans="1:39" s="9" customFormat="1" ht="16.5">
      <c r="A53" s="148" t="s">
        <v>115</v>
      </c>
      <c r="B53" s="18" t="s">
        <v>2593</v>
      </c>
      <c r="C53" s="18" t="s">
        <v>35</v>
      </c>
      <c r="D53" s="295">
        <v>-145400000000</v>
      </c>
      <c r="E53" s="294">
        <v>-166300000000</v>
      </c>
      <c r="F53" s="294">
        <v>-121800000000</v>
      </c>
      <c r="G53" s="294">
        <v>-224900000000</v>
      </c>
      <c r="H53" s="294">
        <v>-92900000000</v>
      </c>
      <c r="I53" s="263">
        <v>-355700000000</v>
      </c>
      <c r="J53" s="263">
        <v>-426900000000</v>
      </c>
      <c r="K53" s="295">
        <f>K54+K63</f>
        <v>-444600000000</v>
      </c>
      <c r="L53" s="295">
        <f>L54+L63</f>
        <v>-611000000000</v>
      </c>
      <c r="M53" s="295">
        <f>M54+M63</f>
        <v>-125000000000</v>
      </c>
      <c r="N53" s="295">
        <f>N54+N63</f>
        <v>227000000000</v>
      </c>
      <c r="O53" s="295">
        <f>O54+O63</f>
        <v>-4000000000</v>
      </c>
      <c r="P53" s="304">
        <v>-196000000000</v>
      </c>
      <c r="Q53" s="304">
        <v>-20000000000</v>
      </c>
      <c r="R53" s="304">
        <f>R54+R63</f>
        <v>24000000000</v>
      </c>
      <c r="S53" s="304">
        <f t="shared" ref="S53:T53" si="0">S54+S63</f>
        <v>409000000000</v>
      </c>
      <c r="T53" s="304">
        <f t="shared" si="0"/>
        <v>559000000000</v>
      </c>
      <c r="U53" s="304">
        <v>396000000000</v>
      </c>
      <c r="V53" s="304">
        <v>205000000000</v>
      </c>
      <c r="W53" s="304">
        <v>59000000000</v>
      </c>
      <c r="X53" s="304">
        <v>15000000000</v>
      </c>
      <c r="Y53" s="304"/>
      <c r="Z53" s="304"/>
      <c r="AA53" s="599"/>
      <c r="AB53" s="422"/>
      <c r="AC53" s="18"/>
      <c r="AD53" s="627"/>
      <c r="AE53" s="627"/>
      <c r="AF53" s="627"/>
      <c r="AG53" s="627"/>
      <c r="AH53" s="627"/>
      <c r="AI53" s="627"/>
      <c r="AJ53" s="627"/>
      <c r="AK53" s="627"/>
      <c r="AL53" s="599"/>
      <c r="AM53" s="599"/>
    </row>
    <row r="54" spans="1:39" ht="16.5">
      <c r="A54" s="58" t="s">
        <v>117</v>
      </c>
      <c r="B54" s="90" t="s">
        <v>2594</v>
      </c>
      <c r="C54" s="58" t="s">
        <v>252</v>
      </c>
      <c r="D54" s="125">
        <v>160200000000</v>
      </c>
      <c r="E54" s="293">
        <v>-213100000000</v>
      </c>
      <c r="F54" s="293">
        <v>-76900000000</v>
      </c>
      <c r="G54" s="293">
        <v>-130699999999.99998</v>
      </c>
      <c r="H54" s="293">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5"/>
      <c r="AB54" s="424"/>
      <c r="AC54" s="90"/>
      <c r="AD54" s="151"/>
      <c r="AE54" s="151"/>
      <c r="AF54" s="151"/>
      <c r="AG54" s="151"/>
      <c r="AH54" s="151"/>
      <c r="AI54" s="151"/>
      <c r="AJ54" s="151"/>
      <c r="AK54" s="151"/>
      <c r="AL54" s="365"/>
      <c r="AM54" s="365"/>
    </row>
    <row r="55" spans="1:39" ht="17.25">
      <c r="A55" s="152" t="s">
        <v>1104</v>
      </c>
      <c r="B55" s="152" t="s">
        <v>1104</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5"/>
      <c r="AB55" s="502"/>
      <c r="AC55" s="139"/>
      <c r="AD55" s="151"/>
      <c r="AE55" s="151"/>
      <c r="AF55" s="151"/>
      <c r="AG55" s="151"/>
      <c r="AH55" s="151"/>
      <c r="AI55" s="151"/>
      <c r="AJ55" s="151"/>
      <c r="AK55" s="151"/>
      <c r="AL55" s="365"/>
      <c r="AM55" s="365"/>
    </row>
    <row r="56" spans="1:39" ht="16.5">
      <c r="A56" s="100" t="s">
        <v>2595</v>
      </c>
      <c r="B56" s="100" t="s">
        <v>2596</v>
      </c>
      <c r="C56" s="27" t="s">
        <v>499</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5"/>
      <c r="AL56" s="365"/>
      <c r="AM56" s="365"/>
    </row>
    <row r="57" spans="1:39" ht="16.5">
      <c r="A57" s="100" t="s">
        <v>1253</v>
      </c>
      <c r="B57" s="100" t="s">
        <v>1344</v>
      </c>
      <c r="C57" s="27" t="s">
        <v>499</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5"/>
      <c r="AL57" s="365"/>
      <c r="AM57" s="365"/>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5"/>
      <c r="AB58" s="502"/>
      <c r="AC58" s="139"/>
      <c r="AD58" s="151"/>
      <c r="AE58" s="151"/>
      <c r="AF58" s="151"/>
      <c r="AG58" s="151"/>
      <c r="AH58" s="151"/>
      <c r="AI58" s="151"/>
      <c r="AJ58" s="151"/>
      <c r="AK58" s="151"/>
      <c r="AL58" s="365"/>
      <c r="AM58" s="365"/>
    </row>
    <row r="59" spans="1:39" ht="17.25">
      <c r="A59" s="2446" t="s">
        <v>3315</v>
      </c>
      <c r="B59" s="2446" t="s">
        <v>2597</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5"/>
      <c r="AB59" s="502"/>
      <c r="AC59" s="139"/>
      <c r="AD59" s="151"/>
      <c r="AE59" s="151"/>
      <c r="AF59" s="151"/>
      <c r="AG59" s="151"/>
      <c r="AH59" s="151"/>
      <c r="AI59" s="151"/>
      <c r="AJ59" s="151"/>
      <c r="AK59" s="151"/>
      <c r="AL59" s="365"/>
      <c r="AM59" s="365"/>
    </row>
    <row r="60" spans="1:39" ht="17.25">
      <c r="A60" s="2446" t="s">
        <v>2598</v>
      </c>
      <c r="B60" s="2446" t="s">
        <v>2598</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5"/>
      <c r="AB60" s="502"/>
      <c r="AC60" s="139"/>
      <c r="AD60" s="151"/>
      <c r="AE60" s="151"/>
      <c r="AF60" s="151"/>
      <c r="AG60" s="151"/>
      <c r="AH60" s="151"/>
      <c r="AI60" s="151"/>
      <c r="AJ60" s="151"/>
      <c r="AK60" s="151"/>
      <c r="AL60" s="365"/>
      <c r="AM60" s="365"/>
    </row>
    <row r="61" spans="1:39" ht="16.5">
      <c r="A61" s="99" t="s">
        <v>1468</v>
      </c>
      <c r="B61" s="99" t="s">
        <v>2469</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5"/>
      <c r="AB61" s="424"/>
      <c r="AC61" s="90"/>
      <c r="AD61" s="151"/>
      <c r="AE61" s="151"/>
      <c r="AF61" s="151"/>
      <c r="AG61" s="151"/>
      <c r="AH61" s="151"/>
      <c r="AI61" s="151"/>
      <c r="AJ61" s="151"/>
      <c r="AK61" s="90"/>
      <c r="AL61" s="365"/>
      <c r="AM61" s="365"/>
    </row>
    <row r="62" spans="1:39" ht="16.5">
      <c r="A62" s="2453" t="s">
        <v>421</v>
      </c>
      <c r="B62" s="2453" t="s">
        <v>2599</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5"/>
      <c r="AL62" s="365"/>
      <c r="AM62" s="365"/>
    </row>
    <row r="63" spans="1:39" ht="16.5">
      <c r="A63" t="s">
        <v>120</v>
      </c>
      <c r="B63" s="90" t="s">
        <v>2600</v>
      </c>
      <c r="C63" s="58" t="s">
        <v>252</v>
      </c>
      <c r="D63" s="125">
        <v>-305700000000</v>
      </c>
      <c r="E63" s="293">
        <v>46800000000</v>
      </c>
      <c r="F63" s="293">
        <v>-44900000000</v>
      </c>
      <c r="G63" s="293">
        <v>-94200000000</v>
      </c>
      <c r="H63" s="293">
        <v>-186800000000</v>
      </c>
      <c r="I63" s="178">
        <v>-263300000000</v>
      </c>
      <c r="J63" s="178">
        <v>-259000000000</v>
      </c>
      <c r="K63" s="178">
        <v>-688300000000</v>
      </c>
      <c r="L63" s="142">
        <v>276000000000</v>
      </c>
      <c r="M63" s="142">
        <v>-50000000000</v>
      </c>
      <c r="N63" s="303">
        <f>N64+N67</f>
        <v>200000000000</v>
      </c>
      <c r="O63" s="303">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5"/>
      <c r="AB63" s="424"/>
      <c r="AC63" s="90"/>
      <c r="AD63" s="151"/>
      <c r="AE63" s="151"/>
      <c r="AF63" s="151"/>
      <c r="AG63" s="151"/>
      <c r="AH63" s="151"/>
      <c r="AI63" s="151"/>
      <c r="AJ63" s="151"/>
      <c r="AK63" s="151"/>
      <c r="AL63" s="365"/>
      <c r="AM63" s="365"/>
    </row>
    <row r="64" spans="1:39" ht="16.5">
      <c r="A64" s="99" t="s">
        <v>861</v>
      </c>
      <c r="B64" s="99" t="s">
        <v>2601</v>
      </c>
      <c r="C64" s="58" t="s">
        <v>124</v>
      </c>
      <c r="D64" s="125">
        <v>-175600000000</v>
      </c>
      <c r="E64" s="293">
        <v>144700000000</v>
      </c>
      <c r="F64" s="293">
        <v>-51500000000</v>
      </c>
      <c r="G64" s="293">
        <v>15800000000</v>
      </c>
      <c r="H64" s="293">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5"/>
      <c r="AB64" s="424"/>
      <c r="AC64" s="90"/>
      <c r="AD64" s="151"/>
      <c r="AE64" s="151"/>
      <c r="AF64" s="151"/>
      <c r="AG64" s="151"/>
      <c r="AH64" s="151"/>
      <c r="AI64" s="151"/>
      <c r="AJ64" s="151"/>
      <c r="AK64" s="151"/>
      <c r="AL64" s="365"/>
      <c r="AM64" s="365"/>
    </row>
    <row r="65" spans="1:39" ht="16.5">
      <c r="A65" t="s">
        <v>76</v>
      </c>
      <c r="B65" s="100" t="s">
        <v>2602</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5"/>
      <c r="AB65" s="424"/>
      <c r="AC65" s="90"/>
      <c r="AD65" s="151"/>
      <c r="AE65" s="151"/>
      <c r="AF65" s="151"/>
      <c r="AG65" s="151"/>
      <c r="AH65" s="151"/>
      <c r="AI65" s="151"/>
      <c r="AJ65" s="151"/>
      <c r="AK65" s="151"/>
      <c r="AL65" s="365"/>
      <c r="AM65" s="365"/>
    </row>
    <row r="66" spans="1:39" ht="16.5">
      <c r="A66" t="s">
        <v>76</v>
      </c>
      <c r="B66" s="100" t="s">
        <v>2603</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5"/>
      <c r="AB66" s="424"/>
      <c r="AC66" s="90"/>
      <c r="AD66" s="151"/>
      <c r="AE66" s="151"/>
      <c r="AF66" s="151"/>
      <c r="AG66" s="151"/>
      <c r="AH66" s="151"/>
      <c r="AI66" s="151"/>
      <c r="AJ66" s="151"/>
      <c r="AK66" s="90"/>
      <c r="AL66" s="365"/>
      <c r="AM66" s="365"/>
    </row>
    <row r="67" spans="1:39" ht="16.5">
      <c r="A67" s="13" t="s">
        <v>2604</v>
      </c>
      <c r="B67" s="13" t="s">
        <v>2605</v>
      </c>
      <c r="C67" s="58" t="s">
        <v>124</v>
      </c>
      <c r="D67" s="319">
        <f>D63-D64</f>
        <v>-130100000000</v>
      </c>
      <c r="E67" s="293">
        <v>-97900000000</v>
      </c>
      <c r="F67" s="293">
        <v>6600000000</v>
      </c>
      <c r="G67" s="293">
        <v>-110000000000</v>
      </c>
      <c r="H67" s="293">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5"/>
      <c r="AB67" s="424"/>
      <c r="AC67" s="90"/>
      <c r="AD67" s="151"/>
      <c r="AE67" s="151"/>
      <c r="AF67" s="151"/>
      <c r="AG67" s="151"/>
      <c r="AH67" s="151"/>
      <c r="AI67" s="151"/>
      <c r="AJ67" s="151"/>
      <c r="AK67" s="151"/>
      <c r="AL67" s="365"/>
      <c r="AM67" s="365"/>
    </row>
    <row r="68" spans="1:39" ht="16.5">
      <c r="B68" t="s">
        <v>2606</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5"/>
      <c r="AB68" s="424"/>
      <c r="AC68" s="90"/>
      <c r="AD68" s="151"/>
      <c r="AE68" s="151"/>
      <c r="AF68" s="151"/>
      <c r="AG68" s="151"/>
      <c r="AH68" s="151"/>
      <c r="AI68" s="151"/>
      <c r="AJ68" s="151"/>
      <c r="AK68" s="90"/>
      <c r="AL68" s="365"/>
      <c r="AM68" s="365"/>
    </row>
    <row r="69" spans="1:39" ht="16.5">
      <c r="A69" s="2463" t="s">
        <v>2607</v>
      </c>
      <c r="B69" s="2463" t="s">
        <v>2607</v>
      </c>
      <c r="C69" s="2619"/>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5"/>
      <c r="AB69" s="424"/>
      <c r="AC69" s="90"/>
      <c r="AD69" s="151"/>
      <c r="AE69" s="151"/>
      <c r="AF69" s="151"/>
      <c r="AG69" s="151"/>
      <c r="AH69" s="151"/>
      <c r="AI69" s="151"/>
      <c r="AJ69" s="151"/>
      <c r="AK69" s="90"/>
      <c r="AL69" s="365"/>
      <c r="AM69" s="365"/>
    </row>
    <row r="70" spans="1:39" ht="16.5">
      <c r="A70" s="2463" t="s">
        <v>2608</v>
      </c>
      <c r="B70" s="2463" t="s">
        <v>2608</v>
      </c>
      <c r="C70" s="2619"/>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5"/>
      <c r="AB70" s="424"/>
      <c r="AC70" s="90"/>
      <c r="AD70" s="151"/>
      <c r="AE70" s="151"/>
      <c r="AF70" s="151"/>
      <c r="AG70" s="151"/>
      <c r="AH70" s="151"/>
      <c r="AI70" s="151"/>
      <c r="AJ70" s="151"/>
      <c r="AK70" s="90"/>
      <c r="AL70" s="365"/>
      <c r="AM70" s="365"/>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875</v>
      </c>
      <c r="C74" s="34"/>
      <c r="D74" s="130">
        <f>D6-D7-D22</f>
        <v>0</v>
      </c>
      <c r="E74" s="130">
        <f t="shared" ref="E74:J74" si="1">E6-E7-E22</f>
        <v>-100000000</v>
      </c>
      <c r="F74" s="130">
        <f t="shared" si="1"/>
        <v>1.220703125E-4</v>
      </c>
      <c r="G74" s="272">
        <f>G6-G7-G22</f>
        <v>0</v>
      </c>
      <c r="H74" s="272">
        <f t="shared" si="1"/>
        <v>0</v>
      </c>
      <c r="I74" s="130">
        <f t="shared" si="1"/>
        <v>0</v>
      </c>
      <c r="J74" s="130">
        <f t="shared" si="1"/>
        <v>0</v>
      </c>
      <c r="K74" s="130">
        <f t="shared" ref="K74:P74" si="2">K6-K7-K22</f>
        <v>0</v>
      </c>
      <c r="L74" s="130">
        <f t="shared" si="2"/>
        <v>0</v>
      </c>
      <c r="M74" s="130">
        <f t="shared" si="2"/>
        <v>-1000000000</v>
      </c>
      <c r="N74" s="130">
        <f t="shared" si="2"/>
        <v>0</v>
      </c>
      <c r="O74" s="130">
        <f t="shared" si="2"/>
        <v>0</v>
      </c>
      <c r="P74" s="130">
        <f t="shared" si="2"/>
        <v>0</v>
      </c>
      <c r="Q74" s="130">
        <f t="shared" ref="Q74:X74" si="3">Q6-Q7-Q22</f>
        <v>0</v>
      </c>
      <c r="R74" s="130">
        <f t="shared" si="3"/>
        <v>0</v>
      </c>
      <c r="S74" s="130">
        <f t="shared" si="3"/>
        <v>0</v>
      </c>
      <c r="T74" s="130">
        <f t="shared" si="3"/>
        <v>0</v>
      </c>
      <c r="U74" s="130">
        <f t="shared" si="3"/>
        <v>0</v>
      </c>
      <c r="V74" s="130">
        <f t="shared" si="3"/>
        <v>0</v>
      </c>
      <c r="W74" s="130">
        <f t="shared" si="3"/>
        <v>0</v>
      </c>
      <c r="X74" s="130">
        <f t="shared" si="3"/>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4">I7-I8-I11</f>
        <v>0</v>
      </c>
      <c r="J75" s="130">
        <f t="shared" si="4"/>
        <v>0</v>
      </c>
      <c r="K75" s="130">
        <f t="shared" si="4"/>
        <v>0</v>
      </c>
      <c r="L75" s="130">
        <f t="shared" si="4"/>
        <v>0</v>
      </c>
      <c r="M75" s="130">
        <f t="shared" si="4"/>
        <v>0</v>
      </c>
      <c r="N75" s="130">
        <f t="shared" si="4"/>
        <v>0</v>
      </c>
      <c r="O75" s="130">
        <f t="shared" si="4"/>
        <v>0</v>
      </c>
      <c r="P75" s="130">
        <f>P7-P8-P11</f>
        <v>0</v>
      </c>
      <c r="Q75" s="130">
        <f t="shared" ref="Q75:X75" si="5">Q7-Q8-Q11</f>
        <v>0</v>
      </c>
      <c r="R75" s="130">
        <f t="shared" si="5"/>
        <v>0</v>
      </c>
      <c r="S75" s="130">
        <f t="shared" si="5"/>
        <v>0</v>
      </c>
      <c r="T75" s="272">
        <f>T7-T8-T11</f>
        <v>0</v>
      </c>
      <c r="U75" s="130">
        <f t="shared" si="5"/>
        <v>0</v>
      </c>
      <c r="V75" s="130">
        <f t="shared" si="5"/>
        <v>0</v>
      </c>
      <c r="W75" s="272">
        <f t="shared" si="5"/>
        <v>0</v>
      </c>
      <c r="X75" s="272">
        <f t="shared" si="5"/>
        <v>1000000000</v>
      </c>
      <c r="Y75" s="272">
        <f>Y7-Y8-Y11</f>
        <v>0</v>
      </c>
      <c r="Z75" s="272">
        <f>Z7-Z8-Z11</f>
        <v>0</v>
      </c>
      <c r="AC75" s="90"/>
      <c r="AD75" s="136"/>
      <c r="AE75" s="136"/>
      <c r="AF75" s="136"/>
      <c r="AG75" s="136"/>
      <c r="AH75" s="136"/>
      <c r="AI75" s="136"/>
      <c r="AJ75" s="136"/>
      <c r="AK75" s="136"/>
    </row>
    <row r="76" spans="1:39" ht="16.5">
      <c r="B76" t="s">
        <v>2609</v>
      </c>
      <c r="C76" s="34"/>
      <c r="D76" s="223">
        <f t="shared" ref="D76:J76" si="6">D8-D9-D10</f>
        <v>814700000000</v>
      </c>
      <c r="E76" s="130">
        <f t="shared" si="6"/>
        <v>0</v>
      </c>
      <c r="F76" s="130">
        <f t="shared" si="6"/>
        <v>0</v>
      </c>
      <c r="G76" s="130">
        <f t="shared" si="6"/>
        <v>0</v>
      </c>
      <c r="H76" s="130">
        <f t="shared" si="6"/>
        <v>0</v>
      </c>
      <c r="I76" s="130">
        <f t="shared" si="6"/>
        <v>100000000</v>
      </c>
      <c r="J76" s="130">
        <f t="shared" si="6"/>
        <v>0</v>
      </c>
      <c r="K76" s="223">
        <f t="shared" ref="K76:X76" si="7">K8-K9-K10</f>
        <v>958500000000</v>
      </c>
      <c r="L76" s="223">
        <f t="shared" si="7"/>
        <v>1362000000000</v>
      </c>
      <c r="M76" s="223">
        <f t="shared" si="7"/>
        <v>837000000000</v>
      </c>
      <c r="N76" s="223">
        <f t="shared" si="7"/>
        <v>986000000000</v>
      </c>
      <c r="O76" s="223">
        <f t="shared" si="7"/>
        <v>1372000000000</v>
      </c>
      <c r="P76" s="223">
        <f t="shared" si="7"/>
        <v>1531000000000</v>
      </c>
      <c r="Q76" s="223">
        <f t="shared" si="7"/>
        <v>1344000000000</v>
      </c>
      <c r="R76" s="223">
        <f t="shared" si="7"/>
        <v>1322000000000</v>
      </c>
      <c r="S76" s="223">
        <f t="shared" si="7"/>
        <v>603000000000</v>
      </c>
      <c r="T76" s="223">
        <f t="shared" si="7"/>
        <v>423000000000</v>
      </c>
      <c r="U76" s="223">
        <f t="shared" si="7"/>
        <v>520000000000</v>
      </c>
      <c r="V76" s="223">
        <f t="shared" si="7"/>
        <v>511000000000</v>
      </c>
      <c r="W76" s="223">
        <f t="shared" si="7"/>
        <v>494000000000</v>
      </c>
      <c r="X76" s="223">
        <f t="shared" si="7"/>
        <v>505000000000</v>
      </c>
      <c r="Y76" s="223">
        <f>Y8-Y9-Y10</f>
        <v>0</v>
      </c>
      <c r="Z76" s="223">
        <f>Z8-Z9-Z10</f>
        <v>0</v>
      </c>
      <c r="AC76" s="90"/>
      <c r="AD76" s="136"/>
      <c r="AE76" s="136"/>
      <c r="AF76" s="139"/>
      <c r="AG76" s="139"/>
      <c r="AH76" s="139"/>
      <c r="AI76" s="139"/>
      <c r="AJ76" s="139"/>
      <c r="AK76" s="139"/>
    </row>
    <row r="77" spans="1:39" ht="16.5">
      <c r="B77" t="s">
        <v>1490</v>
      </c>
      <c r="C77" s="34"/>
      <c r="D77" s="224">
        <f>D11-D12-D21</f>
        <v>0</v>
      </c>
      <c r="E77" s="224">
        <f t="shared" ref="E77:O77" si="8">E11-E12-E21</f>
        <v>0</v>
      </c>
      <c r="F77" s="224">
        <f t="shared" si="8"/>
        <v>0</v>
      </c>
      <c r="G77" s="224">
        <f t="shared" si="8"/>
        <v>0</v>
      </c>
      <c r="H77" s="224">
        <f t="shared" si="8"/>
        <v>-100000000</v>
      </c>
      <c r="I77" s="225">
        <f t="shared" si="8"/>
        <v>525000000000</v>
      </c>
      <c r="J77" s="225">
        <f t="shared" si="8"/>
        <v>569700000000</v>
      </c>
      <c r="K77" s="224">
        <f t="shared" si="8"/>
        <v>0</v>
      </c>
      <c r="L77" s="224">
        <f t="shared" si="8"/>
        <v>0</v>
      </c>
      <c r="M77" s="224">
        <f t="shared" si="8"/>
        <v>0</v>
      </c>
      <c r="N77" s="224">
        <f t="shared" si="8"/>
        <v>-1000000000</v>
      </c>
      <c r="O77" s="224">
        <f t="shared" si="8"/>
        <v>0</v>
      </c>
      <c r="P77" s="224">
        <f>P11-P12-P21</f>
        <v>0</v>
      </c>
      <c r="Q77" s="224">
        <f t="shared" ref="Q77:X77" si="9">Q11-Q12-Q21</f>
        <v>0</v>
      </c>
      <c r="R77" s="224">
        <f t="shared" si="9"/>
        <v>1000000000</v>
      </c>
      <c r="S77" s="224">
        <f t="shared" si="9"/>
        <v>0</v>
      </c>
      <c r="T77" s="224">
        <f t="shared" si="9"/>
        <v>0</v>
      </c>
      <c r="U77" s="224">
        <f t="shared" si="9"/>
        <v>-1000000000</v>
      </c>
      <c r="V77" s="224">
        <f t="shared" si="9"/>
        <v>0</v>
      </c>
      <c r="W77" s="224">
        <f>W11-W12-W21</f>
        <v>0</v>
      </c>
      <c r="X77" s="224">
        <f t="shared" si="9"/>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10">E12-E13-E14-E17-E20</f>
        <v>0</v>
      </c>
      <c r="F78" s="224">
        <f t="shared" si="10"/>
        <v>0</v>
      </c>
      <c r="G78" s="224">
        <f t="shared" si="10"/>
        <v>0</v>
      </c>
      <c r="H78" s="224">
        <f t="shared" si="10"/>
        <v>0</v>
      </c>
      <c r="I78" s="224">
        <f t="shared" si="10"/>
        <v>0</v>
      </c>
      <c r="J78" s="224">
        <f t="shared" si="10"/>
        <v>0</v>
      </c>
      <c r="K78" s="224">
        <f t="shared" si="10"/>
        <v>0</v>
      </c>
      <c r="L78" s="224">
        <f t="shared" si="10"/>
        <v>0</v>
      </c>
      <c r="M78" s="224">
        <f t="shared" si="10"/>
        <v>0</v>
      </c>
      <c r="N78" s="224">
        <f t="shared" si="10"/>
        <v>0</v>
      </c>
      <c r="O78" s="224">
        <f t="shared" si="10"/>
        <v>0</v>
      </c>
      <c r="P78" s="224">
        <f>P12-P13-P14-P17-P20</f>
        <v>1000000000</v>
      </c>
      <c r="Q78" s="224">
        <f t="shared" ref="Q78:X78" si="11">Q12-Q13-Q14-Q17-Q20</f>
        <v>0</v>
      </c>
      <c r="R78" s="224">
        <f t="shared" si="11"/>
        <v>-1000000000</v>
      </c>
      <c r="S78" s="224">
        <f t="shared" si="11"/>
        <v>-1000000000</v>
      </c>
      <c r="T78" s="224">
        <f t="shared" si="11"/>
        <v>0</v>
      </c>
      <c r="U78" s="224">
        <f t="shared" si="11"/>
        <v>0</v>
      </c>
      <c r="V78" s="224">
        <f t="shared" si="11"/>
        <v>0</v>
      </c>
      <c r="W78" s="224">
        <f t="shared" si="11"/>
        <v>0</v>
      </c>
      <c r="X78" s="224">
        <f t="shared" si="11"/>
        <v>0</v>
      </c>
      <c r="Y78" s="224">
        <f>Y12-Y13-Y14-Y17-Y20</f>
        <v>0</v>
      </c>
      <c r="Z78" s="224">
        <f>Z12-Z13-Z14-Z17-Z20</f>
        <v>0</v>
      </c>
      <c r="AC78" s="90"/>
      <c r="AD78" s="410"/>
      <c r="AE78" s="151"/>
      <c r="AF78" s="151"/>
      <c r="AG78" s="151"/>
      <c r="AH78" s="151"/>
      <c r="AI78" s="151"/>
      <c r="AJ78" s="151"/>
      <c r="AK78" s="151"/>
    </row>
    <row r="79" spans="1:39" ht="16.5">
      <c r="B79" t="s">
        <v>2610</v>
      </c>
      <c r="C79" s="34"/>
      <c r="D79" s="225">
        <f>D14-D15-D16</f>
        <v>80200000000</v>
      </c>
      <c r="E79" s="224">
        <f>E14-E15-E16</f>
        <v>0</v>
      </c>
      <c r="F79" s="224">
        <f>F14-F15-F16</f>
        <v>0</v>
      </c>
      <c r="G79" s="224">
        <f>G14-G15-G16</f>
        <v>0</v>
      </c>
      <c r="H79" s="224">
        <f>H14-H15-H16</f>
        <v>0</v>
      </c>
      <c r="I79" s="224">
        <f t="shared" ref="I79:O79" si="12">I14-I15-I16</f>
        <v>0</v>
      </c>
      <c r="J79" s="224">
        <f t="shared" si="12"/>
        <v>0</v>
      </c>
      <c r="K79" s="224">
        <f t="shared" si="12"/>
        <v>100000000.00001526</v>
      </c>
      <c r="L79" s="224">
        <f t="shared" si="12"/>
        <v>1000000000</v>
      </c>
      <c r="M79" s="224">
        <f t="shared" si="12"/>
        <v>0</v>
      </c>
      <c r="N79" s="224">
        <f t="shared" si="12"/>
        <v>0</v>
      </c>
      <c r="O79" s="224">
        <f t="shared" si="12"/>
        <v>0</v>
      </c>
      <c r="P79" s="224">
        <f>P14-P15-P16</f>
        <v>0</v>
      </c>
      <c r="Q79" s="224">
        <f t="shared" ref="Q79:X79" si="13">Q14-Q15-Q16</f>
        <v>0</v>
      </c>
      <c r="R79" s="224">
        <f t="shared" si="13"/>
        <v>0</v>
      </c>
      <c r="S79" s="224">
        <f t="shared" si="13"/>
        <v>0</v>
      </c>
      <c r="T79" s="224">
        <f t="shared" si="13"/>
        <v>0</v>
      </c>
      <c r="U79" s="224">
        <f t="shared" si="13"/>
        <v>0</v>
      </c>
      <c r="V79" s="224">
        <f t="shared" si="13"/>
        <v>0</v>
      </c>
      <c r="W79" s="224">
        <f t="shared" si="13"/>
        <v>0</v>
      </c>
      <c r="X79" s="224">
        <f t="shared" si="13"/>
        <v>0</v>
      </c>
      <c r="Y79" s="224">
        <f>Y14-Y15-Y16</f>
        <v>0</v>
      </c>
      <c r="Z79" s="224">
        <f>Z14-Z15-Z16</f>
        <v>0</v>
      </c>
      <c r="AC79" s="90"/>
      <c r="AD79" s="136"/>
      <c r="AE79" s="136"/>
      <c r="AF79" s="136"/>
      <c r="AG79" s="136"/>
      <c r="AH79" s="136"/>
      <c r="AI79" s="136"/>
      <c r="AJ79" s="136"/>
      <c r="AK79" s="136"/>
    </row>
    <row r="80" spans="1:39" ht="16.5">
      <c r="B80" t="s">
        <v>2611</v>
      </c>
      <c r="C80" s="34"/>
      <c r="D80" s="224">
        <f t="shared" ref="D80:P80" si="14">D17-D18-D19</f>
        <v>0</v>
      </c>
      <c r="E80" s="224">
        <f t="shared" si="14"/>
        <v>0</v>
      </c>
      <c r="F80" s="224">
        <f t="shared" si="14"/>
        <v>0</v>
      </c>
      <c r="G80" s="224">
        <f t="shared" si="14"/>
        <v>0</v>
      </c>
      <c r="H80" s="224">
        <f t="shared" si="14"/>
        <v>0</v>
      </c>
      <c r="I80" s="224">
        <f t="shared" si="14"/>
        <v>0</v>
      </c>
      <c r="J80" s="224">
        <f t="shared" si="14"/>
        <v>0</v>
      </c>
      <c r="K80" s="225">
        <f t="shared" si="14"/>
        <v>281900000000</v>
      </c>
      <c r="L80" s="224">
        <f t="shared" si="14"/>
        <v>0</v>
      </c>
      <c r="M80" s="224">
        <f t="shared" si="14"/>
        <v>0</v>
      </c>
      <c r="N80" s="224">
        <f t="shared" si="14"/>
        <v>-1000000000</v>
      </c>
      <c r="O80" s="224">
        <f t="shared" si="14"/>
        <v>0</v>
      </c>
      <c r="P80" s="224">
        <f t="shared" si="14"/>
        <v>-1000000000</v>
      </c>
      <c r="Q80" s="224">
        <f t="shared" ref="Q80:X80" si="15">Q17-Q18-Q19</f>
        <v>0</v>
      </c>
      <c r="R80" s="224">
        <f t="shared" si="15"/>
        <v>1000000000</v>
      </c>
      <c r="S80" s="224">
        <f t="shared" si="15"/>
        <v>0</v>
      </c>
      <c r="T80" s="224">
        <f t="shared" si="15"/>
        <v>0</v>
      </c>
      <c r="U80" s="224">
        <f t="shared" si="15"/>
        <v>0</v>
      </c>
      <c r="V80" s="224">
        <f t="shared" si="15"/>
        <v>0</v>
      </c>
      <c r="W80" s="224">
        <f t="shared" si="15"/>
        <v>1000000000</v>
      </c>
      <c r="X80" s="224">
        <f t="shared" si="15"/>
        <v>0</v>
      </c>
      <c r="Y80" s="224">
        <f>Y17-Y18-Y19</f>
        <v>0</v>
      </c>
      <c r="Z80" s="224">
        <f>Z17-Z18-Z19</f>
        <v>0</v>
      </c>
      <c r="AC80" s="90"/>
      <c r="AD80" s="410"/>
      <c r="AE80" s="410"/>
      <c r="AF80" s="410"/>
      <c r="AG80" s="410"/>
      <c r="AH80" s="410"/>
      <c r="AI80" s="410"/>
      <c r="AJ80" s="410"/>
      <c r="AK80" s="410"/>
    </row>
    <row r="81" spans="2:26">
      <c r="B81" t="s">
        <v>145</v>
      </c>
      <c r="C81" s="34"/>
      <c r="D81" s="130">
        <f>D23-D24-D36-D41-D42-D45-D46-D35-D44</f>
        <v>0</v>
      </c>
      <c r="E81" s="130">
        <f t="shared" ref="E81:Q81" si="16">E23-E24-E36-E41-E42-E45-E46-E35-E44</f>
        <v>1.220703125E-4</v>
      </c>
      <c r="F81" s="130">
        <f t="shared" si="16"/>
        <v>0</v>
      </c>
      <c r="G81" s="130">
        <f t="shared" si="16"/>
        <v>0</v>
      </c>
      <c r="H81" s="130">
        <f t="shared" si="16"/>
        <v>0</v>
      </c>
      <c r="I81" s="130">
        <f t="shared" si="16"/>
        <v>-1.220703125E-4</v>
      </c>
      <c r="J81" s="130">
        <f t="shared" si="16"/>
        <v>0</v>
      </c>
      <c r="K81" s="130">
        <f t="shared" si="16"/>
        <v>0</v>
      </c>
      <c r="L81" s="130">
        <f t="shared" si="16"/>
        <v>0</v>
      </c>
      <c r="M81" s="130">
        <f t="shared" si="16"/>
        <v>0</v>
      </c>
      <c r="N81" s="130">
        <f t="shared" si="16"/>
        <v>0</v>
      </c>
      <c r="O81" s="130">
        <f>O23-O24-O36-O41-O42-O45-O46-O35-O44</f>
        <v>0</v>
      </c>
      <c r="P81" s="130">
        <f t="shared" si="16"/>
        <v>0</v>
      </c>
      <c r="Q81" s="130">
        <f t="shared" si="16"/>
        <v>0</v>
      </c>
      <c r="R81" s="130">
        <f>R23-R24-R36-R41-R42-R45-R46-R35-R44-R43</f>
        <v>-1000000000</v>
      </c>
      <c r="S81" s="130">
        <f>S23-S24-S36-S41-S42-S45-S46-S35-S44-S43</f>
        <v>0</v>
      </c>
      <c r="T81" s="130">
        <f t="shared" ref="T81:Z81" si="17">T23-T24-T36-T41-T42-T45-T46-T35-T44-T43</f>
        <v>0</v>
      </c>
      <c r="U81" s="130">
        <f t="shared" si="17"/>
        <v>0</v>
      </c>
      <c r="V81" s="130">
        <f t="shared" si="17"/>
        <v>0</v>
      </c>
      <c r="W81" s="130">
        <f t="shared" si="17"/>
        <v>0</v>
      </c>
      <c r="X81" s="130">
        <f t="shared" si="17"/>
        <v>1000000000</v>
      </c>
      <c r="Y81" s="130">
        <f t="shared" si="17"/>
        <v>0</v>
      </c>
      <c r="Z81" s="130">
        <f t="shared" si="17"/>
        <v>0</v>
      </c>
    </row>
    <row r="82" spans="2:26">
      <c r="B82" t="s">
        <v>289</v>
      </c>
      <c r="C82" s="34"/>
      <c r="D82" s="130">
        <f>D24-D25-D26-D27-D30</f>
        <v>100000000</v>
      </c>
      <c r="E82" s="130">
        <f t="shared" ref="E82:O82" si="18">E24-E25-E26-E27-E30</f>
        <v>0</v>
      </c>
      <c r="F82" s="130">
        <f t="shared" si="18"/>
        <v>0</v>
      </c>
      <c r="G82" s="130">
        <f t="shared" si="18"/>
        <v>-100000000</v>
      </c>
      <c r="H82" s="130">
        <f t="shared" si="18"/>
        <v>0</v>
      </c>
      <c r="I82" s="130">
        <f t="shared" si="18"/>
        <v>0</v>
      </c>
      <c r="J82" s="130">
        <f t="shared" si="18"/>
        <v>0</v>
      </c>
      <c r="K82" s="130">
        <f t="shared" si="18"/>
        <v>0</v>
      </c>
      <c r="L82" s="130">
        <f t="shared" si="18"/>
        <v>0</v>
      </c>
      <c r="M82" s="130">
        <f t="shared" si="18"/>
        <v>-1000000000</v>
      </c>
      <c r="N82" s="130">
        <f t="shared" si="18"/>
        <v>0</v>
      </c>
      <c r="O82" s="130">
        <f t="shared" si="18"/>
        <v>0</v>
      </c>
      <c r="P82" s="130">
        <f>P24-P25-P26-P27-P30</f>
        <v>-1000000000</v>
      </c>
      <c r="Q82" s="130">
        <f t="shared" ref="Q82:X82" si="19">Q24-Q25-Q26-Q27-Q30</f>
        <v>-1000000000</v>
      </c>
      <c r="R82" s="130">
        <f t="shared" si="19"/>
        <v>1000000000</v>
      </c>
      <c r="S82" s="130">
        <f t="shared" si="19"/>
        <v>0</v>
      </c>
      <c r="T82" s="130">
        <f t="shared" si="19"/>
        <v>0</v>
      </c>
      <c r="U82" s="130">
        <f t="shared" si="19"/>
        <v>0</v>
      </c>
      <c r="V82" s="130">
        <f t="shared" si="19"/>
        <v>1000000000</v>
      </c>
      <c r="W82" s="130">
        <f t="shared" si="19"/>
        <v>0</v>
      </c>
      <c r="X82" s="130">
        <f t="shared" si="19"/>
        <v>0</v>
      </c>
      <c r="Y82" s="130">
        <f>Y24-Y25-Y26-Y27-Y30</f>
        <v>0</v>
      </c>
      <c r="Z82" s="130">
        <f>Z24-Z25-Z26-Z27-Z30</f>
        <v>0</v>
      </c>
    </row>
    <row r="83" spans="2:26">
      <c r="B83" t="s">
        <v>291</v>
      </c>
      <c r="C83" s="34"/>
      <c r="D83" s="224">
        <f>D27-D28-D29</f>
        <v>0</v>
      </c>
      <c r="E83" s="224">
        <f t="shared" ref="E83:O83" si="20">E27-E28-E29</f>
        <v>0</v>
      </c>
      <c r="F83" s="224">
        <f t="shared" si="20"/>
        <v>0</v>
      </c>
      <c r="G83" s="224">
        <f t="shared" si="20"/>
        <v>0</v>
      </c>
      <c r="H83" s="224">
        <f t="shared" si="20"/>
        <v>0</v>
      </c>
      <c r="I83" s="224">
        <f t="shared" si="20"/>
        <v>0</v>
      </c>
      <c r="J83" s="224">
        <f t="shared" si="20"/>
        <v>-100000000</v>
      </c>
      <c r="K83" s="224">
        <f t="shared" si="20"/>
        <v>0</v>
      </c>
      <c r="L83" s="224">
        <f t="shared" si="20"/>
        <v>0</v>
      </c>
      <c r="M83" s="224">
        <f t="shared" si="20"/>
        <v>-1000000000</v>
      </c>
      <c r="N83" s="224">
        <f t="shared" si="20"/>
        <v>1000000000</v>
      </c>
      <c r="O83" s="224">
        <f t="shared" si="20"/>
        <v>0</v>
      </c>
      <c r="P83" s="224">
        <f>P27-P28-P29</f>
        <v>0</v>
      </c>
      <c r="Q83" s="224">
        <f t="shared" ref="Q83:X83" si="21">Q27-Q28-Q29</f>
        <v>0</v>
      </c>
      <c r="R83" s="224">
        <f t="shared" si="21"/>
        <v>0</v>
      </c>
      <c r="S83" s="224">
        <f t="shared" si="21"/>
        <v>0</v>
      </c>
      <c r="T83" s="224">
        <f t="shared" si="21"/>
        <v>0</v>
      </c>
      <c r="U83" s="224">
        <f t="shared" si="21"/>
        <v>0</v>
      </c>
      <c r="V83" s="224">
        <f t="shared" si="21"/>
        <v>0</v>
      </c>
      <c r="W83" s="224">
        <f t="shared" si="21"/>
        <v>0</v>
      </c>
      <c r="X83" s="224">
        <f t="shared" si="21"/>
        <v>1000000000</v>
      </c>
      <c r="Y83" s="224">
        <f>Y27-Y28-Y29</f>
        <v>0</v>
      </c>
      <c r="Z83" s="224">
        <f>Z27-Z28-Z29</f>
        <v>0</v>
      </c>
    </row>
    <row r="84" spans="2:26">
      <c r="B84" t="s">
        <v>721</v>
      </c>
      <c r="C84" s="34"/>
      <c r="D84" s="225">
        <f>D30-D31-D32</f>
        <v>117800000000</v>
      </c>
      <c r="E84" s="225">
        <f t="shared" ref="E84:K84" si="22">E30-E31-E32</f>
        <v>160100000000</v>
      </c>
      <c r="F84" s="225">
        <f t="shared" si="22"/>
        <v>158800000000</v>
      </c>
      <c r="G84" s="225">
        <f t="shared" si="22"/>
        <v>118300000000</v>
      </c>
      <c r="H84" s="225">
        <f t="shared" si="22"/>
        <v>125600000000</v>
      </c>
      <c r="I84" s="225">
        <f t="shared" si="22"/>
        <v>279100000000</v>
      </c>
      <c r="J84" s="225">
        <f t="shared" si="22"/>
        <v>291300000000</v>
      </c>
      <c r="K84" s="224">
        <f t="shared" si="22"/>
        <v>0</v>
      </c>
      <c r="L84" s="225">
        <f>L30-L31-L32</f>
        <v>260000000000</v>
      </c>
      <c r="M84" s="225">
        <f t="shared" ref="M84:X84" si="23">M30-M31-M32</f>
        <v>237000000000</v>
      </c>
      <c r="N84" s="225">
        <f t="shared" si="23"/>
        <v>235000000000</v>
      </c>
      <c r="O84" s="225">
        <f t="shared" si="23"/>
        <v>344000000000</v>
      </c>
      <c r="P84" s="225">
        <f t="shared" si="23"/>
        <v>498000000000</v>
      </c>
      <c r="Q84" s="225">
        <f t="shared" si="23"/>
        <v>476000000000</v>
      </c>
      <c r="R84" s="225">
        <f t="shared" si="23"/>
        <v>351000000000</v>
      </c>
      <c r="S84" s="225">
        <f t="shared" si="23"/>
        <v>321000000000</v>
      </c>
      <c r="T84" s="225">
        <f t="shared" si="23"/>
        <v>237000000000</v>
      </c>
      <c r="U84" s="225">
        <f t="shared" si="23"/>
        <v>191000000000</v>
      </c>
      <c r="V84" s="225">
        <f t="shared" si="23"/>
        <v>195000000000</v>
      </c>
      <c r="W84" s="225">
        <f t="shared" si="23"/>
        <v>206000000000</v>
      </c>
      <c r="X84" s="225">
        <f t="shared" si="23"/>
        <v>217000000000</v>
      </c>
      <c r="Y84" s="225">
        <f>Y30-Y31-Y32</f>
        <v>0</v>
      </c>
      <c r="Z84" s="225">
        <f>Z30-Z31-Z32</f>
        <v>0</v>
      </c>
    </row>
    <row r="85" spans="2:26">
      <c r="B85" t="s">
        <v>876</v>
      </c>
      <c r="C85" s="34"/>
      <c r="D85" s="224">
        <f>D36-D37-D40</f>
        <v>0</v>
      </c>
      <c r="E85" s="224">
        <f>E36-E37-E40</f>
        <v>0</v>
      </c>
      <c r="F85" s="224">
        <f>F36-F37-F40</f>
        <v>0</v>
      </c>
      <c r="G85" s="224">
        <f>G36-G37-G40</f>
        <v>0</v>
      </c>
      <c r="H85" s="224">
        <f>H36-H37-H40</f>
        <v>0</v>
      </c>
      <c r="I85" s="224">
        <f t="shared" ref="I85:X85" si="24">I36-I37-I40</f>
        <v>0</v>
      </c>
      <c r="J85" s="224">
        <f t="shared" si="24"/>
        <v>0</v>
      </c>
      <c r="K85" s="224">
        <f t="shared" si="24"/>
        <v>0</v>
      </c>
      <c r="L85" s="21">
        <f t="shared" si="24"/>
        <v>1000000000</v>
      </c>
      <c r="M85" s="224">
        <f t="shared" si="24"/>
        <v>-1000000000</v>
      </c>
      <c r="N85" s="224">
        <f t="shared" si="24"/>
        <v>0</v>
      </c>
      <c r="O85" s="224">
        <f>O36-O37-O40</f>
        <v>0</v>
      </c>
      <c r="P85" s="224">
        <f t="shared" si="24"/>
        <v>-1000000000</v>
      </c>
      <c r="Q85" s="224">
        <f t="shared" si="24"/>
        <v>-1000000000</v>
      </c>
      <c r="R85" s="224">
        <f t="shared" si="24"/>
        <v>0</v>
      </c>
      <c r="S85" s="224">
        <f t="shared" si="24"/>
        <v>-1000000000</v>
      </c>
      <c r="T85" s="224">
        <f t="shared" si="24"/>
        <v>0</v>
      </c>
      <c r="U85" s="224">
        <f t="shared" si="24"/>
        <v>0</v>
      </c>
      <c r="V85" s="224">
        <f t="shared" si="24"/>
        <v>0</v>
      </c>
      <c r="W85" s="224">
        <f t="shared" si="24"/>
        <v>0</v>
      </c>
      <c r="X85" s="224">
        <f t="shared" si="24"/>
        <v>0</v>
      </c>
      <c r="Y85" s="224">
        <f>Y36-Y37-Y40</f>
        <v>0</v>
      </c>
      <c r="Z85" s="224">
        <f>Z36-Z37-Z40</f>
        <v>0</v>
      </c>
    </row>
    <row r="86" spans="2:26">
      <c r="B86" t="s">
        <v>2612</v>
      </c>
      <c r="C86" s="34"/>
      <c r="D86" s="225">
        <f>D37-D38-D39</f>
        <v>82400000000</v>
      </c>
      <c r="E86" s="224">
        <f t="shared" ref="E86:X86" si="25">E37-E38-E39</f>
        <v>0</v>
      </c>
      <c r="F86" s="224">
        <f t="shared" si="25"/>
        <v>0</v>
      </c>
      <c r="G86" s="224">
        <f t="shared" si="25"/>
        <v>0</v>
      </c>
      <c r="H86" s="224">
        <f t="shared" si="25"/>
        <v>0</v>
      </c>
      <c r="I86" s="225">
        <f t="shared" si="25"/>
        <v>146100000000</v>
      </c>
      <c r="J86" s="225">
        <f t="shared" si="25"/>
        <v>190000000000</v>
      </c>
      <c r="K86" s="225">
        <f t="shared" si="25"/>
        <v>198600000000</v>
      </c>
      <c r="L86" s="225">
        <f t="shared" si="25"/>
        <v>244000000000</v>
      </c>
      <c r="M86" s="225">
        <f t="shared" si="25"/>
        <v>210000000000</v>
      </c>
      <c r="N86" s="225">
        <f t="shared" si="25"/>
        <v>377000000000</v>
      </c>
      <c r="O86" s="225">
        <f t="shared" si="25"/>
        <v>500000000000</v>
      </c>
      <c r="P86" s="225">
        <f t="shared" si="25"/>
        <v>813000000000</v>
      </c>
      <c r="Q86" s="225">
        <f t="shared" si="25"/>
        <v>655000000000</v>
      </c>
      <c r="R86" s="225">
        <f t="shared" si="25"/>
        <v>337000000000</v>
      </c>
      <c r="S86" s="225">
        <f t="shared" si="25"/>
        <v>241000000000</v>
      </c>
      <c r="T86" s="225">
        <f t="shared" si="25"/>
        <v>166000000000</v>
      </c>
      <c r="U86" s="225">
        <f t="shared" si="25"/>
        <v>135000000000</v>
      </c>
      <c r="V86" s="225">
        <f t="shared" si="25"/>
        <v>159000000000</v>
      </c>
      <c r="W86" s="225">
        <f t="shared" si="25"/>
        <v>137000000000</v>
      </c>
      <c r="X86" s="225">
        <f t="shared" si="25"/>
        <v>241000000000</v>
      </c>
      <c r="Y86" s="225">
        <f>Y37-Y38-Y39</f>
        <v>0</v>
      </c>
      <c r="Z86" s="225">
        <f>Z37-Z38-Z39</f>
        <v>0</v>
      </c>
    </row>
    <row r="87" spans="2:26">
      <c r="B87" t="s">
        <v>148</v>
      </c>
      <c r="C87" s="34"/>
      <c r="D87" s="224">
        <f t="shared" ref="D87:Z87" si="26">D53-D54-D63</f>
        <v>100000000</v>
      </c>
      <c r="E87" s="224">
        <f t="shared" si="26"/>
        <v>0</v>
      </c>
      <c r="F87" s="224">
        <f t="shared" si="26"/>
        <v>0</v>
      </c>
      <c r="G87" s="224">
        <f t="shared" si="26"/>
        <v>0</v>
      </c>
      <c r="H87" s="224">
        <f t="shared" si="26"/>
        <v>0</v>
      </c>
      <c r="I87" s="224">
        <f t="shared" si="26"/>
        <v>0</v>
      </c>
      <c r="J87" s="224">
        <f t="shared" si="26"/>
        <v>0</v>
      </c>
      <c r="K87" s="224">
        <f t="shared" si="26"/>
        <v>0</v>
      </c>
      <c r="L87" s="224">
        <f t="shared" si="26"/>
        <v>0</v>
      </c>
      <c r="M87" s="224">
        <f t="shared" si="26"/>
        <v>0</v>
      </c>
      <c r="N87" s="224">
        <f t="shared" si="26"/>
        <v>0</v>
      </c>
      <c r="O87" s="224">
        <f t="shared" si="26"/>
        <v>0</v>
      </c>
      <c r="P87" s="224">
        <f t="shared" si="26"/>
        <v>0</v>
      </c>
      <c r="Q87" s="224">
        <f t="shared" si="26"/>
        <v>0</v>
      </c>
      <c r="R87" s="224">
        <f t="shared" si="26"/>
        <v>0</v>
      </c>
      <c r="S87" s="224">
        <f t="shared" si="26"/>
        <v>0</v>
      </c>
      <c r="T87" s="224">
        <f t="shared" si="26"/>
        <v>0</v>
      </c>
      <c r="U87" s="224">
        <f t="shared" si="26"/>
        <v>617000000000</v>
      </c>
      <c r="V87" s="224">
        <f t="shared" si="26"/>
        <v>421000000000</v>
      </c>
      <c r="W87" s="224">
        <f t="shared" si="26"/>
        <v>289000000000</v>
      </c>
      <c r="X87" s="224">
        <f t="shared" si="26"/>
        <v>29000000000</v>
      </c>
      <c r="Y87" s="224">
        <f t="shared" si="26"/>
        <v>0</v>
      </c>
      <c r="Z87" s="224">
        <f t="shared" si="26"/>
        <v>0</v>
      </c>
    </row>
    <row r="88" spans="2:26">
      <c r="B88" t="s">
        <v>1171</v>
      </c>
      <c r="C88" s="34"/>
      <c r="D88" s="224">
        <f t="shared" ref="D88:Z88" si="27">D54-D55-D58-D61-D62</f>
        <v>0</v>
      </c>
      <c r="E88" s="225">
        <f t="shared" si="27"/>
        <v>-213100000000</v>
      </c>
      <c r="F88" s="225">
        <f t="shared" si="27"/>
        <v>-76900000000</v>
      </c>
      <c r="G88" s="225">
        <f t="shared" si="27"/>
        <v>-130699999999.99998</v>
      </c>
      <c r="H88" s="225">
        <f t="shared" si="27"/>
        <v>93900000000</v>
      </c>
      <c r="I88" s="225">
        <f t="shared" si="27"/>
        <v>-92400000000</v>
      </c>
      <c r="J88" s="225">
        <f t="shared" si="27"/>
        <v>-167900000000</v>
      </c>
      <c r="K88" s="224">
        <f t="shared" si="27"/>
        <v>0</v>
      </c>
      <c r="L88" s="224">
        <f t="shared" si="27"/>
        <v>1000000000</v>
      </c>
      <c r="M88" s="224">
        <f t="shared" si="27"/>
        <v>0</v>
      </c>
      <c r="N88" s="224">
        <f t="shared" si="27"/>
        <v>0</v>
      </c>
      <c r="O88" s="224">
        <f t="shared" si="27"/>
        <v>0</v>
      </c>
      <c r="P88" s="224">
        <f t="shared" si="27"/>
        <v>0</v>
      </c>
      <c r="Q88" s="224">
        <f t="shared" si="27"/>
        <v>-1000000000</v>
      </c>
      <c r="R88" s="224">
        <f t="shared" si="27"/>
        <v>0</v>
      </c>
      <c r="S88" s="224">
        <f t="shared" si="27"/>
        <v>301000000000</v>
      </c>
      <c r="T88" s="224">
        <f t="shared" si="27"/>
        <v>147000000000</v>
      </c>
      <c r="U88" s="224">
        <f t="shared" si="27"/>
        <v>-27000000000</v>
      </c>
      <c r="V88" s="224">
        <f t="shared" si="27"/>
        <v>0</v>
      </c>
      <c r="W88" s="224">
        <f t="shared" si="27"/>
        <v>0</v>
      </c>
      <c r="X88" s="224">
        <f t="shared" si="27"/>
        <v>0</v>
      </c>
      <c r="Y88" s="224">
        <f t="shared" si="27"/>
        <v>0</v>
      </c>
      <c r="Z88" s="224">
        <f t="shared" si="27"/>
        <v>0</v>
      </c>
    </row>
    <row r="89" spans="2:26">
      <c r="B89" t="s">
        <v>529</v>
      </c>
      <c r="C89" s="34"/>
      <c r="D89" s="224">
        <f>D55-D56-D57</f>
        <v>0</v>
      </c>
      <c r="E89" s="224">
        <f t="shared" ref="E89:X89" si="28">E55-E56-E57</f>
        <v>0</v>
      </c>
      <c r="F89" s="224">
        <f t="shared" si="28"/>
        <v>0</v>
      </c>
      <c r="G89" s="224">
        <f t="shared" si="28"/>
        <v>0</v>
      </c>
      <c r="H89" s="224">
        <f t="shared" si="28"/>
        <v>0</v>
      </c>
      <c r="I89" s="224">
        <f t="shared" si="28"/>
        <v>0</v>
      </c>
      <c r="J89" s="224">
        <f t="shared" si="28"/>
        <v>0</v>
      </c>
      <c r="K89" s="224">
        <f t="shared" si="28"/>
        <v>0</v>
      </c>
      <c r="L89" s="225">
        <f t="shared" si="28"/>
        <v>54000000000</v>
      </c>
      <c r="M89" s="225">
        <f t="shared" si="28"/>
        <v>100000000000</v>
      </c>
      <c r="N89" s="225">
        <f t="shared" si="28"/>
        <v>224000000000</v>
      </c>
      <c r="O89" s="225">
        <f t="shared" si="28"/>
        <v>250000000000</v>
      </c>
      <c r="P89" s="225">
        <f t="shared" si="28"/>
        <v>183000000000</v>
      </c>
      <c r="Q89" s="225">
        <f t="shared" si="28"/>
        <v>271000000000</v>
      </c>
      <c r="R89" s="225">
        <f t="shared" si="28"/>
        <v>256000000000</v>
      </c>
      <c r="S89" s="225">
        <f t="shared" si="28"/>
        <v>183000000000</v>
      </c>
      <c r="T89" s="225">
        <f t="shared" si="28"/>
        <v>239000000000</v>
      </c>
      <c r="U89" s="225">
        <f t="shared" si="28"/>
        <v>286000000000</v>
      </c>
      <c r="V89" s="225">
        <f t="shared" si="28"/>
        <v>285000000000</v>
      </c>
      <c r="W89" s="225">
        <f t="shared" si="28"/>
        <v>332000000000</v>
      </c>
      <c r="X89" s="225">
        <f t="shared" si="28"/>
        <v>254000000000</v>
      </c>
      <c r="Y89" s="225">
        <f>Y55-Y56-Y57</f>
        <v>0</v>
      </c>
      <c r="Z89" s="225">
        <f>Z55-Z56-Z57</f>
        <v>0</v>
      </c>
    </row>
    <row r="90" spans="2:26">
      <c r="B90" t="s">
        <v>297</v>
      </c>
      <c r="C90" s="34"/>
      <c r="D90" s="224">
        <f t="shared" ref="D90:P90" si="29">D63-D64-D67</f>
        <v>0</v>
      </c>
      <c r="E90" s="224">
        <f t="shared" si="29"/>
        <v>0</v>
      </c>
      <c r="F90" s="224">
        <f t="shared" si="29"/>
        <v>0</v>
      </c>
      <c r="G90" s="224">
        <f t="shared" si="29"/>
        <v>0</v>
      </c>
      <c r="H90" s="224">
        <f t="shared" si="29"/>
        <v>-100000000</v>
      </c>
      <c r="I90" s="224">
        <f t="shared" si="29"/>
        <v>0</v>
      </c>
      <c r="J90" s="224">
        <f t="shared" si="29"/>
        <v>0</v>
      </c>
      <c r="K90" s="224">
        <f t="shared" si="29"/>
        <v>0</v>
      </c>
      <c r="L90" s="224">
        <f t="shared" si="29"/>
        <v>0</v>
      </c>
      <c r="M90" s="224">
        <f t="shared" si="29"/>
        <v>0</v>
      </c>
      <c r="N90" s="224">
        <f t="shared" si="29"/>
        <v>0</v>
      </c>
      <c r="O90" s="224">
        <f t="shared" si="29"/>
        <v>0</v>
      </c>
      <c r="P90" s="224">
        <f t="shared" si="29"/>
        <v>-1000000000</v>
      </c>
      <c r="Q90" s="224">
        <f t="shared" ref="Q90:X90" si="30">Q63-Q64-Q67</f>
        <v>0</v>
      </c>
      <c r="R90" s="224">
        <f t="shared" si="30"/>
        <v>0</v>
      </c>
      <c r="S90" s="224">
        <f t="shared" si="30"/>
        <v>1000000000</v>
      </c>
      <c r="T90" s="224">
        <f t="shared" si="30"/>
        <v>0</v>
      </c>
      <c r="U90" s="224">
        <f t="shared" si="30"/>
        <v>0</v>
      </c>
      <c r="V90" s="224">
        <f t="shared" si="30"/>
        <v>0</v>
      </c>
      <c r="W90" s="224">
        <f t="shared" si="30"/>
        <v>0</v>
      </c>
      <c r="X90" s="224">
        <f t="shared" si="30"/>
        <v>0</v>
      </c>
      <c r="Y90" s="224">
        <f>Y63-Y64-Y67</f>
        <v>0</v>
      </c>
      <c r="Z90" s="224">
        <f>Z63-Z64-Z67</f>
        <v>0</v>
      </c>
    </row>
    <row r="91" spans="2:26">
      <c r="C91" s="34"/>
    </row>
    <row r="92" spans="2:26">
      <c r="B92" t="s">
        <v>623</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1">(D6/D92)*100</f>
        <v>30.322890065712986</v>
      </c>
      <c r="E93">
        <f t="shared" si="31"/>
        <v>30.77681563806297</v>
      </c>
      <c r="F93">
        <f t="shared" si="31"/>
        <v>28.447411831032976</v>
      </c>
      <c r="G93">
        <f t="shared" si="31"/>
        <v>27.244677173620801</v>
      </c>
      <c r="H93">
        <f t="shared" si="31"/>
        <v>27.016091823479726</v>
      </c>
      <c r="I93">
        <f t="shared" si="31"/>
        <v>28.038552520967329</v>
      </c>
      <c r="J93">
        <f t="shared" si="31"/>
        <v>28.65217462148026</v>
      </c>
      <c r="K93">
        <f t="shared" si="31"/>
        <v>27.297702589320117</v>
      </c>
      <c r="L93">
        <f t="shared" si="31"/>
        <v>29.583103179258231</v>
      </c>
      <c r="M93">
        <f t="shared" si="31"/>
        <v>29.659696784607231</v>
      </c>
      <c r="N93">
        <f t="shared" si="31"/>
        <v>25.417785797638949</v>
      </c>
      <c r="O93">
        <f t="shared" si="31"/>
        <v>27.839543201468537</v>
      </c>
      <c r="P93">
        <f t="shared" si="31"/>
        <v>28.952200334300237</v>
      </c>
      <c r="Q93">
        <f t="shared" si="31"/>
        <v>27.556460791948723</v>
      </c>
      <c r="R93">
        <f t="shared" si="31"/>
        <v>29.739652870493995</v>
      </c>
      <c r="S93">
        <f t="shared" si="31"/>
        <v>21.133717511466539</v>
      </c>
      <c r="T93">
        <f t="shared" si="31"/>
        <v>17.133918902659126</v>
      </c>
      <c r="U93">
        <f t="shared" si="31"/>
        <v>18.760176785298906</v>
      </c>
      <c r="V93">
        <f t="shared" si="31"/>
        <v>18.885135135135133</v>
      </c>
      <c r="W93">
        <f t="shared" si="31"/>
        <v>19.055235657922797</v>
      </c>
      <c r="X93">
        <f t="shared" si="31"/>
        <v>19.122098890010093</v>
      </c>
      <c r="Y93">
        <f t="shared" si="31"/>
        <v>0</v>
      </c>
      <c r="Z93">
        <f t="shared" si="31"/>
        <v>0</v>
      </c>
    </row>
    <row r="94" spans="2:26">
      <c r="B94" t="s">
        <v>152</v>
      </c>
      <c r="C94" s="34"/>
      <c r="D94">
        <f t="shared" ref="D94:Z94" si="32">(D23/D92)*100</f>
        <v>19.739006194648045</v>
      </c>
      <c r="E94">
        <f t="shared" si="32"/>
        <v>27.847563502095323</v>
      </c>
      <c r="F94">
        <f t="shared" si="32"/>
        <v>25.2970286692698</v>
      </c>
      <c r="G94">
        <f t="shared" si="32"/>
        <v>20.55385560833216</v>
      </c>
      <c r="H94">
        <f t="shared" si="32"/>
        <v>20.237224852533025</v>
      </c>
      <c r="I94">
        <f t="shared" si="32"/>
        <v>20.353463275400284</v>
      </c>
      <c r="J94">
        <f t="shared" si="32"/>
        <v>20.315054431165802</v>
      </c>
      <c r="K94">
        <f t="shared" si="32"/>
        <v>19.442836625793785</v>
      </c>
      <c r="L94">
        <f t="shared" si="32"/>
        <v>19.019742948743502</v>
      </c>
      <c r="M94">
        <f t="shared" si="32"/>
        <v>23.727757427685788</v>
      </c>
      <c r="N94">
        <f t="shared" si="32"/>
        <v>23.657666497584341</v>
      </c>
      <c r="O94">
        <f t="shared" si="32"/>
        <v>22.765507381030773</v>
      </c>
      <c r="P94">
        <f t="shared" si="32"/>
        <v>27.404717298994573</v>
      </c>
      <c r="Q94">
        <f t="shared" si="32"/>
        <v>26.978426717365512</v>
      </c>
      <c r="R94">
        <f t="shared" si="32"/>
        <v>23.753894080996886</v>
      </c>
      <c r="S94">
        <f t="shared" si="32"/>
        <v>22.2509702457956</v>
      </c>
      <c r="T94">
        <f t="shared" si="32"/>
        <v>22.404042834797256</v>
      </c>
      <c r="U94">
        <f t="shared" si="32"/>
        <v>22.016748080949057</v>
      </c>
      <c r="V94">
        <f t="shared" si="32"/>
        <v>20.112612612612612</v>
      </c>
      <c r="W94">
        <f t="shared" si="32"/>
        <v>19.68436766901258</v>
      </c>
      <c r="X94">
        <f t="shared" si="32"/>
        <v>19.404641775983855</v>
      </c>
      <c r="Y94">
        <f t="shared" si="32"/>
        <v>0</v>
      </c>
      <c r="Z94">
        <f t="shared" si="32"/>
        <v>0</v>
      </c>
    </row>
    <row r="95" spans="2:26">
      <c r="B95" s="312" t="s">
        <v>300</v>
      </c>
      <c r="C95" s="34"/>
      <c r="D95" t="b">
        <f t="shared" ref="D95:W95" si="33">IF(D41&lt;0, (D41/D23)*100)</f>
        <v>0</v>
      </c>
      <c r="E95" t="b">
        <f t="shared" si="33"/>
        <v>0</v>
      </c>
      <c r="F95" t="b">
        <f t="shared" si="33"/>
        <v>0</v>
      </c>
      <c r="G95" t="b">
        <f t="shared" si="33"/>
        <v>0</v>
      </c>
      <c r="H95" t="b">
        <f t="shared" si="33"/>
        <v>0</v>
      </c>
      <c r="I95" t="b">
        <f t="shared" si="33"/>
        <v>0</v>
      </c>
      <c r="J95" t="b">
        <f t="shared" si="33"/>
        <v>0</v>
      </c>
      <c r="K95" t="b">
        <f t="shared" si="33"/>
        <v>0</v>
      </c>
      <c r="L95" t="b">
        <f t="shared" si="33"/>
        <v>0</v>
      </c>
      <c r="M95" t="b">
        <f t="shared" si="33"/>
        <v>0</v>
      </c>
      <c r="N95" t="b">
        <f t="shared" si="33"/>
        <v>0</v>
      </c>
      <c r="O95" t="b">
        <f t="shared" si="33"/>
        <v>0</v>
      </c>
      <c r="P95" t="b">
        <f>IF(P41&lt;0, (P41/P23)*100)</f>
        <v>0</v>
      </c>
      <c r="Q95" t="b">
        <f t="shared" si="33"/>
        <v>0</v>
      </c>
      <c r="R95" t="b">
        <f t="shared" si="33"/>
        <v>0</v>
      </c>
      <c r="S95" t="b">
        <f t="shared" si="33"/>
        <v>0</v>
      </c>
      <c r="T95" t="b">
        <f t="shared" si="33"/>
        <v>0</v>
      </c>
      <c r="U95" t="b">
        <f t="shared" si="33"/>
        <v>0</v>
      </c>
      <c r="V95" t="b">
        <f t="shared" si="33"/>
        <v>0</v>
      </c>
      <c r="W95" t="b">
        <f t="shared" si="33"/>
        <v>0</v>
      </c>
      <c r="X95" t="b">
        <f>IF(X41&lt;0, (X41/X23)*100)</f>
        <v>0</v>
      </c>
      <c r="Y95" t="b">
        <f>IF(Y41&lt;0, (Y41/Y23)*100)</f>
        <v>0</v>
      </c>
      <c r="Z95" t="b">
        <f>IF(Z41&lt;0, (Z41/Z23)*100)</f>
        <v>0</v>
      </c>
    </row>
    <row r="98" spans="9:31">
      <c r="I98" s="21"/>
      <c r="Q98" s="21"/>
      <c r="R98" s="21"/>
    </row>
    <row r="110" spans="9:31" ht="15.75">
      <c r="AC110" s="424"/>
      <c r="AD110" s="424"/>
      <c r="AE110" s="424"/>
    </row>
    <row r="111" spans="9:31" ht="17.25">
      <c r="AC111" s="504"/>
      <c r="AD111" s="504"/>
      <c r="AE111" s="504"/>
    </row>
    <row r="112" spans="9:31" ht="17.25">
      <c r="AC112" s="502"/>
      <c r="AD112" s="502"/>
      <c r="AE112" s="502"/>
    </row>
    <row r="113" spans="29:31" ht="17.25">
      <c r="AC113" s="504"/>
      <c r="AD113" s="504"/>
      <c r="AE113" s="504"/>
    </row>
    <row r="114" spans="29:31" ht="17.25">
      <c r="AC114" s="501"/>
      <c r="AD114" s="501"/>
      <c r="AE114" s="501"/>
    </row>
    <row r="115" spans="29:31" ht="17.25">
      <c r="AC115" s="504"/>
      <c r="AD115" s="504"/>
      <c r="AE115" s="504"/>
    </row>
    <row r="116" spans="29:31" ht="17.25">
      <c r="AC116" s="503"/>
      <c r="AD116" s="503"/>
      <c r="AE116" s="503"/>
    </row>
    <row r="117" spans="29:31" ht="15.75">
      <c r="AC117" s="424"/>
      <c r="AD117" s="424"/>
      <c r="AE117" s="424"/>
    </row>
    <row r="118" spans="29:31" ht="15.75">
      <c r="AC118" s="424"/>
      <c r="AD118" s="424"/>
      <c r="AE118" s="424"/>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D6" activePane="bottomRight" state="frozen"/>
      <selection pane="topRight" activeCell="D1" sqref="D1"/>
      <selection pane="bottomLeft" activeCell="A6" sqref="A6"/>
      <selection pane="bottomRight" activeCell="I22" sqref="I22"/>
    </sheetView>
  </sheetViews>
  <sheetFormatPr defaultRowHeight="15"/>
  <cols>
    <col min="1" max="1" width="33.42578125" style="1271" customWidth="1"/>
    <col min="2" max="2" width="56.85546875" style="1271" customWidth="1"/>
    <col min="3" max="3" width="22.28515625" style="1271" customWidth="1"/>
    <col min="4" max="13" width="18.85546875" style="1271" bestFit="1" customWidth="1"/>
    <col min="14" max="18" width="24.7109375" style="1271" bestFit="1" customWidth="1"/>
    <col min="19" max="22" width="25.7109375" style="1271" bestFit="1" customWidth="1"/>
    <col min="23" max="24" width="19.7109375" style="1271" bestFit="1" customWidth="1"/>
    <col min="25" max="27" width="18.85546875" style="1271" bestFit="1" customWidth="1"/>
    <col min="28" max="29" width="8.85546875" style="1271"/>
    <col min="30" max="30" width="41.42578125" style="1271" customWidth="1"/>
    <col min="31" max="31" width="8.85546875" style="1271"/>
    <col min="42" max="42" width="14" bestFit="1" customWidth="1"/>
  </cols>
  <sheetData>
    <row r="1" spans="1:51">
      <c r="A1" s="1267" t="s">
        <v>2613</v>
      </c>
      <c r="B1" s="1286" t="s">
        <v>2614</v>
      </c>
      <c r="C1" s="1286"/>
      <c r="D1" s="1268"/>
      <c r="E1" s="1268"/>
      <c r="F1" s="1268"/>
      <c r="G1" s="1268"/>
      <c r="H1" s="1268"/>
      <c r="I1" s="1268"/>
      <c r="J1" s="1268"/>
      <c r="K1" s="1268"/>
      <c r="L1" s="1268"/>
      <c r="M1" s="1268"/>
      <c r="N1" s="1268"/>
      <c r="O1" s="1269"/>
      <c r="P1" s="1269"/>
      <c r="Q1" s="1269"/>
      <c r="R1" s="1270"/>
      <c r="S1" s="1269"/>
      <c r="T1" s="1269"/>
      <c r="U1" s="1269"/>
      <c r="V1" s="1269"/>
      <c r="W1" s="1269"/>
      <c r="X1" s="1287"/>
      <c r="Y1" s="1287"/>
      <c r="Z1" s="1287"/>
      <c r="AA1" s="1287"/>
      <c r="AB1" s="1287"/>
      <c r="AC1" s="1287"/>
      <c r="AD1" s="1287"/>
      <c r="AE1" s="1287"/>
      <c r="AF1" s="365"/>
      <c r="AG1" s="365"/>
      <c r="AH1" s="365"/>
      <c r="AI1" s="365"/>
      <c r="AJ1" s="365"/>
      <c r="AK1" s="365"/>
      <c r="AL1" s="365"/>
      <c r="AM1" s="365"/>
      <c r="AN1" s="365"/>
      <c r="AO1" s="365"/>
      <c r="AP1" s="365"/>
      <c r="AQ1" s="365"/>
      <c r="AR1" s="365"/>
    </row>
    <row r="2" spans="1:51">
      <c r="B2" s="1288" t="s">
        <v>2615</v>
      </c>
      <c r="C2" s="1288"/>
      <c r="D2" s="1269"/>
      <c r="E2" s="1269"/>
      <c r="F2" s="1269"/>
      <c r="G2" s="1269"/>
      <c r="H2" s="1269"/>
      <c r="I2" s="1269"/>
      <c r="J2" s="1269"/>
      <c r="K2" s="1269"/>
      <c r="L2" s="1269"/>
      <c r="M2" s="1269"/>
      <c r="N2" s="1269"/>
      <c r="O2" s="1269"/>
      <c r="P2" s="1269"/>
      <c r="Q2" s="1269"/>
      <c r="R2" s="1272"/>
      <c r="S2" s="1273"/>
      <c r="T2" s="1274"/>
      <c r="U2" s="1269"/>
      <c r="V2" s="1269"/>
      <c r="W2" s="1269"/>
      <c r="X2" s="1287"/>
      <c r="Y2" s="1287"/>
      <c r="Z2" s="1287"/>
      <c r="AA2" s="1287"/>
      <c r="AB2" s="1287"/>
      <c r="AC2" s="1287"/>
      <c r="AD2" s="1287"/>
      <c r="AE2" s="1287"/>
      <c r="AF2" s="365"/>
      <c r="AG2" s="365"/>
      <c r="AH2" s="365"/>
      <c r="AI2" s="365"/>
      <c r="AJ2" s="365"/>
      <c r="AK2" s="365"/>
      <c r="AL2" s="365"/>
      <c r="AM2" s="365"/>
      <c r="AN2" s="365"/>
      <c r="AO2" s="365"/>
      <c r="AP2" s="365"/>
      <c r="AQ2" s="365"/>
      <c r="AR2" s="365"/>
    </row>
    <row r="3" spans="1:51">
      <c r="B3" s="1268" t="s">
        <v>3</v>
      </c>
      <c r="C3" s="1268"/>
      <c r="D3" s="1269">
        <v>2000</v>
      </c>
      <c r="E3" s="1269">
        <v>2001</v>
      </c>
      <c r="F3" s="1269">
        <v>2002</v>
      </c>
      <c r="G3" s="1269">
        <v>2003</v>
      </c>
      <c r="H3" s="1269">
        <v>2004</v>
      </c>
      <c r="I3" s="1269">
        <v>2005</v>
      </c>
      <c r="J3" s="1269">
        <v>2006</v>
      </c>
      <c r="K3" s="1269">
        <v>2007</v>
      </c>
      <c r="L3" s="1269">
        <v>2008</v>
      </c>
      <c r="M3" s="1269">
        <v>2009</v>
      </c>
      <c r="N3" s="1269">
        <v>2010</v>
      </c>
      <c r="O3" s="1269">
        <v>2011</v>
      </c>
      <c r="P3" s="1269">
        <v>2012</v>
      </c>
      <c r="Q3" s="1269">
        <v>2013</v>
      </c>
      <c r="R3" s="1269">
        <v>2014</v>
      </c>
      <c r="S3" s="1269">
        <v>2015</v>
      </c>
      <c r="T3" s="1269">
        <v>2016</v>
      </c>
      <c r="U3" s="1269">
        <v>2017</v>
      </c>
      <c r="V3" s="1269">
        <v>2018</v>
      </c>
      <c r="W3" s="1269">
        <v>2019</v>
      </c>
      <c r="X3" s="1269">
        <v>2020</v>
      </c>
      <c r="Y3" s="1269">
        <v>2021</v>
      </c>
      <c r="Z3" s="1269">
        <v>2022</v>
      </c>
      <c r="AA3" s="1269">
        <v>2023</v>
      </c>
      <c r="AB3" s="1287"/>
      <c r="AC3" s="1287"/>
      <c r="AD3" s="1287"/>
      <c r="AE3" s="1287"/>
      <c r="AF3" s="365"/>
      <c r="AG3" s="365"/>
      <c r="AH3" s="365"/>
      <c r="AI3" s="365"/>
      <c r="AJ3" s="365"/>
      <c r="AK3" s="365"/>
      <c r="AL3" s="365"/>
      <c r="AM3" s="365"/>
      <c r="AN3" s="365"/>
      <c r="AO3" s="365"/>
      <c r="AP3" s="365"/>
      <c r="AQ3" s="365"/>
      <c r="AR3" s="365"/>
    </row>
    <row r="4" spans="1:51">
      <c r="B4" s="1268" t="s">
        <v>4</v>
      </c>
      <c r="C4" s="1268"/>
      <c r="D4" s="1269" t="s">
        <v>5</v>
      </c>
      <c r="E4" s="1269" t="s">
        <v>6</v>
      </c>
      <c r="F4" s="1269" t="s">
        <v>7</v>
      </c>
      <c r="G4" s="1269" t="s">
        <v>8</v>
      </c>
      <c r="H4" s="1269" t="s">
        <v>9</v>
      </c>
      <c r="I4" s="1269" t="s">
        <v>10</v>
      </c>
      <c r="J4" s="1269" t="s">
        <v>11</v>
      </c>
      <c r="K4" s="1269" t="s">
        <v>12</v>
      </c>
      <c r="L4" s="1269" t="s">
        <v>13</v>
      </c>
      <c r="M4" s="1269" t="s">
        <v>14</v>
      </c>
      <c r="N4" s="1269" t="s">
        <v>15</v>
      </c>
      <c r="O4" s="1269" t="s">
        <v>16</v>
      </c>
      <c r="P4" s="1269" t="s">
        <v>17</v>
      </c>
      <c r="Q4" s="1269" t="s">
        <v>18</v>
      </c>
      <c r="R4" s="1270" t="s">
        <v>19</v>
      </c>
      <c r="S4" s="1269" t="s">
        <v>20</v>
      </c>
      <c r="T4" s="1269" t="s">
        <v>21</v>
      </c>
      <c r="U4" s="1269" t="s">
        <v>22</v>
      </c>
      <c r="V4" s="1269" t="s">
        <v>23</v>
      </c>
      <c r="W4" s="1269" t="s">
        <v>24</v>
      </c>
      <c r="X4" s="1269" t="s">
        <v>25</v>
      </c>
      <c r="Y4" s="1287" t="s">
        <v>26</v>
      </c>
      <c r="Z4" s="1287" t="s">
        <v>27</v>
      </c>
      <c r="AA4" s="1287" t="s">
        <v>1137</v>
      </c>
      <c r="AB4" s="2517"/>
      <c r="AC4" s="2517"/>
      <c r="AD4" s="2517"/>
      <c r="AE4" s="2517"/>
      <c r="AF4" s="2520"/>
      <c r="AG4" s="2520"/>
      <c r="AH4" s="2520"/>
      <c r="AI4" s="2520"/>
      <c r="AJ4" s="2520"/>
      <c r="AK4" s="2520"/>
      <c r="AL4" s="2520"/>
      <c r="AM4" s="2520"/>
      <c r="AN4" s="2520"/>
      <c r="AO4" s="2520"/>
      <c r="AP4" s="2520"/>
      <c r="AQ4" s="2520"/>
      <c r="AR4" s="2520"/>
      <c r="AS4" s="2463"/>
      <c r="AT4" s="2463"/>
      <c r="AU4" s="2463"/>
      <c r="AV4" s="2463"/>
      <c r="AW4" s="2463"/>
      <c r="AX4" s="2463"/>
      <c r="AY4" s="2463"/>
    </row>
    <row r="5" spans="1:51">
      <c r="A5" s="1271" t="s">
        <v>28</v>
      </c>
      <c r="B5" s="1268" t="s">
        <v>29</v>
      </c>
      <c r="C5" s="1268"/>
      <c r="D5" s="1269" t="s">
        <v>30</v>
      </c>
      <c r="E5" s="1269" t="s">
        <v>30</v>
      </c>
      <c r="F5" s="1269" t="s">
        <v>30</v>
      </c>
      <c r="G5" s="1269" t="s">
        <v>30</v>
      </c>
      <c r="H5" s="1269" t="s">
        <v>30</v>
      </c>
      <c r="I5" s="1268" t="s">
        <v>31</v>
      </c>
      <c r="J5" s="1268" t="s">
        <v>30</v>
      </c>
      <c r="K5" s="1268" t="s">
        <v>30</v>
      </c>
      <c r="L5" s="1268" t="s">
        <v>30</v>
      </c>
      <c r="M5" s="1268" t="s">
        <v>30</v>
      </c>
      <c r="N5" s="1269" t="s">
        <v>31</v>
      </c>
      <c r="O5" s="1269" t="s">
        <v>31</v>
      </c>
      <c r="P5" s="1269" t="s">
        <v>31</v>
      </c>
      <c r="Q5" s="1269" t="s">
        <v>31</v>
      </c>
      <c r="R5" s="1270" t="s">
        <v>2555</v>
      </c>
      <c r="S5" s="1269" t="s">
        <v>30</v>
      </c>
      <c r="T5" s="1269" t="s">
        <v>30</v>
      </c>
      <c r="U5" s="1269" t="s">
        <v>368</v>
      </c>
      <c r="V5" s="1269" t="s">
        <v>32</v>
      </c>
      <c r="W5" s="1269" t="s">
        <v>32</v>
      </c>
      <c r="X5" s="1269" t="s">
        <v>32</v>
      </c>
      <c r="Y5" s="1269" t="s">
        <v>32</v>
      </c>
      <c r="Z5" s="1269" t="s">
        <v>32</v>
      </c>
      <c r="AA5" s="1269" t="s">
        <v>32</v>
      </c>
      <c r="AB5" s="2517"/>
      <c r="AC5" s="2517"/>
      <c r="AD5" s="2517"/>
      <c r="AE5" s="2518"/>
      <c r="AF5" s="2519"/>
      <c r="AG5" s="2519"/>
      <c r="AH5" s="2519"/>
      <c r="AI5" s="2519"/>
      <c r="AJ5" s="2519"/>
      <c r="AK5" s="2519"/>
      <c r="AL5" s="2519"/>
      <c r="AM5" s="2519"/>
      <c r="AN5" s="2519"/>
      <c r="AO5" s="2519"/>
      <c r="AP5" s="2518"/>
      <c r="AQ5" s="2519"/>
      <c r="AR5" s="2519"/>
      <c r="AS5" s="2519"/>
      <c r="AT5" s="2519"/>
      <c r="AU5" s="2519"/>
      <c r="AV5" s="2519"/>
      <c r="AW5" s="2519"/>
      <c r="AX5" s="2519"/>
      <c r="AY5" s="2463"/>
    </row>
    <row r="6" spans="1:51" s="848" customFormat="1">
      <c r="A6" s="1296" t="s">
        <v>33</v>
      </c>
      <c r="B6" s="1296" t="s">
        <v>33</v>
      </c>
      <c r="C6" s="1296" t="s">
        <v>35</v>
      </c>
      <c r="D6" s="1295">
        <v>1117200000</v>
      </c>
      <c r="E6" s="1295">
        <v>1125700000</v>
      </c>
      <c r="F6" s="1295">
        <v>1528700000</v>
      </c>
      <c r="G6" s="1295">
        <v>1820400000</v>
      </c>
      <c r="H6" s="1295">
        <v>3065000000</v>
      </c>
      <c r="I6" s="1295">
        <v>2823500000</v>
      </c>
      <c r="J6" s="1295">
        <v>3203000000</v>
      </c>
      <c r="K6" s="1295">
        <v>3663000000</v>
      </c>
      <c r="L6" s="1295">
        <v>3745000000</v>
      </c>
      <c r="M6" s="1295">
        <v>4909000000</v>
      </c>
      <c r="N6" s="1295">
        <f>N8+N15</f>
        <v>5026000000</v>
      </c>
      <c r="O6" s="1295">
        <f t="shared" ref="O6:R6" si="0">O8+O15</f>
        <v>5619000000</v>
      </c>
      <c r="P6" s="1295">
        <f t="shared" si="0"/>
        <v>7397000000</v>
      </c>
      <c r="Q6" s="1295">
        <f t="shared" si="0"/>
        <v>5992000000</v>
      </c>
      <c r="R6" s="1295">
        <f t="shared" si="0"/>
        <v>7720000000</v>
      </c>
      <c r="S6" s="2524">
        <v>8320000000</v>
      </c>
      <c r="T6" s="2524">
        <v>8466000000</v>
      </c>
      <c r="U6" s="2524">
        <v>13301000000</v>
      </c>
      <c r="V6" s="2524">
        <v>16745000000</v>
      </c>
      <c r="W6" s="2524">
        <v>19814000000</v>
      </c>
      <c r="X6" s="2524">
        <v>21616000000</v>
      </c>
      <c r="Y6" s="2524">
        <v>23113000000</v>
      </c>
      <c r="Z6" s="2524">
        <v>25241000000</v>
      </c>
      <c r="AA6" s="2524">
        <v>26782000000</v>
      </c>
      <c r="AB6" s="2527"/>
      <c r="AC6" s="2517"/>
      <c r="AD6" s="2517"/>
      <c r="AE6" s="2518"/>
      <c r="AF6" s="2519"/>
      <c r="AG6" s="2519"/>
      <c r="AH6" s="2519"/>
      <c r="AI6" s="2519"/>
      <c r="AJ6" s="2519"/>
      <c r="AK6" s="2519"/>
      <c r="AL6" s="2519"/>
      <c r="AM6" s="2519"/>
      <c r="AN6" s="2519"/>
      <c r="AO6" s="2519"/>
      <c r="AP6" s="2520"/>
      <c r="AQ6" s="2520"/>
      <c r="AR6" s="2520"/>
      <c r="AS6" s="2520"/>
      <c r="AT6" s="2520"/>
      <c r="AU6" s="2520"/>
      <c r="AV6" s="2520"/>
      <c r="AW6" s="2520"/>
      <c r="AX6" s="2520"/>
      <c r="AY6" s="2520"/>
    </row>
    <row r="7" spans="1:51">
      <c r="A7" s="1271" t="s">
        <v>76</v>
      </c>
      <c r="B7" s="1268" t="s">
        <v>2616</v>
      </c>
      <c r="D7" s="1290"/>
      <c r="E7" s="1290"/>
      <c r="F7" s="1290"/>
      <c r="G7" s="1290"/>
      <c r="H7" s="1290"/>
      <c r="I7" s="1290"/>
      <c r="J7" s="1290"/>
      <c r="K7" s="1290"/>
      <c r="L7" s="1290"/>
      <c r="M7" s="1290"/>
      <c r="N7" s="1290">
        <v>5026000000</v>
      </c>
      <c r="O7" s="1290">
        <v>5619000000</v>
      </c>
      <c r="P7" s="1290">
        <v>7397000000</v>
      </c>
      <c r="Q7" s="1290">
        <v>5992000000</v>
      </c>
      <c r="R7" s="1290">
        <v>7720000000</v>
      </c>
      <c r="S7" s="2525"/>
      <c r="T7" s="2525"/>
      <c r="U7" s="2525"/>
      <c r="V7" s="2525"/>
      <c r="W7" s="2525"/>
      <c r="X7" s="2525"/>
      <c r="Y7" s="2525"/>
      <c r="Z7" s="2525"/>
      <c r="AA7" s="2525"/>
      <c r="AB7" s="2527"/>
      <c r="AC7" s="2517"/>
      <c r="AD7" s="2517"/>
      <c r="AE7" s="2518"/>
      <c r="AF7" s="2519"/>
      <c r="AG7" s="2519"/>
      <c r="AH7" s="2519"/>
      <c r="AI7" s="2519"/>
      <c r="AJ7" s="2519"/>
      <c r="AK7" s="2519"/>
      <c r="AL7" s="2519"/>
      <c r="AM7" s="2519"/>
      <c r="AN7" s="2519"/>
      <c r="AO7" s="2519"/>
      <c r="AP7" s="2520"/>
      <c r="AQ7" s="2520"/>
      <c r="AR7" s="2520"/>
      <c r="AS7" s="2463"/>
      <c r="AT7" s="2463"/>
      <c r="AU7" s="2463"/>
      <c r="AV7" s="2463"/>
      <c r="AW7" s="2463"/>
      <c r="AX7" s="2463"/>
      <c r="AY7" s="2463"/>
    </row>
    <row r="8" spans="1:51">
      <c r="A8" s="1275" t="s">
        <v>370</v>
      </c>
      <c r="B8" s="1276" t="s">
        <v>36</v>
      </c>
      <c r="C8" s="1277" t="s">
        <v>38</v>
      </c>
      <c r="D8" s="1290">
        <v>995400000</v>
      </c>
      <c r="E8" s="1290">
        <v>989900000</v>
      </c>
      <c r="F8" s="1290">
        <v>1201800000</v>
      </c>
      <c r="G8" s="1290">
        <v>1574200000</v>
      </c>
      <c r="H8" s="1290">
        <v>2517800000</v>
      </c>
      <c r="I8" s="1290">
        <v>2603400000</v>
      </c>
      <c r="J8" s="1290">
        <v>3024000000</v>
      </c>
      <c r="K8" s="1290">
        <v>3468000000</v>
      </c>
      <c r="L8" s="1290">
        <v>3500000000</v>
      </c>
      <c r="M8" s="1290">
        <v>3889000000</v>
      </c>
      <c r="N8" s="1290">
        <f>N9+N14+N19</f>
        <v>3961000000</v>
      </c>
      <c r="O8" s="1290">
        <f t="shared" ref="O8:R8" si="1">O9+O14+O19</f>
        <v>4264000000</v>
      </c>
      <c r="P8" s="1290">
        <f t="shared" si="1"/>
        <v>4786000000</v>
      </c>
      <c r="Q8" s="1290">
        <f t="shared" si="1"/>
        <v>5267000000</v>
      </c>
      <c r="R8" s="1290">
        <f t="shared" si="1"/>
        <v>6435000000</v>
      </c>
      <c r="S8" s="2525">
        <f>S9+S19</f>
        <v>7598000000</v>
      </c>
      <c r="T8" s="2525">
        <f t="shared" ref="T8:AA8" si="2">T9+T19</f>
        <v>7758000000</v>
      </c>
      <c r="U8" s="2525">
        <f t="shared" si="2"/>
        <v>7893000000</v>
      </c>
      <c r="V8" s="2525">
        <f t="shared" si="2"/>
        <v>9697000000</v>
      </c>
      <c r="W8" s="2525">
        <f t="shared" si="2"/>
        <v>11327000000</v>
      </c>
      <c r="X8" s="2525">
        <f t="shared" si="2"/>
        <v>12761000000</v>
      </c>
      <c r="Y8" s="2525">
        <f t="shared" si="2"/>
        <v>14425000000</v>
      </c>
      <c r="Z8" s="2525">
        <f t="shared" si="2"/>
        <v>16186000000</v>
      </c>
      <c r="AA8" s="2525">
        <f t="shared" si="2"/>
        <v>17787000000</v>
      </c>
      <c r="AB8" s="2527"/>
      <c r="AC8" s="2517"/>
      <c r="AD8" s="2517"/>
      <c r="AE8" s="2518"/>
      <c r="AF8" s="2519"/>
      <c r="AG8" s="2519"/>
      <c r="AH8" s="2519"/>
      <c r="AI8" s="2519"/>
      <c r="AJ8" s="2519"/>
      <c r="AK8" s="2519"/>
      <c r="AL8" s="2519"/>
      <c r="AM8" s="2519"/>
      <c r="AN8" s="2519"/>
      <c r="AO8" s="2519"/>
      <c r="AP8" s="2520"/>
      <c r="AQ8" s="2520"/>
      <c r="AR8" s="2520"/>
      <c r="AS8" s="2463"/>
      <c r="AT8" s="2463"/>
      <c r="AU8" s="2463"/>
      <c r="AV8" s="2463"/>
      <c r="AW8" s="2463"/>
      <c r="AX8" s="2463"/>
      <c r="AY8" s="2463"/>
    </row>
    <row r="9" spans="1:51">
      <c r="A9" s="1275" t="s">
        <v>39</v>
      </c>
      <c r="B9" s="1278" t="s">
        <v>371</v>
      </c>
      <c r="C9" s="1277" t="s">
        <v>41</v>
      </c>
      <c r="D9" s="1290">
        <v>869900000</v>
      </c>
      <c r="E9" s="1290">
        <v>853800000</v>
      </c>
      <c r="F9" s="1290">
        <v>1040200000</v>
      </c>
      <c r="G9" s="1290">
        <v>1380700000</v>
      </c>
      <c r="H9" s="1290">
        <v>2244700000</v>
      </c>
      <c r="I9" s="1290">
        <v>2263200000</v>
      </c>
      <c r="J9" s="1290">
        <v>2678000000</v>
      </c>
      <c r="K9" s="1290">
        <v>3037000000</v>
      </c>
      <c r="L9" s="1290">
        <v>3146000000</v>
      </c>
      <c r="M9" s="1290">
        <v>3518000000</v>
      </c>
      <c r="N9" s="1290">
        <v>3528000000</v>
      </c>
      <c r="O9" s="1290">
        <v>3780000000</v>
      </c>
      <c r="P9" s="1290">
        <v>4221000000</v>
      </c>
      <c r="Q9" s="1290">
        <v>4579000000</v>
      </c>
      <c r="R9" s="1290">
        <v>5529000000</v>
      </c>
      <c r="S9" s="2525">
        <v>6808000000</v>
      </c>
      <c r="T9" s="2525">
        <v>7052000000</v>
      </c>
      <c r="U9" s="2525">
        <v>7096000000</v>
      </c>
      <c r="V9" s="2525">
        <v>8646000000</v>
      </c>
      <c r="W9" s="2525">
        <v>10028000000</v>
      </c>
      <c r="X9" s="2525">
        <v>11307000000</v>
      </c>
      <c r="Y9" s="2525">
        <v>12827000000</v>
      </c>
      <c r="Z9" s="2525">
        <v>14434000000</v>
      </c>
      <c r="AA9" s="2525">
        <v>15867000000</v>
      </c>
      <c r="AB9" s="2527"/>
      <c r="AC9" s="2517"/>
      <c r="AD9" s="2517"/>
      <c r="AE9" s="2521"/>
      <c r="AF9" s="2519"/>
      <c r="AG9" s="2519"/>
      <c r="AH9" s="2519"/>
      <c r="AI9" s="2519"/>
      <c r="AJ9" s="2519"/>
      <c r="AK9" s="2519"/>
      <c r="AL9" s="2519"/>
      <c r="AM9" s="2519"/>
      <c r="AN9" s="2519"/>
      <c r="AO9" s="2519"/>
      <c r="AP9" s="2520"/>
      <c r="AQ9" s="2520"/>
      <c r="AR9" s="2520"/>
      <c r="AS9" s="2520"/>
      <c r="AT9" s="2520"/>
      <c r="AU9" s="2520"/>
      <c r="AV9" s="2520"/>
      <c r="AW9" s="2520"/>
      <c r="AX9" s="2520"/>
      <c r="AY9" s="2463"/>
    </row>
    <row r="10" spans="1:51">
      <c r="A10" s="1275" t="s">
        <v>42</v>
      </c>
      <c r="B10" s="1279" t="s">
        <v>2617</v>
      </c>
      <c r="C10" s="1271" t="s">
        <v>44</v>
      </c>
      <c r="D10" s="1290">
        <v>223600000</v>
      </c>
      <c r="E10" s="1290">
        <v>251000000</v>
      </c>
      <c r="F10" s="1290">
        <v>318000000</v>
      </c>
      <c r="G10" s="1290">
        <v>441000000</v>
      </c>
      <c r="H10" s="1290">
        <v>606300000</v>
      </c>
      <c r="I10" s="1290">
        <v>682500000</v>
      </c>
      <c r="J10" s="1290">
        <v>803000000</v>
      </c>
      <c r="K10" s="1290">
        <v>884000000</v>
      </c>
      <c r="L10" s="1290">
        <v>1125000000</v>
      </c>
      <c r="M10" s="1290">
        <v>974000000</v>
      </c>
      <c r="N10" s="1290">
        <v>1109000000</v>
      </c>
      <c r="O10" s="1290">
        <v>1225000000</v>
      </c>
      <c r="P10" s="1290">
        <v>1520000000</v>
      </c>
      <c r="Q10" s="1290">
        <v>1384000000</v>
      </c>
      <c r="R10" s="1290">
        <v>1595000000</v>
      </c>
      <c r="S10" s="2525">
        <v>1717000000</v>
      </c>
      <c r="T10" s="2525">
        <v>1831000000</v>
      </c>
      <c r="U10" s="2525">
        <v>1902000000</v>
      </c>
      <c r="V10" s="2525">
        <v>2239000000</v>
      </c>
      <c r="W10" s="2525">
        <v>2478000000</v>
      </c>
      <c r="X10" s="2525">
        <v>2728000000</v>
      </c>
      <c r="Y10" s="2525">
        <v>3000000000</v>
      </c>
      <c r="Z10" s="2525">
        <v>3288000000</v>
      </c>
      <c r="AA10" s="2525">
        <v>3603000000</v>
      </c>
      <c r="AB10" s="2527"/>
      <c r="AC10" s="2517"/>
      <c r="AD10" s="2517"/>
      <c r="AE10" s="2521"/>
      <c r="AF10" s="2519"/>
      <c r="AG10" s="2519"/>
      <c r="AH10" s="2519"/>
      <c r="AI10" s="2519"/>
      <c r="AJ10" s="2519"/>
      <c r="AK10" s="2519"/>
      <c r="AL10" s="2519"/>
      <c r="AM10" s="2519"/>
      <c r="AN10" s="2519"/>
      <c r="AO10" s="2519"/>
      <c r="AP10" s="2520"/>
      <c r="AQ10" s="2520"/>
      <c r="AR10" s="2520"/>
      <c r="AS10" s="2520"/>
      <c r="AT10" s="2520"/>
      <c r="AU10" s="2520"/>
      <c r="AV10" s="2520"/>
      <c r="AW10" s="2520"/>
      <c r="AX10" s="2520"/>
      <c r="AY10" s="2463"/>
    </row>
    <row r="11" spans="1:51">
      <c r="A11" s="1275" t="s">
        <v>47</v>
      </c>
      <c r="B11" s="1279" t="s">
        <v>2618</v>
      </c>
      <c r="C11" s="1271" t="s">
        <v>44</v>
      </c>
      <c r="D11" s="1290">
        <v>72800000</v>
      </c>
      <c r="E11" s="1290">
        <v>73900000</v>
      </c>
      <c r="F11" s="1290">
        <v>124900000</v>
      </c>
      <c r="G11" s="1290">
        <v>205700000</v>
      </c>
      <c r="H11" s="1290">
        <v>291400000</v>
      </c>
      <c r="I11" s="1290">
        <v>374500000</v>
      </c>
      <c r="J11" s="1290">
        <v>1124000000</v>
      </c>
      <c r="K11" s="1290">
        <v>1345000000</v>
      </c>
      <c r="L11" s="1290">
        <v>1313000000</v>
      </c>
      <c r="M11" s="1290">
        <v>1395000000</v>
      </c>
      <c r="N11" s="1290">
        <v>1500000000</v>
      </c>
      <c r="O11" s="1290">
        <v>1683000000</v>
      </c>
      <c r="P11" s="1290">
        <v>1833000000</v>
      </c>
      <c r="Q11" s="1290">
        <v>1899000000</v>
      </c>
      <c r="R11" s="1290">
        <v>2349000000</v>
      </c>
      <c r="S11" s="2525">
        <v>2925000000</v>
      </c>
      <c r="T11" s="2525">
        <v>3055000000</v>
      </c>
      <c r="U11" s="2525">
        <v>3191000000</v>
      </c>
      <c r="V11" s="2525">
        <v>3880000000</v>
      </c>
      <c r="W11" s="2525">
        <v>4567000000</v>
      </c>
      <c r="X11" s="2525">
        <v>5083000000</v>
      </c>
      <c r="Y11" s="2525">
        <v>5815000000</v>
      </c>
      <c r="Z11" s="2525">
        <v>6775000000</v>
      </c>
      <c r="AA11" s="2525">
        <v>7458000000</v>
      </c>
      <c r="AB11" s="2527"/>
      <c r="AC11" s="2517"/>
      <c r="AD11" s="2517"/>
      <c r="AE11" s="2521"/>
      <c r="AF11" s="2519"/>
      <c r="AG11" s="2519"/>
      <c r="AH11" s="2519"/>
      <c r="AI11" s="2519"/>
      <c r="AJ11" s="2519"/>
      <c r="AK11" s="2519"/>
      <c r="AL11" s="2519"/>
      <c r="AM11" s="2519"/>
      <c r="AN11" s="2519"/>
      <c r="AO11" s="2519"/>
      <c r="AP11" s="2520"/>
      <c r="AQ11" s="2520"/>
      <c r="AR11" s="2520"/>
      <c r="AS11" s="2520"/>
      <c r="AT11" s="2520"/>
      <c r="AU11" s="2520"/>
      <c r="AV11" s="2520"/>
      <c r="AW11" s="2520"/>
      <c r="AX11" s="2520"/>
      <c r="AY11" s="2463"/>
    </row>
    <row r="12" spans="1:51">
      <c r="A12" s="1275" t="s">
        <v>45</v>
      </c>
      <c r="B12" s="1279" t="s">
        <v>2619</v>
      </c>
      <c r="C12" s="1271" t="s">
        <v>44</v>
      </c>
      <c r="D12" s="1290">
        <v>573500000</v>
      </c>
      <c r="E12" s="1290">
        <v>528900000</v>
      </c>
      <c r="F12" s="1290">
        <v>597300000</v>
      </c>
      <c r="G12" s="1290">
        <v>734000000</v>
      </c>
      <c r="H12" s="1290">
        <v>1347000000</v>
      </c>
      <c r="I12" s="1290">
        <v>1206200000</v>
      </c>
      <c r="J12" s="1290">
        <v>751000000</v>
      </c>
      <c r="K12" s="1290">
        <v>808000000</v>
      </c>
      <c r="L12" s="1290">
        <v>708000000</v>
      </c>
      <c r="M12" s="1290">
        <v>1148000000</v>
      </c>
      <c r="N12" s="1290">
        <v>867000000</v>
      </c>
      <c r="O12" s="1290">
        <v>830000000</v>
      </c>
      <c r="P12" s="1290">
        <v>856000000</v>
      </c>
      <c r="Q12" s="1290">
        <v>1286000000</v>
      </c>
      <c r="R12" s="1290">
        <v>1544000000</v>
      </c>
      <c r="S12" s="2525">
        <v>2109000000</v>
      </c>
      <c r="T12" s="2525">
        <v>2110000000</v>
      </c>
      <c r="U12" s="2525">
        <v>1982000000</v>
      </c>
      <c r="V12" s="2525">
        <v>2502000000</v>
      </c>
      <c r="W12" s="2525">
        <v>2957000000</v>
      </c>
      <c r="X12" s="2525">
        <v>3466000000</v>
      </c>
      <c r="Y12" s="2525">
        <v>3980000000</v>
      </c>
      <c r="Z12" s="2525">
        <v>4335000000</v>
      </c>
      <c r="AA12" s="2525">
        <v>4766000000</v>
      </c>
      <c r="AB12" s="2527"/>
      <c r="AC12" s="2517"/>
      <c r="AD12" s="2517"/>
      <c r="AE12" s="2521"/>
      <c r="AF12" s="2519"/>
      <c r="AG12" s="2519"/>
      <c r="AH12" s="2519"/>
      <c r="AI12" s="2519"/>
      <c r="AJ12" s="2519"/>
      <c r="AK12" s="2519"/>
      <c r="AL12" s="2519"/>
      <c r="AM12" s="2519"/>
      <c r="AN12" s="2519"/>
      <c r="AO12" s="2519"/>
      <c r="AP12" s="2520"/>
      <c r="AQ12" s="2520"/>
      <c r="AR12" s="2520"/>
      <c r="AS12" s="2520"/>
      <c r="AT12" s="2520"/>
      <c r="AU12" s="2520"/>
      <c r="AV12" s="2520"/>
      <c r="AW12" s="2520"/>
      <c r="AX12" s="2520"/>
      <c r="AY12" s="2463"/>
    </row>
    <row r="13" spans="1:51">
      <c r="A13" s="1275" t="s">
        <v>49</v>
      </c>
      <c r="B13" s="1279" t="s">
        <v>2620</v>
      </c>
      <c r="C13" s="1271" t="s">
        <v>44</v>
      </c>
      <c r="D13" s="1290"/>
      <c r="E13" s="1290"/>
      <c r="F13" s="1290"/>
      <c r="G13" s="1290"/>
      <c r="H13" s="1290"/>
      <c r="I13" s="1290"/>
      <c r="J13" s="1290"/>
      <c r="K13" s="1290"/>
      <c r="L13" s="1290"/>
      <c r="M13" s="1290"/>
      <c r="N13" s="1290">
        <v>53000000</v>
      </c>
      <c r="O13" s="1290">
        <v>42000000</v>
      </c>
      <c r="P13" s="1290">
        <v>12000000</v>
      </c>
      <c r="Q13" s="1290">
        <v>10000000</v>
      </c>
      <c r="R13" s="1290">
        <v>41000000</v>
      </c>
      <c r="S13" s="2525">
        <v>57000000</v>
      </c>
      <c r="T13" s="2525">
        <v>56000000</v>
      </c>
      <c r="U13" s="2525">
        <v>22000000</v>
      </c>
      <c r="V13" s="2525">
        <v>24000000</v>
      </c>
      <c r="W13" s="2525">
        <v>27000000</v>
      </c>
      <c r="X13" s="2525">
        <v>29000000</v>
      </c>
      <c r="Y13" s="2525">
        <v>32000000</v>
      </c>
      <c r="Z13" s="2525">
        <v>35000000</v>
      </c>
      <c r="AA13" s="2525">
        <v>39000000</v>
      </c>
      <c r="AB13" s="2527"/>
      <c r="AC13" s="2517"/>
      <c r="AD13" s="2517"/>
      <c r="AE13" s="2518"/>
      <c r="AF13" s="2519"/>
      <c r="AG13" s="2519"/>
      <c r="AH13" s="2519"/>
      <c r="AI13" s="2519"/>
      <c r="AJ13" s="2519"/>
      <c r="AK13" s="2519"/>
      <c r="AL13" s="2519"/>
      <c r="AM13" s="2519"/>
      <c r="AN13" s="2519"/>
      <c r="AO13" s="2519"/>
      <c r="AP13" s="2520"/>
      <c r="AQ13" s="2520"/>
      <c r="AR13" s="2520"/>
      <c r="AS13" s="2520"/>
      <c r="AT13" s="2520"/>
      <c r="AU13" s="2520"/>
      <c r="AV13" s="2520"/>
      <c r="AW13" s="2520"/>
      <c r="AX13" s="2520"/>
      <c r="AY13" s="2463"/>
    </row>
    <row r="14" spans="1:51">
      <c r="A14" s="1275" t="s">
        <v>51</v>
      </c>
      <c r="B14" s="1278" t="s">
        <v>2621</v>
      </c>
      <c r="C14" s="1277" t="s">
        <v>41</v>
      </c>
      <c r="D14" s="1290">
        <v>125400000</v>
      </c>
      <c r="E14" s="1290">
        <v>136000000</v>
      </c>
      <c r="F14" s="1290">
        <v>161500000</v>
      </c>
      <c r="G14" s="1290">
        <v>193500000</v>
      </c>
      <c r="H14" s="1290">
        <v>273100000</v>
      </c>
      <c r="I14" s="1290">
        <v>340100000</v>
      </c>
      <c r="J14" s="1290">
        <v>346000000</v>
      </c>
      <c r="K14" s="1290">
        <v>431000000</v>
      </c>
      <c r="L14" s="1290">
        <v>354000000</v>
      </c>
      <c r="M14" s="1290">
        <v>371000000</v>
      </c>
      <c r="N14" s="1290"/>
      <c r="O14" s="1290"/>
      <c r="P14" s="1290"/>
      <c r="Q14" s="1290"/>
      <c r="R14" s="1290"/>
      <c r="S14" s="2525"/>
      <c r="T14" s="2525"/>
      <c r="U14" s="2525"/>
      <c r="V14" s="2525"/>
      <c r="W14" s="2525"/>
      <c r="X14" s="2525"/>
      <c r="Y14" s="2525"/>
      <c r="Z14" s="2525"/>
      <c r="AA14" s="2525"/>
      <c r="AB14" s="2527"/>
      <c r="AC14" s="2517"/>
      <c r="AD14" s="2517"/>
      <c r="AE14" s="2518"/>
      <c r="AF14" s="2519"/>
      <c r="AG14" s="2519"/>
      <c r="AH14" s="2519"/>
      <c r="AI14" s="2519"/>
      <c r="AJ14" s="2519"/>
      <c r="AK14" s="2519"/>
      <c r="AL14" s="2519"/>
      <c r="AM14" s="2519"/>
      <c r="AN14" s="2519"/>
      <c r="AO14" s="2519"/>
      <c r="AP14" s="2520"/>
      <c r="AQ14" s="2520"/>
      <c r="AR14" s="2520"/>
      <c r="AS14" s="2463"/>
      <c r="AT14" s="2463"/>
      <c r="AU14" s="2463"/>
      <c r="AV14" s="2463"/>
      <c r="AW14" s="2463"/>
      <c r="AX14" s="2463"/>
      <c r="AY14" s="2463"/>
    </row>
    <row r="15" spans="1:51" s="848" customFormat="1">
      <c r="A15" s="1292" t="s">
        <v>53</v>
      </c>
      <c r="B15" s="1293" t="s">
        <v>53</v>
      </c>
      <c r="C15" s="1294" t="s">
        <v>38</v>
      </c>
      <c r="D15" s="1295">
        <v>121800000</v>
      </c>
      <c r="E15" s="1295">
        <v>135900000</v>
      </c>
      <c r="F15" s="1295">
        <v>326900000</v>
      </c>
      <c r="G15" s="1295">
        <v>246200000</v>
      </c>
      <c r="H15" s="1295">
        <v>547200000</v>
      </c>
      <c r="I15" s="1295">
        <v>220100000</v>
      </c>
      <c r="J15" s="1295">
        <v>180000000</v>
      </c>
      <c r="K15" s="1295">
        <v>194000000</v>
      </c>
      <c r="L15" s="1295">
        <v>244000000</v>
      </c>
      <c r="M15" s="1295">
        <v>1021000000</v>
      </c>
      <c r="N15" s="1295">
        <v>1065000000</v>
      </c>
      <c r="O15" s="1295">
        <v>1355000000</v>
      </c>
      <c r="P15" s="1295">
        <v>2611000000</v>
      </c>
      <c r="Q15" s="1295">
        <v>725000000</v>
      </c>
      <c r="R15" s="1295">
        <v>1285000000</v>
      </c>
      <c r="S15" s="2524">
        <v>722000000</v>
      </c>
      <c r="T15" s="2524">
        <v>708000000</v>
      </c>
      <c r="U15" s="2524">
        <v>5408000000</v>
      </c>
      <c r="V15" s="2524">
        <v>7048000000</v>
      </c>
      <c r="W15" s="2524">
        <v>8487000000</v>
      </c>
      <c r="X15" s="2524">
        <v>8856000000</v>
      </c>
      <c r="Y15" s="2524">
        <v>8688000000</v>
      </c>
      <c r="Z15" s="2524">
        <v>9055000000</v>
      </c>
      <c r="AA15" s="2524">
        <v>8996000000</v>
      </c>
      <c r="AB15" s="2527"/>
      <c r="AC15" s="2517"/>
      <c r="AD15" s="2517"/>
      <c r="AE15" s="2521"/>
      <c r="AF15" s="2519"/>
      <c r="AG15" s="2519"/>
      <c r="AH15" s="2519"/>
      <c r="AI15" s="2519"/>
      <c r="AJ15" s="2519"/>
      <c r="AK15" s="2519"/>
      <c r="AL15" s="2519"/>
      <c r="AM15" s="2519"/>
      <c r="AN15" s="2519"/>
      <c r="AO15" s="2519"/>
      <c r="AP15" s="2520"/>
      <c r="AQ15" s="2520"/>
      <c r="AR15" s="2520"/>
      <c r="AS15" s="2520"/>
      <c r="AT15" s="2520"/>
      <c r="AU15" s="2520"/>
      <c r="AV15" s="2520"/>
      <c r="AW15" s="2520"/>
      <c r="AX15" s="2520"/>
      <c r="AY15" s="2463"/>
    </row>
    <row r="16" spans="1:51">
      <c r="A16" s="1275" t="s">
        <v>886</v>
      </c>
      <c r="B16" s="1278" t="s">
        <v>2622</v>
      </c>
      <c r="C16" s="1280" t="s">
        <v>57</v>
      </c>
      <c r="D16" s="1290">
        <v>60300000</v>
      </c>
      <c r="E16" s="1290">
        <v>0</v>
      </c>
      <c r="F16" s="1290">
        <v>94900000</v>
      </c>
      <c r="G16" s="1290">
        <v>0</v>
      </c>
      <c r="H16" s="1290">
        <v>0</v>
      </c>
      <c r="I16" s="1290">
        <v>0</v>
      </c>
      <c r="J16" s="1290">
        <v>17000000</v>
      </c>
      <c r="K16" s="1290">
        <v>20000000</v>
      </c>
      <c r="L16" s="1290">
        <v>79000000</v>
      </c>
      <c r="M16" s="1290">
        <v>311000000</v>
      </c>
      <c r="N16" s="1290">
        <v>0</v>
      </c>
      <c r="O16" s="1290">
        <v>0</v>
      </c>
      <c r="P16" s="1290">
        <v>296000000</v>
      </c>
      <c r="Q16" s="1290">
        <v>0</v>
      </c>
      <c r="R16" s="1290">
        <v>0</v>
      </c>
      <c r="S16" s="2525">
        <v>0</v>
      </c>
      <c r="T16" s="2525">
        <v>0</v>
      </c>
      <c r="U16" s="2525">
        <v>2597000000</v>
      </c>
      <c r="V16" s="2525">
        <v>3543000000</v>
      </c>
      <c r="W16" s="2525">
        <v>2998000000</v>
      </c>
      <c r="X16" s="2525">
        <v>2486000000</v>
      </c>
      <c r="Y16" s="2525">
        <v>1886000000</v>
      </c>
      <c r="Z16" s="2525">
        <v>1693000000</v>
      </c>
      <c r="AA16" s="2525">
        <v>1770000000</v>
      </c>
      <c r="AB16" s="2527"/>
      <c r="AC16" s="2517"/>
      <c r="AD16" s="2517"/>
      <c r="AE16" s="2521"/>
      <c r="AF16" s="2519"/>
      <c r="AG16" s="2519"/>
      <c r="AH16" s="2519"/>
      <c r="AI16" s="2519"/>
      <c r="AJ16" s="2519"/>
      <c r="AK16" s="2519"/>
      <c r="AL16" s="2519"/>
      <c r="AM16" s="2519"/>
      <c r="AN16" s="2519"/>
      <c r="AO16" s="2519"/>
      <c r="AP16" s="2520"/>
      <c r="AQ16" s="2520"/>
      <c r="AR16" s="2520"/>
      <c r="AS16" s="2520"/>
      <c r="AT16" s="2520"/>
      <c r="AU16" s="2520"/>
      <c r="AV16" s="2520"/>
      <c r="AW16" s="2520"/>
      <c r="AX16" s="2520"/>
      <c r="AY16" s="2463"/>
    </row>
    <row r="17" spans="1:51">
      <c r="A17" s="1275" t="s">
        <v>564</v>
      </c>
      <c r="B17" s="1278" t="s">
        <v>2623</v>
      </c>
      <c r="C17" s="1280" t="s">
        <v>57</v>
      </c>
      <c r="D17" s="1290">
        <v>61500000</v>
      </c>
      <c r="E17" s="1290">
        <v>67900000</v>
      </c>
      <c r="F17" s="1290">
        <v>109900000</v>
      </c>
      <c r="G17" s="1290">
        <v>132000000</v>
      </c>
      <c r="H17" s="1290">
        <v>395700000</v>
      </c>
      <c r="I17" s="1290">
        <v>203000000</v>
      </c>
      <c r="J17" s="1290">
        <v>163000000</v>
      </c>
      <c r="K17" s="1290">
        <v>174000000</v>
      </c>
      <c r="L17" s="1290">
        <v>166000000</v>
      </c>
      <c r="M17" s="1290">
        <v>710000000</v>
      </c>
      <c r="N17" s="1290">
        <v>1065000000</v>
      </c>
      <c r="O17" s="1290">
        <v>1355000000</v>
      </c>
      <c r="P17" s="1290">
        <v>2315000000</v>
      </c>
      <c r="Q17" s="1290">
        <v>725000000</v>
      </c>
      <c r="R17" s="1290">
        <v>1285000000</v>
      </c>
      <c r="S17" s="2525">
        <v>722000000</v>
      </c>
      <c r="T17" s="2525">
        <v>708000000</v>
      </c>
      <c r="U17" s="2525">
        <v>2811000000</v>
      </c>
      <c r="V17" s="2525">
        <v>3505000000</v>
      </c>
      <c r="W17" s="2525">
        <v>5489000000</v>
      </c>
      <c r="X17" s="2525">
        <v>6370000000</v>
      </c>
      <c r="Y17" s="2525">
        <v>6802000000</v>
      </c>
      <c r="Z17" s="2525">
        <v>7363000000</v>
      </c>
      <c r="AA17" s="2525">
        <v>7226000000</v>
      </c>
      <c r="AB17" s="2527"/>
      <c r="AC17" s="2517"/>
      <c r="AD17" s="2517"/>
      <c r="AE17" s="2521"/>
      <c r="AF17" s="2519"/>
      <c r="AG17" s="2519"/>
      <c r="AH17" s="2519"/>
      <c r="AI17" s="2519"/>
      <c r="AJ17" s="2519"/>
      <c r="AK17" s="2519"/>
      <c r="AL17" s="2519"/>
      <c r="AM17" s="2519"/>
      <c r="AN17" s="2519"/>
      <c r="AO17" s="2519"/>
      <c r="AP17" s="2520"/>
      <c r="AQ17" s="2520"/>
      <c r="AR17" s="2520"/>
      <c r="AS17" s="2520"/>
      <c r="AT17" s="2520"/>
      <c r="AU17" s="2520"/>
      <c r="AV17" s="2520"/>
      <c r="AW17" s="2520"/>
      <c r="AX17" s="2520"/>
      <c r="AY17" s="2463"/>
    </row>
    <row r="18" spans="1:51">
      <c r="A18" s="1275" t="s">
        <v>2624</v>
      </c>
      <c r="B18" s="1278" t="s">
        <v>1690</v>
      </c>
      <c r="C18" s="1280" t="s">
        <v>57</v>
      </c>
      <c r="D18" s="1290">
        <v>0</v>
      </c>
      <c r="E18" s="1290">
        <v>68000000</v>
      </c>
      <c r="F18" s="1290">
        <v>122100000</v>
      </c>
      <c r="G18" s="1290">
        <v>114200000</v>
      </c>
      <c r="H18" s="1290">
        <v>151400000</v>
      </c>
      <c r="I18" s="1290">
        <v>17100000</v>
      </c>
      <c r="J18" s="1290">
        <v>0</v>
      </c>
      <c r="K18" s="1290"/>
      <c r="L18" s="1290"/>
      <c r="M18" s="1290"/>
      <c r="N18" s="1290"/>
      <c r="O18" s="1290"/>
      <c r="P18" s="1290"/>
      <c r="Q18" s="1290"/>
      <c r="R18" s="1290"/>
      <c r="S18" s="2525"/>
      <c r="T18" s="2525"/>
      <c r="U18" s="2525"/>
      <c r="V18" s="2525"/>
      <c r="W18" s="2525"/>
      <c r="X18" s="2525"/>
      <c r="Y18" s="2525"/>
      <c r="Z18" s="2525"/>
      <c r="AA18" s="2525"/>
      <c r="AB18" s="2527"/>
      <c r="AC18" s="2517"/>
      <c r="AD18" s="2517"/>
      <c r="AE18" s="2521"/>
      <c r="AF18" s="2519"/>
      <c r="AG18" s="2519"/>
      <c r="AH18" s="2519"/>
      <c r="AI18" s="2519"/>
      <c r="AJ18" s="2519"/>
      <c r="AK18" s="2519"/>
      <c r="AL18" s="2519"/>
      <c r="AM18" s="2519"/>
      <c r="AN18" s="2519"/>
      <c r="AO18" s="2519"/>
      <c r="AP18" s="2520"/>
      <c r="AQ18" s="2520"/>
      <c r="AR18" s="2520"/>
      <c r="AS18" s="2463"/>
      <c r="AT18" s="2463"/>
      <c r="AU18" s="2463"/>
      <c r="AV18" s="2463"/>
      <c r="AW18" s="2463"/>
      <c r="AX18" s="2463"/>
      <c r="AY18" s="2463"/>
    </row>
    <row r="19" spans="1:51">
      <c r="A19" s="1276" t="s">
        <v>793</v>
      </c>
      <c r="B19" s="1276" t="s">
        <v>2625</v>
      </c>
      <c r="C19" s="1277" t="s">
        <v>41</v>
      </c>
      <c r="D19" s="1290"/>
      <c r="E19" s="1290"/>
      <c r="F19" s="1290"/>
      <c r="G19" s="1290"/>
      <c r="H19" s="1290"/>
      <c r="I19" s="1290"/>
      <c r="J19" s="1290"/>
      <c r="K19" s="1290"/>
      <c r="L19" s="1290"/>
      <c r="M19" s="1290"/>
      <c r="N19" s="1290">
        <v>433000000</v>
      </c>
      <c r="O19" s="1290">
        <v>484000000</v>
      </c>
      <c r="P19" s="1290">
        <v>565000000</v>
      </c>
      <c r="Q19" s="1290">
        <v>688000000</v>
      </c>
      <c r="R19" s="1290">
        <v>906000000</v>
      </c>
      <c r="S19" s="2525">
        <v>790000000</v>
      </c>
      <c r="T19" s="2525">
        <v>706000000</v>
      </c>
      <c r="U19" s="2525">
        <v>797000000</v>
      </c>
      <c r="V19" s="2525">
        <v>1051000000</v>
      </c>
      <c r="W19" s="2525">
        <v>1299000000</v>
      </c>
      <c r="X19" s="2525">
        <v>1454000000</v>
      </c>
      <c r="Y19" s="2525">
        <v>1598000000</v>
      </c>
      <c r="Z19" s="2525">
        <v>1752000000</v>
      </c>
      <c r="AA19" s="2525">
        <v>1920000000</v>
      </c>
      <c r="AB19" s="2527"/>
      <c r="AC19" s="2517"/>
      <c r="AD19" s="2517"/>
      <c r="AE19" s="2521"/>
      <c r="AF19" s="2519"/>
      <c r="AG19" s="2519"/>
      <c r="AH19" s="2519"/>
      <c r="AI19" s="2519"/>
      <c r="AJ19" s="2519"/>
      <c r="AK19" s="2519"/>
      <c r="AL19" s="2519"/>
      <c r="AM19" s="2519"/>
      <c r="AN19" s="2519"/>
      <c r="AO19" s="2519"/>
      <c r="AP19" s="2520"/>
      <c r="AQ19" s="2520"/>
      <c r="AR19" s="2520"/>
      <c r="AS19" s="2520"/>
      <c r="AT19" s="2520"/>
      <c r="AU19" s="2520"/>
      <c r="AV19" s="2520"/>
      <c r="AW19" s="2520"/>
      <c r="AX19" s="2520"/>
      <c r="AY19" s="2463"/>
    </row>
    <row r="20" spans="1:51" ht="15.75">
      <c r="A20" s="1281"/>
      <c r="B20" s="1276" t="s">
        <v>381</v>
      </c>
      <c r="D20" s="1290">
        <v>1192100000</v>
      </c>
      <c r="E20" s="1290">
        <v>2037400000</v>
      </c>
      <c r="F20" s="1290">
        <v>1853800000</v>
      </c>
      <c r="G20" s="1290">
        <v>2292700000</v>
      </c>
      <c r="H20" s="1290">
        <v>3750400000</v>
      </c>
      <c r="I20" s="1290">
        <v>3961100000</v>
      </c>
      <c r="J20" s="1290">
        <v>4211200000</v>
      </c>
      <c r="K20" s="1290">
        <v>3635000000</v>
      </c>
      <c r="L20" s="1290">
        <v>4139000000</v>
      </c>
      <c r="M20" s="1290">
        <v>5683000000</v>
      </c>
      <c r="N20" s="1290">
        <v>6292000000</v>
      </c>
      <c r="O20" s="1290">
        <v>6871000000</v>
      </c>
      <c r="P20" s="1290">
        <v>8675000000</v>
      </c>
      <c r="Q20" s="1290">
        <v>8753000000</v>
      </c>
      <c r="R20" s="1290">
        <v>11141000000</v>
      </c>
      <c r="S20" s="2525"/>
      <c r="T20" s="2525"/>
      <c r="U20" s="2525"/>
      <c r="V20" s="2525"/>
      <c r="W20" s="2525"/>
      <c r="X20" s="2525"/>
      <c r="Y20" s="2525"/>
      <c r="Z20" s="2525"/>
      <c r="AA20" s="2525"/>
      <c r="AB20" s="2527"/>
      <c r="AC20" s="2517"/>
      <c r="AD20" s="2517"/>
      <c r="AE20" s="2521"/>
      <c r="AF20" s="2519"/>
      <c r="AG20" s="2519"/>
      <c r="AH20" s="2519"/>
      <c r="AI20" s="2519"/>
      <c r="AJ20" s="2519"/>
      <c r="AK20" s="2519"/>
      <c r="AL20" s="2519"/>
      <c r="AM20" s="2519"/>
      <c r="AN20" s="2519"/>
      <c r="AO20" s="2519"/>
      <c r="AP20" s="2520"/>
      <c r="AQ20" s="2520"/>
      <c r="AR20" s="2520"/>
      <c r="AS20" s="2463"/>
      <c r="AT20" s="2463"/>
      <c r="AU20" s="2463"/>
      <c r="AV20" s="2463"/>
      <c r="AW20" s="2463"/>
      <c r="AX20" s="2463"/>
      <c r="AY20" s="2463"/>
    </row>
    <row r="21" spans="1:51" s="848" customFormat="1" ht="15.75">
      <c r="A21" s="1297" t="s">
        <v>71</v>
      </c>
      <c r="B21" s="1298" t="s">
        <v>381</v>
      </c>
      <c r="C21" s="1293" t="s">
        <v>35</v>
      </c>
      <c r="D21" s="1295">
        <f>D23+D32+D37+D38</f>
        <v>1231400000</v>
      </c>
      <c r="E21" s="1295">
        <f t="shared" ref="E21:R21" si="3">E23+E32+E37+E38</f>
        <v>2037400000</v>
      </c>
      <c r="F21" s="1295">
        <f>F23+F32+F37+F38</f>
        <v>1886600000</v>
      </c>
      <c r="G21" s="1295">
        <f>G23+G32+G37+G38</f>
        <v>2315300000</v>
      </c>
      <c r="H21" s="1295">
        <f>H23+H32+H37+H38</f>
        <v>3773800000</v>
      </c>
      <c r="I21" s="1295">
        <f>I23+I32+I37+I38</f>
        <v>3991500000</v>
      </c>
      <c r="J21" s="1295">
        <f t="shared" si="3"/>
        <v>4211000000</v>
      </c>
      <c r="K21" s="1295">
        <f t="shared" si="3"/>
        <v>3635000000</v>
      </c>
      <c r="L21" s="1295">
        <f t="shared" si="3"/>
        <v>4139000000</v>
      </c>
      <c r="M21" s="1295">
        <f t="shared" si="3"/>
        <v>5684000000</v>
      </c>
      <c r="N21" s="1295">
        <f>N23+N32+N37+N38</f>
        <v>6292000000</v>
      </c>
      <c r="O21" s="1295">
        <f t="shared" si="3"/>
        <v>6871000000</v>
      </c>
      <c r="P21" s="1295">
        <f t="shared" si="3"/>
        <v>8675000000</v>
      </c>
      <c r="Q21" s="1295">
        <f t="shared" si="3"/>
        <v>8753000000</v>
      </c>
      <c r="R21" s="1295">
        <f t="shared" si="3"/>
        <v>11141000000</v>
      </c>
      <c r="S21" s="2524">
        <v>11469000000</v>
      </c>
      <c r="T21" s="2524">
        <v>12585000000</v>
      </c>
      <c r="U21" s="2524">
        <v>17045000000</v>
      </c>
      <c r="V21" s="2524">
        <v>18780000000</v>
      </c>
      <c r="W21" s="2524">
        <v>20159000000</v>
      </c>
      <c r="X21" s="2524">
        <v>22823000000</v>
      </c>
      <c r="Y21" s="2524">
        <v>24560000000</v>
      </c>
      <c r="Z21" s="2524">
        <v>26655000000</v>
      </c>
      <c r="AA21" s="2524">
        <v>27511000000</v>
      </c>
      <c r="AB21" s="2527"/>
      <c r="AC21" s="2517"/>
      <c r="AD21" s="2517"/>
      <c r="AE21" s="2518"/>
      <c r="AF21" s="2518"/>
      <c r="AG21" s="2519"/>
      <c r="AH21" s="2519"/>
      <c r="AI21" s="2519"/>
      <c r="AJ21" s="2519"/>
      <c r="AK21" s="2519"/>
      <c r="AL21" s="2519"/>
      <c r="AM21" s="2519"/>
      <c r="AN21" s="2519"/>
      <c r="AO21" s="2519"/>
      <c r="AP21" s="2520"/>
      <c r="AQ21" s="2520"/>
      <c r="AR21" s="2520"/>
      <c r="AS21" s="2520"/>
      <c r="AT21" s="2520"/>
      <c r="AU21" s="2520"/>
      <c r="AV21" s="2520"/>
      <c r="AW21" s="2520"/>
      <c r="AX21" s="2520"/>
      <c r="AY21" s="2463"/>
    </row>
    <row r="22" spans="1:51" ht="15" customHeight="1">
      <c r="A22" s="1271" t="s">
        <v>76</v>
      </c>
      <c r="B22" s="1276" t="s">
        <v>1725</v>
      </c>
      <c r="D22" s="1290"/>
      <c r="E22" s="1290"/>
      <c r="F22" s="1290"/>
      <c r="G22" s="1290"/>
      <c r="H22" s="1290"/>
      <c r="I22" s="1290"/>
      <c r="J22" s="1290"/>
      <c r="K22" s="1290"/>
      <c r="L22" s="1290"/>
      <c r="M22" s="1290"/>
      <c r="N22" s="1290">
        <v>6292000000</v>
      </c>
      <c r="O22" s="1290">
        <v>6871000000</v>
      </c>
      <c r="P22" s="1290">
        <v>8675000000</v>
      </c>
      <c r="Q22" s="1290">
        <v>8753000000</v>
      </c>
      <c r="R22" s="1290">
        <v>11141000000</v>
      </c>
      <c r="S22" s="2525"/>
      <c r="T22" s="2525"/>
      <c r="U22" s="2525"/>
      <c r="V22" s="2525"/>
      <c r="W22" s="2525"/>
      <c r="X22" s="2525"/>
      <c r="Y22" s="2525"/>
      <c r="Z22" s="2525"/>
      <c r="AA22" s="2525"/>
      <c r="AB22" s="2527"/>
      <c r="AC22" s="2517"/>
      <c r="AD22" s="2517"/>
      <c r="AE22" s="2518"/>
      <c r="AF22" s="2518"/>
      <c r="AG22" s="2519"/>
      <c r="AH22" s="2519"/>
      <c r="AI22" s="2519"/>
      <c r="AJ22" s="2519"/>
      <c r="AK22" s="2519"/>
      <c r="AL22" s="2519"/>
      <c r="AM22" s="2519"/>
      <c r="AN22" s="2519"/>
      <c r="AO22" s="2519"/>
      <c r="AP22" s="2520"/>
      <c r="AQ22" s="2520"/>
      <c r="AR22" s="2520"/>
      <c r="AS22" s="2463"/>
      <c r="AT22" s="2463"/>
      <c r="AU22" s="2463"/>
      <c r="AV22" s="2463"/>
      <c r="AW22" s="2463"/>
      <c r="AX22" s="2463"/>
      <c r="AY22" s="2463"/>
    </row>
    <row r="23" spans="1:51">
      <c r="A23" s="1282" t="s">
        <v>73</v>
      </c>
      <c r="B23" s="1276" t="s">
        <v>796</v>
      </c>
      <c r="C23" s="1277" t="s">
        <v>75</v>
      </c>
      <c r="D23" s="1290">
        <v>985800000</v>
      </c>
      <c r="E23" s="1290">
        <v>1237100000</v>
      </c>
      <c r="F23" s="1290">
        <v>1318200000</v>
      </c>
      <c r="G23" s="1290">
        <v>1707000000</v>
      </c>
      <c r="H23" s="1290">
        <v>2035800000</v>
      </c>
      <c r="I23" s="1290">
        <v>2420400000</v>
      </c>
      <c r="J23" s="1290">
        <v>2584000000</v>
      </c>
      <c r="K23" s="1290">
        <v>2586000000</v>
      </c>
      <c r="L23" s="1290">
        <v>3186000000</v>
      </c>
      <c r="M23" s="1290">
        <v>3622000000</v>
      </c>
      <c r="N23" s="1290">
        <v>3948000000</v>
      </c>
      <c r="O23" s="1290">
        <v>4579000000</v>
      </c>
      <c r="P23" s="1290">
        <v>5068000000</v>
      </c>
      <c r="Q23" s="1290">
        <v>6451000000</v>
      </c>
      <c r="R23" s="1290">
        <v>7250000000</v>
      </c>
      <c r="S23" s="2525">
        <v>9095000000</v>
      </c>
      <c r="T23" s="2525">
        <v>9877000000</v>
      </c>
      <c r="U23" s="2525">
        <v>9689000000</v>
      </c>
      <c r="V23" s="2525">
        <v>10362000000</v>
      </c>
      <c r="W23" s="2525">
        <v>10760000000</v>
      </c>
      <c r="X23" s="2525">
        <v>11481000000</v>
      </c>
      <c r="Y23" s="2525">
        <v>12353000000</v>
      </c>
      <c r="Z23" s="2525">
        <v>13413000000</v>
      </c>
      <c r="AA23" s="2525">
        <v>14468000000</v>
      </c>
      <c r="AB23" s="2527"/>
      <c r="AC23" s="2517"/>
      <c r="AD23" s="2517"/>
      <c r="AE23" s="2518"/>
      <c r="AF23" s="2519"/>
      <c r="AG23" s="2519"/>
      <c r="AH23" s="2519"/>
      <c r="AI23" s="2519"/>
      <c r="AJ23" s="2519"/>
      <c r="AK23" s="2519"/>
      <c r="AL23" s="2519"/>
      <c r="AM23" s="2519"/>
      <c r="AN23" s="2519"/>
      <c r="AO23" s="2519"/>
      <c r="AP23" s="2520"/>
      <c r="AQ23" s="2520"/>
      <c r="AR23" s="2520"/>
      <c r="AS23" s="2520"/>
      <c r="AT23" s="2520"/>
      <c r="AU23" s="2520"/>
      <c r="AV23" s="2520"/>
      <c r="AW23" s="2520"/>
      <c r="AX23" s="2520"/>
      <c r="AY23" s="2463"/>
    </row>
    <row r="24" spans="1:51">
      <c r="A24" s="1275" t="s">
        <v>2626</v>
      </c>
      <c r="B24" s="1278" t="s">
        <v>2627</v>
      </c>
      <c r="C24" s="1277" t="s">
        <v>81</v>
      </c>
      <c r="D24" s="1290">
        <v>341200000</v>
      </c>
      <c r="E24" s="1290">
        <v>342000000</v>
      </c>
      <c r="F24" s="1290">
        <v>395200000</v>
      </c>
      <c r="G24" s="1290">
        <v>452600000</v>
      </c>
      <c r="H24" s="1290">
        <v>517500000</v>
      </c>
      <c r="I24" s="1290">
        <v>554000000</v>
      </c>
      <c r="J24" s="1290">
        <v>653000000</v>
      </c>
      <c r="K24" s="1290">
        <v>680000000</v>
      </c>
      <c r="L24" s="1290">
        <v>983000000</v>
      </c>
      <c r="M24" s="1290">
        <v>1192000000</v>
      </c>
      <c r="N24" s="1290">
        <v>1516000000</v>
      </c>
      <c r="O24" s="1290">
        <v>1693000000</v>
      </c>
      <c r="P24" s="1290">
        <v>1804000000</v>
      </c>
      <c r="Q24" s="1290">
        <v>1889000000</v>
      </c>
      <c r="R24" s="1290">
        <v>1910000000</v>
      </c>
      <c r="S24" s="2525">
        <v>1826000000</v>
      </c>
      <c r="T24" s="2525">
        <v>2117000000</v>
      </c>
      <c r="U24" s="2525">
        <v>2237000000</v>
      </c>
      <c r="V24" s="2525">
        <v>3120000000</v>
      </c>
      <c r="W24" s="2525">
        <v>3180000000</v>
      </c>
      <c r="X24" s="2525">
        <v>3222000000</v>
      </c>
      <c r="Y24" s="2525">
        <v>3507000000</v>
      </c>
      <c r="Z24" s="2525">
        <v>3844000000</v>
      </c>
      <c r="AA24" s="2525">
        <v>4213000000</v>
      </c>
      <c r="AB24" s="2527"/>
      <c r="AC24" s="2517"/>
      <c r="AD24" s="2517"/>
      <c r="AE24" s="2521"/>
      <c r="AF24" s="2519"/>
      <c r="AG24" s="2519"/>
      <c r="AH24" s="2519"/>
      <c r="AI24" s="2519"/>
      <c r="AJ24" s="2519"/>
      <c r="AK24" s="2519"/>
      <c r="AL24" s="2519"/>
      <c r="AM24" s="2519"/>
      <c r="AN24" s="2519"/>
      <c r="AO24" s="2519"/>
      <c r="AP24" s="2520"/>
      <c r="AQ24" s="2520"/>
      <c r="AR24" s="2520"/>
      <c r="AS24" s="2520"/>
      <c r="AT24" s="2520"/>
      <c r="AU24" s="2520"/>
      <c r="AV24" s="2520"/>
      <c r="AW24" s="2520"/>
      <c r="AX24" s="2520"/>
      <c r="AY24" s="2463"/>
    </row>
    <row r="25" spans="1:51">
      <c r="A25" s="1275" t="s">
        <v>83</v>
      </c>
      <c r="B25" s="1278" t="s">
        <v>2628</v>
      </c>
      <c r="C25" s="1277" t="s">
        <v>81</v>
      </c>
      <c r="D25" s="1290"/>
      <c r="E25" s="1290"/>
      <c r="F25" s="1290"/>
      <c r="G25" s="1290"/>
      <c r="H25" s="1290"/>
      <c r="I25" s="1290"/>
      <c r="J25" s="1290"/>
      <c r="K25" s="1290"/>
      <c r="L25" s="1290"/>
      <c r="M25" s="1290"/>
      <c r="N25" s="1290">
        <v>1106000000</v>
      </c>
      <c r="O25" s="1290">
        <v>1273000000</v>
      </c>
      <c r="P25" s="1290">
        <v>1540000000</v>
      </c>
      <c r="Q25" s="1290">
        <v>2009000000</v>
      </c>
      <c r="R25" s="1290">
        <v>2117000000</v>
      </c>
      <c r="S25" s="2525">
        <v>2066000000</v>
      </c>
      <c r="T25" s="2525">
        <v>2747000000</v>
      </c>
      <c r="U25" s="2525">
        <v>2372000000</v>
      </c>
      <c r="V25" s="2525">
        <v>2691000000</v>
      </c>
      <c r="W25" s="2525">
        <v>2880000000</v>
      </c>
      <c r="X25" s="2525">
        <v>3205000000</v>
      </c>
      <c r="Y25" s="2525">
        <v>3494000000</v>
      </c>
      <c r="Z25" s="2525">
        <v>3846000000</v>
      </c>
      <c r="AA25" s="2525">
        <v>4215000000</v>
      </c>
      <c r="AB25" s="2527"/>
      <c r="AC25" s="2517"/>
      <c r="AD25" s="2517"/>
      <c r="AE25" s="2521"/>
      <c r="AF25" s="2519"/>
      <c r="AG25" s="2519"/>
      <c r="AH25" s="2519"/>
      <c r="AI25" s="2519"/>
      <c r="AJ25" s="2519"/>
      <c r="AK25" s="2519"/>
      <c r="AL25" s="2519"/>
      <c r="AM25" s="2519"/>
      <c r="AN25" s="2519"/>
      <c r="AO25" s="2519"/>
      <c r="AP25" s="2520"/>
      <c r="AQ25" s="2520"/>
      <c r="AR25" s="2520"/>
      <c r="AS25" s="2520"/>
      <c r="AT25" s="2520"/>
      <c r="AU25" s="2520"/>
      <c r="AV25" s="2520"/>
      <c r="AW25" s="2520"/>
      <c r="AX25" s="2520"/>
      <c r="AY25" s="2463"/>
    </row>
    <row r="26" spans="1:51">
      <c r="A26" s="1275" t="s">
        <v>391</v>
      </c>
      <c r="B26" s="1278" t="s">
        <v>2629</v>
      </c>
      <c r="C26" s="1277" t="s">
        <v>81</v>
      </c>
      <c r="D26" s="1290">
        <v>397400000</v>
      </c>
      <c r="E26" s="1290">
        <v>533400000</v>
      </c>
      <c r="F26" s="1290">
        <v>512500000</v>
      </c>
      <c r="G26" s="1290">
        <v>594500000</v>
      </c>
      <c r="H26" s="1290">
        <v>583800000</v>
      </c>
      <c r="I26" s="1290">
        <v>735600000</v>
      </c>
      <c r="J26" s="1290">
        <v>1010000000</v>
      </c>
      <c r="K26" s="1290">
        <v>1091000000</v>
      </c>
      <c r="L26" s="1290">
        <v>1489000000</v>
      </c>
      <c r="M26" s="1290">
        <v>1689000000</v>
      </c>
      <c r="N26" s="1290"/>
      <c r="O26" s="1290"/>
      <c r="P26" s="1290"/>
      <c r="Q26" s="1290"/>
      <c r="R26" s="1290"/>
      <c r="S26" s="2525"/>
      <c r="T26" s="2525"/>
      <c r="U26" s="2525"/>
      <c r="V26" s="2525"/>
      <c r="W26" s="2525"/>
      <c r="X26" s="2525"/>
      <c r="Y26" s="2525"/>
      <c r="Z26" s="2525"/>
      <c r="AA26" s="2525"/>
      <c r="AB26" s="2527"/>
      <c r="AC26" s="2517"/>
      <c r="AD26" s="2517"/>
      <c r="AE26" s="2521"/>
      <c r="AF26" s="2519"/>
      <c r="AG26" s="2519"/>
      <c r="AH26" s="2519"/>
      <c r="AI26" s="2519"/>
      <c r="AJ26" s="2519"/>
      <c r="AK26" s="2519"/>
      <c r="AL26" s="2519"/>
      <c r="AM26" s="2519"/>
      <c r="AN26" s="2519"/>
      <c r="AO26" s="2519"/>
      <c r="AP26" s="2520"/>
      <c r="AQ26" s="2520"/>
      <c r="AR26" s="2520"/>
      <c r="AS26" s="2463"/>
      <c r="AT26" s="2463"/>
      <c r="AU26" s="2463"/>
      <c r="AV26" s="2463"/>
      <c r="AW26" s="2463"/>
      <c r="AX26" s="2463"/>
      <c r="AY26" s="2463"/>
    </row>
    <row r="27" spans="1:51">
      <c r="A27" s="1275" t="s">
        <v>90</v>
      </c>
      <c r="B27" s="1278" t="s">
        <v>91</v>
      </c>
      <c r="C27" s="1277" t="s">
        <v>81</v>
      </c>
      <c r="D27" s="1290">
        <v>247300000</v>
      </c>
      <c r="E27" s="1290">
        <v>293800000</v>
      </c>
      <c r="F27" s="1290">
        <v>370500000</v>
      </c>
      <c r="G27" s="1290">
        <v>607600000</v>
      </c>
      <c r="H27" s="1290">
        <v>867900000</v>
      </c>
      <c r="I27" s="1290">
        <v>1130900000</v>
      </c>
      <c r="J27" s="1290">
        <v>921000000</v>
      </c>
      <c r="K27" s="1290">
        <v>815000000</v>
      </c>
      <c r="L27" s="1290">
        <v>713000000</v>
      </c>
      <c r="M27" s="1290">
        <v>741000000</v>
      </c>
      <c r="N27" s="1290">
        <v>766000000</v>
      </c>
      <c r="O27" s="1290">
        <v>967000000</v>
      </c>
      <c r="P27" s="1290">
        <v>1079000000</v>
      </c>
      <c r="Q27" s="1290">
        <v>1307000000</v>
      </c>
      <c r="R27" s="1290">
        <v>1895000000</v>
      </c>
      <c r="S27" s="2525">
        <v>2798000000</v>
      </c>
      <c r="T27" s="2525">
        <v>3261000000</v>
      </c>
      <c r="U27" s="2525">
        <v>3381000000</v>
      </c>
      <c r="V27" s="2525">
        <v>2586000000</v>
      </c>
      <c r="W27" s="2525">
        <v>2541000000</v>
      </c>
      <c r="X27" s="2525">
        <v>2612000000</v>
      </c>
      <c r="Y27" s="2525">
        <v>2605000000</v>
      </c>
      <c r="Z27" s="2525">
        <v>2655000000</v>
      </c>
      <c r="AA27" s="2525">
        <v>2738000000</v>
      </c>
      <c r="AB27" s="2527"/>
      <c r="AC27" s="2517"/>
      <c r="AD27" s="2517"/>
      <c r="AE27" s="2521"/>
      <c r="AF27" s="2519"/>
      <c r="AG27" s="2519"/>
      <c r="AH27" s="2519"/>
      <c r="AI27" s="2519"/>
      <c r="AJ27" s="2519"/>
      <c r="AK27" s="2519"/>
      <c r="AL27" s="2519"/>
      <c r="AM27" s="2519"/>
      <c r="AN27" s="2519"/>
      <c r="AO27" s="2519"/>
      <c r="AP27" s="2520"/>
      <c r="AQ27" s="2520"/>
      <c r="AR27" s="2520"/>
      <c r="AS27" s="2520"/>
      <c r="AT27" s="2520"/>
      <c r="AU27" s="2520"/>
      <c r="AV27" s="2520"/>
      <c r="AW27" s="2520"/>
      <c r="AX27" s="2520"/>
      <c r="AY27" s="2463"/>
    </row>
    <row r="28" spans="1:51">
      <c r="A28" s="1279" t="s">
        <v>280</v>
      </c>
      <c r="B28" s="1279" t="s">
        <v>280</v>
      </c>
      <c r="C28" s="1277" t="s">
        <v>211</v>
      </c>
      <c r="D28" s="1290">
        <v>60200000</v>
      </c>
      <c r="E28" s="1290">
        <v>68700000</v>
      </c>
      <c r="F28" s="1290">
        <v>84000000</v>
      </c>
      <c r="G28" s="1290">
        <v>163400000</v>
      </c>
      <c r="H28" s="1290">
        <v>234600000</v>
      </c>
      <c r="I28" s="1290">
        <v>240800000</v>
      </c>
      <c r="J28" s="1290">
        <v>232000000</v>
      </c>
      <c r="K28" s="1290">
        <v>231000000</v>
      </c>
      <c r="L28" s="1290">
        <v>154000000</v>
      </c>
      <c r="M28" s="1290">
        <v>153000000</v>
      </c>
      <c r="N28" s="1290">
        <v>137000000</v>
      </c>
      <c r="O28" s="1290">
        <v>183000000</v>
      </c>
      <c r="P28" s="1290">
        <v>202000000</v>
      </c>
      <c r="Q28" s="1290">
        <v>250000000</v>
      </c>
      <c r="R28" s="1290">
        <v>213000000</v>
      </c>
      <c r="S28" s="2525">
        <v>499000000</v>
      </c>
      <c r="T28" s="2525">
        <v>456000000</v>
      </c>
      <c r="U28" s="2525">
        <v>241000000</v>
      </c>
      <c r="V28" s="2525">
        <v>465000000</v>
      </c>
      <c r="W28" s="2525">
        <v>508000000</v>
      </c>
      <c r="X28" s="2525">
        <v>563000000</v>
      </c>
      <c r="Y28" s="2525">
        <v>604000000</v>
      </c>
      <c r="Z28" s="2525">
        <v>650000000</v>
      </c>
      <c r="AA28" s="2525">
        <v>693000000</v>
      </c>
      <c r="AB28" s="2527"/>
      <c r="AC28" s="2517"/>
      <c r="AD28" s="2517"/>
      <c r="AE28" s="2518"/>
      <c r="AF28" s="2519"/>
      <c r="AG28" s="2519"/>
      <c r="AH28" s="2519"/>
      <c r="AI28" s="2519"/>
      <c r="AJ28" s="2519"/>
      <c r="AK28" s="2519"/>
      <c r="AL28" s="2519"/>
      <c r="AM28" s="2519"/>
      <c r="AN28" s="2519"/>
      <c r="AO28" s="2519"/>
      <c r="AP28" s="2520"/>
      <c r="AQ28" s="2520"/>
      <c r="AR28" s="2520"/>
      <c r="AS28" s="2520"/>
      <c r="AT28" s="2520"/>
      <c r="AU28" s="2520"/>
      <c r="AV28" s="2520"/>
      <c r="AW28" s="2520"/>
      <c r="AX28" s="2520"/>
      <c r="AY28" s="2463"/>
    </row>
    <row r="29" spans="1:51">
      <c r="A29" s="1279" t="s">
        <v>209</v>
      </c>
      <c r="B29" s="1279" t="s">
        <v>209</v>
      </c>
      <c r="C29" s="1277" t="s">
        <v>211</v>
      </c>
      <c r="D29" s="1290">
        <v>187100000</v>
      </c>
      <c r="E29" s="1290">
        <v>225000000</v>
      </c>
      <c r="F29" s="1290">
        <v>286600000</v>
      </c>
      <c r="G29" s="1290">
        <v>444200000</v>
      </c>
      <c r="H29" s="1290">
        <v>633300000</v>
      </c>
      <c r="I29" s="1290">
        <v>890100000</v>
      </c>
      <c r="J29" s="1290">
        <v>689000000</v>
      </c>
      <c r="K29" s="1290">
        <v>584000000</v>
      </c>
      <c r="L29" s="1290">
        <v>560000000</v>
      </c>
      <c r="M29" s="1290">
        <v>588000000</v>
      </c>
      <c r="N29" s="1290">
        <v>629000000</v>
      </c>
      <c r="O29" s="1290">
        <v>785000000</v>
      </c>
      <c r="P29" s="1290">
        <v>877000000</v>
      </c>
      <c r="Q29" s="1290">
        <v>1057000000</v>
      </c>
      <c r="R29" s="1290">
        <v>1682000000</v>
      </c>
      <c r="S29" s="2525">
        <v>2299000000</v>
      </c>
      <c r="T29" s="2525">
        <v>2805000000</v>
      </c>
      <c r="U29" s="2525">
        <v>3139000000</v>
      </c>
      <c r="V29" s="2525">
        <v>2121000000</v>
      </c>
      <c r="W29" s="2525">
        <v>2033000000</v>
      </c>
      <c r="X29" s="2525">
        <v>2049000000</v>
      </c>
      <c r="Y29" s="2525">
        <v>2001000000</v>
      </c>
      <c r="Z29" s="2525">
        <v>2006000000</v>
      </c>
      <c r="AA29" s="2525">
        <v>2045000000</v>
      </c>
      <c r="AB29" s="2527"/>
      <c r="AC29" s="2517"/>
      <c r="AD29" s="2517"/>
      <c r="AE29" s="2521"/>
      <c r="AF29" s="2519"/>
      <c r="AG29" s="2519"/>
      <c r="AH29" s="2519"/>
      <c r="AI29" s="2519"/>
      <c r="AJ29" s="2519"/>
      <c r="AK29" s="2519"/>
      <c r="AL29" s="2519"/>
      <c r="AM29" s="2519"/>
      <c r="AN29" s="2519"/>
      <c r="AO29" s="2519"/>
      <c r="AP29" s="2520"/>
      <c r="AQ29" s="2520"/>
      <c r="AR29" s="2520"/>
      <c r="AS29" s="2520"/>
      <c r="AT29" s="2520"/>
      <c r="AU29" s="2520"/>
      <c r="AV29" s="2520"/>
      <c r="AW29" s="2520"/>
      <c r="AX29" s="2520"/>
      <c r="AY29" s="2463"/>
    </row>
    <row r="30" spans="1:51">
      <c r="A30" s="1275" t="s">
        <v>215</v>
      </c>
      <c r="B30" s="1278" t="s">
        <v>215</v>
      </c>
      <c r="C30" s="1277" t="s">
        <v>81</v>
      </c>
      <c r="D30" s="1290"/>
      <c r="E30" s="1290"/>
      <c r="F30" s="1290"/>
      <c r="G30" s="1290"/>
      <c r="H30" s="1290"/>
      <c r="I30" s="1290"/>
      <c r="J30" s="1290"/>
      <c r="K30" s="1290"/>
      <c r="L30" s="1290"/>
      <c r="M30" s="1290"/>
      <c r="N30" s="1290">
        <v>561000000</v>
      </c>
      <c r="O30" s="1290">
        <v>646000000</v>
      </c>
      <c r="P30" s="1290">
        <v>645000000</v>
      </c>
      <c r="Q30" s="1290">
        <v>1246000000</v>
      </c>
      <c r="R30" s="1290">
        <v>1328000000</v>
      </c>
      <c r="S30" s="2525">
        <v>2405000000</v>
      </c>
      <c r="T30" s="2525">
        <v>1752000000</v>
      </c>
      <c r="U30" s="2525">
        <v>1700000000</v>
      </c>
      <c r="V30" s="2525">
        <v>1965000000</v>
      </c>
      <c r="W30" s="2525">
        <v>2158000000</v>
      </c>
      <c r="X30" s="2525">
        <v>2442000000</v>
      </c>
      <c r="Y30" s="2525">
        <v>2747000000</v>
      </c>
      <c r="Z30" s="2525">
        <v>3067000000</v>
      </c>
      <c r="AA30" s="2525">
        <v>3303000000</v>
      </c>
      <c r="AB30" s="2527"/>
      <c r="AC30" s="2517"/>
      <c r="AD30" s="2517"/>
      <c r="AE30" s="2521"/>
      <c r="AF30" s="2519"/>
      <c r="AG30" s="2519"/>
      <c r="AH30" s="2519"/>
      <c r="AI30" s="2519"/>
      <c r="AJ30" s="2519"/>
      <c r="AK30" s="2519"/>
      <c r="AL30" s="2519"/>
      <c r="AM30" s="2519"/>
      <c r="AN30" s="2519"/>
      <c r="AO30" s="2519"/>
      <c r="AP30" s="2520"/>
      <c r="AQ30" s="2520"/>
      <c r="AR30" s="2520"/>
      <c r="AS30" s="2520"/>
      <c r="AT30" s="2520"/>
      <c r="AU30" s="2520"/>
      <c r="AV30" s="2520"/>
      <c r="AW30" s="2520"/>
      <c r="AX30" s="2520"/>
      <c r="AY30" s="2463"/>
    </row>
    <row r="31" spans="1:51">
      <c r="A31" s="1278" t="s">
        <v>2630</v>
      </c>
      <c r="B31" s="1278" t="s">
        <v>2631</v>
      </c>
      <c r="C31" s="1277" t="s">
        <v>81</v>
      </c>
      <c r="D31" s="1290">
        <v>0</v>
      </c>
      <c r="E31" s="1290">
        <v>68000000</v>
      </c>
      <c r="F31" s="1290">
        <v>39900000</v>
      </c>
      <c r="G31" s="1290">
        <v>52300000</v>
      </c>
      <c r="H31" s="1290">
        <v>66599999.999999993</v>
      </c>
      <c r="I31" s="1290">
        <v>0</v>
      </c>
      <c r="J31" s="1291"/>
      <c r="K31" s="1291"/>
      <c r="L31" s="1291"/>
      <c r="M31" s="1291"/>
      <c r="N31" s="1291"/>
      <c r="O31" s="1291"/>
      <c r="P31" s="1291"/>
      <c r="Q31" s="1291"/>
      <c r="R31" s="1291"/>
      <c r="S31" s="2525"/>
      <c r="T31" s="2525"/>
      <c r="U31" s="2525"/>
      <c r="V31" s="2525"/>
      <c r="W31" s="2525"/>
      <c r="X31" s="2525"/>
      <c r="Y31" s="2525"/>
      <c r="Z31" s="2525"/>
      <c r="AA31" s="2525"/>
      <c r="AB31" s="2527"/>
      <c r="AC31" s="2517"/>
      <c r="AD31" s="2517"/>
      <c r="AE31" s="2521"/>
      <c r="AF31" s="2519"/>
      <c r="AG31" s="2519"/>
      <c r="AH31" s="2519"/>
      <c r="AI31" s="2519"/>
      <c r="AJ31" s="2519"/>
      <c r="AK31" s="2519"/>
      <c r="AL31" s="2519"/>
      <c r="AM31" s="2519"/>
      <c r="AN31" s="2519"/>
      <c r="AO31" s="2519"/>
      <c r="AP31" s="2520"/>
      <c r="AQ31" s="2520"/>
      <c r="AR31" s="2520"/>
      <c r="AS31" s="2463"/>
      <c r="AT31" s="2463"/>
      <c r="AU31" s="2463"/>
      <c r="AV31" s="2463"/>
      <c r="AW31" s="2463"/>
      <c r="AX31" s="2463"/>
      <c r="AY31" s="2463"/>
    </row>
    <row r="32" spans="1:51">
      <c r="A32" s="1282" t="s">
        <v>237</v>
      </c>
      <c r="B32" s="1276" t="s">
        <v>2632</v>
      </c>
      <c r="C32" s="1277" t="s">
        <v>75</v>
      </c>
      <c r="D32" s="1290">
        <v>245600000</v>
      </c>
      <c r="E32" s="1290">
        <v>285400000</v>
      </c>
      <c r="F32" s="1290">
        <v>568400000</v>
      </c>
      <c r="G32" s="1290">
        <v>608300000</v>
      </c>
      <c r="H32" s="1290">
        <v>1733500000</v>
      </c>
      <c r="I32" s="1290">
        <v>1449600000</v>
      </c>
      <c r="J32" s="1290">
        <v>1564000000</v>
      </c>
      <c r="K32" s="1290">
        <v>973000000</v>
      </c>
      <c r="L32" s="1290">
        <v>857000000</v>
      </c>
      <c r="M32" s="1290">
        <v>1924000000</v>
      </c>
      <c r="N32" s="1290">
        <v>2344000000</v>
      </c>
      <c r="O32" s="1290">
        <v>2292000000</v>
      </c>
      <c r="P32" s="1290">
        <v>3607000000</v>
      </c>
      <c r="Q32" s="1290">
        <v>2302000000</v>
      </c>
      <c r="R32" s="1290">
        <v>3891000000</v>
      </c>
      <c r="S32" s="2525">
        <v>2374000000</v>
      </c>
      <c r="T32" s="2525">
        <v>2709000000</v>
      </c>
      <c r="U32" s="2525">
        <v>7356000000</v>
      </c>
      <c r="V32" s="2525">
        <v>8418000000</v>
      </c>
      <c r="W32" s="2525">
        <v>9398000000</v>
      </c>
      <c r="X32" s="2525">
        <v>11341000000</v>
      </c>
      <c r="Y32" s="2525">
        <v>12206000000</v>
      </c>
      <c r="Z32" s="2525">
        <v>13242000000</v>
      </c>
      <c r="AA32" s="2525">
        <v>13043000000</v>
      </c>
      <c r="AB32" s="2527"/>
      <c r="AC32" s="2517"/>
      <c r="AD32" s="2517"/>
      <c r="AE32" s="2521"/>
      <c r="AF32" s="2519"/>
      <c r="AG32" s="2519"/>
      <c r="AH32" s="2519"/>
      <c r="AI32" s="2519"/>
      <c r="AJ32" s="2519"/>
      <c r="AK32" s="2519"/>
      <c r="AL32" s="2519"/>
      <c r="AM32" s="2519"/>
      <c r="AN32" s="2519"/>
      <c r="AO32" s="2519"/>
      <c r="AP32" s="2520"/>
      <c r="AQ32" s="2520"/>
      <c r="AR32" s="2520"/>
      <c r="AS32" s="2520"/>
      <c r="AT32" s="2520"/>
      <c r="AU32" s="2520"/>
      <c r="AV32" s="2520"/>
      <c r="AW32" s="2520"/>
      <c r="AX32" s="2520"/>
      <c r="AY32" s="2463"/>
    </row>
    <row r="33" spans="1:51">
      <c r="A33" s="1271" t="s">
        <v>76</v>
      </c>
      <c r="B33" s="1276" t="s">
        <v>2633</v>
      </c>
      <c r="C33" s="1277"/>
      <c r="D33" s="1291"/>
      <c r="E33" s="1291"/>
      <c r="F33" s="1291"/>
      <c r="G33" s="1291"/>
      <c r="H33" s="1291"/>
      <c r="I33" s="1291"/>
      <c r="J33" s="1291"/>
      <c r="K33" s="1291"/>
      <c r="L33" s="1291"/>
      <c r="M33" s="1291"/>
      <c r="N33" s="1290">
        <v>2344000000</v>
      </c>
      <c r="O33" s="1290">
        <v>2292000000</v>
      </c>
      <c r="P33" s="1290">
        <v>3607000000</v>
      </c>
      <c r="Q33" s="1290">
        <v>2302000000</v>
      </c>
      <c r="R33" s="1290">
        <v>3891000000</v>
      </c>
      <c r="S33" s="2525">
        <v>2374000000</v>
      </c>
      <c r="T33" s="2525">
        <v>2709000000</v>
      </c>
      <c r="U33" s="2525">
        <v>7356000000</v>
      </c>
      <c r="V33" s="2525">
        <v>8418000000</v>
      </c>
      <c r="W33" s="2525">
        <v>9398000000</v>
      </c>
      <c r="X33" s="2525">
        <v>11341000000</v>
      </c>
      <c r="Y33" s="2525">
        <v>12206000000</v>
      </c>
      <c r="Z33" s="2525">
        <v>13242000000</v>
      </c>
      <c r="AA33" s="2525">
        <v>13043000000</v>
      </c>
      <c r="AB33" s="2527"/>
      <c r="AC33" s="2517"/>
      <c r="AD33" s="2517"/>
      <c r="AE33" s="2521"/>
      <c r="AF33" s="2519"/>
      <c r="AG33" s="2519"/>
      <c r="AH33" s="2519"/>
      <c r="AI33" s="2519"/>
      <c r="AJ33" s="2519"/>
      <c r="AK33" s="2519"/>
      <c r="AL33" s="2519"/>
      <c r="AM33" s="2519"/>
      <c r="AN33" s="2519"/>
      <c r="AO33" s="2519"/>
      <c r="AP33" s="2520"/>
      <c r="AQ33" s="2520"/>
      <c r="AR33" s="2520"/>
      <c r="AS33" s="2520"/>
      <c r="AT33" s="2520"/>
      <c r="AU33" s="2520"/>
      <c r="AV33" s="2520"/>
      <c r="AW33" s="2520"/>
      <c r="AX33" s="2520"/>
      <c r="AY33" s="2463"/>
    </row>
    <row r="34" spans="1:51">
      <c r="A34" s="1275" t="s">
        <v>395</v>
      </c>
      <c r="B34" s="1278" t="s">
        <v>2634</v>
      </c>
      <c r="C34" s="1277" t="s">
        <v>95</v>
      </c>
      <c r="D34" s="1290">
        <v>196700000</v>
      </c>
      <c r="E34" s="1290">
        <v>224500000</v>
      </c>
      <c r="F34" s="1290">
        <v>478300000</v>
      </c>
      <c r="G34" s="1290">
        <v>472700000</v>
      </c>
      <c r="H34" s="1290">
        <v>1517000000</v>
      </c>
      <c r="I34" s="1290">
        <v>1341300000</v>
      </c>
      <c r="J34" s="1290">
        <v>1487000000</v>
      </c>
      <c r="K34" s="1290">
        <v>780000000</v>
      </c>
      <c r="L34" s="1290">
        <v>505000000</v>
      </c>
      <c r="M34" s="1290">
        <v>1338000000</v>
      </c>
      <c r="N34" s="1290">
        <v>1744000000</v>
      </c>
      <c r="O34" s="1290">
        <v>1985000000</v>
      </c>
      <c r="P34" s="1290">
        <v>3308000000</v>
      </c>
      <c r="Q34" s="1290">
        <v>1823000000</v>
      </c>
      <c r="R34" s="1290">
        <v>3232000000</v>
      </c>
      <c r="S34" s="2525">
        <v>1699000000</v>
      </c>
      <c r="T34" s="2525">
        <v>1954000000</v>
      </c>
      <c r="U34" s="2525">
        <v>6565000000</v>
      </c>
      <c r="V34" s="2525">
        <v>7452000000</v>
      </c>
      <c r="W34" s="2525">
        <v>8080000000</v>
      </c>
      <c r="X34" s="2525">
        <v>9665000000</v>
      </c>
      <c r="Y34" s="2525">
        <v>10102000000</v>
      </c>
      <c r="Z34" s="2525">
        <v>10882000000</v>
      </c>
      <c r="AA34" s="2525">
        <v>10455000000</v>
      </c>
      <c r="AB34" s="2527"/>
      <c r="AC34" s="2517"/>
      <c r="AD34" s="2517"/>
      <c r="AE34" s="2521"/>
      <c r="AF34" s="2519"/>
      <c r="AG34" s="2519"/>
      <c r="AH34" s="2519"/>
      <c r="AI34" s="2519"/>
      <c r="AJ34" s="2519"/>
      <c r="AK34" s="2519"/>
      <c r="AL34" s="2519"/>
      <c r="AM34" s="2519"/>
      <c r="AN34" s="2519"/>
      <c r="AO34" s="2519"/>
      <c r="AP34" s="2520"/>
      <c r="AQ34" s="2520"/>
      <c r="AR34" s="2520"/>
      <c r="AS34" s="2520"/>
      <c r="AT34" s="2520"/>
      <c r="AU34" s="2520"/>
      <c r="AV34" s="2520"/>
      <c r="AW34" s="2520"/>
      <c r="AX34" s="2520"/>
      <c r="AY34" s="2463"/>
    </row>
    <row r="35" spans="1:51">
      <c r="A35" s="1275" t="s">
        <v>239</v>
      </c>
      <c r="B35" s="1278" t="s">
        <v>2635</v>
      </c>
      <c r="C35" s="1277" t="s">
        <v>95</v>
      </c>
      <c r="D35" s="1290">
        <v>48900000</v>
      </c>
      <c r="E35" s="1290">
        <v>60900000</v>
      </c>
      <c r="F35" s="1290">
        <v>57700000</v>
      </c>
      <c r="G35" s="1290">
        <v>57200000</v>
      </c>
      <c r="H35" s="1290">
        <v>88800000</v>
      </c>
      <c r="I35" s="1290">
        <v>106300000</v>
      </c>
      <c r="J35" s="1290">
        <v>77000000</v>
      </c>
      <c r="K35" s="1290">
        <v>192000000</v>
      </c>
      <c r="L35" s="1290">
        <v>352000000</v>
      </c>
      <c r="M35" s="1290">
        <v>586000000</v>
      </c>
      <c r="N35" s="1290">
        <v>599000000</v>
      </c>
      <c r="O35" s="1290">
        <v>307000000</v>
      </c>
      <c r="P35" s="1290">
        <v>299000000</v>
      </c>
      <c r="Q35" s="1290">
        <v>479000000</v>
      </c>
      <c r="R35" s="1290">
        <v>659000000</v>
      </c>
      <c r="S35" s="2525">
        <v>675000000</v>
      </c>
      <c r="T35" s="2525">
        <v>755000000</v>
      </c>
      <c r="U35" s="2525">
        <v>791000000</v>
      </c>
      <c r="V35" s="2525">
        <v>965000000</v>
      </c>
      <c r="W35" s="2525">
        <v>1319000000</v>
      </c>
      <c r="X35" s="2525">
        <v>1677000000</v>
      </c>
      <c r="Y35" s="2525">
        <v>2104000000</v>
      </c>
      <c r="Z35" s="2525">
        <v>2360000000</v>
      </c>
      <c r="AA35" s="2525">
        <v>2587000000</v>
      </c>
      <c r="AB35" s="2527"/>
      <c r="AC35" s="2517"/>
      <c r="AD35" s="2517"/>
      <c r="AE35" s="2518"/>
      <c r="AF35" s="2519"/>
      <c r="AG35" s="2519"/>
      <c r="AH35" s="2519"/>
      <c r="AI35" s="2519"/>
      <c r="AJ35" s="2519"/>
      <c r="AK35" s="2519"/>
      <c r="AL35" s="2519"/>
      <c r="AM35" s="2519"/>
      <c r="AN35" s="2519"/>
      <c r="AO35" s="2519"/>
      <c r="AP35" s="2520"/>
      <c r="AQ35" s="2520"/>
      <c r="AR35" s="2520"/>
      <c r="AS35" s="2520"/>
      <c r="AT35" s="2520"/>
      <c r="AU35" s="2520"/>
      <c r="AV35" s="2520"/>
      <c r="AW35" s="2520"/>
      <c r="AX35" s="2520"/>
      <c r="AY35" s="2463"/>
    </row>
    <row r="36" spans="1:51">
      <c r="A36" s="1278" t="s">
        <v>2630</v>
      </c>
      <c r="B36" s="1278" t="s">
        <v>2631</v>
      </c>
      <c r="C36" s="1277" t="s">
        <v>95</v>
      </c>
      <c r="D36" s="1290">
        <v>0</v>
      </c>
      <c r="E36" s="1290">
        <v>0</v>
      </c>
      <c r="F36" s="1290">
        <v>32400000</v>
      </c>
      <c r="G36" s="1290">
        <v>78400000</v>
      </c>
      <c r="H36" s="1290">
        <v>127700000</v>
      </c>
      <c r="I36" s="1290">
        <v>2000000</v>
      </c>
      <c r="J36" s="1290"/>
      <c r="K36" s="1290"/>
      <c r="L36" s="1290"/>
      <c r="M36" s="1290"/>
      <c r="N36" s="1290"/>
      <c r="O36" s="1290"/>
      <c r="P36" s="1290"/>
      <c r="Q36" s="1290"/>
      <c r="R36" s="1290"/>
      <c r="S36" s="2525"/>
      <c r="T36" s="2525"/>
      <c r="U36" s="2525"/>
      <c r="V36" s="2525"/>
      <c r="W36" s="2525"/>
      <c r="X36" s="2525"/>
      <c r="Y36" s="2525"/>
      <c r="Z36" s="2525"/>
      <c r="AA36" s="2525"/>
      <c r="AB36" s="2527"/>
      <c r="AC36" s="2517"/>
      <c r="AD36" s="2517"/>
      <c r="AE36" s="2518"/>
      <c r="AF36" s="2519"/>
      <c r="AG36" s="2519"/>
      <c r="AH36" s="2519"/>
      <c r="AI36" s="2519"/>
      <c r="AJ36" s="2519"/>
      <c r="AK36" s="2519"/>
      <c r="AL36" s="2519"/>
      <c r="AM36" s="2519"/>
      <c r="AN36" s="2519"/>
      <c r="AO36" s="2519"/>
      <c r="AP36" s="2520"/>
      <c r="AQ36" s="2520"/>
      <c r="AR36" s="2520"/>
      <c r="AS36" s="2463"/>
      <c r="AT36" s="2463"/>
      <c r="AU36" s="2463"/>
      <c r="AV36" s="2463"/>
      <c r="AW36" s="2463"/>
      <c r="AX36" s="2463"/>
      <c r="AY36" s="2463"/>
    </row>
    <row r="37" spans="1:51">
      <c r="A37" s="1278" t="s">
        <v>2636</v>
      </c>
      <c r="B37" s="1278" t="s">
        <v>2637</v>
      </c>
      <c r="C37" s="1277" t="s">
        <v>75</v>
      </c>
      <c r="D37" s="1290">
        <v>0</v>
      </c>
      <c r="E37" s="1290">
        <v>447100000</v>
      </c>
      <c r="F37" s="1290">
        <v>0</v>
      </c>
      <c r="G37" s="1290">
        <v>0</v>
      </c>
      <c r="H37" s="1290">
        <v>4500000</v>
      </c>
      <c r="I37" s="1290">
        <v>121500000</v>
      </c>
      <c r="J37" s="1290"/>
      <c r="K37" s="1290"/>
      <c r="L37" s="1290"/>
      <c r="M37" s="1290"/>
      <c r="N37" s="1290"/>
      <c r="O37" s="1290"/>
      <c r="P37" s="1290"/>
      <c r="Q37" s="1290"/>
      <c r="R37" s="1290"/>
      <c r="S37" s="2525"/>
      <c r="T37" s="2525"/>
      <c r="U37" s="2525"/>
      <c r="V37" s="2525"/>
      <c r="W37" s="2525"/>
      <c r="X37" s="2525"/>
      <c r="Y37" s="2525"/>
      <c r="Z37" s="2525"/>
      <c r="AA37" s="2525"/>
      <c r="AB37" s="2527"/>
      <c r="AC37" s="2517"/>
      <c r="AD37" s="2517"/>
      <c r="AE37" s="2518"/>
      <c r="AF37" s="2519"/>
      <c r="AG37" s="2519"/>
      <c r="AH37" s="2519"/>
      <c r="AI37" s="2519"/>
      <c r="AJ37" s="2519"/>
      <c r="AK37" s="2519"/>
      <c r="AL37" s="2519"/>
      <c r="AM37" s="2519"/>
      <c r="AN37" s="2519"/>
      <c r="AO37" s="2519"/>
      <c r="AP37" s="2520"/>
      <c r="AQ37" s="2520"/>
      <c r="AR37" s="2520"/>
      <c r="AS37" s="2463"/>
      <c r="AT37" s="2463"/>
      <c r="AU37" s="2463"/>
      <c r="AV37" s="2463"/>
      <c r="AW37" s="2463"/>
      <c r="AX37" s="2463"/>
      <c r="AY37" s="2463"/>
    </row>
    <row r="38" spans="1:51">
      <c r="A38" s="1276" t="s">
        <v>612</v>
      </c>
      <c r="B38" s="1276" t="s">
        <v>588</v>
      </c>
      <c r="C38" s="1277" t="s">
        <v>75</v>
      </c>
      <c r="D38" s="2740">
        <v>0</v>
      </c>
      <c r="E38" s="1290">
        <v>67800000</v>
      </c>
      <c r="F38" s="2740">
        <v>0</v>
      </c>
      <c r="G38" s="2740">
        <v>0</v>
      </c>
      <c r="H38" s="2740">
        <v>0</v>
      </c>
      <c r="I38" s="2740">
        <v>0</v>
      </c>
      <c r="J38" s="1290">
        <v>63000000</v>
      </c>
      <c r="K38" s="1290">
        <v>76000000</v>
      </c>
      <c r="L38" s="1290">
        <v>96000000</v>
      </c>
      <c r="M38" s="1290">
        <v>138000000</v>
      </c>
      <c r="N38" s="1290"/>
      <c r="O38" s="1290"/>
      <c r="P38" s="1290"/>
      <c r="Q38" s="1290"/>
      <c r="R38" s="1290"/>
      <c r="S38" s="2525"/>
      <c r="T38" s="2525"/>
      <c r="U38" s="2525"/>
      <c r="V38" s="2525"/>
      <c r="W38" s="2525"/>
      <c r="X38" s="2525"/>
      <c r="Y38" s="2525"/>
      <c r="Z38" s="2525"/>
      <c r="AA38" s="2525"/>
      <c r="AB38" s="2527"/>
      <c r="AC38" s="2517"/>
      <c r="AD38" s="2517"/>
      <c r="AE38" s="2518"/>
      <c r="AF38" s="2519"/>
      <c r="AG38" s="2519"/>
      <c r="AH38" s="2519"/>
      <c r="AI38" s="2519"/>
      <c r="AJ38" s="2519"/>
      <c r="AK38" s="2519"/>
      <c r="AL38" s="2519"/>
      <c r="AM38" s="2519"/>
      <c r="AN38" s="2519"/>
      <c r="AO38" s="2519"/>
      <c r="AP38" s="2520"/>
      <c r="AQ38" s="2520"/>
      <c r="AR38" s="2520"/>
      <c r="AS38" s="2463"/>
      <c r="AT38" s="2463"/>
      <c r="AU38" s="2463"/>
      <c r="AV38" s="2463"/>
      <c r="AW38" s="2463"/>
      <c r="AX38" s="2463"/>
      <c r="AY38" s="2463"/>
    </row>
    <row r="39" spans="1:51">
      <c r="A39" s="1271" t="s">
        <v>76</v>
      </c>
      <c r="B39" s="1276" t="s">
        <v>2638</v>
      </c>
      <c r="C39" s="1277"/>
      <c r="D39" s="1291"/>
      <c r="E39" s="1291"/>
      <c r="F39" s="1291"/>
      <c r="G39" s="1291"/>
      <c r="H39" s="1291"/>
      <c r="I39" s="1291"/>
      <c r="J39" s="1290">
        <v>-1008000000</v>
      </c>
      <c r="K39" s="1290">
        <v>28000000</v>
      </c>
      <c r="L39" s="1290">
        <v>-394000000</v>
      </c>
      <c r="M39" s="1290">
        <v>-774000000</v>
      </c>
      <c r="N39" s="1290"/>
      <c r="O39" s="1290"/>
      <c r="P39" s="1290"/>
      <c r="Q39" s="1290"/>
      <c r="R39" s="1290"/>
      <c r="S39" s="2525"/>
      <c r="T39" s="2525"/>
      <c r="U39" s="2525"/>
      <c r="V39" s="2525"/>
      <c r="W39" s="2525"/>
      <c r="X39" s="2525"/>
      <c r="Y39" s="2525"/>
      <c r="Z39" s="2525"/>
      <c r="AA39" s="2525"/>
      <c r="AB39" s="2527"/>
      <c r="AC39" s="2517"/>
      <c r="AD39" s="2517"/>
      <c r="AE39" s="2518"/>
      <c r="AF39" s="2519"/>
      <c r="AG39" s="2519"/>
      <c r="AH39" s="2519"/>
      <c r="AI39" s="2519"/>
      <c r="AJ39" s="2519"/>
      <c r="AK39" s="2519"/>
      <c r="AL39" s="2519"/>
      <c r="AM39" s="2519"/>
      <c r="AN39" s="2519"/>
      <c r="AO39" s="2519"/>
      <c r="AP39" s="2520"/>
      <c r="AQ39" s="2520"/>
      <c r="AR39" s="2520"/>
      <c r="AS39" s="2463"/>
      <c r="AT39" s="2463"/>
      <c r="AU39" s="2463"/>
      <c r="AV39" s="2463"/>
      <c r="AW39" s="2463"/>
      <c r="AX39" s="2463"/>
      <c r="AY39" s="2463"/>
    </row>
    <row r="40" spans="1:51">
      <c r="A40" s="1271" t="s">
        <v>76</v>
      </c>
      <c r="B40" s="1276" t="s">
        <v>2639</v>
      </c>
      <c r="C40" s="1276"/>
      <c r="D40" s="1290">
        <v>-98700000</v>
      </c>
      <c r="E40" s="1290">
        <v>-946300000</v>
      </c>
      <c r="F40" s="1290">
        <v>-324200000</v>
      </c>
      <c r="G40" s="1290">
        <v>-596000000</v>
      </c>
      <c r="H40" s="1290">
        <v>-748000000</v>
      </c>
      <c r="I40" s="1290">
        <v>-1209800000</v>
      </c>
      <c r="J40" s="1290">
        <v>-1112000000</v>
      </c>
      <c r="K40" s="1290">
        <v>76000000</v>
      </c>
      <c r="L40" s="1290">
        <v>-405000000</v>
      </c>
      <c r="M40" s="1290">
        <v>-735000000</v>
      </c>
      <c r="N40" s="1290">
        <v>1078000000</v>
      </c>
      <c r="O40" s="1290">
        <v>893000000</v>
      </c>
      <c r="P40" s="1290">
        <v>2328000000</v>
      </c>
      <c r="Q40" s="1290">
        <v>-459000000</v>
      </c>
      <c r="R40" s="1290">
        <v>470000000</v>
      </c>
      <c r="S40" s="2525">
        <v>-775000000</v>
      </c>
      <c r="T40" s="2525">
        <v>-1410000000</v>
      </c>
      <c r="U40" s="2525">
        <v>3612000000</v>
      </c>
      <c r="V40" s="2525">
        <v>6383000000</v>
      </c>
      <c r="W40" s="2525">
        <v>9054000000</v>
      </c>
      <c r="X40" s="2525">
        <v>10135000000</v>
      </c>
      <c r="Y40" s="2525">
        <v>10760000000</v>
      </c>
      <c r="Z40" s="2525">
        <v>11828000000</v>
      </c>
      <c r="AA40" s="2525">
        <v>12314000000</v>
      </c>
      <c r="AB40" s="2527"/>
      <c r="AC40" s="2517"/>
      <c r="AD40" s="2517"/>
      <c r="AE40" s="2521"/>
      <c r="AF40" s="2519"/>
      <c r="AG40" s="2519"/>
      <c r="AH40" s="2519"/>
      <c r="AI40" s="2519"/>
      <c r="AJ40" s="2519"/>
      <c r="AK40" s="2519"/>
      <c r="AL40" s="2519"/>
      <c r="AM40" s="2519"/>
      <c r="AN40" s="2519"/>
      <c r="AO40" s="2519"/>
      <c r="AP40" s="2520"/>
      <c r="AQ40" s="2520"/>
      <c r="AR40" s="2520"/>
      <c r="AS40" s="2520"/>
      <c r="AT40" s="2520"/>
      <c r="AU40" s="2520"/>
      <c r="AV40" s="2520"/>
      <c r="AW40" s="2520"/>
      <c r="AX40" s="2520"/>
      <c r="AY40" s="2463"/>
    </row>
    <row r="41" spans="1:51">
      <c r="A41" s="1271" t="s">
        <v>76</v>
      </c>
      <c r="B41" s="1276" t="s">
        <v>2640</v>
      </c>
      <c r="C41" s="1276"/>
      <c r="D41" s="1290"/>
      <c r="E41" s="1290"/>
      <c r="F41" s="1290"/>
      <c r="G41" s="1290"/>
      <c r="H41" s="1290"/>
      <c r="I41" s="1290"/>
      <c r="J41" s="1290"/>
      <c r="K41" s="1290"/>
      <c r="L41" s="1290"/>
      <c r="M41" s="1290"/>
      <c r="N41" s="1290">
        <v>-1266000000</v>
      </c>
      <c r="O41" s="1290">
        <v>-1252000000</v>
      </c>
      <c r="P41" s="1290">
        <v>-1278000000</v>
      </c>
      <c r="Q41" s="1290">
        <v>-2760000000</v>
      </c>
      <c r="R41" s="1290">
        <v>-3421000000</v>
      </c>
      <c r="S41" s="2525">
        <v>-3149000000</v>
      </c>
      <c r="T41" s="2525">
        <v>-4119000000</v>
      </c>
      <c r="U41" s="2525">
        <v>-3744000000</v>
      </c>
      <c r="V41" s="2525">
        <v>-2035000000</v>
      </c>
      <c r="W41" s="2525">
        <v>-344000000</v>
      </c>
      <c r="X41" s="2525">
        <v>-1207000000</v>
      </c>
      <c r="Y41" s="2525">
        <v>-1446000000</v>
      </c>
      <c r="Z41" s="2525">
        <v>-1414000000</v>
      </c>
      <c r="AA41" s="2525">
        <v>-729000000</v>
      </c>
      <c r="AB41" s="2527"/>
      <c r="AC41" s="2517"/>
      <c r="AD41" s="2517"/>
      <c r="AE41" s="2518"/>
      <c r="AF41" s="2519"/>
      <c r="AG41" s="2519"/>
      <c r="AH41" s="2519"/>
      <c r="AI41" s="2519"/>
      <c r="AJ41" s="2519"/>
      <c r="AK41" s="2519"/>
      <c r="AL41" s="2519"/>
      <c r="AM41" s="2519"/>
      <c r="AN41" s="2519"/>
      <c r="AO41" s="2519"/>
      <c r="AP41" s="2520"/>
      <c r="AQ41" s="2520"/>
      <c r="AR41" s="2520"/>
      <c r="AS41" s="2520"/>
      <c r="AT41" s="2520"/>
      <c r="AU41" s="2520"/>
      <c r="AV41" s="2520"/>
      <c r="AW41" s="2520"/>
      <c r="AX41" s="2520"/>
      <c r="AY41" s="2463"/>
    </row>
    <row r="42" spans="1:51">
      <c r="A42" s="1271" t="s">
        <v>76</v>
      </c>
      <c r="B42" s="1276" t="s">
        <v>2641</v>
      </c>
      <c r="C42" s="1276" t="s">
        <v>124</v>
      </c>
      <c r="D42" s="1290"/>
      <c r="E42" s="1290"/>
      <c r="F42" s="1290"/>
      <c r="G42" s="1290"/>
      <c r="H42" s="1290"/>
      <c r="I42" s="1290"/>
      <c r="J42" s="1290"/>
      <c r="K42" s="1290"/>
      <c r="L42" s="1290"/>
      <c r="M42" s="1290"/>
      <c r="N42" s="1290">
        <v>-178000000</v>
      </c>
      <c r="O42" s="1290">
        <v>-56000000</v>
      </c>
      <c r="P42" s="1290">
        <v>-24000000</v>
      </c>
      <c r="Q42" s="1290">
        <v>-26000000</v>
      </c>
      <c r="R42" s="1290">
        <v>-1375000000</v>
      </c>
      <c r="S42" s="2525">
        <v>0</v>
      </c>
      <c r="T42" s="2525">
        <v>6000000</v>
      </c>
      <c r="U42" s="2525">
        <v>15000000</v>
      </c>
      <c r="V42" s="2525">
        <v>0</v>
      </c>
      <c r="W42" s="2525">
        <v>0</v>
      </c>
      <c r="X42" s="2525">
        <v>0</v>
      </c>
      <c r="Y42" s="2525">
        <v>0</v>
      </c>
      <c r="Z42" s="2525">
        <v>0</v>
      </c>
      <c r="AA42" s="2525">
        <v>0</v>
      </c>
      <c r="AB42" s="2527"/>
      <c r="AC42" s="2517"/>
      <c r="AD42" s="2517"/>
      <c r="AE42" s="2518"/>
      <c r="AF42" s="2519"/>
      <c r="AG42" s="2519"/>
      <c r="AH42" s="2519"/>
      <c r="AI42" s="2519"/>
      <c r="AJ42" s="2519"/>
      <c r="AK42" s="2519"/>
      <c r="AL42" s="2519"/>
      <c r="AM42" s="2519"/>
      <c r="AN42" s="2519"/>
      <c r="AO42" s="2519"/>
      <c r="AP42" s="2520"/>
      <c r="AQ42" s="2520"/>
      <c r="AR42" s="2520"/>
      <c r="AS42" s="2520"/>
      <c r="AT42" s="2520"/>
      <c r="AU42" s="2520"/>
      <c r="AV42" s="2520"/>
      <c r="AW42" s="2520"/>
      <c r="AX42" s="2520"/>
      <c r="AY42" s="2463"/>
    </row>
    <row r="43" spans="1:51" s="848" customFormat="1">
      <c r="A43" s="1292" t="s">
        <v>115</v>
      </c>
      <c r="B43" s="1293" t="s">
        <v>115</v>
      </c>
      <c r="C43" s="1293" t="s">
        <v>35</v>
      </c>
      <c r="D43" s="1295">
        <v>98700000</v>
      </c>
      <c r="E43" s="1295">
        <v>946300000</v>
      </c>
      <c r="F43" s="1295">
        <v>324200000</v>
      </c>
      <c r="G43" s="1295">
        <v>596000000</v>
      </c>
      <c r="H43" s="1295">
        <v>748000000</v>
      </c>
      <c r="I43" s="1295">
        <v>1209800000</v>
      </c>
      <c r="J43" s="1295">
        <v>1112000000</v>
      </c>
      <c r="K43" s="1295">
        <v>-76000000</v>
      </c>
      <c r="L43" s="1295">
        <v>405000000</v>
      </c>
      <c r="M43" s="1295">
        <v>735000000</v>
      </c>
      <c r="N43" s="1295">
        <f t="shared" ref="N43:Q43" si="4">N44+N42</f>
        <v>795000000</v>
      </c>
      <c r="O43" s="1295">
        <f t="shared" si="4"/>
        <v>1094000000</v>
      </c>
      <c r="P43" s="1295">
        <f t="shared" si="4"/>
        <v>1237000000</v>
      </c>
      <c r="Q43" s="1295">
        <f t="shared" si="4"/>
        <v>2826000000</v>
      </c>
      <c r="R43" s="1295">
        <f>R44+R42</f>
        <v>3502000000</v>
      </c>
      <c r="S43" s="2524">
        <f>S45+S56</f>
        <v>4660000000</v>
      </c>
      <c r="T43" s="2524">
        <f t="shared" ref="T43:AA43" si="5">T45+T56</f>
        <v>5792000000</v>
      </c>
      <c r="U43" s="2524">
        <f t="shared" si="5"/>
        <v>3490000000</v>
      </c>
      <c r="V43" s="2524">
        <f>V45+V56</f>
        <v>2035000000</v>
      </c>
      <c r="W43" s="2524">
        <f t="shared" si="5"/>
        <v>344000000</v>
      </c>
      <c r="X43" s="2524">
        <f t="shared" si="5"/>
        <v>1207000000</v>
      </c>
      <c r="Y43" s="2524">
        <f t="shared" si="5"/>
        <v>1446000000</v>
      </c>
      <c r="Z43" s="2524">
        <f t="shared" si="5"/>
        <v>1413000000</v>
      </c>
      <c r="AA43" s="2524">
        <f t="shared" si="5"/>
        <v>728000000</v>
      </c>
      <c r="AB43" s="2527"/>
      <c r="AC43" s="2517"/>
      <c r="AD43" s="2517"/>
      <c r="AE43" s="2518"/>
      <c r="AF43" s="2519"/>
      <c r="AG43" s="2519"/>
      <c r="AH43" s="2519"/>
      <c r="AI43" s="2519"/>
      <c r="AJ43" s="2519"/>
      <c r="AK43" s="2519"/>
      <c r="AL43" s="2519"/>
      <c r="AM43" s="2519"/>
      <c r="AN43" s="2519"/>
      <c r="AO43" s="2519"/>
      <c r="AP43" s="2520"/>
      <c r="AQ43" s="2520"/>
      <c r="AR43" s="2520"/>
      <c r="AS43" s="2463"/>
      <c r="AT43" s="2463"/>
      <c r="AU43" s="2463"/>
      <c r="AV43" s="2463"/>
      <c r="AW43" s="2463"/>
      <c r="AX43" s="2463"/>
      <c r="AY43" s="2463"/>
    </row>
    <row r="44" spans="1:51">
      <c r="A44" s="1271" t="s">
        <v>76</v>
      </c>
      <c r="B44" s="1276" t="s">
        <v>2642</v>
      </c>
      <c r="C44" s="1276"/>
      <c r="D44" s="1290"/>
      <c r="E44" s="1290"/>
      <c r="F44" s="1290"/>
      <c r="G44" s="1290"/>
      <c r="H44" s="1290"/>
      <c r="I44" s="1290"/>
      <c r="J44" s="1290"/>
      <c r="K44" s="1290"/>
      <c r="L44" s="1290"/>
      <c r="M44" s="1290"/>
      <c r="N44" s="1290">
        <v>973000000</v>
      </c>
      <c r="O44" s="1290">
        <v>1150000000</v>
      </c>
      <c r="P44" s="1290">
        <v>1261000000</v>
      </c>
      <c r="Q44" s="1290">
        <v>2852000000</v>
      </c>
      <c r="R44" s="1290">
        <v>4877000000</v>
      </c>
      <c r="S44" s="2525">
        <v>4660000000</v>
      </c>
      <c r="T44" s="2525">
        <v>5787000000</v>
      </c>
      <c r="U44" s="2525">
        <v>3287000000</v>
      </c>
      <c r="V44" s="2525">
        <v>2035000000</v>
      </c>
      <c r="W44" s="2525">
        <v>344000000</v>
      </c>
      <c r="X44" s="2525">
        <v>1207000000</v>
      </c>
      <c r="Y44" s="2525">
        <v>1446000000</v>
      </c>
      <c r="Z44" s="2525">
        <v>1414000000</v>
      </c>
      <c r="AA44" s="2525">
        <v>729000000</v>
      </c>
      <c r="AB44" s="2527"/>
      <c r="AC44" s="2517"/>
      <c r="AD44" s="2517"/>
      <c r="AE44" s="2521"/>
      <c r="AF44" s="2519"/>
      <c r="AG44" s="2519"/>
      <c r="AH44" s="2519"/>
      <c r="AI44" s="2519"/>
      <c r="AJ44" s="2519"/>
      <c r="AK44" s="2519"/>
      <c r="AL44" s="2519"/>
      <c r="AM44" s="2519"/>
      <c r="AN44" s="2519"/>
      <c r="AO44" s="2519"/>
      <c r="AP44" s="2520"/>
      <c r="AQ44" s="2520"/>
      <c r="AR44" s="2520"/>
      <c r="AS44" s="2520"/>
      <c r="AT44" s="2520"/>
      <c r="AU44" s="2520"/>
      <c r="AV44" s="2520"/>
      <c r="AW44" s="2520"/>
      <c r="AX44" s="2520"/>
      <c r="AY44" s="2463"/>
    </row>
    <row r="45" spans="1:51">
      <c r="A45" s="1275" t="s">
        <v>120</v>
      </c>
      <c r="B45" s="1276" t="s">
        <v>2643</v>
      </c>
      <c r="C45" s="1277" t="s">
        <v>119</v>
      </c>
      <c r="D45" s="1290">
        <v>144300000</v>
      </c>
      <c r="E45" s="1290">
        <v>969900000</v>
      </c>
      <c r="F45" s="1290">
        <v>183300000</v>
      </c>
      <c r="G45" s="1290">
        <v>536299999.99999994</v>
      </c>
      <c r="H45" s="1290">
        <v>57700000</v>
      </c>
      <c r="I45" s="1290">
        <v>482100000</v>
      </c>
      <c r="J45" s="1290">
        <v>236000000</v>
      </c>
      <c r="K45" s="1290">
        <v>-234000000</v>
      </c>
      <c r="L45" s="1290">
        <v>375000000</v>
      </c>
      <c r="M45" s="1290">
        <v>379000000</v>
      </c>
      <c r="N45" s="1290">
        <f>N46+N42</f>
        <v>408000000</v>
      </c>
      <c r="O45" s="1290">
        <f t="shared" ref="O45:Q45" si="6">O46+O42</f>
        <v>870000000</v>
      </c>
      <c r="P45" s="1290">
        <f t="shared" si="6"/>
        <v>921000000</v>
      </c>
      <c r="Q45" s="1290">
        <f t="shared" si="6"/>
        <v>2247000000</v>
      </c>
      <c r="R45" s="1290">
        <f>R46+R42</f>
        <v>2786000000</v>
      </c>
      <c r="S45" s="2525">
        <f>S48+S50+S53+S42+S55</f>
        <v>4642000000</v>
      </c>
      <c r="T45" s="2525">
        <f>T48+T50+T53+T42+T55</f>
        <v>5321000000</v>
      </c>
      <c r="U45" s="2525">
        <f t="shared" ref="U45:AA45" si="7">U48+U50+U53+U42+U55</f>
        <v>-152000000</v>
      </c>
      <c r="V45" s="2525">
        <f t="shared" si="7"/>
        <v>226000000</v>
      </c>
      <c r="W45" s="2525">
        <f t="shared" si="7"/>
        <v>-172000000</v>
      </c>
      <c r="X45" s="2525">
        <f t="shared" si="7"/>
        <v>8000000</v>
      </c>
      <c r="Y45" s="2525">
        <f t="shared" si="7"/>
        <v>184000000</v>
      </c>
      <c r="Z45" s="2525">
        <f t="shared" si="7"/>
        <v>184000000</v>
      </c>
      <c r="AA45" s="2525">
        <f t="shared" si="7"/>
        <v>514000000</v>
      </c>
      <c r="AB45" s="2527"/>
      <c r="AC45" s="2517"/>
      <c r="AD45" s="2517"/>
      <c r="AE45" s="2521"/>
      <c r="AF45" s="2519"/>
      <c r="AG45" s="2519"/>
      <c r="AH45" s="2519"/>
      <c r="AI45" s="2519"/>
      <c r="AJ45" s="2519"/>
      <c r="AK45" s="2519"/>
      <c r="AL45" s="2519"/>
      <c r="AM45" s="2519"/>
      <c r="AN45" s="2519"/>
      <c r="AO45" s="2519"/>
      <c r="AP45" s="2520"/>
      <c r="AQ45" s="2520"/>
      <c r="AR45" s="2520"/>
      <c r="AS45" s="2463"/>
      <c r="AT45" s="2463"/>
      <c r="AU45" s="2463"/>
      <c r="AV45" s="2463"/>
      <c r="AW45" s="2463"/>
      <c r="AX45" s="2463"/>
      <c r="AY45" s="2463"/>
    </row>
    <row r="46" spans="1:51">
      <c r="B46" s="1276" t="s">
        <v>209</v>
      </c>
      <c r="D46" s="1290">
        <v>144300000</v>
      </c>
      <c r="E46" s="1290">
        <v>969900000</v>
      </c>
      <c r="F46" s="1290">
        <v>183300000</v>
      </c>
      <c r="G46" s="1290">
        <v>536299999.99999994</v>
      </c>
      <c r="H46" s="1290">
        <v>57700000</v>
      </c>
      <c r="I46" s="1290">
        <v>482100000</v>
      </c>
      <c r="J46" s="1290">
        <v>236000000</v>
      </c>
      <c r="K46" s="1290">
        <v>-234000000</v>
      </c>
      <c r="L46" s="1290">
        <v>375000000</v>
      </c>
      <c r="M46" s="1290">
        <v>379000000</v>
      </c>
      <c r="N46" s="1290">
        <v>586000000</v>
      </c>
      <c r="O46" s="1290">
        <v>926000000</v>
      </c>
      <c r="P46" s="1290">
        <v>945000000</v>
      </c>
      <c r="Q46" s="1290">
        <v>2273000000</v>
      </c>
      <c r="R46" s="1290">
        <v>4161000000</v>
      </c>
      <c r="S46" s="2526">
        <v>4641000000</v>
      </c>
      <c r="T46" s="2526">
        <v>5315000000</v>
      </c>
      <c r="U46" s="2526">
        <v>-355000000</v>
      </c>
      <c r="V46" s="2526">
        <v>226000000</v>
      </c>
      <c r="W46" s="2526">
        <v>-172000000</v>
      </c>
      <c r="X46" s="2526">
        <v>8000000</v>
      </c>
      <c r="Y46" s="2526">
        <v>185000000</v>
      </c>
      <c r="Z46" s="2526">
        <v>185000000</v>
      </c>
      <c r="AA46" s="2526">
        <v>515000000</v>
      </c>
      <c r="AB46" s="2527"/>
      <c r="AC46" s="2517"/>
      <c r="AD46" s="2517"/>
      <c r="AE46" s="2518"/>
      <c r="AF46" s="2519"/>
      <c r="AG46" s="2519"/>
      <c r="AH46" s="2519"/>
      <c r="AI46" s="2519"/>
      <c r="AJ46" s="2519"/>
      <c r="AK46" s="2519"/>
      <c r="AL46" s="2519"/>
      <c r="AM46" s="2519"/>
      <c r="AN46" s="2519"/>
      <c r="AO46" s="2519"/>
      <c r="AP46" s="2520"/>
      <c r="AQ46" s="2520"/>
      <c r="AR46" s="2520"/>
      <c r="AS46" s="2520"/>
      <c r="AT46" s="2520"/>
      <c r="AU46" s="2520"/>
      <c r="AV46" s="2520"/>
      <c r="AW46" s="2520"/>
      <c r="AX46" s="2520"/>
      <c r="AY46" s="2463"/>
    </row>
    <row r="47" spans="1:51">
      <c r="A47" s="1271" t="s">
        <v>76</v>
      </c>
      <c r="B47" s="1276" t="s">
        <v>2644</v>
      </c>
      <c r="D47" s="1290"/>
      <c r="E47" s="1290"/>
      <c r="F47" s="1290"/>
      <c r="G47" s="1290"/>
      <c r="H47" s="1290"/>
      <c r="I47" s="1290"/>
      <c r="J47" s="1290">
        <v>334000000</v>
      </c>
      <c r="K47" s="1290">
        <v>-514000000</v>
      </c>
      <c r="L47" s="1290">
        <v>585000000</v>
      </c>
      <c r="M47" s="1290">
        <v>370000000</v>
      </c>
      <c r="N47" s="1290">
        <v>683000000</v>
      </c>
      <c r="O47" s="1290">
        <v>904000000</v>
      </c>
      <c r="P47" s="1290">
        <v>1042000000</v>
      </c>
      <c r="Q47" s="1290">
        <v>2310000000</v>
      </c>
      <c r="R47" s="1290">
        <v>4216000000</v>
      </c>
      <c r="S47" s="2525">
        <v>4556000000</v>
      </c>
      <c r="T47" s="2525">
        <v>4808000000</v>
      </c>
      <c r="U47" s="2525">
        <v>-167000000</v>
      </c>
      <c r="V47" s="2525">
        <v>-589000000</v>
      </c>
      <c r="W47" s="2525">
        <v>431000000</v>
      </c>
      <c r="X47" s="2525">
        <v>139000000</v>
      </c>
      <c r="Y47" s="2525">
        <v>17000000</v>
      </c>
      <c r="Z47" s="2525">
        <v>17000000</v>
      </c>
      <c r="AA47" s="2525">
        <v>346000000</v>
      </c>
      <c r="AB47" s="2527"/>
      <c r="AC47" s="2517"/>
      <c r="AD47" s="2517"/>
      <c r="AE47" s="2518"/>
      <c r="AF47" s="2519"/>
      <c r="AG47" s="2519"/>
      <c r="AH47" s="2519"/>
      <c r="AI47" s="2519"/>
      <c r="AJ47" s="2519"/>
      <c r="AK47" s="2519"/>
      <c r="AL47" s="2519"/>
      <c r="AM47" s="2519"/>
      <c r="AN47" s="2519"/>
      <c r="AO47" s="2519"/>
      <c r="AP47" s="2520"/>
      <c r="AQ47" s="2520"/>
      <c r="AR47" s="2520"/>
      <c r="AS47" s="2520"/>
      <c r="AT47" s="2520"/>
      <c r="AU47" s="2520"/>
      <c r="AV47" s="2520"/>
      <c r="AW47" s="2520"/>
      <c r="AX47" s="2520"/>
      <c r="AY47" s="2463"/>
    </row>
    <row r="48" spans="1:51">
      <c r="A48" s="1275" t="s">
        <v>122</v>
      </c>
      <c r="B48" s="1278" t="s">
        <v>349</v>
      </c>
      <c r="C48" s="1276" t="s">
        <v>124</v>
      </c>
      <c r="D48" s="1290">
        <v>45000000</v>
      </c>
      <c r="E48" s="1290">
        <v>952800000</v>
      </c>
      <c r="F48" s="1290">
        <v>22900000</v>
      </c>
      <c r="G48" s="1290">
        <v>401200000</v>
      </c>
      <c r="H48" s="1290">
        <v>-578000000</v>
      </c>
      <c r="I48" s="1290">
        <v>339700000</v>
      </c>
      <c r="J48" s="1290">
        <v>231000000</v>
      </c>
      <c r="K48" s="1290">
        <v>-68000000</v>
      </c>
      <c r="L48" s="1290">
        <v>1044000000</v>
      </c>
      <c r="M48" s="1290">
        <v>376000000</v>
      </c>
      <c r="N48" s="1290">
        <v>887000000</v>
      </c>
      <c r="O48" s="1290">
        <v>1094000000</v>
      </c>
      <c r="P48" s="1290">
        <v>906000000</v>
      </c>
      <c r="Q48" s="1290">
        <v>2137000000</v>
      </c>
      <c r="R48" s="1290">
        <v>2897000000</v>
      </c>
      <c r="S48" s="2525">
        <v>3503000000</v>
      </c>
      <c r="T48" s="2525">
        <v>3931000000</v>
      </c>
      <c r="U48" s="2525">
        <v>364000000</v>
      </c>
      <c r="V48" s="2525">
        <v>-631000000</v>
      </c>
      <c r="W48" s="2525">
        <v>225000000</v>
      </c>
      <c r="X48" s="2525">
        <v>-9000000</v>
      </c>
      <c r="Y48" s="2525">
        <v>-107000000</v>
      </c>
      <c r="Z48" s="2525">
        <v>-107000000</v>
      </c>
      <c r="AA48" s="2525">
        <v>157000000</v>
      </c>
      <c r="AB48" s="2527"/>
      <c r="AC48" s="2517"/>
      <c r="AD48" s="2517"/>
      <c r="AE48" s="2518"/>
      <c r="AF48" s="2519"/>
      <c r="AG48" s="2519"/>
      <c r="AH48" s="2519"/>
      <c r="AI48" s="2519"/>
      <c r="AJ48" s="2519"/>
      <c r="AK48" s="2519"/>
      <c r="AL48" s="2519"/>
      <c r="AM48" s="2519"/>
      <c r="AN48" s="2519"/>
      <c r="AO48" s="2519"/>
      <c r="AP48" s="2520"/>
      <c r="AQ48" s="2520"/>
      <c r="AR48" s="2520"/>
      <c r="AS48" s="2520"/>
      <c r="AT48" s="2520"/>
      <c r="AU48" s="2520"/>
      <c r="AV48" s="2520"/>
      <c r="AW48" s="2520"/>
      <c r="AX48" s="2520"/>
      <c r="AY48" s="2463"/>
    </row>
    <row r="49" spans="1:51">
      <c r="A49" s="1271" t="s">
        <v>76</v>
      </c>
      <c r="B49" s="1279" t="s">
        <v>2645</v>
      </c>
      <c r="C49" s="1276"/>
      <c r="D49" s="1291"/>
      <c r="E49" s="1291"/>
      <c r="F49" s="1291"/>
      <c r="G49" s="1291"/>
      <c r="H49" s="1291"/>
      <c r="I49" s="1291"/>
      <c r="J49" s="1291"/>
      <c r="K49" s="1291"/>
      <c r="L49" s="1291"/>
      <c r="M49" s="1291"/>
      <c r="N49" s="1290"/>
      <c r="O49" s="1290"/>
      <c r="P49" s="1290"/>
      <c r="Q49" s="1290"/>
      <c r="R49" s="1290"/>
      <c r="S49" s="2525"/>
      <c r="T49" s="2525"/>
      <c r="U49" s="2525"/>
      <c r="V49" s="2525"/>
      <c r="W49" s="2525"/>
      <c r="X49" s="2525"/>
      <c r="Y49" s="2525"/>
      <c r="Z49" s="2525"/>
      <c r="AA49" s="2525"/>
      <c r="AB49" s="2527"/>
      <c r="AC49" s="2517"/>
      <c r="AD49" s="2517"/>
      <c r="AE49" s="2518"/>
      <c r="AF49" s="2519"/>
      <c r="AG49" s="2519"/>
      <c r="AH49" s="2519"/>
      <c r="AI49" s="2519"/>
      <c r="AJ49" s="2519"/>
      <c r="AK49" s="2519"/>
      <c r="AL49" s="2519"/>
      <c r="AM49" s="2519"/>
      <c r="AN49" s="2519"/>
      <c r="AO49" s="2519"/>
      <c r="AP49" s="2520"/>
      <c r="AQ49" s="2520"/>
      <c r="AR49" s="2520"/>
      <c r="AS49" s="2463"/>
      <c r="AT49" s="2463"/>
      <c r="AU49" s="2463"/>
      <c r="AV49" s="2463"/>
      <c r="AW49" s="2463"/>
      <c r="AX49" s="2463"/>
      <c r="AY49" s="2463"/>
    </row>
    <row r="50" spans="1:51">
      <c r="A50" s="1275" t="s">
        <v>428</v>
      </c>
      <c r="B50" s="1278" t="s">
        <v>350</v>
      </c>
      <c r="C50" s="1276" t="s">
        <v>124</v>
      </c>
      <c r="D50" s="1290">
        <v>139500000</v>
      </c>
      <c r="E50" s="1290">
        <v>68100000</v>
      </c>
      <c r="F50" s="1290">
        <v>197000000</v>
      </c>
      <c r="G50" s="1290">
        <v>95100000</v>
      </c>
      <c r="H50" s="1290">
        <v>635700000</v>
      </c>
      <c r="I50" s="1290">
        <v>93400000</v>
      </c>
      <c r="J50" s="1290">
        <v>103000000</v>
      </c>
      <c r="K50" s="1290">
        <v>-267000000</v>
      </c>
      <c r="L50" s="1290">
        <v>-369000000</v>
      </c>
      <c r="M50" s="1290">
        <v>42000000</v>
      </c>
      <c r="N50" s="1290">
        <v>-204000000</v>
      </c>
      <c r="O50" s="1290">
        <v>-190000000</v>
      </c>
      <c r="P50" s="1290">
        <v>136000000</v>
      </c>
      <c r="Q50" s="1290">
        <v>173000000</v>
      </c>
      <c r="R50" s="1290">
        <v>1319000000</v>
      </c>
      <c r="S50" s="2525">
        <v>1053000000</v>
      </c>
      <c r="T50" s="2525">
        <v>877000000</v>
      </c>
      <c r="U50" s="2525">
        <v>-343000000</v>
      </c>
      <c r="V50" s="2525">
        <v>42000000</v>
      </c>
      <c r="W50" s="2525">
        <v>206000000</v>
      </c>
      <c r="X50" s="2525">
        <v>148000000</v>
      </c>
      <c r="Y50" s="2525">
        <v>123000000</v>
      </c>
      <c r="Z50" s="2525">
        <v>123000000</v>
      </c>
      <c r="AA50" s="2525">
        <v>189000000</v>
      </c>
      <c r="AB50" s="2527"/>
      <c r="AC50" s="2517"/>
      <c r="AD50" s="2522"/>
      <c r="AE50" s="2518"/>
      <c r="AF50" s="2519"/>
      <c r="AG50" s="2519"/>
      <c r="AH50" s="2519"/>
      <c r="AI50" s="2519"/>
      <c r="AJ50" s="2519"/>
      <c r="AK50" s="2519"/>
      <c r="AL50" s="2519"/>
      <c r="AM50" s="2519"/>
      <c r="AN50" s="2519"/>
      <c r="AO50" s="2519"/>
      <c r="AP50" s="2520"/>
      <c r="AQ50" s="2520"/>
      <c r="AR50" s="2520"/>
      <c r="AS50" s="2520"/>
      <c r="AT50" s="2520"/>
      <c r="AU50" s="2520"/>
      <c r="AV50" s="2520"/>
      <c r="AW50" s="2520"/>
      <c r="AX50" s="2520"/>
      <c r="AY50" s="2463"/>
    </row>
    <row r="51" spans="1:51">
      <c r="A51" s="1278" t="s">
        <v>2646</v>
      </c>
      <c r="B51" s="1278" t="s">
        <v>2647</v>
      </c>
      <c r="C51" s="1276" t="s">
        <v>124</v>
      </c>
      <c r="D51" s="1290">
        <v>0</v>
      </c>
      <c r="E51" s="1290">
        <v>0</v>
      </c>
      <c r="F51" s="1290">
        <v>0</v>
      </c>
      <c r="G51" s="1290">
        <v>0</v>
      </c>
      <c r="H51" s="1290">
        <v>0</v>
      </c>
      <c r="I51" s="1290">
        <v>0</v>
      </c>
      <c r="J51" s="1290">
        <v>0</v>
      </c>
      <c r="K51" s="1290">
        <v>-179000000</v>
      </c>
      <c r="L51" s="1290">
        <v>-89000000</v>
      </c>
      <c r="M51" s="1290">
        <v>-49000000</v>
      </c>
      <c r="N51" s="1290"/>
      <c r="O51" s="1290"/>
      <c r="P51" s="1290"/>
      <c r="Q51" s="1290"/>
      <c r="R51" s="1290"/>
      <c r="S51" s="2525"/>
      <c r="T51" s="2525"/>
      <c r="U51" s="2525"/>
      <c r="V51" s="2525"/>
      <c r="W51" s="2525"/>
      <c r="X51" s="2525"/>
      <c r="Y51" s="2525"/>
      <c r="Z51" s="2525"/>
      <c r="AA51" s="2525"/>
      <c r="AC51" s="1287"/>
      <c r="AD51" s="2522"/>
      <c r="AE51" s="2518"/>
      <c r="AF51" s="2519"/>
      <c r="AG51" s="2519"/>
      <c r="AH51" s="2519"/>
      <c r="AI51" s="2519"/>
      <c r="AJ51" s="2519"/>
      <c r="AK51" s="2519"/>
      <c r="AL51" s="2519"/>
      <c r="AM51" s="2519"/>
      <c r="AN51" s="2519"/>
      <c r="AO51" s="2519"/>
      <c r="AP51" s="2520"/>
      <c r="AQ51" s="2520"/>
      <c r="AR51" s="2520"/>
    </row>
    <row r="52" spans="1:51">
      <c r="A52" s="1278" t="s">
        <v>468</v>
      </c>
      <c r="B52" s="1278" t="s">
        <v>2648</v>
      </c>
      <c r="C52" s="1276" t="s">
        <v>124</v>
      </c>
      <c r="D52" s="1291"/>
      <c r="E52" s="1291"/>
      <c r="F52" s="1291"/>
      <c r="G52" s="1291"/>
      <c r="H52" s="1291"/>
      <c r="I52" s="1291"/>
      <c r="J52" s="1290">
        <v>110000000</v>
      </c>
      <c r="K52" s="1290">
        <v>24000000</v>
      </c>
      <c r="L52" s="1290">
        <v>0</v>
      </c>
      <c r="M52" s="1290">
        <v>0</v>
      </c>
      <c r="N52" s="1290"/>
      <c r="O52" s="1290"/>
      <c r="P52" s="1290"/>
      <c r="Q52" s="1290"/>
      <c r="R52" s="1290"/>
      <c r="S52" s="2525"/>
      <c r="T52" s="2525"/>
      <c r="U52" s="2525"/>
      <c r="V52" s="2525"/>
      <c r="W52" s="2525"/>
      <c r="X52" s="2525"/>
      <c r="Y52" s="2525"/>
      <c r="Z52" s="2525"/>
      <c r="AA52" s="2525"/>
      <c r="AC52" s="1287"/>
      <c r="AD52" s="2522"/>
      <c r="AE52" s="2518"/>
      <c r="AF52" s="2519"/>
      <c r="AG52" s="2519"/>
      <c r="AH52" s="2519"/>
      <c r="AI52" s="2519"/>
      <c r="AJ52" s="2519"/>
      <c r="AK52" s="2519"/>
      <c r="AL52" s="2519"/>
      <c r="AM52" s="2519"/>
      <c r="AN52" s="2519"/>
      <c r="AO52" s="2519"/>
      <c r="AP52" s="365"/>
      <c r="AQ52" s="365"/>
      <c r="AR52" s="365"/>
    </row>
    <row r="53" spans="1:51">
      <c r="A53" s="1278" t="s">
        <v>514</v>
      </c>
      <c r="B53" s="1278" t="s">
        <v>2649</v>
      </c>
      <c r="C53" s="1276" t="s">
        <v>124</v>
      </c>
      <c r="D53" s="1290">
        <v>-40200000</v>
      </c>
      <c r="E53" s="1290">
        <v>-51000000</v>
      </c>
      <c r="F53" s="1290">
        <v>-36700000</v>
      </c>
      <c r="G53" s="1290">
        <v>0</v>
      </c>
      <c r="H53" s="1290">
        <v>0</v>
      </c>
      <c r="I53" s="1290">
        <v>-5000000</v>
      </c>
      <c r="J53" s="1290">
        <v>-209000000</v>
      </c>
      <c r="K53" s="1290">
        <v>-369000000</v>
      </c>
      <c r="L53" s="1290">
        <v>-210000000</v>
      </c>
      <c r="M53" s="1290">
        <v>0</v>
      </c>
      <c r="N53" s="1290">
        <v>-97000000</v>
      </c>
      <c r="O53" s="1290">
        <v>16000000</v>
      </c>
      <c r="P53" s="1290">
        <v>-98000000</v>
      </c>
      <c r="Q53" s="1290">
        <v>-37000000</v>
      </c>
      <c r="R53" s="1290">
        <v>-54000000</v>
      </c>
      <c r="S53" s="2525">
        <v>86000000</v>
      </c>
      <c r="T53" s="2525">
        <v>507000000</v>
      </c>
      <c r="U53" s="2525">
        <v>-188000000</v>
      </c>
      <c r="V53" s="2525">
        <v>-85000000</v>
      </c>
      <c r="W53" s="2525">
        <v>-603000000</v>
      </c>
      <c r="X53" s="2525">
        <v>-131000000</v>
      </c>
      <c r="Y53" s="2525">
        <v>168000000</v>
      </c>
      <c r="Z53" s="2525">
        <v>168000000</v>
      </c>
      <c r="AA53" s="2525">
        <v>168000000</v>
      </c>
      <c r="AC53" s="1287"/>
      <c r="AD53" s="2517"/>
      <c r="AE53" s="2518"/>
      <c r="AF53" s="2519"/>
      <c r="AG53" s="2519"/>
      <c r="AH53" s="2519"/>
      <c r="AI53" s="2519"/>
      <c r="AJ53" s="2519"/>
      <c r="AK53" s="2519"/>
      <c r="AL53" s="2519"/>
      <c r="AM53" s="2519"/>
      <c r="AN53" s="2519"/>
      <c r="AO53" s="2519"/>
      <c r="AP53" s="2520"/>
      <c r="AQ53" s="2520"/>
      <c r="AR53" s="2520"/>
      <c r="AS53" s="2520"/>
      <c r="AT53" s="2520"/>
      <c r="AU53" s="2520"/>
      <c r="AV53" s="2520"/>
      <c r="AW53" s="2520"/>
      <c r="AX53" s="2520"/>
    </row>
    <row r="54" spans="1:51">
      <c r="A54" s="1278" t="s">
        <v>2650</v>
      </c>
      <c r="B54" s="1278" t="s">
        <v>2651</v>
      </c>
      <c r="C54" s="1276" t="s">
        <v>124</v>
      </c>
      <c r="D54" s="1290">
        <v>0</v>
      </c>
      <c r="E54" s="1290">
        <v>0</v>
      </c>
      <c r="F54" s="1290">
        <v>0</v>
      </c>
      <c r="G54" s="1290">
        <v>40000000</v>
      </c>
      <c r="H54" s="1290">
        <v>0</v>
      </c>
      <c r="I54" s="1290">
        <v>0</v>
      </c>
      <c r="J54" s="1290"/>
      <c r="K54" s="1290"/>
      <c r="L54" s="1290"/>
      <c r="M54" s="1290"/>
      <c r="N54" s="1290"/>
      <c r="O54" s="1290"/>
      <c r="P54" s="1290"/>
      <c r="Q54" s="1290"/>
      <c r="R54" s="1290"/>
      <c r="S54" s="2525"/>
      <c r="T54" s="2525"/>
      <c r="U54" s="2525"/>
      <c r="V54" s="2525"/>
      <c r="W54" s="2525"/>
      <c r="X54" s="2525"/>
      <c r="Y54" s="2525"/>
      <c r="Z54" s="2525"/>
      <c r="AA54" s="2525"/>
      <c r="AC54" s="1287"/>
      <c r="AD54" s="2517"/>
      <c r="AE54" s="2518"/>
      <c r="AF54" s="2519"/>
      <c r="AG54" s="2519"/>
      <c r="AH54" s="2519"/>
      <c r="AI54" s="2519"/>
      <c r="AJ54" s="2519"/>
      <c r="AK54" s="2519"/>
      <c r="AL54" s="2519"/>
      <c r="AM54" s="2519"/>
      <c r="AN54" s="2519"/>
      <c r="AO54" s="2519"/>
      <c r="AP54" s="365"/>
      <c r="AQ54" s="365"/>
      <c r="AR54" s="365"/>
    </row>
    <row r="55" spans="1:51">
      <c r="A55" s="1275" t="s">
        <v>858</v>
      </c>
      <c r="B55" s="1278" t="s">
        <v>2652</v>
      </c>
      <c r="C55" s="1276" t="s">
        <v>124</v>
      </c>
      <c r="D55" s="1290">
        <v>0</v>
      </c>
      <c r="E55" s="1290">
        <v>0</v>
      </c>
      <c r="F55" s="1290">
        <v>0</v>
      </c>
      <c r="G55" s="1290">
        <v>0</v>
      </c>
      <c r="H55" s="1290">
        <v>0</v>
      </c>
      <c r="I55" s="1290">
        <v>54000000</v>
      </c>
      <c r="J55" s="1290">
        <v>0</v>
      </c>
      <c r="K55" s="1290">
        <v>626000000</v>
      </c>
      <c r="L55" s="1290">
        <v>0</v>
      </c>
      <c r="M55" s="1290">
        <v>9000000</v>
      </c>
      <c r="N55" s="1290">
        <v>0</v>
      </c>
      <c r="O55" s="1290">
        <v>6000000</v>
      </c>
      <c r="P55" s="1290">
        <v>0</v>
      </c>
      <c r="Q55" s="1290">
        <v>0</v>
      </c>
      <c r="R55" s="1290">
        <v>0</v>
      </c>
      <c r="S55" s="2525">
        <v>0</v>
      </c>
      <c r="T55" s="2525">
        <v>0</v>
      </c>
      <c r="U55" s="2525">
        <v>0</v>
      </c>
      <c r="V55" s="2525">
        <v>900000000</v>
      </c>
      <c r="W55" s="2525">
        <v>0</v>
      </c>
      <c r="X55" s="2525">
        <v>0</v>
      </c>
      <c r="Y55" s="2525">
        <v>0</v>
      </c>
      <c r="Z55" s="2525">
        <v>0</v>
      </c>
      <c r="AA55" s="2525">
        <v>0</v>
      </c>
      <c r="AC55" s="1287"/>
      <c r="AD55" s="2517"/>
      <c r="AE55" s="2518"/>
      <c r="AF55" s="2519"/>
      <c r="AG55" s="2519"/>
      <c r="AH55" s="2519"/>
      <c r="AI55" s="2519"/>
      <c r="AJ55" s="2519"/>
      <c r="AK55" s="2519"/>
      <c r="AL55" s="2519"/>
      <c r="AM55" s="2519"/>
      <c r="AN55" s="2519"/>
      <c r="AO55" s="2519"/>
      <c r="AP55" s="2520"/>
      <c r="AQ55" s="2520"/>
      <c r="AR55" s="2520"/>
      <c r="AS55" s="2520"/>
      <c r="AT55" s="2520"/>
      <c r="AU55" s="2520"/>
      <c r="AV55" s="2520"/>
      <c r="AW55" s="2520"/>
      <c r="AX55" s="2520"/>
    </row>
    <row r="56" spans="1:51">
      <c r="A56" s="1275" t="s">
        <v>117</v>
      </c>
      <c r="B56" s="1276" t="s">
        <v>212</v>
      </c>
      <c r="C56" s="1277" t="s">
        <v>119</v>
      </c>
      <c r="D56" s="1290">
        <v>-45600000</v>
      </c>
      <c r="E56" s="1290">
        <v>-23600000</v>
      </c>
      <c r="F56" s="1290">
        <v>140900000</v>
      </c>
      <c r="G56" s="1290">
        <v>59700000</v>
      </c>
      <c r="H56" s="1290">
        <v>690300000</v>
      </c>
      <c r="I56" s="1290">
        <v>727700000</v>
      </c>
      <c r="J56" s="1290">
        <v>876000000</v>
      </c>
      <c r="K56" s="1290">
        <v>158000000</v>
      </c>
      <c r="L56" s="1290">
        <v>30000000</v>
      </c>
      <c r="M56" s="1290">
        <v>356000000</v>
      </c>
      <c r="N56" s="1290">
        <v>387000000</v>
      </c>
      <c r="O56" s="1290">
        <v>224000000</v>
      </c>
      <c r="P56" s="1290">
        <v>317000000</v>
      </c>
      <c r="Q56" s="1290">
        <v>579000000</v>
      </c>
      <c r="R56" s="1290">
        <v>716000000</v>
      </c>
      <c r="S56" s="2525">
        <f>S58+S59</f>
        <v>18000000</v>
      </c>
      <c r="T56" s="2525">
        <f t="shared" ref="T56:AA56" si="8">T58+T59</f>
        <v>471000000</v>
      </c>
      <c r="U56" s="2525">
        <f t="shared" si="8"/>
        <v>3642000000</v>
      </c>
      <c r="V56" s="2525">
        <f t="shared" si="8"/>
        <v>1809000000</v>
      </c>
      <c r="W56" s="2525">
        <f t="shared" si="8"/>
        <v>516000000</v>
      </c>
      <c r="X56" s="2525">
        <f t="shared" si="8"/>
        <v>1199000000</v>
      </c>
      <c r="Y56" s="2525">
        <f t="shared" si="8"/>
        <v>1262000000</v>
      </c>
      <c r="Z56" s="2525">
        <f t="shared" si="8"/>
        <v>1229000000</v>
      </c>
      <c r="AA56" s="2525">
        <f t="shared" si="8"/>
        <v>214000000</v>
      </c>
      <c r="AC56" s="1287"/>
      <c r="AD56" s="2517"/>
      <c r="AE56" s="2521"/>
      <c r="AF56" s="2523"/>
      <c r="AG56" s="2519"/>
      <c r="AH56" s="2519"/>
      <c r="AI56" s="2519"/>
      <c r="AJ56" s="2519"/>
      <c r="AK56" s="2519"/>
      <c r="AL56" s="2519"/>
      <c r="AM56" s="2519"/>
      <c r="AN56" s="2519"/>
      <c r="AO56" s="2519"/>
      <c r="AP56" s="2520"/>
      <c r="AQ56" s="2520"/>
      <c r="AR56" s="2520"/>
      <c r="AS56" s="2520"/>
      <c r="AT56" s="2520"/>
      <c r="AU56" s="2520"/>
      <c r="AV56" s="2520"/>
      <c r="AW56" s="2520"/>
      <c r="AX56" s="2520"/>
    </row>
    <row r="57" spans="1:51">
      <c r="A57" s="1271" t="s">
        <v>76</v>
      </c>
      <c r="B57" s="1278" t="s">
        <v>444</v>
      </c>
      <c r="D57" s="1291"/>
      <c r="E57" s="1291"/>
      <c r="F57" s="1291"/>
      <c r="G57" s="1291"/>
      <c r="H57" s="1291"/>
      <c r="I57" s="1291"/>
      <c r="J57" s="1291"/>
      <c r="K57" s="1291"/>
      <c r="L57" s="1291"/>
      <c r="M57" s="1291"/>
      <c r="N57" s="1290">
        <v>387000000</v>
      </c>
      <c r="O57" s="1290">
        <v>224000000</v>
      </c>
      <c r="P57" s="1290">
        <v>317000000</v>
      </c>
      <c r="Q57" s="1290">
        <v>579000000</v>
      </c>
      <c r="R57" s="1290">
        <v>716000000</v>
      </c>
      <c r="S57" s="2525">
        <v>19000000</v>
      </c>
      <c r="T57" s="2525">
        <v>471000000</v>
      </c>
      <c r="U57" s="2525">
        <v>3642000000</v>
      </c>
      <c r="V57" s="2525">
        <v>1809000000</v>
      </c>
      <c r="W57" s="2525">
        <v>516000000</v>
      </c>
      <c r="X57" s="2525">
        <v>1199000000</v>
      </c>
      <c r="Y57" s="2525">
        <v>1261000000</v>
      </c>
      <c r="Z57" s="2525">
        <v>1229000000</v>
      </c>
      <c r="AA57" s="2525">
        <v>214000000</v>
      </c>
      <c r="AC57" s="1287"/>
      <c r="AD57" s="2517"/>
      <c r="AE57" s="2521"/>
      <c r="AF57" s="2523"/>
      <c r="AG57" s="2519"/>
      <c r="AH57" s="2519"/>
      <c r="AI57" s="2519"/>
      <c r="AJ57" s="2519"/>
      <c r="AK57" s="2519"/>
      <c r="AL57" s="2519"/>
      <c r="AM57" s="2519"/>
      <c r="AN57" s="2519"/>
      <c r="AO57" s="2519"/>
      <c r="AP57" s="2520"/>
      <c r="AQ57" s="2520"/>
      <c r="AR57" s="2520"/>
      <c r="AS57" s="2520"/>
      <c r="AT57" s="2520"/>
      <c r="AU57" s="2520"/>
      <c r="AV57" s="2520"/>
      <c r="AW57" s="2520"/>
      <c r="AX57" s="2520"/>
    </row>
    <row r="58" spans="1:51">
      <c r="A58" s="1275" t="s">
        <v>444</v>
      </c>
      <c r="B58" s="1279" t="s">
        <v>2546</v>
      </c>
      <c r="C58" s="1276" t="s">
        <v>264</v>
      </c>
      <c r="D58" s="1290">
        <v>135200000</v>
      </c>
      <c r="E58" s="1290">
        <v>233600000</v>
      </c>
      <c r="F58" s="1290">
        <v>725800000</v>
      </c>
      <c r="G58" s="1290">
        <v>340700000</v>
      </c>
      <c r="H58" s="1290">
        <v>1121300000</v>
      </c>
      <c r="I58" s="1290">
        <v>1138300000</v>
      </c>
      <c r="J58" s="1290">
        <v>1308000000</v>
      </c>
      <c r="K58" s="1290">
        <v>586000000</v>
      </c>
      <c r="L58" s="1290">
        <v>340000000</v>
      </c>
      <c r="M58" s="1290">
        <v>628000000</v>
      </c>
      <c r="N58" s="1290">
        <v>742000000</v>
      </c>
      <c r="O58" s="1290">
        <v>630000000</v>
      </c>
      <c r="P58" s="1290">
        <v>852000000</v>
      </c>
      <c r="Q58" s="1290">
        <v>1135000000</v>
      </c>
      <c r="R58" s="1290">
        <v>1948000000</v>
      </c>
      <c r="S58" s="2525">
        <v>976000000</v>
      </c>
      <c r="T58" s="2525">
        <v>1246000000</v>
      </c>
      <c r="U58" s="2525">
        <v>5228000000</v>
      </c>
      <c r="V58" s="2525">
        <v>3948000000</v>
      </c>
      <c r="W58" s="2525">
        <v>2590000000</v>
      </c>
      <c r="X58" s="2525">
        <v>3295000000</v>
      </c>
      <c r="Y58" s="2525">
        <v>3409000000</v>
      </c>
      <c r="Z58" s="2525">
        <v>3632000000</v>
      </c>
      <c r="AA58" s="2525">
        <v>3347000000</v>
      </c>
      <c r="AC58" s="1287"/>
      <c r="AD58" s="2517"/>
      <c r="AE58" s="2521"/>
      <c r="AF58" s="2519"/>
      <c r="AG58" s="2519"/>
      <c r="AH58" s="2519"/>
      <c r="AI58" s="2519"/>
      <c r="AJ58" s="2519"/>
      <c r="AK58" s="2519"/>
      <c r="AL58" s="2519"/>
      <c r="AM58" s="2519"/>
      <c r="AN58" s="2519"/>
      <c r="AO58" s="2519"/>
      <c r="AP58" s="2520"/>
      <c r="AQ58" s="2520"/>
      <c r="AR58" s="2520"/>
      <c r="AS58" s="2520"/>
      <c r="AT58" s="2520"/>
      <c r="AU58" s="2520"/>
      <c r="AV58" s="2520"/>
      <c r="AW58" s="2520"/>
      <c r="AX58" s="2520"/>
    </row>
    <row r="59" spans="1:51">
      <c r="A59" s="1275" t="s">
        <v>258</v>
      </c>
      <c r="B59" s="1279" t="s">
        <v>258</v>
      </c>
      <c r="C59" s="1276" t="s">
        <v>264</v>
      </c>
      <c r="D59" s="1290">
        <v>-180800000</v>
      </c>
      <c r="E59" s="1290">
        <v>-257200000</v>
      </c>
      <c r="F59" s="1290">
        <v>-591900000</v>
      </c>
      <c r="G59" s="1290">
        <v>-293600000</v>
      </c>
      <c r="H59" s="1290">
        <v>-431000000</v>
      </c>
      <c r="I59" s="1290">
        <v>-410600000</v>
      </c>
      <c r="J59" s="1290">
        <v>-432000000</v>
      </c>
      <c r="K59" s="1290">
        <v>-428000000</v>
      </c>
      <c r="L59" s="1290">
        <v>-310000000</v>
      </c>
      <c r="M59" s="1290">
        <v>-272000000</v>
      </c>
      <c r="N59" s="1290">
        <v>-355000000</v>
      </c>
      <c r="O59" s="1290">
        <v>-406000000</v>
      </c>
      <c r="P59" s="1290">
        <v>-535000000</v>
      </c>
      <c r="Q59" s="1290">
        <v>-556000000</v>
      </c>
      <c r="R59" s="1290">
        <v>-1232000000</v>
      </c>
      <c r="S59" s="2525">
        <v>-958000000</v>
      </c>
      <c r="T59" s="2525">
        <v>-775000000</v>
      </c>
      <c r="U59" s="2525">
        <v>-1586000000</v>
      </c>
      <c r="V59" s="2525">
        <v>-2139000000</v>
      </c>
      <c r="W59" s="2525">
        <v>-2074000000</v>
      </c>
      <c r="X59" s="2525">
        <v>-2096000000</v>
      </c>
      <c r="Y59" s="2525">
        <v>-2147000000</v>
      </c>
      <c r="Z59" s="2525">
        <v>-2403000000</v>
      </c>
      <c r="AA59" s="2525">
        <v>-3133000000</v>
      </c>
      <c r="AC59" s="1287"/>
      <c r="AD59" s="2517"/>
      <c r="AE59" s="2518"/>
      <c r="AF59" s="2519"/>
      <c r="AG59" s="2519"/>
      <c r="AH59" s="2519"/>
      <c r="AI59" s="2519"/>
      <c r="AJ59" s="2519"/>
      <c r="AK59" s="2519"/>
      <c r="AL59" s="2519"/>
      <c r="AM59" s="2519"/>
      <c r="AN59" s="2519"/>
      <c r="AO59" s="2519"/>
      <c r="AP59" s="2520"/>
      <c r="AQ59" s="2520"/>
      <c r="AR59" s="2520"/>
      <c r="AS59" s="2520"/>
      <c r="AT59" s="2520"/>
      <c r="AU59" s="2520"/>
      <c r="AV59" s="2520"/>
      <c r="AW59" s="2520"/>
      <c r="AX59" s="2520"/>
    </row>
    <row r="60" spans="1:51">
      <c r="A60" s="1275" t="s">
        <v>1348</v>
      </c>
      <c r="B60" s="1279" t="s">
        <v>2653</v>
      </c>
      <c r="C60" s="1276" t="s">
        <v>264</v>
      </c>
      <c r="D60" s="1290">
        <v>0</v>
      </c>
      <c r="E60" s="1290">
        <v>0</v>
      </c>
      <c r="F60" s="1290">
        <v>7000000</v>
      </c>
      <c r="G60" s="1290">
        <v>12600000</v>
      </c>
      <c r="H60" s="1290">
        <v>0</v>
      </c>
      <c r="I60" s="1290">
        <v>0</v>
      </c>
      <c r="J60" s="1290"/>
      <c r="K60" s="1290"/>
      <c r="L60" s="1290"/>
      <c r="M60" s="1290"/>
      <c r="N60" s="1290"/>
      <c r="O60" s="1290"/>
      <c r="P60" s="1290"/>
      <c r="Q60" s="1290"/>
      <c r="R60" s="1290"/>
      <c r="S60" s="2525"/>
      <c r="T60" s="2525"/>
      <c r="U60" s="2525"/>
      <c r="V60" s="2525"/>
      <c r="W60" s="2525"/>
      <c r="X60" s="2525"/>
      <c r="Y60" s="2525"/>
      <c r="Z60" s="2525"/>
      <c r="AA60" s="2525"/>
      <c r="AC60" s="1287"/>
      <c r="AD60" s="2517"/>
      <c r="AE60" s="2518"/>
      <c r="AF60" s="2519"/>
      <c r="AG60" s="2519"/>
      <c r="AH60" s="2519"/>
      <c r="AI60" s="2519"/>
      <c r="AJ60" s="2519"/>
      <c r="AK60" s="2519"/>
      <c r="AL60" s="2519"/>
      <c r="AM60" s="2519"/>
      <c r="AN60" s="2519"/>
      <c r="AO60" s="2519"/>
      <c r="AP60" s="365"/>
      <c r="AQ60" s="365"/>
      <c r="AR60" s="365"/>
    </row>
    <row r="61" spans="1:51">
      <c r="A61" s="1271" t="s">
        <v>76</v>
      </c>
      <c r="B61" s="1276" t="s">
        <v>2654</v>
      </c>
      <c r="C61" s="1276"/>
      <c r="D61" s="1291"/>
      <c r="E61" s="1291"/>
      <c r="F61" s="1291"/>
      <c r="G61" s="1291"/>
      <c r="H61" s="1291"/>
      <c r="I61" s="1291"/>
      <c r="J61" s="1290">
        <v>-104000000</v>
      </c>
      <c r="K61" s="1290">
        <v>48000000</v>
      </c>
      <c r="L61" s="1290">
        <v>-11000000</v>
      </c>
      <c r="M61" s="1290">
        <v>39000000</v>
      </c>
      <c r="N61" s="1290"/>
      <c r="O61" s="1290"/>
      <c r="P61" s="1290"/>
      <c r="Q61" s="1290"/>
      <c r="R61" s="1290"/>
      <c r="S61" s="2525">
        <v>-1511000000</v>
      </c>
      <c r="T61" s="2525">
        <v>-1662000000</v>
      </c>
      <c r="U61" s="2525">
        <v>472000000</v>
      </c>
      <c r="V61" s="2525">
        <v>0</v>
      </c>
      <c r="W61" s="2525">
        <v>0</v>
      </c>
      <c r="X61" s="2525">
        <v>0</v>
      </c>
      <c r="Y61" s="2525">
        <v>0</v>
      </c>
      <c r="Z61" s="2525">
        <v>0</v>
      </c>
      <c r="AA61" s="2525">
        <v>0</v>
      </c>
      <c r="AC61" s="1287"/>
      <c r="AD61" s="2517"/>
      <c r="AE61" s="2518"/>
      <c r="AF61" s="2519"/>
      <c r="AG61" s="2519"/>
      <c r="AH61" s="2519"/>
      <c r="AI61" s="2519"/>
      <c r="AJ61" s="2519"/>
      <c r="AK61" s="2519"/>
      <c r="AL61" s="2519"/>
      <c r="AM61" s="2519"/>
      <c r="AN61" s="2519"/>
      <c r="AO61" s="2519"/>
      <c r="AP61" s="2520"/>
      <c r="AQ61" s="2520"/>
      <c r="AR61" s="2520"/>
      <c r="AS61" s="2520"/>
      <c r="AT61" s="2520"/>
      <c r="AU61" s="2520"/>
      <c r="AV61" s="2520"/>
      <c r="AW61" s="2520"/>
      <c r="AX61" s="2520"/>
    </row>
    <row r="62" spans="1:51">
      <c r="D62" s="1289"/>
      <c r="E62" s="1289"/>
      <c r="F62" s="1289"/>
      <c r="G62" s="1289"/>
      <c r="H62" s="1289"/>
      <c r="I62" s="1289"/>
      <c r="J62" s="1289"/>
      <c r="K62" s="1289"/>
      <c r="L62" s="1289"/>
      <c r="M62" s="1289"/>
      <c r="N62" s="1289"/>
      <c r="O62" s="1289"/>
      <c r="P62" s="1289"/>
      <c r="Q62" s="1289"/>
      <c r="R62" s="1289"/>
      <c r="S62" s="1289"/>
      <c r="T62" s="1289"/>
      <c r="U62" s="1289"/>
      <c r="V62" s="1289"/>
      <c r="W62" s="1289"/>
      <c r="X62" s="1289"/>
      <c r="Y62" s="1289"/>
      <c r="Z62" s="1289"/>
      <c r="AA62" s="1289"/>
      <c r="AD62" s="2517"/>
      <c r="AE62" s="2517"/>
      <c r="AF62" s="2520"/>
      <c r="AG62" s="2520"/>
      <c r="AH62" s="2520"/>
      <c r="AI62" s="2520"/>
      <c r="AJ62" s="2520"/>
      <c r="AK62" s="2520"/>
      <c r="AL62" s="2520"/>
      <c r="AM62" s="2520"/>
      <c r="AN62" s="2520"/>
      <c r="AO62" s="2520"/>
    </row>
    <row r="63" spans="1:51">
      <c r="D63" s="1289"/>
      <c r="E63" s="1289"/>
      <c r="F63" s="1289"/>
      <c r="G63" s="1289"/>
      <c r="H63" s="1289"/>
      <c r="I63" s="1289"/>
      <c r="J63" s="1289"/>
      <c r="K63" s="1289"/>
      <c r="L63" s="1289"/>
      <c r="M63" s="1289"/>
      <c r="N63" s="1289"/>
      <c r="O63" s="1289"/>
      <c r="P63" s="1289"/>
      <c r="Q63" s="1289"/>
      <c r="R63" s="1289"/>
      <c r="S63" s="1289"/>
      <c r="T63" s="1289"/>
      <c r="U63" s="1289"/>
      <c r="V63" s="1289"/>
      <c r="W63" s="1289"/>
      <c r="X63" s="1289"/>
      <c r="Y63" s="1289"/>
      <c r="Z63" s="1289"/>
      <c r="AA63" s="1289"/>
      <c r="AD63" s="2517"/>
      <c r="AE63" s="2522"/>
      <c r="AF63" s="2520"/>
      <c r="AG63" s="2520"/>
      <c r="AH63" s="2520"/>
      <c r="AI63" s="2520"/>
      <c r="AJ63" s="2520"/>
      <c r="AK63" s="2520"/>
      <c r="AL63" s="2520"/>
      <c r="AM63" s="2520"/>
      <c r="AN63" s="2520"/>
      <c r="AO63" s="2520"/>
    </row>
    <row r="64" spans="1:51">
      <c r="D64" s="1289" t="s">
        <v>139</v>
      </c>
      <c r="E64" s="1289" t="s">
        <v>139</v>
      </c>
      <c r="F64" s="1289" t="s">
        <v>139</v>
      </c>
      <c r="G64" s="1289" t="s">
        <v>139</v>
      </c>
      <c r="H64" s="1289" t="s">
        <v>139</v>
      </c>
      <c r="I64" s="1289" t="s">
        <v>139</v>
      </c>
      <c r="J64" s="1289" t="s">
        <v>139</v>
      </c>
      <c r="K64" s="1289" t="s">
        <v>139</v>
      </c>
      <c r="L64" s="1289" t="s">
        <v>139</v>
      </c>
      <c r="M64" s="1289" t="s">
        <v>139</v>
      </c>
      <c r="N64" s="1289" t="s">
        <v>139</v>
      </c>
      <c r="O64" s="1289" t="s">
        <v>139</v>
      </c>
      <c r="P64" s="1289" t="s">
        <v>139</v>
      </c>
      <c r="Q64" s="1289" t="s">
        <v>139</v>
      </c>
      <c r="R64" s="1289" t="s">
        <v>139</v>
      </c>
      <c r="S64" s="1289" t="s">
        <v>139</v>
      </c>
      <c r="T64" s="1289" t="s">
        <v>139</v>
      </c>
      <c r="U64" s="1289" t="s">
        <v>139</v>
      </c>
      <c r="V64" s="1289" t="s">
        <v>139</v>
      </c>
      <c r="W64" s="1289" t="s">
        <v>139</v>
      </c>
      <c r="X64" s="1289" t="s">
        <v>139</v>
      </c>
      <c r="Y64" s="1289" t="s">
        <v>139</v>
      </c>
      <c r="Z64" s="1289" t="s">
        <v>139</v>
      </c>
      <c r="AA64" s="1289" t="s">
        <v>139</v>
      </c>
      <c r="AD64" s="2517"/>
      <c r="AE64" s="2517"/>
      <c r="AF64" s="2520"/>
      <c r="AG64" s="2520"/>
      <c r="AH64" s="2520"/>
      <c r="AI64" s="2520"/>
      <c r="AJ64" s="2520"/>
      <c r="AK64" s="2520"/>
      <c r="AL64" s="2520"/>
      <c r="AM64" s="2520"/>
      <c r="AN64" s="2520"/>
      <c r="AO64" s="2520"/>
    </row>
    <row r="65" spans="2:41">
      <c r="D65" s="1289"/>
      <c r="E65" s="1289"/>
      <c r="F65" s="1289"/>
      <c r="G65" s="1289"/>
      <c r="H65" s="1289"/>
      <c r="I65" s="1289"/>
      <c r="J65" s="1289"/>
      <c r="K65" s="1289"/>
      <c r="L65" s="1289"/>
      <c r="M65" s="1289"/>
      <c r="N65" s="1289"/>
      <c r="O65" s="1289"/>
      <c r="P65" s="1289"/>
      <c r="Q65" s="1289"/>
      <c r="R65" s="1289"/>
      <c r="S65" s="1289"/>
      <c r="T65" s="1289"/>
      <c r="U65" s="1289"/>
      <c r="V65" s="1289"/>
      <c r="W65" s="1289"/>
      <c r="X65" s="1289"/>
      <c r="Y65" s="1289"/>
      <c r="Z65" s="1289"/>
      <c r="AA65" s="1289"/>
      <c r="AD65" s="2517"/>
      <c r="AE65" s="2517"/>
      <c r="AF65" s="2520"/>
      <c r="AG65" s="2520"/>
      <c r="AH65" s="2520"/>
      <c r="AI65" s="2520"/>
      <c r="AJ65" s="2520"/>
      <c r="AK65" s="2520"/>
      <c r="AL65" s="2520"/>
      <c r="AM65" s="2520"/>
      <c r="AN65" s="2520"/>
      <c r="AO65" s="2520"/>
    </row>
    <row r="66" spans="2:41">
      <c r="B66" s="1271" t="s">
        <v>823</v>
      </c>
      <c r="C66" s="1283"/>
      <c r="D66" s="1289">
        <f t="shared" ref="D66:M66" si="9">D6-D8-D15</f>
        <v>0</v>
      </c>
      <c r="E66" s="1289">
        <f t="shared" si="9"/>
        <v>-100000</v>
      </c>
      <c r="F66" s="1289">
        <f t="shared" si="9"/>
        <v>0</v>
      </c>
      <c r="G66" s="1289">
        <f t="shared" si="9"/>
        <v>0</v>
      </c>
      <c r="H66" s="1289">
        <f t="shared" si="9"/>
        <v>0</v>
      </c>
      <c r="I66" s="1289">
        <f t="shared" si="9"/>
        <v>0</v>
      </c>
      <c r="J66" s="1289">
        <f t="shared" si="9"/>
        <v>-1000000</v>
      </c>
      <c r="K66" s="1289">
        <f t="shared" si="9"/>
        <v>1000000</v>
      </c>
      <c r="L66" s="1289">
        <f t="shared" si="9"/>
        <v>1000000</v>
      </c>
      <c r="M66" s="1289">
        <f t="shared" si="9"/>
        <v>-1000000</v>
      </c>
      <c r="N66" s="1289">
        <f>N6-N8-N15</f>
        <v>0</v>
      </c>
      <c r="O66" s="1289">
        <f t="shared" ref="O66:R66" si="10">O6-O8-O15</f>
        <v>0</v>
      </c>
      <c r="P66" s="1289">
        <f t="shared" si="10"/>
        <v>0</v>
      </c>
      <c r="Q66" s="1289">
        <f t="shared" si="10"/>
        <v>0</v>
      </c>
      <c r="R66" s="1289">
        <f t="shared" si="10"/>
        <v>0</v>
      </c>
      <c r="S66" s="1289">
        <f t="shared" ref="S66:AA66" si="11">S6-S8-S15</f>
        <v>0</v>
      </c>
      <c r="T66" s="1289">
        <f t="shared" si="11"/>
        <v>0</v>
      </c>
      <c r="U66" s="1289">
        <f t="shared" si="11"/>
        <v>0</v>
      </c>
      <c r="V66" s="1289">
        <f t="shared" si="11"/>
        <v>0</v>
      </c>
      <c r="W66" s="1289">
        <f t="shared" si="11"/>
        <v>0</v>
      </c>
      <c r="X66" s="1289">
        <f t="shared" si="11"/>
        <v>-1000000</v>
      </c>
      <c r="Y66" s="1289">
        <f t="shared" si="11"/>
        <v>0</v>
      </c>
      <c r="Z66" s="1289">
        <f t="shared" si="11"/>
        <v>0</v>
      </c>
      <c r="AA66" s="1289">
        <f t="shared" si="11"/>
        <v>-1000000</v>
      </c>
      <c r="AD66" s="1287"/>
      <c r="AE66" s="1287"/>
      <c r="AF66" s="365"/>
      <c r="AG66" s="365"/>
      <c r="AH66" s="365"/>
      <c r="AI66" s="365"/>
      <c r="AJ66" s="365"/>
      <c r="AK66" s="365"/>
      <c r="AL66" s="365"/>
      <c r="AM66" s="365"/>
      <c r="AN66" s="365"/>
      <c r="AO66" s="365"/>
    </row>
    <row r="67" spans="2:41">
      <c r="B67" s="1271" t="s">
        <v>141</v>
      </c>
      <c r="D67" s="1289">
        <f>D8-D9-D14-D19</f>
        <v>100000</v>
      </c>
      <c r="E67" s="1289">
        <f t="shared" ref="E67:R67" si="12">E8-E9-E14-E19</f>
        <v>100000</v>
      </c>
      <c r="F67" s="1289">
        <f t="shared" si="12"/>
        <v>100000</v>
      </c>
      <c r="G67" s="1289">
        <f t="shared" si="12"/>
        <v>0</v>
      </c>
      <c r="H67" s="1289">
        <f t="shared" si="12"/>
        <v>0</v>
      </c>
      <c r="I67" s="1289">
        <f t="shared" si="12"/>
        <v>100000</v>
      </c>
      <c r="J67" s="1289">
        <f t="shared" si="12"/>
        <v>0</v>
      </c>
      <c r="K67" s="1289">
        <f t="shared" si="12"/>
        <v>0</v>
      </c>
      <c r="L67" s="1289">
        <f t="shared" si="12"/>
        <v>0</v>
      </c>
      <c r="M67" s="1289">
        <f t="shared" si="12"/>
        <v>0</v>
      </c>
      <c r="N67" s="1289">
        <f>N8-N9-N14-N19</f>
        <v>0</v>
      </c>
      <c r="O67" s="1289">
        <f t="shared" si="12"/>
        <v>0</v>
      </c>
      <c r="P67" s="1289">
        <f t="shared" si="12"/>
        <v>0</v>
      </c>
      <c r="Q67" s="1289">
        <f t="shared" si="12"/>
        <v>0</v>
      </c>
      <c r="R67" s="1289">
        <f t="shared" si="12"/>
        <v>0</v>
      </c>
      <c r="S67" s="1289">
        <f t="shared" ref="S67:AA67" si="13">S8-S9-S14-S19</f>
        <v>0</v>
      </c>
      <c r="T67" s="1289">
        <f t="shared" si="13"/>
        <v>0</v>
      </c>
      <c r="U67" s="1289">
        <f t="shared" si="13"/>
        <v>0</v>
      </c>
      <c r="V67" s="1289">
        <f t="shared" si="13"/>
        <v>0</v>
      </c>
      <c r="W67" s="1289">
        <f t="shared" si="13"/>
        <v>0</v>
      </c>
      <c r="X67" s="1289">
        <f t="shared" si="13"/>
        <v>0</v>
      </c>
      <c r="Y67" s="1289">
        <f t="shared" si="13"/>
        <v>0</v>
      </c>
      <c r="Z67" s="1289">
        <f t="shared" si="13"/>
        <v>0</v>
      </c>
      <c r="AA67" s="1289">
        <f t="shared" si="13"/>
        <v>0</v>
      </c>
      <c r="AD67" s="1287"/>
      <c r="AE67" s="1287"/>
      <c r="AF67" s="365"/>
      <c r="AG67" s="365"/>
      <c r="AH67" s="365"/>
      <c r="AI67" s="365"/>
      <c r="AJ67" s="365"/>
      <c r="AK67" s="365"/>
      <c r="AL67" s="365"/>
      <c r="AM67" s="365"/>
      <c r="AN67" s="365"/>
      <c r="AO67" s="365"/>
    </row>
    <row r="68" spans="2:41">
      <c r="B68" s="1271" t="s">
        <v>142</v>
      </c>
      <c r="D68" s="1289">
        <f>D9-D10-D11-D12-D13</f>
        <v>0</v>
      </c>
      <c r="E68" s="1289">
        <f t="shared" ref="E68:R68" si="14">E9-E10-E11-E12-E13</f>
        <v>0</v>
      </c>
      <c r="F68" s="1289">
        <f t="shared" si="14"/>
        <v>0</v>
      </c>
      <c r="G68" s="1289">
        <f t="shared" si="14"/>
        <v>0</v>
      </c>
      <c r="H68" s="1289">
        <f t="shared" si="14"/>
        <v>0</v>
      </c>
      <c r="I68" s="1289">
        <f t="shared" si="14"/>
        <v>0</v>
      </c>
      <c r="J68" s="1289">
        <f t="shared" si="14"/>
        <v>0</v>
      </c>
      <c r="K68" s="1289">
        <f t="shared" si="14"/>
        <v>0</v>
      </c>
      <c r="L68" s="1289">
        <f t="shared" si="14"/>
        <v>0</v>
      </c>
      <c r="M68" s="1289">
        <f t="shared" si="14"/>
        <v>1000000</v>
      </c>
      <c r="N68" s="1289">
        <f t="shared" si="14"/>
        <v>-1000000</v>
      </c>
      <c r="O68" s="1289">
        <f t="shared" si="14"/>
        <v>0</v>
      </c>
      <c r="P68" s="1289">
        <f t="shared" si="14"/>
        <v>0</v>
      </c>
      <c r="Q68" s="1289">
        <f t="shared" si="14"/>
        <v>0</v>
      </c>
      <c r="R68" s="1289">
        <f t="shared" si="14"/>
        <v>0</v>
      </c>
      <c r="S68" s="1289">
        <f t="shared" ref="S68:AA68" si="15">S9-S10-S11-S12-S13</f>
        <v>0</v>
      </c>
      <c r="T68" s="1289">
        <f t="shared" si="15"/>
        <v>0</v>
      </c>
      <c r="U68" s="1289">
        <f t="shared" si="15"/>
        <v>-1000000</v>
      </c>
      <c r="V68" s="1289">
        <f t="shared" si="15"/>
        <v>1000000</v>
      </c>
      <c r="W68" s="1289">
        <f t="shared" si="15"/>
        <v>-1000000</v>
      </c>
      <c r="X68" s="1289">
        <f t="shared" si="15"/>
        <v>1000000</v>
      </c>
      <c r="Y68" s="1289">
        <f t="shared" si="15"/>
        <v>0</v>
      </c>
      <c r="Z68" s="1289">
        <f t="shared" si="15"/>
        <v>1000000</v>
      </c>
      <c r="AA68" s="1289">
        <f t="shared" si="15"/>
        <v>1000000</v>
      </c>
      <c r="AD68" s="1287"/>
      <c r="AE68" s="1287"/>
      <c r="AF68" s="365"/>
      <c r="AG68" s="365"/>
      <c r="AH68" s="365"/>
      <c r="AI68" s="365"/>
      <c r="AJ68" s="365"/>
      <c r="AK68" s="365"/>
      <c r="AL68" s="365"/>
      <c r="AM68" s="365"/>
      <c r="AN68" s="365"/>
      <c r="AO68" s="365"/>
    </row>
    <row r="69" spans="2:41">
      <c r="B69" s="1271" t="s">
        <v>143</v>
      </c>
      <c r="D69" s="1289">
        <f>D15-D17-D18-D16</f>
        <v>0</v>
      </c>
      <c r="E69" s="1289">
        <f t="shared" ref="E69:R69" si="16">E15-E17-E18-E16</f>
        <v>0</v>
      </c>
      <c r="F69" s="1289">
        <f t="shared" si="16"/>
        <v>0</v>
      </c>
      <c r="G69" s="1289">
        <f t="shared" si="16"/>
        <v>0</v>
      </c>
      <c r="H69" s="1289">
        <f t="shared" si="16"/>
        <v>100000</v>
      </c>
      <c r="I69" s="1289">
        <f t="shared" si="16"/>
        <v>0</v>
      </c>
      <c r="J69" s="1289">
        <f t="shared" si="16"/>
        <v>0</v>
      </c>
      <c r="K69" s="1289">
        <f t="shared" si="16"/>
        <v>0</v>
      </c>
      <c r="L69" s="1289">
        <f t="shared" si="16"/>
        <v>-1000000</v>
      </c>
      <c r="M69" s="1289">
        <f t="shared" si="16"/>
        <v>0</v>
      </c>
      <c r="N69" s="1289">
        <f t="shared" si="16"/>
        <v>0</v>
      </c>
      <c r="O69" s="1289">
        <f t="shared" si="16"/>
        <v>0</v>
      </c>
      <c r="P69" s="1289">
        <f t="shared" si="16"/>
        <v>0</v>
      </c>
      <c r="Q69" s="1289">
        <f t="shared" si="16"/>
        <v>0</v>
      </c>
      <c r="R69" s="1289">
        <f t="shared" si="16"/>
        <v>0</v>
      </c>
      <c r="S69" s="1289">
        <f t="shared" ref="S69:AA69" si="17">S15-S17-S18-S16</f>
        <v>0</v>
      </c>
      <c r="T69" s="1289">
        <f t="shared" si="17"/>
        <v>0</v>
      </c>
      <c r="U69" s="1289">
        <f t="shared" si="17"/>
        <v>0</v>
      </c>
      <c r="V69" s="1289">
        <f t="shared" si="17"/>
        <v>0</v>
      </c>
      <c r="W69" s="1289">
        <f t="shared" si="17"/>
        <v>0</v>
      </c>
      <c r="X69" s="1289">
        <f t="shared" si="17"/>
        <v>0</v>
      </c>
      <c r="Y69" s="1289">
        <f t="shared" si="17"/>
        <v>0</v>
      </c>
      <c r="Z69" s="1289">
        <f t="shared" si="17"/>
        <v>-1000000</v>
      </c>
      <c r="AA69" s="1289">
        <f t="shared" si="17"/>
        <v>0</v>
      </c>
      <c r="AD69" s="1287"/>
      <c r="AE69" s="1287"/>
      <c r="AF69" s="365"/>
      <c r="AG69" s="365"/>
      <c r="AH69" s="365"/>
      <c r="AI69" s="365"/>
      <c r="AJ69" s="365"/>
      <c r="AK69" s="365"/>
      <c r="AL69" s="365"/>
      <c r="AM69" s="365"/>
      <c r="AN69" s="365"/>
      <c r="AO69" s="365"/>
    </row>
    <row r="70" spans="2:41">
      <c r="B70" s="1271" t="s">
        <v>145</v>
      </c>
      <c r="D70" s="1289">
        <f>D21-D23-D32-D37-D38</f>
        <v>0</v>
      </c>
      <c r="E70" s="1289">
        <f t="shared" ref="E70:R70" si="18">E21-E23-E32-E37-E38</f>
        <v>0</v>
      </c>
      <c r="F70" s="1289">
        <f t="shared" si="18"/>
        <v>0</v>
      </c>
      <c r="G70" s="1289">
        <f t="shared" si="18"/>
        <v>0</v>
      </c>
      <c r="H70" s="1289">
        <f t="shared" si="18"/>
        <v>0</v>
      </c>
      <c r="I70" s="1289">
        <f t="shared" si="18"/>
        <v>0</v>
      </c>
      <c r="J70" s="1289">
        <f t="shared" si="18"/>
        <v>0</v>
      </c>
      <c r="K70" s="1289">
        <f t="shared" si="18"/>
        <v>0</v>
      </c>
      <c r="L70" s="1289">
        <f t="shared" si="18"/>
        <v>0</v>
      </c>
      <c r="M70" s="1289">
        <f t="shared" si="18"/>
        <v>0</v>
      </c>
      <c r="N70" s="1289">
        <f t="shared" si="18"/>
        <v>0</v>
      </c>
      <c r="O70" s="1289">
        <f t="shared" si="18"/>
        <v>0</v>
      </c>
      <c r="P70" s="1289">
        <f t="shared" si="18"/>
        <v>0</v>
      </c>
      <c r="Q70" s="1289">
        <f t="shared" si="18"/>
        <v>0</v>
      </c>
      <c r="R70" s="1289">
        <f t="shared" si="18"/>
        <v>0</v>
      </c>
      <c r="S70" s="1289">
        <f t="shared" ref="S70:AA70" si="19">S21-S23-S32-S37-S38</f>
        <v>0</v>
      </c>
      <c r="T70" s="1289">
        <f t="shared" si="19"/>
        <v>-1000000</v>
      </c>
      <c r="U70" s="1289">
        <f t="shared" si="19"/>
        <v>0</v>
      </c>
      <c r="V70" s="1289">
        <f t="shared" si="19"/>
        <v>0</v>
      </c>
      <c r="W70" s="1289">
        <f t="shared" si="19"/>
        <v>1000000</v>
      </c>
      <c r="X70" s="1289">
        <f t="shared" si="19"/>
        <v>1000000</v>
      </c>
      <c r="Y70" s="1289">
        <f t="shared" si="19"/>
        <v>1000000</v>
      </c>
      <c r="Z70" s="1289">
        <f t="shared" si="19"/>
        <v>0</v>
      </c>
      <c r="AA70" s="1289">
        <f t="shared" si="19"/>
        <v>0</v>
      </c>
      <c r="AD70" s="1287"/>
      <c r="AE70" s="1287"/>
      <c r="AF70" s="365"/>
      <c r="AG70" s="365"/>
      <c r="AH70" s="365"/>
      <c r="AI70" s="365"/>
      <c r="AJ70" s="365"/>
      <c r="AK70" s="365"/>
      <c r="AL70" s="365"/>
      <c r="AM70" s="365"/>
      <c r="AN70" s="365"/>
      <c r="AO70" s="365"/>
    </row>
    <row r="71" spans="2:41">
      <c r="B71" s="1271" t="s">
        <v>2655</v>
      </c>
      <c r="D71" s="1289">
        <f>D23-D24-D25-D26-D27-D30-D31</f>
        <v>-100000</v>
      </c>
      <c r="E71" s="1289">
        <f t="shared" ref="E71:R71" si="20">E23-E24-E25-E26-E27-E30-E31</f>
        <v>-100000</v>
      </c>
      <c r="F71" s="1289">
        <f t="shared" si="20"/>
        <v>100000</v>
      </c>
      <c r="G71" s="1289">
        <f t="shared" si="20"/>
        <v>0</v>
      </c>
      <c r="H71" s="1289">
        <f t="shared" si="20"/>
        <v>0</v>
      </c>
      <c r="I71" s="1289">
        <f t="shared" si="20"/>
        <v>-100000</v>
      </c>
      <c r="J71" s="1289">
        <f>J23-J24-J25-J26-J27-J30-J31</f>
        <v>0</v>
      </c>
      <c r="K71" s="1289">
        <f t="shared" si="20"/>
        <v>0</v>
      </c>
      <c r="L71" s="1289">
        <f t="shared" si="20"/>
        <v>1000000</v>
      </c>
      <c r="M71" s="1289">
        <f t="shared" si="20"/>
        <v>0</v>
      </c>
      <c r="N71" s="1289">
        <f t="shared" si="20"/>
        <v>-1000000</v>
      </c>
      <c r="O71" s="1289">
        <f t="shared" si="20"/>
        <v>0</v>
      </c>
      <c r="P71" s="1289">
        <f t="shared" si="20"/>
        <v>0</v>
      </c>
      <c r="Q71" s="1289">
        <f t="shared" si="20"/>
        <v>0</v>
      </c>
      <c r="R71" s="1289">
        <f t="shared" si="20"/>
        <v>0</v>
      </c>
      <c r="S71" s="1289">
        <f t="shared" ref="S71:AA71" si="21">S23-S24-S25-S26-S27-S30-S31</f>
        <v>0</v>
      </c>
      <c r="T71" s="1289">
        <f t="shared" si="21"/>
        <v>0</v>
      </c>
      <c r="U71" s="1289">
        <f t="shared" si="21"/>
        <v>-1000000</v>
      </c>
      <c r="V71" s="1289">
        <f t="shared" si="21"/>
        <v>0</v>
      </c>
      <c r="W71" s="1289">
        <f t="shared" si="21"/>
        <v>1000000</v>
      </c>
      <c r="X71" s="1289">
        <f t="shared" si="21"/>
        <v>0</v>
      </c>
      <c r="Y71" s="1289">
        <f t="shared" si="21"/>
        <v>0</v>
      </c>
      <c r="Z71" s="1289">
        <f t="shared" si="21"/>
        <v>1000000</v>
      </c>
      <c r="AA71" s="1289">
        <f t="shared" si="21"/>
        <v>-1000000</v>
      </c>
      <c r="AD71" s="1287"/>
      <c r="AE71" s="1287"/>
      <c r="AF71" s="365"/>
      <c r="AG71" s="365"/>
      <c r="AH71" s="365"/>
      <c r="AI71" s="365"/>
      <c r="AJ71" s="365"/>
      <c r="AK71" s="365"/>
      <c r="AL71" s="365"/>
      <c r="AM71" s="365"/>
      <c r="AN71" s="365"/>
      <c r="AO71" s="365"/>
    </row>
    <row r="72" spans="2:41">
      <c r="B72" s="1271" t="s">
        <v>936</v>
      </c>
      <c r="D72" s="1289">
        <f>D27-D28-D29</f>
        <v>0</v>
      </c>
      <c r="E72" s="1289">
        <f t="shared" ref="E72:R72" si="22">E27-E28-E29</f>
        <v>100000</v>
      </c>
      <c r="F72" s="1289">
        <f t="shared" si="22"/>
        <v>-100000</v>
      </c>
      <c r="G72" s="1289">
        <f t="shared" si="22"/>
        <v>0</v>
      </c>
      <c r="H72" s="1289">
        <f t="shared" si="22"/>
        <v>0</v>
      </c>
      <c r="I72" s="1289">
        <f t="shared" si="22"/>
        <v>0</v>
      </c>
      <c r="J72" s="1289">
        <f t="shared" si="22"/>
        <v>0</v>
      </c>
      <c r="K72" s="1289">
        <f t="shared" si="22"/>
        <v>0</v>
      </c>
      <c r="L72" s="1289">
        <f t="shared" si="22"/>
        <v>-1000000</v>
      </c>
      <c r="M72" s="1289">
        <f t="shared" si="22"/>
        <v>0</v>
      </c>
      <c r="N72" s="1289">
        <f t="shared" si="22"/>
        <v>0</v>
      </c>
      <c r="O72" s="1289">
        <f t="shared" si="22"/>
        <v>-1000000</v>
      </c>
      <c r="P72" s="1289">
        <f t="shared" si="22"/>
        <v>0</v>
      </c>
      <c r="Q72" s="1289">
        <f t="shared" si="22"/>
        <v>0</v>
      </c>
      <c r="R72" s="1289">
        <f t="shared" si="22"/>
        <v>0</v>
      </c>
      <c r="S72" s="1289">
        <f t="shared" ref="S72:AA72" si="23">S27-S28-S29</f>
        <v>0</v>
      </c>
      <c r="T72" s="1289">
        <f t="shared" si="23"/>
        <v>0</v>
      </c>
      <c r="U72" s="1289">
        <f t="shared" si="23"/>
        <v>1000000</v>
      </c>
      <c r="V72" s="1289">
        <f t="shared" si="23"/>
        <v>0</v>
      </c>
      <c r="W72" s="1289">
        <f t="shared" si="23"/>
        <v>0</v>
      </c>
      <c r="X72" s="1289">
        <f t="shared" si="23"/>
        <v>0</v>
      </c>
      <c r="Y72" s="1289">
        <f t="shared" si="23"/>
        <v>0</v>
      </c>
      <c r="Z72" s="1289">
        <f t="shared" si="23"/>
        <v>-1000000</v>
      </c>
      <c r="AA72" s="1289">
        <f t="shared" si="23"/>
        <v>0</v>
      </c>
      <c r="AD72" s="1287"/>
      <c r="AE72" s="1287"/>
      <c r="AF72" s="365"/>
      <c r="AG72" s="365"/>
      <c r="AH72" s="365"/>
      <c r="AI72" s="365"/>
      <c r="AJ72" s="365"/>
      <c r="AK72" s="365"/>
      <c r="AL72" s="365"/>
      <c r="AM72" s="365"/>
      <c r="AN72" s="365"/>
      <c r="AO72" s="365"/>
    </row>
    <row r="73" spans="2:41">
      <c r="B73" s="1271" t="s">
        <v>876</v>
      </c>
      <c r="D73" s="1289">
        <f>D32-D34-D35-D36</f>
        <v>0</v>
      </c>
      <c r="E73" s="1289">
        <f t="shared" ref="E73:R73" si="24">E32-E34-E35-E36</f>
        <v>0</v>
      </c>
      <c r="F73" s="1289">
        <f t="shared" si="24"/>
        <v>0</v>
      </c>
      <c r="G73" s="1289">
        <f t="shared" si="24"/>
        <v>0</v>
      </c>
      <c r="H73" s="1289">
        <f t="shared" si="24"/>
        <v>0</v>
      </c>
      <c r="I73" s="1289">
        <f t="shared" si="24"/>
        <v>0</v>
      </c>
      <c r="J73" s="1289">
        <f t="shared" si="24"/>
        <v>0</v>
      </c>
      <c r="K73" s="1289">
        <f t="shared" si="24"/>
        <v>1000000</v>
      </c>
      <c r="L73" s="1289">
        <f t="shared" si="24"/>
        <v>0</v>
      </c>
      <c r="M73" s="1289">
        <f t="shared" si="24"/>
        <v>0</v>
      </c>
      <c r="N73" s="1289">
        <f t="shared" si="24"/>
        <v>1000000</v>
      </c>
      <c r="O73" s="1289">
        <f t="shared" si="24"/>
        <v>0</v>
      </c>
      <c r="P73" s="1289">
        <f t="shared" si="24"/>
        <v>0</v>
      </c>
      <c r="Q73" s="1289">
        <f t="shared" si="24"/>
        <v>0</v>
      </c>
      <c r="R73" s="1289">
        <f t="shared" si="24"/>
        <v>0</v>
      </c>
      <c r="S73" s="1289">
        <f t="shared" ref="S73:AA73" si="25">S32-S34-S35-S36</f>
        <v>0</v>
      </c>
      <c r="T73" s="1289">
        <f t="shared" si="25"/>
        <v>0</v>
      </c>
      <c r="U73" s="1289">
        <f t="shared" si="25"/>
        <v>0</v>
      </c>
      <c r="V73" s="1289">
        <f t="shared" si="25"/>
        <v>1000000</v>
      </c>
      <c r="W73" s="1289">
        <f t="shared" si="25"/>
        <v>-1000000</v>
      </c>
      <c r="X73" s="1289">
        <f t="shared" si="25"/>
        <v>-1000000</v>
      </c>
      <c r="Y73" s="1289">
        <f t="shared" si="25"/>
        <v>0</v>
      </c>
      <c r="Z73" s="1289">
        <f t="shared" si="25"/>
        <v>0</v>
      </c>
      <c r="AA73" s="1289">
        <f t="shared" si="25"/>
        <v>1000000</v>
      </c>
      <c r="AD73" s="1287"/>
      <c r="AE73" s="1287"/>
      <c r="AF73" s="365"/>
      <c r="AG73" s="365"/>
      <c r="AH73" s="365"/>
      <c r="AI73" s="365"/>
      <c r="AJ73" s="365"/>
      <c r="AK73" s="365"/>
      <c r="AL73" s="365"/>
      <c r="AM73" s="365"/>
      <c r="AN73" s="365"/>
      <c r="AO73" s="365"/>
    </row>
    <row r="74" spans="2:41">
      <c r="B74" s="1271" t="s">
        <v>2656</v>
      </c>
      <c r="D74" s="1289">
        <f>D43-D46-D56</f>
        <v>0</v>
      </c>
      <c r="E74" s="1289">
        <f t="shared" ref="E74:M74" si="26">E43-E46-E56</f>
        <v>0</v>
      </c>
      <c r="F74" s="1289">
        <f t="shared" si="26"/>
        <v>0</v>
      </c>
      <c r="G74" s="1289">
        <f t="shared" si="26"/>
        <v>5.9604644775390625E-8</v>
      </c>
      <c r="H74" s="1289">
        <f t="shared" si="26"/>
        <v>0</v>
      </c>
      <c r="I74" s="1289">
        <f t="shared" si="26"/>
        <v>0</v>
      </c>
      <c r="J74" s="1289">
        <f t="shared" si="26"/>
        <v>0</v>
      </c>
      <c r="K74" s="1289">
        <f t="shared" si="26"/>
        <v>0</v>
      </c>
      <c r="L74" s="1289">
        <f t="shared" si="26"/>
        <v>0</v>
      </c>
      <c r="M74" s="1289">
        <f t="shared" si="26"/>
        <v>0</v>
      </c>
      <c r="N74" s="1289">
        <f>N43-N45-N56</f>
        <v>0</v>
      </c>
      <c r="O74" s="1289">
        <f t="shared" ref="O74:R74" si="27">O43-O45-O56</f>
        <v>0</v>
      </c>
      <c r="P74" s="1289">
        <f t="shared" si="27"/>
        <v>-1000000</v>
      </c>
      <c r="Q74" s="1289">
        <f t="shared" si="27"/>
        <v>0</v>
      </c>
      <c r="R74" s="1289">
        <f t="shared" si="27"/>
        <v>0</v>
      </c>
      <c r="S74" s="1289">
        <f t="shared" ref="S74:AA74" si="28">S43-S45-S56</f>
        <v>0</v>
      </c>
      <c r="T74" s="1289">
        <f t="shared" si="28"/>
        <v>0</v>
      </c>
      <c r="U74" s="1289">
        <f t="shared" si="28"/>
        <v>0</v>
      </c>
      <c r="V74" s="1289">
        <f t="shared" si="28"/>
        <v>0</v>
      </c>
      <c r="W74" s="1289">
        <f t="shared" si="28"/>
        <v>0</v>
      </c>
      <c r="X74" s="1289">
        <f t="shared" si="28"/>
        <v>0</v>
      </c>
      <c r="Y74" s="1289">
        <f t="shared" si="28"/>
        <v>0</v>
      </c>
      <c r="Z74" s="1289">
        <f t="shared" si="28"/>
        <v>0</v>
      </c>
      <c r="AA74" s="1289">
        <f t="shared" si="28"/>
        <v>0</v>
      </c>
      <c r="AD74" s="1287"/>
      <c r="AE74" s="1287"/>
      <c r="AF74" s="365"/>
      <c r="AG74" s="365"/>
      <c r="AH74" s="365"/>
      <c r="AI74" s="365"/>
      <c r="AJ74" s="365"/>
      <c r="AK74" s="365"/>
      <c r="AL74" s="365"/>
      <c r="AM74" s="365"/>
      <c r="AN74" s="365"/>
      <c r="AO74" s="365"/>
    </row>
    <row r="75" spans="2:41">
      <c r="B75" s="1271" t="s">
        <v>362</v>
      </c>
      <c r="D75" s="1289">
        <f t="shared" ref="D75:J75" si="29">D46-D48-D50-D53-D54-D55-D52-D51</f>
        <v>0</v>
      </c>
      <c r="E75" s="1289">
        <f t="shared" si="29"/>
        <v>0</v>
      </c>
      <c r="F75" s="1289">
        <f t="shared" si="29"/>
        <v>100000</v>
      </c>
      <c r="G75" s="1289">
        <f t="shared" si="29"/>
        <v>-5.9604644775390625E-8</v>
      </c>
      <c r="H75" s="1289">
        <f t="shared" si="29"/>
        <v>0</v>
      </c>
      <c r="I75" s="1289">
        <f t="shared" si="29"/>
        <v>0</v>
      </c>
      <c r="J75" s="1289">
        <f t="shared" si="29"/>
        <v>1000000</v>
      </c>
      <c r="K75" s="1289">
        <f>K46-K48-K50-K53-K54-K55-K52-K51</f>
        <v>-1000000</v>
      </c>
      <c r="L75" s="1289">
        <f t="shared" ref="L75:R75" si="30">L46-L48-L50-L53-L54-L55-L52-L51</f>
        <v>-1000000</v>
      </c>
      <c r="M75" s="1289">
        <f t="shared" si="30"/>
        <v>1000000</v>
      </c>
      <c r="N75" s="1289">
        <f t="shared" si="30"/>
        <v>0</v>
      </c>
      <c r="O75" s="1289">
        <f t="shared" si="30"/>
        <v>0</v>
      </c>
      <c r="P75" s="1289">
        <f t="shared" si="30"/>
        <v>1000000</v>
      </c>
      <c r="Q75" s="1289">
        <f t="shared" si="30"/>
        <v>0</v>
      </c>
      <c r="R75" s="1289">
        <f t="shared" si="30"/>
        <v>-1000000</v>
      </c>
      <c r="S75" s="1289">
        <f t="shared" ref="S75:AA75" si="31">S46-S48-S50-S53-S54-S55-S52-S51</f>
        <v>-1000000</v>
      </c>
      <c r="T75" s="1289">
        <f t="shared" si="31"/>
        <v>0</v>
      </c>
      <c r="U75" s="1289">
        <f>U46-U48-U50-U53-U54-U55-U52-U51</f>
        <v>-188000000</v>
      </c>
      <c r="V75" s="1289">
        <f t="shared" si="31"/>
        <v>0</v>
      </c>
      <c r="W75" s="1289">
        <f t="shared" si="31"/>
        <v>0</v>
      </c>
      <c r="X75" s="1289">
        <f t="shared" si="31"/>
        <v>0</v>
      </c>
      <c r="Y75" s="1289">
        <f t="shared" si="31"/>
        <v>1000000</v>
      </c>
      <c r="Z75" s="1289">
        <f t="shared" si="31"/>
        <v>1000000</v>
      </c>
      <c r="AA75" s="1289">
        <f t="shared" si="31"/>
        <v>1000000</v>
      </c>
      <c r="AD75" s="1287"/>
      <c r="AE75" s="1287"/>
      <c r="AF75" s="365"/>
      <c r="AG75" s="365"/>
      <c r="AH75" s="365"/>
      <c r="AI75" s="365"/>
      <c r="AJ75" s="365"/>
      <c r="AK75" s="365"/>
      <c r="AL75" s="365"/>
      <c r="AM75" s="365"/>
      <c r="AN75" s="365"/>
      <c r="AO75" s="365"/>
    </row>
    <row r="76" spans="2:41">
      <c r="B76" s="1271" t="s">
        <v>1171</v>
      </c>
      <c r="D76" s="1289">
        <f>D56-D58-D59-D60</f>
        <v>0</v>
      </c>
      <c r="E76" s="1289">
        <f t="shared" ref="E76:R76" si="32">E56-E58-E59-E60</f>
        <v>0</v>
      </c>
      <c r="F76" s="1289">
        <f t="shared" si="32"/>
        <v>0</v>
      </c>
      <c r="G76" s="1289">
        <f t="shared" si="32"/>
        <v>0</v>
      </c>
      <c r="H76" s="1289">
        <f t="shared" si="32"/>
        <v>0</v>
      </c>
      <c r="I76" s="1289">
        <f t="shared" si="32"/>
        <v>0</v>
      </c>
      <c r="J76" s="1289">
        <f>J56-J58-J59-J60</f>
        <v>0</v>
      </c>
      <c r="K76" s="1289">
        <f t="shared" si="32"/>
        <v>0</v>
      </c>
      <c r="L76" s="1289">
        <f t="shared" si="32"/>
        <v>0</v>
      </c>
      <c r="M76" s="1289">
        <f t="shared" si="32"/>
        <v>0</v>
      </c>
      <c r="N76" s="1289">
        <f t="shared" si="32"/>
        <v>0</v>
      </c>
      <c r="O76" s="1289">
        <f t="shared" si="32"/>
        <v>0</v>
      </c>
      <c r="P76" s="1289">
        <f t="shared" si="32"/>
        <v>0</v>
      </c>
      <c r="Q76" s="1289">
        <f t="shared" si="32"/>
        <v>0</v>
      </c>
      <c r="R76" s="1289">
        <f t="shared" si="32"/>
        <v>0</v>
      </c>
      <c r="S76" s="1289">
        <f t="shared" ref="S76:AA76" si="33">S56-S58-S59-S60</f>
        <v>0</v>
      </c>
      <c r="T76" s="1289">
        <f t="shared" si="33"/>
        <v>0</v>
      </c>
      <c r="U76" s="1289">
        <f t="shared" si="33"/>
        <v>0</v>
      </c>
      <c r="V76" s="1289">
        <f t="shared" si="33"/>
        <v>0</v>
      </c>
      <c r="W76" s="1289">
        <f t="shared" si="33"/>
        <v>0</v>
      </c>
      <c r="X76" s="1289">
        <f t="shared" si="33"/>
        <v>0</v>
      </c>
      <c r="Y76" s="1289">
        <f t="shared" si="33"/>
        <v>0</v>
      </c>
      <c r="Z76" s="1289">
        <f t="shared" si="33"/>
        <v>0</v>
      </c>
      <c r="AA76" s="1289">
        <f t="shared" si="33"/>
        <v>0</v>
      </c>
      <c r="AD76" s="1287"/>
      <c r="AE76" s="1287"/>
      <c r="AF76" s="365"/>
      <c r="AG76" s="365"/>
      <c r="AH76" s="365"/>
      <c r="AI76" s="365"/>
      <c r="AJ76" s="365"/>
      <c r="AK76" s="365"/>
      <c r="AL76" s="365"/>
      <c r="AM76" s="365"/>
      <c r="AN76" s="365"/>
      <c r="AO76" s="365"/>
    </row>
    <row r="77" spans="2:41">
      <c r="T77" s="1299"/>
    </row>
    <row r="78" spans="2:41">
      <c r="D78" s="1284"/>
    </row>
    <row r="79" spans="2:41">
      <c r="B79" s="1271" t="s">
        <v>724</v>
      </c>
      <c r="D79" s="1271">
        <v>7768000000</v>
      </c>
      <c r="E79" s="1271">
        <v>9462000000</v>
      </c>
      <c r="F79" s="1271">
        <v>10629000000</v>
      </c>
      <c r="G79" s="1271">
        <v>14470000000</v>
      </c>
      <c r="H79" s="1271">
        <v>17381000000</v>
      </c>
      <c r="I79" s="1271">
        <v>17836000000</v>
      </c>
      <c r="J79" s="1271">
        <v>18385000000</v>
      </c>
      <c r="K79" s="1271">
        <v>19871000000</v>
      </c>
      <c r="L79" s="1271">
        <v>21433000000</v>
      </c>
      <c r="M79" s="1271">
        <v>23997000000</v>
      </c>
      <c r="N79" s="1271">
        <v>26662000000</v>
      </c>
      <c r="O79" s="1271">
        <v>26465000000</v>
      </c>
      <c r="P79" s="1271">
        <v>29108000000</v>
      </c>
      <c r="Q79" s="1271">
        <v>32676000000.000004</v>
      </c>
      <c r="R79" s="1271">
        <v>36865000000</v>
      </c>
      <c r="S79" s="1271">
        <v>41295000000</v>
      </c>
      <c r="T79" s="1271">
        <v>38581000000</v>
      </c>
      <c r="U79" s="1271">
        <v>42252000000</v>
      </c>
      <c r="V79" s="1271">
        <v>47289000000</v>
      </c>
      <c r="W79" s="1271">
        <v>52577000000</v>
      </c>
      <c r="X79" s="1271">
        <v>57973000000</v>
      </c>
      <c r="Y79" s="1271">
        <v>63645000000</v>
      </c>
      <c r="Z79" s="1271">
        <v>69848000000</v>
      </c>
      <c r="AA79" s="1271">
        <v>76574000000</v>
      </c>
    </row>
    <row r="80" spans="2:41">
      <c r="B80" s="1271" t="s">
        <v>363</v>
      </c>
      <c r="D80" s="1285">
        <f>(D6/D79)*100</f>
        <v>14.382080329557157</v>
      </c>
      <c r="E80" s="1285">
        <f t="shared" ref="E80:R80" si="34">(E6/E79)*100</f>
        <v>11.89706193193828</v>
      </c>
      <c r="F80" s="1285">
        <f t="shared" si="34"/>
        <v>14.382350174052123</v>
      </c>
      <c r="G80" s="1285">
        <f t="shared" si="34"/>
        <v>12.580511402902559</v>
      </c>
      <c r="H80" s="1285">
        <f t="shared" si="34"/>
        <v>17.634198262470512</v>
      </c>
      <c r="I80" s="1285">
        <f t="shared" si="34"/>
        <v>15.830343126261493</v>
      </c>
      <c r="J80" s="1285">
        <f t="shared" si="34"/>
        <v>17.421811259178678</v>
      </c>
      <c r="K80" s="1285">
        <f t="shared" si="34"/>
        <v>18.433898646268432</v>
      </c>
      <c r="L80" s="1285">
        <f t="shared" si="34"/>
        <v>17.473055568515843</v>
      </c>
      <c r="M80" s="1285">
        <f t="shared" si="34"/>
        <v>20.456723757136309</v>
      </c>
      <c r="N80" s="1285">
        <f t="shared" si="34"/>
        <v>18.850798889805716</v>
      </c>
      <c r="O80" s="1285">
        <f t="shared" si="34"/>
        <v>21.231815605516722</v>
      </c>
      <c r="P80" s="1285">
        <f t="shared" si="34"/>
        <v>25.412257798543358</v>
      </c>
      <c r="Q80" s="1285">
        <f t="shared" si="34"/>
        <v>18.337617823479004</v>
      </c>
      <c r="R80" s="1285">
        <f t="shared" si="34"/>
        <v>20.941272209412723</v>
      </c>
      <c r="S80" s="1285">
        <f t="shared" ref="S80" si="35">(S6/S79)*100</f>
        <v>20.147717641360941</v>
      </c>
      <c r="T80" s="1285">
        <f>(T6/T79)*100</f>
        <v>21.943443663979679</v>
      </c>
      <c r="U80" s="1285">
        <f t="shared" ref="U80:AA80" si="36">(U6/U79)*100</f>
        <v>31.48016661933163</v>
      </c>
      <c r="V80" s="1285">
        <f t="shared" si="36"/>
        <v>35.409926198481678</v>
      </c>
      <c r="W80" s="1285">
        <f t="shared" si="36"/>
        <v>37.685680050212071</v>
      </c>
      <c r="X80" s="1285">
        <f t="shared" si="36"/>
        <v>37.286322943439188</v>
      </c>
      <c r="Y80" s="1285">
        <f t="shared" si="36"/>
        <v>36.315500039280387</v>
      </c>
      <c r="Z80" s="1285">
        <f t="shared" si="36"/>
        <v>36.137040430649407</v>
      </c>
      <c r="AA80" s="1285">
        <f t="shared" si="36"/>
        <v>34.975317993052471</v>
      </c>
      <c r="AB80" s="1285"/>
    </row>
    <row r="81" spans="2:28">
      <c r="B81" s="1271" t="s">
        <v>152</v>
      </c>
      <c r="D81" s="1285">
        <f>(D20/D79)*100</f>
        <v>15.346292481977342</v>
      </c>
      <c r="E81" s="1285">
        <f t="shared" ref="E81:R81" si="37">(E20/E79)*100</f>
        <v>21.532445571760729</v>
      </c>
      <c r="F81" s="1285">
        <f t="shared" si="37"/>
        <v>17.440963402013359</v>
      </c>
      <c r="G81" s="1285">
        <f t="shared" si="37"/>
        <v>15.844505874222529</v>
      </c>
      <c r="H81" s="1285">
        <f t="shared" si="37"/>
        <v>21.577584718945975</v>
      </c>
      <c r="I81" s="1285">
        <f t="shared" si="37"/>
        <v>22.208454810495624</v>
      </c>
      <c r="J81" s="1285">
        <f t="shared" si="37"/>
        <v>22.905629589339135</v>
      </c>
      <c r="K81" s="1285">
        <f t="shared" si="37"/>
        <v>18.292989784107494</v>
      </c>
      <c r="L81" s="1285">
        <f t="shared" si="37"/>
        <v>19.311342322586668</v>
      </c>
      <c r="M81" s="1285">
        <f t="shared" si="37"/>
        <v>23.682126932533233</v>
      </c>
      <c r="N81" s="1285">
        <f t="shared" si="37"/>
        <v>23.599129847723351</v>
      </c>
      <c r="O81" s="1285">
        <f t="shared" si="37"/>
        <v>25.962592102777254</v>
      </c>
      <c r="P81" s="1285">
        <f t="shared" si="37"/>
        <v>29.802803353030093</v>
      </c>
      <c r="Q81" s="1285">
        <f t="shared" si="37"/>
        <v>26.787244460766306</v>
      </c>
      <c r="R81" s="1285">
        <f t="shared" si="37"/>
        <v>30.221076902210768</v>
      </c>
      <c r="S81" s="1285">
        <f>(S21/S79)*100</f>
        <v>27.77333817653469</v>
      </c>
      <c r="T81" s="1285">
        <f t="shared" ref="T81:AA81" si="38">(T21/T79)*100</f>
        <v>32.61968326378269</v>
      </c>
      <c r="U81" s="1285">
        <f t="shared" si="38"/>
        <v>40.34128561961564</v>
      </c>
      <c r="V81" s="1285">
        <f t="shared" si="38"/>
        <v>39.713252553447944</v>
      </c>
      <c r="W81" s="1285">
        <f t="shared" si="38"/>
        <v>38.341860509348194</v>
      </c>
      <c r="X81" s="1285">
        <f t="shared" si="38"/>
        <v>39.368326634812753</v>
      </c>
      <c r="Y81" s="1285">
        <f t="shared" si="38"/>
        <v>38.589048629114622</v>
      </c>
      <c r="Z81" s="1285">
        <f t="shared" si="38"/>
        <v>38.161436261596613</v>
      </c>
      <c r="AA81" s="1285">
        <f t="shared" si="38"/>
        <v>35.927338261028545</v>
      </c>
      <c r="AB81" s="1285"/>
    </row>
    <row r="84" spans="2:28" ht="13.5" customHeight="1">
      <c r="B84" s="1271" t="s">
        <v>153</v>
      </c>
      <c r="D84" s="1271" t="b">
        <f>IF(D38&lt;0, (D38/D20)*100)</f>
        <v>0</v>
      </c>
      <c r="E84" s="1271" t="b">
        <f t="shared" ref="E84:R84" si="39">IF(E38&lt;0, (E38/E20)*100)</f>
        <v>0</v>
      </c>
      <c r="F84" s="1271" t="b">
        <f t="shared" si="39"/>
        <v>0</v>
      </c>
      <c r="G84" s="1271" t="b">
        <f t="shared" si="39"/>
        <v>0</v>
      </c>
      <c r="H84" s="1271" t="b">
        <f t="shared" si="39"/>
        <v>0</v>
      </c>
      <c r="I84" s="1271" t="b">
        <f t="shared" si="39"/>
        <v>0</v>
      </c>
      <c r="J84" s="1271" t="b">
        <f t="shared" si="39"/>
        <v>0</v>
      </c>
      <c r="K84" s="1271" t="b">
        <f t="shared" si="39"/>
        <v>0</v>
      </c>
      <c r="L84" s="1271" t="b">
        <f t="shared" si="39"/>
        <v>0</v>
      </c>
      <c r="M84" s="1271" t="b">
        <f t="shared" si="39"/>
        <v>0</v>
      </c>
      <c r="N84" s="1271" t="b">
        <f t="shared" si="39"/>
        <v>0</v>
      </c>
      <c r="O84" s="1271" t="b">
        <f t="shared" si="39"/>
        <v>0</v>
      </c>
      <c r="P84" s="1271" t="b">
        <f t="shared" si="39"/>
        <v>0</v>
      </c>
      <c r="Q84" s="1271" t="b">
        <f t="shared" si="39"/>
        <v>0</v>
      </c>
      <c r="R84" s="1271" t="b">
        <f t="shared" si="39"/>
        <v>0</v>
      </c>
      <c r="S84" s="1271" t="e">
        <f>IF(#REF!&lt;0, (#REF!/#REF!)*100)</f>
        <v>#REF!</v>
      </c>
      <c r="T84" s="1271" t="b">
        <f>IF(S38&lt;0, (S38/S20)*100)</f>
        <v>0</v>
      </c>
      <c r="U84" s="1271" t="b">
        <f>IF(T38&lt;0, (T38/T20)*100)</f>
        <v>0</v>
      </c>
      <c r="V84" s="1271" t="b">
        <f>IF(U38&lt;0, (U38/U20)*100)</f>
        <v>0</v>
      </c>
      <c r="W84" s="1271" t="b">
        <f>IF(V35&lt;0, (V35/V21)*100)</f>
        <v>0</v>
      </c>
    </row>
    <row r="87" spans="2:28">
      <c r="O87" s="1284"/>
    </row>
    <row r="88" spans="2:28">
      <c r="N88" s="1284"/>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6" activePane="bottomRight" state="frozen"/>
      <selection pane="topRight" activeCell="D1" sqref="D1"/>
      <selection pane="bottomLeft" activeCell="A6" sqref="A6"/>
      <selection pane="bottomRight" activeCell="Z6" sqref="Z6"/>
    </sheetView>
  </sheetViews>
  <sheetFormatPr defaultRowHeight="15"/>
  <cols>
    <col min="1" max="1" width="27" style="1306" bestFit="1" customWidth="1"/>
    <col min="2" max="2" width="44.85546875" style="1306" bestFit="1" customWidth="1"/>
    <col min="3" max="3" width="22.42578125" style="1306" bestFit="1" customWidth="1"/>
    <col min="4" max="4" width="15.28515625" style="1306" bestFit="1" customWidth="1"/>
    <col min="5" max="11" width="14.7109375" style="1306" bestFit="1" customWidth="1"/>
    <col min="12" max="13" width="15.7109375" style="1306" bestFit="1" customWidth="1"/>
    <col min="14" max="14" width="16.28515625" style="1306" bestFit="1" customWidth="1"/>
    <col min="15" max="15" width="15.5703125" style="1306" bestFit="1" customWidth="1"/>
    <col min="16" max="17" width="18.140625" style="1306" bestFit="1" customWidth="1"/>
    <col min="18" max="20" width="16.140625" style="1306" bestFit="1" customWidth="1"/>
    <col min="21" max="26" width="16.85546875" style="1306" bestFit="1" customWidth="1"/>
    <col min="27" max="31" width="8.85546875" style="1306"/>
  </cols>
  <sheetData>
    <row r="1" spans="1:53">
      <c r="A1" s="1300" t="s">
        <v>2657</v>
      </c>
      <c r="B1" s="1346" t="s">
        <v>2658</v>
      </c>
      <c r="C1" s="1302"/>
      <c r="D1" s="1303"/>
      <c r="E1" s="1303"/>
      <c r="F1" s="1303"/>
      <c r="G1" s="1303"/>
      <c r="H1" s="1303"/>
      <c r="I1" s="1303"/>
      <c r="J1" s="1303"/>
      <c r="K1" s="1303"/>
      <c r="L1" s="1303"/>
      <c r="M1" s="1303"/>
      <c r="N1" s="1303"/>
      <c r="O1" s="1304"/>
      <c r="P1" s="1304"/>
      <c r="Q1" s="1304"/>
      <c r="R1" s="1305"/>
      <c r="S1" s="1304"/>
      <c r="T1" s="1304"/>
      <c r="U1" s="1304"/>
      <c r="V1" s="1304"/>
      <c r="W1" s="1304"/>
      <c r="X1" s="1304"/>
      <c r="Y1" s="1337"/>
      <c r="Z1" s="1337"/>
      <c r="AA1" s="1301"/>
      <c r="AB1" s="1301"/>
      <c r="AC1" s="1301"/>
      <c r="AD1" s="1301"/>
      <c r="AE1" s="1301"/>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1347" t="s">
        <v>2659</v>
      </c>
      <c r="C2" s="1307"/>
      <c r="D2" s="1304"/>
      <c r="E2" s="1304"/>
      <c r="F2" s="1304"/>
      <c r="G2" s="1304"/>
      <c r="H2" s="1304"/>
      <c r="I2" s="1304"/>
      <c r="J2" s="1304"/>
      <c r="K2" s="1304"/>
      <c r="L2" s="1304"/>
      <c r="M2" s="1304"/>
      <c r="N2" s="1304"/>
      <c r="O2" s="1304"/>
      <c r="P2" s="1304"/>
      <c r="Q2" s="1304"/>
      <c r="R2" s="1308"/>
      <c r="S2" s="1309"/>
      <c r="T2" s="1310"/>
      <c r="U2" s="1304"/>
      <c r="V2" s="1304"/>
      <c r="W2" s="1304"/>
      <c r="X2" s="1304"/>
      <c r="Y2" s="1337"/>
      <c r="Z2" s="1337"/>
      <c r="AA2" s="1301"/>
      <c r="AB2" s="1301"/>
      <c r="AC2" s="1301"/>
      <c r="AD2" s="1301"/>
      <c r="AE2" s="1301"/>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1311" t="s">
        <v>3</v>
      </c>
      <c r="C3" s="1311"/>
      <c r="D3" s="1304">
        <v>2000</v>
      </c>
      <c r="E3" s="1304">
        <v>2001</v>
      </c>
      <c r="F3" s="1304">
        <v>2002</v>
      </c>
      <c r="G3" s="1304">
        <v>2003</v>
      </c>
      <c r="H3" s="1304">
        <v>2004</v>
      </c>
      <c r="I3" s="1304">
        <v>2005</v>
      </c>
      <c r="J3" s="1304">
        <v>2006</v>
      </c>
      <c r="K3" s="1304">
        <v>2007</v>
      </c>
      <c r="L3" s="1304">
        <v>2008</v>
      </c>
      <c r="M3" s="1304">
        <v>2009</v>
      </c>
      <c r="N3" s="1304">
        <v>2010</v>
      </c>
      <c r="O3" s="1304">
        <v>2011</v>
      </c>
      <c r="P3" s="1304">
        <v>2012</v>
      </c>
      <c r="Q3" s="1304">
        <v>2013</v>
      </c>
      <c r="R3" s="1304">
        <v>2014</v>
      </c>
      <c r="S3" s="1304">
        <v>2015</v>
      </c>
      <c r="T3" s="1304">
        <v>2016</v>
      </c>
      <c r="U3" s="1304">
        <v>2017</v>
      </c>
      <c r="V3" s="1304">
        <v>2018</v>
      </c>
      <c r="W3" s="1304">
        <v>2019</v>
      </c>
      <c r="X3" s="1304">
        <v>2020</v>
      </c>
      <c r="Y3" s="1304">
        <v>2021</v>
      </c>
      <c r="Z3" s="1304">
        <v>2022</v>
      </c>
      <c r="AA3" s="1301"/>
      <c r="AB3" s="1301"/>
      <c r="AC3" s="1301"/>
      <c r="AD3" s="1301"/>
      <c r="AE3" s="1301"/>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1311" t="s">
        <v>4</v>
      </c>
      <c r="C4" s="1311"/>
      <c r="D4" s="1304" t="s">
        <v>5</v>
      </c>
      <c r="E4" s="1304" t="s">
        <v>6</v>
      </c>
      <c r="F4" s="1304" t="s">
        <v>7</v>
      </c>
      <c r="G4" s="1304" t="s">
        <v>8</v>
      </c>
      <c r="H4" s="1304" t="s">
        <v>9</v>
      </c>
      <c r="I4" s="1304" t="s">
        <v>10</v>
      </c>
      <c r="J4" s="1304" t="s">
        <v>11</v>
      </c>
      <c r="K4" s="1304" t="s">
        <v>12</v>
      </c>
      <c r="L4" s="1304" t="s">
        <v>13</v>
      </c>
      <c r="M4" s="1304" t="s">
        <v>14</v>
      </c>
      <c r="N4" s="1304" t="s">
        <v>15</v>
      </c>
      <c r="O4" s="1304" t="s">
        <v>16</v>
      </c>
      <c r="P4" s="1304" t="s">
        <v>17</v>
      </c>
      <c r="Q4" s="1304" t="s">
        <v>18</v>
      </c>
      <c r="R4" s="1305" t="s">
        <v>19</v>
      </c>
      <c r="S4" s="1304" t="s">
        <v>20</v>
      </c>
      <c r="T4" s="1304" t="s">
        <v>21</v>
      </c>
      <c r="U4" s="1304" t="s">
        <v>22</v>
      </c>
      <c r="V4" s="1304" t="s">
        <v>23</v>
      </c>
      <c r="W4" s="1304" t="s">
        <v>24</v>
      </c>
      <c r="X4" s="1304" t="s">
        <v>25</v>
      </c>
      <c r="Y4" s="1337" t="s">
        <v>26</v>
      </c>
      <c r="Z4" s="1337" t="s">
        <v>27</v>
      </c>
      <c r="AA4" s="1301"/>
      <c r="AB4" s="1301"/>
      <c r="AC4" s="1301"/>
      <c r="AD4" s="1301"/>
      <c r="AE4" s="1301"/>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s="1306" t="s">
        <v>28</v>
      </c>
      <c r="B5" s="1311" t="s">
        <v>29</v>
      </c>
      <c r="C5" s="1311"/>
      <c r="D5" s="1304" t="s">
        <v>30</v>
      </c>
      <c r="E5" s="1304" t="s">
        <v>30</v>
      </c>
      <c r="F5" s="1304" t="s">
        <v>30</v>
      </c>
      <c r="G5" s="1304" t="s">
        <v>30</v>
      </c>
      <c r="H5" s="1304" t="s">
        <v>30</v>
      </c>
      <c r="I5" s="1303" t="s">
        <v>31</v>
      </c>
      <c r="J5" s="1303" t="s">
        <v>30</v>
      </c>
      <c r="K5" s="1303" t="s">
        <v>30</v>
      </c>
      <c r="L5" s="1303" t="s">
        <v>30</v>
      </c>
      <c r="M5" s="1303" t="s">
        <v>30</v>
      </c>
      <c r="N5" s="1304" t="s">
        <v>31</v>
      </c>
      <c r="O5" s="1304" t="s">
        <v>30</v>
      </c>
      <c r="P5" s="1304" t="s">
        <v>30</v>
      </c>
      <c r="Q5" s="1304" t="s">
        <v>30</v>
      </c>
      <c r="R5" s="1304" t="s">
        <v>30</v>
      </c>
      <c r="S5" s="1304" t="s">
        <v>30</v>
      </c>
      <c r="T5" s="1304" t="s">
        <v>30</v>
      </c>
      <c r="U5" s="1304" t="s">
        <v>368</v>
      </c>
      <c r="V5" s="1304" t="s">
        <v>32</v>
      </c>
      <c r="W5" s="1304" t="s">
        <v>32</v>
      </c>
      <c r="X5" s="1304" t="s">
        <v>32</v>
      </c>
      <c r="Y5" s="1337" t="s">
        <v>32</v>
      </c>
      <c r="Z5" s="1337" t="s">
        <v>32</v>
      </c>
      <c r="AA5" s="1301"/>
      <c r="AB5" s="1301"/>
      <c r="AC5" s="1301"/>
      <c r="AD5" s="1301"/>
      <c r="AE5" s="1301"/>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331" t="s">
        <v>33</v>
      </c>
      <c r="B6" s="1332" t="s">
        <v>533</v>
      </c>
      <c r="C6" s="1332" t="s">
        <v>35</v>
      </c>
      <c r="D6" s="1333">
        <v>913300000</v>
      </c>
      <c r="E6" s="1333">
        <v>1081900000</v>
      </c>
      <c r="F6" s="1333">
        <f>F7+F25</f>
        <v>1194800000</v>
      </c>
      <c r="G6" s="1333">
        <v>1390100000</v>
      </c>
      <c r="H6" s="1333">
        <v>2165900000</v>
      </c>
      <c r="I6" s="1334">
        <v>2715000000</v>
      </c>
      <c r="J6" s="1334">
        <v>3678000000</v>
      </c>
      <c r="K6" s="1334">
        <v>4972000000</v>
      </c>
      <c r="L6" s="1334">
        <v>5854000000</v>
      </c>
      <c r="M6" s="1334">
        <v>5264000000</v>
      </c>
      <c r="N6" s="1334">
        <v>5866000000</v>
      </c>
      <c r="O6" s="1334">
        <v>6870000000</v>
      </c>
      <c r="P6" s="1338">
        <v>7539000000</v>
      </c>
      <c r="Q6" s="1338">
        <v>7386000000</v>
      </c>
      <c r="R6" s="1338">
        <v>7982000000</v>
      </c>
      <c r="S6" s="1338">
        <v>8923000000</v>
      </c>
      <c r="T6" s="1338">
        <v>9623000000</v>
      </c>
      <c r="U6" s="1338">
        <v>10760000000</v>
      </c>
      <c r="V6" s="1338">
        <v>11470000000</v>
      </c>
      <c r="W6" s="1338">
        <v>12338000000</v>
      </c>
      <c r="X6" s="1339">
        <v>13230000000</v>
      </c>
      <c r="Y6" s="1340">
        <v>14225000000</v>
      </c>
      <c r="Z6" s="1340">
        <f>Z7+Z25</f>
        <v>15244000000</v>
      </c>
      <c r="AA6" s="1335"/>
      <c r="AB6" s="1335"/>
      <c r="AC6" s="1335"/>
      <c r="AD6" s="1335"/>
      <c r="AE6" s="1335"/>
      <c r="AF6" s="916"/>
      <c r="AG6" s="916"/>
      <c r="AH6" s="916"/>
      <c r="AI6" s="916"/>
      <c r="AJ6" s="916"/>
      <c r="AK6" s="916"/>
      <c r="AL6" s="916"/>
      <c r="AM6" s="916"/>
      <c r="AN6" s="916"/>
      <c r="AO6" s="916"/>
      <c r="AP6" s="916"/>
      <c r="AQ6" s="916"/>
      <c r="AR6" s="916"/>
      <c r="AS6" s="916"/>
      <c r="AT6" s="916"/>
      <c r="AU6" s="916"/>
      <c r="AV6" s="916"/>
      <c r="AW6" s="916"/>
      <c r="AX6" s="916"/>
      <c r="AY6" s="916"/>
      <c r="AZ6" s="916"/>
      <c r="BA6" s="916"/>
    </row>
    <row r="7" spans="1:53">
      <c r="A7" s="1306" t="s">
        <v>36</v>
      </c>
      <c r="B7" s="1314" t="s">
        <v>882</v>
      </c>
      <c r="C7" s="1315" t="s">
        <v>38</v>
      </c>
      <c r="D7" s="1312">
        <v>897100000</v>
      </c>
      <c r="E7" s="1312">
        <v>1036000000</v>
      </c>
      <c r="F7" s="1313">
        <f t="shared" ref="F7:R7" si="0">F8+F23+F24</f>
        <v>1173900000</v>
      </c>
      <c r="G7" s="1313">
        <f t="shared" si="0"/>
        <v>1362400000</v>
      </c>
      <c r="H7" s="1313">
        <f t="shared" si="0"/>
        <v>2041900000</v>
      </c>
      <c r="I7" s="1313">
        <f t="shared" si="0"/>
        <v>2612000000</v>
      </c>
      <c r="J7" s="1316">
        <f t="shared" si="0"/>
        <v>3510000000</v>
      </c>
      <c r="K7" s="1316">
        <f t="shared" si="0"/>
        <v>4870000000</v>
      </c>
      <c r="L7" s="1316">
        <f t="shared" si="0"/>
        <v>5237000000</v>
      </c>
      <c r="M7" s="1316">
        <f t="shared" si="0"/>
        <v>4876000000</v>
      </c>
      <c r="N7" s="1316">
        <f t="shared" si="0"/>
        <v>5393000000</v>
      </c>
      <c r="O7" s="1316">
        <f t="shared" si="0"/>
        <v>6651000000</v>
      </c>
      <c r="P7" s="1341">
        <f t="shared" si="0"/>
        <v>7262000000</v>
      </c>
      <c r="Q7" s="1341">
        <f t="shared" si="0"/>
        <v>7178000000</v>
      </c>
      <c r="R7" s="1341">
        <f t="shared" si="0"/>
        <v>7816000000</v>
      </c>
      <c r="S7" s="1341">
        <f t="shared" ref="S7:Y7" si="1">S6-S25</f>
        <v>8604000000</v>
      </c>
      <c r="T7" s="1341">
        <f t="shared" si="1"/>
        <v>9341000000</v>
      </c>
      <c r="U7" s="1341">
        <f t="shared" si="1"/>
        <v>10392000000</v>
      </c>
      <c r="V7" s="1341">
        <f t="shared" si="1"/>
        <v>11060000000</v>
      </c>
      <c r="W7" s="1341">
        <f t="shared" si="1"/>
        <v>12009000000</v>
      </c>
      <c r="X7" s="1341">
        <f t="shared" si="1"/>
        <v>12901000000</v>
      </c>
      <c r="Y7" s="1342">
        <f t="shared" si="1"/>
        <v>13896000000</v>
      </c>
      <c r="Z7" s="1342">
        <f>Z8+Z23</f>
        <v>14932000000</v>
      </c>
      <c r="AA7" s="1301"/>
      <c r="AB7" s="1301"/>
      <c r="AC7" s="1301"/>
      <c r="AD7" s="1301"/>
      <c r="AE7" s="1301"/>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c r="A8" s="1306" t="s">
        <v>39</v>
      </c>
      <c r="B8" s="1314" t="s">
        <v>371</v>
      </c>
      <c r="C8" s="1314" t="s">
        <v>41</v>
      </c>
      <c r="D8" s="1312">
        <v>706600000</v>
      </c>
      <c r="E8" s="1312">
        <v>795600000</v>
      </c>
      <c r="F8" s="1312">
        <v>1076000000</v>
      </c>
      <c r="G8" s="1312">
        <v>1284000000</v>
      </c>
      <c r="H8" s="1312">
        <v>1811100000</v>
      </c>
      <c r="I8" s="1317">
        <v>2300000000</v>
      </c>
      <c r="J8" s="1317">
        <v>3152000000</v>
      </c>
      <c r="K8" s="1317">
        <v>4390000000</v>
      </c>
      <c r="L8" s="1317">
        <v>4753000000</v>
      </c>
      <c r="M8" s="1317">
        <v>4389000000</v>
      </c>
      <c r="N8" s="1317">
        <v>4867000000</v>
      </c>
      <c r="O8" s="1317">
        <v>6135000000</v>
      </c>
      <c r="P8" s="1341">
        <v>6644000000</v>
      </c>
      <c r="Q8" s="1341">
        <v>6642000000</v>
      </c>
      <c r="R8" s="1341">
        <v>7299000000</v>
      </c>
      <c r="S8" s="1341">
        <v>7971000000</v>
      </c>
      <c r="T8" s="1341">
        <v>8750000000</v>
      </c>
      <c r="U8" s="1341">
        <v>9634000000</v>
      </c>
      <c r="V8" s="1341">
        <v>10260000000</v>
      </c>
      <c r="W8" s="1341">
        <v>11209000000</v>
      </c>
      <c r="X8" s="1341">
        <v>12101000000</v>
      </c>
      <c r="Y8" s="1342">
        <v>13096000000</v>
      </c>
      <c r="Z8" s="1342">
        <f>Z9+Z17+Z22</f>
        <v>14132000000</v>
      </c>
      <c r="AA8" s="1301"/>
      <c r="AB8" s="1301"/>
      <c r="AC8" s="1301"/>
      <c r="AD8" s="1301"/>
      <c r="AE8" s="1301"/>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c r="A9" s="1318" t="s">
        <v>989</v>
      </c>
      <c r="B9" s="1318" t="s">
        <v>2660</v>
      </c>
      <c r="C9" s="1314" t="s">
        <v>44</v>
      </c>
      <c r="D9" s="1317">
        <f t="shared" ref="D9:I9" si="2">D13+D14+D15+D16</f>
        <v>187900000</v>
      </c>
      <c r="E9" s="1317">
        <f t="shared" si="2"/>
        <v>202400000</v>
      </c>
      <c r="F9" s="1317">
        <f t="shared" si="2"/>
        <v>225500000</v>
      </c>
      <c r="G9" s="1317">
        <f t="shared" si="2"/>
        <v>263100000</v>
      </c>
      <c r="H9" s="1317">
        <f t="shared" si="2"/>
        <v>430300000</v>
      </c>
      <c r="I9" s="1317">
        <f t="shared" si="2"/>
        <v>816000000</v>
      </c>
      <c r="J9" s="1317">
        <v>1351000000</v>
      </c>
      <c r="K9" s="1317"/>
      <c r="L9" s="1317"/>
      <c r="M9" s="1317"/>
      <c r="N9" s="1316">
        <v>2033000000</v>
      </c>
      <c r="O9" s="1316">
        <v>2642000000</v>
      </c>
      <c r="P9" s="1341">
        <v>2880000000</v>
      </c>
      <c r="Q9" s="1341">
        <v>3000000000</v>
      </c>
      <c r="R9" s="1341">
        <v>3097000000</v>
      </c>
      <c r="S9" s="1341">
        <f t="shared" ref="S9:Z9" si="3">SUM(S10:S12)</f>
        <v>3471000000</v>
      </c>
      <c r="T9" s="1341">
        <f t="shared" si="3"/>
        <v>3898000000</v>
      </c>
      <c r="U9" s="1341">
        <f t="shared" si="3"/>
        <v>4020000000</v>
      </c>
      <c r="V9" s="1341">
        <f t="shared" si="3"/>
        <v>4138000000</v>
      </c>
      <c r="W9" s="1341">
        <f t="shared" si="3"/>
        <v>4467000000</v>
      </c>
      <c r="X9" s="1341">
        <f t="shared" si="3"/>
        <v>4892000000</v>
      </c>
      <c r="Y9" s="1342">
        <f t="shared" si="3"/>
        <v>5366000000</v>
      </c>
      <c r="Z9" s="1342">
        <f t="shared" si="3"/>
        <v>5848000000</v>
      </c>
      <c r="AA9" s="1301"/>
      <c r="AB9" s="1301"/>
      <c r="AC9" s="1301"/>
      <c r="AD9" s="1301"/>
      <c r="AE9" s="1301"/>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c r="A10" s="1318"/>
      <c r="B10" s="1318" t="s">
        <v>2661</v>
      </c>
      <c r="C10" s="1314" t="s">
        <v>2662</v>
      </c>
      <c r="D10" s="1317"/>
      <c r="E10" s="1317"/>
      <c r="F10" s="1317"/>
      <c r="G10" s="1317"/>
      <c r="H10" s="1317"/>
      <c r="I10" s="1317"/>
      <c r="J10" s="1317"/>
      <c r="K10" s="1317"/>
      <c r="L10" s="1317"/>
      <c r="M10" s="1317"/>
      <c r="N10" s="1316"/>
      <c r="O10" s="1316"/>
      <c r="P10" s="1341"/>
      <c r="Q10" s="1341"/>
      <c r="R10" s="1341"/>
      <c r="S10" s="1341">
        <v>2182000000</v>
      </c>
      <c r="T10" s="1341">
        <v>2479000000</v>
      </c>
      <c r="U10" s="1341">
        <v>2910000000</v>
      </c>
      <c r="V10" s="1341">
        <v>3112000000</v>
      </c>
      <c r="W10" s="1341">
        <v>3356000000</v>
      </c>
      <c r="X10" s="1341">
        <v>3629000000</v>
      </c>
      <c r="Y10" s="1342">
        <v>3934000000</v>
      </c>
      <c r="Z10" s="1342">
        <v>4261000000</v>
      </c>
      <c r="AA10" s="1301"/>
      <c r="AB10" s="1301"/>
      <c r="AC10" s="1301"/>
      <c r="AD10" s="1301"/>
      <c r="AE10" s="1301"/>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1318"/>
      <c r="B11" s="1318" t="s">
        <v>2663</v>
      </c>
      <c r="C11" s="1314" t="s">
        <v>2662</v>
      </c>
      <c r="D11" s="1317"/>
      <c r="E11" s="1317"/>
      <c r="F11" s="1317"/>
      <c r="G11" s="1317"/>
      <c r="H11" s="1317"/>
      <c r="I11" s="1317"/>
      <c r="J11" s="1317"/>
      <c r="K11" s="1317"/>
      <c r="L11" s="1317"/>
      <c r="M11" s="1317"/>
      <c r="N11" s="1316"/>
      <c r="O11" s="1316"/>
      <c r="P11" s="1341"/>
      <c r="Q11" s="1341"/>
      <c r="R11" s="1341"/>
      <c r="S11" s="1341">
        <v>1025000000</v>
      </c>
      <c r="T11" s="1341">
        <v>1056000000</v>
      </c>
      <c r="U11" s="1341">
        <v>715000000</v>
      </c>
      <c r="V11" s="1341">
        <v>600000000</v>
      </c>
      <c r="W11" s="1341">
        <v>652000000</v>
      </c>
      <c r="X11" s="1341">
        <v>766000000</v>
      </c>
      <c r="Y11" s="1342">
        <v>893000000</v>
      </c>
      <c r="Z11" s="1342">
        <v>1004000000</v>
      </c>
      <c r="AA11" s="1301"/>
      <c r="AB11" s="1301"/>
      <c r="AC11" s="1301"/>
      <c r="AD11" s="1301"/>
      <c r="AE11" s="1301"/>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1318"/>
      <c r="B12" s="1318" t="s">
        <v>2664</v>
      </c>
      <c r="C12" s="1314" t="s">
        <v>2662</v>
      </c>
      <c r="D12" s="1317"/>
      <c r="E12" s="1317"/>
      <c r="F12" s="1317"/>
      <c r="G12" s="1317"/>
      <c r="H12" s="1317"/>
      <c r="I12" s="1317"/>
      <c r="J12" s="1317"/>
      <c r="K12" s="1317"/>
      <c r="L12" s="1317"/>
      <c r="M12" s="1317"/>
      <c r="N12" s="1316"/>
      <c r="O12" s="1316"/>
      <c r="P12" s="1341"/>
      <c r="Q12" s="1341"/>
      <c r="R12" s="1341"/>
      <c r="S12" s="1341">
        <v>264000000</v>
      </c>
      <c r="T12" s="1341">
        <v>363000000</v>
      </c>
      <c r="U12" s="1341">
        <v>395000000</v>
      </c>
      <c r="V12" s="1341">
        <v>426000000</v>
      </c>
      <c r="W12" s="1341">
        <v>459000000</v>
      </c>
      <c r="X12" s="1341">
        <v>497000000</v>
      </c>
      <c r="Y12" s="1342">
        <v>539000000</v>
      </c>
      <c r="Z12" s="1342">
        <v>583000000</v>
      </c>
      <c r="AA12" s="1301"/>
      <c r="AB12" s="1301"/>
      <c r="AC12" s="1301"/>
      <c r="AD12" s="1301"/>
      <c r="AE12" s="1301"/>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1319" t="s">
        <v>2228</v>
      </c>
      <c r="B13" s="1319" t="s">
        <v>2665</v>
      </c>
      <c r="C13" s="1314" t="s">
        <v>2662</v>
      </c>
      <c r="D13" s="1312">
        <v>108200000</v>
      </c>
      <c r="E13" s="1312">
        <v>135800000</v>
      </c>
      <c r="F13" s="1312">
        <v>143000000</v>
      </c>
      <c r="G13" s="1312">
        <v>163600000</v>
      </c>
      <c r="H13" s="1312">
        <v>268700000</v>
      </c>
      <c r="I13" s="1317">
        <v>291000000</v>
      </c>
      <c r="J13" s="1317"/>
      <c r="K13" s="1317"/>
      <c r="L13" s="1317"/>
      <c r="M13" s="1317"/>
      <c r="N13" s="1316">
        <v>1202000000</v>
      </c>
      <c r="O13" s="1316">
        <v>1551000000</v>
      </c>
      <c r="P13" s="1341">
        <v>1765000000</v>
      </c>
      <c r="Q13" s="1341">
        <v>1934000000</v>
      </c>
      <c r="R13" s="1341">
        <v>2050000000</v>
      </c>
      <c r="S13" s="1341"/>
      <c r="T13" s="1341"/>
      <c r="U13" s="1341"/>
      <c r="V13" s="1341"/>
      <c r="W13" s="1341"/>
      <c r="X13" s="1341"/>
      <c r="Y13" s="1342"/>
      <c r="Z13" s="1342"/>
      <c r="AA13" s="1301"/>
      <c r="AB13" s="1301"/>
      <c r="AC13" s="1301"/>
      <c r="AD13" s="1301"/>
      <c r="AE13" s="1301"/>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1319" t="s">
        <v>2666</v>
      </c>
      <c r="B14" s="1319" t="s">
        <v>2667</v>
      </c>
      <c r="C14" s="1314" t="s">
        <v>2662</v>
      </c>
      <c r="D14" s="1312">
        <v>79700000</v>
      </c>
      <c r="E14" s="1312">
        <v>66599999.999999993</v>
      </c>
      <c r="F14" s="1312">
        <v>82500000</v>
      </c>
      <c r="G14" s="1312">
        <v>99500000</v>
      </c>
      <c r="H14" s="1312">
        <v>161600000</v>
      </c>
      <c r="I14" s="1317">
        <v>210000000</v>
      </c>
      <c r="J14" s="1317"/>
      <c r="K14" s="1317"/>
      <c r="L14" s="1317"/>
      <c r="M14" s="1317"/>
      <c r="N14" s="1316">
        <v>576000000</v>
      </c>
      <c r="O14" s="1316">
        <v>832000000</v>
      </c>
      <c r="P14" s="1341">
        <v>851000000</v>
      </c>
      <c r="Q14" s="1341">
        <v>807000000</v>
      </c>
      <c r="R14" s="1341">
        <v>790000000</v>
      </c>
      <c r="S14" s="1341"/>
      <c r="T14" s="1341"/>
      <c r="U14" s="1341"/>
      <c r="V14" s="1341"/>
      <c r="W14" s="1341"/>
      <c r="X14" s="1341"/>
      <c r="Y14" s="1342"/>
      <c r="Z14" s="1342"/>
      <c r="AA14" s="1301"/>
      <c r="AB14" s="1301"/>
      <c r="AC14" s="1301"/>
      <c r="AD14" s="1301"/>
      <c r="AE14" s="1301"/>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319" t="s">
        <v>2668</v>
      </c>
      <c r="B15" s="1319" t="s">
        <v>2669</v>
      </c>
      <c r="C15" s="1314" t="s">
        <v>2662</v>
      </c>
      <c r="D15" s="1317"/>
      <c r="E15" s="1317"/>
      <c r="F15" s="1317"/>
      <c r="G15" s="1317"/>
      <c r="H15" s="1317"/>
      <c r="I15" s="1317">
        <v>315000000</v>
      </c>
      <c r="J15" s="1317"/>
      <c r="K15" s="1317"/>
      <c r="L15" s="1317"/>
      <c r="M15" s="1317"/>
      <c r="N15" s="1316"/>
      <c r="O15" s="1316"/>
      <c r="P15" s="1341"/>
      <c r="Q15" s="1341"/>
      <c r="R15" s="1341"/>
      <c r="S15" s="1341"/>
      <c r="T15" s="1341"/>
      <c r="U15" s="1341"/>
      <c r="V15" s="1341"/>
      <c r="W15" s="1341"/>
      <c r="X15" s="1341"/>
      <c r="Y15" s="1342"/>
      <c r="Z15" s="1342"/>
      <c r="AA15" s="1301"/>
      <c r="AB15" s="1301"/>
      <c r="AC15" s="1301"/>
      <c r="AD15" s="1301"/>
      <c r="AE15" s="1301"/>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1319" t="s">
        <v>2670</v>
      </c>
      <c r="B16" s="1319" t="s">
        <v>2671</v>
      </c>
      <c r="C16" s="1314" t="s">
        <v>2662</v>
      </c>
      <c r="D16" s="1317"/>
      <c r="E16" s="1317"/>
      <c r="F16" s="1317"/>
      <c r="G16" s="1317"/>
      <c r="H16" s="1317"/>
      <c r="I16" s="1317"/>
      <c r="J16" s="1317"/>
      <c r="K16" s="1317"/>
      <c r="L16" s="1317"/>
      <c r="M16" s="1317"/>
      <c r="N16" s="1316">
        <v>255000000</v>
      </c>
      <c r="O16" s="1316">
        <v>259000000</v>
      </c>
      <c r="P16" s="1341">
        <v>264000000</v>
      </c>
      <c r="Q16" s="1341">
        <v>259000000</v>
      </c>
      <c r="R16" s="1341">
        <v>257000000</v>
      </c>
      <c r="S16" s="1341"/>
      <c r="T16" s="1341"/>
      <c r="U16" s="1341"/>
      <c r="V16" s="1341"/>
      <c r="W16" s="1341"/>
      <c r="X16" s="1341"/>
      <c r="Y16" s="1342"/>
      <c r="Z16" s="1342"/>
      <c r="AA16" s="1301"/>
      <c r="AB16" s="1301"/>
      <c r="AC16" s="1301"/>
      <c r="AD16" s="1301"/>
      <c r="AE16" s="1301"/>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1318" t="s">
        <v>992</v>
      </c>
      <c r="B17" s="1318" t="s">
        <v>2672</v>
      </c>
      <c r="C17" s="1314" t="s">
        <v>44</v>
      </c>
      <c r="D17" s="1317">
        <f t="shared" ref="D17:I17" si="4">D19+D20+D21</f>
        <v>433100000</v>
      </c>
      <c r="E17" s="1317">
        <f t="shared" si="4"/>
        <v>502700000</v>
      </c>
      <c r="F17" s="1317">
        <f t="shared" si="4"/>
        <v>606900000</v>
      </c>
      <c r="G17" s="1317">
        <f t="shared" si="4"/>
        <v>672100000</v>
      </c>
      <c r="H17" s="1317">
        <f t="shared" si="4"/>
        <v>932900000</v>
      </c>
      <c r="I17" s="1317">
        <f t="shared" si="4"/>
        <v>1396000000</v>
      </c>
      <c r="J17" s="1317">
        <v>1801000000</v>
      </c>
      <c r="K17" s="1317"/>
      <c r="L17" s="1317"/>
      <c r="M17" s="1317"/>
      <c r="N17" s="1316">
        <v>2834000000</v>
      </c>
      <c r="O17" s="1316">
        <v>3493000000</v>
      </c>
      <c r="P17" s="1341">
        <v>3764000000</v>
      </c>
      <c r="Q17" s="1341">
        <v>3642000000</v>
      </c>
      <c r="R17" s="1341">
        <v>4202000000</v>
      </c>
      <c r="S17" s="1343">
        <f t="shared" ref="S17:Z17" si="5">SUM(S18:S21)</f>
        <v>4473000000</v>
      </c>
      <c r="T17" s="1343">
        <f t="shared" si="5"/>
        <v>4826000000</v>
      </c>
      <c r="U17" s="1343">
        <f t="shared" si="5"/>
        <v>5525000000</v>
      </c>
      <c r="V17" s="1343">
        <f t="shared" si="5"/>
        <v>5933000000</v>
      </c>
      <c r="W17" s="1343">
        <f t="shared" si="5"/>
        <v>6539000000</v>
      </c>
      <c r="X17" s="1343">
        <f t="shared" si="5"/>
        <v>6989000000</v>
      </c>
      <c r="Y17" s="1343">
        <f t="shared" si="5"/>
        <v>7491000000</v>
      </c>
      <c r="Z17" s="1343">
        <f t="shared" si="5"/>
        <v>8025000000</v>
      </c>
      <c r="AA17" s="1301"/>
      <c r="AB17" s="1301"/>
      <c r="AC17" s="1301"/>
      <c r="AD17" s="1301"/>
      <c r="AE17" s="1301"/>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1318"/>
      <c r="B18" s="1318" t="s">
        <v>840</v>
      </c>
      <c r="C18" s="1314" t="s">
        <v>1049</v>
      </c>
      <c r="D18" s="1317"/>
      <c r="E18" s="1317"/>
      <c r="F18" s="1317"/>
      <c r="G18" s="1317"/>
      <c r="H18" s="1317"/>
      <c r="I18" s="1317"/>
      <c r="J18" s="1317"/>
      <c r="K18" s="1317"/>
      <c r="L18" s="1317"/>
      <c r="M18" s="1317"/>
      <c r="N18" s="1316"/>
      <c r="O18" s="1316"/>
      <c r="P18" s="1341"/>
      <c r="Q18" s="1341"/>
      <c r="R18" s="1341"/>
      <c r="S18" s="1341">
        <v>69000000</v>
      </c>
      <c r="T18" s="1341">
        <v>70000000</v>
      </c>
      <c r="U18" s="1341">
        <v>69000000</v>
      </c>
      <c r="V18" s="1341">
        <v>64000000</v>
      </c>
      <c r="W18" s="1341">
        <v>71000000</v>
      </c>
      <c r="X18" s="1341">
        <v>76000000</v>
      </c>
      <c r="Y18" s="1342">
        <v>81000000</v>
      </c>
      <c r="Z18" s="1342">
        <v>87000000</v>
      </c>
      <c r="AA18" s="1301"/>
      <c r="AB18" s="1301"/>
      <c r="AC18" s="1301"/>
      <c r="AD18" s="1301"/>
      <c r="AE18" s="1301"/>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319" t="s">
        <v>2673</v>
      </c>
      <c r="B19" s="1319" t="s">
        <v>162</v>
      </c>
      <c r="C19" s="1314" t="s">
        <v>1049</v>
      </c>
      <c r="D19" s="1312">
        <v>289800000</v>
      </c>
      <c r="E19" s="1312">
        <v>357300000</v>
      </c>
      <c r="F19" s="1312">
        <v>413700000</v>
      </c>
      <c r="G19" s="1312">
        <v>472500000</v>
      </c>
      <c r="H19" s="1312">
        <v>628200000</v>
      </c>
      <c r="I19" s="1317">
        <v>987000000</v>
      </c>
      <c r="J19" s="1317"/>
      <c r="K19" s="1317"/>
      <c r="L19" s="1317"/>
      <c r="M19" s="1317"/>
      <c r="N19" s="1316">
        <v>2203000000</v>
      </c>
      <c r="O19" s="1316">
        <v>2784000000</v>
      </c>
      <c r="P19" s="1341">
        <v>3015000000</v>
      </c>
      <c r="Q19" s="1341">
        <v>2831000000</v>
      </c>
      <c r="R19" s="1341">
        <v>3310000000</v>
      </c>
      <c r="S19" s="1341">
        <v>3533000000</v>
      </c>
      <c r="T19" s="1341">
        <v>3686000000</v>
      </c>
      <c r="U19" s="1341">
        <v>4046000000</v>
      </c>
      <c r="V19" s="1341">
        <v>4419000000</v>
      </c>
      <c r="W19" s="1341">
        <v>4980000000</v>
      </c>
      <c r="X19" s="1341">
        <v>5385000000</v>
      </c>
      <c r="Y19" s="1342">
        <v>5839000000</v>
      </c>
      <c r="Z19" s="1342">
        <v>6324000000</v>
      </c>
      <c r="AA19" s="1301"/>
      <c r="AB19" s="1301"/>
      <c r="AC19" s="1301"/>
      <c r="AD19" s="1301"/>
      <c r="AE19" s="1301"/>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1319" t="s">
        <v>553</v>
      </c>
      <c r="B20" s="1319" t="s">
        <v>553</v>
      </c>
      <c r="C20" s="1314" t="s">
        <v>1049</v>
      </c>
      <c r="D20" s="1312">
        <v>90200000</v>
      </c>
      <c r="E20" s="1312">
        <v>89900000</v>
      </c>
      <c r="F20" s="1312">
        <v>109500000</v>
      </c>
      <c r="G20" s="1312">
        <v>121000000</v>
      </c>
      <c r="H20" s="1312">
        <v>181300000</v>
      </c>
      <c r="I20" s="1317">
        <v>286000000</v>
      </c>
      <c r="J20" s="1317"/>
      <c r="K20" s="1317"/>
      <c r="L20" s="1317"/>
      <c r="M20" s="1317"/>
      <c r="N20" s="1316">
        <v>561000000</v>
      </c>
      <c r="O20" s="1316">
        <v>615000000</v>
      </c>
      <c r="P20" s="1341">
        <v>660000000</v>
      </c>
      <c r="Q20" s="1341">
        <v>722000000</v>
      </c>
      <c r="R20" s="1341">
        <v>789000000</v>
      </c>
      <c r="S20" s="1341">
        <v>871000000</v>
      </c>
      <c r="T20" s="1341">
        <v>1070000000</v>
      </c>
      <c r="U20" s="1341">
        <v>1410000000</v>
      </c>
      <c r="V20" s="1341">
        <v>1450000000</v>
      </c>
      <c r="W20" s="1341">
        <v>1488000000</v>
      </c>
      <c r="X20" s="1341">
        <v>1528000000</v>
      </c>
      <c r="Y20" s="1342">
        <v>1571000000</v>
      </c>
      <c r="Z20" s="1342">
        <v>1614000000</v>
      </c>
      <c r="AA20" s="1301"/>
      <c r="AB20" s="1301"/>
      <c r="AC20" s="1301"/>
      <c r="AD20" s="1301"/>
      <c r="AE20" s="1301"/>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c r="A21" s="1319" t="s">
        <v>2674</v>
      </c>
      <c r="B21" s="1319" t="s">
        <v>2675</v>
      </c>
      <c r="C21" s="1314" t="s">
        <v>1049</v>
      </c>
      <c r="D21" s="1312">
        <v>53100000</v>
      </c>
      <c r="E21" s="1312">
        <v>55500000</v>
      </c>
      <c r="F21" s="1312">
        <v>83700000</v>
      </c>
      <c r="G21" s="1312">
        <v>78600000</v>
      </c>
      <c r="H21" s="1312">
        <v>123400000</v>
      </c>
      <c r="I21" s="1317">
        <v>123000000</v>
      </c>
      <c r="J21" s="1317"/>
      <c r="K21" s="1317"/>
      <c r="L21" s="1317"/>
      <c r="M21" s="1317"/>
      <c r="N21" s="1316">
        <v>70000000</v>
      </c>
      <c r="O21" s="1316">
        <v>93000000</v>
      </c>
      <c r="P21" s="1341">
        <v>90000000</v>
      </c>
      <c r="Q21" s="1341">
        <v>89000000</v>
      </c>
      <c r="R21" s="1341">
        <v>103000000</v>
      </c>
      <c r="S21" s="1341"/>
      <c r="T21" s="1341"/>
      <c r="U21" s="1341"/>
      <c r="V21" s="1341"/>
      <c r="W21" s="1341"/>
      <c r="X21" s="1341"/>
      <c r="Y21" s="1342"/>
      <c r="Z21" s="1342"/>
      <c r="AA21" s="1301"/>
      <c r="AB21" s="1301"/>
      <c r="AC21" s="1301"/>
      <c r="AD21" s="1301"/>
      <c r="AE21" s="1301"/>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c r="A22" s="1318" t="s">
        <v>49</v>
      </c>
      <c r="B22" s="1318" t="s">
        <v>1772</v>
      </c>
      <c r="C22" s="1314" t="s">
        <v>44</v>
      </c>
      <c r="D22" s="1312">
        <v>85700000</v>
      </c>
      <c r="E22" s="1312">
        <v>90600000</v>
      </c>
      <c r="F22" s="1312">
        <f>F8-F9-F17</f>
        <v>243600000</v>
      </c>
      <c r="G22" s="1312">
        <f>G8-G9-G17</f>
        <v>348800000</v>
      </c>
      <c r="H22" s="1312">
        <f>H8-H9-H17</f>
        <v>447900000</v>
      </c>
      <c r="I22" s="1312">
        <f>I8-I9-I17</f>
        <v>88000000</v>
      </c>
      <c r="J22" s="1317"/>
      <c r="K22" s="1317"/>
      <c r="L22" s="1317"/>
      <c r="M22" s="1317"/>
      <c r="N22" s="1316"/>
      <c r="O22" s="1316"/>
      <c r="P22" s="1341"/>
      <c r="Q22" s="1341"/>
      <c r="R22" s="1341"/>
      <c r="S22" s="1341">
        <v>26000000</v>
      </c>
      <c r="T22" s="1341">
        <v>25000000</v>
      </c>
      <c r="U22" s="1341">
        <v>89000000</v>
      </c>
      <c r="V22" s="1341">
        <v>190000000</v>
      </c>
      <c r="W22" s="1341">
        <v>204000000</v>
      </c>
      <c r="X22" s="1341">
        <v>221000000</v>
      </c>
      <c r="Y22" s="1342">
        <v>240000000</v>
      </c>
      <c r="Z22" s="1342">
        <v>259000000</v>
      </c>
      <c r="AA22" s="1301"/>
      <c r="AB22" s="1301"/>
      <c r="AC22" s="1301"/>
      <c r="AD22" s="1301"/>
      <c r="AE22" s="1301"/>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c r="A23" s="1314" t="s">
        <v>793</v>
      </c>
      <c r="B23" s="1314" t="s">
        <v>2676</v>
      </c>
      <c r="C23" s="1314" t="s">
        <v>41</v>
      </c>
      <c r="D23" s="1312">
        <v>45600000</v>
      </c>
      <c r="E23" s="1312">
        <v>84500000</v>
      </c>
      <c r="F23" s="1312">
        <v>97900000</v>
      </c>
      <c r="G23" s="1312">
        <v>78400000</v>
      </c>
      <c r="H23" s="1312">
        <v>230800000</v>
      </c>
      <c r="I23" s="1317">
        <v>312000000</v>
      </c>
      <c r="J23" s="1317">
        <v>358000000</v>
      </c>
      <c r="K23" s="1317">
        <v>480000000</v>
      </c>
      <c r="L23" s="1317">
        <v>484000000</v>
      </c>
      <c r="M23" s="1317">
        <v>487000000</v>
      </c>
      <c r="N23" s="1316">
        <v>526000000</v>
      </c>
      <c r="O23" s="1316">
        <v>516000000</v>
      </c>
      <c r="P23" s="1341">
        <v>618000000</v>
      </c>
      <c r="Q23" s="1341">
        <v>536000000</v>
      </c>
      <c r="R23" s="1341">
        <v>517000000</v>
      </c>
      <c r="S23" s="1341">
        <v>634000000</v>
      </c>
      <c r="T23" s="1341">
        <v>592000000</v>
      </c>
      <c r="U23" s="1341">
        <v>758000000</v>
      </c>
      <c r="V23" s="1341">
        <v>800000000</v>
      </c>
      <c r="W23" s="1341">
        <v>800000000</v>
      </c>
      <c r="X23" s="1341">
        <v>800000000</v>
      </c>
      <c r="Y23" s="1342">
        <v>800000000</v>
      </c>
      <c r="Z23" s="1342">
        <v>800000000</v>
      </c>
      <c r="AA23" s="1301"/>
      <c r="AB23" s="1301"/>
      <c r="AC23" s="1301"/>
      <c r="AD23" s="1301"/>
      <c r="AE23" s="1301"/>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c r="A24" s="1314" t="s">
        <v>2677</v>
      </c>
      <c r="B24" s="1314" t="s">
        <v>2678</v>
      </c>
      <c r="C24" s="1314" t="s">
        <v>41</v>
      </c>
      <c r="D24" s="1312">
        <v>144800000</v>
      </c>
      <c r="E24" s="1312">
        <v>155900000</v>
      </c>
      <c r="F24" s="1312"/>
      <c r="G24" s="1312"/>
      <c r="H24" s="1312"/>
      <c r="I24" s="1317"/>
      <c r="J24" s="1317"/>
      <c r="K24" s="1317"/>
      <c r="L24" s="1317"/>
      <c r="M24" s="1317"/>
      <c r="N24" s="1316"/>
      <c r="O24" s="1316"/>
      <c r="P24" s="1341"/>
      <c r="Q24" s="1341"/>
      <c r="R24" s="1341"/>
      <c r="S24" s="1341"/>
      <c r="T24" s="1341"/>
      <c r="U24" s="1341"/>
      <c r="V24" s="1341"/>
      <c r="W24" s="1341"/>
      <c r="X24" s="1341"/>
      <c r="Y24" s="1342"/>
      <c r="Z24" s="1342"/>
      <c r="AA24" s="1301"/>
      <c r="AB24" s="1301"/>
      <c r="AC24" s="1301"/>
      <c r="AD24" s="1301"/>
      <c r="AE24" s="1301"/>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c r="A25" s="1314" t="s">
        <v>53</v>
      </c>
      <c r="B25" s="1314" t="s">
        <v>53</v>
      </c>
      <c r="C25" s="1315" t="s">
        <v>38</v>
      </c>
      <c r="D25" s="1312">
        <v>16200000</v>
      </c>
      <c r="E25" s="1312">
        <v>45900000</v>
      </c>
      <c r="F25" s="1312">
        <v>20900000</v>
      </c>
      <c r="G25" s="1312">
        <v>27700000</v>
      </c>
      <c r="H25" s="1312">
        <v>124000000</v>
      </c>
      <c r="I25" s="1317">
        <v>104000000</v>
      </c>
      <c r="J25" s="1317">
        <v>168000000</v>
      </c>
      <c r="K25" s="1317">
        <v>102000000</v>
      </c>
      <c r="L25" s="1317">
        <v>617000000</v>
      </c>
      <c r="M25" s="1317">
        <v>389000000</v>
      </c>
      <c r="N25" s="1316">
        <v>473000000</v>
      </c>
      <c r="O25" s="1316">
        <v>220000000</v>
      </c>
      <c r="P25" s="1341">
        <v>277000000</v>
      </c>
      <c r="Q25" s="1341">
        <v>208000000</v>
      </c>
      <c r="R25" s="1341">
        <v>166000000</v>
      </c>
      <c r="S25" s="1341">
        <v>319000000</v>
      </c>
      <c r="T25" s="1341">
        <v>282000000</v>
      </c>
      <c r="U25" s="1341">
        <v>368000000</v>
      </c>
      <c r="V25" s="1341">
        <v>410000000</v>
      </c>
      <c r="W25" s="1341">
        <v>329000000</v>
      </c>
      <c r="X25" s="1341">
        <v>329000000</v>
      </c>
      <c r="Y25" s="1342">
        <v>329000000</v>
      </c>
      <c r="Z25" s="1342">
        <v>312000000</v>
      </c>
      <c r="AA25" s="1301"/>
      <c r="AB25" s="1301"/>
      <c r="AC25" s="1301"/>
      <c r="AD25" s="1301"/>
      <c r="AE25" s="1301"/>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1318" t="s">
        <v>2679</v>
      </c>
      <c r="B26" s="1318" t="s">
        <v>2679</v>
      </c>
      <c r="C26" s="1314" t="s">
        <v>1993</v>
      </c>
      <c r="D26" s="1317"/>
      <c r="E26" s="1317"/>
      <c r="F26" s="1317"/>
      <c r="G26" s="1317"/>
      <c r="H26" s="1317"/>
      <c r="I26" s="1317"/>
      <c r="J26" s="1317"/>
      <c r="K26" s="1317"/>
      <c r="L26" s="1317"/>
      <c r="M26" s="1317"/>
      <c r="N26" s="1317"/>
      <c r="O26" s="1317"/>
      <c r="P26" s="1341">
        <v>106000000</v>
      </c>
      <c r="Q26" s="1341"/>
      <c r="R26" s="1341"/>
      <c r="S26" s="1341"/>
      <c r="T26" s="1341"/>
      <c r="U26" s="1341"/>
      <c r="V26" s="1341"/>
      <c r="W26" s="1341"/>
      <c r="X26" s="1341"/>
      <c r="Y26" s="1342"/>
      <c r="Z26" s="1342"/>
      <c r="AA26" s="1301"/>
      <c r="AB26" s="1301"/>
      <c r="AC26" s="1301"/>
      <c r="AD26" s="1301"/>
      <c r="AE26" s="1301"/>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1318" t="s">
        <v>1219</v>
      </c>
      <c r="B27" s="1318" t="s">
        <v>1219</v>
      </c>
      <c r="C27" s="1314" t="s">
        <v>1993</v>
      </c>
      <c r="D27" s="1317"/>
      <c r="E27" s="1317"/>
      <c r="F27" s="1317"/>
      <c r="G27" s="1317"/>
      <c r="H27" s="1317"/>
      <c r="I27" s="1317"/>
      <c r="J27" s="1317"/>
      <c r="K27" s="1317"/>
      <c r="L27" s="1317"/>
      <c r="M27" s="1317"/>
      <c r="N27" s="1316"/>
      <c r="O27" s="1316"/>
      <c r="P27" s="1341">
        <v>170000000</v>
      </c>
      <c r="Q27" s="1341"/>
      <c r="R27" s="1341"/>
      <c r="S27" s="1341"/>
      <c r="T27" s="1341"/>
      <c r="U27" s="1341"/>
      <c r="V27" s="1341"/>
      <c r="W27" s="1341"/>
      <c r="X27" s="1341"/>
      <c r="Y27" s="1342"/>
      <c r="Z27" s="1342"/>
      <c r="AA27" s="1301"/>
      <c r="AB27" s="1301"/>
      <c r="AC27" s="1301"/>
      <c r="AD27" s="1301"/>
      <c r="AE27" s="1301"/>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1306" t="s">
        <v>76</v>
      </c>
      <c r="B28" s="1314" t="s">
        <v>1725</v>
      </c>
      <c r="D28" s="1312">
        <v>1155900000</v>
      </c>
      <c r="E28" s="1312">
        <v>1211900000</v>
      </c>
      <c r="F28" s="1312">
        <v>1324200000</v>
      </c>
      <c r="G28" s="1312">
        <v>1501500000</v>
      </c>
      <c r="H28" s="1312">
        <v>1852900000</v>
      </c>
      <c r="I28" s="1317">
        <v>2892000000</v>
      </c>
      <c r="J28" s="1317">
        <f>J30+J44+J49</f>
        <v>4100000000</v>
      </c>
      <c r="K28" s="1317">
        <f>K30+K44+K49</f>
        <v>5778000000</v>
      </c>
      <c r="L28" s="1317">
        <f>L30+L44+L49</f>
        <v>7062000000</v>
      </c>
      <c r="M28" s="1317">
        <f>M30+M44+M49</f>
        <v>6913000000</v>
      </c>
      <c r="N28" s="1312">
        <v>7232000000</v>
      </c>
      <c r="O28" s="1312">
        <v>7750000000</v>
      </c>
      <c r="P28" s="1341">
        <v>8318000000</v>
      </c>
      <c r="Q28" s="1341">
        <v>8087000000</v>
      </c>
      <c r="R28" s="1341">
        <v>8994000000</v>
      </c>
      <c r="S28" s="1341"/>
      <c r="T28" s="1341"/>
      <c r="U28" s="1341"/>
      <c r="V28" s="1341"/>
      <c r="W28" s="1341"/>
      <c r="X28" s="1344"/>
      <c r="Y28" s="1342"/>
      <c r="Z28" s="1342"/>
      <c r="AA28" s="1301"/>
      <c r="AB28" s="1301"/>
      <c r="AC28" s="1301"/>
      <c r="AD28" s="1301"/>
      <c r="AE28" s="1301"/>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s="848" customFormat="1">
      <c r="A29" s="1332" t="s">
        <v>198</v>
      </c>
      <c r="B29" s="1332" t="s">
        <v>198</v>
      </c>
      <c r="C29" s="1332" t="s">
        <v>35</v>
      </c>
      <c r="D29" s="1333">
        <f>D30+D44+D49</f>
        <v>1156000000</v>
      </c>
      <c r="E29" s="1333">
        <f t="shared" ref="E29:Y29" si="6">E30+E44+E49</f>
        <v>1211900000</v>
      </c>
      <c r="F29" s="1333">
        <f t="shared" si="6"/>
        <v>1324200000</v>
      </c>
      <c r="G29" s="1333">
        <f t="shared" si="6"/>
        <v>1501500000</v>
      </c>
      <c r="H29" s="1333">
        <f t="shared" si="6"/>
        <v>1852900000</v>
      </c>
      <c r="I29" s="1333">
        <f t="shared" si="6"/>
        <v>2892000000</v>
      </c>
      <c r="J29" s="1333">
        <f t="shared" si="6"/>
        <v>4100000000</v>
      </c>
      <c r="K29" s="1333">
        <f t="shared" si="6"/>
        <v>5778000000</v>
      </c>
      <c r="L29" s="1333">
        <f t="shared" si="6"/>
        <v>7062000000</v>
      </c>
      <c r="M29" s="1333">
        <f t="shared" si="6"/>
        <v>6913000000</v>
      </c>
      <c r="N29" s="1333">
        <f t="shared" si="6"/>
        <v>7233000000</v>
      </c>
      <c r="O29" s="1333">
        <f t="shared" si="6"/>
        <v>7750000000</v>
      </c>
      <c r="P29" s="1338">
        <f t="shared" si="6"/>
        <v>8320000000</v>
      </c>
      <c r="Q29" s="1338">
        <f t="shared" si="6"/>
        <v>8087000000</v>
      </c>
      <c r="R29" s="1338">
        <f t="shared" si="6"/>
        <v>8995000000</v>
      </c>
      <c r="S29" s="1338">
        <f t="shared" si="6"/>
        <v>9325000000</v>
      </c>
      <c r="T29" s="1338">
        <f t="shared" si="6"/>
        <v>10168000000</v>
      </c>
      <c r="U29" s="1338">
        <f t="shared" si="6"/>
        <v>11175000000</v>
      </c>
      <c r="V29" s="1338">
        <f t="shared" si="6"/>
        <v>12062000000</v>
      </c>
      <c r="W29" s="1338">
        <f t="shared" si="6"/>
        <v>13111000000</v>
      </c>
      <c r="X29" s="1338">
        <f t="shared" si="6"/>
        <v>14132000000</v>
      </c>
      <c r="Y29" s="1338">
        <f t="shared" si="6"/>
        <v>14934000000</v>
      </c>
      <c r="Z29" s="1338">
        <f>Z30+Z44+Z49</f>
        <v>15762000000</v>
      </c>
      <c r="AA29" s="1335"/>
      <c r="AB29" s="1335"/>
      <c r="AC29" s="1335"/>
      <c r="AD29" s="1335"/>
      <c r="AE29" s="1335"/>
      <c r="AF29" s="916"/>
      <c r="AG29" s="916"/>
      <c r="AH29" s="916"/>
      <c r="AI29" s="916"/>
      <c r="AJ29" s="916"/>
      <c r="AK29" s="916"/>
      <c r="AL29" s="916"/>
      <c r="AM29" s="916"/>
      <c r="AN29" s="916"/>
      <c r="AO29" s="916"/>
      <c r="AP29" s="916"/>
      <c r="AQ29" s="916"/>
      <c r="AR29" s="916"/>
      <c r="AS29" s="916"/>
      <c r="AT29" s="916"/>
      <c r="AU29" s="916"/>
      <c r="AV29" s="916"/>
      <c r="AW29" s="916"/>
      <c r="AX29" s="916"/>
      <c r="AY29" s="916"/>
      <c r="AZ29" s="916"/>
      <c r="BA29" s="916"/>
    </row>
    <row r="30" spans="1:53">
      <c r="A30" s="1306" t="s">
        <v>73</v>
      </c>
      <c r="B30" s="1314" t="s">
        <v>2680</v>
      </c>
      <c r="C30" s="1314" t="s">
        <v>201</v>
      </c>
      <c r="D30" s="1312">
        <v>1094200000</v>
      </c>
      <c r="E30" s="1312">
        <v>1095700000</v>
      </c>
      <c r="F30" s="1312">
        <v>1172800000</v>
      </c>
      <c r="G30" s="1312">
        <v>1351900000</v>
      </c>
      <c r="H30" s="1312">
        <v>1618100000</v>
      </c>
      <c r="I30" s="1317">
        <v>2400000000</v>
      </c>
      <c r="J30" s="1336">
        <f>J31+J32+J33+J36+J37+J38+J41+J42</f>
        <v>2863000000</v>
      </c>
      <c r="K30" s="1317">
        <v>4254000000</v>
      </c>
      <c r="L30" s="1317">
        <v>5427000000</v>
      </c>
      <c r="M30" s="1317">
        <v>5407000000</v>
      </c>
      <c r="N30" s="1312">
        <v>5399000000</v>
      </c>
      <c r="O30" s="1312">
        <v>5613000000</v>
      </c>
      <c r="P30" s="1341">
        <f>P31+P32+P33+P36+P37+P38</f>
        <v>6056000000</v>
      </c>
      <c r="Q30" s="1341">
        <v>6515000000</v>
      </c>
      <c r="R30" s="1341">
        <v>7314000000</v>
      </c>
      <c r="S30" s="1341">
        <v>7904000000</v>
      </c>
      <c r="T30" s="1341">
        <v>8817000000</v>
      </c>
      <c r="U30" s="1341">
        <v>9180000000</v>
      </c>
      <c r="V30" s="1341">
        <v>9590000000</v>
      </c>
      <c r="W30" s="1341">
        <v>10114000000</v>
      </c>
      <c r="X30" s="1341">
        <v>10548000000</v>
      </c>
      <c r="Y30" s="1342">
        <v>10916000000</v>
      </c>
      <c r="Z30" s="1342">
        <v>11313000000</v>
      </c>
      <c r="AA30" s="1301"/>
      <c r="AB30" s="1301"/>
      <c r="AC30" s="1301"/>
      <c r="AD30" s="1301"/>
      <c r="AE30" s="1301"/>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1318" t="s">
        <v>797</v>
      </c>
      <c r="B31" s="1318" t="s">
        <v>2681</v>
      </c>
      <c r="C31" s="1314" t="s">
        <v>204</v>
      </c>
      <c r="D31" s="1312">
        <v>180100000</v>
      </c>
      <c r="E31" s="1312">
        <v>168700000</v>
      </c>
      <c r="F31" s="1312">
        <v>176900000</v>
      </c>
      <c r="G31" s="1312">
        <v>232000000</v>
      </c>
      <c r="H31" s="1312">
        <v>312100000</v>
      </c>
      <c r="I31" s="1317">
        <v>452000000</v>
      </c>
      <c r="J31" s="1317">
        <v>565000000</v>
      </c>
      <c r="K31" s="1317">
        <v>676000000</v>
      </c>
      <c r="L31" s="1317">
        <v>1008000000</v>
      </c>
      <c r="M31" s="1317">
        <v>1048000000</v>
      </c>
      <c r="N31" s="1312">
        <v>1138000000</v>
      </c>
      <c r="O31" s="1312">
        <v>1136000000</v>
      </c>
      <c r="P31" s="1341">
        <v>1203000000</v>
      </c>
      <c r="Q31" s="1341">
        <v>1395000000</v>
      </c>
      <c r="R31" s="1341">
        <v>1523000000</v>
      </c>
      <c r="S31" s="1341">
        <v>1602000000</v>
      </c>
      <c r="T31" s="1341">
        <v>1753000000</v>
      </c>
      <c r="U31" s="1341">
        <v>1675000000</v>
      </c>
      <c r="V31" s="1341">
        <v>1710000000</v>
      </c>
      <c r="W31" s="1341">
        <v>1764000000</v>
      </c>
      <c r="X31" s="1341">
        <v>1817000000</v>
      </c>
      <c r="Y31" s="1342">
        <v>1871000000</v>
      </c>
      <c r="Z31" s="1342">
        <v>1928000000</v>
      </c>
      <c r="AA31" s="1301"/>
      <c r="AB31" s="1301"/>
      <c r="AC31" s="1301"/>
      <c r="AD31" s="1301"/>
      <c r="AE31" s="1301"/>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1318" t="s">
        <v>1059</v>
      </c>
      <c r="B32" s="1318" t="s">
        <v>2682</v>
      </c>
      <c r="C32" s="1314" t="s">
        <v>204</v>
      </c>
      <c r="D32" s="1312">
        <v>132199999.99999999</v>
      </c>
      <c r="E32" s="1312">
        <v>132500000</v>
      </c>
      <c r="F32" s="1312">
        <v>158300000</v>
      </c>
      <c r="G32" s="1312">
        <v>137400000</v>
      </c>
      <c r="H32" s="1312">
        <v>264000000</v>
      </c>
      <c r="I32" s="1317">
        <v>420000000</v>
      </c>
      <c r="J32" s="1317">
        <v>774000000</v>
      </c>
      <c r="K32" s="1317">
        <v>1580000000</v>
      </c>
      <c r="L32" s="1317">
        <v>1607000000</v>
      </c>
      <c r="M32" s="1317">
        <v>1105000000</v>
      </c>
      <c r="N32" s="1312">
        <v>1086000000</v>
      </c>
      <c r="O32" s="1312">
        <v>1211000000</v>
      </c>
      <c r="P32" s="1341">
        <v>1298000000</v>
      </c>
      <c r="Q32" s="1341">
        <v>1011000000</v>
      </c>
      <c r="R32" s="1341">
        <v>1109000000</v>
      </c>
      <c r="S32" s="1341">
        <v>1203000000</v>
      </c>
      <c r="T32" s="1341">
        <v>1394000000</v>
      </c>
      <c r="U32" s="1341">
        <v>1450000000</v>
      </c>
      <c r="V32" s="1341">
        <v>1505000000</v>
      </c>
      <c r="W32" s="1341">
        <v>1552000000</v>
      </c>
      <c r="X32" s="1341">
        <v>1599000000</v>
      </c>
      <c r="Y32" s="1342">
        <v>1647000000</v>
      </c>
      <c r="Z32" s="1342">
        <v>1696000000</v>
      </c>
      <c r="AA32" s="1301"/>
      <c r="AB32" s="1301"/>
      <c r="AC32" s="1301"/>
      <c r="AD32" s="1301"/>
      <c r="AE32" s="1301"/>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1318" t="s">
        <v>1730</v>
      </c>
      <c r="B33" s="1318" t="s">
        <v>2683</v>
      </c>
      <c r="C33" s="1314" t="s">
        <v>204</v>
      </c>
      <c r="D33" s="1312">
        <v>166700000</v>
      </c>
      <c r="E33" s="1312">
        <v>136900000</v>
      </c>
      <c r="F33" s="1312">
        <v>132500000</v>
      </c>
      <c r="G33" s="1312">
        <v>157100000</v>
      </c>
      <c r="H33" s="1312">
        <v>237500000</v>
      </c>
      <c r="I33" s="1317">
        <v>869000000</v>
      </c>
      <c r="J33" s="1317">
        <v>394000000</v>
      </c>
      <c r="K33" s="1317">
        <v>413000000</v>
      </c>
      <c r="L33" s="1317">
        <v>524000000</v>
      </c>
      <c r="M33" s="1317">
        <v>434000000</v>
      </c>
      <c r="N33" s="1312">
        <v>385000000</v>
      </c>
      <c r="O33" s="1312">
        <v>437000000</v>
      </c>
      <c r="P33" s="1341">
        <v>526000000</v>
      </c>
      <c r="Q33" s="1341">
        <v>562000000</v>
      </c>
      <c r="R33" s="1341">
        <v>617000000</v>
      </c>
      <c r="S33" s="1343">
        <f>S34+S35</f>
        <v>84000000</v>
      </c>
      <c r="T33" s="1343">
        <f t="shared" ref="T33:Z33" si="7">T34+T35</f>
        <v>82000000</v>
      </c>
      <c r="U33" s="1343">
        <f t="shared" si="7"/>
        <v>80000000</v>
      </c>
      <c r="V33" s="1343">
        <f t="shared" si="7"/>
        <v>80000000</v>
      </c>
      <c r="W33" s="1343">
        <f t="shared" si="7"/>
        <v>83000000</v>
      </c>
      <c r="X33" s="1343">
        <f t="shared" si="7"/>
        <v>85000000</v>
      </c>
      <c r="Y33" s="1343">
        <f t="shared" si="7"/>
        <v>88000000</v>
      </c>
      <c r="Z33" s="1343">
        <f t="shared" si="7"/>
        <v>90000000</v>
      </c>
      <c r="AA33" s="1301"/>
      <c r="AB33" s="1301"/>
      <c r="AC33" s="1301"/>
      <c r="AD33" s="1301"/>
      <c r="AE33" s="1301"/>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1319" t="s">
        <v>215</v>
      </c>
      <c r="B34" s="1319" t="s">
        <v>215</v>
      </c>
      <c r="C34" s="1314" t="s">
        <v>2684</v>
      </c>
      <c r="D34" s="1317"/>
      <c r="E34" s="1317"/>
      <c r="F34" s="1317"/>
      <c r="G34" s="1317"/>
      <c r="H34" s="1317"/>
      <c r="I34" s="1317"/>
      <c r="J34" s="1317">
        <v>387000000</v>
      </c>
      <c r="K34" s="1317">
        <v>399000000</v>
      </c>
      <c r="L34" s="1317">
        <v>512000000</v>
      </c>
      <c r="M34" s="1317">
        <v>420000000</v>
      </c>
      <c r="N34" s="1312"/>
      <c r="O34" s="1312"/>
      <c r="P34" s="1341"/>
      <c r="Q34" s="1341"/>
      <c r="R34" s="1341"/>
      <c r="S34" s="1341"/>
      <c r="T34" s="1341"/>
      <c r="U34" s="1341"/>
      <c r="V34" s="1341"/>
      <c r="W34" s="1341"/>
      <c r="X34" s="1341"/>
      <c r="Y34" s="1342"/>
      <c r="Z34" s="1342"/>
      <c r="AA34" s="1301"/>
      <c r="AB34" s="1301"/>
      <c r="AC34" s="1301"/>
      <c r="AD34" s="1301"/>
      <c r="AE34" s="1301"/>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1319" t="s">
        <v>53</v>
      </c>
      <c r="B35" s="1319" t="s">
        <v>53</v>
      </c>
      <c r="C35" s="1314" t="s">
        <v>2684</v>
      </c>
      <c r="D35" s="1317"/>
      <c r="E35" s="1317"/>
      <c r="F35" s="1317"/>
      <c r="G35" s="1317"/>
      <c r="H35" s="1317"/>
      <c r="I35" s="1317"/>
      <c r="J35" s="1317">
        <v>7000000</v>
      </c>
      <c r="K35" s="1317">
        <v>14000000</v>
      </c>
      <c r="L35" s="1317">
        <v>12000000</v>
      </c>
      <c r="M35" s="1317">
        <v>14000000</v>
      </c>
      <c r="N35" s="1312"/>
      <c r="O35" s="1312"/>
      <c r="P35" s="1341"/>
      <c r="Q35" s="1341"/>
      <c r="R35" s="1341"/>
      <c r="S35" s="1341">
        <v>84000000</v>
      </c>
      <c r="T35" s="1341">
        <v>82000000</v>
      </c>
      <c r="U35" s="1341">
        <v>80000000</v>
      </c>
      <c r="V35" s="1341">
        <v>80000000</v>
      </c>
      <c r="W35" s="1341">
        <v>83000000</v>
      </c>
      <c r="X35" s="1341">
        <v>85000000</v>
      </c>
      <c r="Y35" s="1342">
        <v>88000000</v>
      </c>
      <c r="Z35" s="1342">
        <v>90000000</v>
      </c>
      <c r="AA35" s="1301"/>
      <c r="AB35" s="1301"/>
      <c r="AC35" s="1301"/>
      <c r="AD35" s="1301"/>
      <c r="AE35" s="1301"/>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1318" t="s">
        <v>2685</v>
      </c>
      <c r="B36" s="1318" t="s">
        <v>2686</v>
      </c>
      <c r="C36" s="1314" t="s">
        <v>204</v>
      </c>
      <c r="D36" s="1317"/>
      <c r="E36" s="1317"/>
      <c r="F36" s="1317"/>
      <c r="G36" s="1317"/>
      <c r="H36" s="1317"/>
      <c r="I36" s="1317"/>
      <c r="J36" s="1317">
        <v>709000000</v>
      </c>
      <c r="K36" s="1317">
        <v>851000000</v>
      </c>
      <c r="L36" s="1317">
        <v>1379000000</v>
      </c>
      <c r="M36" s="1317">
        <v>1506000000</v>
      </c>
      <c r="N36" s="1312">
        <v>1612000000</v>
      </c>
      <c r="O36" s="1312">
        <v>1656000000</v>
      </c>
      <c r="P36" s="1341">
        <v>1858000000</v>
      </c>
      <c r="Q36" s="1341">
        <v>2295000000</v>
      </c>
      <c r="R36" s="1341">
        <v>2793000000</v>
      </c>
      <c r="S36" s="1341">
        <v>3037000000</v>
      </c>
      <c r="T36" s="1341">
        <v>3394000000</v>
      </c>
      <c r="U36" s="1341">
        <v>3550000000</v>
      </c>
      <c r="V36" s="1341">
        <v>3730000000</v>
      </c>
      <c r="W36" s="1341">
        <v>4029000000</v>
      </c>
      <c r="X36" s="1341">
        <v>4260000000</v>
      </c>
      <c r="Y36" s="1342">
        <v>4387000000</v>
      </c>
      <c r="Z36" s="1342">
        <v>4519000000</v>
      </c>
      <c r="AA36" s="1301"/>
      <c r="AB36" s="1301"/>
      <c r="AC36" s="1301"/>
      <c r="AD36" s="1301"/>
      <c r="AE36" s="1301"/>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1318" t="s">
        <v>808</v>
      </c>
      <c r="B37" s="1318" t="s">
        <v>2687</v>
      </c>
      <c r="C37" s="1314" t="s">
        <v>204</v>
      </c>
      <c r="D37" s="1317"/>
      <c r="E37" s="1317"/>
      <c r="F37" s="1317"/>
      <c r="G37" s="1317"/>
      <c r="H37" s="1317"/>
      <c r="I37" s="1320">
        <f>I30-I31-I32-I33-I36-I38-I41-I42</f>
        <v>539000000</v>
      </c>
      <c r="J37" s="1317">
        <v>317000000</v>
      </c>
      <c r="K37" s="1317">
        <v>636000000</v>
      </c>
      <c r="L37" s="1317">
        <v>789000000</v>
      </c>
      <c r="M37" s="1317">
        <v>1142000000</v>
      </c>
      <c r="N37" s="1312">
        <v>972000000</v>
      </c>
      <c r="O37" s="1312">
        <v>886000000</v>
      </c>
      <c r="P37" s="1341">
        <v>917000000</v>
      </c>
      <c r="Q37" s="1341">
        <v>1014000000</v>
      </c>
      <c r="R37" s="1341">
        <v>979000000</v>
      </c>
      <c r="S37" s="1341">
        <v>978000000</v>
      </c>
      <c r="T37" s="1341">
        <v>1090000000</v>
      </c>
      <c r="U37" s="1341">
        <v>1100000000</v>
      </c>
      <c r="V37" s="1341">
        <v>1150000000</v>
      </c>
      <c r="W37" s="1341">
        <v>1186000000</v>
      </c>
      <c r="X37" s="1341">
        <v>1221000000</v>
      </c>
      <c r="Y37" s="1342">
        <v>1258000000</v>
      </c>
      <c r="Z37" s="1342">
        <v>1295000000</v>
      </c>
      <c r="AA37" s="1301"/>
      <c r="AB37" s="1301"/>
      <c r="AC37" s="1301"/>
      <c r="AD37" s="1301"/>
      <c r="AE37" s="1301"/>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1318" t="s">
        <v>91</v>
      </c>
      <c r="B38" s="1318" t="s">
        <v>91</v>
      </c>
      <c r="C38" s="1314" t="s">
        <v>204</v>
      </c>
      <c r="D38" s="1312">
        <v>178400000</v>
      </c>
      <c r="E38" s="1312">
        <v>117500000</v>
      </c>
      <c r="F38" s="1312">
        <v>145900000</v>
      </c>
      <c r="G38" s="1312">
        <v>172400000</v>
      </c>
      <c r="H38" s="1312">
        <v>119900000</v>
      </c>
      <c r="I38" s="1317">
        <v>120000000</v>
      </c>
      <c r="J38" s="1317">
        <v>104000000</v>
      </c>
      <c r="K38" s="1317">
        <v>98000000</v>
      </c>
      <c r="L38" s="1317">
        <v>121000000</v>
      </c>
      <c r="M38" s="1317">
        <v>171000000</v>
      </c>
      <c r="N38" s="1312">
        <v>206000000</v>
      </c>
      <c r="O38" s="1312">
        <v>288000000</v>
      </c>
      <c r="P38" s="1341">
        <v>254000000</v>
      </c>
      <c r="Q38" s="1341">
        <v>238000000</v>
      </c>
      <c r="R38" s="1341">
        <v>293000000</v>
      </c>
      <c r="S38" s="1341">
        <v>330000000</v>
      </c>
      <c r="T38" s="1341">
        <v>403000000</v>
      </c>
      <c r="U38" s="1341">
        <v>495000000</v>
      </c>
      <c r="V38" s="1341">
        <v>560000000</v>
      </c>
      <c r="W38" s="1341">
        <v>618000000</v>
      </c>
      <c r="X38" s="1341">
        <v>658000000</v>
      </c>
      <c r="Y38" s="1342">
        <v>729000000</v>
      </c>
      <c r="Z38" s="1342">
        <v>822000000</v>
      </c>
      <c r="AA38" s="1301"/>
      <c r="AB38" s="1301"/>
      <c r="AC38" s="1301"/>
      <c r="AD38" s="1301"/>
      <c r="AE38" s="1301"/>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1319" t="s">
        <v>2688</v>
      </c>
      <c r="B39" s="1319" t="s">
        <v>2689</v>
      </c>
      <c r="C39" s="1314" t="s">
        <v>1525</v>
      </c>
      <c r="D39" s="1312">
        <v>90700000</v>
      </c>
      <c r="E39" s="1312">
        <v>51300000</v>
      </c>
      <c r="F39" s="1312">
        <v>65700000</v>
      </c>
      <c r="G39" s="1312">
        <v>76900000</v>
      </c>
      <c r="H39" s="1312">
        <v>48500000</v>
      </c>
      <c r="I39" s="1317">
        <v>39000000</v>
      </c>
      <c r="J39" s="1317">
        <v>36000000</v>
      </c>
      <c r="K39" s="1317">
        <v>39000000</v>
      </c>
      <c r="L39" s="1317">
        <v>64000000</v>
      </c>
      <c r="M39" s="1317">
        <v>113000000</v>
      </c>
      <c r="N39" s="1312"/>
      <c r="O39" s="1312"/>
      <c r="P39" s="1341"/>
      <c r="Q39" s="1341"/>
      <c r="R39" s="1341"/>
      <c r="S39" s="1341">
        <v>174000000</v>
      </c>
      <c r="T39" s="1341">
        <v>195000000</v>
      </c>
      <c r="U39" s="1341">
        <v>221000000</v>
      </c>
      <c r="V39" s="1341">
        <v>265000000</v>
      </c>
      <c r="W39" s="1341">
        <v>298000000</v>
      </c>
      <c r="X39" s="1341">
        <v>309000000</v>
      </c>
      <c r="Y39" s="1342">
        <v>339000000</v>
      </c>
      <c r="Z39" s="1342">
        <v>407000000</v>
      </c>
      <c r="AA39" s="1301"/>
      <c r="AB39" s="1301"/>
      <c r="AC39" s="1301"/>
      <c r="AD39" s="1301"/>
      <c r="AE39" s="1301"/>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1319" t="s">
        <v>2690</v>
      </c>
      <c r="B40" s="1319" t="s">
        <v>2691</v>
      </c>
      <c r="C40" s="1314" t="s">
        <v>1525</v>
      </c>
      <c r="D40" s="1312">
        <v>87700000</v>
      </c>
      <c r="E40" s="1312">
        <v>66200000</v>
      </c>
      <c r="F40" s="1312">
        <v>80200000</v>
      </c>
      <c r="G40" s="1312">
        <v>95500000</v>
      </c>
      <c r="H40" s="1312">
        <v>71400000</v>
      </c>
      <c r="I40" s="1317">
        <v>82000000</v>
      </c>
      <c r="J40" s="1317">
        <v>68000000</v>
      </c>
      <c r="K40" s="1317">
        <v>59000000</v>
      </c>
      <c r="L40" s="1317">
        <v>56000000</v>
      </c>
      <c r="M40" s="1317">
        <v>58000000</v>
      </c>
      <c r="N40" s="1312"/>
      <c r="O40" s="1312"/>
      <c r="P40" s="1341"/>
      <c r="Q40" s="1341"/>
      <c r="R40" s="1341"/>
      <c r="S40" s="1341">
        <v>156000000</v>
      </c>
      <c r="T40" s="1341">
        <v>208000000</v>
      </c>
      <c r="U40" s="1341">
        <v>274000000</v>
      </c>
      <c r="V40" s="1341">
        <v>294000000</v>
      </c>
      <c r="W40" s="1341">
        <v>320000000</v>
      </c>
      <c r="X40" s="1341">
        <v>350000000</v>
      </c>
      <c r="Y40" s="1342">
        <v>390000000</v>
      </c>
      <c r="Z40" s="1342">
        <v>415000000</v>
      </c>
      <c r="AA40" s="1301"/>
      <c r="AB40" s="1301"/>
      <c r="AC40" s="1301"/>
      <c r="AD40" s="1301"/>
      <c r="AE40" s="1301"/>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1318" t="s">
        <v>2692</v>
      </c>
      <c r="B41" s="1318" t="s">
        <v>2693</v>
      </c>
      <c r="C41" s="1314" t="s">
        <v>204</v>
      </c>
      <c r="D41" s="1312">
        <v>203700000</v>
      </c>
      <c r="E41" s="1312">
        <v>235000000</v>
      </c>
      <c r="F41" s="1312">
        <v>243600000</v>
      </c>
      <c r="G41" s="1312">
        <v>332600000</v>
      </c>
      <c r="H41" s="1312">
        <v>304100000</v>
      </c>
      <c r="I41" s="1317"/>
      <c r="J41" s="1317"/>
      <c r="K41" s="1317"/>
      <c r="L41" s="1317"/>
      <c r="M41" s="1317"/>
      <c r="N41" s="1312"/>
      <c r="O41" s="1312"/>
      <c r="P41" s="1341"/>
      <c r="Q41" s="1341"/>
      <c r="R41" s="1341"/>
      <c r="S41" s="1341">
        <v>671000000</v>
      </c>
      <c r="T41" s="1341">
        <v>701000000</v>
      </c>
      <c r="U41" s="1341">
        <v>830000000</v>
      </c>
      <c r="V41" s="1341">
        <v>855000000</v>
      </c>
      <c r="W41" s="1341">
        <v>882000000</v>
      </c>
      <c r="X41" s="1341">
        <v>908000000</v>
      </c>
      <c r="Y41" s="1342">
        <v>935000000</v>
      </c>
      <c r="Z41" s="1342">
        <v>963000000</v>
      </c>
      <c r="AA41" s="1301"/>
      <c r="AB41" s="1301"/>
      <c r="AC41" s="1301"/>
      <c r="AD41" s="1301"/>
      <c r="AE41" s="1301"/>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1318" t="s">
        <v>2694</v>
      </c>
      <c r="B42" s="1318" t="s">
        <v>2695</v>
      </c>
      <c r="C42" s="1314" t="s">
        <v>204</v>
      </c>
      <c r="D42" s="1312">
        <v>233100000</v>
      </c>
      <c r="E42" s="1312">
        <v>305000000</v>
      </c>
      <c r="F42" s="1312">
        <v>315600000</v>
      </c>
      <c r="G42" s="1312">
        <v>320400000</v>
      </c>
      <c r="H42" s="1312">
        <v>380500000</v>
      </c>
      <c r="I42" s="1317"/>
      <c r="J42" s="1317"/>
      <c r="K42" s="1317"/>
      <c r="L42" s="1317"/>
      <c r="M42" s="1317"/>
      <c r="N42" s="1312"/>
      <c r="O42" s="1312"/>
      <c r="P42" s="1341"/>
      <c r="Q42" s="1341"/>
      <c r="R42" s="1341"/>
      <c r="S42" s="1341"/>
      <c r="T42" s="1341"/>
      <c r="U42" s="1341"/>
      <c r="V42" s="1341"/>
      <c r="W42" s="1341"/>
      <c r="X42" s="1341"/>
      <c r="Y42" s="1342"/>
      <c r="Z42" s="1342"/>
      <c r="AA42" s="1301"/>
      <c r="AB42" s="1301"/>
      <c r="AC42" s="1301"/>
      <c r="AD42" s="1301"/>
      <c r="AE42" s="1301"/>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1306" t="s">
        <v>76</v>
      </c>
      <c r="B43" s="1314" t="s">
        <v>2696</v>
      </c>
      <c r="C43" s="1314"/>
      <c r="D43" s="1312">
        <v>30200000</v>
      </c>
      <c r="E43" s="1312">
        <v>71900000</v>
      </c>
      <c r="F43" s="1312">
        <v>78600000</v>
      </c>
      <c r="G43" s="1312">
        <v>102700000</v>
      </c>
      <c r="H43" s="1312">
        <v>208300000</v>
      </c>
      <c r="I43" s="1317">
        <v>459000000</v>
      </c>
      <c r="J43" s="1317">
        <v>1237000000</v>
      </c>
      <c r="K43" s="1317">
        <v>1524000000</v>
      </c>
      <c r="L43" s="1317">
        <v>1636000000</v>
      </c>
      <c r="M43" s="1317">
        <v>1506000000</v>
      </c>
      <c r="N43" s="1312">
        <v>1834000000</v>
      </c>
      <c r="O43" s="1312">
        <v>2137000000</v>
      </c>
      <c r="P43" s="1341">
        <v>2265000000</v>
      </c>
      <c r="Q43" s="1341">
        <v>1572000000</v>
      </c>
      <c r="R43" s="1341">
        <v>1681000000</v>
      </c>
      <c r="S43" s="1341"/>
      <c r="T43" s="1341"/>
      <c r="U43" s="1341"/>
      <c r="V43" s="1341"/>
      <c r="W43" s="1341"/>
      <c r="X43" s="1341"/>
      <c r="Y43" s="1342"/>
      <c r="Z43" s="1342"/>
      <c r="AA43" s="1301"/>
      <c r="AB43" s="1301"/>
      <c r="AC43" s="1301"/>
      <c r="AD43" s="1301"/>
      <c r="AE43" s="1301"/>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1314" t="s">
        <v>237</v>
      </c>
      <c r="B44" s="1314" t="s">
        <v>540</v>
      </c>
      <c r="C44" s="1314" t="s">
        <v>201</v>
      </c>
      <c r="D44" s="1312">
        <v>30200000</v>
      </c>
      <c r="E44" s="1312">
        <v>71900000</v>
      </c>
      <c r="F44" s="1312">
        <v>78600000</v>
      </c>
      <c r="G44" s="1312">
        <v>102700000</v>
      </c>
      <c r="H44" s="1313">
        <v>208000000</v>
      </c>
      <c r="I44" s="1317">
        <v>459000000</v>
      </c>
      <c r="J44" s="1317">
        <v>1070000000</v>
      </c>
      <c r="K44" s="1317">
        <v>1465000000</v>
      </c>
      <c r="L44" s="1317">
        <v>1524000000</v>
      </c>
      <c r="M44" s="1317">
        <v>1444000000</v>
      </c>
      <c r="N44" s="1312">
        <v>1706000000</v>
      </c>
      <c r="O44" s="1312">
        <v>1869000000</v>
      </c>
      <c r="P44" s="1341">
        <v>1971000000</v>
      </c>
      <c r="Q44" s="1341">
        <v>1361000000</v>
      </c>
      <c r="R44" s="1341">
        <v>1547000000</v>
      </c>
      <c r="S44" s="1341">
        <v>1421000000</v>
      </c>
      <c r="T44" s="1341">
        <v>1351000000</v>
      </c>
      <c r="U44" s="1341">
        <v>1995000000</v>
      </c>
      <c r="V44" s="1341">
        <v>2472000000</v>
      </c>
      <c r="W44" s="1341">
        <v>2997000000</v>
      </c>
      <c r="X44" s="1341">
        <v>3584000000</v>
      </c>
      <c r="Y44" s="1342">
        <v>4018000000</v>
      </c>
      <c r="Z44" s="1342">
        <v>4449000000</v>
      </c>
      <c r="AA44" s="1301"/>
      <c r="AB44" s="1301"/>
      <c r="AC44" s="1301"/>
      <c r="AD44" s="1301"/>
      <c r="AE44" s="1301"/>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c r="A45" s="1319" t="s">
        <v>2697</v>
      </c>
      <c r="B45" s="1319" t="s">
        <v>2698</v>
      </c>
      <c r="C45" s="1314" t="s">
        <v>241</v>
      </c>
      <c r="D45" s="1312">
        <v>25400000</v>
      </c>
      <c r="E45" s="1312">
        <v>69100000</v>
      </c>
      <c r="F45" s="1312">
        <v>76300000</v>
      </c>
      <c r="G45" s="1312">
        <v>75000000</v>
      </c>
      <c r="H45" s="1312">
        <v>107200000</v>
      </c>
      <c r="I45" s="1317">
        <v>178000000</v>
      </c>
      <c r="J45" s="1317"/>
      <c r="K45" s="1317"/>
      <c r="L45" s="1317"/>
      <c r="M45" s="1317"/>
      <c r="N45" s="1312"/>
      <c r="O45" s="1312"/>
      <c r="P45" s="1341"/>
      <c r="Q45" s="1341"/>
      <c r="R45" s="1341"/>
      <c r="S45" s="1341"/>
      <c r="T45" s="1341"/>
      <c r="U45" s="1341"/>
      <c r="V45" s="1341"/>
      <c r="W45" s="1341"/>
      <c r="X45" s="1341"/>
      <c r="Y45" s="1342"/>
      <c r="Z45" s="1342"/>
      <c r="AA45" s="1301"/>
      <c r="AB45" s="1301"/>
      <c r="AC45" s="1301"/>
      <c r="AD45" s="1301"/>
      <c r="AE45" s="1301"/>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c r="A46" s="1330" t="s">
        <v>2699</v>
      </c>
      <c r="B46" s="1330" t="s">
        <v>2699</v>
      </c>
      <c r="C46" s="1328" t="s">
        <v>241</v>
      </c>
      <c r="D46" s="1313">
        <f t="shared" ref="D46:I46" si="8">D44-D45</f>
        <v>4800000</v>
      </c>
      <c r="E46" s="1313">
        <f t="shared" si="8"/>
        <v>2800000</v>
      </c>
      <c r="F46" s="1313">
        <f t="shared" si="8"/>
        <v>2300000</v>
      </c>
      <c r="G46" s="1313">
        <f t="shared" si="8"/>
        <v>27700000</v>
      </c>
      <c r="H46" s="1313">
        <f t="shared" si="8"/>
        <v>100800000</v>
      </c>
      <c r="I46" s="1313">
        <f t="shared" si="8"/>
        <v>281000000</v>
      </c>
      <c r="J46" s="1317"/>
      <c r="K46" s="1317"/>
      <c r="L46" s="1317"/>
      <c r="M46" s="1317"/>
      <c r="N46" s="1312"/>
      <c r="O46" s="1312"/>
      <c r="P46" s="1341"/>
      <c r="Q46" s="1341"/>
      <c r="R46" s="1341"/>
      <c r="S46" s="1341"/>
      <c r="T46" s="1341"/>
      <c r="U46" s="1341"/>
      <c r="V46" s="1341"/>
      <c r="W46" s="1341"/>
      <c r="X46" s="1341"/>
      <c r="Y46" s="1342"/>
      <c r="Z46" s="1342"/>
      <c r="AA46" s="1301"/>
      <c r="AB46" s="1301"/>
      <c r="AC46" s="1301"/>
      <c r="AD46" s="1301"/>
      <c r="AE46" s="1301"/>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1319"/>
      <c r="B47" s="1319" t="s">
        <v>2700</v>
      </c>
      <c r="C47" s="1314"/>
      <c r="D47" s="1313"/>
      <c r="E47" s="1313"/>
      <c r="F47" s="1313"/>
      <c r="G47" s="1313"/>
      <c r="H47" s="1313"/>
      <c r="I47" s="1313"/>
      <c r="J47" s="1317"/>
      <c r="K47" s="1317"/>
      <c r="L47" s="1317"/>
      <c r="M47" s="1317"/>
      <c r="N47" s="1312"/>
      <c r="O47" s="1312"/>
      <c r="P47" s="1341"/>
      <c r="Q47" s="1341"/>
      <c r="R47" s="1341"/>
      <c r="S47" s="1341">
        <v>-402000000</v>
      </c>
      <c r="T47" s="1341">
        <v>-545000000</v>
      </c>
      <c r="U47" s="1341">
        <v>-415000000</v>
      </c>
      <c r="V47" s="1341">
        <v>-592000000</v>
      </c>
      <c r="W47" s="1341">
        <v>-772000000</v>
      </c>
      <c r="X47" s="1341">
        <v>-902000000</v>
      </c>
      <c r="Y47" s="1342">
        <v>-709000000</v>
      </c>
      <c r="Z47" s="1342">
        <v>-517000000</v>
      </c>
      <c r="AA47" s="1301"/>
      <c r="AB47" s="1301"/>
      <c r="AC47" s="1301"/>
      <c r="AD47" s="1301"/>
      <c r="AE47" s="1301"/>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1319"/>
      <c r="B48" s="1319" t="s">
        <v>2701</v>
      </c>
      <c r="C48" s="1314"/>
      <c r="D48" s="1313"/>
      <c r="E48" s="1313"/>
      <c r="F48" s="1313"/>
      <c r="G48" s="1313"/>
      <c r="H48" s="1313"/>
      <c r="I48" s="1313"/>
      <c r="J48" s="1317"/>
      <c r="K48" s="1317"/>
      <c r="L48" s="1317"/>
      <c r="M48" s="1317"/>
      <c r="N48" s="1312"/>
      <c r="O48" s="1312"/>
      <c r="P48" s="1341"/>
      <c r="Q48" s="1341"/>
      <c r="R48" s="1341"/>
      <c r="S48" s="1341">
        <v>0</v>
      </c>
      <c r="T48" s="1341">
        <v>0</v>
      </c>
      <c r="U48" s="1341">
        <v>0</v>
      </c>
      <c r="V48" s="1341">
        <v>0</v>
      </c>
      <c r="W48" s="1341">
        <v>170000000</v>
      </c>
      <c r="X48" s="1341">
        <v>295000000</v>
      </c>
      <c r="Y48" s="1342">
        <v>170000000</v>
      </c>
      <c r="Z48" s="1342">
        <v>0</v>
      </c>
      <c r="AA48" s="1301"/>
      <c r="AB48" s="1301"/>
      <c r="AC48" s="1301"/>
      <c r="AD48" s="1301"/>
      <c r="AE48" s="1301"/>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c r="A49" s="1314" t="s">
        <v>2702</v>
      </c>
      <c r="B49" s="1314" t="s">
        <v>2702</v>
      </c>
      <c r="C49" s="1314" t="s">
        <v>201</v>
      </c>
      <c r="D49" s="1312">
        <v>31600000</v>
      </c>
      <c r="E49" s="1312">
        <v>44300000</v>
      </c>
      <c r="F49" s="1312">
        <v>72800000</v>
      </c>
      <c r="G49" s="1312">
        <v>46900000</v>
      </c>
      <c r="H49" s="1312">
        <v>26800000</v>
      </c>
      <c r="I49" s="1317">
        <v>33000000</v>
      </c>
      <c r="J49" s="1317">
        <v>167000000</v>
      </c>
      <c r="K49" s="1317">
        <v>59000000</v>
      </c>
      <c r="L49" s="1317">
        <v>111000000</v>
      </c>
      <c r="M49" s="1317">
        <v>62000000</v>
      </c>
      <c r="N49" s="1312">
        <v>128000000</v>
      </c>
      <c r="O49" s="1312">
        <v>268000000</v>
      </c>
      <c r="P49" s="1341">
        <v>293000000</v>
      </c>
      <c r="Q49" s="1341">
        <v>211000000</v>
      </c>
      <c r="R49" s="1341">
        <v>134000000</v>
      </c>
      <c r="S49" s="1341"/>
      <c r="T49" s="1341"/>
      <c r="U49" s="1341"/>
      <c r="V49" s="1341"/>
      <c r="W49" s="1341"/>
      <c r="X49" s="1341"/>
      <c r="Y49" s="1342"/>
      <c r="Z49" s="1342"/>
      <c r="AA49" s="1301"/>
      <c r="AB49" s="1301"/>
      <c r="AC49" s="1301"/>
      <c r="AD49" s="1301"/>
      <c r="AE49" s="1301"/>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c r="A50" s="1306" t="s">
        <v>76</v>
      </c>
      <c r="B50" s="1314" t="s">
        <v>2703</v>
      </c>
      <c r="C50" s="1314"/>
      <c r="D50" s="1312">
        <v>-242600000</v>
      </c>
      <c r="E50" s="1312">
        <v>-130000000</v>
      </c>
      <c r="F50" s="1312">
        <v>-147100000</v>
      </c>
      <c r="G50" s="1312">
        <v>-111400000</v>
      </c>
      <c r="H50" s="1312">
        <v>313000000</v>
      </c>
      <c r="I50" s="1317">
        <v>-177000000</v>
      </c>
      <c r="J50" s="1317"/>
      <c r="K50" s="1317"/>
      <c r="L50" s="1317"/>
      <c r="M50" s="1317"/>
      <c r="N50" s="1312"/>
      <c r="O50" s="1312"/>
      <c r="P50" s="1341"/>
      <c r="Q50" s="1341"/>
      <c r="R50" s="1341"/>
      <c r="S50" s="1341"/>
      <c r="T50" s="1341"/>
      <c r="U50" s="1341"/>
      <c r="V50" s="1341"/>
      <c r="W50" s="1341"/>
      <c r="X50" s="1341"/>
      <c r="Y50" s="1342"/>
      <c r="Z50" s="1342"/>
      <c r="AA50" s="1301"/>
      <c r="AB50" s="1301"/>
      <c r="AC50" s="1301"/>
      <c r="AD50" s="1301"/>
      <c r="AE50" s="1301"/>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c r="A51" s="1306" t="s">
        <v>76</v>
      </c>
      <c r="B51" s="1314" t="s">
        <v>2704</v>
      </c>
      <c r="C51" s="1314"/>
      <c r="D51" s="1312">
        <v>89000000</v>
      </c>
      <c r="E51" s="1312">
        <v>20900000</v>
      </c>
      <c r="F51" s="1312">
        <v>8100000</v>
      </c>
      <c r="G51" s="1312">
        <v>-24700000</v>
      </c>
      <c r="H51" s="1312">
        <v>-336800000</v>
      </c>
      <c r="I51" s="1317">
        <v>-101000000</v>
      </c>
      <c r="J51" s="1317"/>
      <c r="K51" s="1317"/>
      <c r="L51" s="1317"/>
      <c r="M51" s="1317"/>
      <c r="N51" s="1312"/>
      <c r="O51" s="1312"/>
      <c r="P51" s="1341"/>
      <c r="Q51" s="1341"/>
      <c r="R51" s="1341"/>
      <c r="S51" s="1341"/>
      <c r="T51" s="1341"/>
      <c r="U51" s="1341"/>
      <c r="V51" s="1341"/>
      <c r="W51" s="1341"/>
      <c r="X51" s="1341"/>
      <c r="Y51" s="1342"/>
      <c r="Z51" s="1342"/>
      <c r="AA51" s="1301"/>
      <c r="AB51" s="1301"/>
      <c r="AC51" s="1301"/>
      <c r="AD51" s="1301"/>
      <c r="AE51" s="1301"/>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c r="A52" s="1306" t="s">
        <v>76</v>
      </c>
      <c r="B52" s="1314" t="s">
        <v>2705</v>
      </c>
      <c r="C52" s="1314"/>
      <c r="D52" s="1312">
        <v>84000000</v>
      </c>
      <c r="E52" s="1312">
        <v>12600000</v>
      </c>
      <c r="F52" s="1312">
        <v>-29800000</v>
      </c>
      <c r="G52" s="1312">
        <v>-24700000</v>
      </c>
      <c r="H52" s="1312">
        <v>-259000000</v>
      </c>
      <c r="I52" s="1317">
        <v>-105000000</v>
      </c>
      <c r="J52" s="1317"/>
      <c r="K52" s="1317"/>
      <c r="L52" s="1317"/>
      <c r="M52" s="1317"/>
      <c r="N52" s="1312"/>
      <c r="O52" s="1312"/>
      <c r="P52" s="1341"/>
      <c r="Q52" s="1341"/>
      <c r="R52" s="1341"/>
      <c r="S52" s="1341"/>
      <c r="T52" s="1341"/>
      <c r="U52" s="1341"/>
      <c r="V52" s="1341"/>
      <c r="W52" s="1341"/>
      <c r="X52" s="1341"/>
      <c r="Y52" s="1342"/>
      <c r="Z52" s="1342"/>
      <c r="AA52" s="1301"/>
      <c r="AB52" s="1301"/>
      <c r="AC52" s="1301"/>
      <c r="AD52" s="1301"/>
      <c r="AE52" s="1301"/>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c r="A53" s="1306" t="s">
        <v>76</v>
      </c>
      <c r="B53" s="1314" t="s">
        <v>521</v>
      </c>
      <c r="C53" s="1314"/>
      <c r="D53" s="1312">
        <v>5000000</v>
      </c>
      <c r="E53" s="1312">
        <v>8199999.9999999991</v>
      </c>
      <c r="F53" s="1312">
        <v>37900000</v>
      </c>
      <c r="G53" s="1312">
        <v>0</v>
      </c>
      <c r="H53" s="1312">
        <v>-78000000</v>
      </c>
      <c r="I53" s="1317">
        <v>4000000</v>
      </c>
      <c r="J53" s="1317"/>
      <c r="K53" s="1317"/>
      <c r="L53" s="1317"/>
      <c r="M53" s="1317"/>
      <c r="N53" s="1312"/>
      <c r="O53" s="1312"/>
      <c r="P53" s="1341"/>
      <c r="Q53" s="1341"/>
      <c r="R53" s="1341"/>
      <c r="S53" s="1341"/>
      <c r="T53" s="1341"/>
      <c r="U53" s="1341"/>
      <c r="V53" s="1341"/>
      <c r="W53" s="1341"/>
      <c r="X53" s="1341"/>
      <c r="Y53" s="1342"/>
      <c r="Z53" s="1342"/>
      <c r="AA53" s="1301"/>
      <c r="AB53" s="1301"/>
      <c r="AC53" s="1301"/>
      <c r="AD53" s="1301"/>
      <c r="AE53" s="1301"/>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c r="A54" s="1306" t="s">
        <v>76</v>
      </c>
      <c r="B54" s="1314" t="s">
        <v>2706</v>
      </c>
      <c r="C54" s="1314"/>
      <c r="D54" s="1312">
        <v>-153600000</v>
      </c>
      <c r="E54" s="1312">
        <v>-109100000</v>
      </c>
      <c r="F54" s="1312">
        <v>-139000000</v>
      </c>
      <c r="G54" s="1312">
        <v>-136000000</v>
      </c>
      <c r="H54" s="1312">
        <v>-23600000</v>
      </c>
      <c r="I54" s="1317">
        <v>-278000000</v>
      </c>
      <c r="J54" s="1317">
        <v>-420000000</v>
      </c>
      <c r="K54" s="1317">
        <v>-806000000</v>
      </c>
      <c r="L54" s="1317">
        <v>-1208000000</v>
      </c>
      <c r="M54" s="1317">
        <v>-1648000000</v>
      </c>
      <c r="N54" s="1312">
        <v>-1366000000</v>
      </c>
      <c r="O54" s="1312">
        <v>-880000000</v>
      </c>
      <c r="P54" s="1341">
        <v>-779000000</v>
      </c>
      <c r="Q54" s="1341">
        <v>-700000000</v>
      </c>
      <c r="R54" s="1341">
        <v>-1012000000</v>
      </c>
      <c r="S54" s="1341">
        <v>-402000000</v>
      </c>
      <c r="T54" s="1341">
        <v>-545000000</v>
      </c>
      <c r="U54" s="1341">
        <v>-415000000</v>
      </c>
      <c r="V54" s="1341">
        <v>-592000000</v>
      </c>
      <c r="W54" s="1341">
        <v>-602000000</v>
      </c>
      <c r="X54" s="1341">
        <v>-607000000</v>
      </c>
      <c r="Y54" s="1342">
        <v>-539000000</v>
      </c>
      <c r="Z54" s="1342">
        <v>-517000000</v>
      </c>
      <c r="AA54" s="1301"/>
      <c r="AB54" s="1301"/>
      <c r="AC54" s="1301"/>
      <c r="AD54" s="1301"/>
      <c r="AE54" s="1301"/>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s="848" customFormat="1">
      <c r="A55" s="1332" t="s">
        <v>115</v>
      </c>
      <c r="B55" s="1332" t="s">
        <v>115</v>
      </c>
      <c r="C55" s="1332" t="s">
        <v>35</v>
      </c>
      <c r="D55" s="1333">
        <f>D70+D89+D78</f>
        <v>156800000</v>
      </c>
      <c r="E55" s="1333">
        <v>109100000</v>
      </c>
      <c r="F55" s="1333">
        <v>139000000</v>
      </c>
      <c r="G55" s="1333">
        <v>136000000</v>
      </c>
      <c r="H55" s="1333">
        <v>23600000</v>
      </c>
      <c r="I55" s="1334">
        <v>279000000</v>
      </c>
      <c r="J55" s="1334">
        <v>4220000000</v>
      </c>
      <c r="K55" s="1334">
        <v>774000000</v>
      </c>
      <c r="L55" s="1334">
        <v>1173000000</v>
      </c>
      <c r="M55" s="1334">
        <v>1648000000</v>
      </c>
      <c r="N55" s="1333">
        <v>1366000000</v>
      </c>
      <c r="O55" s="1333">
        <v>880000000</v>
      </c>
      <c r="P55" s="1338">
        <v>779000000</v>
      </c>
      <c r="Q55" s="1338">
        <v>700000000</v>
      </c>
      <c r="R55" s="1338">
        <v>1012000000</v>
      </c>
      <c r="S55" s="1338">
        <f>S54*-1</f>
        <v>402000000</v>
      </c>
      <c r="T55" s="1338">
        <f t="shared" ref="T55:Z55" si="9">T54*-1</f>
        <v>545000000</v>
      </c>
      <c r="U55" s="1338">
        <f t="shared" si="9"/>
        <v>415000000</v>
      </c>
      <c r="V55" s="1338">
        <f t="shared" si="9"/>
        <v>592000000</v>
      </c>
      <c r="W55" s="1338">
        <f t="shared" si="9"/>
        <v>602000000</v>
      </c>
      <c r="X55" s="1339">
        <f t="shared" si="9"/>
        <v>607000000</v>
      </c>
      <c r="Y55" s="1340">
        <f t="shared" si="9"/>
        <v>539000000</v>
      </c>
      <c r="Z55" s="1340">
        <f t="shared" si="9"/>
        <v>517000000</v>
      </c>
      <c r="AA55" s="1335"/>
      <c r="AB55" s="1335"/>
      <c r="AC55" s="1335"/>
      <c r="AD55" s="1335"/>
      <c r="AE55" s="1335"/>
      <c r="AF55" s="916"/>
      <c r="AG55" s="916"/>
      <c r="AH55" s="916"/>
      <c r="AI55" s="916"/>
      <c r="AJ55" s="916"/>
      <c r="AK55" s="916"/>
      <c r="AL55" s="916"/>
      <c r="AM55" s="916"/>
      <c r="AN55" s="916"/>
      <c r="AO55" s="916"/>
      <c r="AP55" s="916"/>
      <c r="AQ55" s="916"/>
      <c r="AR55" s="916"/>
      <c r="AS55" s="916"/>
      <c r="AT55" s="916"/>
      <c r="AU55" s="916"/>
      <c r="AV55" s="916"/>
      <c r="AW55" s="916"/>
      <c r="AX55" s="916"/>
      <c r="AY55" s="916"/>
      <c r="AZ55" s="916"/>
      <c r="BA55" s="916"/>
    </row>
    <row r="56" spans="1:53" s="9" customFormat="1">
      <c r="A56" s="1328"/>
      <c r="B56" s="1328" t="s">
        <v>2707</v>
      </c>
      <c r="C56" s="1328" t="s">
        <v>252</v>
      </c>
      <c r="D56" s="1312"/>
      <c r="E56" s="1312"/>
      <c r="F56" s="1312"/>
      <c r="G56" s="1312"/>
      <c r="H56" s="1312"/>
      <c r="I56" s="1317"/>
      <c r="J56" s="1317"/>
      <c r="K56" s="1317"/>
      <c r="L56" s="1317"/>
      <c r="M56" s="1317"/>
      <c r="N56" s="1312"/>
      <c r="O56" s="1312"/>
      <c r="P56" s="1341"/>
      <c r="Q56" s="1341"/>
      <c r="R56" s="1341"/>
      <c r="S56" s="1341">
        <f>S64-S59</f>
        <v>-263000000</v>
      </c>
      <c r="T56" s="1341">
        <f t="shared" ref="T56:Z56" si="10">T64-T59</f>
        <v>-202000000</v>
      </c>
      <c r="U56" s="1341">
        <f t="shared" si="10"/>
        <v>-570000000</v>
      </c>
      <c r="V56" s="1341">
        <f t="shared" si="10"/>
        <v>-486000000</v>
      </c>
      <c r="W56" s="1341">
        <f t="shared" si="10"/>
        <v>-178000000</v>
      </c>
      <c r="X56" s="1341">
        <f t="shared" si="10"/>
        <v>-327000000</v>
      </c>
      <c r="Y56" s="1341">
        <f t="shared" si="10"/>
        <v>-629000000</v>
      </c>
      <c r="Z56" s="1341">
        <f t="shared" si="10"/>
        <v>-529000000</v>
      </c>
      <c r="AA56" s="1301"/>
      <c r="AB56" s="1301"/>
      <c r="AC56" s="1301"/>
      <c r="AD56" s="1301"/>
      <c r="AE56" s="1301"/>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s="9" customFormat="1">
      <c r="A57" s="1328"/>
      <c r="B57" s="1328" t="s">
        <v>2708</v>
      </c>
      <c r="C57" s="1328" t="s">
        <v>252</v>
      </c>
      <c r="D57" s="1312"/>
      <c r="E57" s="1312"/>
      <c r="F57" s="1312"/>
      <c r="G57" s="1312"/>
      <c r="H57" s="1312"/>
      <c r="I57" s="1317"/>
      <c r="J57" s="1317"/>
      <c r="K57" s="1317"/>
      <c r="L57" s="1317"/>
      <c r="M57" s="1317"/>
      <c r="N57" s="1312"/>
      <c r="O57" s="1312"/>
      <c r="P57" s="1341"/>
      <c r="Q57" s="1341"/>
      <c r="R57" s="1341"/>
      <c r="S57" s="1341">
        <f>S67</f>
        <v>665000000</v>
      </c>
      <c r="T57" s="1341">
        <f t="shared" ref="T57:Z57" si="11">T67</f>
        <v>747000000</v>
      </c>
      <c r="U57" s="1341">
        <f t="shared" si="11"/>
        <v>984000000</v>
      </c>
      <c r="V57" s="1341">
        <f t="shared" si="11"/>
        <v>1078000000</v>
      </c>
      <c r="W57" s="1341">
        <f t="shared" si="11"/>
        <v>781000000</v>
      </c>
      <c r="X57" s="1341">
        <f t="shared" si="11"/>
        <v>934000000</v>
      </c>
      <c r="Y57" s="1341">
        <f t="shared" si="11"/>
        <v>1168000000</v>
      </c>
      <c r="Z57" s="1341">
        <f t="shared" si="11"/>
        <v>1046000000</v>
      </c>
      <c r="AA57" s="1301"/>
      <c r="AB57" s="1301"/>
      <c r="AC57" s="1301"/>
      <c r="AD57" s="1301"/>
      <c r="AE57" s="1301"/>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s="9" customFormat="1">
      <c r="A58" s="1314" t="s">
        <v>2709</v>
      </c>
      <c r="B58" s="1314" t="s">
        <v>2709</v>
      </c>
      <c r="C58" s="1314"/>
      <c r="D58" s="1312"/>
      <c r="E58" s="1312"/>
      <c r="F58" s="1312"/>
      <c r="G58" s="1312"/>
      <c r="H58" s="1312"/>
      <c r="I58" s="1317"/>
      <c r="J58" s="1317"/>
      <c r="K58" s="1317"/>
      <c r="L58" s="1317"/>
      <c r="M58" s="1317"/>
      <c r="N58" s="1312"/>
      <c r="O58" s="1312"/>
      <c r="P58" s="1341"/>
      <c r="Q58" s="1341"/>
      <c r="R58" s="1341"/>
      <c r="S58" s="1341">
        <v>552000000</v>
      </c>
      <c r="T58" s="1341">
        <v>533000000</v>
      </c>
      <c r="U58" s="1341">
        <v>825000000</v>
      </c>
      <c r="V58" s="1341">
        <v>599000000</v>
      </c>
      <c r="W58" s="1341">
        <v>438000000</v>
      </c>
      <c r="X58" s="1344">
        <v>465000000</v>
      </c>
      <c r="Y58" s="1342">
        <v>648000000</v>
      </c>
      <c r="Z58" s="1342">
        <v>503000000</v>
      </c>
      <c r="AA58" s="1301"/>
      <c r="AB58" s="1301"/>
      <c r="AC58" s="1301"/>
      <c r="AD58" s="1301"/>
      <c r="AE58" s="1301"/>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s="9" customFormat="1">
      <c r="A59" s="1314" t="s">
        <v>209</v>
      </c>
      <c r="B59" s="1314" t="s">
        <v>209</v>
      </c>
      <c r="C59" s="1314"/>
      <c r="D59" s="1312"/>
      <c r="E59" s="1312"/>
      <c r="F59" s="1312"/>
      <c r="G59" s="1312"/>
      <c r="H59" s="1312"/>
      <c r="I59" s="1317"/>
      <c r="J59" s="1317"/>
      <c r="K59" s="1317"/>
      <c r="L59" s="1317"/>
      <c r="M59" s="1317"/>
      <c r="N59" s="1312"/>
      <c r="O59" s="1312"/>
      <c r="P59" s="1341"/>
      <c r="Q59" s="1341"/>
      <c r="R59" s="1345"/>
      <c r="S59" s="1341">
        <v>552000000</v>
      </c>
      <c r="T59" s="1341">
        <v>533000000</v>
      </c>
      <c r="U59" s="1341">
        <v>825000000</v>
      </c>
      <c r="V59" s="1341">
        <v>599000000</v>
      </c>
      <c r="W59" s="1341">
        <v>438000000</v>
      </c>
      <c r="X59" s="1344">
        <v>465000000</v>
      </c>
      <c r="Y59" s="1342">
        <v>648000000</v>
      </c>
      <c r="Z59" s="1342">
        <v>503000000</v>
      </c>
      <c r="AA59" s="1301"/>
      <c r="AB59" s="1301"/>
      <c r="AC59" s="1301"/>
      <c r="AD59" s="1301"/>
      <c r="AE59" s="1301"/>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s="9" customFormat="1">
      <c r="A60" s="1314" t="s">
        <v>2710</v>
      </c>
      <c r="B60" s="1314" t="s">
        <v>2710</v>
      </c>
      <c r="C60" s="1314"/>
      <c r="D60" s="1312"/>
      <c r="E60" s="1312"/>
      <c r="F60" s="1312"/>
      <c r="G60" s="1312"/>
      <c r="H60" s="1312"/>
      <c r="I60" s="1317"/>
      <c r="J60" s="1317"/>
      <c r="K60" s="1317"/>
      <c r="L60" s="1317"/>
      <c r="M60" s="1317"/>
      <c r="N60" s="1312"/>
      <c r="O60" s="1312"/>
      <c r="P60" s="1341"/>
      <c r="Q60" s="1341"/>
      <c r="R60" s="1341"/>
      <c r="S60" s="1341">
        <v>447000000</v>
      </c>
      <c r="T60" s="1341">
        <v>481000000</v>
      </c>
      <c r="U60" s="1341">
        <v>913000000</v>
      </c>
      <c r="V60" s="1341">
        <v>614000000</v>
      </c>
      <c r="W60" s="1341">
        <v>674000000</v>
      </c>
      <c r="X60" s="1344">
        <v>704000000</v>
      </c>
      <c r="Y60" s="1342">
        <v>724000000</v>
      </c>
      <c r="Z60" s="1342">
        <v>724000000</v>
      </c>
      <c r="AA60" s="1301"/>
      <c r="AB60" s="1301"/>
      <c r="AC60" s="1301"/>
      <c r="AD60" s="1301"/>
      <c r="AE60" s="1301"/>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row>
    <row r="61" spans="1:53" s="9" customFormat="1">
      <c r="A61" s="1314" t="s">
        <v>2711</v>
      </c>
      <c r="B61" s="1314" t="s">
        <v>2711</v>
      </c>
      <c r="C61" s="1314"/>
      <c r="D61" s="1312"/>
      <c r="E61" s="1312"/>
      <c r="F61" s="1312"/>
      <c r="G61" s="1312"/>
      <c r="H61" s="1312"/>
      <c r="I61" s="1317"/>
      <c r="J61" s="1317"/>
      <c r="K61" s="1317"/>
      <c r="L61" s="1317"/>
      <c r="M61" s="1317"/>
      <c r="N61" s="1312"/>
      <c r="O61" s="1312"/>
      <c r="P61" s="1341"/>
      <c r="Q61" s="1341"/>
      <c r="R61" s="1341"/>
      <c r="S61" s="1341">
        <v>105000000</v>
      </c>
      <c r="T61" s="1341">
        <v>54000000</v>
      </c>
      <c r="U61" s="1341">
        <v>-88000000</v>
      </c>
      <c r="V61" s="1341">
        <v>-15000000</v>
      </c>
      <c r="W61" s="1341">
        <v>-236000000</v>
      </c>
      <c r="X61" s="1344">
        <v>-239000000</v>
      </c>
      <c r="Y61" s="1342">
        <v>-76000000</v>
      </c>
      <c r="Z61" s="1342">
        <v>-221000000</v>
      </c>
      <c r="AA61" s="1301"/>
      <c r="AB61" s="1301"/>
      <c r="AC61" s="1301"/>
      <c r="AD61" s="1301"/>
      <c r="AE61" s="1301"/>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row>
    <row r="62" spans="1:53" s="9" customFormat="1">
      <c r="A62" s="1314" t="s">
        <v>2712</v>
      </c>
      <c r="B62" s="1314" t="s">
        <v>2712</v>
      </c>
      <c r="C62" s="1314"/>
      <c r="D62" s="1312"/>
      <c r="E62" s="1312"/>
      <c r="F62" s="1312"/>
      <c r="G62" s="1312"/>
      <c r="H62" s="1312"/>
      <c r="I62" s="1317"/>
      <c r="J62" s="1317"/>
      <c r="K62" s="1317"/>
      <c r="L62" s="1317"/>
      <c r="M62" s="1317"/>
      <c r="N62" s="1312"/>
      <c r="O62" s="1312"/>
      <c r="P62" s="1341"/>
      <c r="Q62" s="1341"/>
      <c r="R62" s="1341"/>
      <c r="S62" s="1341">
        <v>0</v>
      </c>
      <c r="T62" s="1341">
        <v>-2000000</v>
      </c>
      <c r="U62" s="1341">
        <v>0</v>
      </c>
      <c r="V62" s="1341">
        <v>0</v>
      </c>
      <c r="W62" s="1341">
        <v>0</v>
      </c>
      <c r="X62" s="1344">
        <v>0</v>
      </c>
      <c r="Y62" s="1342">
        <v>0</v>
      </c>
      <c r="Z62" s="1342">
        <v>0</v>
      </c>
      <c r="AA62" s="1301"/>
      <c r="AB62" s="1301"/>
      <c r="AC62" s="1301"/>
      <c r="AD62" s="1301"/>
      <c r="AE62" s="1301"/>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row>
    <row r="63" spans="1:53" s="9" customFormat="1">
      <c r="A63" s="1314" t="s">
        <v>2713</v>
      </c>
      <c r="B63" s="1314" t="s">
        <v>2713</v>
      </c>
      <c r="C63" s="1314"/>
      <c r="D63" s="1312"/>
      <c r="E63" s="1312"/>
      <c r="F63" s="1312"/>
      <c r="G63" s="1312"/>
      <c r="H63" s="1312"/>
      <c r="I63" s="1317"/>
      <c r="J63" s="1317"/>
      <c r="K63" s="1317"/>
      <c r="L63" s="1317"/>
      <c r="M63" s="1317"/>
      <c r="N63" s="1312"/>
      <c r="O63" s="1312"/>
      <c r="P63" s="1341"/>
      <c r="Q63" s="1341"/>
      <c r="R63" s="1341"/>
      <c r="S63" s="1341">
        <v>954000000</v>
      </c>
      <c r="T63" s="1341">
        <v>1078000000</v>
      </c>
      <c r="U63" s="1341">
        <v>1240000000</v>
      </c>
      <c r="V63" s="1341">
        <v>1190000000</v>
      </c>
      <c r="W63" s="1341">
        <v>1041000000</v>
      </c>
      <c r="X63" s="1344">
        <v>1072000000</v>
      </c>
      <c r="Y63" s="1342">
        <v>1187000000</v>
      </c>
      <c r="Z63" s="1342">
        <v>1020000000</v>
      </c>
      <c r="AA63" s="1301"/>
      <c r="AB63" s="1301"/>
      <c r="AC63" s="1301"/>
      <c r="AD63" s="1301"/>
      <c r="AE63" s="1301"/>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row>
    <row r="64" spans="1:53" s="9" customFormat="1">
      <c r="A64" s="1314" t="s">
        <v>209</v>
      </c>
      <c r="B64" s="1314" t="s">
        <v>209</v>
      </c>
      <c r="C64" s="1314"/>
      <c r="D64" s="1312"/>
      <c r="E64" s="1312"/>
      <c r="F64" s="1312"/>
      <c r="G64" s="1312"/>
      <c r="H64" s="1312"/>
      <c r="I64" s="1317"/>
      <c r="J64" s="1317"/>
      <c r="K64" s="1317"/>
      <c r="L64" s="1317"/>
      <c r="M64" s="1317"/>
      <c r="N64" s="1312"/>
      <c r="O64" s="1312"/>
      <c r="P64" s="1341"/>
      <c r="Q64" s="1341"/>
      <c r="R64" s="1341"/>
      <c r="S64" s="1341">
        <v>289000000</v>
      </c>
      <c r="T64" s="1341">
        <v>331000000</v>
      </c>
      <c r="U64" s="1341">
        <v>255000000</v>
      </c>
      <c r="V64" s="1341">
        <v>113000000</v>
      </c>
      <c r="W64" s="1341">
        <v>260000000</v>
      </c>
      <c r="X64" s="1344">
        <v>138000000</v>
      </c>
      <c r="Y64" s="1342">
        <v>19000000</v>
      </c>
      <c r="Z64" s="1342">
        <v>-26000000</v>
      </c>
      <c r="AA64" s="1301"/>
      <c r="AB64" s="1301"/>
      <c r="AC64" s="1301"/>
      <c r="AD64" s="1301"/>
      <c r="AE64" s="1301"/>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row>
    <row r="65" spans="1:53" s="9" customFormat="1">
      <c r="A65" s="1314" t="s">
        <v>2714</v>
      </c>
      <c r="B65" s="1314" t="s">
        <v>2714</v>
      </c>
      <c r="C65" s="1314"/>
      <c r="D65" s="1312"/>
      <c r="E65" s="1312"/>
      <c r="F65" s="1312"/>
      <c r="G65" s="1312"/>
      <c r="H65" s="1312"/>
      <c r="I65" s="1317"/>
      <c r="J65" s="1317"/>
      <c r="K65" s="1317"/>
      <c r="L65" s="1317"/>
      <c r="M65" s="1317"/>
      <c r="N65" s="1312"/>
      <c r="O65" s="1312"/>
      <c r="P65" s="1341"/>
      <c r="Q65" s="1341"/>
      <c r="R65" s="1341"/>
      <c r="S65" s="1341">
        <v>298000000</v>
      </c>
      <c r="T65" s="1341">
        <v>345000000</v>
      </c>
      <c r="U65" s="1341">
        <v>295000000</v>
      </c>
      <c r="V65" s="1341">
        <v>153000000</v>
      </c>
      <c r="W65" s="1341">
        <v>270000000</v>
      </c>
      <c r="X65" s="1344">
        <v>148000000</v>
      </c>
      <c r="Y65" s="1342">
        <v>29000000</v>
      </c>
      <c r="Z65" s="1342">
        <v>-16000000</v>
      </c>
      <c r="AA65" s="1301"/>
      <c r="AB65" s="1301"/>
      <c r="AC65" s="1301"/>
      <c r="AD65" s="1301"/>
      <c r="AE65" s="1301"/>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row>
    <row r="66" spans="1:53" s="9" customFormat="1">
      <c r="A66" s="1314" t="s">
        <v>444</v>
      </c>
      <c r="B66" s="1314" t="s">
        <v>444</v>
      </c>
      <c r="C66" s="1314"/>
      <c r="D66" s="1312"/>
      <c r="E66" s="1312"/>
      <c r="F66" s="1312"/>
      <c r="G66" s="1312"/>
      <c r="H66" s="1312"/>
      <c r="I66" s="1317"/>
      <c r="J66" s="1317"/>
      <c r="K66" s="1317"/>
      <c r="L66" s="1317"/>
      <c r="M66" s="1317"/>
      <c r="N66" s="1312"/>
      <c r="O66" s="1312"/>
      <c r="P66" s="1341"/>
      <c r="Q66" s="1341"/>
      <c r="R66" s="1341"/>
      <c r="S66" s="1341">
        <v>-9000000</v>
      </c>
      <c r="T66" s="1341">
        <v>-14000000</v>
      </c>
      <c r="U66" s="1341">
        <v>-10000000</v>
      </c>
      <c r="V66" s="1341">
        <v>-10000000</v>
      </c>
      <c r="W66" s="1341">
        <v>-10000000</v>
      </c>
      <c r="X66" s="1344">
        <v>-10000000</v>
      </c>
      <c r="Y66" s="1342">
        <v>-10000000</v>
      </c>
      <c r="Z66" s="1342">
        <v>-10000000</v>
      </c>
      <c r="AA66" s="1301"/>
      <c r="AB66" s="1301"/>
      <c r="AC66" s="1301"/>
      <c r="AD66" s="1301"/>
      <c r="AE66" s="1301"/>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row>
    <row r="67" spans="1:53" s="9" customFormat="1">
      <c r="A67" s="1314" t="s">
        <v>212</v>
      </c>
      <c r="B67" s="1314" t="s">
        <v>212</v>
      </c>
      <c r="C67" s="1314"/>
      <c r="D67" s="1312"/>
      <c r="E67" s="1312"/>
      <c r="F67" s="1312"/>
      <c r="G67" s="1312"/>
      <c r="H67" s="1312"/>
      <c r="I67" s="1317"/>
      <c r="J67" s="1317"/>
      <c r="K67" s="1317"/>
      <c r="L67" s="1317"/>
      <c r="M67" s="1317"/>
      <c r="N67" s="1312"/>
      <c r="O67" s="1312"/>
      <c r="P67" s="1341"/>
      <c r="Q67" s="1341"/>
      <c r="R67" s="1345"/>
      <c r="S67" s="1341">
        <v>665000000</v>
      </c>
      <c r="T67" s="1341">
        <v>747000000</v>
      </c>
      <c r="U67" s="1341">
        <v>984000000</v>
      </c>
      <c r="V67" s="1341">
        <v>1078000000</v>
      </c>
      <c r="W67" s="1341">
        <v>781000000</v>
      </c>
      <c r="X67" s="1344">
        <v>934000000</v>
      </c>
      <c r="Y67" s="1342">
        <v>1168000000</v>
      </c>
      <c r="Z67" s="1342">
        <v>1046000000</v>
      </c>
      <c r="AA67" s="1301"/>
      <c r="AB67" s="1301"/>
      <c r="AC67" s="1301"/>
      <c r="AD67" s="1301"/>
      <c r="AE67" s="1301"/>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row>
    <row r="68" spans="1:53" s="9" customFormat="1">
      <c r="A68" s="1314" t="s">
        <v>444</v>
      </c>
      <c r="B68" s="1314" t="s">
        <v>444</v>
      </c>
      <c r="C68" s="1314"/>
      <c r="D68" s="1312"/>
      <c r="E68" s="1312"/>
      <c r="F68" s="1312"/>
      <c r="G68" s="1312"/>
      <c r="H68" s="1312"/>
      <c r="I68" s="1317"/>
      <c r="J68" s="1317"/>
      <c r="K68" s="1317"/>
      <c r="L68" s="1317"/>
      <c r="M68" s="1317"/>
      <c r="N68" s="1312"/>
      <c r="O68" s="1312"/>
      <c r="P68" s="1341"/>
      <c r="Q68" s="1341"/>
      <c r="R68" s="1341"/>
      <c r="S68" s="1341">
        <v>665000000</v>
      </c>
      <c r="T68" s="1341">
        <v>747000000</v>
      </c>
      <c r="U68" s="1341">
        <v>984000000</v>
      </c>
      <c r="V68" s="1341">
        <v>1078000000</v>
      </c>
      <c r="W68" s="1341">
        <v>781000000</v>
      </c>
      <c r="X68" s="1344">
        <v>934000000</v>
      </c>
      <c r="Y68" s="1342">
        <v>1168000000</v>
      </c>
      <c r="Z68" s="1342">
        <v>1046000000</v>
      </c>
      <c r="AA68" s="1301"/>
      <c r="AB68" s="1301"/>
      <c r="AC68" s="1301"/>
      <c r="AD68" s="1301"/>
      <c r="AE68" s="1301"/>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row>
    <row r="69" spans="1:53" s="9" customFormat="1">
      <c r="A69" s="1327" t="s">
        <v>120</v>
      </c>
      <c r="B69" s="1328" t="s">
        <v>209</v>
      </c>
      <c r="C69" s="1328" t="s">
        <v>252</v>
      </c>
      <c r="D69" s="1312">
        <f>D70+D89</f>
        <v>165200000</v>
      </c>
      <c r="E69" s="1312">
        <f t="shared" ref="E69:R69" si="12">E70+E89</f>
        <v>-19700000</v>
      </c>
      <c r="F69" s="1312">
        <f t="shared" si="12"/>
        <v>7500000</v>
      </c>
      <c r="G69" s="1312">
        <f t="shared" si="12"/>
        <v>92100000</v>
      </c>
      <c r="H69" s="1312">
        <f t="shared" si="12"/>
        <v>1000000</v>
      </c>
      <c r="I69" s="1312">
        <f t="shared" si="12"/>
        <v>315000000</v>
      </c>
      <c r="J69" s="1312">
        <f t="shared" si="12"/>
        <v>482000000</v>
      </c>
      <c r="K69" s="1312">
        <f t="shared" si="12"/>
        <v>740000000</v>
      </c>
      <c r="L69" s="1312">
        <f t="shared" si="12"/>
        <v>223000000</v>
      </c>
      <c r="M69" s="1312">
        <f t="shared" si="12"/>
        <v>954000000</v>
      </c>
      <c r="N69" s="1312">
        <f t="shared" si="12"/>
        <v>214000000</v>
      </c>
      <c r="O69" s="1312">
        <f t="shared" si="12"/>
        <v>332000000</v>
      </c>
      <c r="P69" s="1341">
        <f t="shared" si="12"/>
        <v>185000000</v>
      </c>
      <c r="Q69" s="1341">
        <f t="shared" si="12"/>
        <v>545000000</v>
      </c>
      <c r="R69" s="1341">
        <f t="shared" si="12"/>
        <v>550000000</v>
      </c>
      <c r="S69" s="1341"/>
      <c r="T69" s="1341"/>
      <c r="U69" s="1341"/>
      <c r="V69" s="1341"/>
      <c r="W69" s="1341"/>
      <c r="X69" s="1344"/>
      <c r="Y69" s="1342"/>
      <c r="Z69" s="1342"/>
      <c r="AA69" s="1301"/>
      <c r="AB69" s="1301"/>
      <c r="AC69" s="1301"/>
      <c r="AD69" s="1301"/>
      <c r="AE69" s="1301"/>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row>
    <row r="70" spans="1:53">
      <c r="B70" s="1314" t="s">
        <v>209</v>
      </c>
      <c r="C70" s="1314"/>
      <c r="D70" s="1321">
        <v>146100000</v>
      </c>
      <c r="E70" s="1321">
        <v>-25300000</v>
      </c>
      <c r="F70" s="1321">
        <v>-7800000</v>
      </c>
      <c r="G70" s="1321">
        <v>62100000</v>
      </c>
      <c r="H70" s="1321">
        <v>-86100000</v>
      </c>
      <c r="I70" s="1317">
        <v>-104000000</v>
      </c>
      <c r="J70" s="1317">
        <v>-237000000</v>
      </c>
      <c r="K70" s="1317">
        <v>-149000000</v>
      </c>
      <c r="L70" s="1317">
        <v>-483000000</v>
      </c>
      <c r="M70" s="1317">
        <v>596000000</v>
      </c>
      <c r="N70" s="1312">
        <v>-6000000</v>
      </c>
      <c r="O70" s="1312">
        <v>-47000000</v>
      </c>
      <c r="P70" s="1341">
        <v>-95000000</v>
      </c>
      <c r="Q70" s="1341">
        <v>419000000</v>
      </c>
      <c r="R70" s="1341">
        <v>439000000</v>
      </c>
      <c r="S70" s="1341"/>
      <c r="T70" s="1341"/>
      <c r="U70" s="1341"/>
      <c r="V70" s="1341"/>
      <c r="W70" s="1341"/>
      <c r="X70" s="1341"/>
      <c r="Y70" s="1342"/>
      <c r="Z70" s="1342"/>
      <c r="AA70" s="1301"/>
      <c r="AB70" s="1301"/>
      <c r="AC70" s="1301"/>
      <c r="AD70" s="1301"/>
      <c r="AE70" s="1301"/>
      <c r="AF70" s="365"/>
      <c r="AG70" s="365"/>
      <c r="AH70" s="365"/>
      <c r="AI70" s="365"/>
      <c r="AJ70" s="365"/>
      <c r="AK70" s="365"/>
      <c r="AL70" s="365"/>
      <c r="AM70" s="365"/>
      <c r="AN70" s="365"/>
      <c r="AO70" s="365"/>
      <c r="AP70" s="365"/>
      <c r="AQ70" s="365"/>
      <c r="AR70" s="365"/>
      <c r="AS70" s="365"/>
      <c r="AT70" s="365"/>
      <c r="AU70" s="365"/>
      <c r="AV70" s="365"/>
      <c r="AW70" s="365"/>
    </row>
    <row r="71" spans="1:53">
      <c r="A71" s="1318" t="s">
        <v>2715</v>
      </c>
      <c r="B71" s="1318" t="s">
        <v>2716</v>
      </c>
      <c r="C71" s="1314" t="s">
        <v>124</v>
      </c>
      <c r="D71" s="1317"/>
      <c r="E71" s="1317"/>
      <c r="F71" s="1317"/>
      <c r="G71" s="1317"/>
      <c r="H71" s="1317"/>
      <c r="I71" s="1317"/>
      <c r="J71" s="1317"/>
      <c r="K71" s="1317"/>
      <c r="L71" s="1317">
        <v>0</v>
      </c>
      <c r="M71" s="1317">
        <v>260000000</v>
      </c>
      <c r="N71" s="1312">
        <v>172000000</v>
      </c>
      <c r="O71" s="1312">
        <v>91000000</v>
      </c>
      <c r="P71" s="1341">
        <v>58000000</v>
      </c>
      <c r="Q71" s="1341">
        <v>150000000</v>
      </c>
      <c r="R71" s="1341">
        <v>574000000</v>
      </c>
      <c r="S71" s="1341"/>
      <c r="T71" s="1341"/>
      <c r="U71" s="1341"/>
      <c r="V71" s="1341"/>
      <c r="W71" s="1341"/>
      <c r="X71" s="1341"/>
      <c r="Y71" s="1342"/>
      <c r="Z71" s="1342"/>
      <c r="AA71" s="1301"/>
      <c r="AB71" s="1301"/>
      <c r="AC71" s="1301"/>
      <c r="AD71" s="1301"/>
      <c r="AE71" s="1301"/>
      <c r="AF71" s="365"/>
      <c r="AG71" s="365"/>
      <c r="AH71" s="365"/>
      <c r="AI71" s="365"/>
      <c r="AJ71" s="365"/>
      <c r="AK71" s="365"/>
      <c r="AL71" s="365"/>
      <c r="AM71" s="365"/>
      <c r="AN71" s="365"/>
      <c r="AO71" s="365"/>
      <c r="AP71" s="365"/>
      <c r="AQ71" s="365"/>
      <c r="AR71" s="365"/>
      <c r="AS71" s="365"/>
      <c r="AT71" s="365"/>
      <c r="AU71" s="365"/>
      <c r="AV71" s="365"/>
      <c r="AW71" s="365"/>
    </row>
    <row r="72" spans="1:53">
      <c r="A72" s="1318" t="s">
        <v>258</v>
      </c>
      <c r="B72" s="1318" t="s">
        <v>2717</v>
      </c>
      <c r="C72" s="1314" t="s">
        <v>124</v>
      </c>
      <c r="D72" s="1317"/>
      <c r="E72" s="1317"/>
      <c r="F72" s="1317"/>
      <c r="G72" s="1317"/>
      <c r="H72" s="1317"/>
      <c r="I72" s="1317"/>
      <c r="J72" s="1317">
        <v>-64000000</v>
      </c>
      <c r="K72" s="1317">
        <v>-30000000</v>
      </c>
      <c r="L72" s="1317">
        <v>-33000000</v>
      </c>
      <c r="M72" s="1317">
        <v>-37000000</v>
      </c>
      <c r="N72" s="1312">
        <v>-42000000</v>
      </c>
      <c r="O72" s="1312">
        <v>-43000000</v>
      </c>
      <c r="P72" s="1341">
        <v>-44000000</v>
      </c>
      <c r="Q72" s="1341">
        <v>-50000000</v>
      </c>
      <c r="R72" s="1341">
        <v>-52000000</v>
      </c>
      <c r="S72" s="1341"/>
      <c r="T72" s="1341"/>
      <c r="U72" s="1341"/>
      <c r="V72" s="1341"/>
      <c r="W72" s="1341"/>
      <c r="X72" s="1341"/>
      <c r="Y72" s="1342"/>
      <c r="Z72" s="1342"/>
      <c r="AA72" s="1301"/>
      <c r="AB72" s="1301"/>
      <c r="AC72" s="1301"/>
      <c r="AD72" s="1301"/>
      <c r="AE72" s="1301"/>
      <c r="AF72" s="365"/>
      <c r="AG72" s="365"/>
      <c r="AH72" s="365"/>
      <c r="AI72" s="365"/>
      <c r="AJ72" s="365"/>
      <c r="AK72" s="365"/>
      <c r="AL72" s="365"/>
      <c r="AM72" s="365"/>
      <c r="AN72" s="365"/>
      <c r="AO72" s="365"/>
      <c r="AP72" s="365"/>
      <c r="AQ72" s="365"/>
      <c r="AR72" s="365"/>
      <c r="AS72" s="365"/>
      <c r="AT72" s="365"/>
      <c r="AU72" s="365"/>
      <c r="AV72" s="365"/>
      <c r="AW72" s="365"/>
    </row>
    <row r="73" spans="1:53">
      <c r="A73" s="1318" t="s">
        <v>2718</v>
      </c>
      <c r="B73" s="1318" t="s">
        <v>2719</v>
      </c>
      <c r="C73" s="1314" t="s">
        <v>124</v>
      </c>
      <c r="D73" s="1317"/>
      <c r="E73" s="1317"/>
      <c r="F73" s="1317"/>
      <c r="G73" s="1317"/>
      <c r="H73" s="1317"/>
      <c r="I73" s="1317"/>
      <c r="J73" s="1317">
        <v>-173000000</v>
      </c>
      <c r="K73" s="1317">
        <v>-119000000</v>
      </c>
      <c r="L73" s="1317">
        <v>-450000000</v>
      </c>
      <c r="M73" s="1317">
        <v>373000000</v>
      </c>
      <c r="N73" s="1312">
        <v>-136000000</v>
      </c>
      <c r="O73" s="1312">
        <v>-96000000</v>
      </c>
      <c r="P73" s="1341">
        <v>-109000000</v>
      </c>
      <c r="Q73" s="1341">
        <v>320000000</v>
      </c>
      <c r="R73" s="1341">
        <v>-83000000</v>
      </c>
      <c r="S73" s="1341"/>
      <c r="T73" s="1341"/>
      <c r="U73" s="1341"/>
      <c r="V73" s="1341"/>
      <c r="W73" s="1341"/>
      <c r="X73" s="1341"/>
      <c r="Y73" s="1342"/>
      <c r="Z73" s="1342"/>
      <c r="AA73" s="1301"/>
      <c r="AB73" s="1301"/>
      <c r="AC73" s="1301"/>
      <c r="AD73" s="1301"/>
      <c r="AE73" s="1301"/>
      <c r="AF73" s="365"/>
      <c r="AG73" s="365"/>
      <c r="AH73" s="365"/>
      <c r="AI73" s="365"/>
      <c r="AJ73" s="365"/>
      <c r="AK73" s="365"/>
      <c r="AL73" s="365"/>
      <c r="AM73" s="365"/>
      <c r="AN73" s="365"/>
      <c r="AO73" s="365"/>
      <c r="AP73" s="365"/>
      <c r="AQ73" s="365"/>
      <c r="AR73" s="365"/>
      <c r="AS73" s="365"/>
      <c r="AT73" s="365"/>
      <c r="AU73" s="365"/>
      <c r="AV73" s="365"/>
      <c r="AW73" s="365"/>
    </row>
    <row r="74" spans="1:53">
      <c r="A74" s="1318" t="s">
        <v>2720</v>
      </c>
      <c r="B74" s="1318" t="s">
        <v>2721</v>
      </c>
      <c r="C74" s="1314" t="s">
        <v>124</v>
      </c>
      <c r="D74" s="1312">
        <v>136900000</v>
      </c>
      <c r="E74" s="1312">
        <v>-43100000</v>
      </c>
      <c r="F74" s="1312">
        <v>16800000</v>
      </c>
      <c r="G74" s="1312">
        <v>40000000</v>
      </c>
      <c r="H74" s="1312">
        <v>-60900000</v>
      </c>
      <c r="I74" s="1317"/>
      <c r="J74" s="1317"/>
      <c r="K74" s="1317"/>
      <c r="L74" s="1317"/>
      <c r="M74" s="1317"/>
      <c r="N74" s="1312"/>
      <c r="O74" s="1312"/>
      <c r="P74" s="1341"/>
      <c r="Q74" s="1341"/>
      <c r="R74" s="1341"/>
      <c r="S74" s="1341"/>
      <c r="T74" s="1341"/>
      <c r="U74" s="1341"/>
      <c r="V74" s="1341"/>
      <c r="W74" s="1341"/>
      <c r="X74" s="1341"/>
      <c r="Y74" s="1342"/>
      <c r="Z74" s="1342"/>
      <c r="AA74" s="1301"/>
      <c r="AB74" s="1301"/>
      <c r="AC74" s="1301"/>
      <c r="AD74" s="1301"/>
      <c r="AE74" s="1301"/>
      <c r="AF74" s="365"/>
      <c r="AG74" s="365"/>
      <c r="AH74" s="365"/>
      <c r="AI74" s="365"/>
      <c r="AJ74" s="365"/>
      <c r="AK74" s="365"/>
      <c r="AL74" s="365"/>
      <c r="AM74" s="365"/>
      <c r="AN74" s="365"/>
      <c r="AO74" s="365"/>
      <c r="AP74" s="365"/>
      <c r="AQ74" s="365"/>
      <c r="AR74" s="365"/>
      <c r="AS74" s="365"/>
      <c r="AT74" s="365"/>
      <c r="AU74" s="365"/>
      <c r="AV74" s="365"/>
      <c r="AW74" s="365"/>
    </row>
    <row r="75" spans="1:53">
      <c r="A75" s="1318" t="s">
        <v>2722</v>
      </c>
      <c r="B75" s="1318" t="s">
        <v>2723</v>
      </c>
      <c r="C75" s="1314" t="s">
        <v>124</v>
      </c>
      <c r="D75" s="1312">
        <v>-1500000</v>
      </c>
      <c r="E75" s="1312">
        <v>1500000</v>
      </c>
      <c r="F75" s="1312">
        <v>-27700000</v>
      </c>
      <c r="G75" s="1312">
        <v>15100000</v>
      </c>
      <c r="H75" s="1312">
        <v>-11600000</v>
      </c>
      <c r="I75" s="1317"/>
      <c r="J75" s="1317"/>
      <c r="K75" s="1317"/>
      <c r="L75" s="1317"/>
      <c r="M75" s="1317"/>
      <c r="N75" s="1312"/>
      <c r="O75" s="1312"/>
      <c r="P75" s="1341"/>
      <c r="Q75" s="1341"/>
      <c r="R75" s="1341"/>
      <c r="S75" s="1341"/>
      <c r="T75" s="1341"/>
      <c r="U75" s="1341"/>
      <c r="V75" s="1341"/>
      <c r="W75" s="1341"/>
      <c r="X75" s="1341"/>
      <c r="Y75" s="1342"/>
      <c r="Z75" s="1342"/>
      <c r="AA75" s="1301"/>
      <c r="AB75" s="1301"/>
      <c r="AC75" s="1301"/>
      <c r="AD75" s="1301"/>
      <c r="AE75" s="1301"/>
      <c r="AF75" s="365"/>
      <c r="AG75" s="365"/>
      <c r="AH75" s="365"/>
      <c r="AI75" s="365"/>
      <c r="AJ75" s="365"/>
      <c r="AK75" s="365"/>
      <c r="AL75" s="365"/>
      <c r="AM75" s="365"/>
      <c r="AN75" s="365"/>
      <c r="AO75" s="365"/>
      <c r="AP75" s="365"/>
      <c r="AQ75" s="365"/>
      <c r="AR75" s="365"/>
      <c r="AS75" s="365"/>
      <c r="AT75" s="365"/>
      <c r="AU75" s="365"/>
      <c r="AV75" s="365"/>
      <c r="AW75" s="365"/>
    </row>
    <row r="76" spans="1:53">
      <c r="A76" s="1318" t="s">
        <v>350</v>
      </c>
      <c r="B76" s="1318" t="s">
        <v>350</v>
      </c>
      <c r="C76" s="1314" t="s">
        <v>124</v>
      </c>
      <c r="D76" s="1312">
        <v>10700000</v>
      </c>
      <c r="E76" s="1312">
        <v>-11800000</v>
      </c>
      <c r="F76" s="1312">
        <v>3100000</v>
      </c>
      <c r="G76" s="1312">
        <v>7000000</v>
      </c>
      <c r="H76" s="1312">
        <v>-13600000</v>
      </c>
      <c r="I76" s="1317"/>
      <c r="J76" s="1317"/>
      <c r="K76" s="1317"/>
      <c r="L76" s="1317"/>
      <c r="M76" s="1317"/>
      <c r="N76" s="1312"/>
      <c r="O76" s="1312"/>
      <c r="P76" s="1341"/>
      <c r="Q76" s="1341"/>
      <c r="R76" s="1341"/>
      <c r="S76" s="1341"/>
      <c r="T76" s="1341"/>
      <c r="U76" s="1341"/>
      <c r="V76" s="1341"/>
      <c r="W76" s="1341"/>
      <c r="X76" s="1341"/>
      <c r="Y76" s="1342"/>
      <c r="Z76" s="1342"/>
      <c r="AA76" s="1301"/>
      <c r="AB76" s="1301"/>
      <c r="AC76" s="1301"/>
      <c r="AD76" s="1301"/>
      <c r="AE76" s="1301"/>
      <c r="AF76" s="365"/>
      <c r="AG76" s="365"/>
      <c r="AH76" s="365"/>
      <c r="AI76" s="365"/>
      <c r="AJ76" s="365"/>
      <c r="AK76" s="365"/>
      <c r="AL76" s="365"/>
      <c r="AM76" s="365"/>
      <c r="AN76" s="365"/>
      <c r="AO76" s="365"/>
      <c r="AP76" s="365"/>
      <c r="AQ76" s="365"/>
      <c r="AR76" s="365"/>
      <c r="AS76" s="365"/>
      <c r="AT76" s="365"/>
      <c r="AU76" s="365"/>
      <c r="AV76" s="365"/>
      <c r="AW76" s="365"/>
    </row>
    <row r="77" spans="1:53">
      <c r="A77" s="1329" t="s">
        <v>430</v>
      </c>
      <c r="B77" s="1329" t="s">
        <v>2724</v>
      </c>
      <c r="C77" s="1328" t="s">
        <v>124</v>
      </c>
      <c r="D77" s="1312"/>
      <c r="E77" s="1313">
        <f>E70-E74-E75-E76</f>
        <v>28100000</v>
      </c>
      <c r="F77" s="1312"/>
      <c r="G77" s="1312"/>
      <c r="H77" s="1312"/>
      <c r="I77" s="1313">
        <f>I70-I74-I75-I76</f>
        <v>-104000000</v>
      </c>
      <c r="J77" s="1317"/>
      <c r="K77" s="1317"/>
      <c r="L77" s="1317"/>
      <c r="M77" s="1317"/>
      <c r="N77" s="1312"/>
      <c r="O77" s="1312"/>
      <c r="P77" s="1341"/>
      <c r="Q77" s="1341"/>
      <c r="R77" s="1341"/>
      <c r="S77" s="1341"/>
      <c r="T77" s="1341"/>
      <c r="U77" s="1341"/>
      <c r="V77" s="1341"/>
      <c r="W77" s="1341"/>
      <c r="X77" s="1341"/>
      <c r="Y77" s="1342"/>
      <c r="Z77" s="1342"/>
      <c r="AA77" s="1301"/>
      <c r="AB77" s="1301"/>
      <c r="AC77" s="1301"/>
      <c r="AD77" s="1301"/>
      <c r="AE77" s="1301"/>
      <c r="AF77" s="365"/>
      <c r="AG77" s="365"/>
      <c r="AH77" s="365"/>
      <c r="AI77" s="365"/>
      <c r="AJ77" s="365"/>
      <c r="AK77" s="365"/>
      <c r="AL77" s="365"/>
      <c r="AM77" s="365"/>
      <c r="AN77" s="365"/>
      <c r="AO77" s="365"/>
      <c r="AP77" s="365"/>
      <c r="AQ77" s="365"/>
      <c r="AR77" s="365"/>
      <c r="AS77" s="365"/>
      <c r="AT77" s="365"/>
      <c r="AU77" s="365"/>
      <c r="AV77" s="365"/>
      <c r="AW77" s="365"/>
    </row>
    <row r="78" spans="1:53">
      <c r="A78" s="1306" t="s">
        <v>117</v>
      </c>
      <c r="B78" s="1314" t="s">
        <v>280</v>
      </c>
      <c r="C78" s="1314" t="s">
        <v>252</v>
      </c>
      <c r="D78" s="1312">
        <v>-8400000</v>
      </c>
      <c r="E78" s="1312">
        <v>128800000.00000001</v>
      </c>
      <c r="F78" s="1312">
        <v>131500000</v>
      </c>
      <c r="G78" s="1312">
        <v>87600000</v>
      </c>
      <c r="H78" s="1312">
        <v>22600000</v>
      </c>
      <c r="I78" s="1317">
        <v>-36000000</v>
      </c>
      <c r="J78" s="1317">
        <v>-62000000</v>
      </c>
      <c r="K78" s="1317">
        <v>34000000</v>
      </c>
      <c r="L78" s="1317">
        <v>950000000</v>
      </c>
      <c r="M78" s="1317">
        <v>694000000</v>
      </c>
      <c r="N78" s="1312">
        <v>1152000000</v>
      </c>
      <c r="O78" s="1312">
        <v>548000000</v>
      </c>
      <c r="P78" s="1341">
        <v>595000000</v>
      </c>
      <c r="Q78" s="1341">
        <v>155000000</v>
      </c>
      <c r="R78" s="1341">
        <v>462000000</v>
      </c>
      <c r="S78" s="1341"/>
      <c r="T78" s="1341"/>
      <c r="U78" s="1341"/>
      <c r="V78" s="1341"/>
      <c r="W78" s="1341"/>
      <c r="X78" s="1341"/>
      <c r="Y78" s="1342"/>
      <c r="Z78" s="1342"/>
      <c r="AA78" s="1301"/>
      <c r="AB78" s="1301"/>
      <c r="AC78" s="1301"/>
      <c r="AD78" s="1301"/>
      <c r="AE78" s="1301"/>
      <c r="AF78" s="365"/>
      <c r="AG78" s="365"/>
      <c r="AH78" s="365"/>
      <c r="AI78" s="365"/>
      <c r="AJ78" s="365"/>
      <c r="AK78" s="365"/>
      <c r="AL78" s="365"/>
      <c r="AM78" s="365"/>
      <c r="AN78" s="365"/>
      <c r="AO78" s="365"/>
      <c r="AP78" s="365"/>
      <c r="AQ78" s="365"/>
      <c r="AR78" s="365"/>
      <c r="AS78" s="365"/>
      <c r="AT78" s="365"/>
      <c r="AU78" s="365"/>
      <c r="AV78" s="365"/>
      <c r="AW78" s="365"/>
    </row>
    <row r="79" spans="1:53">
      <c r="A79" s="1318" t="s">
        <v>2546</v>
      </c>
      <c r="B79" s="1318" t="s">
        <v>2546</v>
      </c>
      <c r="C79" s="1314" t="s">
        <v>1939</v>
      </c>
      <c r="D79" s="1312">
        <v>58600000</v>
      </c>
      <c r="E79" s="1312">
        <v>162400000</v>
      </c>
      <c r="F79" s="1312">
        <v>170300000</v>
      </c>
      <c r="G79" s="1312">
        <v>136700000</v>
      </c>
      <c r="H79" s="1312">
        <v>173000000</v>
      </c>
      <c r="I79" s="1317">
        <v>125000000</v>
      </c>
      <c r="J79" s="1317">
        <v>173000000</v>
      </c>
      <c r="K79" s="1317">
        <v>166000000</v>
      </c>
      <c r="L79" s="1317">
        <v>1073000000</v>
      </c>
      <c r="M79" s="1317">
        <v>787000000</v>
      </c>
      <c r="N79" s="1312">
        <v>1275000000</v>
      </c>
      <c r="O79" s="1312">
        <v>1375000000</v>
      </c>
      <c r="P79" s="1341">
        <v>690000000</v>
      </c>
      <c r="Q79" s="1341">
        <v>586000000</v>
      </c>
      <c r="R79" s="1341">
        <v>965000000</v>
      </c>
      <c r="S79" s="1341"/>
      <c r="T79" s="1341"/>
      <c r="U79" s="1341"/>
      <c r="V79" s="1341"/>
      <c r="W79" s="1341"/>
      <c r="X79" s="1341"/>
      <c r="Y79" s="1342"/>
      <c r="Z79" s="1342"/>
      <c r="AA79" s="1301"/>
      <c r="AB79" s="1301"/>
      <c r="AC79" s="1301"/>
      <c r="AD79" s="1301"/>
      <c r="AE79" s="1301"/>
      <c r="AF79" s="365"/>
      <c r="AG79" s="365"/>
      <c r="AH79" s="365"/>
      <c r="AI79" s="365"/>
      <c r="AJ79" s="365"/>
      <c r="AK79" s="365"/>
      <c r="AL79" s="365"/>
      <c r="AM79" s="365"/>
      <c r="AN79" s="365"/>
      <c r="AO79" s="365"/>
      <c r="AP79" s="365"/>
      <c r="AQ79" s="365"/>
      <c r="AR79" s="365"/>
      <c r="AS79" s="365"/>
      <c r="AT79" s="365"/>
      <c r="AU79" s="365"/>
      <c r="AV79" s="365"/>
      <c r="AW79" s="365"/>
    </row>
    <row r="80" spans="1:53">
      <c r="A80" s="1306" t="s">
        <v>76</v>
      </c>
      <c r="B80" s="1319" t="s">
        <v>2725</v>
      </c>
      <c r="C80" s="1314"/>
      <c r="D80" s="1317"/>
      <c r="E80" s="1317"/>
      <c r="F80" s="1317"/>
      <c r="G80" s="1317"/>
      <c r="H80" s="1317"/>
      <c r="I80" s="1317"/>
      <c r="J80" s="1317"/>
      <c r="K80" s="1317"/>
      <c r="L80" s="1317"/>
      <c r="M80" s="1317"/>
      <c r="N80" s="1312"/>
      <c r="O80" s="1312"/>
      <c r="P80" s="1341">
        <v>99000000</v>
      </c>
      <c r="Q80" s="1341"/>
      <c r="R80" s="1341"/>
      <c r="S80" s="1341"/>
      <c r="T80" s="1341"/>
      <c r="U80" s="1341"/>
      <c r="V80" s="1341"/>
      <c r="W80" s="1341"/>
      <c r="X80" s="1341"/>
      <c r="Y80" s="1342"/>
      <c r="Z80" s="1342"/>
      <c r="AA80" s="1301"/>
      <c r="AB80" s="1301"/>
      <c r="AC80" s="1301"/>
      <c r="AD80" s="1301"/>
      <c r="AE80" s="1301"/>
      <c r="AF80" s="365"/>
      <c r="AG80" s="365"/>
      <c r="AH80" s="365"/>
      <c r="AI80" s="365"/>
      <c r="AJ80" s="365"/>
      <c r="AK80" s="365"/>
      <c r="AL80" s="365"/>
      <c r="AM80" s="365"/>
      <c r="AN80" s="365"/>
      <c r="AO80" s="365"/>
      <c r="AP80" s="365"/>
      <c r="AQ80" s="365"/>
      <c r="AR80" s="365"/>
      <c r="AS80" s="365"/>
      <c r="AT80" s="365"/>
      <c r="AU80" s="365"/>
      <c r="AV80" s="365"/>
      <c r="AW80" s="365"/>
    </row>
    <row r="81" spans="1:49">
      <c r="A81" s="1306" t="s">
        <v>76</v>
      </c>
      <c r="B81" s="1319" t="s">
        <v>1219</v>
      </c>
      <c r="C81" s="1314"/>
      <c r="D81" s="1317"/>
      <c r="E81" s="1317"/>
      <c r="F81" s="1317"/>
      <c r="G81" s="1317"/>
      <c r="H81" s="1317"/>
      <c r="I81" s="1317"/>
      <c r="J81" s="1317"/>
      <c r="K81" s="1317"/>
      <c r="L81" s="1317"/>
      <c r="M81" s="1317"/>
      <c r="N81" s="1312"/>
      <c r="O81" s="1312"/>
      <c r="P81" s="1341">
        <v>591000000</v>
      </c>
      <c r="Q81" s="1341"/>
      <c r="R81" s="1341"/>
      <c r="S81" s="1341"/>
      <c r="T81" s="1341"/>
      <c r="U81" s="1341"/>
      <c r="V81" s="1341"/>
      <c r="W81" s="1341"/>
      <c r="X81" s="1341"/>
      <c r="Y81" s="1342"/>
      <c r="Z81" s="1342"/>
      <c r="AA81" s="1301"/>
      <c r="AB81" s="1301"/>
      <c r="AC81" s="1301"/>
      <c r="AD81" s="1301"/>
      <c r="AE81" s="1301"/>
      <c r="AF81" s="365"/>
      <c r="AG81" s="365"/>
      <c r="AH81" s="365"/>
      <c r="AI81" s="365"/>
      <c r="AJ81" s="365"/>
      <c r="AK81" s="365"/>
      <c r="AL81" s="365"/>
      <c r="AM81" s="365"/>
      <c r="AN81" s="365"/>
      <c r="AO81" s="365"/>
      <c r="AP81" s="365"/>
      <c r="AQ81" s="365"/>
      <c r="AR81" s="365"/>
      <c r="AS81" s="365"/>
      <c r="AT81" s="365"/>
      <c r="AU81" s="365"/>
      <c r="AV81" s="365"/>
      <c r="AW81" s="365"/>
    </row>
    <row r="82" spans="1:49">
      <c r="A82" s="1318" t="s">
        <v>258</v>
      </c>
      <c r="B82" s="1318" t="s">
        <v>258</v>
      </c>
      <c r="C82" s="1314" t="s">
        <v>1939</v>
      </c>
      <c r="D82" s="1312">
        <v>-210900000</v>
      </c>
      <c r="E82" s="1312">
        <v>-256600000.00000003</v>
      </c>
      <c r="F82" s="1312">
        <v>-115700000</v>
      </c>
      <c r="G82" s="1312">
        <v>-158500000</v>
      </c>
      <c r="H82" s="1312">
        <v>-150400000</v>
      </c>
      <c r="I82" s="1317">
        <v>-162000000</v>
      </c>
      <c r="J82" s="1317">
        <v>-234000000</v>
      </c>
      <c r="K82" s="1317">
        <v>-132000000</v>
      </c>
      <c r="L82" s="1317">
        <v>-66000000</v>
      </c>
      <c r="M82" s="1317">
        <v>-133000000</v>
      </c>
      <c r="N82" s="1312">
        <v>-123000000</v>
      </c>
      <c r="O82" s="1312">
        <v>-827000000</v>
      </c>
      <c r="P82" s="1341">
        <v>-95000000</v>
      </c>
      <c r="Q82" s="1341">
        <v>-430000000</v>
      </c>
      <c r="R82" s="1341">
        <v>-504000000</v>
      </c>
      <c r="S82" s="1341"/>
      <c r="T82" s="1341"/>
      <c r="U82" s="1341"/>
      <c r="V82" s="1341"/>
      <c r="W82" s="1341"/>
      <c r="X82" s="1341"/>
      <c r="Y82" s="1342"/>
      <c r="Z82" s="1342"/>
      <c r="AA82" s="1301"/>
      <c r="AB82" s="1301"/>
      <c r="AC82" s="1301"/>
      <c r="AD82" s="1301"/>
      <c r="AE82" s="1301"/>
      <c r="AF82" s="365"/>
      <c r="AG82" s="365"/>
      <c r="AH82" s="365"/>
      <c r="AI82" s="365"/>
      <c r="AJ82" s="365"/>
      <c r="AK82" s="365"/>
      <c r="AL82" s="365"/>
      <c r="AM82" s="365"/>
      <c r="AN82" s="365"/>
      <c r="AO82" s="365"/>
      <c r="AP82" s="365"/>
      <c r="AQ82" s="365"/>
      <c r="AR82" s="365"/>
      <c r="AS82" s="365"/>
      <c r="AT82" s="365"/>
      <c r="AU82" s="365"/>
      <c r="AV82" s="365"/>
      <c r="AW82" s="365"/>
    </row>
    <row r="83" spans="1:49">
      <c r="A83" s="1306" t="s">
        <v>76</v>
      </c>
      <c r="B83" s="1319" t="s">
        <v>2726</v>
      </c>
      <c r="C83" s="1314"/>
      <c r="D83" s="1317"/>
      <c r="E83" s="1317"/>
      <c r="F83" s="1317"/>
      <c r="G83" s="1317"/>
      <c r="H83" s="1317"/>
      <c r="I83" s="1317"/>
      <c r="J83" s="1317"/>
      <c r="K83" s="1317"/>
      <c r="L83" s="1317"/>
      <c r="M83" s="1317">
        <v>0</v>
      </c>
      <c r="N83" s="1312">
        <v>0</v>
      </c>
      <c r="O83" s="1312">
        <v>0</v>
      </c>
      <c r="P83" s="1341">
        <v>-20000000</v>
      </c>
      <c r="Q83" s="1341"/>
      <c r="R83" s="1341"/>
      <c r="S83" s="1341"/>
      <c r="T83" s="1341"/>
      <c r="U83" s="1341"/>
      <c r="V83" s="1341"/>
      <c r="W83" s="1341"/>
      <c r="X83" s="1341"/>
      <c r="Y83" s="1342"/>
      <c r="Z83" s="1342"/>
      <c r="AA83" s="1301"/>
      <c r="AB83" s="1301"/>
      <c r="AC83" s="1301"/>
      <c r="AD83" s="1301"/>
      <c r="AE83" s="1301"/>
      <c r="AF83" s="365"/>
      <c r="AG83" s="365"/>
      <c r="AH83" s="365"/>
      <c r="AI83" s="365"/>
      <c r="AJ83" s="365"/>
      <c r="AK83" s="365"/>
      <c r="AL83" s="365"/>
      <c r="AM83" s="365"/>
      <c r="AN83" s="365"/>
      <c r="AO83" s="365"/>
      <c r="AP83" s="365"/>
      <c r="AQ83" s="365"/>
      <c r="AR83" s="365"/>
      <c r="AS83" s="365"/>
      <c r="AT83" s="365"/>
      <c r="AU83" s="365"/>
      <c r="AV83" s="365"/>
      <c r="AW83" s="365"/>
    </row>
    <row r="84" spans="1:49">
      <c r="A84" s="1318" t="s">
        <v>2727</v>
      </c>
      <c r="B84" s="1318" t="s">
        <v>2728</v>
      </c>
      <c r="C84" s="1314" t="s">
        <v>1939</v>
      </c>
      <c r="D84" s="1312">
        <v>132000000</v>
      </c>
      <c r="E84" s="1312">
        <v>-14300000</v>
      </c>
      <c r="F84" s="1312">
        <v>0</v>
      </c>
      <c r="G84" s="1312">
        <v>109400000</v>
      </c>
      <c r="H84" s="1312">
        <v>0</v>
      </c>
      <c r="I84" s="1317"/>
      <c r="J84" s="1317"/>
      <c r="K84" s="1317"/>
      <c r="L84" s="1317"/>
      <c r="M84" s="1317"/>
      <c r="N84" s="1312"/>
      <c r="O84" s="1312"/>
      <c r="P84" s="1341"/>
      <c r="Q84" s="1341"/>
      <c r="R84" s="1341"/>
      <c r="S84" s="1341"/>
      <c r="T84" s="1341"/>
      <c r="U84" s="1341"/>
      <c r="V84" s="1341"/>
      <c r="W84" s="1341"/>
      <c r="X84" s="1341"/>
      <c r="Y84" s="1342"/>
      <c r="Z84" s="1342"/>
      <c r="AA84" s="1301"/>
      <c r="AB84" s="1301"/>
      <c r="AC84" s="1301"/>
      <c r="AD84" s="1301"/>
      <c r="AE84" s="1301"/>
      <c r="AF84" s="365"/>
      <c r="AG84" s="365"/>
      <c r="AH84" s="365"/>
      <c r="AI84" s="365"/>
      <c r="AJ84" s="365"/>
      <c r="AK84" s="365"/>
      <c r="AL84" s="365"/>
      <c r="AM84" s="365"/>
      <c r="AN84" s="365"/>
      <c r="AO84" s="365"/>
      <c r="AP84" s="365"/>
      <c r="AQ84" s="365"/>
      <c r="AR84" s="365"/>
      <c r="AS84" s="365"/>
      <c r="AT84" s="365"/>
      <c r="AU84" s="365"/>
      <c r="AV84" s="365"/>
      <c r="AW84" s="365"/>
    </row>
    <row r="85" spans="1:49">
      <c r="A85" s="1318" t="s">
        <v>2729</v>
      </c>
      <c r="B85" s="1318" t="s">
        <v>2730</v>
      </c>
      <c r="C85" s="1314" t="s">
        <v>1939</v>
      </c>
      <c r="D85" s="1312">
        <v>11800000</v>
      </c>
      <c r="E85" s="1312">
        <v>237300000</v>
      </c>
      <c r="F85" s="1312">
        <v>77000000</v>
      </c>
      <c r="G85" s="1312">
        <v>0</v>
      </c>
      <c r="H85" s="1312">
        <v>0</v>
      </c>
      <c r="I85" s="1317"/>
      <c r="J85" s="1317"/>
      <c r="K85" s="1317"/>
      <c r="L85" s="1317"/>
      <c r="M85" s="1317"/>
      <c r="N85" s="1312"/>
      <c r="O85" s="1312"/>
      <c r="P85" s="1341"/>
      <c r="Q85" s="1341"/>
      <c r="R85" s="1341"/>
      <c r="S85" s="1341"/>
      <c r="T85" s="1341"/>
      <c r="U85" s="1341"/>
      <c r="V85" s="1341"/>
      <c r="W85" s="1341"/>
      <c r="X85" s="1341"/>
      <c r="Y85" s="1342"/>
      <c r="Z85" s="1342"/>
      <c r="AA85" s="1301"/>
      <c r="AB85" s="1301"/>
      <c r="AC85" s="1301"/>
      <c r="AD85" s="1301"/>
      <c r="AE85" s="1301"/>
      <c r="AF85" s="365"/>
      <c r="AG85" s="365"/>
      <c r="AH85" s="365"/>
      <c r="AI85" s="365"/>
      <c r="AJ85" s="365"/>
      <c r="AK85" s="365"/>
      <c r="AL85" s="365"/>
      <c r="AM85" s="365"/>
      <c r="AN85" s="365"/>
      <c r="AO85" s="365"/>
      <c r="AP85" s="365"/>
      <c r="AQ85" s="365"/>
      <c r="AR85" s="365"/>
      <c r="AS85" s="365"/>
      <c r="AT85" s="365"/>
      <c r="AU85" s="365"/>
      <c r="AV85" s="365"/>
      <c r="AW85" s="365"/>
    </row>
    <row r="86" spans="1:49">
      <c r="A86" s="1318" t="s">
        <v>2731</v>
      </c>
      <c r="B86" s="1318" t="s">
        <v>2732</v>
      </c>
      <c r="C86" s="1314" t="s">
        <v>1939</v>
      </c>
      <c r="D86" s="1312">
        <v>10000000</v>
      </c>
      <c r="E86" s="1312">
        <v>0</v>
      </c>
      <c r="F86" s="1312">
        <v>0</v>
      </c>
      <c r="G86" s="1312">
        <v>0</v>
      </c>
      <c r="H86" s="1312">
        <v>0</v>
      </c>
      <c r="I86" s="1317"/>
      <c r="J86" s="1317"/>
      <c r="K86" s="1317"/>
      <c r="L86" s="1317"/>
      <c r="M86" s="1317"/>
      <c r="N86" s="1312"/>
      <c r="O86" s="1312"/>
      <c r="P86" s="1341"/>
      <c r="Q86" s="1341"/>
      <c r="R86" s="1341"/>
      <c r="S86" s="1341"/>
      <c r="T86" s="1341"/>
      <c r="U86" s="1341"/>
      <c r="V86" s="1341"/>
      <c r="W86" s="1341"/>
      <c r="X86" s="1341"/>
      <c r="Y86" s="1342"/>
      <c r="Z86" s="1342"/>
      <c r="AA86" s="1301"/>
      <c r="AB86" s="1301"/>
      <c r="AC86" s="1301"/>
      <c r="AD86" s="1301"/>
      <c r="AE86" s="1301"/>
      <c r="AF86" s="365"/>
      <c r="AG86" s="365"/>
      <c r="AH86" s="365"/>
      <c r="AI86" s="365"/>
      <c r="AJ86" s="365"/>
      <c r="AK86" s="365"/>
      <c r="AL86" s="365"/>
      <c r="AM86" s="365"/>
      <c r="AN86" s="365"/>
      <c r="AO86" s="365"/>
      <c r="AP86" s="365"/>
      <c r="AQ86" s="365"/>
      <c r="AR86" s="365"/>
      <c r="AS86" s="365"/>
      <c r="AT86" s="365"/>
      <c r="AU86" s="365"/>
      <c r="AV86" s="365"/>
      <c r="AW86" s="365"/>
    </row>
    <row r="87" spans="1:49">
      <c r="A87" s="1318" t="s">
        <v>2733</v>
      </c>
      <c r="B87" s="1318" t="s">
        <v>2734</v>
      </c>
      <c r="C87" s="1314" t="s">
        <v>1939</v>
      </c>
      <c r="D87" s="1317"/>
      <c r="E87" s="1317"/>
      <c r="F87" s="1317"/>
      <c r="G87" s="1317"/>
      <c r="H87" s="1317"/>
      <c r="I87" s="1317"/>
      <c r="J87" s="1317">
        <v>0</v>
      </c>
      <c r="K87" s="1317">
        <v>0</v>
      </c>
      <c r="L87" s="1317">
        <v>-57000000</v>
      </c>
      <c r="M87" s="1317">
        <v>40000000</v>
      </c>
      <c r="N87" s="1312"/>
      <c r="O87" s="1312"/>
      <c r="P87" s="1341">
        <v>0</v>
      </c>
      <c r="Q87" s="1341"/>
      <c r="R87" s="1341"/>
      <c r="S87" s="1341"/>
      <c r="T87" s="1341"/>
      <c r="U87" s="1341"/>
      <c r="V87" s="1341"/>
      <c r="W87" s="1341"/>
      <c r="X87" s="1341"/>
      <c r="Y87" s="1342"/>
      <c r="Z87" s="1342"/>
      <c r="AA87" s="1301"/>
      <c r="AB87" s="1301"/>
      <c r="AC87" s="1301"/>
      <c r="AD87" s="1301"/>
      <c r="AE87" s="1301"/>
      <c r="AF87" s="365"/>
      <c r="AG87" s="365"/>
      <c r="AH87" s="365"/>
      <c r="AI87" s="365"/>
      <c r="AJ87" s="365"/>
      <c r="AK87" s="365"/>
      <c r="AL87" s="365"/>
      <c r="AM87" s="365"/>
      <c r="AN87" s="365"/>
      <c r="AO87" s="365"/>
      <c r="AP87" s="365"/>
      <c r="AQ87" s="365"/>
      <c r="AR87" s="365"/>
      <c r="AS87" s="365"/>
      <c r="AT87" s="365"/>
      <c r="AU87" s="365"/>
      <c r="AV87" s="365"/>
      <c r="AW87" s="365"/>
    </row>
    <row r="88" spans="1:49">
      <c r="A88" s="1318" t="s">
        <v>1688</v>
      </c>
      <c r="B88" s="1318" t="s">
        <v>1689</v>
      </c>
      <c r="C88" s="1314" t="s">
        <v>1939</v>
      </c>
      <c r="D88" s="1320">
        <f>D78-D79-D82-D85-D84-D86-D87</f>
        <v>-9900000</v>
      </c>
      <c r="E88" s="1317"/>
      <c r="F88" s="1317"/>
      <c r="G88" s="1317"/>
      <c r="H88" s="1317"/>
      <c r="I88" s="1317"/>
      <c r="J88" s="1317"/>
      <c r="K88" s="1317"/>
      <c r="L88" s="1317"/>
      <c r="M88" s="1317"/>
      <c r="N88" s="1312"/>
      <c r="O88" s="1312"/>
      <c r="P88" s="1341"/>
      <c r="Q88" s="1341"/>
      <c r="R88" s="1341"/>
      <c r="S88" s="1341"/>
      <c r="T88" s="1341"/>
      <c r="U88" s="1341"/>
      <c r="V88" s="1341"/>
      <c r="W88" s="1341"/>
      <c r="X88" s="1341"/>
      <c r="Y88" s="1342"/>
      <c r="Z88" s="1342"/>
      <c r="AA88" s="1301"/>
      <c r="AB88" s="1301"/>
      <c r="AC88" s="1301"/>
      <c r="AD88" s="1301"/>
      <c r="AE88" s="1301"/>
      <c r="AF88" s="365"/>
      <c r="AG88" s="365"/>
      <c r="AH88" s="365"/>
      <c r="AI88" s="365"/>
      <c r="AJ88" s="365"/>
      <c r="AK88" s="365"/>
      <c r="AL88" s="365"/>
      <c r="AM88" s="365"/>
      <c r="AN88" s="365"/>
      <c r="AO88" s="365"/>
      <c r="AP88" s="365"/>
      <c r="AQ88" s="365"/>
      <c r="AR88" s="365"/>
      <c r="AS88" s="365"/>
      <c r="AT88" s="365"/>
      <c r="AU88" s="365"/>
      <c r="AV88" s="365"/>
      <c r="AW88" s="365"/>
    </row>
    <row r="89" spans="1:49">
      <c r="A89" s="1314" t="s">
        <v>253</v>
      </c>
      <c r="B89" s="1314" t="s">
        <v>2735</v>
      </c>
      <c r="C89" s="1314" t="s">
        <v>124</v>
      </c>
      <c r="D89" s="1312">
        <v>19100000</v>
      </c>
      <c r="E89" s="1312">
        <v>5600000</v>
      </c>
      <c r="F89" s="1312">
        <v>15300000</v>
      </c>
      <c r="G89" s="1312">
        <v>30000000</v>
      </c>
      <c r="H89" s="1312">
        <v>87100000</v>
      </c>
      <c r="I89" s="1317">
        <v>419000000</v>
      </c>
      <c r="J89" s="1317">
        <v>719000000</v>
      </c>
      <c r="K89" s="1317">
        <v>889000000</v>
      </c>
      <c r="L89" s="1317">
        <v>706000000</v>
      </c>
      <c r="M89" s="1317">
        <v>358000000</v>
      </c>
      <c r="N89" s="1317">
        <v>220000000</v>
      </c>
      <c r="O89" s="1317">
        <v>379000000</v>
      </c>
      <c r="P89" s="1341">
        <v>280000000</v>
      </c>
      <c r="Q89" s="1341">
        <v>126000000</v>
      </c>
      <c r="R89" s="1341">
        <v>111000000</v>
      </c>
      <c r="S89" s="1341"/>
      <c r="T89" s="1341"/>
      <c r="U89" s="1341"/>
      <c r="V89" s="1341"/>
      <c r="W89" s="1341"/>
      <c r="X89" s="1341"/>
      <c r="Y89" s="1342"/>
      <c r="Z89" s="1342"/>
      <c r="AA89" s="1301"/>
      <c r="AB89" s="1301"/>
      <c r="AC89" s="1301"/>
      <c r="AD89" s="1301"/>
      <c r="AE89" s="1301"/>
      <c r="AF89" s="365"/>
      <c r="AG89" s="365"/>
      <c r="AH89" s="365"/>
      <c r="AI89" s="365"/>
      <c r="AJ89" s="365"/>
      <c r="AK89" s="365"/>
      <c r="AL89" s="365"/>
      <c r="AM89" s="365"/>
      <c r="AN89" s="365"/>
      <c r="AO89" s="365"/>
      <c r="AP89" s="365"/>
      <c r="AQ89" s="365"/>
      <c r="AR89" s="365"/>
      <c r="AS89" s="365"/>
      <c r="AT89" s="365"/>
      <c r="AU89" s="365"/>
      <c r="AV89" s="365"/>
      <c r="AW89" s="365"/>
    </row>
    <row r="90" spans="1:49">
      <c r="A90" s="1314" t="s">
        <v>2736</v>
      </c>
      <c r="B90" s="1314" t="s">
        <v>2737</v>
      </c>
      <c r="C90" s="1314" t="s">
        <v>252</v>
      </c>
      <c r="D90" s="1312">
        <v>0</v>
      </c>
      <c r="E90" s="1312">
        <v>0</v>
      </c>
      <c r="F90" s="1312">
        <v>0</v>
      </c>
      <c r="G90" s="1312">
        <v>-56000000</v>
      </c>
      <c r="H90" s="1312">
        <v>0</v>
      </c>
      <c r="I90" s="1317"/>
      <c r="J90" s="1317"/>
      <c r="K90" s="1317"/>
      <c r="L90" s="1317"/>
      <c r="M90" s="1317"/>
      <c r="N90" s="1312"/>
      <c r="O90" s="1312"/>
      <c r="P90" s="1312"/>
      <c r="Q90" s="1312"/>
      <c r="R90" s="1312"/>
      <c r="S90" s="1326"/>
      <c r="T90" s="1312"/>
      <c r="U90" s="1312"/>
      <c r="V90" s="1312"/>
      <c r="W90" s="1312"/>
      <c r="X90" s="1304"/>
      <c r="Y90" s="1337"/>
      <c r="Z90" s="1337"/>
      <c r="AA90" s="1301"/>
      <c r="AB90" s="1301"/>
      <c r="AC90" s="1301"/>
      <c r="AD90" s="1301"/>
      <c r="AE90" s="1301"/>
      <c r="AF90" s="365"/>
      <c r="AG90" s="365"/>
      <c r="AH90" s="365"/>
      <c r="AI90" s="365"/>
      <c r="AJ90" s="365"/>
      <c r="AK90" s="365"/>
      <c r="AL90" s="365"/>
      <c r="AM90" s="365"/>
      <c r="AN90" s="365"/>
      <c r="AO90" s="365"/>
      <c r="AP90" s="365"/>
      <c r="AQ90" s="365"/>
      <c r="AR90" s="365"/>
      <c r="AS90" s="365"/>
      <c r="AT90" s="365"/>
      <c r="AU90" s="365"/>
      <c r="AV90" s="365"/>
      <c r="AW90" s="365"/>
    </row>
    <row r="91" spans="1:49">
      <c r="A91" s="1328" t="s">
        <v>2738</v>
      </c>
      <c r="B91" s="1328" t="s">
        <v>2739</v>
      </c>
      <c r="C91" s="1328" t="s">
        <v>252</v>
      </c>
      <c r="D91" s="1312"/>
      <c r="E91" s="1312"/>
      <c r="F91" s="1312"/>
      <c r="G91" s="1312">
        <f>G55-G70-G78-G89-G90</f>
        <v>12300000</v>
      </c>
      <c r="H91" s="1312">
        <f>H55-H70-H78-H89-H90</f>
        <v>0</v>
      </c>
      <c r="I91" s="1312">
        <f>I55-I70-I78-I89-I90</f>
        <v>0</v>
      </c>
      <c r="J91" s="1312">
        <f>J55-J70-J78-J89-J90</f>
        <v>3800000000</v>
      </c>
      <c r="K91" s="1312"/>
      <c r="L91" s="1312"/>
      <c r="M91" s="1312"/>
      <c r="N91" s="1312"/>
      <c r="O91" s="1312"/>
      <c r="P91" s="1312"/>
      <c r="Q91" s="1312"/>
      <c r="R91" s="1312"/>
      <c r="S91" s="1312"/>
      <c r="T91" s="1312"/>
      <c r="U91" s="1312"/>
      <c r="V91" s="1312"/>
      <c r="W91" s="1312"/>
      <c r="X91" s="1304"/>
      <c r="Y91" s="1337"/>
      <c r="Z91" s="1337"/>
      <c r="AA91" s="1301"/>
      <c r="AB91" s="1301"/>
      <c r="AC91" s="1301"/>
      <c r="AD91" s="1301"/>
      <c r="AE91" s="1301"/>
      <c r="AF91" s="365"/>
      <c r="AG91" s="365"/>
      <c r="AH91" s="365"/>
      <c r="AI91" s="365"/>
      <c r="AJ91" s="365"/>
      <c r="AK91" s="365"/>
      <c r="AL91" s="365"/>
      <c r="AM91" s="365"/>
      <c r="AN91" s="365"/>
      <c r="AO91" s="365"/>
      <c r="AP91" s="365"/>
      <c r="AQ91" s="365"/>
      <c r="AR91" s="365"/>
      <c r="AS91" s="365"/>
      <c r="AT91" s="365"/>
      <c r="AU91" s="365"/>
      <c r="AV91" s="365"/>
      <c r="AW91" s="365"/>
    </row>
    <row r="92" spans="1:49">
      <c r="B92" s="1314" t="s">
        <v>614</v>
      </c>
      <c r="C92" s="1314"/>
      <c r="D92" s="1312">
        <f t="shared" ref="D92:W92" si="13">(D25/D6)*100</f>
        <v>1.7737873645023539</v>
      </c>
      <c r="E92" s="1312">
        <f t="shared" si="13"/>
        <v>4.2425362787688323</v>
      </c>
      <c r="F92" s="1312">
        <f t="shared" si="13"/>
        <v>1.7492467358553734</v>
      </c>
      <c r="G92" s="1312">
        <f t="shared" si="13"/>
        <v>1.9926623983886049</v>
      </c>
      <c r="H92" s="1312">
        <f t="shared" si="13"/>
        <v>5.7251027286578324</v>
      </c>
      <c r="I92" s="1312">
        <f t="shared" si="13"/>
        <v>3.8305709023941064</v>
      </c>
      <c r="J92" s="1312">
        <f t="shared" si="13"/>
        <v>4.5676998368678632</v>
      </c>
      <c r="K92" s="1312">
        <f t="shared" si="13"/>
        <v>2.0514883346741755</v>
      </c>
      <c r="L92" s="1312">
        <f t="shared" si="13"/>
        <v>10.539801844892381</v>
      </c>
      <c r="M92" s="1312">
        <f t="shared" si="13"/>
        <v>7.3898176291793307</v>
      </c>
      <c r="N92" s="1312">
        <f t="shared" si="13"/>
        <v>8.063416297306512</v>
      </c>
      <c r="O92" s="1312">
        <f t="shared" si="13"/>
        <v>3.2023289665211063</v>
      </c>
      <c r="P92" s="1312">
        <f t="shared" si="13"/>
        <v>3.6742273511075738</v>
      </c>
      <c r="Q92" s="1312">
        <f t="shared" si="13"/>
        <v>2.8161386406715407</v>
      </c>
      <c r="R92" s="1312">
        <f t="shared" si="13"/>
        <v>2.0796792783763469</v>
      </c>
      <c r="S92" s="1312">
        <f t="shared" si="13"/>
        <v>3.5750308192312001</v>
      </c>
      <c r="T92" s="1312">
        <f t="shared" si="13"/>
        <v>2.9304790605840174</v>
      </c>
      <c r="U92" s="1312">
        <f t="shared" si="13"/>
        <v>3.4200743494423791</v>
      </c>
      <c r="V92" s="1312">
        <f t="shared" si="13"/>
        <v>3.5745422842197034</v>
      </c>
      <c r="W92" s="1312">
        <f t="shared" si="13"/>
        <v>2.6665585994488574</v>
      </c>
      <c r="X92" s="1304"/>
      <c r="Y92" s="1337"/>
      <c r="Z92" s="1337"/>
      <c r="AA92" s="1301"/>
      <c r="AB92" s="1301"/>
      <c r="AC92" s="1301"/>
      <c r="AD92" s="1301"/>
      <c r="AE92" s="1301"/>
      <c r="AF92" s="365"/>
      <c r="AG92" s="365"/>
      <c r="AH92" s="365"/>
      <c r="AI92" s="365"/>
      <c r="AJ92" s="365"/>
      <c r="AK92" s="365"/>
      <c r="AL92" s="365"/>
      <c r="AM92" s="365"/>
      <c r="AN92" s="365"/>
      <c r="AO92" s="365"/>
      <c r="AP92" s="365"/>
      <c r="AQ92" s="365"/>
      <c r="AR92" s="365"/>
      <c r="AS92" s="365"/>
      <c r="AT92" s="365"/>
      <c r="AU92" s="365"/>
      <c r="AV92" s="365"/>
      <c r="AW92" s="365"/>
    </row>
    <row r="93" spans="1:49">
      <c r="B93" s="1314"/>
      <c r="C93" s="1314"/>
      <c r="N93" s="1322"/>
      <c r="O93" s="1322"/>
      <c r="P93" s="1322"/>
      <c r="Q93" s="1312"/>
      <c r="R93" s="1312"/>
      <c r="S93" s="1312"/>
      <c r="T93" s="1312"/>
      <c r="U93" s="1312"/>
      <c r="V93" s="1312"/>
      <c r="W93" s="1312"/>
      <c r="X93" s="1304"/>
      <c r="Y93" s="1337"/>
      <c r="Z93" s="1337"/>
      <c r="AA93" s="1301"/>
      <c r="AB93" s="1301"/>
      <c r="AC93" s="1301"/>
      <c r="AD93" s="1301"/>
      <c r="AE93" s="1301"/>
      <c r="AF93" s="365"/>
      <c r="AG93" s="365"/>
      <c r="AH93" s="365"/>
      <c r="AI93" s="365"/>
      <c r="AJ93" s="365"/>
      <c r="AK93" s="365"/>
      <c r="AL93" s="365"/>
      <c r="AM93" s="365"/>
      <c r="AN93" s="365"/>
      <c r="AO93" s="365"/>
      <c r="AP93" s="365"/>
      <c r="AQ93" s="365"/>
      <c r="AR93" s="365"/>
      <c r="AS93" s="365"/>
      <c r="AT93" s="365"/>
      <c r="AU93" s="365"/>
      <c r="AV93" s="365"/>
      <c r="AW93" s="365"/>
    </row>
    <row r="94" spans="1:49">
      <c r="B94" s="1314"/>
      <c r="C94" s="1314"/>
      <c r="D94" s="1306" t="s">
        <v>139</v>
      </c>
      <c r="E94" s="1306" t="s">
        <v>139</v>
      </c>
      <c r="F94" s="1306" t="s">
        <v>139</v>
      </c>
      <c r="G94" s="1306" t="s">
        <v>139</v>
      </c>
      <c r="H94" s="1306" t="s">
        <v>139</v>
      </c>
      <c r="I94" s="1306" t="s">
        <v>139</v>
      </c>
      <c r="J94" s="1306" t="s">
        <v>139</v>
      </c>
      <c r="K94" s="1306" t="s">
        <v>139</v>
      </c>
      <c r="L94" s="1306" t="s">
        <v>139</v>
      </c>
      <c r="M94" s="1306" t="s">
        <v>139</v>
      </c>
      <c r="N94" s="1306" t="s">
        <v>139</v>
      </c>
      <c r="O94" s="1306" t="s">
        <v>139</v>
      </c>
      <c r="P94" s="1306" t="s">
        <v>139</v>
      </c>
      <c r="Q94" s="1306" t="s">
        <v>139</v>
      </c>
      <c r="R94" s="1306" t="s">
        <v>139</v>
      </c>
      <c r="S94" s="1306" t="s">
        <v>139</v>
      </c>
      <c r="T94" s="1306" t="s">
        <v>139</v>
      </c>
      <c r="U94" s="1306" t="s">
        <v>139</v>
      </c>
      <c r="V94" s="1306" t="s">
        <v>139</v>
      </c>
      <c r="W94" s="1306" t="s">
        <v>139</v>
      </c>
      <c r="X94" s="1306" t="s">
        <v>139</v>
      </c>
      <c r="Y94" s="1306" t="s">
        <v>139</v>
      </c>
      <c r="Z94" s="1306" t="s">
        <v>139</v>
      </c>
    </row>
    <row r="95" spans="1:49">
      <c r="B95" s="1314"/>
      <c r="C95" s="1314"/>
      <c r="X95" s="1304"/>
    </row>
    <row r="96" spans="1:49">
      <c r="B96" s="1314" t="s">
        <v>2430</v>
      </c>
      <c r="C96" s="1314"/>
      <c r="D96" s="1323">
        <f>D6-D25-D7</f>
        <v>0</v>
      </c>
      <c r="E96" s="1323">
        <f>E6-E25-E7</f>
        <v>0</v>
      </c>
      <c r="F96" s="1323">
        <f>F6-F25-F7</f>
        <v>0</v>
      </c>
      <c r="G96" s="1323">
        <f t="shared" ref="G96:Z96" si="14">G6-G8-G23-G25</f>
        <v>0</v>
      </c>
      <c r="H96" s="1323">
        <f t="shared" si="14"/>
        <v>0</v>
      </c>
      <c r="I96" s="1323">
        <f t="shared" si="14"/>
        <v>-1000000</v>
      </c>
      <c r="J96" s="1323">
        <f t="shared" si="14"/>
        <v>0</v>
      </c>
      <c r="K96" s="1323">
        <f t="shared" si="14"/>
        <v>0</v>
      </c>
      <c r="L96" s="1323">
        <f t="shared" si="14"/>
        <v>0</v>
      </c>
      <c r="M96" s="1323">
        <f t="shared" si="14"/>
        <v>-1000000</v>
      </c>
      <c r="N96" s="1323">
        <f t="shared" si="14"/>
        <v>0</v>
      </c>
      <c r="O96" s="1323">
        <f t="shared" si="14"/>
        <v>-1000000</v>
      </c>
      <c r="P96" s="1323">
        <f t="shared" si="14"/>
        <v>0</v>
      </c>
      <c r="Q96" s="1323">
        <f t="shared" si="14"/>
        <v>0</v>
      </c>
      <c r="R96" s="1323">
        <f t="shared" si="14"/>
        <v>0</v>
      </c>
      <c r="S96" s="1323">
        <f t="shared" si="14"/>
        <v>-1000000</v>
      </c>
      <c r="T96" s="1323">
        <f t="shared" si="14"/>
        <v>-1000000</v>
      </c>
      <c r="U96" s="1323">
        <f t="shared" si="14"/>
        <v>0</v>
      </c>
      <c r="V96" s="1323">
        <f t="shared" si="14"/>
        <v>0</v>
      </c>
      <c r="W96" s="1323">
        <f t="shared" si="14"/>
        <v>0</v>
      </c>
      <c r="X96" s="1323">
        <f t="shared" si="14"/>
        <v>0</v>
      </c>
      <c r="Y96" s="1323">
        <f t="shared" si="14"/>
        <v>0</v>
      </c>
      <c r="Z96" s="1323">
        <f t="shared" si="14"/>
        <v>0</v>
      </c>
    </row>
    <row r="97" spans="2:26">
      <c r="B97" s="1314" t="s">
        <v>450</v>
      </c>
      <c r="C97" s="1314"/>
      <c r="D97" s="1323">
        <f t="shared" ref="D97:Z97" si="15">D7-D8-D23-D24</f>
        <v>100000</v>
      </c>
      <c r="E97" s="1323">
        <f t="shared" si="15"/>
        <v>0</v>
      </c>
      <c r="F97" s="1323">
        <f t="shared" si="15"/>
        <v>0</v>
      </c>
      <c r="G97" s="1323">
        <f t="shared" si="15"/>
        <v>0</v>
      </c>
      <c r="H97" s="1323">
        <f t="shared" si="15"/>
        <v>0</v>
      </c>
      <c r="I97" s="1323">
        <f t="shared" si="15"/>
        <v>0</v>
      </c>
      <c r="J97" s="1323">
        <f t="shared" si="15"/>
        <v>0</v>
      </c>
      <c r="K97" s="1323">
        <f t="shared" si="15"/>
        <v>0</v>
      </c>
      <c r="L97" s="1323">
        <f t="shared" si="15"/>
        <v>0</v>
      </c>
      <c r="M97" s="1323">
        <f t="shared" si="15"/>
        <v>0</v>
      </c>
      <c r="N97" s="1323">
        <f t="shared" si="15"/>
        <v>0</v>
      </c>
      <c r="O97" s="1323">
        <f t="shared" si="15"/>
        <v>0</v>
      </c>
      <c r="P97" s="1323">
        <f t="shared" si="15"/>
        <v>0</v>
      </c>
      <c r="Q97" s="1323">
        <f t="shared" si="15"/>
        <v>0</v>
      </c>
      <c r="R97" s="1323">
        <f t="shared" si="15"/>
        <v>0</v>
      </c>
      <c r="S97" s="1323">
        <f t="shared" si="15"/>
        <v>-1000000</v>
      </c>
      <c r="T97" s="1323">
        <f t="shared" si="15"/>
        <v>-1000000</v>
      </c>
      <c r="U97" s="1323">
        <f t="shared" si="15"/>
        <v>0</v>
      </c>
      <c r="V97" s="1323">
        <f t="shared" si="15"/>
        <v>0</v>
      </c>
      <c r="W97" s="1323">
        <f t="shared" si="15"/>
        <v>0</v>
      </c>
      <c r="X97" s="1323">
        <f t="shared" si="15"/>
        <v>0</v>
      </c>
      <c r="Y97" s="1323">
        <f t="shared" si="15"/>
        <v>0</v>
      </c>
      <c r="Z97" s="1323">
        <f t="shared" si="15"/>
        <v>0</v>
      </c>
    </row>
    <row r="98" spans="2:26">
      <c r="B98" s="1314" t="s">
        <v>142</v>
      </c>
      <c r="C98" s="1314"/>
      <c r="D98" s="1323">
        <f t="shared" ref="D98:I98" si="16">D8-D9-D17-D22</f>
        <v>-100000</v>
      </c>
      <c r="E98" s="1323">
        <f t="shared" si="16"/>
        <v>-100000</v>
      </c>
      <c r="F98" s="1324">
        <f t="shared" si="16"/>
        <v>0</v>
      </c>
      <c r="G98" s="1324">
        <f t="shared" si="16"/>
        <v>0</v>
      </c>
      <c r="H98" s="1324">
        <f t="shared" si="16"/>
        <v>0</v>
      </c>
      <c r="I98" s="1324">
        <f t="shared" si="16"/>
        <v>0</v>
      </c>
      <c r="J98" s="1323">
        <f t="shared" ref="J98:R98" si="17">J8-J9-J17</f>
        <v>0</v>
      </c>
      <c r="K98" s="1325">
        <f t="shared" si="17"/>
        <v>4390000000</v>
      </c>
      <c r="L98" s="1325">
        <f t="shared" si="17"/>
        <v>4753000000</v>
      </c>
      <c r="M98" s="1325">
        <f t="shared" si="17"/>
        <v>4389000000</v>
      </c>
      <c r="N98" s="1323">
        <f t="shared" si="17"/>
        <v>0</v>
      </c>
      <c r="O98" s="1323">
        <f t="shared" si="17"/>
        <v>0</v>
      </c>
      <c r="P98" s="1323">
        <f t="shared" si="17"/>
        <v>0</v>
      </c>
      <c r="Q98" s="1323">
        <f t="shared" si="17"/>
        <v>0</v>
      </c>
      <c r="R98" s="1323">
        <f t="shared" si="17"/>
        <v>0</v>
      </c>
      <c r="S98" s="1323">
        <f t="shared" ref="S98:Z98" si="18">S8-S9-S17-S22</f>
        <v>1000000</v>
      </c>
      <c r="T98" s="1323">
        <f t="shared" si="18"/>
        <v>1000000</v>
      </c>
      <c r="U98" s="1323">
        <f t="shared" si="18"/>
        <v>0</v>
      </c>
      <c r="V98" s="1323">
        <f t="shared" si="18"/>
        <v>-1000000</v>
      </c>
      <c r="W98" s="1323">
        <f t="shared" si="18"/>
        <v>-1000000</v>
      </c>
      <c r="X98" s="1323">
        <f t="shared" si="18"/>
        <v>-1000000</v>
      </c>
      <c r="Y98" s="1323">
        <f t="shared" si="18"/>
        <v>-1000000</v>
      </c>
      <c r="Z98" s="1323">
        <f t="shared" si="18"/>
        <v>0</v>
      </c>
    </row>
    <row r="99" spans="2:26">
      <c r="B99" s="1314" t="s">
        <v>2740</v>
      </c>
      <c r="C99" s="1314"/>
      <c r="D99" s="1323">
        <f t="shared" ref="D99:R99" si="19">D9-D13-D14-D16-D15</f>
        <v>0</v>
      </c>
      <c r="E99" s="1323">
        <f t="shared" si="19"/>
        <v>7.4505805969238281E-9</v>
      </c>
      <c r="F99" s="1323">
        <f t="shared" si="19"/>
        <v>0</v>
      </c>
      <c r="G99" s="1323">
        <f t="shared" si="19"/>
        <v>0</v>
      </c>
      <c r="H99" s="1323">
        <f t="shared" si="19"/>
        <v>0</v>
      </c>
      <c r="I99" s="1323">
        <f t="shared" si="19"/>
        <v>0</v>
      </c>
      <c r="J99" s="1325">
        <f t="shared" si="19"/>
        <v>1351000000</v>
      </c>
      <c r="K99" s="1323">
        <f t="shared" si="19"/>
        <v>0</v>
      </c>
      <c r="L99" s="1323">
        <f t="shared" si="19"/>
        <v>0</v>
      </c>
      <c r="M99" s="1323">
        <f t="shared" si="19"/>
        <v>0</v>
      </c>
      <c r="N99" s="1323">
        <f t="shared" si="19"/>
        <v>0</v>
      </c>
      <c r="O99" s="1323">
        <f t="shared" si="19"/>
        <v>0</v>
      </c>
      <c r="P99" s="1323">
        <f t="shared" si="19"/>
        <v>0</v>
      </c>
      <c r="Q99" s="1323">
        <f t="shared" si="19"/>
        <v>0</v>
      </c>
      <c r="R99" s="1323">
        <f t="shared" si="19"/>
        <v>0</v>
      </c>
      <c r="S99" s="1323">
        <f t="shared" ref="S99:Z99" si="20">S9-S13-S14-S16-S15-S10-S11-S12</f>
        <v>0</v>
      </c>
      <c r="T99" s="1323">
        <f t="shared" si="20"/>
        <v>0</v>
      </c>
      <c r="U99" s="1323">
        <f t="shared" si="20"/>
        <v>0</v>
      </c>
      <c r="V99" s="1323">
        <f t="shared" si="20"/>
        <v>0</v>
      </c>
      <c r="W99" s="1323">
        <f t="shared" si="20"/>
        <v>0</v>
      </c>
      <c r="X99" s="1323">
        <f t="shared" si="20"/>
        <v>0</v>
      </c>
      <c r="Y99" s="1323">
        <f t="shared" si="20"/>
        <v>0</v>
      </c>
      <c r="Z99" s="1323">
        <f t="shared" si="20"/>
        <v>0</v>
      </c>
    </row>
    <row r="100" spans="2:26">
      <c r="B100" s="1314" t="s">
        <v>2741</v>
      </c>
      <c r="C100" s="1314"/>
      <c r="D100" s="1323">
        <f t="shared" ref="D100:R100" si="21">D17-D19-D20-D21</f>
        <v>0</v>
      </c>
      <c r="E100" s="1323">
        <f t="shared" si="21"/>
        <v>0</v>
      </c>
      <c r="F100" s="1323">
        <f t="shared" si="21"/>
        <v>0</v>
      </c>
      <c r="G100" s="1323">
        <f t="shared" si="21"/>
        <v>0</v>
      </c>
      <c r="H100" s="1323">
        <f t="shared" si="21"/>
        <v>0</v>
      </c>
      <c r="I100" s="1323">
        <f t="shared" si="21"/>
        <v>0</v>
      </c>
      <c r="J100" s="1325">
        <f t="shared" si="21"/>
        <v>1801000000</v>
      </c>
      <c r="K100" s="1323">
        <f t="shared" si="21"/>
        <v>0</v>
      </c>
      <c r="L100" s="1323">
        <f t="shared" si="21"/>
        <v>0</v>
      </c>
      <c r="M100" s="1323">
        <f t="shared" si="21"/>
        <v>0</v>
      </c>
      <c r="N100" s="1323">
        <f t="shared" si="21"/>
        <v>0</v>
      </c>
      <c r="O100" s="1323">
        <f t="shared" si="21"/>
        <v>1000000</v>
      </c>
      <c r="P100" s="1323">
        <f t="shared" si="21"/>
        <v>-1000000</v>
      </c>
      <c r="Q100" s="1323">
        <f t="shared" si="21"/>
        <v>0</v>
      </c>
      <c r="R100" s="1323">
        <f t="shared" si="21"/>
        <v>0</v>
      </c>
      <c r="S100" s="1323">
        <f t="shared" ref="S100:Z100" si="22">S17-S19-S20-S21-S18</f>
        <v>0</v>
      </c>
      <c r="T100" s="1323">
        <f t="shared" si="22"/>
        <v>0</v>
      </c>
      <c r="U100" s="1323">
        <f t="shared" si="22"/>
        <v>0</v>
      </c>
      <c r="V100" s="1323">
        <f t="shared" si="22"/>
        <v>0</v>
      </c>
      <c r="W100" s="1323">
        <f t="shared" si="22"/>
        <v>0</v>
      </c>
      <c r="X100" s="1323">
        <f t="shared" si="22"/>
        <v>0</v>
      </c>
      <c r="Y100" s="1323">
        <f t="shared" si="22"/>
        <v>0</v>
      </c>
      <c r="Z100" s="1323">
        <f t="shared" si="22"/>
        <v>0</v>
      </c>
    </row>
    <row r="101" spans="2:26">
      <c r="B101" s="1314" t="s">
        <v>1362</v>
      </c>
      <c r="C101" s="1314"/>
      <c r="D101" s="1325">
        <f t="shared" ref="D101:W101" si="23">D25-D26-D27</f>
        <v>16200000</v>
      </c>
      <c r="E101" s="1325">
        <f t="shared" si="23"/>
        <v>45900000</v>
      </c>
      <c r="F101" s="1325">
        <f t="shared" si="23"/>
        <v>20900000</v>
      </c>
      <c r="G101" s="1325">
        <f t="shared" si="23"/>
        <v>27700000</v>
      </c>
      <c r="H101" s="1325">
        <f t="shared" si="23"/>
        <v>124000000</v>
      </c>
      <c r="I101" s="1325">
        <f t="shared" si="23"/>
        <v>104000000</v>
      </c>
      <c r="J101" s="1325">
        <f t="shared" si="23"/>
        <v>168000000</v>
      </c>
      <c r="K101" s="1325">
        <f t="shared" si="23"/>
        <v>102000000</v>
      </c>
      <c r="L101" s="1325">
        <f t="shared" si="23"/>
        <v>617000000</v>
      </c>
      <c r="M101" s="1325">
        <f t="shared" si="23"/>
        <v>389000000</v>
      </c>
      <c r="N101" s="1325">
        <f t="shared" si="23"/>
        <v>473000000</v>
      </c>
      <c r="O101" s="1325">
        <f t="shared" si="23"/>
        <v>220000000</v>
      </c>
      <c r="P101" s="1323">
        <f t="shared" si="23"/>
        <v>1000000</v>
      </c>
      <c r="Q101" s="1325">
        <f t="shared" si="23"/>
        <v>208000000</v>
      </c>
      <c r="R101" s="1325">
        <f t="shared" si="23"/>
        <v>166000000</v>
      </c>
      <c r="S101" s="1325">
        <f t="shared" si="23"/>
        <v>319000000</v>
      </c>
      <c r="T101" s="1325">
        <f t="shared" si="23"/>
        <v>282000000</v>
      </c>
      <c r="U101" s="1325">
        <f t="shared" si="23"/>
        <v>368000000</v>
      </c>
      <c r="V101" s="1325">
        <f t="shared" si="23"/>
        <v>410000000</v>
      </c>
      <c r="W101" s="1325">
        <f t="shared" si="23"/>
        <v>329000000</v>
      </c>
      <c r="X101" s="1325">
        <f t="shared" ref="X101:Z101" si="24">X25-X26-X27</f>
        <v>329000000</v>
      </c>
      <c r="Y101" s="1325">
        <f t="shared" si="24"/>
        <v>329000000</v>
      </c>
      <c r="Z101" s="1325">
        <f t="shared" si="24"/>
        <v>312000000</v>
      </c>
    </row>
    <row r="102" spans="2:26" ht="14.25" customHeight="1">
      <c r="B102" s="1314" t="s">
        <v>145</v>
      </c>
      <c r="C102" s="1314"/>
      <c r="D102" s="1323">
        <f t="shared" ref="D102:W102" si="25">D29-D30-D44-D49</f>
        <v>0</v>
      </c>
      <c r="E102" s="1323">
        <f t="shared" si="25"/>
        <v>0</v>
      </c>
      <c r="F102" s="1323">
        <f t="shared" si="25"/>
        <v>0</v>
      </c>
      <c r="G102" s="1323">
        <f t="shared" si="25"/>
        <v>0</v>
      </c>
      <c r="H102" s="1323">
        <f t="shared" si="25"/>
        <v>0</v>
      </c>
      <c r="I102" s="1323">
        <f t="shared" si="25"/>
        <v>0</v>
      </c>
      <c r="J102" s="1323">
        <f t="shared" si="25"/>
        <v>0</v>
      </c>
      <c r="K102" s="1323">
        <f t="shared" si="25"/>
        <v>0</v>
      </c>
      <c r="L102" s="1323">
        <f t="shared" si="25"/>
        <v>0</v>
      </c>
      <c r="M102" s="1323">
        <f t="shared" si="25"/>
        <v>0</v>
      </c>
      <c r="N102" s="1323">
        <f t="shared" si="25"/>
        <v>0</v>
      </c>
      <c r="O102" s="1323">
        <f t="shared" si="25"/>
        <v>0</v>
      </c>
      <c r="P102" s="1323">
        <f t="shared" si="25"/>
        <v>0</v>
      </c>
      <c r="Q102" s="1323">
        <f t="shared" si="25"/>
        <v>0</v>
      </c>
      <c r="R102" s="1323">
        <f t="shared" si="25"/>
        <v>0</v>
      </c>
      <c r="S102" s="1323">
        <f t="shared" si="25"/>
        <v>0</v>
      </c>
      <c r="T102" s="1323">
        <f t="shared" si="25"/>
        <v>0</v>
      </c>
      <c r="U102" s="1323">
        <f t="shared" si="25"/>
        <v>0</v>
      </c>
      <c r="V102" s="1323">
        <f t="shared" si="25"/>
        <v>0</v>
      </c>
      <c r="W102" s="1323">
        <f t="shared" si="25"/>
        <v>0</v>
      </c>
      <c r="X102" s="1323">
        <f t="shared" ref="X102:Z102" si="26">X29-X30-X44-X49</f>
        <v>0</v>
      </c>
      <c r="Y102" s="1323">
        <f t="shared" si="26"/>
        <v>0</v>
      </c>
      <c r="Z102" s="1323">
        <f t="shared" si="26"/>
        <v>0</v>
      </c>
    </row>
    <row r="103" spans="2:26">
      <c r="B103" s="1314" t="s">
        <v>361</v>
      </c>
      <c r="C103" s="1314"/>
      <c r="D103" s="1323">
        <f t="shared" ref="D103:I103" si="27">D30-D31-D32-D33-D36-D37-D38-D41-D42</f>
        <v>0</v>
      </c>
      <c r="E103" s="1323">
        <f t="shared" si="27"/>
        <v>100000</v>
      </c>
      <c r="F103" s="1323">
        <f t="shared" si="27"/>
        <v>0</v>
      </c>
      <c r="G103" s="1323">
        <f t="shared" si="27"/>
        <v>0</v>
      </c>
      <c r="H103" s="1323">
        <f t="shared" si="27"/>
        <v>0</v>
      </c>
      <c r="I103" s="1323">
        <f t="shared" si="27"/>
        <v>0</v>
      </c>
      <c r="J103" s="1323">
        <f t="shared" ref="J103:R103" si="28">J30-J31-J32-J33-J36-J37-J38</f>
        <v>0</v>
      </c>
      <c r="K103" s="1323">
        <f t="shared" si="28"/>
        <v>0</v>
      </c>
      <c r="L103" s="1323">
        <f t="shared" si="28"/>
        <v>-1000000</v>
      </c>
      <c r="M103" s="1323">
        <f t="shared" si="28"/>
        <v>1000000</v>
      </c>
      <c r="N103" s="1323">
        <f t="shared" si="28"/>
        <v>0</v>
      </c>
      <c r="O103" s="1323">
        <f t="shared" si="28"/>
        <v>-1000000</v>
      </c>
      <c r="P103" s="1323">
        <f t="shared" si="28"/>
        <v>0</v>
      </c>
      <c r="Q103" s="1323">
        <f t="shared" si="28"/>
        <v>0</v>
      </c>
      <c r="R103" s="1323">
        <f t="shared" si="28"/>
        <v>0</v>
      </c>
      <c r="S103" s="1323">
        <f>S30-S31-S32-S33-S36-S37-S38-S41</f>
        <v>-1000000</v>
      </c>
      <c r="T103" s="1323">
        <f t="shared" ref="T103:W103" si="29">T30-T31-T32-T33-T36-T37-T38-T41</f>
        <v>0</v>
      </c>
      <c r="U103" s="1323">
        <f t="shared" si="29"/>
        <v>0</v>
      </c>
      <c r="V103" s="1323">
        <f t="shared" si="29"/>
        <v>0</v>
      </c>
      <c r="W103" s="1323">
        <f t="shared" si="29"/>
        <v>0</v>
      </c>
      <c r="X103" s="1323">
        <f t="shared" ref="X103:Z103" si="30">X30-X31-X32-X33-X36-X37-X38-X41</f>
        <v>0</v>
      </c>
      <c r="Y103" s="1323">
        <f t="shared" si="30"/>
        <v>1000000</v>
      </c>
      <c r="Z103" s="1323">
        <f t="shared" si="30"/>
        <v>0</v>
      </c>
    </row>
    <row r="104" spans="2:26">
      <c r="B104" s="1314" t="s">
        <v>2742</v>
      </c>
      <c r="C104" s="1314"/>
      <c r="D104" s="1325">
        <f t="shared" ref="D104:W104" si="31">D33-D34-D35</f>
        <v>166700000</v>
      </c>
      <c r="E104" s="1325">
        <f t="shared" si="31"/>
        <v>136900000</v>
      </c>
      <c r="F104" s="1325">
        <f t="shared" si="31"/>
        <v>132500000</v>
      </c>
      <c r="G104" s="1325">
        <f t="shared" si="31"/>
        <v>157100000</v>
      </c>
      <c r="H104" s="1325">
        <f t="shared" si="31"/>
        <v>237500000</v>
      </c>
      <c r="I104" s="1325">
        <f t="shared" si="31"/>
        <v>869000000</v>
      </c>
      <c r="J104" s="1323">
        <f t="shared" si="31"/>
        <v>0</v>
      </c>
      <c r="K104" s="1323">
        <f t="shared" si="31"/>
        <v>0</v>
      </c>
      <c r="L104" s="1323">
        <f t="shared" si="31"/>
        <v>0</v>
      </c>
      <c r="M104" s="1323">
        <f t="shared" si="31"/>
        <v>0</v>
      </c>
      <c r="N104" s="1325">
        <f t="shared" si="31"/>
        <v>385000000</v>
      </c>
      <c r="O104" s="1325">
        <f t="shared" si="31"/>
        <v>437000000</v>
      </c>
      <c r="P104" s="1325">
        <f t="shared" si="31"/>
        <v>526000000</v>
      </c>
      <c r="Q104" s="1325">
        <f t="shared" si="31"/>
        <v>562000000</v>
      </c>
      <c r="R104" s="1325">
        <f t="shared" si="31"/>
        <v>617000000</v>
      </c>
      <c r="S104" s="1325">
        <f t="shared" si="31"/>
        <v>0</v>
      </c>
      <c r="T104" s="1325">
        <f t="shared" si="31"/>
        <v>0</v>
      </c>
      <c r="U104" s="1325">
        <f t="shared" si="31"/>
        <v>0</v>
      </c>
      <c r="V104" s="1325">
        <f t="shared" si="31"/>
        <v>0</v>
      </c>
      <c r="W104" s="1325">
        <f t="shared" si="31"/>
        <v>0</v>
      </c>
      <c r="X104" s="1325">
        <f t="shared" ref="X104:Z104" si="32">X33-X34-X35</f>
        <v>0</v>
      </c>
      <c r="Y104" s="1325">
        <f t="shared" si="32"/>
        <v>0</v>
      </c>
      <c r="Z104" s="1325">
        <f t="shared" si="32"/>
        <v>0</v>
      </c>
    </row>
    <row r="105" spans="2:26">
      <c r="B105" s="1314" t="s">
        <v>291</v>
      </c>
      <c r="C105" s="1314"/>
      <c r="D105" s="1323"/>
      <c r="E105" s="1323"/>
      <c r="F105" s="1323"/>
      <c r="G105" s="1323">
        <f t="shared" ref="G105:W105" si="33">G38-G39-G40</f>
        <v>0</v>
      </c>
      <c r="H105" s="1323">
        <f t="shared" si="33"/>
        <v>0</v>
      </c>
      <c r="I105" s="1323">
        <f t="shared" si="33"/>
        <v>-1000000</v>
      </c>
      <c r="J105" s="1323">
        <f t="shared" si="33"/>
        <v>0</v>
      </c>
      <c r="K105" s="1323">
        <f t="shared" si="33"/>
        <v>0</v>
      </c>
      <c r="L105" s="1323">
        <f t="shared" si="33"/>
        <v>1000000</v>
      </c>
      <c r="M105" s="1323">
        <f t="shared" si="33"/>
        <v>0</v>
      </c>
      <c r="N105" s="1325">
        <f t="shared" si="33"/>
        <v>206000000</v>
      </c>
      <c r="O105" s="1325">
        <f t="shared" si="33"/>
        <v>288000000</v>
      </c>
      <c r="P105" s="1325">
        <f t="shared" si="33"/>
        <v>254000000</v>
      </c>
      <c r="Q105" s="1325">
        <f t="shared" si="33"/>
        <v>238000000</v>
      </c>
      <c r="R105" s="1325">
        <f t="shared" si="33"/>
        <v>293000000</v>
      </c>
      <c r="S105" s="1325">
        <f t="shared" si="33"/>
        <v>0</v>
      </c>
      <c r="T105" s="1325">
        <f t="shared" si="33"/>
        <v>0</v>
      </c>
      <c r="U105" s="1325">
        <f t="shared" si="33"/>
        <v>0</v>
      </c>
      <c r="V105" s="1325">
        <f t="shared" si="33"/>
        <v>1000000</v>
      </c>
      <c r="W105" s="1325">
        <f t="shared" si="33"/>
        <v>0</v>
      </c>
      <c r="X105" s="1325">
        <f t="shared" ref="X105:Z105" si="34">X38-X39-X40</f>
        <v>-1000000</v>
      </c>
      <c r="Y105" s="1325">
        <f t="shared" si="34"/>
        <v>0</v>
      </c>
      <c r="Z105" s="1325">
        <f t="shared" si="34"/>
        <v>0</v>
      </c>
    </row>
    <row r="106" spans="2:26">
      <c r="B106" s="1314" t="s">
        <v>876</v>
      </c>
      <c r="C106" s="1314"/>
      <c r="D106" s="1323">
        <f t="shared" ref="D106:W106" si="35">D44-D45-D46</f>
        <v>0</v>
      </c>
      <c r="E106" s="1323">
        <f t="shared" si="35"/>
        <v>0</v>
      </c>
      <c r="F106" s="1323">
        <f t="shared" si="35"/>
        <v>0</v>
      </c>
      <c r="G106" s="1323">
        <f t="shared" si="35"/>
        <v>0</v>
      </c>
      <c r="H106" s="1323">
        <f t="shared" si="35"/>
        <v>0</v>
      </c>
      <c r="I106" s="1323">
        <f t="shared" si="35"/>
        <v>0</v>
      </c>
      <c r="J106" s="1325">
        <f t="shared" si="35"/>
        <v>1070000000</v>
      </c>
      <c r="K106" s="1325">
        <f t="shared" si="35"/>
        <v>1465000000</v>
      </c>
      <c r="L106" s="1325">
        <f t="shared" si="35"/>
        <v>1524000000</v>
      </c>
      <c r="M106" s="1325">
        <f t="shared" si="35"/>
        <v>1444000000</v>
      </c>
      <c r="N106" s="1325">
        <f t="shared" si="35"/>
        <v>1706000000</v>
      </c>
      <c r="O106" s="1325">
        <f t="shared" si="35"/>
        <v>1869000000</v>
      </c>
      <c r="P106" s="1325">
        <f t="shared" si="35"/>
        <v>1971000000</v>
      </c>
      <c r="Q106" s="1325">
        <f t="shared" si="35"/>
        <v>1361000000</v>
      </c>
      <c r="R106" s="1325">
        <f t="shared" si="35"/>
        <v>1547000000</v>
      </c>
      <c r="S106" s="1325">
        <f t="shared" si="35"/>
        <v>1421000000</v>
      </c>
      <c r="T106" s="1325">
        <f t="shared" si="35"/>
        <v>1351000000</v>
      </c>
      <c r="U106" s="1325">
        <f t="shared" si="35"/>
        <v>1995000000</v>
      </c>
      <c r="V106" s="1325">
        <f t="shared" si="35"/>
        <v>2472000000</v>
      </c>
      <c r="W106" s="1325">
        <f t="shared" si="35"/>
        <v>2997000000</v>
      </c>
      <c r="X106" s="1325">
        <f t="shared" ref="X106:Z106" si="36">X44-X45-X46</f>
        <v>3584000000</v>
      </c>
      <c r="Y106" s="1325">
        <f t="shared" si="36"/>
        <v>4018000000</v>
      </c>
      <c r="Z106" s="1325">
        <f t="shared" si="36"/>
        <v>4449000000</v>
      </c>
    </row>
    <row r="107" spans="2:26">
      <c r="B107" s="1314" t="s">
        <v>148</v>
      </c>
      <c r="C107" s="1323"/>
      <c r="D107" s="1323">
        <f t="shared" ref="D107:R107" si="37">D55-D69-D78-D90-D91</f>
        <v>0</v>
      </c>
      <c r="E107" s="1323">
        <f t="shared" si="37"/>
        <v>-1.4901161193847656E-8</v>
      </c>
      <c r="F107" s="1323">
        <f t="shared" si="37"/>
        <v>0</v>
      </c>
      <c r="G107" s="1323">
        <f t="shared" si="37"/>
        <v>0</v>
      </c>
      <c r="H107" s="1323">
        <f t="shared" si="37"/>
        <v>0</v>
      </c>
      <c r="I107" s="1323">
        <f t="shared" si="37"/>
        <v>0</v>
      </c>
      <c r="J107" s="1323">
        <f t="shared" si="37"/>
        <v>0</v>
      </c>
      <c r="K107" s="1323">
        <f t="shared" si="37"/>
        <v>0</v>
      </c>
      <c r="L107" s="1323">
        <f t="shared" si="37"/>
        <v>0</v>
      </c>
      <c r="M107" s="1323">
        <f t="shared" si="37"/>
        <v>0</v>
      </c>
      <c r="N107" s="1323">
        <f t="shared" si="37"/>
        <v>0</v>
      </c>
      <c r="O107" s="1323">
        <f t="shared" si="37"/>
        <v>0</v>
      </c>
      <c r="P107" s="1323">
        <f t="shared" si="37"/>
        <v>-1000000</v>
      </c>
      <c r="Q107" s="1323">
        <f t="shared" si="37"/>
        <v>0</v>
      </c>
      <c r="R107" s="1323">
        <f t="shared" si="37"/>
        <v>0</v>
      </c>
      <c r="S107" s="1323">
        <f>S55-S56-S57</f>
        <v>0</v>
      </c>
      <c r="T107" s="1323">
        <f t="shared" ref="T107:W107" si="38">T55-T56-T57</f>
        <v>0</v>
      </c>
      <c r="U107" s="1323">
        <f t="shared" si="38"/>
        <v>1000000</v>
      </c>
      <c r="V107" s="1323">
        <f t="shared" si="38"/>
        <v>0</v>
      </c>
      <c r="W107" s="1323">
        <f t="shared" si="38"/>
        <v>-1000000</v>
      </c>
      <c r="X107" s="1323">
        <f t="shared" ref="X107:Z107" si="39">X55-X56-X57</f>
        <v>0</v>
      </c>
      <c r="Y107" s="1323">
        <f t="shared" si="39"/>
        <v>0</v>
      </c>
      <c r="Z107" s="1323">
        <f t="shared" si="39"/>
        <v>0</v>
      </c>
    </row>
    <row r="108" spans="2:26">
      <c r="B108" s="1314" t="s">
        <v>528</v>
      </c>
      <c r="C108" s="1314"/>
      <c r="D108" s="1323">
        <f>D78-D79-D82-D84-D85-D86-D87-D88</f>
        <v>0</v>
      </c>
      <c r="E108" s="1323">
        <f t="shared" ref="E108:L108" si="40">E78-E79-E82-E84-E85-E86-E87</f>
        <v>5.9604644775390625E-8</v>
      </c>
      <c r="F108" s="1323">
        <f t="shared" si="40"/>
        <v>-100000</v>
      </c>
      <c r="G108" s="1323">
        <f t="shared" si="40"/>
        <v>0</v>
      </c>
      <c r="H108" s="1323">
        <f t="shared" si="40"/>
        <v>0</v>
      </c>
      <c r="I108" s="1323">
        <f t="shared" si="40"/>
        <v>1000000</v>
      </c>
      <c r="J108" s="1323">
        <f t="shared" si="40"/>
        <v>-1000000</v>
      </c>
      <c r="K108" s="1323">
        <f t="shared" si="40"/>
        <v>0</v>
      </c>
      <c r="L108" s="1323">
        <f t="shared" si="40"/>
        <v>0</v>
      </c>
      <c r="M108" s="1323">
        <f t="shared" ref="M108:W108" si="41">M78-M79-M82-M84-M85-M86-M87</f>
        <v>0</v>
      </c>
      <c r="N108" s="1323">
        <f t="shared" si="41"/>
        <v>0</v>
      </c>
      <c r="O108" s="1323">
        <f t="shared" si="41"/>
        <v>0</v>
      </c>
      <c r="P108" s="1323">
        <f t="shared" si="41"/>
        <v>0</v>
      </c>
      <c r="Q108" s="1323">
        <f t="shared" si="41"/>
        <v>-1000000</v>
      </c>
      <c r="R108" s="1323">
        <f t="shared" si="41"/>
        <v>1000000</v>
      </c>
      <c r="S108" s="1323">
        <f>S78-S79-S82-S84-S85-S86-S87</f>
        <v>0</v>
      </c>
      <c r="T108" s="1323">
        <f t="shared" si="41"/>
        <v>0</v>
      </c>
      <c r="U108" s="1323">
        <f t="shared" si="41"/>
        <v>0</v>
      </c>
      <c r="V108" s="1323">
        <f t="shared" si="41"/>
        <v>0</v>
      </c>
      <c r="W108" s="1323">
        <f t="shared" si="41"/>
        <v>0</v>
      </c>
      <c r="X108" s="1323">
        <f t="shared" ref="X108:Z108" si="42">X78-X79-X82-X84-X85-X86-X87</f>
        <v>0</v>
      </c>
      <c r="Y108" s="1323">
        <f t="shared" si="42"/>
        <v>0</v>
      </c>
      <c r="Z108" s="1323">
        <f t="shared" si="42"/>
        <v>0</v>
      </c>
    </row>
    <row r="109" spans="2:26">
      <c r="B109" s="1314" t="s">
        <v>877</v>
      </c>
      <c r="C109" s="1314"/>
      <c r="D109" s="1323">
        <f>D69-D74-D75-D76-D71-D72-D73-D77-D89</f>
        <v>0</v>
      </c>
      <c r="E109" s="1323">
        <f t="shared" ref="E109:W109" si="43">E69-E74-E75-E76-E71-E72-E73-E77-E89</f>
        <v>0</v>
      </c>
      <c r="F109" s="1323">
        <f t="shared" si="43"/>
        <v>0</v>
      </c>
      <c r="G109" s="1323">
        <f t="shared" si="43"/>
        <v>0</v>
      </c>
      <c r="H109" s="1323">
        <f t="shared" si="43"/>
        <v>0</v>
      </c>
      <c r="I109" s="1323">
        <f t="shared" si="43"/>
        <v>0</v>
      </c>
      <c r="J109" s="1323">
        <f t="shared" si="43"/>
        <v>0</v>
      </c>
      <c r="K109" s="1323">
        <f t="shared" si="43"/>
        <v>0</v>
      </c>
      <c r="L109" s="1323">
        <f t="shared" si="43"/>
        <v>0</v>
      </c>
      <c r="M109" s="1323">
        <f t="shared" si="43"/>
        <v>0</v>
      </c>
      <c r="N109" s="1323">
        <f t="shared" si="43"/>
        <v>0</v>
      </c>
      <c r="O109" s="1323">
        <f t="shared" si="43"/>
        <v>1000000</v>
      </c>
      <c r="P109" s="1323">
        <f t="shared" si="43"/>
        <v>0</v>
      </c>
      <c r="Q109" s="1323">
        <f t="shared" si="43"/>
        <v>-1000000</v>
      </c>
      <c r="R109" s="1323">
        <f t="shared" si="43"/>
        <v>0</v>
      </c>
      <c r="S109" s="1323">
        <f>S69-S74-S75-S76-S71-S72-S73-S77-S89</f>
        <v>0</v>
      </c>
      <c r="T109" s="1323">
        <f t="shared" si="43"/>
        <v>0</v>
      </c>
      <c r="U109" s="1323">
        <f t="shared" si="43"/>
        <v>0</v>
      </c>
      <c r="V109" s="1323">
        <f t="shared" si="43"/>
        <v>0</v>
      </c>
      <c r="W109" s="1323">
        <f t="shared" si="43"/>
        <v>0</v>
      </c>
      <c r="X109" s="1323">
        <f t="shared" ref="X109:Z109" si="44">X69-X74-X75-X76-X71-X72-X73-X77-X89</f>
        <v>0</v>
      </c>
      <c r="Y109" s="1323">
        <f t="shared" si="44"/>
        <v>0</v>
      </c>
      <c r="Z109" s="1323">
        <f t="shared" si="44"/>
        <v>0</v>
      </c>
    </row>
    <row r="110" spans="2:26">
      <c r="B110" s="1314"/>
      <c r="C110" s="1314"/>
      <c r="X110" s="1304"/>
    </row>
    <row r="111" spans="2:26">
      <c r="B111" s="1314"/>
      <c r="C111" s="1314"/>
      <c r="D111" s="1323"/>
      <c r="X111" s="1304"/>
    </row>
    <row r="112" spans="2:26">
      <c r="B112" s="1314" t="s">
        <v>623</v>
      </c>
      <c r="D112" s="1306">
        <v>3042000000</v>
      </c>
      <c r="E112" s="1306">
        <v>3205000000</v>
      </c>
      <c r="F112" s="1306">
        <v>3395000000</v>
      </c>
      <c r="G112" s="1306">
        <v>3991000000</v>
      </c>
      <c r="H112" s="1306">
        <v>5126000000</v>
      </c>
      <c r="I112" s="1306">
        <v>6411000000</v>
      </c>
      <c r="J112" s="1306">
        <v>7745000000</v>
      </c>
      <c r="K112" s="1306">
        <v>10173000000</v>
      </c>
      <c r="L112" s="1306">
        <v>12795000000</v>
      </c>
      <c r="M112" s="1306">
        <v>10767000000</v>
      </c>
      <c r="N112" s="1306">
        <v>11638000000</v>
      </c>
      <c r="O112" s="1306">
        <v>14435000000</v>
      </c>
      <c r="P112" s="1306">
        <v>15847000000</v>
      </c>
      <c r="Q112" s="1306">
        <v>16126999999.999998</v>
      </c>
      <c r="R112" s="1306">
        <v>16125000000</v>
      </c>
      <c r="S112" s="1306">
        <v>31756000000</v>
      </c>
      <c r="T112" s="1306">
        <v>33922000000</v>
      </c>
      <c r="U112" s="1306">
        <v>37260000000</v>
      </c>
      <c r="V112" s="1306">
        <v>40148000000</v>
      </c>
      <c r="W112" s="1306">
        <v>43289000000</v>
      </c>
      <c r="X112" s="1306">
        <v>46811000000</v>
      </c>
      <c r="Y112" s="1306">
        <v>50754000000</v>
      </c>
      <c r="Z112" s="1306">
        <v>54974000000</v>
      </c>
    </row>
    <row r="113" spans="2:26">
      <c r="B113" s="1314" t="s">
        <v>141</v>
      </c>
      <c r="D113" s="1306">
        <f t="shared" ref="D113:Z113" si="45">(D6/D112)*100</f>
        <v>30.023011176857327</v>
      </c>
      <c r="E113" s="1306">
        <f t="shared" si="45"/>
        <v>33.75663026521061</v>
      </c>
      <c r="F113" s="1306">
        <f t="shared" si="45"/>
        <v>35.192930780559642</v>
      </c>
      <c r="G113" s="1306">
        <f t="shared" si="45"/>
        <v>34.830869456276616</v>
      </c>
      <c r="H113" s="1306">
        <f t="shared" si="45"/>
        <v>42.253218884120173</v>
      </c>
      <c r="I113" s="1306">
        <f t="shared" si="45"/>
        <v>42.349087505849319</v>
      </c>
      <c r="J113" s="1306">
        <f t="shared" si="45"/>
        <v>47.488702388637833</v>
      </c>
      <c r="K113" s="1306">
        <f t="shared" si="45"/>
        <v>48.874471640617323</v>
      </c>
      <c r="L113" s="1306">
        <f t="shared" si="45"/>
        <v>45.752246971473234</v>
      </c>
      <c r="M113" s="1344">
        <f t="shared" si="45"/>
        <v>48.890127240642705</v>
      </c>
      <c r="N113" s="1344">
        <f t="shared" si="45"/>
        <v>50.403849458669868</v>
      </c>
      <c r="O113" s="1344">
        <f t="shared" si="45"/>
        <v>47.592656737097336</v>
      </c>
      <c r="P113" s="1344">
        <f t="shared" si="45"/>
        <v>47.573673250457496</v>
      </c>
      <c r="Q113" s="1344">
        <f t="shared" si="45"/>
        <v>45.798970670304463</v>
      </c>
      <c r="R113" s="1344">
        <f t="shared" si="45"/>
        <v>49.500775193798454</v>
      </c>
      <c r="S113" s="1344">
        <f t="shared" si="45"/>
        <v>28.098627031112233</v>
      </c>
      <c r="T113" s="1344">
        <f t="shared" si="45"/>
        <v>28.368020753493305</v>
      </c>
      <c r="U113" s="1344">
        <f t="shared" si="45"/>
        <v>28.878153515834676</v>
      </c>
      <c r="V113" s="1344">
        <f t="shared" si="45"/>
        <v>28.569293613629572</v>
      </c>
      <c r="W113" s="1344">
        <f t="shared" si="45"/>
        <v>28.501466885351938</v>
      </c>
      <c r="X113" s="1344">
        <f t="shared" si="45"/>
        <v>28.262587853282351</v>
      </c>
      <c r="Y113" s="1344">
        <f t="shared" si="45"/>
        <v>28.02734759821886</v>
      </c>
      <c r="Z113" s="1344">
        <f t="shared" si="45"/>
        <v>27.729472114090299</v>
      </c>
    </row>
    <row r="114" spans="2:26">
      <c r="B114" s="1314" t="s">
        <v>145</v>
      </c>
      <c r="D114" s="1323">
        <f t="shared" ref="D114:R114" si="46">(D28/D112)*100</f>
        <v>37.998027613412226</v>
      </c>
      <c r="E114" s="1323">
        <f t="shared" si="46"/>
        <v>37.812792511700465</v>
      </c>
      <c r="F114" s="1323">
        <f t="shared" si="46"/>
        <v>39.004418262150217</v>
      </c>
      <c r="G114" s="1323">
        <f t="shared" si="46"/>
        <v>37.622149837133549</v>
      </c>
      <c r="H114" s="1323">
        <f t="shared" si="46"/>
        <v>36.147093250097541</v>
      </c>
      <c r="I114" s="1323">
        <f t="shared" si="46"/>
        <v>45.109967243799723</v>
      </c>
      <c r="J114" s="1323">
        <f t="shared" si="46"/>
        <v>52.937378954163975</v>
      </c>
      <c r="K114" s="1323">
        <f t="shared" si="46"/>
        <v>56.797404895311118</v>
      </c>
      <c r="L114" s="1323">
        <f t="shared" si="46"/>
        <v>55.193434935521694</v>
      </c>
      <c r="M114" s="1344">
        <f t="shared" si="46"/>
        <v>64.205442555958015</v>
      </c>
      <c r="N114" s="1344">
        <f t="shared" si="46"/>
        <v>62.141261385117716</v>
      </c>
      <c r="O114" s="1344">
        <f t="shared" si="46"/>
        <v>53.688950467613438</v>
      </c>
      <c r="P114" s="1344">
        <f t="shared" si="46"/>
        <v>52.489430176058562</v>
      </c>
      <c r="Q114" s="1344">
        <f t="shared" si="46"/>
        <v>50.145718360513435</v>
      </c>
      <c r="R114" s="1344">
        <f t="shared" si="46"/>
        <v>55.776744186046514</v>
      </c>
      <c r="S114" s="1344">
        <f>(S29/S112)*100</f>
        <v>29.364529537725154</v>
      </c>
      <c r="T114" s="1344">
        <f t="shared" ref="T114:Z114" si="47">(T29/T112)*100</f>
        <v>29.974647721242853</v>
      </c>
      <c r="U114" s="1344">
        <f t="shared" si="47"/>
        <v>29.991948470209341</v>
      </c>
      <c r="V114" s="1344">
        <f t="shared" si="47"/>
        <v>30.043837800139485</v>
      </c>
      <c r="W114" s="1344">
        <f t="shared" si="47"/>
        <v>30.287139920072075</v>
      </c>
      <c r="X114" s="1344">
        <f t="shared" si="47"/>
        <v>30.18948537736857</v>
      </c>
      <c r="Y114" s="1344">
        <f t="shared" si="47"/>
        <v>29.424281830003547</v>
      </c>
      <c r="Z114" s="1344">
        <f t="shared" si="47"/>
        <v>28.671735729617637</v>
      </c>
    </row>
    <row r="116" spans="2:26" ht="13.5" customHeight="1">
      <c r="B116" s="1306" t="s">
        <v>153</v>
      </c>
      <c r="D116" s="1306" t="b">
        <f>IF(D49&lt;0, (D49/D28)*100)</f>
        <v>0</v>
      </c>
      <c r="E116" s="1306" t="b">
        <f t="shared" ref="E116:Z116" si="48">IF(E49&lt;0, (E49/E28)*100)</f>
        <v>0</v>
      </c>
      <c r="F116" s="1306" t="b">
        <f t="shared" si="48"/>
        <v>0</v>
      </c>
      <c r="G116" s="1306" t="b">
        <f t="shared" si="48"/>
        <v>0</v>
      </c>
      <c r="H116" s="1306" t="b">
        <f t="shared" si="48"/>
        <v>0</v>
      </c>
      <c r="I116" s="1306" t="b">
        <f t="shared" si="48"/>
        <v>0</v>
      </c>
      <c r="J116" s="1306" t="b">
        <f t="shared" si="48"/>
        <v>0</v>
      </c>
      <c r="K116" s="1306" t="b">
        <f t="shared" si="48"/>
        <v>0</v>
      </c>
      <c r="L116" s="1306" t="b">
        <f t="shared" si="48"/>
        <v>0</v>
      </c>
      <c r="M116" s="1306" t="b">
        <f t="shared" si="48"/>
        <v>0</v>
      </c>
      <c r="N116" s="1306" t="b">
        <f t="shared" si="48"/>
        <v>0</v>
      </c>
      <c r="O116" s="1306" t="b">
        <f t="shared" si="48"/>
        <v>0</v>
      </c>
      <c r="P116" s="1306" t="b">
        <f t="shared" si="48"/>
        <v>0</v>
      </c>
      <c r="Q116" s="1306" t="b">
        <f t="shared" si="48"/>
        <v>0</v>
      </c>
      <c r="R116" s="1306" t="b">
        <f t="shared" si="48"/>
        <v>0</v>
      </c>
      <c r="S116" s="1306" t="b">
        <f t="shared" si="48"/>
        <v>0</v>
      </c>
      <c r="T116" s="1306" t="b">
        <f t="shared" si="48"/>
        <v>0</v>
      </c>
      <c r="U116" s="1306" t="b">
        <f t="shared" si="48"/>
        <v>0</v>
      </c>
      <c r="V116" s="1306" t="b">
        <f t="shared" si="48"/>
        <v>0</v>
      </c>
      <c r="W116" s="1306" t="b">
        <f t="shared" si="48"/>
        <v>0</v>
      </c>
      <c r="X116" s="1306" t="b">
        <f t="shared" si="48"/>
        <v>0</v>
      </c>
      <c r="Y116" s="1306" t="b">
        <f t="shared" si="48"/>
        <v>0</v>
      </c>
      <c r="Z116" s="1306" t="b">
        <f t="shared" si="48"/>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J6" activePane="bottomRight" state="frozen"/>
      <selection pane="topRight" activeCell="D1" sqref="D1"/>
      <selection pane="bottomLeft" activeCell="A6" sqref="A6"/>
      <selection pane="bottomRight" activeCell="R7" sqref="R7:S7"/>
    </sheetView>
  </sheetViews>
  <sheetFormatPr defaultRowHeight="15"/>
  <cols>
    <col min="1" max="1" width="30.7109375" style="1027" customWidth="1"/>
    <col min="2" max="2" width="58.140625" style="1027" bestFit="1" customWidth="1"/>
    <col min="3" max="3" width="24.5703125" style="1027" bestFit="1" customWidth="1"/>
    <col min="4" max="13" width="9" style="1027" bestFit="1" customWidth="1"/>
    <col min="14" max="14" width="13.7109375" style="1027" bestFit="1" customWidth="1"/>
    <col min="15" max="15" width="18.28515625" style="1027" bestFit="1" customWidth="1"/>
    <col min="16" max="17" width="19.7109375" style="1027" bestFit="1" customWidth="1"/>
    <col min="18" max="18" width="19.85546875" style="1027" bestFit="1" customWidth="1"/>
    <col min="19" max="19" width="19.42578125" style="1027" bestFit="1" customWidth="1"/>
    <col min="20" max="23" width="27.5703125" style="1027" bestFit="1" customWidth="1"/>
    <col min="24" max="24" width="24.42578125" style="1027" bestFit="1" customWidth="1"/>
    <col min="25" max="25" width="13.42578125" bestFit="1" customWidth="1"/>
  </cols>
  <sheetData>
    <row r="1" spans="1:29">
      <c r="A1" s="924" t="s">
        <v>2743</v>
      </c>
      <c r="B1" s="1361" t="s">
        <v>2744</v>
      </c>
      <c r="C1" s="964"/>
      <c r="D1" s="964"/>
      <c r="E1" s="964"/>
      <c r="F1" s="964"/>
      <c r="G1" s="964"/>
      <c r="H1" s="964"/>
      <c r="I1" s="964"/>
      <c r="J1" s="964"/>
      <c r="K1" s="964"/>
      <c r="L1" s="964"/>
      <c r="M1" s="964"/>
      <c r="N1" s="964"/>
      <c r="O1" s="964"/>
      <c r="P1" s="1025"/>
      <c r="Q1" s="1025"/>
      <c r="R1" s="1026"/>
      <c r="S1" s="1025"/>
      <c r="T1" s="1025"/>
      <c r="U1" s="1025"/>
      <c r="V1" s="1025"/>
      <c r="W1" s="1025"/>
      <c r="X1" s="1025"/>
    </row>
    <row r="2" spans="1:29">
      <c r="B2" s="1362" t="s">
        <v>2745</v>
      </c>
      <c r="C2" s="1028"/>
      <c r="D2" s="1028"/>
      <c r="E2" s="1028"/>
      <c r="F2" s="1028"/>
      <c r="G2" s="1028"/>
      <c r="H2" s="1028"/>
      <c r="I2" s="1028"/>
      <c r="J2" s="1028"/>
      <c r="K2" s="1028"/>
      <c r="L2" s="1028"/>
      <c r="M2" s="1028"/>
      <c r="N2" s="1028"/>
      <c r="O2" s="1028"/>
      <c r="P2" s="1025"/>
      <c r="Q2" s="1025"/>
      <c r="R2" s="1921"/>
      <c r="S2" s="1030"/>
      <c r="T2" s="1031"/>
      <c r="U2" s="1025"/>
      <c r="V2" s="1025"/>
      <c r="W2" s="1025"/>
      <c r="X2" s="1025"/>
    </row>
    <row r="3" spans="1:29">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2016</v>
      </c>
      <c r="Z3" s="1025">
        <v>2017</v>
      </c>
      <c r="AA3" s="1025">
        <v>2018</v>
      </c>
      <c r="AB3" s="1025">
        <v>2019</v>
      </c>
      <c r="AC3" s="1025">
        <v>2020</v>
      </c>
    </row>
    <row r="4" spans="1:29">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row>
    <row r="5" spans="1:29">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30</v>
      </c>
      <c r="S5" s="1025" t="s">
        <v>30</v>
      </c>
      <c r="T5" s="1025" t="s">
        <v>2226</v>
      </c>
      <c r="U5" s="1025" t="s">
        <v>2746</v>
      </c>
      <c r="V5" s="1025" t="s">
        <v>32</v>
      </c>
      <c r="W5" s="1025" t="s">
        <v>32</v>
      </c>
      <c r="X5" s="1025" t="s">
        <v>32</v>
      </c>
    </row>
    <row r="6" spans="1:29" s="848" customFormat="1" ht="15.75">
      <c r="A6" s="1096" t="s">
        <v>2747</v>
      </c>
      <c r="B6" s="1012" t="s">
        <v>831</v>
      </c>
      <c r="C6" s="1096" t="s">
        <v>35</v>
      </c>
      <c r="D6" s="1012"/>
      <c r="E6" s="1012"/>
      <c r="F6" s="1208"/>
      <c r="G6" s="1208"/>
      <c r="H6" s="1208"/>
      <c r="I6" s="1208"/>
      <c r="J6" s="1208"/>
      <c r="K6" s="1208"/>
      <c r="L6" s="1208"/>
      <c r="M6" s="1208"/>
      <c r="N6" s="1208"/>
      <c r="O6" s="1054">
        <v>11441000000</v>
      </c>
      <c r="P6" s="1113">
        <v>13935000000</v>
      </c>
      <c r="Q6" s="1113">
        <v>15630000000</v>
      </c>
      <c r="R6" s="1113">
        <f>R7+R15</f>
        <v>20874000000</v>
      </c>
      <c r="S6" s="1113">
        <f t="shared" ref="S6:X6" si="0">S7+S15</f>
        <v>26825000000</v>
      </c>
      <c r="T6" s="1113">
        <f t="shared" si="0"/>
        <v>29145000000</v>
      </c>
      <c r="U6" s="1113">
        <f t="shared" si="0"/>
        <v>36222000000</v>
      </c>
      <c r="V6" s="1113">
        <f t="shared" si="0"/>
        <v>43671000000</v>
      </c>
      <c r="W6" s="1113">
        <f t="shared" si="0"/>
        <v>51078000000</v>
      </c>
      <c r="X6" s="1113">
        <f t="shared" si="0"/>
        <v>57599000000</v>
      </c>
    </row>
    <row r="7" spans="1:29">
      <c r="A7" s="1230" t="s">
        <v>36</v>
      </c>
      <c r="B7" s="1230" t="s">
        <v>159</v>
      </c>
      <c r="C7" s="1231" t="s">
        <v>38</v>
      </c>
      <c r="D7" s="1034"/>
      <c r="E7" s="1034"/>
      <c r="O7" s="1033">
        <f t="shared" ref="O7:Q7" si="1">O8+O13+O14</f>
        <v>10231000000</v>
      </c>
      <c r="P7" s="1033">
        <f t="shared" si="1"/>
        <v>12775000000</v>
      </c>
      <c r="Q7" s="1033">
        <f t="shared" si="1"/>
        <v>15192000000</v>
      </c>
      <c r="R7" s="1033">
        <f>R8+R14</f>
        <v>20060000000</v>
      </c>
      <c r="S7" s="1033">
        <f>S8+S14</f>
        <v>24136000000</v>
      </c>
      <c r="T7" s="1033">
        <f t="shared" ref="T7:X7" si="2">T8+T13+T14+T12</f>
        <v>28004000000</v>
      </c>
      <c r="U7" s="1033">
        <f t="shared" si="2"/>
        <v>34687000000</v>
      </c>
      <c r="V7" s="1033">
        <f t="shared" si="2"/>
        <v>43080000000</v>
      </c>
      <c r="W7" s="1033">
        <f t="shared" si="2"/>
        <v>50408000000</v>
      </c>
      <c r="X7" s="1033">
        <f t="shared" si="2"/>
        <v>57417000000</v>
      </c>
    </row>
    <row r="8" spans="1:29" ht="15.75">
      <c r="A8" s="981" t="s">
        <v>39</v>
      </c>
      <c r="B8" s="981" t="s">
        <v>371</v>
      </c>
      <c r="C8" s="1035" t="s">
        <v>41</v>
      </c>
      <c r="D8" s="981"/>
      <c r="E8" s="981"/>
      <c r="O8" s="1048">
        <v>9052000000</v>
      </c>
      <c r="P8" s="1033">
        <v>11575000000</v>
      </c>
      <c r="Q8" s="1033">
        <v>13284000000</v>
      </c>
      <c r="R8" s="1922">
        <f>R9+R10+R11+R12</f>
        <v>18074000000</v>
      </c>
      <c r="S8" s="1922">
        <f>S9+S10+S11+S12</f>
        <v>21745000000</v>
      </c>
      <c r="T8" s="1922">
        <f t="shared" ref="T8:X8" si="3">T9+T10+T11+T12</f>
        <v>26209000000</v>
      </c>
      <c r="U8" s="1922">
        <f t="shared" si="3"/>
        <v>31770000000</v>
      </c>
      <c r="V8" s="1922">
        <f t="shared" si="3"/>
        <v>38293000000</v>
      </c>
      <c r="W8" s="1922">
        <f t="shared" si="3"/>
        <v>45683000000</v>
      </c>
      <c r="X8" s="1922">
        <f t="shared" si="3"/>
        <v>52345000000</v>
      </c>
    </row>
    <row r="9" spans="1:29" ht="15.75">
      <c r="A9" s="988" t="s">
        <v>1418</v>
      </c>
      <c r="B9" s="988" t="s">
        <v>1418</v>
      </c>
      <c r="C9" s="1027" t="s">
        <v>44</v>
      </c>
      <c r="D9" s="981"/>
      <c r="E9" s="981"/>
      <c r="O9" s="1048">
        <v>4037000000</v>
      </c>
      <c r="P9" s="1033">
        <v>5536000000</v>
      </c>
      <c r="Q9" s="1033">
        <v>6302000000</v>
      </c>
      <c r="R9" s="1033">
        <v>8487000000</v>
      </c>
      <c r="S9" s="1033">
        <v>8707000000</v>
      </c>
      <c r="T9" s="1099">
        <v>9107000000</v>
      </c>
      <c r="U9" s="1099">
        <v>13067000000</v>
      </c>
      <c r="V9" s="978">
        <v>15937000000</v>
      </c>
      <c r="W9" s="978">
        <v>19305000000</v>
      </c>
      <c r="X9" s="1103">
        <v>22536000000</v>
      </c>
    </row>
    <row r="10" spans="1:29" ht="15.75">
      <c r="A10" s="988" t="s">
        <v>2748</v>
      </c>
      <c r="B10" s="988" t="s">
        <v>2748</v>
      </c>
      <c r="C10" s="1027" t="s">
        <v>44</v>
      </c>
      <c r="D10" s="981"/>
      <c r="E10" s="981"/>
      <c r="O10" s="1048">
        <v>3500000000</v>
      </c>
      <c r="P10" s="1033">
        <v>4048000000</v>
      </c>
      <c r="Q10" s="1033">
        <v>4651000000</v>
      </c>
      <c r="R10" s="1033">
        <v>6278000000</v>
      </c>
      <c r="S10" s="1033">
        <v>9300000000</v>
      </c>
      <c r="T10" s="1099">
        <v>12432000000</v>
      </c>
      <c r="U10" s="1099">
        <v>13160000000</v>
      </c>
      <c r="V10" s="978">
        <v>15615000000</v>
      </c>
      <c r="W10" s="978">
        <v>17953000000</v>
      </c>
      <c r="X10" s="1103">
        <v>20400000000</v>
      </c>
    </row>
    <row r="11" spans="1:29" ht="15.75">
      <c r="A11" s="988" t="s">
        <v>2749</v>
      </c>
      <c r="B11" s="988" t="s">
        <v>2749</v>
      </c>
      <c r="C11" s="1027" t="s">
        <v>44</v>
      </c>
      <c r="D11" s="981"/>
      <c r="E11" s="981"/>
      <c r="O11" s="1048">
        <v>1516000000</v>
      </c>
      <c r="P11" s="1033">
        <v>1990000000</v>
      </c>
      <c r="Q11" s="1033">
        <v>2331000000</v>
      </c>
      <c r="R11" s="1033">
        <v>3091000000</v>
      </c>
      <c r="S11" s="1033">
        <v>3449000000</v>
      </c>
      <c r="T11" s="1099">
        <v>4390000000</v>
      </c>
      <c r="U11" s="1099">
        <v>5103000000</v>
      </c>
      <c r="V11" s="978">
        <v>6225000000</v>
      </c>
      <c r="W11" s="978">
        <v>7826000000</v>
      </c>
      <c r="X11" s="1103">
        <v>8724000000</v>
      </c>
    </row>
    <row r="12" spans="1:29" ht="15.75">
      <c r="A12" s="1349" t="s">
        <v>2750</v>
      </c>
      <c r="B12" s="1349" t="s">
        <v>2751</v>
      </c>
      <c r="C12" s="1350" t="s">
        <v>44</v>
      </c>
      <c r="D12" s="981"/>
      <c r="E12" s="981"/>
      <c r="O12" s="1048"/>
      <c r="P12" s="1033"/>
      <c r="Q12" s="1033"/>
      <c r="R12" s="1033">
        <v>218000000</v>
      </c>
      <c r="S12" s="1033">
        <v>289000000</v>
      </c>
      <c r="T12" s="1099">
        <v>280000000</v>
      </c>
      <c r="U12" s="1099">
        <v>440000000</v>
      </c>
      <c r="V12" s="978">
        <v>516000000</v>
      </c>
      <c r="W12" s="978">
        <v>599000000</v>
      </c>
      <c r="X12" s="1103">
        <v>685000000</v>
      </c>
    </row>
    <row r="13" spans="1:29" ht="15.75">
      <c r="A13" s="1351" t="s">
        <v>2752</v>
      </c>
      <c r="B13" s="981" t="s">
        <v>2752</v>
      </c>
      <c r="C13" s="1035" t="s">
        <v>41</v>
      </c>
      <c r="D13" s="981"/>
      <c r="E13" s="981"/>
      <c r="O13" s="1048">
        <v>79000000</v>
      </c>
      <c r="P13" s="1033">
        <v>138000000</v>
      </c>
      <c r="Q13" s="1033">
        <v>159000000</v>
      </c>
      <c r="R13" s="1033"/>
      <c r="S13" s="1033"/>
      <c r="T13" s="1099"/>
      <c r="U13" s="1099"/>
      <c r="V13" s="978"/>
      <c r="W13" s="978"/>
      <c r="X13" s="1103"/>
    </row>
    <row r="14" spans="1:29" ht="15.75">
      <c r="A14" s="981" t="s">
        <v>2753</v>
      </c>
      <c r="B14" s="981" t="s">
        <v>1716</v>
      </c>
      <c r="C14" s="1035" t="s">
        <v>41</v>
      </c>
      <c r="D14" s="981"/>
      <c r="E14" s="981"/>
      <c r="O14" s="1048">
        <v>1100000000</v>
      </c>
      <c r="P14" s="1033">
        <v>1062000000</v>
      </c>
      <c r="Q14" s="1033">
        <v>1749000000</v>
      </c>
      <c r="R14" s="1033">
        <v>1986000000</v>
      </c>
      <c r="S14" s="1033">
        <v>2391000000</v>
      </c>
      <c r="T14" s="1099">
        <v>1515000000</v>
      </c>
      <c r="U14" s="1099">
        <v>2477000000</v>
      </c>
      <c r="V14" s="978">
        <v>4271000000</v>
      </c>
      <c r="W14" s="978">
        <v>4126000000</v>
      </c>
      <c r="X14" s="1103">
        <v>4387000000</v>
      </c>
    </row>
    <row r="15" spans="1:29" ht="15.75">
      <c r="A15" s="981" t="s">
        <v>53</v>
      </c>
      <c r="B15" s="981" t="s">
        <v>53</v>
      </c>
      <c r="C15" s="1035" t="s">
        <v>38</v>
      </c>
      <c r="D15" s="981"/>
      <c r="E15" s="981"/>
      <c r="O15" s="1048">
        <v>1210000000</v>
      </c>
      <c r="P15" s="1033">
        <v>1160000000</v>
      </c>
      <c r="Q15" s="1033">
        <v>438000000</v>
      </c>
      <c r="R15" s="1033">
        <v>814000000</v>
      </c>
      <c r="S15" s="1033">
        <v>2689000000</v>
      </c>
      <c r="T15" s="1099">
        <v>1141000000</v>
      </c>
      <c r="U15" s="1099">
        <v>1535000000</v>
      </c>
      <c r="V15" s="978">
        <v>591000000</v>
      </c>
      <c r="W15" s="978">
        <v>670000000</v>
      </c>
      <c r="X15" s="1103">
        <v>182000000</v>
      </c>
    </row>
    <row r="16" spans="1:29" ht="18" customHeight="1">
      <c r="B16" s="981" t="s">
        <v>535</v>
      </c>
      <c r="D16" s="981"/>
      <c r="E16" s="981"/>
      <c r="O16" s="1048">
        <v>13829000000</v>
      </c>
      <c r="P16" s="1048">
        <v>22675000000</v>
      </c>
      <c r="Q16" s="1048">
        <v>25458000000</v>
      </c>
      <c r="R16" s="1048">
        <v>32277000000</v>
      </c>
      <c r="S16" s="1048">
        <v>35571000000</v>
      </c>
      <c r="T16" s="978"/>
      <c r="U16" s="978"/>
      <c r="V16" s="978"/>
      <c r="W16" s="978"/>
      <c r="X16" s="1103"/>
    </row>
    <row r="17" spans="1:29" s="848" customFormat="1" ht="15.75">
      <c r="A17" s="1108" t="s">
        <v>72</v>
      </c>
      <c r="B17" s="1012" t="s">
        <v>535</v>
      </c>
      <c r="C17" s="1096" t="s">
        <v>35</v>
      </c>
      <c r="D17" s="1012"/>
      <c r="E17" s="1012"/>
      <c r="F17" s="1208"/>
      <c r="G17" s="1208"/>
      <c r="H17" s="1208"/>
      <c r="I17" s="1208"/>
      <c r="J17" s="1208"/>
      <c r="K17" s="1208"/>
      <c r="L17" s="1208"/>
      <c r="M17" s="1208"/>
      <c r="N17" s="1208"/>
      <c r="O17" s="1054">
        <f>O16-O41</f>
        <v>13900000000</v>
      </c>
      <c r="P17" s="1054">
        <f t="shared" ref="P17:S17" si="4">P16-P41</f>
        <v>22003000000</v>
      </c>
      <c r="Q17" s="1054">
        <f t="shared" si="4"/>
        <v>25469000000</v>
      </c>
      <c r="R17" s="1054">
        <f t="shared" si="4"/>
        <v>32328000000</v>
      </c>
      <c r="S17" s="1054">
        <f t="shared" si="4"/>
        <v>36410000000</v>
      </c>
      <c r="T17" s="1016">
        <v>43679000000</v>
      </c>
      <c r="U17" s="1016">
        <v>46206000000</v>
      </c>
      <c r="V17" s="1016">
        <v>57765000000</v>
      </c>
      <c r="W17" s="1016">
        <v>62201000000</v>
      </c>
      <c r="X17" s="1109">
        <v>70333000000</v>
      </c>
      <c r="Y17" s="848">
        <f>T17/1000</f>
        <v>43679000</v>
      </c>
      <c r="Z17" s="848">
        <f t="shared" ref="Z17:AC17" si="5">U17/1000</f>
        <v>46206000</v>
      </c>
      <c r="AA17" s="848">
        <f t="shared" si="5"/>
        <v>57765000</v>
      </c>
      <c r="AB17" s="848">
        <f t="shared" si="5"/>
        <v>62201000</v>
      </c>
      <c r="AC17" s="848">
        <f t="shared" si="5"/>
        <v>70333000</v>
      </c>
    </row>
    <row r="18" spans="1:29" ht="15.75">
      <c r="A18" s="1040" t="s">
        <v>1969</v>
      </c>
      <c r="B18" s="981" t="s">
        <v>382</v>
      </c>
      <c r="C18" s="1035" t="s">
        <v>75</v>
      </c>
      <c r="D18" s="981"/>
      <c r="E18" s="981"/>
      <c r="O18" s="1048">
        <v>11601000000</v>
      </c>
      <c r="P18" s="1033">
        <v>18418000000</v>
      </c>
      <c r="Q18" s="1033">
        <v>21166000000</v>
      </c>
      <c r="R18" s="1033">
        <v>26232000000</v>
      </c>
      <c r="S18" s="1033">
        <v>29277000000</v>
      </c>
      <c r="T18" s="1099">
        <v>35528000000</v>
      </c>
      <c r="U18" s="1099">
        <v>39874000000</v>
      </c>
      <c r="V18" s="978">
        <v>51219000000</v>
      </c>
      <c r="W18" s="978">
        <v>54093000000</v>
      </c>
      <c r="X18" s="1103">
        <v>61358000000</v>
      </c>
      <c r="Y18" s="848">
        <f t="shared" ref="Y18:Y47" si="6">T18/1000</f>
        <v>35528000</v>
      </c>
      <c r="Z18" s="848">
        <f t="shared" ref="Z18:Z47" si="7">U18/1000</f>
        <v>39874000</v>
      </c>
      <c r="AA18" s="848">
        <f t="shared" ref="AA18:AA47" si="8">V18/1000</f>
        <v>51219000</v>
      </c>
      <c r="AB18" s="848">
        <f t="shared" ref="AB18:AB47" si="9">W18/1000</f>
        <v>54093000</v>
      </c>
      <c r="AC18" s="848">
        <f t="shared" ref="AC18:AC47" si="10">X18/1000</f>
        <v>61358000</v>
      </c>
    </row>
    <row r="19" spans="1:29" ht="15.75">
      <c r="A19" s="981" t="s">
        <v>1383</v>
      </c>
      <c r="B19" s="981" t="s">
        <v>1383</v>
      </c>
      <c r="C19" s="1035" t="s">
        <v>81</v>
      </c>
      <c r="D19" s="981"/>
      <c r="E19" s="981"/>
      <c r="O19" s="1048">
        <v>5649000000</v>
      </c>
      <c r="P19" s="1033">
        <v>9050000000</v>
      </c>
      <c r="Q19" s="1033">
        <v>10312000000</v>
      </c>
      <c r="R19" s="1033">
        <v>11034000000</v>
      </c>
      <c r="S19" s="1033">
        <v>12917000000</v>
      </c>
      <c r="T19" s="1099">
        <v>14623000000</v>
      </c>
      <c r="U19" s="1099">
        <v>16821000000</v>
      </c>
      <c r="V19" s="978">
        <v>19295000000</v>
      </c>
      <c r="W19" s="978">
        <v>21909000000</v>
      </c>
      <c r="X19" s="1103">
        <v>24956000000</v>
      </c>
      <c r="Y19" s="848">
        <f t="shared" si="6"/>
        <v>14623000</v>
      </c>
      <c r="Z19" s="848">
        <f t="shared" si="7"/>
        <v>16821000</v>
      </c>
      <c r="AA19" s="848">
        <f t="shared" si="8"/>
        <v>19295000</v>
      </c>
      <c r="AB19" s="848">
        <f t="shared" si="9"/>
        <v>21909000</v>
      </c>
      <c r="AC19" s="848">
        <f t="shared" si="10"/>
        <v>24956000</v>
      </c>
    </row>
    <row r="20" spans="1:29" ht="15.75">
      <c r="A20" s="988" t="s">
        <v>1432</v>
      </c>
      <c r="B20" s="988" t="s">
        <v>1432</v>
      </c>
      <c r="C20" s="981" t="s">
        <v>2754</v>
      </c>
      <c r="E20" s="981"/>
      <c r="O20" s="1048">
        <v>4535000000</v>
      </c>
      <c r="P20" s="1033">
        <v>6666000000</v>
      </c>
      <c r="Q20" s="1033">
        <v>8334000000</v>
      </c>
      <c r="R20" s="1033">
        <v>9449000000</v>
      </c>
      <c r="S20" s="1033">
        <v>10556000000</v>
      </c>
      <c r="T20" s="1099">
        <v>12171000000</v>
      </c>
      <c r="U20" s="1099">
        <v>14445000000</v>
      </c>
      <c r="V20" s="978">
        <v>16762000000</v>
      </c>
      <c r="W20" s="978">
        <v>18742000000</v>
      </c>
      <c r="X20" s="1103">
        <v>21348000000</v>
      </c>
      <c r="Y20" s="848">
        <f t="shared" si="6"/>
        <v>12171000</v>
      </c>
      <c r="Z20" s="848">
        <f t="shared" si="7"/>
        <v>14445000</v>
      </c>
      <c r="AA20" s="848">
        <f t="shared" si="8"/>
        <v>16762000</v>
      </c>
      <c r="AB20" s="848">
        <f t="shared" si="9"/>
        <v>18742000</v>
      </c>
      <c r="AC20" s="848">
        <f t="shared" si="10"/>
        <v>21348000</v>
      </c>
    </row>
    <row r="21" spans="1:29" ht="15.75">
      <c r="A21" s="988" t="s">
        <v>2755</v>
      </c>
      <c r="B21" s="988" t="s">
        <v>2755</v>
      </c>
      <c r="C21" s="981" t="s">
        <v>2754</v>
      </c>
      <c r="E21" s="981"/>
      <c r="O21" s="1048">
        <v>343000000</v>
      </c>
      <c r="P21" s="1033">
        <v>1872000000</v>
      </c>
      <c r="Q21" s="1033">
        <v>846000000</v>
      </c>
      <c r="R21" s="1033">
        <v>568000000</v>
      </c>
      <c r="S21" s="1033">
        <v>806000000</v>
      </c>
      <c r="T21" s="1099">
        <v>0</v>
      </c>
      <c r="U21" s="1099">
        <v>0</v>
      </c>
      <c r="V21" s="978">
        <v>0</v>
      </c>
      <c r="W21" s="978">
        <v>0</v>
      </c>
      <c r="X21" s="1103">
        <v>0</v>
      </c>
      <c r="Y21" s="848">
        <f t="shared" si="6"/>
        <v>0</v>
      </c>
      <c r="Z21" s="848">
        <f t="shared" si="7"/>
        <v>0</v>
      </c>
      <c r="AA21" s="848">
        <f t="shared" si="8"/>
        <v>0</v>
      </c>
      <c r="AB21" s="848">
        <f t="shared" si="9"/>
        <v>0</v>
      </c>
      <c r="AC21" s="848">
        <f t="shared" si="10"/>
        <v>0</v>
      </c>
    </row>
    <row r="22" spans="1:29" ht="15.75">
      <c r="A22" s="988" t="s">
        <v>2752</v>
      </c>
      <c r="B22" s="988" t="s">
        <v>2752</v>
      </c>
      <c r="C22" s="981" t="s">
        <v>2754</v>
      </c>
      <c r="E22" s="981"/>
      <c r="O22" s="1048">
        <v>771000000</v>
      </c>
      <c r="P22" s="1033">
        <v>512000000</v>
      </c>
      <c r="Q22" s="1033">
        <v>1132000000</v>
      </c>
      <c r="R22" s="1033">
        <v>1018000000</v>
      </c>
      <c r="S22" s="1033">
        <v>1555000000</v>
      </c>
      <c r="T22" s="1099">
        <v>2452000000</v>
      </c>
      <c r="U22" s="1099">
        <v>2376000000</v>
      </c>
      <c r="V22" s="978">
        <v>2533000000</v>
      </c>
      <c r="W22" s="978">
        <v>3167000000</v>
      </c>
      <c r="X22" s="1103">
        <v>3608000000</v>
      </c>
      <c r="Y22" s="848">
        <f t="shared" si="6"/>
        <v>2452000</v>
      </c>
      <c r="Z22" s="848">
        <f t="shared" si="7"/>
        <v>2376000</v>
      </c>
      <c r="AA22" s="848">
        <f t="shared" si="8"/>
        <v>2533000</v>
      </c>
      <c r="AB22" s="848">
        <f t="shared" si="9"/>
        <v>3167000</v>
      </c>
      <c r="AC22" s="848">
        <f t="shared" si="10"/>
        <v>3608000</v>
      </c>
    </row>
    <row r="23" spans="1:29" ht="15.75">
      <c r="A23" s="981" t="s">
        <v>1728</v>
      </c>
      <c r="B23" s="981" t="s">
        <v>1728</v>
      </c>
      <c r="C23" s="1035" t="s">
        <v>81</v>
      </c>
      <c r="D23" s="981"/>
      <c r="E23" s="981"/>
      <c r="O23" s="1048">
        <v>724000000</v>
      </c>
      <c r="P23" s="1033">
        <v>1322000000</v>
      </c>
      <c r="Q23" s="1033">
        <v>938000000</v>
      </c>
      <c r="R23" s="1033">
        <v>1777000000</v>
      </c>
      <c r="S23" s="1033">
        <v>1388000000</v>
      </c>
      <c r="T23" s="1099">
        <v>3587000000</v>
      </c>
      <c r="U23" s="1099">
        <v>2482000000</v>
      </c>
      <c r="V23" s="978">
        <v>3348000000</v>
      </c>
      <c r="W23" s="978">
        <v>4286000000</v>
      </c>
      <c r="X23" s="1103">
        <v>5207000000</v>
      </c>
      <c r="Y23" s="848">
        <f t="shared" si="6"/>
        <v>3587000</v>
      </c>
      <c r="Z23" s="848">
        <f t="shared" si="7"/>
        <v>2482000</v>
      </c>
      <c r="AA23" s="848">
        <f t="shared" si="8"/>
        <v>3348000</v>
      </c>
      <c r="AB23" s="848">
        <f t="shared" si="9"/>
        <v>4286000</v>
      </c>
      <c r="AC23" s="848">
        <f t="shared" si="10"/>
        <v>5207000</v>
      </c>
    </row>
    <row r="24" spans="1:29" ht="15.75">
      <c r="A24" s="981" t="s">
        <v>91</v>
      </c>
      <c r="B24" s="981" t="s">
        <v>91</v>
      </c>
      <c r="C24" s="1035" t="s">
        <v>81</v>
      </c>
      <c r="D24" s="981"/>
      <c r="E24" s="981"/>
      <c r="O24" s="1048">
        <v>1611000000</v>
      </c>
      <c r="P24" s="1033">
        <v>2436000000</v>
      </c>
      <c r="Q24" s="1033">
        <v>4397000000</v>
      </c>
      <c r="R24" s="1033">
        <v>7081000000</v>
      </c>
      <c r="S24" s="1033">
        <v>9075000000</v>
      </c>
      <c r="T24" s="1099">
        <v>11529000000</v>
      </c>
      <c r="U24" s="1099">
        <v>13572000000</v>
      </c>
      <c r="V24" s="978">
        <v>15713000000</v>
      </c>
      <c r="W24" s="978">
        <v>18477000000</v>
      </c>
      <c r="X24" s="1103">
        <v>20596000000</v>
      </c>
      <c r="Y24" s="848">
        <f t="shared" si="6"/>
        <v>11529000</v>
      </c>
      <c r="Z24" s="848">
        <f t="shared" si="7"/>
        <v>13572000</v>
      </c>
      <c r="AA24" s="848">
        <f t="shared" si="8"/>
        <v>15713000</v>
      </c>
      <c r="AB24" s="848">
        <f t="shared" si="9"/>
        <v>18477000</v>
      </c>
      <c r="AC24" s="848">
        <f t="shared" si="10"/>
        <v>20596000</v>
      </c>
    </row>
    <row r="25" spans="1:29" ht="15.75">
      <c r="A25" s="988" t="s">
        <v>209</v>
      </c>
      <c r="B25" s="988" t="s">
        <v>209</v>
      </c>
      <c r="C25" s="981" t="s">
        <v>1525</v>
      </c>
      <c r="E25" s="981"/>
      <c r="O25" s="1048">
        <v>1308000000</v>
      </c>
      <c r="P25" s="1033">
        <v>1880000000</v>
      </c>
      <c r="Q25" s="1033">
        <v>3788000000</v>
      </c>
      <c r="R25" s="1033">
        <v>6111000000</v>
      </c>
      <c r="S25" s="1033">
        <v>7313000000</v>
      </c>
      <c r="T25" s="1099">
        <v>9225000000</v>
      </c>
      <c r="U25" s="1099">
        <v>11039000000</v>
      </c>
      <c r="V25" s="978">
        <v>12507000000</v>
      </c>
      <c r="W25" s="978">
        <v>14468000000</v>
      </c>
      <c r="X25" s="1103">
        <v>16386000000</v>
      </c>
      <c r="Y25" s="848">
        <f t="shared" si="6"/>
        <v>9225000</v>
      </c>
      <c r="Z25" s="848">
        <f t="shared" si="7"/>
        <v>11039000</v>
      </c>
      <c r="AA25" s="848">
        <f t="shared" si="8"/>
        <v>12507000</v>
      </c>
      <c r="AB25" s="848">
        <f t="shared" si="9"/>
        <v>14468000</v>
      </c>
      <c r="AC25" s="848">
        <f t="shared" si="10"/>
        <v>16386000</v>
      </c>
    </row>
    <row r="26" spans="1:29" ht="15.75">
      <c r="A26" s="988" t="s">
        <v>212</v>
      </c>
      <c r="B26" s="988" t="s">
        <v>212</v>
      </c>
      <c r="C26" s="981" t="s">
        <v>1525</v>
      </c>
      <c r="E26" s="981"/>
      <c r="O26" s="1048">
        <v>303000000</v>
      </c>
      <c r="P26" s="1033">
        <v>556000000</v>
      </c>
      <c r="Q26" s="1033">
        <v>609000000</v>
      </c>
      <c r="R26" s="1033">
        <v>970000000</v>
      </c>
      <c r="S26" s="1033">
        <v>1762000000</v>
      </c>
      <c r="T26" s="1099">
        <v>2304000000</v>
      </c>
      <c r="U26" s="1099">
        <v>2533000000</v>
      </c>
      <c r="V26" s="978">
        <v>3206000000</v>
      </c>
      <c r="W26" s="978">
        <v>4009000000</v>
      </c>
      <c r="X26" s="1103">
        <v>4210000000</v>
      </c>
      <c r="Y26" s="848">
        <f t="shared" si="6"/>
        <v>2304000</v>
      </c>
      <c r="Z26" s="848">
        <f t="shared" si="7"/>
        <v>2533000</v>
      </c>
      <c r="AA26" s="848">
        <f t="shared" si="8"/>
        <v>3206000</v>
      </c>
      <c r="AB26" s="848">
        <f t="shared" si="9"/>
        <v>4009000</v>
      </c>
      <c r="AC26" s="848">
        <f t="shared" si="10"/>
        <v>4210000</v>
      </c>
    </row>
    <row r="27" spans="1:29" ht="15.75">
      <c r="A27" s="981" t="s">
        <v>215</v>
      </c>
      <c r="B27" s="981" t="s">
        <v>215</v>
      </c>
      <c r="C27" s="1035" t="s">
        <v>81</v>
      </c>
      <c r="E27" s="981"/>
      <c r="O27" s="1048">
        <v>0</v>
      </c>
      <c r="P27" s="1033">
        <v>809000000</v>
      </c>
      <c r="Q27" s="1033">
        <v>1158000000</v>
      </c>
      <c r="R27" s="1033">
        <v>474000000</v>
      </c>
      <c r="S27" s="1033">
        <v>25000000</v>
      </c>
      <c r="T27" s="1099">
        <v>0</v>
      </c>
      <c r="U27" s="1099">
        <v>0</v>
      </c>
      <c r="V27" s="978">
        <v>172000000</v>
      </c>
      <c r="W27" s="978">
        <v>200000000</v>
      </c>
      <c r="X27" s="1103">
        <v>229000000</v>
      </c>
      <c r="Y27" s="848">
        <f t="shared" si="6"/>
        <v>0</v>
      </c>
      <c r="Z27" s="848">
        <f t="shared" si="7"/>
        <v>0</v>
      </c>
      <c r="AA27" s="848">
        <f t="shared" si="8"/>
        <v>172000</v>
      </c>
      <c r="AB27" s="848">
        <f t="shared" si="9"/>
        <v>200000</v>
      </c>
      <c r="AC27" s="848">
        <f t="shared" si="10"/>
        <v>229000</v>
      </c>
    </row>
    <row r="28" spans="1:29" ht="15.75">
      <c r="A28" s="981" t="s">
        <v>2756</v>
      </c>
      <c r="B28" s="981" t="s">
        <v>2756</v>
      </c>
      <c r="C28" s="1035" t="s">
        <v>81</v>
      </c>
      <c r="E28" s="981"/>
      <c r="O28" s="1048">
        <v>0</v>
      </c>
      <c r="P28" s="1033">
        <v>0</v>
      </c>
      <c r="Q28" s="1033">
        <v>1000000</v>
      </c>
      <c r="R28" s="1033">
        <v>0</v>
      </c>
      <c r="S28" s="1033">
        <v>0</v>
      </c>
      <c r="T28" s="1099">
        <v>0</v>
      </c>
      <c r="U28" s="1099">
        <v>23000000</v>
      </c>
      <c r="V28" s="978">
        <v>257000000</v>
      </c>
      <c r="W28" s="978">
        <v>323000000</v>
      </c>
      <c r="X28" s="1103">
        <v>365000000</v>
      </c>
      <c r="Y28" s="848">
        <f t="shared" si="6"/>
        <v>0</v>
      </c>
      <c r="Z28" s="848">
        <f t="shared" si="7"/>
        <v>23000</v>
      </c>
      <c r="AA28" s="848">
        <f t="shared" si="8"/>
        <v>257000</v>
      </c>
      <c r="AB28" s="848">
        <f t="shared" si="9"/>
        <v>323000</v>
      </c>
      <c r="AC28" s="848">
        <f t="shared" si="10"/>
        <v>365000</v>
      </c>
    </row>
    <row r="29" spans="1:29" ht="15.75">
      <c r="A29" s="981" t="s">
        <v>2757</v>
      </c>
      <c r="B29" s="981" t="s">
        <v>2757</v>
      </c>
      <c r="C29" s="1035" t="s">
        <v>81</v>
      </c>
      <c r="E29" s="981"/>
      <c r="O29" s="1048">
        <v>1781000000</v>
      </c>
      <c r="P29" s="1033">
        <v>1974000000</v>
      </c>
      <c r="Q29" s="1033">
        <v>2032000000</v>
      </c>
      <c r="R29" s="1033">
        <v>2354000000</v>
      </c>
      <c r="S29" s="1033">
        <v>4267000000</v>
      </c>
      <c r="T29" s="1099">
        <v>5789000000</v>
      </c>
      <c r="U29" s="1099">
        <v>6976000000</v>
      </c>
      <c r="V29" s="978">
        <v>7934000000</v>
      </c>
      <c r="W29" s="978">
        <v>8898000000</v>
      </c>
      <c r="X29" s="1103">
        <v>10007000000</v>
      </c>
      <c r="Y29" s="848">
        <f t="shared" si="6"/>
        <v>5789000</v>
      </c>
      <c r="Z29" s="848">
        <f t="shared" si="7"/>
        <v>6976000</v>
      </c>
      <c r="AA29" s="848">
        <f t="shared" si="8"/>
        <v>7934000</v>
      </c>
      <c r="AB29" s="848">
        <f t="shared" si="9"/>
        <v>8898000</v>
      </c>
      <c r="AC29" s="848">
        <f t="shared" si="10"/>
        <v>10007000</v>
      </c>
    </row>
    <row r="30" spans="1:29" ht="15.75">
      <c r="A30" s="1488" t="s">
        <v>2758</v>
      </c>
      <c r="B30" s="1488" t="s">
        <v>2759</v>
      </c>
      <c r="C30" s="1350" t="s">
        <v>486</v>
      </c>
      <c r="E30" s="981"/>
      <c r="O30" s="1048"/>
      <c r="P30" s="1033"/>
      <c r="Q30" s="1033"/>
      <c r="R30" s="1033"/>
      <c r="S30" s="1033"/>
      <c r="T30" s="1099">
        <v>5321000000</v>
      </c>
      <c r="U30" s="1099">
        <v>4596000000</v>
      </c>
      <c r="V30" s="978">
        <v>6136000000</v>
      </c>
      <c r="W30" s="978">
        <v>6872000000</v>
      </c>
      <c r="X30" s="1103">
        <v>7839000000</v>
      </c>
      <c r="Y30" s="848">
        <f t="shared" si="6"/>
        <v>5321000</v>
      </c>
      <c r="Z30" s="848">
        <f t="shared" si="7"/>
        <v>4596000</v>
      </c>
      <c r="AA30" s="848">
        <f t="shared" si="8"/>
        <v>6136000</v>
      </c>
      <c r="AB30" s="848">
        <f t="shared" si="9"/>
        <v>6872000</v>
      </c>
      <c r="AC30" s="848">
        <f t="shared" si="10"/>
        <v>7839000</v>
      </c>
    </row>
    <row r="31" spans="1:29" ht="15.75">
      <c r="A31" s="1488" t="s">
        <v>2760</v>
      </c>
      <c r="B31" s="1488" t="s">
        <v>2761</v>
      </c>
      <c r="C31" s="1350" t="s">
        <v>486</v>
      </c>
      <c r="E31" s="981"/>
      <c r="O31" s="1048"/>
      <c r="P31" s="1033"/>
      <c r="Q31" s="1033"/>
      <c r="R31" s="1033"/>
      <c r="S31" s="1033"/>
      <c r="T31" s="1099">
        <v>265000000</v>
      </c>
      <c r="U31" s="1099">
        <v>930000000</v>
      </c>
      <c r="V31" s="978">
        <v>1002000000</v>
      </c>
      <c r="W31" s="978">
        <v>1378000000</v>
      </c>
      <c r="X31" s="1103">
        <v>1411000000</v>
      </c>
      <c r="Y31" s="848">
        <f t="shared" si="6"/>
        <v>265000</v>
      </c>
      <c r="Z31" s="848">
        <f t="shared" si="7"/>
        <v>930000</v>
      </c>
      <c r="AA31" s="848">
        <f t="shared" si="8"/>
        <v>1002000</v>
      </c>
      <c r="AB31" s="848">
        <f t="shared" si="9"/>
        <v>1378000</v>
      </c>
      <c r="AC31" s="848">
        <f t="shared" si="10"/>
        <v>1411000</v>
      </c>
    </row>
    <row r="32" spans="1:29" ht="15.75">
      <c r="A32" s="1488" t="s">
        <v>2762</v>
      </c>
      <c r="B32" s="1488" t="s">
        <v>2763</v>
      </c>
      <c r="C32" s="1350" t="s">
        <v>486</v>
      </c>
      <c r="E32" s="981"/>
      <c r="O32" s="1048"/>
      <c r="P32" s="1033"/>
      <c r="Q32" s="1033"/>
      <c r="R32" s="1033"/>
      <c r="S32" s="1033"/>
      <c r="T32" s="1099">
        <v>203000000</v>
      </c>
      <c r="U32" s="1099">
        <v>1450000000</v>
      </c>
      <c r="V32" s="978">
        <v>796000000</v>
      </c>
      <c r="W32" s="978">
        <v>649000000</v>
      </c>
      <c r="X32" s="1103">
        <v>757000000</v>
      </c>
      <c r="Y32" s="848">
        <f t="shared" si="6"/>
        <v>203000</v>
      </c>
      <c r="Z32" s="848">
        <f t="shared" si="7"/>
        <v>1450000</v>
      </c>
      <c r="AA32" s="848">
        <f t="shared" si="8"/>
        <v>796000</v>
      </c>
      <c r="AB32" s="848">
        <f t="shared" si="9"/>
        <v>649000</v>
      </c>
      <c r="AC32" s="848">
        <f t="shared" si="10"/>
        <v>757000</v>
      </c>
    </row>
    <row r="33" spans="1:29" ht="15.75">
      <c r="A33" s="981" t="s">
        <v>1734</v>
      </c>
      <c r="B33" s="981" t="s">
        <v>1734</v>
      </c>
      <c r="C33" s="1035" t="s">
        <v>81</v>
      </c>
      <c r="D33" s="981"/>
      <c r="E33" s="1079"/>
      <c r="O33" s="1048">
        <v>1836000000</v>
      </c>
      <c r="P33" s="1033">
        <v>2827000000</v>
      </c>
      <c r="Q33" s="1033">
        <v>2328000000</v>
      </c>
      <c r="R33" s="1033">
        <v>3513000000</v>
      </c>
      <c r="S33" s="1033">
        <v>1604000000</v>
      </c>
      <c r="T33" s="1099">
        <v>0</v>
      </c>
      <c r="U33" s="1099">
        <v>0</v>
      </c>
      <c r="V33" s="978">
        <v>4500000000</v>
      </c>
      <c r="W33" s="978">
        <v>0</v>
      </c>
      <c r="X33" s="1103">
        <v>0</v>
      </c>
      <c r="Y33" s="848">
        <f t="shared" si="6"/>
        <v>0</v>
      </c>
      <c r="Z33" s="848">
        <f t="shared" si="7"/>
        <v>0</v>
      </c>
      <c r="AA33" s="848">
        <f t="shared" si="8"/>
        <v>4500000</v>
      </c>
      <c r="AB33" s="848">
        <f t="shared" si="9"/>
        <v>0</v>
      </c>
      <c r="AC33" s="848">
        <f t="shared" si="10"/>
        <v>0</v>
      </c>
    </row>
    <row r="34" spans="1:29" ht="15.75">
      <c r="A34" s="988" t="s">
        <v>2764</v>
      </c>
      <c r="B34" s="988" t="s">
        <v>2764</v>
      </c>
      <c r="C34" s="981" t="s">
        <v>2765</v>
      </c>
      <c r="E34" s="981"/>
      <c r="O34" s="1048">
        <v>330000000</v>
      </c>
      <c r="P34" s="1048">
        <v>1072000000</v>
      </c>
      <c r="Q34" s="1048">
        <v>798000000</v>
      </c>
      <c r="R34" s="1048"/>
      <c r="S34" s="1048"/>
      <c r="T34" s="1076"/>
      <c r="U34" s="1076"/>
      <c r="V34" s="1124"/>
      <c r="W34" s="1124"/>
      <c r="X34" s="1124"/>
      <c r="Y34" s="848"/>
      <c r="Z34" s="848"/>
      <c r="AA34" s="848"/>
      <c r="AB34" s="848"/>
      <c r="AC34" s="848"/>
    </row>
    <row r="35" spans="1:29" ht="15.75">
      <c r="A35" s="988" t="s">
        <v>2766</v>
      </c>
      <c r="B35" s="988" t="s">
        <v>2766</v>
      </c>
      <c r="C35" s="981" t="s">
        <v>2765</v>
      </c>
      <c r="E35" s="981"/>
      <c r="O35" s="1036">
        <v>1505000000</v>
      </c>
      <c r="P35" s="1036">
        <v>1755000000</v>
      </c>
      <c r="Q35" s="1048">
        <v>798000000</v>
      </c>
      <c r="R35" s="1036"/>
      <c r="S35" s="1036"/>
      <c r="T35" s="1242"/>
      <c r="U35" s="1242"/>
      <c r="V35" s="1124"/>
      <c r="W35" s="1124"/>
      <c r="X35" s="1124"/>
      <c r="Y35" s="848"/>
      <c r="Z35" s="848"/>
      <c r="AA35" s="848"/>
      <c r="AB35" s="848"/>
      <c r="AC35" s="848"/>
    </row>
    <row r="36" spans="1:29" ht="15.75">
      <c r="A36" s="988" t="s">
        <v>50</v>
      </c>
      <c r="B36" s="988" t="s">
        <v>50</v>
      </c>
      <c r="C36" s="981" t="s">
        <v>2765</v>
      </c>
      <c r="E36" s="981"/>
      <c r="O36" s="1036"/>
      <c r="P36" s="1036"/>
      <c r="Q36" s="1048">
        <f>Q33-Q34-Q35</f>
        <v>732000000</v>
      </c>
      <c r="R36" s="1048"/>
      <c r="S36" s="1036"/>
      <c r="T36" s="1242"/>
      <c r="U36" s="1242"/>
      <c r="V36" s="1124"/>
      <c r="W36" s="1124"/>
      <c r="X36" s="1124"/>
      <c r="Y36" s="848"/>
      <c r="Z36" s="848"/>
      <c r="AA36" s="848"/>
      <c r="AB36" s="848"/>
      <c r="AC36" s="848"/>
    </row>
    <row r="37" spans="1:29" ht="15.75">
      <c r="A37" s="981" t="s">
        <v>237</v>
      </c>
      <c r="B37" s="981" t="s">
        <v>1392</v>
      </c>
      <c r="C37" s="1035" t="s">
        <v>75</v>
      </c>
      <c r="D37" s="981"/>
      <c r="E37" s="981"/>
      <c r="O37" s="1048">
        <v>2299000000</v>
      </c>
      <c r="P37" s="1048">
        <v>3584000000</v>
      </c>
      <c r="Q37" s="1048">
        <v>4303000000</v>
      </c>
      <c r="R37" s="1048">
        <v>6096000000</v>
      </c>
      <c r="S37" s="1048">
        <v>7134000000</v>
      </c>
      <c r="T37" s="1076">
        <v>8150000000</v>
      </c>
      <c r="U37" s="1076">
        <v>6331000000</v>
      </c>
      <c r="V37" s="1124">
        <v>6546000000</v>
      </c>
      <c r="W37" s="1124">
        <v>8108000000</v>
      </c>
      <c r="X37" s="1124">
        <v>8975000000</v>
      </c>
      <c r="Y37" s="848">
        <f t="shared" si="6"/>
        <v>8150000</v>
      </c>
      <c r="Z37" s="848">
        <f t="shared" si="7"/>
        <v>6331000</v>
      </c>
      <c r="AA37" s="848">
        <f t="shared" si="8"/>
        <v>6546000</v>
      </c>
      <c r="AB37" s="848">
        <f t="shared" si="9"/>
        <v>8108000</v>
      </c>
      <c r="AC37" s="848">
        <f t="shared" si="10"/>
        <v>8975000</v>
      </c>
    </row>
    <row r="38" spans="1:29" ht="15.75">
      <c r="A38" s="1041" t="s">
        <v>2767</v>
      </c>
      <c r="B38" s="981" t="s">
        <v>2768</v>
      </c>
      <c r="C38" s="1035" t="s">
        <v>95</v>
      </c>
      <c r="D38" s="981"/>
      <c r="E38" s="981"/>
      <c r="O38" s="1048">
        <v>559000000</v>
      </c>
      <c r="P38" s="1048">
        <v>1050000000</v>
      </c>
      <c r="Q38" s="1048">
        <v>1646000000</v>
      </c>
      <c r="R38" s="1048">
        <v>1265000000</v>
      </c>
      <c r="S38" s="1048">
        <v>1215000000</v>
      </c>
      <c r="T38" s="1076">
        <v>2521000000</v>
      </c>
      <c r="U38" s="1076">
        <v>1021000000</v>
      </c>
      <c r="V38" s="1124">
        <v>2964000000</v>
      </c>
      <c r="W38" s="1124">
        <v>3273000000</v>
      </c>
      <c r="X38" s="1124">
        <v>5258000000</v>
      </c>
      <c r="Y38" s="848">
        <f t="shared" si="6"/>
        <v>2521000</v>
      </c>
      <c r="Z38" s="848">
        <f t="shared" si="7"/>
        <v>1021000</v>
      </c>
      <c r="AA38" s="848">
        <f t="shared" si="8"/>
        <v>2964000</v>
      </c>
      <c r="AB38" s="848">
        <f t="shared" si="9"/>
        <v>3273000</v>
      </c>
      <c r="AC38" s="848">
        <f t="shared" si="10"/>
        <v>5258000</v>
      </c>
    </row>
    <row r="39" spans="1:29" ht="15.75">
      <c r="A39" s="1352" t="s">
        <v>2769</v>
      </c>
      <c r="B39" s="981" t="s">
        <v>2770</v>
      </c>
      <c r="C39" s="1035" t="s">
        <v>95</v>
      </c>
      <c r="D39" s="981"/>
      <c r="E39" s="981"/>
      <c r="O39" s="1048">
        <v>1741000000</v>
      </c>
      <c r="P39" s="1048">
        <v>2535000000</v>
      </c>
      <c r="Q39" s="1048">
        <v>2657000000</v>
      </c>
      <c r="R39" s="1048">
        <v>4830000000</v>
      </c>
      <c r="S39" s="1048">
        <v>5919000000</v>
      </c>
      <c r="T39" s="1076">
        <v>5630000000</v>
      </c>
      <c r="U39" s="1076">
        <v>5310000000</v>
      </c>
      <c r="V39" s="1124">
        <v>3583000000</v>
      </c>
      <c r="W39" s="1124">
        <v>4835000000</v>
      </c>
      <c r="X39" s="1124">
        <v>3717000000</v>
      </c>
      <c r="Y39" s="848">
        <f t="shared" si="6"/>
        <v>5630000</v>
      </c>
      <c r="Z39" s="848">
        <f t="shared" si="7"/>
        <v>5310000</v>
      </c>
      <c r="AA39" s="848">
        <f t="shared" si="8"/>
        <v>3583000</v>
      </c>
      <c r="AB39" s="848">
        <f t="shared" si="9"/>
        <v>4835000</v>
      </c>
      <c r="AC39" s="848">
        <f t="shared" si="10"/>
        <v>3717000</v>
      </c>
    </row>
    <row r="40" spans="1:29" ht="15.75">
      <c r="B40" s="1352" t="s">
        <v>2771</v>
      </c>
      <c r="C40" s="1035"/>
      <c r="D40" s="981"/>
      <c r="E40" s="981"/>
      <c r="O40" s="1048"/>
      <c r="P40" s="1048"/>
      <c r="Q40" s="1048"/>
      <c r="R40" s="1048">
        <v>-11454000000</v>
      </c>
      <c r="S40" s="1048">
        <v>-9586000000</v>
      </c>
      <c r="T40" s="1076">
        <v>-14813000000</v>
      </c>
      <c r="U40" s="1076">
        <v>-10423000000</v>
      </c>
      <c r="V40" s="1124">
        <v>-10110000000</v>
      </c>
      <c r="W40" s="1124">
        <v>-11722000000</v>
      </c>
      <c r="X40" s="1124">
        <v>-13418000000</v>
      </c>
      <c r="Y40" s="848">
        <f t="shared" si="6"/>
        <v>-14813000</v>
      </c>
      <c r="Z40" s="848">
        <f t="shared" si="7"/>
        <v>-10423000</v>
      </c>
      <c r="AA40" s="848">
        <f t="shared" si="8"/>
        <v>-10110000</v>
      </c>
      <c r="AB40" s="848">
        <f t="shared" si="9"/>
        <v>-11722000</v>
      </c>
      <c r="AC40" s="848">
        <f t="shared" si="10"/>
        <v>-13418000</v>
      </c>
    </row>
    <row r="41" spans="1:29" ht="15.75">
      <c r="B41" s="981" t="s">
        <v>1560</v>
      </c>
      <c r="D41" s="981"/>
      <c r="E41" s="981"/>
      <c r="O41" s="1048">
        <v>-71000000</v>
      </c>
      <c r="P41" s="1048">
        <v>672000000</v>
      </c>
      <c r="Q41" s="1048">
        <v>-11000000</v>
      </c>
      <c r="R41" s="1048">
        <v>-51000000</v>
      </c>
      <c r="S41" s="1048">
        <v>-839000000</v>
      </c>
      <c r="T41" s="1076">
        <v>-1807000000</v>
      </c>
      <c r="U41" s="1076">
        <v>-55000000</v>
      </c>
      <c r="V41" s="1124">
        <v>0</v>
      </c>
      <c r="W41" s="1124">
        <v>0</v>
      </c>
      <c r="X41" s="1124">
        <v>0</v>
      </c>
      <c r="Y41" s="848">
        <f t="shared" si="6"/>
        <v>-1807000</v>
      </c>
      <c r="Z41" s="848">
        <f t="shared" si="7"/>
        <v>-55000</v>
      </c>
      <c r="AA41" s="848">
        <f t="shared" si="8"/>
        <v>0</v>
      </c>
      <c r="AB41" s="848">
        <f t="shared" si="9"/>
        <v>0</v>
      </c>
      <c r="AC41" s="848">
        <f t="shared" si="10"/>
        <v>0</v>
      </c>
    </row>
    <row r="42" spans="1:29" ht="15.75">
      <c r="B42" s="981" t="s">
        <v>2772</v>
      </c>
      <c r="C42" s="981"/>
      <c r="D42" s="981"/>
      <c r="E42" s="981"/>
      <c r="O42" s="1048">
        <v>-2388000000</v>
      </c>
      <c r="P42" s="1048">
        <v>-8740000000</v>
      </c>
      <c r="Q42" s="1048">
        <v>-9828000000</v>
      </c>
      <c r="R42" s="1048">
        <v>-11403000000</v>
      </c>
      <c r="S42" s="1048">
        <v>-8747000000</v>
      </c>
      <c r="T42" s="1076">
        <v>-14813000000</v>
      </c>
      <c r="U42" s="1076">
        <v>-10423000000</v>
      </c>
      <c r="V42" s="1124">
        <v>-14610000000</v>
      </c>
      <c r="W42" s="1076">
        <v>-11722000000</v>
      </c>
      <c r="X42" s="1124">
        <v>-13418000000</v>
      </c>
      <c r="Y42" s="848">
        <f t="shared" si="6"/>
        <v>-14813000</v>
      </c>
      <c r="Z42" s="848">
        <f t="shared" si="7"/>
        <v>-10423000</v>
      </c>
      <c r="AA42" s="848">
        <f t="shared" si="8"/>
        <v>-14610000</v>
      </c>
      <c r="AB42" s="848">
        <f t="shared" si="9"/>
        <v>-11722000</v>
      </c>
      <c r="AC42" s="848">
        <f t="shared" si="10"/>
        <v>-13418000</v>
      </c>
    </row>
    <row r="43" spans="1:29" s="848" customFormat="1" ht="15.75">
      <c r="A43" s="1108" t="s">
        <v>115</v>
      </c>
      <c r="B43" s="1012" t="s">
        <v>2773</v>
      </c>
      <c r="C43" s="1096" t="s">
        <v>35</v>
      </c>
      <c r="D43" s="1012"/>
      <c r="E43" s="1012"/>
      <c r="F43" s="1208"/>
      <c r="G43" s="1208"/>
      <c r="H43" s="1208"/>
      <c r="I43" s="1208"/>
      <c r="J43" s="1208"/>
      <c r="K43" s="1208"/>
      <c r="L43" s="1208"/>
      <c r="M43" s="1208"/>
      <c r="N43" s="1353"/>
      <c r="O43" s="1054">
        <v>2388000000</v>
      </c>
      <c r="P43" s="1113">
        <v>8740000000</v>
      </c>
      <c r="Q43" s="1113">
        <v>9828000000</v>
      </c>
      <c r="R43" s="1113">
        <v>11403000000</v>
      </c>
      <c r="S43" s="1113">
        <v>8747000000</v>
      </c>
      <c r="T43" s="1239">
        <v>13007000000</v>
      </c>
      <c r="U43" s="1239">
        <v>10368000000</v>
      </c>
      <c r="V43" s="1240">
        <v>14610000000</v>
      </c>
      <c r="W43" s="1240">
        <v>11722000000</v>
      </c>
      <c r="X43" s="1240">
        <v>13418000000</v>
      </c>
      <c r="Y43" s="848">
        <f t="shared" si="6"/>
        <v>13007000</v>
      </c>
      <c r="Z43" s="848">
        <f t="shared" si="7"/>
        <v>10368000</v>
      </c>
      <c r="AA43" s="848">
        <f t="shared" si="8"/>
        <v>14610000</v>
      </c>
      <c r="AB43" s="848">
        <f t="shared" si="9"/>
        <v>11722000</v>
      </c>
      <c r="AC43" s="848">
        <f t="shared" si="10"/>
        <v>13418000</v>
      </c>
    </row>
    <row r="44" spans="1:29" ht="15.75">
      <c r="A44" s="1364" t="s">
        <v>120</v>
      </c>
      <c r="B44" s="1235" t="s">
        <v>2774</v>
      </c>
      <c r="C44" s="1231" t="s">
        <v>119</v>
      </c>
      <c r="D44" s="981"/>
      <c r="E44" s="981"/>
      <c r="O44" s="1048">
        <f>O45+O47</f>
        <v>2116000000</v>
      </c>
      <c r="P44" s="1048">
        <f t="shared" ref="P44:S44" si="11">(-P45)+P47</f>
        <v>6967000000</v>
      </c>
      <c r="Q44" s="1048">
        <f t="shared" si="11"/>
        <v>6616000000</v>
      </c>
      <c r="R44" s="1048">
        <f t="shared" si="11"/>
        <v>5529000000</v>
      </c>
      <c r="S44" s="1048">
        <f t="shared" si="11"/>
        <v>2869000000</v>
      </c>
      <c r="T44" s="1048"/>
      <c r="U44" s="1048"/>
      <c r="V44" s="1048"/>
      <c r="W44" s="1048"/>
      <c r="X44" s="1048"/>
      <c r="Y44" s="848"/>
      <c r="Z44" s="848"/>
      <c r="AA44" s="848"/>
      <c r="AB44" s="848"/>
      <c r="AC44" s="848"/>
    </row>
    <row r="45" spans="1:29" ht="15.75">
      <c r="B45" s="981" t="s">
        <v>1405</v>
      </c>
      <c r="D45" s="981"/>
      <c r="E45" s="981"/>
      <c r="O45" s="1048">
        <v>-1273000000</v>
      </c>
      <c r="P45" s="1033">
        <v>-781000000</v>
      </c>
      <c r="Q45" s="1033">
        <v>-385000000</v>
      </c>
      <c r="R45" s="1033">
        <v>3299000000</v>
      </c>
      <c r="S45" s="1033">
        <v>-445000000</v>
      </c>
      <c r="T45" s="1241">
        <v>3491000000</v>
      </c>
      <c r="U45" s="1241">
        <v>7137000000</v>
      </c>
      <c r="V45" s="1124">
        <v>674000000</v>
      </c>
      <c r="W45" s="1124">
        <v>443000000</v>
      </c>
      <c r="X45" s="1124">
        <v>446000000</v>
      </c>
      <c r="Y45" s="848">
        <f t="shared" si="6"/>
        <v>3491000</v>
      </c>
      <c r="Z45" s="848">
        <f t="shared" si="7"/>
        <v>7137000</v>
      </c>
      <c r="AA45" s="848">
        <f t="shared" si="8"/>
        <v>674000</v>
      </c>
      <c r="AB45" s="848">
        <f t="shared" si="9"/>
        <v>443000</v>
      </c>
      <c r="AC45" s="848">
        <f t="shared" si="10"/>
        <v>446000</v>
      </c>
    </row>
    <row r="46" spans="1:29" ht="15.75">
      <c r="B46" s="981" t="s">
        <v>1758</v>
      </c>
      <c r="D46" s="981"/>
      <c r="E46" s="981"/>
      <c r="O46" s="1048">
        <v>3661000000</v>
      </c>
      <c r="P46" s="1033">
        <v>7959000000</v>
      </c>
      <c r="Q46" s="1033">
        <v>9443000000</v>
      </c>
      <c r="R46" s="1033">
        <v>14702000000</v>
      </c>
      <c r="S46" s="1033">
        <v>8302000000</v>
      </c>
      <c r="T46" s="1241">
        <v>16498000000</v>
      </c>
      <c r="U46" s="1241">
        <v>17505000000</v>
      </c>
      <c r="V46" s="1124">
        <v>15284000000</v>
      </c>
      <c r="W46" s="1124">
        <v>12165000000</v>
      </c>
      <c r="X46" s="1124">
        <v>13864000000</v>
      </c>
      <c r="Y46" s="848">
        <f t="shared" si="6"/>
        <v>16498000</v>
      </c>
      <c r="Z46" s="848">
        <f t="shared" si="7"/>
        <v>17505000</v>
      </c>
      <c r="AA46" s="848">
        <f t="shared" si="8"/>
        <v>15284000</v>
      </c>
      <c r="AB46" s="848">
        <f t="shared" si="9"/>
        <v>12165000</v>
      </c>
      <c r="AC46" s="848">
        <f t="shared" si="10"/>
        <v>13864000</v>
      </c>
    </row>
    <row r="47" spans="1:29" ht="15.75">
      <c r="B47" s="981" t="s">
        <v>209</v>
      </c>
      <c r="D47" s="981"/>
      <c r="E47" s="981"/>
      <c r="O47" s="1048">
        <v>3389000000</v>
      </c>
      <c r="P47" s="1033">
        <v>6186000000</v>
      </c>
      <c r="Q47" s="1033">
        <v>6231000000</v>
      </c>
      <c r="R47" s="1033">
        <v>8828000000</v>
      </c>
      <c r="S47" s="1033">
        <v>2424000000</v>
      </c>
      <c r="T47" s="1241">
        <v>13538000000</v>
      </c>
      <c r="U47" s="1241">
        <v>17138000000</v>
      </c>
      <c r="V47" s="1124">
        <v>12159000000</v>
      </c>
      <c r="W47" s="1124">
        <v>11867000000</v>
      </c>
      <c r="X47" s="1124">
        <v>14995000000</v>
      </c>
      <c r="Y47" s="848">
        <f t="shared" si="6"/>
        <v>13538000</v>
      </c>
      <c r="Z47" s="848">
        <f t="shared" si="7"/>
        <v>17138000</v>
      </c>
      <c r="AA47" s="848">
        <f t="shared" si="8"/>
        <v>12159000</v>
      </c>
      <c r="AB47" s="848">
        <f t="shared" si="9"/>
        <v>11867000</v>
      </c>
      <c r="AC47" s="848">
        <f t="shared" si="10"/>
        <v>14995000</v>
      </c>
    </row>
    <row r="48" spans="1:29" ht="15.75">
      <c r="A48" s="1364" t="s">
        <v>117</v>
      </c>
      <c r="B48" s="1235" t="s">
        <v>2775</v>
      </c>
      <c r="C48" s="1231" t="s">
        <v>119</v>
      </c>
      <c r="D48" s="981"/>
      <c r="E48" s="981"/>
      <c r="O48" s="1048">
        <f>O55</f>
        <v>272000000</v>
      </c>
      <c r="P48" s="1048">
        <f t="shared" ref="P48:S48" si="12">P55</f>
        <v>1773000000</v>
      </c>
      <c r="Q48" s="1048">
        <f t="shared" si="12"/>
        <v>3212000000</v>
      </c>
      <c r="R48" s="1048">
        <f t="shared" si="12"/>
        <v>5874000000</v>
      </c>
      <c r="S48" s="1048">
        <f t="shared" si="12"/>
        <v>5878000000</v>
      </c>
      <c r="T48" s="1048"/>
      <c r="U48" s="1048"/>
      <c r="V48" s="1048"/>
      <c r="W48" s="1048"/>
      <c r="X48" s="1048"/>
      <c r="Y48" s="848"/>
      <c r="Z48" s="848"/>
      <c r="AA48" s="848"/>
      <c r="AB48" s="848"/>
      <c r="AC48" s="848"/>
    </row>
    <row r="49" spans="1:29" ht="15.75">
      <c r="B49" s="981" t="s">
        <v>2776</v>
      </c>
      <c r="C49" s="981"/>
      <c r="E49" s="981"/>
      <c r="O49" s="1048">
        <v>3561000000</v>
      </c>
      <c r="P49" s="1033">
        <v>6694000000</v>
      </c>
      <c r="Q49" s="1033">
        <v>8131000000</v>
      </c>
      <c r="R49" s="1033">
        <v>8828000000</v>
      </c>
      <c r="S49" s="1033">
        <v>2424000000</v>
      </c>
      <c r="T49" s="1241"/>
      <c r="U49" s="1241"/>
      <c r="V49" s="1124"/>
      <c r="W49" s="1124"/>
      <c r="X49" s="1243"/>
      <c r="Y49" s="848"/>
      <c r="Z49" s="848"/>
      <c r="AA49" s="848"/>
      <c r="AB49" s="848"/>
      <c r="AC49" s="848"/>
    </row>
    <row r="50" spans="1:29" ht="15.75">
      <c r="B50" s="981" t="s">
        <v>2777</v>
      </c>
      <c r="C50" s="979"/>
      <c r="E50" s="981"/>
      <c r="O50" s="1048">
        <v>1169000000</v>
      </c>
      <c r="P50" s="1033">
        <v>1067000000</v>
      </c>
      <c r="Q50" s="1033">
        <v>2510000000</v>
      </c>
      <c r="R50" s="1033">
        <v>4299000000</v>
      </c>
      <c r="S50" s="1033">
        <v>-1821000000</v>
      </c>
      <c r="T50" s="1241"/>
      <c r="U50" s="1241"/>
      <c r="V50" s="1124"/>
      <c r="W50" s="1124"/>
      <c r="X50" s="1124"/>
    </row>
    <row r="51" spans="1:29" ht="15.75">
      <c r="B51" s="981" t="s">
        <v>2778</v>
      </c>
      <c r="C51" s="981"/>
      <c r="E51" s="981"/>
      <c r="O51" s="1048">
        <v>547000000</v>
      </c>
      <c r="P51" s="1033">
        <v>909000000</v>
      </c>
      <c r="Q51" s="1033">
        <v>2476000000</v>
      </c>
      <c r="R51" s="1033">
        <v>1404000000</v>
      </c>
      <c r="S51" s="1033">
        <v>692000000</v>
      </c>
      <c r="T51" s="1241"/>
      <c r="U51" s="1241"/>
      <c r="V51" s="1124"/>
      <c r="W51" s="1124"/>
      <c r="X51" s="1124"/>
    </row>
    <row r="52" spans="1:29" ht="15.75">
      <c r="B52" s="981" t="s">
        <v>597</v>
      </c>
      <c r="C52" s="981"/>
      <c r="E52" s="981"/>
      <c r="O52" s="1048">
        <v>1845000000</v>
      </c>
      <c r="P52" s="1033">
        <v>4718000000</v>
      </c>
      <c r="Q52" s="1033">
        <v>3144000000</v>
      </c>
      <c r="R52" s="1033">
        <v>3125000000</v>
      </c>
      <c r="S52" s="1033">
        <v>3553000000</v>
      </c>
      <c r="T52" s="1241"/>
      <c r="U52" s="1241"/>
      <c r="V52" s="1124"/>
      <c r="W52" s="1124"/>
      <c r="X52" s="1124"/>
    </row>
    <row r="53" spans="1:29" ht="15.75">
      <c r="B53" s="981" t="s">
        <v>2779</v>
      </c>
      <c r="C53" s="981"/>
      <c r="E53" s="981"/>
      <c r="O53" s="1048">
        <v>0</v>
      </c>
      <c r="P53" s="1033">
        <v>-508000000</v>
      </c>
      <c r="Q53" s="1033">
        <v>-1900000000</v>
      </c>
      <c r="R53" s="1033"/>
      <c r="S53" s="1033"/>
      <c r="T53" s="1241"/>
      <c r="U53" s="1241"/>
      <c r="V53" s="1124"/>
      <c r="W53" s="1068"/>
      <c r="X53" s="1124"/>
    </row>
    <row r="54" spans="1:29" ht="15.75">
      <c r="B54" s="981" t="s">
        <v>444</v>
      </c>
      <c r="C54" s="1034"/>
      <c r="E54" s="981"/>
      <c r="O54" s="1048">
        <v>-172000000</v>
      </c>
      <c r="P54" s="1048">
        <v>-508000000</v>
      </c>
      <c r="Q54" s="1048">
        <v>-1900000000</v>
      </c>
      <c r="R54" s="1048"/>
      <c r="S54" s="1048"/>
      <c r="T54" s="1076"/>
      <c r="U54" s="1076"/>
      <c r="V54" s="1124"/>
      <c r="W54" s="1124"/>
      <c r="X54" s="1124"/>
    </row>
    <row r="55" spans="1:29" ht="15.75">
      <c r="B55" s="981" t="s">
        <v>212</v>
      </c>
      <c r="D55" s="981"/>
      <c r="E55" s="981"/>
      <c r="O55" s="1048">
        <v>272000000</v>
      </c>
      <c r="P55" s="1048">
        <v>1773000000</v>
      </c>
      <c r="Q55" s="1048">
        <v>3212000000</v>
      </c>
      <c r="R55" s="1048">
        <v>5874000000</v>
      </c>
      <c r="S55" s="1048">
        <v>5878000000</v>
      </c>
      <c r="T55" s="1076">
        <v>2960000000000</v>
      </c>
      <c r="U55" s="1076">
        <v>367000000000</v>
      </c>
      <c r="V55" s="1124">
        <v>3125000000000</v>
      </c>
      <c r="W55" s="1124">
        <v>298000000000</v>
      </c>
      <c r="X55" s="1124">
        <v>-1131000000000</v>
      </c>
    </row>
    <row r="56" spans="1:29" ht="15.75">
      <c r="A56" s="981" t="s">
        <v>444</v>
      </c>
      <c r="B56" s="981" t="s">
        <v>444</v>
      </c>
      <c r="C56" s="1034" t="s">
        <v>264</v>
      </c>
      <c r="E56" s="981"/>
      <c r="O56" s="1048">
        <v>856000000</v>
      </c>
      <c r="P56" s="1048">
        <v>2397000000</v>
      </c>
      <c r="Q56" s="1048">
        <v>4033000000</v>
      </c>
      <c r="R56" s="1048">
        <v>7205000000</v>
      </c>
      <c r="S56" s="1048">
        <v>8612000000</v>
      </c>
      <c r="T56" s="1076">
        <v>7564000000000</v>
      </c>
      <c r="U56" s="1076">
        <v>5280000000000</v>
      </c>
      <c r="V56" s="1124">
        <v>16073000000000</v>
      </c>
      <c r="W56" s="1124">
        <v>5392000000000</v>
      </c>
      <c r="X56" s="1124">
        <v>3975000000000</v>
      </c>
    </row>
    <row r="57" spans="1:29" ht="15.75">
      <c r="A57" s="981" t="s">
        <v>258</v>
      </c>
      <c r="B57" s="981" t="s">
        <v>258</v>
      </c>
      <c r="C57" s="1034" t="s">
        <v>264</v>
      </c>
      <c r="E57" s="981"/>
      <c r="O57" s="1048">
        <v>-584000000</v>
      </c>
      <c r="P57" s="1048">
        <v>-624000000</v>
      </c>
      <c r="Q57" s="1048">
        <v>-821000000</v>
      </c>
      <c r="R57" s="1048">
        <v>-1331000000</v>
      </c>
      <c r="S57" s="1048">
        <v>-2734000000</v>
      </c>
      <c r="T57" s="1076">
        <v>-4604000000000</v>
      </c>
      <c r="U57" s="1076">
        <v>-4913000000000</v>
      </c>
      <c r="V57" s="1124">
        <v>-12948000000000</v>
      </c>
      <c r="W57" s="1124">
        <v>-5094000000000</v>
      </c>
      <c r="X57" s="1124">
        <v>-5106000000000</v>
      </c>
    </row>
    <row r="58" spans="1:29" ht="15.75">
      <c r="A58" s="981" t="s">
        <v>2780</v>
      </c>
      <c r="B58" s="981" t="s">
        <v>2780</v>
      </c>
      <c r="C58" s="1034" t="s">
        <v>264</v>
      </c>
      <c r="E58" s="981"/>
      <c r="O58" s="1048">
        <v>0</v>
      </c>
      <c r="P58" s="1048">
        <v>0</v>
      </c>
      <c r="Q58" s="1048"/>
      <c r="R58" s="1354"/>
      <c r="S58" s="1354"/>
      <c r="T58" s="1076"/>
      <c r="U58" s="1076"/>
      <c r="V58" s="1076"/>
      <c r="W58" s="1124"/>
      <c r="X58" s="1124"/>
    </row>
    <row r="59" spans="1:29" ht="15.75">
      <c r="A59" s="981"/>
      <c r="B59" s="1488" t="s">
        <v>2781</v>
      </c>
      <c r="C59" s="1034"/>
      <c r="E59" s="981"/>
      <c r="O59" s="1048"/>
      <c r="P59" s="1048"/>
      <c r="Q59" s="1048"/>
      <c r="R59" s="1354"/>
      <c r="S59" s="1354"/>
      <c r="T59" s="1076">
        <v>3378000000000</v>
      </c>
      <c r="U59" s="1076">
        <v>2207000000000</v>
      </c>
      <c r="V59" s="1076">
        <v>35000000000</v>
      </c>
      <c r="W59" s="1124">
        <v>0</v>
      </c>
      <c r="X59" s="1124">
        <v>0</v>
      </c>
    </row>
    <row r="60" spans="1:29" ht="15.75">
      <c r="A60" s="981"/>
      <c r="B60" s="1488" t="s">
        <v>2782</v>
      </c>
      <c r="C60" s="1034"/>
      <c r="E60" s="981"/>
      <c r="O60" s="1048"/>
      <c r="P60" s="1048"/>
      <c r="Q60" s="1048"/>
      <c r="R60" s="1354"/>
      <c r="S60" s="1354"/>
      <c r="T60" s="1076">
        <v>113000000000</v>
      </c>
      <c r="U60" s="1076">
        <v>231000000000</v>
      </c>
      <c r="V60" s="1076">
        <v>-662000000000</v>
      </c>
      <c r="W60" s="1124">
        <v>443000000000</v>
      </c>
      <c r="X60" s="1124">
        <v>446000000000</v>
      </c>
    </row>
    <row r="61" spans="1:29" ht="15.75">
      <c r="A61" s="981"/>
      <c r="B61" s="1488" t="s">
        <v>444</v>
      </c>
      <c r="C61" s="1034"/>
      <c r="E61" s="981"/>
      <c r="O61" s="1048"/>
      <c r="P61" s="1048"/>
      <c r="Q61" s="1048"/>
      <c r="R61" s="1354"/>
      <c r="S61" s="1354"/>
      <c r="T61" s="1076"/>
      <c r="U61" s="1076">
        <v>4699000000000</v>
      </c>
      <c r="V61" s="1076">
        <v>1301000000000</v>
      </c>
      <c r="W61" s="1124"/>
      <c r="X61" s="1124"/>
    </row>
    <row r="62" spans="1:29" ht="15.75">
      <c r="A62" s="981"/>
      <c r="B62" s="1488" t="s">
        <v>2264</v>
      </c>
      <c r="C62" s="1034"/>
      <c r="E62" s="981"/>
      <c r="O62" s="1048"/>
      <c r="P62" s="1048"/>
      <c r="Q62" s="1048"/>
      <c r="R62" s="1354"/>
      <c r="S62" s="1354"/>
      <c r="T62" s="1076">
        <v>-795000000000</v>
      </c>
      <c r="U62" s="1076">
        <v>-1758000000000</v>
      </c>
      <c r="V62" s="1076">
        <v>-858000000000</v>
      </c>
      <c r="W62" s="1124">
        <v>-1000000000000</v>
      </c>
      <c r="X62" s="1124">
        <v>-1000000000000</v>
      </c>
    </row>
    <row r="63" spans="1:29">
      <c r="R63" s="1355">
        <f>R15/R6</f>
        <v>3.8995880042157711E-2</v>
      </c>
      <c r="S63" s="1355">
        <f t="shared" ref="S63:V63" si="13">S15/S6</f>
        <v>0.10024231127679403</v>
      </c>
      <c r="T63" s="1355">
        <f t="shared" si="13"/>
        <v>3.9149082175330245E-2</v>
      </c>
      <c r="U63" s="1355">
        <f t="shared" si="13"/>
        <v>4.2377560598531282E-2</v>
      </c>
      <c r="V63" s="1355">
        <f t="shared" si="13"/>
        <v>1.3533008174761283E-2</v>
      </c>
    </row>
    <row r="64" spans="1:29">
      <c r="R64" s="1355"/>
    </row>
    <row r="65" spans="2:24">
      <c r="R65" s="1355"/>
    </row>
    <row r="66" spans="2:24">
      <c r="O66" s="1027" t="s">
        <v>139</v>
      </c>
      <c r="P66" s="1027" t="s">
        <v>139</v>
      </c>
      <c r="Q66" s="1027" t="s">
        <v>139</v>
      </c>
      <c r="R66" s="1027" t="s">
        <v>139</v>
      </c>
      <c r="S66" s="1027" t="s">
        <v>139</v>
      </c>
      <c r="T66" s="1027" t="s">
        <v>139</v>
      </c>
      <c r="U66" s="1027" t="s">
        <v>139</v>
      </c>
      <c r="V66" s="1027" t="s">
        <v>139</v>
      </c>
      <c r="W66" s="1027" t="s">
        <v>139</v>
      </c>
      <c r="X66" s="1027" t="s">
        <v>139</v>
      </c>
    </row>
    <row r="68" spans="2:24">
      <c r="B68" s="1034" t="s">
        <v>2783</v>
      </c>
      <c r="C68" s="1075"/>
      <c r="D68" s="1356"/>
      <c r="E68" s="1356"/>
      <c r="F68" s="1356"/>
      <c r="G68" s="1356"/>
      <c r="H68" s="1356"/>
      <c r="P68" s="1357">
        <v>970000000</v>
      </c>
      <c r="Q68" s="1357">
        <v>1633000000</v>
      </c>
      <c r="R68" s="1356">
        <v>2785000000</v>
      </c>
      <c r="S68" s="2439">
        <v>1423000000</v>
      </c>
      <c r="T68" s="2439">
        <v>1333000000</v>
      </c>
      <c r="U68" s="2439">
        <v>2653000000</v>
      </c>
      <c r="V68" s="2439">
        <v>4134000000</v>
      </c>
      <c r="W68" s="1356"/>
      <c r="X68" s="1356"/>
    </row>
    <row r="69" spans="2:24">
      <c r="B69" s="1034" t="s">
        <v>2784</v>
      </c>
      <c r="C69" s="1356"/>
      <c r="D69" s="1356"/>
      <c r="E69" s="1356"/>
      <c r="F69" s="1356"/>
      <c r="G69" s="1356"/>
      <c r="H69" s="1356"/>
      <c r="P69" s="1357">
        <v>11805000000</v>
      </c>
      <c r="Q69" s="1357">
        <v>13559000000</v>
      </c>
      <c r="R69" s="1357">
        <v>17274000000</v>
      </c>
      <c r="S69" s="1357"/>
      <c r="T69" s="2441"/>
      <c r="U69" s="2440"/>
      <c r="V69" s="1356"/>
      <c r="W69" s="1356"/>
      <c r="X69" s="1356"/>
    </row>
    <row r="70" spans="2:24">
      <c r="R70" s="1042"/>
      <c r="T70" s="2443"/>
      <c r="V70" s="1356"/>
      <c r="W70" s="1356"/>
      <c r="X70" s="1356"/>
    </row>
    <row r="71" spans="2:24">
      <c r="B71" s="1027" t="s">
        <v>2785</v>
      </c>
      <c r="O71" s="1042">
        <f t="shared" ref="O71:T71" si="14">O6-O7-O15</f>
        <v>0</v>
      </c>
      <c r="P71" s="1042">
        <f t="shared" si="14"/>
        <v>0</v>
      </c>
      <c r="Q71" s="1042">
        <f t="shared" si="14"/>
        <v>0</v>
      </c>
      <c r="R71" s="1042">
        <f>R6-R7-R15</f>
        <v>0</v>
      </c>
      <c r="S71" s="1042">
        <f t="shared" si="14"/>
        <v>0</v>
      </c>
      <c r="T71" s="2442">
        <f t="shared" si="14"/>
        <v>0</v>
      </c>
      <c r="U71" s="1042">
        <f t="shared" ref="U71:X71" si="15">U6-U7-U15</f>
        <v>0</v>
      </c>
      <c r="V71" s="1042">
        <f t="shared" si="15"/>
        <v>0</v>
      </c>
      <c r="W71" s="1042">
        <f t="shared" si="15"/>
        <v>0</v>
      </c>
      <c r="X71" s="1042">
        <f t="shared" si="15"/>
        <v>0</v>
      </c>
    </row>
    <row r="72" spans="2:24">
      <c r="B72" s="1027" t="s">
        <v>141</v>
      </c>
      <c r="O72" s="1042">
        <f t="shared" ref="O72:Q72" si="16">O7-O8-O13-O14</f>
        <v>0</v>
      </c>
      <c r="P72" s="1042">
        <f t="shared" si="16"/>
        <v>0</v>
      </c>
      <c r="Q72" s="1042">
        <f t="shared" si="16"/>
        <v>0</v>
      </c>
      <c r="R72" s="1042">
        <f>R7-R8-R12-R13-R14</f>
        <v>-218000000</v>
      </c>
      <c r="S72" s="1042">
        <f t="shared" ref="S72:T72" si="17">S7-S8-S12-S13-S14</f>
        <v>-289000000</v>
      </c>
      <c r="T72" s="1042">
        <f t="shared" si="17"/>
        <v>0</v>
      </c>
      <c r="U72" s="1042">
        <f t="shared" ref="U72:X72" si="18">U7-U8-U12-U13-U14</f>
        <v>0</v>
      </c>
      <c r="V72" s="1042">
        <f t="shared" si="18"/>
        <v>0</v>
      </c>
      <c r="W72" s="1042">
        <f t="shared" si="18"/>
        <v>0</v>
      </c>
      <c r="X72" s="1042">
        <f t="shared" si="18"/>
        <v>0</v>
      </c>
    </row>
    <row r="73" spans="2:24">
      <c r="B73" s="1027" t="s">
        <v>142</v>
      </c>
      <c r="O73" s="1042">
        <f>O8-O9-O10-O11</f>
        <v>-1000000</v>
      </c>
      <c r="P73" s="1042">
        <f t="shared" ref="P73:Q73" si="19">P8-P9-P10-P11</f>
        <v>1000000</v>
      </c>
      <c r="Q73" s="1042">
        <f t="shared" si="19"/>
        <v>0</v>
      </c>
      <c r="R73" s="1042">
        <f>R8-R9-R10-R11-R12</f>
        <v>0</v>
      </c>
      <c r="S73" s="1042">
        <f t="shared" ref="S73:X73" si="20">S8-S9-S10-S11-S12</f>
        <v>0</v>
      </c>
      <c r="T73" s="1042">
        <f t="shared" si="20"/>
        <v>0</v>
      </c>
      <c r="U73" s="1042">
        <f t="shared" si="20"/>
        <v>0</v>
      </c>
      <c r="V73" s="1042">
        <f t="shared" si="20"/>
        <v>0</v>
      </c>
      <c r="W73" s="1042">
        <f t="shared" si="20"/>
        <v>0</v>
      </c>
      <c r="X73" s="1042">
        <f t="shared" si="20"/>
        <v>0</v>
      </c>
    </row>
    <row r="74" spans="2:24">
      <c r="B74" s="1027" t="s">
        <v>1207</v>
      </c>
      <c r="O74" s="1042">
        <f>O17-O18-O37</f>
        <v>0</v>
      </c>
      <c r="P74" s="1042">
        <f t="shared" ref="P74:T74" si="21">P17-P18-P37</f>
        <v>1000000</v>
      </c>
      <c r="Q74" s="1042">
        <f>Q17-Q18-Q37</f>
        <v>0</v>
      </c>
      <c r="R74" s="1042">
        <f t="shared" si="21"/>
        <v>0</v>
      </c>
      <c r="S74" s="1042">
        <f t="shared" si="21"/>
        <v>-1000000</v>
      </c>
      <c r="T74" s="1042">
        <f t="shared" si="21"/>
        <v>1000000</v>
      </c>
      <c r="U74" s="1042">
        <f t="shared" ref="U74:X74" si="22">U17-U18-U37</f>
        <v>1000000</v>
      </c>
      <c r="V74" s="1042">
        <f t="shared" si="22"/>
        <v>0</v>
      </c>
      <c r="W74" s="1042">
        <f t="shared" si="22"/>
        <v>0</v>
      </c>
      <c r="X74" s="1042">
        <f t="shared" si="22"/>
        <v>0</v>
      </c>
    </row>
    <row r="75" spans="2:24">
      <c r="B75" s="1027" t="s">
        <v>453</v>
      </c>
      <c r="O75" s="1042">
        <f>O18-O19-O23-O24-O27-O28-O29-O33</f>
        <v>0</v>
      </c>
      <c r="P75" s="1042">
        <f t="shared" ref="P75:T75" si="23">P18-P19-P23-P24-P27-P28-P29-P33</f>
        <v>0</v>
      </c>
      <c r="Q75" s="1042">
        <f t="shared" si="23"/>
        <v>0</v>
      </c>
      <c r="R75" s="1042">
        <f t="shared" si="23"/>
        <v>-1000000</v>
      </c>
      <c r="S75" s="1042">
        <f t="shared" si="23"/>
        <v>1000000</v>
      </c>
      <c r="T75" s="1042">
        <f t="shared" si="23"/>
        <v>0</v>
      </c>
      <c r="U75" s="1042">
        <f t="shared" ref="U75:X75" si="24">U18-U19-U23-U24-U27-U28-U29-U33</f>
        <v>0</v>
      </c>
      <c r="V75" s="1042">
        <f t="shared" si="24"/>
        <v>0</v>
      </c>
      <c r="W75" s="1042">
        <f t="shared" si="24"/>
        <v>0</v>
      </c>
      <c r="X75" s="1042">
        <f t="shared" si="24"/>
        <v>-2000000</v>
      </c>
    </row>
    <row r="76" spans="2:24">
      <c r="B76" s="1027" t="s">
        <v>2786</v>
      </c>
      <c r="O76" s="1042">
        <f>O19-O20-O21-O22</f>
        <v>0</v>
      </c>
      <c r="P76" s="1042">
        <f t="shared" ref="P76:T76" si="25">P19-P20-P21-P22</f>
        <v>0</v>
      </c>
      <c r="Q76" s="1042">
        <f t="shared" si="25"/>
        <v>0</v>
      </c>
      <c r="R76" s="1042">
        <f t="shared" si="25"/>
        <v>-1000000</v>
      </c>
      <c r="S76" s="1042">
        <f t="shared" si="25"/>
        <v>0</v>
      </c>
      <c r="T76" s="1042">
        <f t="shared" si="25"/>
        <v>0</v>
      </c>
      <c r="U76" s="1042">
        <f t="shared" ref="U76:X76" si="26">U19-U20-U21-U22</f>
        <v>0</v>
      </c>
      <c r="V76" s="1042">
        <f t="shared" si="26"/>
        <v>0</v>
      </c>
      <c r="W76" s="1042">
        <f t="shared" si="26"/>
        <v>0</v>
      </c>
      <c r="X76" s="1042">
        <f t="shared" si="26"/>
        <v>0</v>
      </c>
    </row>
    <row r="77" spans="2:24">
      <c r="B77" s="1027" t="s">
        <v>291</v>
      </c>
      <c r="O77" s="1042">
        <f>O24-O26-O25</f>
        <v>0</v>
      </c>
      <c r="P77" s="1042">
        <f t="shared" ref="P77:T77" si="27">P24-P26-P25</f>
        <v>0</v>
      </c>
      <c r="Q77" s="1042">
        <f t="shared" si="27"/>
        <v>0</v>
      </c>
      <c r="R77" s="1042">
        <f t="shared" si="27"/>
        <v>0</v>
      </c>
      <c r="S77" s="1042">
        <f t="shared" si="27"/>
        <v>0</v>
      </c>
      <c r="T77" s="1042">
        <f t="shared" si="27"/>
        <v>0</v>
      </c>
      <c r="U77" s="1042">
        <f t="shared" ref="U77:X77" si="28">U24-U26-U25</f>
        <v>0</v>
      </c>
      <c r="V77" s="1042">
        <f t="shared" si="28"/>
        <v>0</v>
      </c>
      <c r="W77" s="1042">
        <f t="shared" si="28"/>
        <v>0</v>
      </c>
      <c r="X77" s="1042">
        <f t="shared" si="28"/>
        <v>0</v>
      </c>
    </row>
    <row r="78" spans="2:24">
      <c r="B78" s="1027" t="s">
        <v>1623</v>
      </c>
      <c r="O78" s="1042">
        <f>O37-O38-O39</f>
        <v>-1000000</v>
      </c>
      <c r="P78" s="1042">
        <f t="shared" ref="P78:T78" si="29">P37-P38-P39</f>
        <v>-1000000</v>
      </c>
      <c r="Q78" s="1042">
        <f t="shared" si="29"/>
        <v>0</v>
      </c>
      <c r="R78" s="1042">
        <f t="shared" si="29"/>
        <v>1000000</v>
      </c>
      <c r="S78" s="1042">
        <f t="shared" si="29"/>
        <v>0</v>
      </c>
      <c r="T78" s="1042">
        <f t="shared" si="29"/>
        <v>-1000000</v>
      </c>
      <c r="U78" s="1042">
        <f t="shared" ref="U78:X78" si="30">U37-U38-U39</f>
        <v>0</v>
      </c>
      <c r="V78" s="1042">
        <f t="shared" si="30"/>
        <v>-1000000</v>
      </c>
      <c r="W78" s="1042">
        <f t="shared" si="30"/>
        <v>0</v>
      </c>
      <c r="X78" s="1042">
        <f t="shared" si="30"/>
        <v>0</v>
      </c>
    </row>
    <row r="79" spans="2:24">
      <c r="B79" s="1027" t="s">
        <v>2787</v>
      </c>
      <c r="O79" s="1042">
        <f>O33-O34-O35</f>
        <v>1000000</v>
      </c>
      <c r="P79" s="1042">
        <f>P33-P34-P35</f>
        <v>0</v>
      </c>
      <c r="Q79" s="1042">
        <f t="shared" ref="Q79:T79" si="31">Q33-Q34-Q35-Q36</f>
        <v>0</v>
      </c>
      <c r="R79" s="1363">
        <f t="shared" si="31"/>
        <v>3513000000</v>
      </c>
      <c r="S79" s="1363">
        <f t="shared" si="31"/>
        <v>1604000000</v>
      </c>
      <c r="T79" s="1363">
        <f t="shared" si="31"/>
        <v>0</v>
      </c>
      <c r="U79" s="1363">
        <f t="shared" ref="U79:X79" si="32">U33-U34-U35-U36</f>
        <v>0</v>
      </c>
      <c r="V79" s="1363">
        <f t="shared" si="32"/>
        <v>4500000000</v>
      </c>
      <c r="W79" s="1363">
        <f t="shared" si="32"/>
        <v>0</v>
      </c>
      <c r="X79" s="1363">
        <f t="shared" si="32"/>
        <v>0</v>
      </c>
    </row>
    <row r="80" spans="2:24">
      <c r="B80" s="1027" t="s">
        <v>457</v>
      </c>
      <c r="O80" s="1042">
        <f t="shared" ref="O80:T80" si="33">O43-O44-O48</f>
        <v>0</v>
      </c>
      <c r="P80" s="1042">
        <f t="shared" si="33"/>
        <v>0</v>
      </c>
      <c r="Q80" s="1042">
        <f t="shared" si="33"/>
        <v>0</v>
      </c>
      <c r="R80" s="1042">
        <f t="shared" si="33"/>
        <v>0</v>
      </c>
      <c r="S80" s="1042">
        <f t="shared" si="33"/>
        <v>0</v>
      </c>
      <c r="T80" s="1042">
        <f t="shared" si="33"/>
        <v>13007000000</v>
      </c>
      <c r="U80" s="1042">
        <f t="shared" ref="U80:X80" si="34">U43-U44-U48</f>
        <v>10368000000</v>
      </c>
      <c r="V80" s="1042">
        <f t="shared" si="34"/>
        <v>14610000000</v>
      </c>
      <c r="W80" s="1042">
        <f t="shared" si="34"/>
        <v>11722000000</v>
      </c>
      <c r="X80" s="1042">
        <f t="shared" si="34"/>
        <v>13418000000</v>
      </c>
    </row>
    <row r="83" spans="2:24" ht="15.75" thickBot="1">
      <c r="B83" s="1027" t="s">
        <v>724</v>
      </c>
      <c r="N83" s="1042"/>
    </row>
    <row r="84" spans="2:24" ht="15.75" thickBot="1">
      <c r="O84" s="1358">
        <v>59816000000</v>
      </c>
      <c r="P84" s="1229">
        <v>75315000000</v>
      </c>
      <c r="Q84" s="1359">
        <v>94939000000</v>
      </c>
      <c r="R84" s="1356">
        <v>113343000000</v>
      </c>
      <c r="S84" s="1356">
        <v>139936000000</v>
      </c>
      <c r="T84" s="1356">
        <v>167353000000000</v>
      </c>
      <c r="U84" s="1356">
        <v>204610000000000</v>
      </c>
      <c r="V84" s="1356">
        <v>241717000000000</v>
      </c>
      <c r="W84" s="1027">
        <v>281457000000000</v>
      </c>
      <c r="X84" s="1027">
        <v>320594000000000</v>
      </c>
    </row>
    <row r="85" spans="2:24">
      <c r="O85" s="1360">
        <f t="shared" ref="O85:X85" si="35">(O6/O84)*100</f>
        <v>19.126989434265081</v>
      </c>
      <c r="P85" s="1360">
        <f t="shared" si="35"/>
        <v>18.502290380402311</v>
      </c>
      <c r="Q85" s="1360">
        <f t="shared" si="35"/>
        <v>16.463202688041793</v>
      </c>
      <c r="R85" s="1360">
        <f t="shared" si="35"/>
        <v>18.416664460972445</v>
      </c>
      <c r="S85" s="1360">
        <f t="shared" si="35"/>
        <v>19.169477475417334</v>
      </c>
      <c r="T85" s="1360">
        <f t="shared" si="35"/>
        <v>1.7415283861060154E-2</v>
      </c>
      <c r="U85" s="1360">
        <f t="shared" si="35"/>
        <v>1.7702947070035679E-2</v>
      </c>
      <c r="V85" s="1360">
        <f t="shared" si="35"/>
        <v>1.8066995701584911E-2</v>
      </c>
      <c r="W85" s="1360">
        <f t="shared" si="35"/>
        <v>1.8147709952141891E-2</v>
      </c>
      <c r="X85" s="1360">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K6" activePane="bottomRight" state="frozen"/>
      <selection pane="topRight" activeCell="R7" sqref="R7"/>
      <selection pane="bottomLeft" activeCell="R7" sqref="R7"/>
      <selection pane="bottomRight" activeCell="L19" sqref="L19"/>
    </sheetView>
  </sheetViews>
  <sheetFormatPr defaultRowHeight="15"/>
  <cols>
    <col min="1" max="1" width="53.42578125" style="1027" bestFit="1" customWidth="1"/>
    <col min="2" max="2" width="39.42578125" style="1027" customWidth="1"/>
    <col min="3" max="3" width="28.85546875" style="1027" bestFit="1" customWidth="1"/>
    <col min="4" max="4" width="14.85546875" style="1027" bestFit="1" customWidth="1"/>
    <col min="5" max="5" width="13.42578125" style="1027" bestFit="1" customWidth="1"/>
    <col min="6" max="6" width="16.42578125" style="1027" bestFit="1" customWidth="1"/>
    <col min="7" max="8" width="13.5703125" style="1027" bestFit="1" customWidth="1"/>
    <col min="9" max="9" width="14.85546875" style="1027" bestFit="1" customWidth="1"/>
    <col min="10" max="10" width="14.28515625" style="1027" bestFit="1" customWidth="1"/>
    <col min="11" max="11" width="15" style="1027" bestFit="1" customWidth="1"/>
    <col min="12" max="12" width="16.140625" style="1027" bestFit="1" customWidth="1"/>
    <col min="13" max="13" width="17.140625" style="1027" bestFit="1" customWidth="1"/>
    <col min="14" max="14" width="16.28515625" style="1027" bestFit="1" customWidth="1"/>
    <col min="15" max="18" width="17.140625" style="1027" bestFit="1" customWidth="1"/>
    <col min="19" max="24" width="16.28515625" style="1027" bestFit="1" customWidth="1"/>
    <col min="25" max="25" width="16.28515625" style="1027" customWidth="1"/>
    <col min="26" max="26" width="15" bestFit="1" customWidth="1"/>
  </cols>
  <sheetData>
    <row r="1" spans="1:26">
      <c r="A1" s="1125" t="s">
        <v>2788</v>
      </c>
      <c r="B1" s="964" t="s">
        <v>2789</v>
      </c>
      <c r="C1" s="964"/>
      <c r="D1" s="1024"/>
      <c r="E1" s="1024"/>
      <c r="F1" s="1024"/>
      <c r="G1" s="1024"/>
      <c r="H1" s="1024"/>
      <c r="I1" s="1024"/>
      <c r="J1" s="1024"/>
      <c r="K1" s="1024"/>
      <c r="L1" s="1024"/>
      <c r="M1" s="1024"/>
      <c r="N1" s="1024"/>
      <c r="O1" s="1025"/>
      <c r="P1" s="1025"/>
      <c r="Q1" s="1025"/>
      <c r="R1" s="1026"/>
      <c r="S1" s="1025"/>
      <c r="T1" s="1025"/>
      <c r="U1" s="1025"/>
      <c r="V1" s="1025"/>
      <c r="W1" s="1025"/>
      <c r="X1" s="1025"/>
      <c r="Y1" s="1025"/>
    </row>
    <row r="2" spans="1:26">
      <c r="B2" s="1028" t="s">
        <v>2790</v>
      </c>
      <c r="C2" s="1028"/>
      <c r="D2" s="1025"/>
      <c r="E2" s="1025"/>
      <c r="F2" s="1025"/>
      <c r="G2" s="1025"/>
      <c r="H2" s="1025"/>
      <c r="I2" s="1025"/>
      <c r="J2" s="1025"/>
      <c r="K2" s="1025"/>
      <c r="L2" s="1025"/>
      <c r="M2" s="1025"/>
      <c r="N2" s="1025"/>
      <c r="O2" s="1025"/>
      <c r="P2" s="1025"/>
      <c r="Q2" s="1025"/>
      <c r="R2" s="1029"/>
      <c r="S2" s="1030"/>
      <c r="T2" s="1031"/>
      <c r="U2" s="1025"/>
      <c r="V2" s="1025"/>
      <c r="W2" s="1025"/>
      <c r="X2" s="1025"/>
      <c r="Y2" s="1025"/>
    </row>
    <row r="3" spans="1:2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025">
        <v>2022</v>
      </c>
    </row>
    <row r="4" spans="1:2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26</v>
      </c>
      <c r="Z4" s="1025" t="s">
        <v>27</v>
      </c>
    </row>
    <row r="5" spans="1:26">
      <c r="A5" s="1027" t="s">
        <v>157</v>
      </c>
      <c r="B5" s="1032" t="s">
        <v>29</v>
      </c>
      <c r="C5" s="1032"/>
      <c r="D5" s="1025" t="s">
        <v>30</v>
      </c>
      <c r="E5" s="1025" t="s">
        <v>30</v>
      </c>
      <c r="F5" s="1025" t="s">
        <v>30</v>
      </c>
      <c r="G5" s="1025" t="s">
        <v>30</v>
      </c>
      <c r="H5" s="1025" t="s">
        <v>30</v>
      </c>
      <c r="I5" s="1024" t="s">
        <v>31</v>
      </c>
      <c r="J5" s="1024" t="s">
        <v>30</v>
      </c>
      <c r="K5" s="1024" t="s">
        <v>30</v>
      </c>
      <c r="L5" s="1024" t="s">
        <v>30</v>
      </c>
      <c r="M5" s="1024" t="s">
        <v>30</v>
      </c>
      <c r="N5" s="1024" t="s">
        <v>30</v>
      </c>
      <c r="O5" s="1024" t="s">
        <v>30</v>
      </c>
      <c r="P5" s="1024" t="s">
        <v>30</v>
      </c>
      <c r="Q5" s="1024" t="s">
        <v>30</v>
      </c>
      <c r="R5" s="1024" t="s">
        <v>30</v>
      </c>
      <c r="S5" s="1024" t="s">
        <v>30</v>
      </c>
      <c r="T5" s="1025" t="s">
        <v>368</v>
      </c>
      <c r="U5" s="1025" t="s">
        <v>32</v>
      </c>
      <c r="V5" s="1025" t="s">
        <v>32</v>
      </c>
      <c r="W5" s="1025" t="s">
        <v>32</v>
      </c>
      <c r="X5" s="1025" t="s">
        <v>32</v>
      </c>
      <c r="Y5" s="1025" t="s">
        <v>32</v>
      </c>
      <c r="Z5" s="1025" t="s">
        <v>32</v>
      </c>
    </row>
    <row r="6" spans="1:26" s="848" customFormat="1">
      <c r="A6" s="1096" t="s">
        <v>33</v>
      </c>
      <c r="B6" s="1096" t="s">
        <v>2791</v>
      </c>
      <c r="C6" s="1096" t="s">
        <v>35</v>
      </c>
      <c r="D6" s="1232">
        <v>330500000</v>
      </c>
      <c r="E6" s="1232">
        <v>330500000</v>
      </c>
      <c r="F6" s="1232">
        <v>318800000</v>
      </c>
      <c r="G6" s="1232">
        <v>413200000</v>
      </c>
      <c r="H6" s="1232">
        <v>390700000</v>
      </c>
      <c r="I6" s="1232">
        <v>515700000.00000006</v>
      </c>
      <c r="J6" s="1113">
        <v>511910000</v>
      </c>
      <c r="K6" s="1113">
        <v>445800000</v>
      </c>
      <c r="L6" s="1113">
        <v>539300000</v>
      </c>
      <c r="M6" s="1113">
        <f>M7+M18</f>
        <v>473700000</v>
      </c>
      <c r="N6" s="1113">
        <v>512799999.99999994</v>
      </c>
      <c r="O6" s="1113">
        <v>496400000</v>
      </c>
      <c r="P6" s="1113">
        <v>449300000</v>
      </c>
      <c r="Q6" s="1113">
        <v>474700000</v>
      </c>
      <c r="R6" s="1113">
        <v>602800000</v>
      </c>
      <c r="S6" s="1113">
        <v>658200000</v>
      </c>
      <c r="T6" s="1113">
        <v>751500000</v>
      </c>
      <c r="U6" s="1113">
        <v>780000000</v>
      </c>
      <c r="V6" s="1113">
        <v>805600000</v>
      </c>
      <c r="W6" s="1113">
        <v>833600000</v>
      </c>
      <c r="X6" s="1113">
        <v>864900000</v>
      </c>
      <c r="Y6" s="1113">
        <v>894100000</v>
      </c>
      <c r="Z6" s="1348">
        <v>925900000</v>
      </c>
    </row>
    <row r="7" spans="1:26">
      <c r="A7" s="1034" t="s">
        <v>36</v>
      </c>
      <c r="B7" s="1034" t="s">
        <v>36</v>
      </c>
      <c r="C7" s="1035" t="s">
        <v>38</v>
      </c>
      <c r="D7" s="1036">
        <v>297900000</v>
      </c>
      <c r="E7" s="1036">
        <v>285400000</v>
      </c>
      <c r="F7" s="1036">
        <v>295200000</v>
      </c>
      <c r="G7" s="1036">
        <v>330300000</v>
      </c>
      <c r="H7" s="1036">
        <v>302500000</v>
      </c>
      <c r="I7" s="1036">
        <v>360100000</v>
      </c>
      <c r="J7" s="1033">
        <v>379700000</v>
      </c>
      <c r="K7" s="1033">
        <v>428500000</v>
      </c>
      <c r="L7" s="1033">
        <v>465000000</v>
      </c>
      <c r="M7" s="1033">
        <f>M9+M16</f>
        <v>405400000</v>
      </c>
      <c r="N7" s="1033">
        <v>428900000</v>
      </c>
      <c r="O7" s="1033">
        <v>425900000</v>
      </c>
      <c r="P7" s="1033">
        <v>425600000</v>
      </c>
      <c r="Q7" s="1033">
        <v>443400000</v>
      </c>
      <c r="R7" s="1033">
        <v>502300000</v>
      </c>
      <c r="S7" s="1033">
        <v>571000000</v>
      </c>
      <c r="T7" s="1033">
        <v>651500000</v>
      </c>
      <c r="U7" s="1033">
        <v>656700000</v>
      </c>
      <c r="V7" s="1033">
        <v>690000000</v>
      </c>
      <c r="W7" s="1033">
        <v>720900000</v>
      </c>
      <c r="X7" s="1033">
        <v>755300000</v>
      </c>
      <c r="Y7" s="1033">
        <v>792400000</v>
      </c>
      <c r="Z7" s="267">
        <v>831400000</v>
      </c>
    </row>
    <row r="8" spans="1:26">
      <c r="A8" s="1034"/>
      <c r="B8" s="1034" t="s">
        <v>834</v>
      </c>
      <c r="D8" s="1038">
        <v>297200000</v>
      </c>
      <c r="E8" s="1038">
        <v>284900000</v>
      </c>
      <c r="F8" s="1038">
        <v>292500000</v>
      </c>
      <c r="G8" s="1038">
        <v>330000000</v>
      </c>
      <c r="H8" s="1038">
        <v>301200000</v>
      </c>
      <c r="I8" s="1036">
        <v>359800000</v>
      </c>
      <c r="J8" s="1033">
        <v>379600000</v>
      </c>
      <c r="K8" s="1033">
        <v>428400000</v>
      </c>
      <c r="L8" s="1033"/>
      <c r="M8" s="1033"/>
      <c r="N8" s="1033"/>
      <c r="O8" s="1033"/>
      <c r="P8" s="1033"/>
      <c r="Q8" s="1033"/>
      <c r="R8" s="1033"/>
      <c r="S8" s="1033"/>
      <c r="T8" s="1033"/>
      <c r="U8" s="1033"/>
      <c r="V8" s="1033"/>
      <c r="W8" s="1033"/>
      <c r="X8" s="1033"/>
      <c r="Y8" s="1033"/>
      <c r="Z8" s="267"/>
    </row>
    <row r="9" spans="1:26">
      <c r="A9" s="1034" t="s">
        <v>39</v>
      </c>
      <c r="B9" s="1034" t="s">
        <v>2792</v>
      </c>
      <c r="C9" s="1034" t="s">
        <v>41</v>
      </c>
      <c r="D9" s="1038">
        <v>265200000</v>
      </c>
      <c r="E9" s="1038">
        <v>256700000</v>
      </c>
      <c r="F9" s="1038">
        <v>262399999.99999997</v>
      </c>
      <c r="G9" s="1038">
        <v>298300000</v>
      </c>
      <c r="H9" s="1038">
        <v>278800000</v>
      </c>
      <c r="I9" s="1036">
        <v>344000000</v>
      </c>
      <c r="J9" s="1033">
        <v>353500000</v>
      </c>
      <c r="K9" s="1033">
        <v>402800000</v>
      </c>
      <c r="L9" s="1033">
        <v>418100000</v>
      </c>
      <c r="M9" s="1033">
        <v>363600000</v>
      </c>
      <c r="N9" s="1033">
        <v>388300000</v>
      </c>
      <c r="O9" s="1033">
        <v>387400000</v>
      </c>
      <c r="P9" s="1033">
        <v>387900000</v>
      </c>
      <c r="Q9" s="1033">
        <v>376800000</v>
      </c>
      <c r="R9" s="1033">
        <v>448100000</v>
      </c>
      <c r="S9" s="1033">
        <v>511600000</v>
      </c>
      <c r="T9" s="1033">
        <v>600400000</v>
      </c>
      <c r="U9" s="1033">
        <v>604400000</v>
      </c>
      <c r="V9" s="1033">
        <v>635000000</v>
      </c>
      <c r="W9" s="1033">
        <v>663400000</v>
      </c>
      <c r="X9" s="1033">
        <v>695100000</v>
      </c>
      <c r="Y9" s="1033">
        <v>729300000</v>
      </c>
      <c r="Z9" s="267">
        <v>765200000</v>
      </c>
    </row>
    <row r="10" spans="1:26">
      <c r="A10" s="1037" t="s">
        <v>317</v>
      </c>
      <c r="B10" s="1037" t="s">
        <v>2793</v>
      </c>
      <c r="C10" s="1032" t="s">
        <v>44</v>
      </c>
      <c r="D10" s="1036"/>
      <c r="E10" s="1036"/>
      <c r="F10" s="1038">
        <v>30100000</v>
      </c>
      <c r="G10" s="1038">
        <v>47500000</v>
      </c>
      <c r="H10" s="1038">
        <v>43000000</v>
      </c>
      <c r="I10" s="1036">
        <v>57700000</v>
      </c>
      <c r="J10" s="1033">
        <v>56000000</v>
      </c>
      <c r="K10" s="1033">
        <v>74800000</v>
      </c>
      <c r="L10" s="1033">
        <v>94600000</v>
      </c>
      <c r="M10" s="1033">
        <v>87200000</v>
      </c>
      <c r="N10" s="1033">
        <v>78500000</v>
      </c>
      <c r="O10" s="1033">
        <v>73900000</v>
      </c>
      <c r="P10" s="1033">
        <v>75500000</v>
      </c>
      <c r="Q10" s="1033">
        <v>66099999.999999993</v>
      </c>
      <c r="R10" s="1033">
        <v>89900000</v>
      </c>
      <c r="S10" s="1033">
        <v>101700000</v>
      </c>
      <c r="T10" s="1033">
        <v>127300000</v>
      </c>
      <c r="U10" s="1033">
        <v>124400000</v>
      </c>
      <c r="V10" s="1033">
        <v>133000000</v>
      </c>
      <c r="W10" s="1033">
        <v>138900000</v>
      </c>
      <c r="X10" s="1033">
        <v>146100000</v>
      </c>
      <c r="Y10" s="1033">
        <v>153200000</v>
      </c>
      <c r="Z10" s="267">
        <v>160700000</v>
      </c>
    </row>
    <row r="11" spans="1:26">
      <c r="A11" s="1037" t="s">
        <v>2229</v>
      </c>
      <c r="B11" s="1037" t="s">
        <v>2794</v>
      </c>
      <c r="C11" s="1032" t="s">
        <v>44</v>
      </c>
      <c r="D11" s="1036"/>
      <c r="E11" s="1036"/>
      <c r="F11" s="1038">
        <v>2700000</v>
      </c>
      <c r="G11" s="1038">
        <v>17000000</v>
      </c>
      <c r="H11" s="1038">
        <v>16399999.999999998</v>
      </c>
      <c r="I11" s="1036">
        <v>15400000</v>
      </c>
      <c r="J11" s="1033">
        <v>22600000</v>
      </c>
      <c r="K11" s="1033">
        <v>29000000</v>
      </c>
      <c r="L11" s="1033">
        <v>26000000</v>
      </c>
      <c r="M11" s="1033">
        <v>18800000</v>
      </c>
      <c r="N11" s="1033">
        <v>16800000</v>
      </c>
      <c r="O11" s="1033">
        <v>14900000</v>
      </c>
      <c r="P11" s="1033">
        <v>16399999.999999998</v>
      </c>
      <c r="Q11" s="1033">
        <v>15100000</v>
      </c>
      <c r="R11" s="1033">
        <v>21300000</v>
      </c>
      <c r="S11" s="1033">
        <v>23300000</v>
      </c>
      <c r="T11" s="1033">
        <v>23900000</v>
      </c>
      <c r="U11" s="1033">
        <v>22400000</v>
      </c>
      <c r="V11" s="1033">
        <v>23400000</v>
      </c>
      <c r="W11" s="1033">
        <v>24400000</v>
      </c>
      <c r="X11" s="1033">
        <v>25500000</v>
      </c>
      <c r="Y11" s="1033">
        <v>26800000</v>
      </c>
      <c r="Z11" s="267">
        <v>28100000</v>
      </c>
    </row>
    <row r="12" spans="1:26">
      <c r="A12" s="1037" t="s">
        <v>47</v>
      </c>
      <c r="B12" s="1037" t="s">
        <v>2795</v>
      </c>
      <c r="C12" s="1032" t="s">
        <v>44</v>
      </c>
      <c r="D12" s="1036"/>
      <c r="E12" s="1036"/>
      <c r="F12" s="1036"/>
      <c r="G12" s="1038">
        <v>59000000</v>
      </c>
      <c r="H12" s="1038">
        <v>52400000</v>
      </c>
      <c r="I12" s="1036">
        <v>60000000</v>
      </c>
      <c r="J12" s="1033">
        <v>69000000</v>
      </c>
      <c r="K12" s="1033">
        <v>71300000</v>
      </c>
      <c r="L12" s="1033">
        <v>171000000</v>
      </c>
      <c r="M12" s="1033">
        <v>144200000</v>
      </c>
      <c r="N12" s="1033">
        <v>169700000</v>
      </c>
      <c r="O12" s="1033">
        <v>174400000</v>
      </c>
      <c r="P12" s="1033">
        <v>174500000</v>
      </c>
      <c r="Q12" s="1033">
        <v>170500000</v>
      </c>
      <c r="R12" s="1033">
        <v>193400000</v>
      </c>
      <c r="S12" s="1033">
        <v>213800000</v>
      </c>
      <c r="T12" s="1033">
        <v>244800000</v>
      </c>
      <c r="U12" s="1033">
        <v>249900000</v>
      </c>
      <c r="V12" s="1033">
        <v>261399999.99999997</v>
      </c>
      <c r="W12" s="1033">
        <v>273200000</v>
      </c>
      <c r="X12" s="1033">
        <v>286100000</v>
      </c>
      <c r="Y12" s="1033">
        <v>300300000</v>
      </c>
      <c r="Z12" s="267">
        <v>315300000</v>
      </c>
    </row>
    <row r="13" spans="1:26">
      <c r="A13" s="1039" t="s">
        <v>76</v>
      </c>
      <c r="B13" s="1039" t="s">
        <v>162</v>
      </c>
      <c r="C13" s="1032"/>
      <c r="D13" s="1036"/>
      <c r="E13" s="1036"/>
      <c r="F13" s="1036"/>
      <c r="G13" s="1036"/>
      <c r="H13" s="1036"/>
      <c r="I13" s="1036"/>
      <c r="J13" s="1036"/>
      <c r="K13" s="1036"/>
      <c r="L13" s="1033">
        <v>148900000</v>
      </c>
      <c r="M13" s="1033"/>
      <c r="N13" s="1033"/>
      <c r="O13" s="1033"/>
      <c r="P13" s="1033"/>
      <c r="Q13" s="1033"/>
      <c r="R13" s="1033"/>
      <c r="S13" s="1033"/>
      <c r="T13" s="1033"/>
      <c r="U13" s="1033"/>
      <c r="V13" s="1033"/>
      <c r="W13" s="1033"/>
      <c r="X13" s="1033"/>
      <c r="Y13" s="1033"/>
      <c r="Z13" s="267"/>
    </row>
    <row r="14" spans="1:26">
      <c r="A14" s="1037" t="s">
        <v>643</v>
      </c>
      <c r="B14" s="1037" t="s">
        <v>2796</v>
      </c>
      <c r="C14" s="1032" t="s">
        <v>44</v>
      </c>
      <c r="D14" s="1036"/>
      <c r="E14" s="1036"/>
      <c r="F14" s="1036"/>
      <c r="G14" s="1038">
        <v>174800000</v>
      </c>
      <c r="H14" s="1038">
        <v>167100000</v>
      </c>
      <c r="I14" s="1036">
        <v>210900000</v>
      </c>
      <c r="J14" s="1033">
        <v>205900000</v>
      </c>
      <c r="K14" s="1033">
        <v>227700000</v>
      </c>
      <c r="L14" s="1033">
        <v>126500000</v>
      </c>
      <c r="M14" s="1033">
        <v>113300000</v>
      </c>
      <c r="N14" s="1033">
        <v>123300000</v>
      </c>
      <c r="O14" s="1033">
        <v>124200000</v>
      </c>
      <c r="P14" s="1033">
        <v>121500000</v>
      </c>
      <c r="Q14" s="1033">
        <v>125100000</v>
      </c>
      <c r="R14" s="1033">
        <v>143500000</v>
      </c>
      <c r="S14" s="1033">
        <v>172800000</v>
      </c>
      <c r="T14" s="1033">
        <v>204500000</v>
      </c>
      <c r="U14" s="1033">
        <v>207700000</v>
      </c>
      <c r="V14" s="1033">
        <v>217200000</v>
      </c>
      <c r="W14" s="1033">
        <v>226800000</v>
      </c>
      <c r="X14" s="1033">
        <v>237400000</v>
      </c>
      <c r="Y14" s="1033">
        <v>249000000</v>
      </c>
      <c r="Z14" s="267">
        <v>261100000.00000003</v>
      </c>
    </row>
    <row r="15" spans="1:26">
      <c r="A15" s="1037" t="s">
        <v>2670</v>
      </c>
      <c r="B15" s="1037" t="s">
        <v>2797</v>
      </c>
      <c r="C15" s="1032" t="s">
        <v>44</v>
      </c>
      <c r="D15" s="1036">
        <f>D9-D10-D11</f>
        <v>265200000</v>
      </c>
      <c r="E15" s="1036">
        <f>E9-E10-E11</f>
        <v>256700000</v>
      </c>
      <c r="F15" s="1036">
        <f>F9-F10-F11</f>
        <v>229599999.99999997</v>
      </c>
      <c r="G15" s="1038"/>
      <c r="H15" s="1038"/>
      <c r="I15" s="1036"/>
      <c r="J15" s="1033"/>
      <c r="K15" s="1033"/>
      <c r="L15" s="1033"/>
      <c r="M15" s="1033"/>
      <c r="N15" s="1033"/>
      <c r="O15" s="1033"/>
      <c r="P15" s="1033"/>
      <c r="Q15" s="1033"/>
      <c r="R15" s="1033"/>
      <c r="S15" s="1033"/>
      <c r="T15" s="1033"/>
      <c r="U15" s="1033"/>
      <c r="V15" s="1033"/>
      <c r="W15" s="1033"/>
      <c r="X15" s="1033"/>
      <c r="Y15" s="1033"/>
      <c r="Z15" s="267"/>
    </row>
    <row r="16" spans="1:26">
      <c r="A16" s="1034" t="s">
        <v>51</v>
      </c>
      <c r="B16" s="1034" t="s">
        <v>2798</v>
      </c>
      <c r="C16" s="1034" t="s">
        <v>41</v>
      </c>
      <c r="D16" s="1036">
        <v>32100000</v>
      </c>
      <c r="E16" s="1036">
        <v>28200000</v>
      </c>
      <c r="F16" s="1038">
        <v>30100000</v>
      </c>
      <c r="G16" s="1038">
        <v>31800000</v>
      </c>
      <c r="H16" s="1038">
        <v>22300000</v>
      </c>
      <c r="I16" s="1036">
        <v>15800000</v>
      </c>
      <c r="J16" s="1033">
        <v>26000000</v>
      </c>
      <c r="K16" s="1033">
        <v>25600000</v>
      </c>
      <c r="L16" s="1033">
        <v>46800000</v>
      </c>
      <c r="M16" s="1033">
        <v>41800000</v>
      </c>
      <c r="N16" s="1033">
        <v>40400000</v>
      </c>
      <c r="O16" s="1033">
        <v>38400000</v>
      </c>
      <c r="P16" s="1033">
        <v>37600000</v>
      </c>
      <c r="Q16" s="1033">
        <v>66700000</v>
      </c>
      <c r="R16" s="1033">
        <v>54200000</v>
      </c>
      <c r="S16" s="1033">
        <v>59500000</v>
      </c>
      <c r="T16" s="1033">
        <v>51100000</v>
      </c>
      <c r="U16" s="1033">
        <v>52400000</v>
      </c>
      <c r="V16" s="1033">
        <v>55000000</v>
      </c>
      <c r="W16" s="1033">
        <v>57500000</v>
      </c>
      <c r="X16" s="1033">
        <v>60200000</v>
      </c>
      <c r="Y16" s="1033">
        <v>63100000</v>
      </c>
      <c r="Z16" s="267">
        <v>66200000</v>
      </c>
    </row>
    <row r="17" spans="1:26">
      <c r="A17" s="1034" t="s">
        <v>468</v>
      </c>
      <c r="B17" s="1034" t="s">
        <v>562</v>
      </c>
      <c r="C17" s="1034" t="s">
        <v>41</v>
      </c>
      <c r="D17" s="1036">
        <v>700000</v>
      </c>
      <c r="E17" s="1036">
        <v>500000</v>
      </c>
      <c r="F17" s="1038">
        <v>2700000</v>
      </c>
      <c r="G17" s="1038">
        <v>300000</v>
      </c>
      <c r="H17" s="1038">
        <v>1300000</v>
      </c>
      <c r="I17" s="1036">
        <v>300000</v>
      </c>
      <c r="J17" s="1033">
        <v>100000</v>
      </c>
      <c r="K17" s="1033">
        <v>100000</v>
      </c>
      <c r="L17" s="1033"/>
      <c r="M17" s="1033"/>
      <c r="N17" s="1033"/>
      <c r="O17" s="1033"/>
      <c r="P17" s="1033"/>
      <c r="Q17" s="1033"/>
      <c r="R17" s="1033"/>
      <c r="S17" s="1033"/>
      <c r="T17" s="1033"/>
      <c r="U17" s="1033"/>
      <c r="V17" s="1033"/>
      <c r="W17" s="1033"/>
      <c r="X17" s="1033"/>
      <c r="Y17" s="1033"/>
      <c r="Z17" s="267"/>
    </row>
    <row r="18" spans="1:26">
      <c r="A18" s="1034" t="s">
        <v>53</v>
      </c>
      <c r="B18" s="1034" t="s">
        <v>53</v>
      </c>
      <c r="C18" s="1035" t="s">
        <v>38</v>
      </c>
      <c r="D18" s="1036">
        <v>32600000</v>
      </c>
      <c r="E18" s="1036">
        <v>45200000</v>
      </c>
      <c r="F18" s="1036">
        <v>23500000</v>
      </c>
      <c r="G18" s="1038">
        <v>82900000</v>
      </c>
      <c r="H18" s="1038">
        <v>88200000</v>
      </c>
      <c r="I18" s="1036">
        <v>155600000</v>
      </c>
      <c r="J18" s="1033">
        <v>132199999.99999999</v>
      </c>
      <c r="K18" s="1033">
        <v>17300000</v>
      </c>
      <c r="L18" s="1033">
        <v>74300000</v>
      </c>
      <c r="M18" s="1033">
        <v>68300000</v>
      </c>
      <c r="N18" s="1033">
        <v>83900000</v>
      </c>
      <c r="O18" s="1033">
        <v>70500000</v>
      </c>
      <c r="P18" s="1033">
        <v>23700000</v>
      </c>
      <c r="Q18" s="1033">
        <v>31300000</v>
      </c>
      <c r="R18" s="1033">
        <v>100500000</v>
      </c>
      <c r="S18" s="1033">
        <v>87200000</v>
      </c>
      <c r="T18" s="1033">
        <v>100000000</v>
      </c>
      <c r="U18" s="1033">
        <v>123200000</v>
      </c>
      <c r="V18" s="1033">
        <v>115600000</v>
      </c>
      <c r="W18" s="1033">
        <v>112700000</v>
      </c>
      <c r="X18" s="1033">
        <v>109700000</v>
      </c>
      <c r="Y18" s="1033">
        <v>101700000</v>
      </c>
      <c r="Z18" s="267">
        <v>94500000</v>
      </c>
    </row>
    <row r="19" spans="1:26" s="848" customFormat="1">
      <c r="A19" s="1096" t="s">
        <v>71</v>
      </c>
      <c r="B19" s="1096" t="s">
        <v>2799</v>
      </c>
      <c r="C19" s="1096" t="s">
        <v>35</v>
      </c>
      <c r="D19" s="1232">
        <v>365700000</v>
      </c>
      <c r="E19" s="1232">
        <v>420600000</v>
      </c>
      <c r="F19" s="1232">
        <v>529799999.99999994</v>
      </c>
      <c r="G19" s="1097">
        <v>470800000</v>
      </c>
      <c r="H19" s="1097">
        <f>H20+H32</f>
        <v>426200000</v>
      </c>
      <c r="I19" s="1232">
        <v>508900000</v>
      </c>
      <c r="J19" s="1113">
        <v>605000000</v>
      </c>
      <c r="K19" s="1113">
        <v>575800000</v>
      </c>
      <c r="L19" s="1113">
        <f>L20+L32</f>
        <v>631900000</v>
      </c>
      <c r="M19" s="1113">
        <v>582700000</v>
      </c>
      <c r="N19" s="1113">
        <v>588000000</v>
      </c>
      <c r="O19" s="1113">
        <v>605200000</v>
      </c>
      <c r="P19" s="1113">
        <v>576300000</v>
      </c>
      <c r="Q19" s="1113">
        <v>639600000</v>
      </c>
      <c r="R19" s="1113">
        <v>717600000</v>
      </c>
      <c r="S19" s="1113">
        <v>690600000</v>
      </c>
      <c r="T19" s="1113">
        <v>685600000</v>
      </c>
      <c r="U19" s="1113">
        <v>715600000</v>
      </c>
      <c r="V19" s="1113">
        <v>731600000</v>
      </c>
      <c r="W19" s="1113">
        <v>751500000</v>
      </c>
      <c r="X19" s="1113">
        <v>766700000</v>
      </c>
      <c r="Y19" s="1113">
        <v>804500000</v>
      </c>
      <c r="Z19" s="1348">
        <v>882400000</v>
      </c>
    </row>
    <row r="20" spans="1:26">
      <c r="A20" s="1352" t="s">
        <v>476</v>
      </c>
      <c r="B20" s="1034" t="s">
        <v>2800</v>
      </c>
      <c r="C20" s="1034" t="s">
        <v>201</v>
      </c>
      <c r="D20" s="1036">
        <v>230500000</v>
      </c>
      <c r="E20" s="1036">
        <v>258000000</v>
      </c>
      <c r="F20" s="1036">
        <v>285400000</v>
      </c>
      <c r="G20" s="1036">
        <v>291600000</v>
      </c>
      <c r="H20" s="1365">
        <f>H22+H25+H26+H28+H27</f>
        <v>332400000</v>
      </c>
      <c r="I20" s="1036">
        <v>303000000</v>
      </c>
      <c r="J20" s="1033">
        <v>319200000</v>
      </c>
      <c r="K20" s="1033">
        <v>352700000</v>
      </c>
      <c r="L20" s="1033">
        <f>L22+L25+L26+L27+L28</f>
        <v>417000000</v>
      </c>
      <c r="M20" s="1033">
        <v>424900000</v>
      </c>
      <c r="N20" s="1033">
        <v>436800000</v>
      </c>
      <c r="O20" s="1033">
        <v>442000000</v>
      </c>
      <c r="P20" s="1033">
        <v>468000000</v>
      </c>
      <c r="Q20" s="1033">
        <v>479200000</v>
      </c>
      <c r="R20" s="1033">
        <v>490900000</v>
      </c>
      <c r="S20" s="1033">
        <v>467000000</v>
      </c>
      <c r="T20" s="1033">
        <v>565500000</v>
      </c>
      <c r="U20" s="1033">
        <v>586400000</v>
      </c>
      <c r="V20" s="1033">
        <v>603800000</v>
      </c>
      <c r="W20" s="1033">
        <v>620500000</v>
      </c>
      <c r="X20" s="1033">
        <v>637600000</v>
      </c>
      <c r="Y20" s="1033">
        <v>662000000</v>
      </c>
      <c r="Z20" s="267">
        <v>689700000</v>
      </c>
    </row>
    <row r="21" spans="1:26">
      <c r="A21" s="1027" t="s">
        <v>76</v>
      </c>
      <c r="B21" s="1034" t="s">
        <v>889</v>
      </c>
      <c r="D21" s="1036"/>
      <c r="E21" s="1036"/>
      <c r="F21" s="1036"/>
      <c r="G21" s="1038">
        <v>229200000</v>
      </c>
      <c r="H21" s="1038">
        <v>253800000</v>
      </c>
      <c r="I21" s="1036">
        <v>273100000</v>
      </c>
      <c r="J21" s="1033">
        <v>291600000</v>
      </c>
      <c r="K21" s="1033">
        <v>318500000</v>
      </c>
      <c r="L21" s="1033"/>
      <c r="M21" s="1033"/>
      <c r="N21" s="1033"/>
      <c r="O21" s="1033"/>
      <c r="P21" s="1033"/>
      <c r="Q21" s="1033"/>
      <c r="R21" s="1033"/>
      <c r="S21" s="1033"/>
      <c r="T21" s="1033"/>
      <c r="U21" s="1033"/>
      <c r="V21" s="1033"/>
      <c r="W21" s="1033"/>
      <c r="X21" s="1033"/>
      <c r="Y21" s="1033"/>
      <c r="Z21" s="267"/>
    </row>
    <row r="22" spans="1:26">
      <c r="A22" s="1037" t="s">
        <v>79</v>
      </c>
      <c r="B22" s="1037" t="s">
        <v>2801</v>
      </c>
      <c r="C22" s="1034" t="s">
        <v>81</v>
      </c>
      <c r="D22" s="1036">
        <v>114400000</v>
      </c>
      <c r="E22" s="1036">
        <v>127600000</v>
      </c>
      <c r="F22" s="1036">
        <v>114100000</v>
      </c>
      <c r="G22" s="1038">
        <v>130400000</v>
      </c>
      <c r="H22" s="1038">
        <v>150300000</v>
      </c>
      <c r="I22" s="1036">
        <v>150300000</v>
      </c>
      <c r="J22" s="1033">
        <v>152500000</v>
      </c>
      <c r="K22" s="1033">
        <v>158400000</v>
      </c>
      <c r="L22" s="1033">
        <v>200800000</v>
      </c>
      <c r="M22" s="1033">
        <v>191200000</v>
      </c>
      <c r="N22" s="1033">
        <v>195300000</v>
      </c>
      <c r="O22" s="1033">
        <v>231900000</v>
      </c>
      <c r="P22" s="1033">
        <v>227200000</v>
      </c>
      <c r="Q22" s="1033">
        <v>243500000</v>
      </c>
      <c r="R22" s="1033">
        <v>242400000</v>
      </c>
      <c r="S22" s="1033">
        <v>215300000</v>
      </c>
      <c r="T22" s="1033">
        <v>240400000</v>
      </c>
      <c r="U22" s="1033">
        <v>256600000.00000003</v>
      </c>
      <c r="V22" s="1033">
        <v>269100000</v>
      </c>
      <c r="W22" s="1033">
        <v>283600000</v>
      </c>
      <c r="X22" s="1033">
        <v>297100000</v>
      </c>
      <c r="Y22" s="1033">
        <v>311400000</v>
      </c>
      <c r="Z22" s="267">
        <v>326400000</v>
      </c>
    </row>
    <row r="23" spans="1:26">
      <c r="A23" s="1039" t="s">
        <v>79</v>
      </c>
      <c r="B23" s="1039" t="s">
        <v>2802</v>
      </c>
      <c r="C23" s="1032" t="s">
        <v>2186</v>
      </c>
      <c r="D23" s="1036"/>
      <c r="E23" s="1036"/>
      <c r="F23" s="1036"/>
      <c r="G23" s="1038">
        <v>118400000</v>
      </c>
      <c r="H23" s="1038">
        <v>135000000</v>
      </c>
      <c r="I23" s="1036">
        <v>134700000</v>
      </c>
      <c r="J23" s="1033">
        <v>135300000</v>
      </c>
      <c r="K23" s="1033">
        <v>140700000</v>
      </c>
      <c r="L23" s="1033"/>
      <c r="M23" s="1033"/>
      <c r="N23" s="1033"/>
      <c r="O23" s="1033"/>
      <c r="P23" s="1033"/>
      <c r="Q23" s="1033"/>
      <c r="R23" s="1033"/>
      <c r="S23" s="1033"/>
      <c r="T23" s="1033"/>
      <c r="U23" s="1033"/>
      <c r="V23" s="1033"/>
      <c r="W23" s="1033"/>
      <c r="X23" s="1033"/>
      <c r="Y23" s="1033"/>
      <c r="Z23" s="267"/>
    </row>
    <row r="24" spans="1:26">
      <c r="A24" s="1039" t="s">
        <v>2803</v>
      </c>
      <c r="B24" s="1039" t="s">
        <v>2804</v>
      </c>
      <c r="C24" s="1032" t="s">
        <v>2186</v>
      </c>
      <c r="D24" s="1036"/>
      <c r="E24" s="1036"/>
      <c r="F24" s="1036"/>
      <c r="G24" s="1038">
        <v>12000000</v>
      </c>
      <c r="H24" s="1038">
        <v>15300000</v>
      </c>
      <c r="I24" s="1036">
        <v>15600000</v>
      </c>
      <c r="J24" s="1033">
        <v>17100000</v>
      </c>
      <c r="K24" s="1033">
        <v>17700000</v>
      </c>
      <c r="L24" s="1033"/>
      <c r="M24" s="1033"/>
      <c r="N24" s="1033"/>
      <c r="O24" s="1033"/>
      <c r="P24" s="1033"/>
      <c r="Q24" s="1033"/>
      <c r="R24" s="1033"/>
      <c r="S24" s="1033"/>
      <c r="T24" s="1033"/>
      <c r="U24" s="1033"/>
      <c r="V24" s="1033"/>
      <c r="W24" s="1033"/>
      <c r="X24" s="1033"/>
      <c r="Y24" s="1033"/>
      <c r="Z24" s="267"/>
    </row>
    <row r="25" spans="1:26">
      <c r="A25" s="1037" t="s">
        <v>2805</v>
      </c>
      <c r="B25" s="1037" t="s">
        <v>2806</v>
      </c>
      <c r="C25" s="1034" t="s">
        <v>81</v>
      </c>
      <c r="D25" s="1036"/>
      <c r="E25" s="1036"/>
      <c r="F25" s="1036"/>
      <c r="G25" s="1038"/>
      <c r="H25" s="1036"/>
      <c r="I25" s="1036"/>
      <c r="J25" s="1036"/>
      <c r="K25" s="1036"/>
      <c r="L25" s="1033">
        <v>42400000</v>
      </c>
      <c r="M25" s="1033">
        <v>40800000</v>
      </c>
      <c r="N25" s="1033">
        <v>41500000</v>
      </c>
      <c r="O25" s="1033">
        <v>40700000</v>
      </c>
      <c r="P25" s="1033">
        <v>44000000</v>
      </c>
      <c r="Q25" s="1033">
        <v>46900000</v>
      </c>
      <c r="R25" s="1033">
        <v>51600000</v>
      </c>
      <c r="S25" s="1033">
        <v>48500000</v>
      </c>
      <c r="T25" s="1033">
        <v>52600000</v>
      </c>
      <c r="U25" s="1033">
        <v>53300000</v>
      </c>
      <c r="V25" s="1033">
        <v>56000000</v>
      </c>
      <c r="W25" s="1033">
        <v>59100000</v>
      </c>
      <c r="X25" s="1033">
        <v>62000000</v>
      </c>
      <c r="Y25" s="1033">
        <v>65200000</v>
      </c>
      <c r="Z25" s="267">
        <v>68500000</v>
      </c>
    </row>
    <row r="26" spans="1:26">
      <c r="A26" s="1037" t="s">
        <v>83</v>
      </c>
      <c r="B26" s="1037" t="s">
        <v>2807</v>
      </c>
      <c r="C26" s="1034" t="s">
        <v>81</v>
      </c>
      <c r="D26" s="1036">
        <v>43800000</v>
      </c>
      <c r="E26" s="1036">
        <v>52700000</v>
      </c>
      <c r="F26" s="1036">
        <v>47500000</v>
      </c>
      <c r="G26" s="1038">
        <v>40500000</v>
      </c>
      <c r="H26" s="1038">
        <v>48000000</v>
      </c>
      <c r="I26" s="1036">
        <v>68200000</v>
      </c>
      <c r="J26" s="1033">
        <v>71100000</v>
      </c>
      <c r="K26" s="1033">
        <v>79100000</v>
      </c>
      <c r="L26" s="1033">
        <v>84700000</v>
      </c>
      <c r="M26" s="1033">
        <v>86000000</v>
      </c>
      <c r="N26" s="1033">
        <v>109200000</v>
      </c>
      <c r="O26" s="1033">
        <v>75100000</v>
      </c>
      <c r="P26" s="1033">
        <v>86400000</v>
      </c>
      <c r="Q26" s="1033">
        <v>75900000</v>
      </c>
      <c r="R26" s="1033">
        <v>72200000</v>
      </c>
      <c r="S26" s="1033">
        <v>75900000</v>
      </c>
      <c r="T26" s="1033">
        <v>117600000</v>
      </c>
      <c r="U26" s="1033">
        <v>123700000</v>
      </c>
      <c r="V26" s="1033">
        <v>129400000</v>
      </c>
      <c r="W26" s="1033">
        <v>135100000</v>
      </c>
      <c r="X26" s="1033">
        <v>141400000</v>
      </c>
      <c r="Y26" s="1033">
        <v>148300000</v>
      </c>
      <c r="Z26" s="267">
        <v>155500000</v>
      </c>
    </row>
    <row r="27" spans="1:26">
      <c r="A27" s="1037" t="s">
        <v>2808</v>
      </c>
      <c r="B27" s="1037" t="s">
        <v>2809</v>
      </c>
      <c r="C27" s="1034" t="s">
        <v>81</v>
      </c>
      <c r="D27" s="1036">
        <v>48200000</v>
      </c>
      <c r="E27" s="1036">
        <v>49900000</v>
      </c>
      <c r="F27" s="1036">
        <v>61400000</v>
      </c>
      <c r="G27" s="1038">
        <v>58300000</v>
      </c>
      <c r="H27" s="1038">
        <v>58300000</v>
      </c>
      <c r="I27" s="1036">
        <v>54600000</v>
      </c>
      <c r="J27" s="1033">
        <v>68000000</v>
      </c>
      <c r="K27" s="1033">
        <v>81000000</v>
      </c>
      <c r="L27" s="1033">
        <v>50900000</v>
      </c>
      <c r="M27" s="1033">
        <v>60700000</v>
      </c>
      <c r="N27" s="1033">
        <v>45800000</v>
      </c>
      <c r="O27" s="1033">
        <v>42700000</v>
      </c>
      <c r="P27" s="1033">
        <v>36700000</v>
      </c>
      <c r="Q27" s="1033">
        <v>37600000</v>
      </c>
      <c r="R27" s="1033">
        <v>37400000</v>
      </c>
      <c r="S27" s="1033">
        <v>37500000</v>
      </c>
      <c r="T27" s="1033">
        <v>72500000</v>
      </c>
      <c r="U27" s="1033">
        <v>86600000</v>
      </c>
      <c r="V27" s="1033">
        <v>89700000</v>
      </c>
      <c r="W27" s="1033">
        <v>87700000</v>
      </c>
      <c r="X27" s="1033">
        <v>85800000</v>
      </c>
      <c r="Y27" s="1033">
        <v>90000000</v>
      </c>
      <c r="Z27" s="267">
        <v>94400000</v>
      </c>
    </row>
    <row r="28" spans="1:26">
      <c r="A28" s="1037" t="s">
        <v>90</v>
      </c>
      <c r="B28" s="1037" t="s">
        <v>2810</v>
      </c>
      <c r="C28" s="1034" t="s">
        <v>81</v>
      </c>
      <c r="D28" s="1036">
        <v>24200000</v>
      </c>
      <c r="E28" s="1036">
        <v>27900000</v>
      </c>
      <c r="F28" s="1036">
        <v>51800000</v>
      </c>
      <c r="G28" s="1038">
        <v>62500000</v>
      </c>
      <c r="H28" s="1038">
        <v>75800000</v>
      </c>
      <c r="I28" s="1036">
        <v>29900000</v>
      </c>
      <c r="J28" s="1033">
        <v>27700000</v>
      </c>
      <c r="K28" s="1033">
        <v>34200000</v>
      </c>
      <c r="L28" s="1033">
        <v>38200000</v>
      </c>
      <c r="M28" s="1033">
        <v>46300000</v>
      </c>
      <c r="N28" s="1033">
        <v>45000000</v>
      </c>
      <c r="O28" s="1033">
        <v>51600000</v>
      </c>
      <c r="P28" s="1033">
        <v>73600000</v>
      </c>
      <c r="Q28" s="1033">
        <v>75300000</v>
      </c>
      <c r="R28" s="1033">
        <v>87200000</v>
      </c>
      <c r="S28" s="1033">
        <v>89900000</v>
      </c>
      <c r="T28" s="1033">
        <v>82300000</v>
      </c>
      <c r="U28" s="1033">
        <v>66200000</v>
      </c>
      <c r="V28" s="1033">
        <v>59700000</v>
      </c>
      <c r="W28" s="1033">
        <v>55000000</v>
      </c>
      <c r="X28" s="1033">
        <v>51300000</v>
      </c>
      <c r="Y28" s="1033">
        <v>47200000</v>
      </c>
      <c r="Z28" s="267">
        <v>44900000</v>
      </c>
    </row>
    <row r="29" spans="1:26">
      <c r="A29" s="1039" t="s">
        <v>209</v>
      </c>
      <c r="B29" s="1039" t="s">
        <v>209</v>
      </c>
      <c r="C29" s="1032" t="s">
        <v>211</v>
      </c>
      <c r="D29" s="1036">
        <v>11700000</v>
      </c>
      <c r="E29" s="1036">
        <v>13300000</v>
      </c>
      <c r="F29" s="1036">
        <v>12700000</v>
      </c>
      <c r="G29" s="1038">
        <v>17200000</v>
      </c>
      <c r="H29" s="1036">
        <v>21100000</v>
      </c>
      <c r="I29" s="1036">
        <v>15800000</v>
      </c>
      <c r="J29" s="1033">
        <v>8500000</v>
      </c>
      <c r="K29" s="1033">
        <v>11500000</v>
      </c>
      <c r="L29" s="1033"/>
      <c r="M29" s="1033"/>
      <c r="N29" s="1033"/>
      <c r="O29" s="1033"/>
      <c r="P29" s="1033"/>
      <c r="Q29" s="1033"/>
      <c r="R29" s="1033"/>
      <c r="S29" s="1033"/>
      <c r="T29" s="1033"/>
      <c r="U29" s="1033"/>
      <c r="V29" s="1033"/>
      <c r="W29" s="1033"/>
      <c r="X29" s="1033"/>
      <c r="Y29" s="1033"/>
      <c r="Z29" s="267"/>
    </row>
    <row r="30" spans="1:26">
      <c r="A30" s="1039" t="s">
        <v>212</v>
      </c>
      <c r="B30" s="1039" t="s">
        <v>212</v>
      </c>
      <c r="C30" s="1032" t="s">
        <v>211</v>
      </c>
      <c r="D30" s="1036">
        <v>12500000</v>
      </c>
      <c r="E30" s="1036">
        <v>14600000</v>
      </c>
      <c r="F30" s="1036">
        <v>39100000</v>
      </c>
      <c r="G30" s="1038">
        <v>45200000</v>
      </c>
      <c r="H30" s="1038">
        <v>54700000</v>
      </c>
      <c r="I30" s="1036">
        <v>14000000</v>
      </c>
      <c r="J30" s="1033">
        <v>19200000</v>
      </c>
      <c r="K30" s="1033">
        <v>22600000</v>
      </c>
      <c r="L30" s="1033"/>
      <c r="M30" s="1033"/>
      <c r="N30" s="1033"/>
      <c r="O30" s="1033"/>
      <c r="P30" s="1033"/>
      <c r="Q30" s="1033"/>
      <c r="R30" s="1033"/>
      <c r="S30" s="1033"/>
      <c r="T30" s="1033"/>
      <c r="U30" s="1033"/>
      <c r="V30" s="1033"/>
      <c r="W30" s="1033"/>
      <c r="X30" s="1033"/>
      <c r="Y30" s="1033"/>
      <c r="Z30" s="267"/>
    </row>
    <row r="31" spans="1:26">
      <c r="A31" s="1037" t="s">
        <v>2811</v>
      </c>
      <c r="B31" s="1037" t="s">
        <v>2811</v>
      </c>
      <c r="C31" s="1034" t="s">
        <v>81</v>
      </c>
      <c r="D31" s="1036"/>
      <c r="E31" s="1036"/>
      <c r="F31" s="1366">
        <f>F20-F22-F25-F26-F27-F28</f>
        <v>10600000</v>
      </c>
      <c r="G31" s="1038"/>
      <c r="H31" s="1038"/>
      <c r="I31" s="1036"/>
      <c r="J31" s="1033"/>
      <c r="K31" s="1033"/>
      <c r="L31" s="1033"/>
      <c r="M31" s="1033"/>
      <c r="N31" s="1033"/>
      <c r="O31" s="1033"/>
      <c r="P31" s="1033"/>
      <c r="Q31" s="1033"/>
      <c r="R31" s="1033"/>
      <c r="S31" s="1033"/>
      <c r="T31" s="1033"/>
      <c r="U31" s="1033"/>
      <c r="V31" s="1033"/>
      <c r="W31" s="1033"/>
      <c r="X31" s="1033"/>
      <c r="Y31" s="1033"/>
      <c r="Z31" s="267"/>
    </row>
    <row r="32" spans="1:26">
      <c r="A32" s="1034" t="s">
        <v>2812</v>
      </c>
      <c r="B32" s="1034" t="s">
        <v>2813</v>
      </c>
      <c r="C32" s="1034" t="s">
        <v>201</v>
      </c>
      <c r="D32" s="1036">
        <v>135200000</v>
      </c>
      <c r="E32" s="1036">
        <v>162600000</v>
      </c>
      <c r="F32" s="1036">
        <v>244400000</v>
      </c>
      <c r="G32" s="1038">
        <v>179100000</v>
      </c>
      <c r="H32" s="1038">
        <v>93800000</v>
      </c>
      <c r="I32" s="1036">
        <v>206000000</v>
      </c>
      <c r="J32" s="1033">
        <v>285800000</v>
      </c>
      <c r="K32" s="1033">
        <v>223100000</v>
      </c>
      <c r="L32" s="1033">
        <v>214900000</v>
      </c>
      <c r="M32" s="1033">
        <v>157800000</v>
      </c>
      <c r="N32" s="1033">
        <v>151300000</v>
      </c>
      <c r="O32" s="1033">
        <v>163200000</v>
      </c>
      <c r="P32" s="1033">
        <v>108400000</v>
      </c>
      <c r="Q32" s="1033">
        <v>160500000</v>
      </c>
      <c r="R32" s="1033">
        <v>226700000</v>
      </c>
      <c r="S32" s="1033">
        <v>223600000</v>
      </c>
      <c r="T32" s="1033">
        <v>120100000</v>
      </c>
      <c r="U32" s="1033">
        <v>129199999.99999999</v>
      </c>
      <c r="V32" s="1033">
        <v>127700000</v>
      </c>
      <c r="W32" s="1033">
        <v>130900000</v>
      </c>
      <c r="X32" s="1033">
        <v>129100000</v>
      </c>
      <c r="Y32" s="1033">
        <v>142500000</v>
      </c>
      <c r="Z32" s="267">
        <v>192700000</v>
      </c>
    </row>
    <row r="33" spans="1:26">
      <c r="A33" s="1039" t="s">
        <v>2814</v>
      </c>
      <c r="B33" s="1039" t="s">
        <v>2815</v>
      </c>
      <c r="C33" s="1034" t="s">
        <v>241</v>
      </c>
      <c r="D33" s="1036"/>
      <c r="E33" s="1036"/>
      <c r="F33" s="1036"/>
      <c r="G33" s="1036"/>
      <c r="H33" s="1036"/>
      <c r="I33" s="1036"/>
      <c r="J33" s="1036"/>
      <c r="K33" s="1036"/>
      <c r="L33" s="1033">
        <v>42500000</v>
      </c>
      <c r="M33" s="1033">
        <v>23400000</v>
      </c>
      <c r="N33" s="1033">
        <v>46100000</v>
      </c>
      <c r="O33" s="1033">
        <v>65599999.999999993</v>
      </c>
      <c r="P33" s="1033">
        <v>23000000</v>
      </c>
      <c r="Q33" s="1033">
        <v>31300000</v>
      </c>
      <c r="R33" s="1033">
        <v>90600000</v>
      </c>
      <c r="S33" s="1033">
        <v>87200000</v>
      </c>
      <c r="T33" s="1033">
        <v>74000000</v>
      </c>
      <c r="U33" s="1033">
        <v>100800000</v>
      </c>
      <c r="V33" s="1033">
        <v>97800000</v>
      </c>
      <c r="W33" s="1033">
        <v>99700000</v>
      </c>
      <c r="X33" s="1033">
        <v>96400000</v>
      </c>
      <c r="Y33" s="1033">
        <v>88200000</v>
      </c>
      <c r="Z33" s="267">
        <v>80700000</v>
      </c>
    </row>
    <row r="34" spans="1:26">
      <c r="A34" s="1039" t="s">
        <v>2816</v>
      </c>
      <c r="B34" s="1039" t="s">
        <v>2817</v>
      </c>
      <c r="C34" s="1034" t="s">
        <v>241</v>
      </c>
      <c r="D34" s="1036"/>
      <c r="E34" s="1036"/>
      <c r="F34" s="1036"/>
      <c r="G34" s="1036"/>
      <c r="H34" s="1036"/>
      <c r="I34" s="1036"/>
      <c r="J34" s="1036"/>
      <c r="K34" s="1036"/>
      <c r="L34" s="1033">
        <v>172400000</v>
      </c>
      <c r="M34" s="1033">
        <v>134400000</v>
      </c>
      <c r="N34" s="1033">
        <v>105200000</v>
      </c>
      <c r="O34" s="1033">
        <v>97600000</v>
      </c>
      <c r="P34" s="1033">
        <v>85400000</v>
      </c>
      <c r="Q34" s="1033">
        <v>129199999.99999999</v>
      </c>
      <c r="R34" s="1033">
        <v>136100000</v>
      </c>
      <c r="S34" s="1033">
        <v>136500000</v>
      </c>
      <c r="T34" s="1033">
        <v>46100000</v>
      </c>
      <c r="U34" s="1033">
        <v>28400000</v>
      </c>
      <c r="V34" s="1033">
        <v>29900000</v>
      </c>
      <c r="W34" s="1033">
        <v>31200000</v>
      </c>
      <c r="X34" s="1033">
        <v>32700000.000000004</v>
      </c>
      <c r="Y34" s="1033">
        <v>54300000</v>
      </c>
      <c r="Z34" s="267">
        <v>112000000</v>
      </c>
    </row>
    <row r="35" spans="1:26">
      <c r="A35" s="1027" t="s">
        <v>76</v>
      </c>
      <c r="B35" s="1034" t="s">
        <v>2818</v>
      </c>
      <c r="C35" s="1032"/>
      <c r="D35" s="1036">
        <v>-11000000</v>
      </c>
      <c r="E35" s="1036">
        <v>-62200000</v>
      </c>
      <c r="F35" s="1036">
        <v>-159300000</v>
      </c>
      <c r="G35" s="1038">
        <v>4900000</v>
      </c>
      <c r="H35" s="1036">
        <v>43100000</v>
      </c>
      <c r="I35" s="1036">
        <v>36600000</v>
      </c>
      <c r="J35" s="1033">
        <v>-65400000.000000007</v>
      </c>
      <c r="K35" s="1033">
        <v>-95900000</v>
      </c>
      <c r="L35" s="1033">
        <v>-54300000</v>
      </c>
      <c r="M35" s="1033">
        <v>-62600000</v>
      </c>
      <c r="N35" s="1033">
        <v>-30300000</v>
      </c>
      <c r="O35" s="1033">
        <v>-57200000</v>
      </c>
      <c r="P35" s="1033">
        <v>-53400000</v>
      </c>
      <c r="Q35" s="1033">
        <v>-89600000</v>
      </c>
      <c r="R35" s="1033">
        <v>-27600000</v>
      </c>
      <c r="S35" s="1033">
        <v>57500000</v>
      </c>
      <c r="T35" s="1033">
        <v>148200000</v>
      </c>
      <c r="U35" s="1033">
        <v>130600000</v>
      </c>
      <c r="V35" s="1033">
        <v>133800000.00000001</v>
      </c>
      <c r="W35" s="1033">
        <v>137100000</v>
      </c>
      <c r="X35" s="1033">
        <v>149500000</v>
      </c>
      <c r="Y35" s="1033">
        <v>136800000</v>
      </c>
      <c r="Z35" s="267">
        <v>88400000</v>
      </c>
    </row>
    <row r="36" spans="1:26">
      <c r="B36" s="1034" t="s">
        <v>2819</v>
      </c>
      <c r="C36" s="1032"/>
      <c r="D36" s="1036"/>
      <c r="E36" s="1036"/>
      <c r="F36" s="1036"/>
      <c r="G36" s="1038"/>
      <c r="H36" s="1036"/>
      <c r="I36" s="1036"/>
      <c r="J36" s="1033"/>
      <c r="K36" s="1033"/>
      <c r="L36" s="1033"/>
      <c r="M36" s="1033"/>
      <c r="N36" s="1033"/>
      <c r="O36" s="1033"/>
      <c r="P36" s="1033"/>
      <c r="Q36" s="1033"/>
      <c r="R36" s="1033">
        <v>-28500000</v>
      </c>
      <c r="S36" s="1033">
        <v>45900000</v>
      </c>
      <c r="T36" s="1033">
        <v>159200000</v>
      </c>
      <c r="U36" s="1033"/>
      <c r="V36" s="1033"/>
      <c r="W36" s="1033"/>
      <c r="X36" s="1033"/>
      <c r="Y36" s="1033"/>
      <c r="Z36" s="267"/>
    </row>
    <row r="37" spans="1:26">
      <c r="A37" s="1027" t="s">
        <v>76</v>
      </c>
      <c r="B37" s="1034" t="s">
        <v>2820</v>
      </c>
      <c r="C37" s="1032"/>
      <c r="D37" s="1036">
        <v>-67700000</v>
      </c>
      <c r="E37" s="1036">
        <v>-135200000</v>
      </c>
      <c r="F37" s="1036">
        <v>-234600000</v>
      </c>
      <c r="G37" s="1038">
        <v>-57600000</v>
      </c>
      <c r="H37" s="1036">
        <v>-32700000.000000004</v>
      </c>
      <c r="I37" s="1036">
        <v>6700000</v>
      </c>
      <c r="J37" s="1033">
        <v>-93100000</v>
      </c>
      <c r="K37" s="1033">
        <v>-130000000</v>
      </c>
      <c r="L37" s="1033">
        <v>-92500000</v>
      </c>
      <c r="M37" s="1033">
        <v>-108900000</v>
      </c>
      <c r="N37" s="1033">
        <v>-75300000</v>
      </c>
      <c r="O37" s="1033">
        <v>-108800000</v>
      </c>
      <c r="P37" s="1033">
        <v>-127000000</v>
      </c>
      <c r="Q37" s="1033">
        <v>-164900000</v>
      </c>
      <c r="R37" s="1033">
        <v>-114800000</v>
      </c>
      <c r="S37" s="1033">
        <v>-32400000</v>
      </c>
      <c r="T37" s="1033">
        <v>65900000.000000007</v>
      </c>
      <c r="U37" s="1033">
        <v>64400000.000000007</v>
      </c>
      <c r="V37" s="1033">
        <v>74100000</v>
      </c>
      <c r="W37" s="1033">
        <v>82200000</v>
      </c>
      <c r="X37" s="1033">
        <v>98200000</v>
      </c>
      <c r="Y37" s="1033">
        <v>89600000</v>
      </c>
      <c r="Z37" s="267">
        <v>43400000</v>
      </c>
    </row>
    <row r="38" spans="1:26">
      <c r="B38" s="1034" t="s">
        <v>2821</v>
      </c>
      <c r="C38" s="1032"/>
      <c r="D38" s="1036"/>
      <c r="E38" s="1036"/>
      <c r="F38" s="1036"/>
      <c r="G38" s="1038"/>
      <c r="H38" s="1036"/>
      <c r="I38" s="1036"/>
      <c r="J38" s="1033"/>
      <c r="K38" s="1033"/>
      <c r="L38" s="1033"/>
      <c r="M38" s="1367"/>
      <c r="N38" s="1367"/>
      <c r="O38" s="1033"/>
      <c r="P38" s="1033"/>
      <c r="Q38" s="1033"/>
      <c r="R38" s="1033">
        <v>2495400000</v>
      </c>
      <c r="S38" s="1033">
        <v>2429000000</v>
      </c>
      <c r="T38" s="1033">
        <v>2338000000</v>
      </c>
      <c r="U38" s="1033">
        <v>2117000000</v>
      </c>
      <c r="V38" s="1033">
        <v>2028000000</v>
      </c>
      <c r="W38" s="1033">
        <v>1946000000</v>
      </c>
      <c r="X38" s="1033">
        <v>1848000000</v>
      </c>
      <c r="Y38" s="1033">
        <v>1758000000</v>
      </c>
      <c r="Z38" s="267">
        <v>1715000000</v>
      </c>
    </row>
    <row r="39" spans="1:26" s="848" customFormat="1">
      <c r="A39" s="1368" t="s">
        <v>115</v>
      </c>
      <c r="B39" s="1368" t="s">
        <v>115</v>
      </c>
      <c r="C39" s="1096" t="s">
        <v>35</v>
      </c>
      <c r="D39" s="1232">
        <v>51900000</v>
      </c>
      <c r="E39" s="1232">
        <v>119700000</v>
      </c>
      <c r="F39" s="1232">
        <v>223200000</v>
      </c>
      <c r="G39" s="1097">
        <v>113500000</v>
      </c>
      <c r="H39" s="1232">
        <v>51800000</v>
      </c>
      <c r="I39" s="1232">
        <v>35800000</v>
      </c>
      <c r="J39" s="1113">
        <f>J40+J45+J50+J51</f>
        <v>115200000</v>
      </c>
      <c r="K39" s="1113">
        <v>125400000</v>
      </c>
      <c r="L39" s="1113">
        <v>75500000</v>
      </c>
      <c r="M39" s="1113">
        <v>77400000</v>
      </c>
      <c r="N39" s="1113">
        <v>51100000</v>
      </c>
      <c r="O39" s="1232">
        <v>109000000</v>
      </c>
      <c r="P39" s="1232">
        <v>127000000</v>
      </c>
      <c r="Q39" s="1232">
        <v>165000000</v>
      </c>
      <c r="R39" s="1232">
        <v>115000000</v>
      </c>
      <c r="S39" s="1232">
        <v>32000000</v>
      </c>
      <c r="T39" s="1232">
        <v>-11000000</v>
      </c>
      <c r="U39" s="1232">
        <v>-18000000</v>
      </c>
      <c r="V39" s="1232">
        <v>-37000000</v>
      </c>
      <c r="W39" s="1232">
        <v>-44000000</v>
      </c>
      <c r="X39" s="1232">
        <v>-53000000</v>
      </c>
      <c r="Y39" s="1232">
        <v>-61000000</v>
      </c>
      <c r="Z39" s="1369">
        <f>Z19-Z6</f>
        <v>-43500000</v>
      </c>
    </row>
    <row r="40" spans="1:26">
      <c r="A40" s="1034" t="s">
        <v>117</v>
      </c>
      <c r="B40" s="1034" t="s">
        <v>2822</v>
      </c>
      <c r="C40" s="1034" t="s">
        <v>252</v>
      </c>
      <c r="D40" s="1036">
        <v>72500000</v>
      </c>
      <c r="E40" s="1036">
        <v>48200000</v>
      </c>
      <c r="F40" s="1036">
        <v>287100000</v>
      </c>
      <c r="G40" s="1038">
        <v>39700000</v>
      </c>
      <c r="H40" s="1036">
        <v>67900000</v>
      </c>
      <c r="I40" s="1036">
        <v>69400000</v>
      </c>
      <c r="J40" s="1033">
        <v>54500000</v>
      </c>
      <c r="K40" s="1033">
        <v>40200000</v>
      </c>
      <c r="L40" s="1033">
        <v>44100000</v>
      </c>
      <c r="M40" s="1033">
        <v>44100000</v>
      </c>
      <c r="N40" s="1033">
        <v>35000000</v>
      </c>
      <c r="O40" s="1042"/>
      <c r="P40" s="1042"/>
      <c r="Q40" s="1042"/>
      <c r="R40" s="1042"/>
      <c r="S40" s="1042"/>
      <c r="T40" s="1042"/>
      <c r="U40" s="1042"/>
      <c r="V40" s="1042"/>
      <c r="W40" s="1042"/>
      <c r="X40" s="1042"/>
      <c r="Y40" s="1042"/>
    </row>
    <row r="41" spans="1:26">
      <c r="A41" s="1037" t="s">
        <v>2823</v>
      </c>
      <c r="B41" s="1037" t="s">
        <v>2824</v>
      </c>
      <c r="C41" s="1032" t="s">
        <v>264</v>
      </c>
      <c r="D41" s="1036"/>
      <c r="E41" s="1036"/>
      <c r="F41" s="1036">
        <v>287100000</v>
      </c>
      <c r="G41" s="1038">
        <v>39700000</v>
      </c>
      <c r="H41" s="1036">
        <v>111700000</v>
      </c>
      <c r="I41" s="1036">
        <v>25700000</v>
      </c>
      <c r="J41" s="1033">
        <v>54800000</v>
      </c>
      <c r="K41" s="1033">
        <v>40500000</v>
      </c>
      <c r="L41" s="1033">
        <v>40100000</v>
      </c>
      <c r="M41" s="1033">
        <v>44100000</v>
      </c>
      <c r="N41" s="1033">
        <v>35000000</v>
      </c>
      <c r="O41" s="1036"/>
      <c r="P41" s="1036"/>
      <c r="Q41" s="1036"/>
      <c r="R41" s="1036"/>
      <c r="S41" s="1036"/>
      <c r="T41" s="1036"/>
      <c r="U41" s="1036"/>
      <c r="V41" s="1036"/>
      <c r="W41" s="1036"/>
      <c r="X41" s="1226"/>
      <c r="Y41" s="1226"/>
    </row>
    <row r="42" spans="1:26">
      <c r="A42" s="1039" t="s">
        <v>415</v>
      </c>
      <c r="B42" s="1039" t="s">
        <v>415</v>
      </c>
      <c r="C42" s="1032" t="s">
        <v>2825</v>
      </c>
      <c r="D42" s="1036"/>
      <c r="E42" s="1036"/>
      <c r="F42" s="1036">
        <v>312400000</v>
      </c>
      <c r="G42" s="1038">
        <v>66599999.999999993</v>
      </c>
      <c r="H42" s="1036">
        <v>157500000</v>
      </c>
      <c r="I42" s="1036">
        <v>40000000</v>
      </c>
      <c r="J42" s="1033">
        <v>73800000</v>
      </c>
      <c r="K42" s="1033">
        <v>62700000</v>
      </c>
      <c r="L42" s="1033">
        <v>65700000</v>
      </c>
      <c r="M42" s="1033">
        <v>71500000</v>
      </c>
      <c r="N42" s="1033">
        <v>68800000</v>
      </c>
      <c r="O42" s="1036"/>
      <c r="P42" s="1036"/>
      <c r="Q42" s="1036"/>
      <c r="R42" s="1036"/>
      <c r="S42" s="1036"/>
      <c r="T42" s="1036"/>
      <c r="U42" s="1036"/>
      <c r="V42" s="1036"/>
      <c r="W42" s="1036"/>
      <c r="X42" s="1226"/>
      <c r="Y42" s="1226"/>
    </row>
    <row r="43" spans="1:26">
      <c r="A43" s="1039" t="s">
        <v>258</v>
      </c>
      <c r="B43" s="1039" t="s">
        <v>258</v>
      </c>
      <c r="C43" s="1032" t="s">
        <v>2825</v>
      </c>
      <c r="D43" s="1036"/>
      <c r="E43" s="1036"/>
      <c r="F43" s="1036">
        <v>-25300000</v>
      </c>
      <c r="G43" s="1038">
        <v>-26900000</v>
      </c>
      <c r="H43" s="1036">
        <v>-45900000</v>
      </c>
      <c r="I43" s="1036">
        <v>-14300000</v>
      </c>
      <c r="J43" s="1033">
        <v>-19000000</v>
      </c>
      <c r="K43" s="1033">
        <v>-22200000</v>
      </c>
      <c r="L43" s="1033">
        <v>-25600000</v>
      </c>
      <c r="M43" s="1033">
        <v>-27400000</v>
      </c>
      <c r="N43" s="1033">
        <v>-33800000</v>
      </c>
      <c r="O43" s="1036"/>
      <c r="P43" s="1036"/>
      <c r="Q43" s="1036"/>
      <c r="R43" s="1036"/>
      <c r="S43" s="1036"/>
      <c r="T43" s="1036"/>
      <c r="U43" s="1036"/>
      <c r="V43" s="1036"/>
      <c r="W43" s="1036"/>
      <c r="X43" s="1226"/>
      <c r="Y43" s="1226"/>
    </row>
    <row r="44" spans="1:26">
      <c r="A44" s="1037" t="s">
        <v>2826</v>
      </c>
      <c r="B44" s="1037" t="s">
        <v>2827</v>
      </c>
      <c r="C44" s="1032" t="s">
        <v>264</v>
      </c>
      <c r="D44" s="1036"/>
      <c r="E44" s="1036"/>
      <c r="F44" s="1036">
        <v>0</v>
      </c>
      <c r="G44" s="1038">
        <v>0</v>
      </c>
      <c r="H44" s="1036">
        <v>-43700000</v>
      </c>
      <c r="I44" s="1036">
        <v>43700000</v>
      </c>
      <c r="J44" s="1033">
        <v>-300000</v>
      </c>
      <c r="K44" s="1033">
        <v>-300000</v>
      </c>
      <c r="L44" s="1033">
        <v>4000000</v>
      </c>
      <c r="M44" s="1033">
        <v>0</v>
      </c>
      <c r="N44" s="1033">
        <v>0</v>
      </c>
      <c r="O44" s="1036"/>
      <c r="P44" s="1036"/>
      <c r="Q44" s="1036"/>
      <c r="R44" s="1036"/>
      <c r="S44" s="1036"/>
      <c r="T44" s="1036"/>
      <c r="U44" s="1036"/>
      <c r="V44" s="1036"/>
      <c r="W44" s="1036"/>
      <c r="X44" s="1226"/>
      <c r="Y44" s="1226"/>
    </row>
    <row r="45" spans="1:26">
      <c r="A45" s="1034" t="s">
        <v>2299</v>
      </c>
      <c r="B45" s="1034" t="s">
        <v>2828</v>
      </c>
      <c r="C45" s="1034" t="s">
        <v>252</v>
      </c>
      <c r="D45" s="1036">
        <v>-4300000</v>
      </c>
      <c r="E45" s="1036">
        <v>47800000</v>
      </c>
      <c r="F45" s="1036">
        <v>-21100000</v>
      </c>
      <c r="G45" s="1038">
        <v>73600000</v>
      </c>
      <c r="H45" s="1036">
        <v>-38100000</v>
      </c>
      <c r="I45" s="1036">
        <v>-32200000.000000004</v>
      </c>
      <c r="J45" s="1033">
        <v>23200000</v>
      </c>
      <c r="K45" s="1033">
        <v>69700000</v>
      </c>
      <c r="L45" s="1033">
        <v>700000</v>
      </c>
      <c r="M45" s="1033">
        <v>13300000</v>
      </c>
      <c r="N45" s="1033">
        <v>36900000</v>
      </c>
      <c r="O45" s="1036"/>
      <c r="P45" s="1036"/>
      <c r="Q45" s="1036"/>
      <c r="R45" s="1036"/>
      <c r="S45" s="1036"/>
      <c r="T45" s="1036"/>
      <c r="U45" s="1036"/>
      <c r="V45" s="1036"/>
      <c r="W45" s="1036"/>
      <c r="X45" s="1226"/>
      <c r="Y45" s="1226"/>
    </row>
    <row r="46" spans="1:26">
      <c r="A46" s="1027" t="s">
        <v>2829</v>
      </c>
      <c r="B46" s="1034" t="s">
        <v>2830</v>
      </c>
      <c r="C46" s="1032" t="s">
        <v>124</v>
      </c>
      <c r="D46" s="1036"/>
      <c r="E46" s="1036"/>
      <c r="F46" s="1036"/>
      <c r="G46" s="1036"/>
      <c r="H46" s="1036"/>
      <c r="I46" s="1036">
        <v>-600000</v>
      </c>
      <c r="J46" s="1033">
        <v>-5800000</v>
      </c>
      <c r="K46" s="1033">
        <v>12600000</v>
      </c>
      <c r="L46" s="1033">
        <v>2300000</v>
      </c>
      <c r="M46" s="1033">
        <v>0</v>
      </c>
      <c r="N46" s="1033">
        <v>37000000</v>
      </c>
      <c r="O46" s="1036"/>
      <c r="P46" s="1036"/>
      <c r="Q46" s="1036"/>
      <c r="R46" s="1036"/>
      <c r="S46" s="1036"/>
      <c r="T46" s="1036"/>
      <c r="U46" s="1036"/>
      <c r="V46" s="1036"/>
      <c r="W46" s="1036"/>
      <c r="X46" s="1226"/>
      <c r="Y46" s="1226"/>
    </row>
    <row r="47" spans="1:26">
      <c r="A47" s="1034" t="s">
        <v>2831</v>
      </c>
      <c r="B47" s="1034" t="s">
        <v>2832</v>
      </c>
      <c r="C47" s="1032" t="s">
        <v>124</v>
      </c>
      <c r="D47" s="1036"/>
      <c r="E47" s="1036"/>
      <c r="F47" s="1036"/>
      <c r="G47" s="1036"/>
      <c r="H47" s="1036"/>
      <c r="I47" s="1036">
        <v>-31600000</v>
      </c>
      <c r="J47" s="1033">
        <v>26500000</v>
      </c>
      <c r="K47" s="1033">
        <v>54400000</v>
      </c>
      <c r="L47" s="1033">
        <v>13300000</v>
      </c>
      <c r="M47" s="1033">
        <v>9600000</v>
      </c>
      <c r="N47" s="1033">
        <v>0</v>
      </c>
      <c r="O47" s="1036"/>
      <c r="P47" s="1036"/>
      <c r="Q47" s="1036"/>
      <c r="R47" s="1036"/>
      <c r="S47" s="1036"/>
      <c r="T47" s="1036"/>
      <c r="U47" s="1036"/>
      <c r="V47" s="1036"/>
      <c r="W47" s="1036"/>
      <c r="X47" s="1226"/>
      <c r="Y47" s="1226"/>
    </row>
    <row r="48" spans="1:26">
      <c r="A48" s="1034" t="s">
        <v>2833</v>
      </c>
      <c r="B48" s="1034" t="s">
        <v>2834</v>
      </c>
      <c r="C48" s="1032" t="s">
        <v>124</v>
      </c>
      <c r="D48" s="1036"/>
      <c r="E48" s="1036"/>
      <c r="F48" s="1036"/>
      <c r="G48" s="1036"/>
      <c r="H48" s="1036"/>
      <c r="I48" s="1036">
        <v>0</v>
      </c>
      <c r="J48" s="1033">
        <v>2500000</v>
      </c>
      <c r="K48" s="1033">
        <v>2700000</v>
      </c>
      <c r="L48" s="1033">
        <v>-14900000</v>
      </c>
      <c r="M48" s="1033">
        <v>3700000</v>
      </c>
      <c r="N48" s="1033">
        <v>0</v>
      </c>
      <c r="O48" s="1036"/>
      <c r="P48" s="1036"/>
      <c r="Q48" s="1036"/>
      <c r="R48" s="1036"/>
      <c r="S48" s="1036"/>
      <c r="T48" s="1036"/>
      <c r="U48" s="1036"/>
      <c r="V48" s="1036"/>
      <c r="W48" s="1036"/>
      <c r="X48" s="1226"/>
      <c r="Y48" s="1226"/>
    </row>
    <row r="49" spans="1:26">
      <c r="A49" s="1027" t="s">
        <v>76</v>
      </c>
      <c r="B49" s="1034" t="s">
        <v>2835</v>
      </c>
      <c r="C49" s="1032"/>
      <c r="D49" s="1036"/>
      <c r="E49" s="1036"/>
      <c r="F49" s="1036"/>
      <c r="G49" s="1036"/>
      <c r="H49" s="1036"/>
      <c r="I49" s="1036"/>
      <c r="J49" s="1033">
        <v>1500000</v>
      </c>
      <c r="K49" s="1033">
        <v>0</v>
      </c>
      <c r="L49" s="1033">
        <v>2900000</v>
      </c>
      <c r="M49" s="1033">
        <v>3600000</v>
      </c>
      <c r="N49" s="1033">
        <v>0</v>
      </c>
      <c r="O49" s="1036"/>
      <c r="P49" s="1036"/>
      <c r="Q49" s="1036"/>
      <c r="R49" s="1036"/>
      <c r="S49" s="1036"/>
      <c r="T49" s="1036"/>
      <c r="U49" s="1036"/>
      <c r="V49" s="1036"/>
      <c r="W49" s="1036"/>
      <c r="X49" s="1226"/>
      <c r="Y49" s="1226"/>
    </row>
    <row r="50" spans="1:26">
      <c r="A50" s="1034" t="s">
        <v>2836</v>
      </c>
      <c r="B50" s="1034" t="s">
        <v>2837</v>
      </c>
      <c r="C50" s="1034" t="s">
        <v>252</v>
      </c>
      <c r="D50" s="1036">
        <v>0</v>
      </c>
      <c r="E50" s="1036">
        <v>0</v>
      </c>
      <c r="F50" s="1036">
        <v>2500000</v>
      </c>
      <c r="G50" s="1036">
        <v>300000</v>
      </c>
      <c r="H50" s="1036">
        <v>0</v>
      </c>
      <c r="I50" s="1036">
        <v>0</v>
      </c>
      <c r="J50" s="1033">
        <v>8800000</v>
      </c>
      <c r="K50" s="1033">
        <v>36000000</v>
      </c>
      <c r="L50" s="1033">
        <v>50300000</v>
      </c>
      <c r="M50" s="1033">
        <v>2400000</v>
      </c>
      <c r="N50" s="1033">
        <v>0</v>
      </c>
      <c r="O50" s="1036"/>
      <c r="P50" s="1036"/>
      <c r="Q50" s="1036"/>
      <c r="R50" s="1036"/>
      <c r="S50" s="1036"/>
      <c r="T50" s="1036"/>
      <c r="U50" s="1036"/>
      <c r="V50" s="1036"/>
      <c r="W50" s="1036"/>
      <c r="X50" s="1226"/>
      <c r="Y50" s="1226"/>
    </row>
    <row r="51" spans="1:26">
      <c r="A51" s="1034" t="s">
        <v>2838</v>
      </c>
      <c r="B51" s="1034" t="s">
        <v>2839</v>
      </c>
      <c r="C51" s="1034" t="s">
        <v>252</v>
      </c>
      <c r="D51" s="1036">
        <v>-16200000</v>
      </c>
      <c r="E51" s="1036">
        <v>23700000</v>
      </c>
      <c r="F51" s="1036">
        <v>-45400000</v>
      </c>
      <c r="G51" s="1036">
        <v>0</v>
      </c>
      <c r="H51" s="1036">
        <v>22000000</v>
      </c>
      <c r="I51" s="1036">
        <v>-1400000</v>
      </c>
      <c r="J51" s="1033">
        <v>28700000</v>
      </c>
      <c r="K51" s="1033">
        <v>-20500000</v>
      </c>
      <c r="L51" s="1033">
        <v>-19600000</v>
      </c>
      <c r="M51" s="1033">
        <v>17600000</v>
      </c>
      <c r="N51" s="1033">
        <v>-20800000</v>
      </c>
      <c r="O51" s="1036"/>
      <c r="P51" s="1036"/>
      <c r="Q51" s="1036"/>
      <c r="R51" s="1036"/>
      <c r="S51" s="1036"/>
      <c r="T51" s="1036"/>
      <c r="U51" s="1036"/>
      <c r="V51" s="1036"/>
      <c r="W51" s="1036"/>
      <c r="X51" s="1226"/>
      <c r="Y51" s="1226"/>
    </row>
    <row r="52" spans="1:26">
      <c r="B52" s="1034"/>
      <c r="C52" s="1032"/>
      <c r="D52" s="1036"/>
      <c r="E52" s="1036"/>
      <c r="F52" s="1036"/>
      <c r="G52" s="1036"/>
      <c r="H52" s="1036"/>
      <c r="I52" s="1036"/>
      <c r="J52" s="1036"/>
      <c r="K52" s="1036"/>
      <c r="L52" s="1036"/>
      <c r="M52" s="1036"/>
      <c r="N52" s="1036"/>
      <c r="O52" s="1036"/>
      <c r="P52" s="1036"/>
      <c r="Q52" s="1036"/>
      <c r="R52" s="1036"/>
      <c r="S52" s="1036"/>
      <c r="T52" s="1036"/>
      <c r="U52" s="1036"/>
      <c r="V52" s="1036"/>
      <c r="W52" s="1036"/>
      <c r="X52" s="1226"/>
      <c r="Y52" s="1226"/>
    </row>
    <row r="53" spans="1:26">
      <c r="B53" s="1034"/>
      <c r="C53" s="1032"/>
      <c r="D53" s="1027" t="s">
        <v>139</v>
      </c>
      <c r="E53" s="1027" t="s">
        <v>139</v>
      </c>
      <c r="F53" s="1027" t="s">
        <v>138</v>
      </c>
      <c r="G53" s="1027" t="s">
        <v>138</v>
      </c>
      <c r="H53" s="1027" t="s">
        <v>138</v>
      </c>
      <c r="I53" s="1027" t="s">
        <v>138</v>
      </c>
      <c r="J53" s="1027" t="s">
        <v>139</v>
      </c>
      <c r="K53" s="1027" t="s">
        <v>139</v>
      </c>
      <c r="L53" s="1027" t="s">
        <v>139</v>
      </c>
      <c r="M53" s="1027" t="s">
        <v>139</v>
      </c>
      <c r="N53" s="1027" t="s">
        <v>139</v>
      </c>
      <c r="O53" s="1027" t="s">
        <v>139</v>
      </c>
      <c r="P53" s="1027" t="s">
        <v>139</v>
      </c>
      <c r="Q53" s="1027" t="s">
        <v>139</v>
      </c>
      <c r="R53" s="1027" t="s">
        <v>139</v>
      </c>
      <c r="S53" s="1027" t="s">
        <v>139</v>
      </c>
      <c r="T53" s="1027" t="s">
        <v>139</v>
      </c>
      <c r="U53" s="1027" t="s">
        <v>139</v>
      </c>
      <c r="V53" s="1027" t="s">
        <v>139</v>
      </c>
      <c r="W53" s="1027" t="s">
        <v>139</v>
      </c>
      <c r="X53" s="1027" t="s">
        <v>139</v>
      </c>
      <c r="Y53" s="1027" t="s">
        <v>139</v>
      </c>
      <c r="Z53" s="1027" t="s">
        <v>139</v>
      </c>
    </row>
    <row r="54" spans="1:26">
      <c r="B54" s="1034"/>
      <c r="C54" s="1032"/>
      <c r="O54" s="1027" t="s">
        <v>1760</v>
      </c>
      <c r="P54" s="1027" t="s">
        <v>1760</v>
      </c>
      <c r="Q54" s="1027" t="s">
        <v>1760</v>
      </c>
      <c r="R54" s="1027" t="s">
        <v>1760</v>
      </c>
      <c r="S54" s="1027" t="s">
        <v>1760</v>
      </c>
      <c r="T54" s="1027" t="s">
        <v>1760</v>
      </c>
      <c r="U54" s="1027" t="s">
        <v>1760</v>
      </c>
      <c r="V54" s="1027" t="s">
        <v>1760</v>
      </c>
      <c r="W54" s="1027" t="s">
        <v>1760</v>
      </c>
      <c r="X54" s="1027" t="s">
        <v>1760</v>
      </c>
      <c r="Y54" s="1027" t="s">
        <v>1760</v>
      </c>
    </row>
    <row r="55" spans="1:26">
      <c r="B55" s="1034"/>
      <c r="C55" s="1032"/>
      <c r="X55" s="1226"/>
      <c r="Y55" s="1226"/>
    </row>
    <row r="56" spans="1:26">
      <c r="B56" s="1034" t="s">
        <v>449</v>
      </c>
      <c r="C56" s="1032"/>
      <c r="D56" s="1042">
        <f>D6-D18-D7</f>
        <v>0</v>
      </c>
      <c r="E56" s="1042">
        <f t="shared" ref="E56:W56" si="0">E6-E18-E7</f>
        <v>-100000</v>
      </c>
      <c r="F56" s="1042">
        <f t="shared" si="0"/>
        <v>100000</v>
      </c>
      <c r="G56" s="1042">
        <f t="shared" si="0"/>
        <v>0</v>
      </c>
      <c r="H56" s="1042">
        <f t="shared" si="0"/>
        <v>0</v>
      </c>
      <c r="I56" s="1042">
        <f t="shared" si="0"/>
        <v>0</v>
      </c>
      <c r="J56" s="1042">
        <f t="shared" si="0"/>
        <v>10000</v>
      </c>
      <c r="K56" s="1042">
        <f t="shared" si="0"/>
        <v>0</v>
      </c>
      <c r="L56" s="1042">
        <f t="shared" si="0"/>
        <v>0</v>
      </c>
      <c r="M56" s="1042">
        <f t="shared" si="0"/>
        <v>0</v>
      </c>
      <c r="N56" s="1042">
        <f t="shared" si="0"/>
        <v>0</v>
      </c>
      <c r="O56" s="1042">
        <f t="shared" si="0"/>
        <v>0</v>
      </c>
      <c r="P56" s="1042">
        <f t="shared" si="0"/>
        <v>0</v>
      </c>
      <c r="Q56" s="1042">
        <f t="shared" si="0"/>
        <v>0</v>
      </c>
      <c r="R56" s="1042">
        <f t="shared" si="0"/>
        <v>0</v>
      </c>
      <c r="S56" s="1042">
        <f t="shared" si="0"/>
        <v>0</v>
      </c>
      <c r="T56" s="1042">
        <f t="shared" si="0"/>
        <v>0</v>
      </c>
      <c r="U56" s="1042">
        <f t="shared" si="0"/>
        <v>100000</v>
      </c>
      <c r="V56" s="1042">
        <f t="shared" si="0"/>
        <v>0</v>
      </c>
      <c r="W56" s="1042">
        <f t="shared" si="0"/>
        <v>0</v>
      </c>
      <c r="X56" s="1042">
        <f>X6-X18-X7</f>
        <v>-100000</v>
      </c>
      <c r="Y56" s="1042">
        <f>Y6-Y18-Y7</f>
        <v>0</v>
      </c>
      <c r="Z56" s="1042">
        <f>Z6-Z18-Z7</f>
        <v>0</v>
      </c>
    </row>
    <row r="57" spans="1:26">
      <c r="B57" s="1034" t="s">
        <v>358</v>
      </c>
      <c r="C57" s="1032"/>
      <c r="D57" s="1042">
        <f>D7-D9-D16-D17</f>
        <v>-100000</v>
      </c>
      <c r="E57" s="1042">
        <f t="shared" ref="E57:V57" si="1">E7-E9-E16-E17</f>
        <v>0</v>
      </c>
      <c r="F57" s="1042">
        <f t="shared" si="1"/>
        <v>2.9802322387695313E-8</v>
      </c>
      <c r="G57" s="1042">
        <f t="shared" si="1"/>
        <v>-100000</v>
      </c>
      <c r="H57" s="1042">
        <f t="shared" si="1"/>
        <v>100000</v>
      </c>
      <c r="I57" s="1042">
        <f t="shared" si="1"/>
        <v>0</v>
      </c>
      <c r="J57" s="1042">
        <f t="shared" si="1"/>
        <v>100000</v>
      </c>
      <c r="K57" s="1042">
        <f t="shared" si="1"/>
        <v>0</v>
      </c>
      <c r="L57" s="1042">
        <f t="shared" si="1"/>
        <v>100000</v>
      </c>
      <c r="M57" s="1042">
        <f t="shared" si="1"/>
        <v>0</v>
      </c>
      <c r="N57" s="1042">
        <f t="shared" si="1"/>
        <v>200000</v>
      </c>
      <c r="O57" s="1042">
        <f t="shared" si="1"/>
        <v>100000</v>
      </c>
      <c r="P57" s="1042">
        <f t="shared" si="1"/>
        <v>100000</v>
      </c>
      <c r="Q57" s="1042">
        <f t="shared" si="1"/>
        <v>-100000</v>
      </c>
      <c r="R57" s="1042">
        <f t="shared" si="1"/>
        <v>0</v>
      </c>
      <c r="S57" s="1042">
        <f t="shared" si="1"/>
        <v>-100000</v>
      </c>
      <c r="T57" s="1042">
        <f t="shared" si="1"/>
        <v>0</v>
      </c>
      <c r="U57" s="1042">
        <f t="shared" si="1"/>
        <v>-100000</v>
      </c>
      <c r="V57" s="1042">
        <f t="shared" si="1"/>
        <v>0</v>
      </c>
      <c r="W57" s="1042">
        <f>W7-W9-W16-W17</f>
        <v>0</v>
      </c>
      <c r="X57" s="1042">
        <f>X7-X9-X16-X17</f>
        <v>0</v>
      </c>
      <c r="Y57" s="1042">
        <f>Y7-Y9-Y16-Y17</f>
        <v>0</v>
      </c>
      <c r="Z57" s="1042">
        <f>Z7-Z9-Z16-Z17</f>
        <v>0</v>
      </c>
    </row>
    <row r="58" spans="1:26" ht="16.5" customHeight="1">
      <c r="B58" s="1034" t="s">
        <v>451</v>
      </c>
      <c r="C58" s="1032"/>
      <c r="D58" s="1042">
        <f>D9-D10-D11-D12-D14-D15</f>
        <v>0</v>
      </c>
      <c r="E58" s="1042">
        <f t="shared" ref="E58:W58" si="2">E9-E10-E11-E12-E14-E15</f>
        <v>0</v>
      </c>
      <c r="F58" s="1042">
        <f t="shared" si="2"/>
        <v>0</v>
      </c>
      <c r="G58" s="1042">
        <f t="shared" si="2"/>
        <v>0</v>
      </c>
      <c r="H58" s="1042">
        <f t="shared" si="2"/>
        <v>-100000</v>
      </c>
      <c r="I58" s="1042">
        <f t="shared" si="2"/>
        <v>0</v>
      </c>
      <c r="J58" s="1042">
        <f t="shared" si="2"/>
        <v>0</v>
      </c>
      <c r="K58" s="1042">
        <f t="shared" si="2"/>
        <v>0</v>
      </c>
      <c r="L58" s="1042">
        <f t="shared" si="2"/>
        <v>0</v>
      </c>
      <c r="M58" s="1042">
        <f t="shared" si="2"/>
        <v>100000</v>
      </c>
      <c r="N58" s="1042">
        <f t="shared" si="2"/>
        <v>0</v>
      </c>
      <c r="O58" s="1042">
        <f t="shared" si="2"/>
        <v>0</v>
      </c>
      <c r="P58" s="1042">
        <f t="shared" si="2"/>
        <v>0</v>
      </c>
      <c r="Q58" s="1042">
        <f t="shared" si="2"/>
        <v>0</v>
      </c>
      <c r="R58" s="1042">
        <f t="shared" si="2"/>
        <v>0</v>
      </c>
      <c r="S58" s="1042">
        <f t="shared" si="2"/>
        <v>0</v>
      </c>
      <c r="T58" s="1042">
        <f t="shared" si="2"/>
        <v>-100000</v>
      </c>
      <c r="U58" s="1042">
        <f t="shared" si="2"/>
        <v>0</v>
      </c>
      <c r="V58" s="1042">
        <f t="shared" si="2"/>
        <v>2.9802322387695313E-8</v>
      </c>
      <c r="W58" s="1042">
        <f t="shared" si="2"/>
        <v>100000</v>
      </c>
      <c r="X58" s="1042">
        <f>X9-X10-X11-X12-X14-X15</f>
        <v>0</v>
      </c>
      <c r="Y58" s="1042">
        <f>Y9-Y10-Y11-Y12-Y14-Y15</f>
        <v>0</v>
      </c>
      <c r="Z58" s="1042">
        <f>Z9-Z10-Z11-Z12-Z14-Z15</f>
        <v>-2.9802322387695313E-8</v>
      </c>
    </row>
    <row r="59" spans="1:26" ht="16.5" customHeight="1">
      <c r="B59" s="1034" t="s">
        <v>1207</v>
      </c>
      <c r="C59" s="1032"/>
      <c r="D59" s="1042">
        <f>D19-D20-D32</f>
        <v>0</v>
      </c>
      <c r="E59" s="1042">
        <f t="shared" ref="E59:W59" si="3">E19-E20-E32</f>
        <v>0</v>
      </c>
      <c r="F59" s="1042">
        <f t="shared" si="3"/>
        <v>0</v>
      </c>
      <c r="G59" s="1042">
        <f t="shared" si="3"/>
        <v>100000</v>
      </c>
      <c r="H59" s="1042">
        <f>H19-H20-H32</f>
        <v>0</v>
      </c>
      <c r="I59" s="1042">
        <f t="shared" si="3"/>
        <v>-100000</v>
      </c>
      <c r="J59" s="1042">
        <f t="shared" si="3"/>
        <v>0</v>
      </c>
      <c r="K59" s="1042">
        <f t="shared" si="3"/>
        <v>0</v>
      </c>
      <c r="L59" s="1042">
        <f t="shared" si="3"/>
        <v>0</v>
      </c>
      <c r="M59" s="1042">
        <f t="shared" si="3"/>
        <v>0</v>
      </c>
      <c r="N59" s="1042">
        <f t="shared" si="3"/>
        <v>-100000</v>
      </c>
      <c r="O59" s="1042">
        <f t="shared" si="3"/>
        <v>0</v>
      </c>
      <c r="P59" s="1042">
        <f t="shared" si="3"/>
        <v>-100000</v>
      </c>
      <c r="Q59" s="1042">
        <f t="shared" si="3"/>
        <v>-100000</v>
      </c>
      <c r="R59" s="1042">
        <f t="shared" si="3"/>
        <v>0</v>
      </c>
      <c r="S59" s="1042">
        <f t="shared" si="3"/>
        <v>0</v>
      </c>
      <c r="T59" s="1042">
        <f t="shared" si="3"/>
        <v>0</v>
      </c>
      <c r="U59" s="1042">
        <f t="shared" si="3"/>
        <v>0</v>
      </c>
      <c r="V59" s="1042">
        <f t="shared" si="3"/>
        <v>100000</v>
      </c>
      <c r="W59" s="1042">
        <f t="shared" si="3"/>
        <v>100000</v>
      </c>
      <c r="X59" s="1042">
        <f>X19-X20-X32</f>
        <v>0</v>
      </c>
      <c r="Y59" s="1042">
        <f>Y19-Y20-Y32</f>
        <v>0</v>
      </c>
      <c r="Z59" s="1042">
        <f>Z19-Z20-Z32</f>
        <v>0</v>
      </c>
    </row>
    <row r="60" spans="1:26" ht="16.5" customHeight="1">
      <c r="B60" s="1034" t="s">
        <v>453</v>
      </c>
      <c r="C60" s="1032"/>
      <c r="D60" s="1042">
        <f>D20-D22-D25-D26-D27-D28-D31</f>
        <v>-100000</v>
      </c>
      <c r="E60" s="1042">
        <f>E20-E22-E25-E26-E27-E28-E31</f>
        <v>-100000</v>
      </c>
      <c r="F60" s="1042">
        <f>F20-F22-F25-F26-F27-F28-F31</f>
        <v>0</v>
      </c>
      <c r="G60" s="1042">
        <f t="shared" ref="G60:W60" si="4">G20-G22-G25-G26-G27-G28-G31</f>
        <v>-100000</v>
      </c>
      <c r="H60" s="1042">
        <f t="shared" si="4"/>
        <v>0</v>
      </c>
      <c r="I60" s="1042">
        <f t="shared" si="4"/>
        <v>0</v>
      </c>
      <c r="J60" s="1042">
        <f t="shared" si="4"/>
        <v>-100000</v>
      </c>
      <c r="K60" s="1042">
        <f t="shared" si="4"/>
        <v>0</v>
      </c>
      <c r="L60" s="1042">
        <f t="shared" si="4"/>
        <v>0</v>
      </c>
      <c r="M60" s="1042">
        <f t="shared" si="4"/>
        <v>-100000</v>
      </c>
      <c r="N60" s="1042">
        <f t="shared" si="4"/>
        <v>0</v>
      </c>
      <c r="O60" s="1042">
        <f t="shared" si="4"/>
        <v>0</v>
      </c>
      <c r="P60" s="1042">
        <f t="shared" si="4"/>
        <v>100000</v>
      </c>
      <c r="Q60" s="1042">
        <f t="shared" si="4"/>
        <v>0</v>
      </c>
      <c r="R60" s="1042">
        <f t="shared" si="4"/>
        <v>100000</v>
      </c>
      <c r="S60" s="1042">
        <f t="shared" si="4"/>
        <v>-100000</v>
      </c>
      <c r="T60" s="1042">
        <f t="shared" si="4"/>
        <v>100000</v>
      </c>
      <c r="U60" s="1042">
        <f t="shared" si="4"/>
        <v>0</v>
      </c>
      <c r="V60" s="1042">
        <f t="shared" si="4"/>
        <v>-100000</v>
      </c>
      <c r="W60" s="1042">
        <f t="shared" si="4"/>
        <v>0</v>
      </c>
      <c r="X60" s="1042">
        <f>X20-X22-X25-X26-X27-X28-X31</f>
        <v>0</v>
      </c>
      <c r="Y60" s="1042">
        <f>Y20-Y22-Y25-Y26-Y27-Y28-Y31</f>
        <v>-100000</v>
      </c>
      <c r="Z60" s="1042">
        <f>Z20-Z22-Z25-Z26-Z27-Z28-Z31</f>
        <v>0</v>
      </c>
    </row>
    <row r="61" spans="1:26" ht="16.5" customHeight="1">
      <c r="B61" s="1034" t="s">
        <v>2840</v>
      </c>
      <c r="C61" s="1032"/>
      <c r="D61" s="1043">
        <f>D22-D23-D24</f>
        <v>114400000</v>
      </c>
      <c r="E61" s="1043">
        <f t="shared" ref="E61:W61" si="5">E22-E23-E24</f>
        <v>127600000</v>
      </c>
      <c r="F61" s="1043">
        <f t="shared" si="5"/>
        <v>114100000</v>
      </c>
      <c r="G61" s="1042">
        <f t="shared" si="5"/>
        <v>0</v>
      </c>
      <c r="H61" s="1042">
        <f t="shared" si="5"/>
        <v>0</v>
      </c>
      <c r="I61" s="1042">
        <f t="shared" si="5"/>
        <v>0</v>
      </c>
      <c r="J61" s="1042">
        <f t="shared" si="5"/>
        <v>100000</v>
      </c>
      <c r="K61" s="1042">
        <f t="shared" si="5"/>
        <v>0</v>
      </c>
      <c r="L61" s="1043">
        <f>L22-L23-L24</f>
        <v>200800000</v>
      </c>
      <c r="M61" s="1043">
        <f t="shared" si="5"/>
        <v>191200000</v>
      </c>
      <c r="N61" s="1043">
        <f t="shared" si="5"/>
        <v>195300000</v>
      </c>
      <c r="O61" s="1043">
        <f t="shared" si="5"/>
        <v>231900000</v>
      </c>
      <c r="P61" s="1043">
        <f t="shared" si="5"/>
        <v>227200000</v>
      </c>
      <c r="Q61" s="1043">
        <f t="shared" si="5"/>
        <v>243500000</v>
      </c>
      <c r="R61" s="1043">
        <f t="shared" si="5"/>
        <v>242400000</v>
      </c>
      <c r="S61" s="1043">
        <f t="shared" si="5"/>
        <v>215300000</v>
      </c>
      <c r="T61" s="1043">
        <f t="shared" si="5"/>
        <v>240400000</v>
      </c>
      <c r="U61" s="1043">
        <f t="shared" si="5"/>
        <v>256600000.00000003</v>
      </c>
      <c r="V61" s="1043">
        <f t="shared" si="5"/>
        <v>269100000</v>
      </c>
      <c r="W61" s="1043">
        <f t="shared" si="5"/>
        <v>283600000</v>
      </c>
      <c r="X61" s="1043">
        <f>X22-X23-X24</f>
        <v>297100000</v>
      </c>
      <c r="Y61" s="1043">
        <f>Y22-Y23-Y24</f>
        <v>311400000</v>
      </c>
      <c r="Z61" s="1043">
        <f>Z22-Z23-Z24</f>
        <v>326400000</v>
      </c>
    </row>
    <row r="62" spans="1:26" ht="16.5" customHeight="1">
      <c r="B62" s="1034" t="s">
        <v>291</v>
      </c>
      <c r="C62" s="1032"/>
      <c r="D62" s="1042">
        <f>D28-D29-D30</f>
        <v>0</v>
      </c>
      <c r="E62" s="1042">
        <f>E28-E29-E30</f>
        <v>0</v>
      </c>
      <c r="F62" s="1042">
        <f>F28-F29-F30</f>
        <v>0</v>
      </c>
      <c r="G62" s="1042">
        <f t="shared" ref="G62:W62" si="6">G28-G29-G30</f>
        <v>100000</v>
      </c>
      <c r="H62" s="1042">
        <f t="shared" si="6"/>
        <v>0</v>
      </c>
      <c r="I62" s="1042">
        <f t="shared" si="6"/>
        <v>100000</v>
      </c>
      <c r="J62" s="1042">
        <f t="shared" si="6"/>
        <v>0</v>
      </c>
      <c r="K62" s="1042">
        <f t="shared" si="6"/>
        <v>100000</v>
      </c>
      <c r="L62" s="1043">
        <f t="shared" si="6"/>
        <v>38200000</v>
      </c>
      <c r="M62" s="1043">
        <f t="shared" si="6"/>
        <v>46300000</v>
      </c>
      <c r="N62" s="1043">
        <f t="shared" si="6"/>
        <v>45000000</v>
      </c>
      <c r="O62" s="1043">
        <f t="shared" si="6"/>
        <v>51600000</v>
      </c>
      <c r="P62" s="1043">
        <f t="shared" si="6"/>
        <v>73600000</v>
      </c>
      <c r="Q62" s="1043">
        <f t="shared" si="6"/>
        <v>75300000</v>
      </c>
      <c r="R62" s="1043">
        <f t="shared" si="6"/>
        <v>87200000</v>
      </c>
      <c r="S62" s="1043">
        <f t="shared" si="6"/>
        <v>89900000</v>
      </c>
      <c r="T62" s="1043">
        <f t="shared" si="6"/>
        <v>82300000</v>
      </c>
      <c r="U62" s="1043">
        <f t="shared" si="6"/>
        <v>66200000</v>
      </c>
      <c r="V62" s="1043">
        <f t="shared" si="6"/>
        <v>59700000</v>
      </c>
      <c r="W62" s="1043">
        <f t="shared" si="6"/>
        <v>55000000</v>
      </c>
      <c r="X62" s="1043">
        <f>X28-X29-X30</f>
        <v>51300000</v>
      </c>
      <c r="Y62" s="1043">
        <f>Y28-Y29-Y30</f>
        <v>47200000</v>
      </c>
      <c r="Z62" s="1043">
        <f>Z28-Z29-Z30</f>
        <v>44900000</v>
      </c>
    </row>
    <row r="63" spans="1:26" ht="16.5" customHeight="1">
      <c r="B63" s="1034" t="s">
        <v>1623</v>
      </c>
      <c r="C63" s="1042"/>
      <c r="D63" s="1043">
        <f>D32-D33-D34</f>
        <v>135200000</v>
      </c>
      <c r="E63" s="1043">
        <f>E32-E33-E34</f>
        <v>162600000</v>
      </c>
      <c r="F63" s="1043">
        <f>F32-F33-F34</f>
        <v>244400000</v>
      </c>
      <c r="G63" s="1043">
        <f t="shared" ref="G63:W63" si="7">G32-G33-G34</f>
        <v>179100000</v>
      </c>
      <c r="H63" s="1043">
        <f t="shared" si="7"/>
        <v>93800000</v>
      </c>
      <c r="I63" s="1043">
        <f t="shared" si="7"/>
        <v>206000000</v>
      </c>
      <c r="J63" s="1043">
        <f t="shared" si="7"/>
        <v>285800000</v>
      </c>
      <c r="K63" s="1043">
        <f t="shared" si="7"/>
        <v>223100000</v>
      </c>
      <c r="L63" s="1042">
        <f t="shared" si="7"/>
        <v>0</v>
      </c>
      <c r="M63" s="1042">
        <f t="shared" si="7"/>
        <v>0</v>
      </c>
      <c r="N63" s="1042">
        <f t="shared" si="7"/>
        <v>0</v>
      </c>
      <c r="O63" s="1042">
        <f t="shared" si="7"/>
        <v>0</v>
      </c>
      <c r="P63" s="1042">
        <f t="shared" si="7"/>
        <v>0</v>
      </c>
      <c r="Q63" s="1042">
        <f t="shared" si="7"/>
        <v>0</v>
      </c>
      <c r="R63" s="1042">
        <f t="shared" si="7"/>
        <v>0</v>
      </c>
      <c r="S63" s="1042">
        <f t="shared" si="7"/>
        <v>-100000</v>
      </c>
      <c r="T63" s="1042">
        <f t="shared" si="7"/>
        <v>0</v>
      </c>
      <c r="U63" s="1042">
        <f t="shared" si="7"/>
        <v>0</v>
      </c>
      <c r="V63" s="1042">
        <f t="shared" si="7"/>
        <v>0</v>
      </c>
      <c r="W63" s="1042">
        <f t="shared" si="7"/>
        <v>0</v>
      </c>
      <c r="X63" s="1042">
        <f>X32-X33-X34</f>
        <v>0</v>
      </c>
      <c r="Y63" s="1042">
        <f>Y32-Y33-Y34</f>
        <v>0</v>
      </c>
      <c r="Z63" s="1042">
        <f>Z32-Z33-Z34</f>
        <v>0</v>
      </c>
    </row>
    <row r="64" spans="1:26" ht="18.75" customHeight="1">
      <c r="B64" s="1034" t="s">
        <v>457</v>
      </c>
      <c r="C64" s="1032"/>
      <c r="D64" s="1042">
        <f>D39-D40-D45-D50-D51</f>
        <v>-100000</v>
      </c>
      <c r="E64" s="1042">
        <f t="shared" ref="E64:W64" si="8">E39-E40-E45-E50-E51</f>
        <v>0</v>
      </c>
      <c r="F64" s="1042">
        <f t="shared" si="8"/>
        <v>100000</v>
      </c>
      <c r="G64" s="1042">
        <f t="shared" si="8"/>
        <v>-100000</v>
      </c>
      <c r="H64" s="1042">
        <f t="shared" si="8"/>
        <v>0</v>
      </c>
      <c r="I64" s="1042">
        <f t="shared" si="8"/>
        <v>3.7252902984619141E-9</v>
      </c>
      <c r="J64" s="1042">
        <f t="shared" si="8"/>
        <v>0</v>
      </c>
      <c r="K64" s="1042">
        <f t="shared" si="8"/>
        <v>0</v>
      </c>
      <c r="L64" s="1042">
        <f t="shared" si="8"/>
        <v>0</v>
      </c>
      <c r="M64" s="1042">
        <f t="shared" si="8"/>
        <v>0</v>
      </c>
      <c r="N64" s="1042">
        <f t="shared" si="8"/>
        <v>0</v>
      </c>
      <c r="O64" s="1043">
        <f>O39-O40-O45-O50-O51</f>
        <v>109000000</v>
      </c>
      <c r="P64" s="1043">
        <f>P39-P40-P45-P50-P51</f>
        <v>127000000</v>
      </c>
      <c r="Q64" s="1043">
        <f t="shared" si="8"/>
        <v>165000000</v>
      </c>
      <c r="R64" s="1043">
        <f t="shared" si="8"/>
        <v>115000000</v>
      </c>
      <c r="S64" s="1043">
        <f t="shared" si="8"/>
        <v>32000000</v>
      </c>
      <c r="T64" s="1043">
        <f t="shared" si="8"/>
        <v>-11000000</v>
      </c>
      <c r="U64" s="1043">
        <f t="shared" si="8"/>
        <v>-18000000</v>
      </c>
      <c r="V64" s="1043">
        <f t="shared" si="8"/>
        <v>-37000000</v>
      </c>
      <c r="W64" s="1043">
        <f t="shared" si="8"/>
        <v>-44000000</v>
      </c>
      <c r="X64" s="1043">
        <f>X39-X40-X45-X50-X51</f>
        <v>-53000000</v>
      </c>
      <c r="Y64" s="1043">
        <f>Y39-Y40-Y45-Y50-Y51</f>
        <v>-61000000</v>
      </c>
      <c r="Z64" s="1043">
        <f>Z39-Z40-Z45-Z50-Z51</f>
        <v>-43500000</v>
      </c>
    </row>
    <row r="65" spans="2:26" ht="18.75" customHeight="1">
      <c r="B65" s="1034" t="s">
        <v>978</v>
      </c>
      <c r="C65" s="1032"/>
      <c r="D65" s="1043">
        <f>D40-D41-D44</f>
        <v>72500000</v>
      </c>
      <c r="E65" s="1043">
        <f t="shared" ref="E65:W65" si="9">E40-E41-E44</f>
        <v>48200000</v>
      </c>
      <c r="F65" s="1042">
        <f t="shared" si="9"/>
        <v>0</v>
      </c>
      <c r="G65" s="1042">
        <f t="shared" si="9"/>
        <v>0</v>
      </c>
      <c r="H65" s="1042">
        <f t="shared" si="9"/>
        <v>-100000</v>
      </c>
      <c r="I65" s="1042">
        <f t="shared" si="9"/>
        <v>0</v>
      </c>
      <c r="J65" s="1042">
        <f t="shared" si="9"/>
        <v>0</v>
      </c>
      <c r="K65" s="1042">
        <f t="shared" si="9"/>
        <v>0</v>
      </c>
      <c r="L65" s="1042">
        <f t="shared" si="9"/>
        <v>0</v>
      </c>
      <c r="M65" s="1042">
        <f t="shared" si="9"/>
        <v>0</v>
      </c>
      <c r="N65" s="1042">
        <f t="shared" si="9"/>
        <v>0</v>
      </c>
      <c r="O65" s="1042">
        <f>O40-O41-O44</f>
        <v>0</v>
      </c>
      <c r="P65" s="1042">
        <f t="shared" si="9"/>
        <v>0</v>
      </c>
      <c r="Q65" s="1042">
        <f t="shared" si="9"/>
        <v>0</v>
      </c>
      <c r="R65" s="1042">
        <f t="shared" si="9"/>
        <v>0</v>
      </c>
      <c r="S65" s="1042">
        <f t="shared" si="9"/>
        <v>0</v>
      </c>
      <c r="T65" s="1042">
        <f t="shared" si="9"/>
        <v>0</v>
      </c>
      <c r="U65" s="1042">
        <f t="shared" si="9"/>
        <v>0</v>
      </c>
      <c r="V65" s="1042">
        <f t="shared" si="9"/>
        <v>0</v>
      </c>
      <c r="W65" s="1042">
        <f t="shared" si="9"/>
        <v>0</v>
      </c>
      <c r="X65" s="1042">
        <f>X40-X41-X44</f>
        <v>0</v>
      </c>
      <c r="Y65" s="1042">
        <f>Y40-Y41-Y44</f>
        <v>0</v>
      </c>
      <c r="Z65" s="1042">
        <f>Z40-Z41-Z44</f>
        <v>0</v>
      </c>
    </row>
    <row r="66" spans="2:26" ht="18.75" customHeight="1">
      <c r="B66" s="1034" t="s">
        <v>2841</v>
      </c>
      <c r="C66" s="1032"/>
      <c r="D66" s="1042">
        <f>D41-D42-D43</f>
        <v>0</v>
      </c>
      <c r="E66" s="1042">
        <f t="shared" ref="E66:W66" si="10">E41-E42-E43</f>
        <v>0</v>
      </c>
      <c r="F66" s="1042">
        <f t="shared" si="10"/>
        <v>0</v>
      </c>
      <c r="G66" s="1042">
        <f t="shared" si="10"/>
        <v>0</v>
      </c>
      <c r="H66" s="1042">
        <f t="shared" si="10"/>
        <v>100000</v>
      </c>
      <c r="I66" s="1042">
        <f t="shared" si="10"/>
        <v>0</v>
      </c>
      <c r="J66" s="1042">
        <f t="shared" si="10"/>
        <v>0</v>
      </c>
      <c r="K66" s="1042">
        <f t="shared" si="10"/>
        <v>0</v>
      </c>
      <c r="L66" s="1042">
        <f t="shared" si="10"/>
        <v>0</v>
      </c>
      <c r="M66" s="1042">
        <f t="shared" si="10"/>
        <v>0</v>
      </c>
      <c r="N66" s="1042">
        <f t="shared" si="10"/>
        <v>0</v>
      </c>
      <c r="O66" s="1042">
        <f>O41-O42-O43</f>
        <v>0</v>
      </c>
      <c r="P66" s="1042">
        <f t="shared" si="10"/>
        <v>0</v>
      </c>
      <c r="Q66" s="1042">
        <f t="shared" si="10"/>
        <v>0</v>
      </c>
      <c r="R66" s="1042">
        <f t="shared" si="10"/>
        <v>0</v>
      </c>
      <c r="S66" s="1042">
        <f t="shared" si="10"/>
        <v>0</v>
      </c>
      <c r="T66" s="1042">
        <f t="shared" si="10"/>
        <v>0</v>
      </c>
      <c r="U66" s="1042">
        <f t="shared" si="10"/>
        <v>0</v>
      </c>
      <c r="V66" s="1042">
        <f t="shared" si="10"/>
        <v>0</v>
      </c>
      <c r="W66" s="1042">
        <f t="shared" si="10"/>
        <v>0</v>
      </c>
      <c r="X66" s="1042">
        <f>X41-X42-X43</f>
        <v>0</v>
      </c>
      <c r="Y66" s="1042">
        <f>Y41-Y42-Y43</f>
        <v>0</v>
      </c>
      <c r="Z66" s="1042">
        <f>Z41-Z42-Z43</f>
        <v>0</v>
      </c>
    </row>
    <row r="67" spans="2:26" ht="18.75" customHeight="1">
      <c r="B67" s="1034" t="s">
        <v>297</v>
      </c>
      <c r="C67" s="1032"/>
      <c r="D67" s="1043">
        <f>D45-D46-D47-D48</f>
        <v>-4300000</v>
      </c>
      <c r="E67" s="1043">
        <f t="shared" ref="E67:W67" si="11">E45-E46-E47-E48</f>
        <v>47800000</v>
      </c>
      <c r="F67" s="1043">
        <f t="shared" si="11"/>
        <v>-21100000</v>
      </c>
      <c r="G67" s="1043">
        <f t="shared" si="11"/>
        <v>73600000</v>
      </c>
      <c r="H67" s="1043">
        <f t="shared" si="11"/>
        <v>-38100000</v>
      </c>
      <c r="I67" s="1042">
        <f t="shared" si="11"/>
        <v>-3.7252902984619141E-9</v>
      </c>
      <c r="J67" s="1042">
        <f t="shared" si="11"/>
        <v>0</v>
      </c>
      <c r="K67" s="1042">
        <f>K45-K46-K47-K48</f>
        <v>0</v>
      </c>
      <c r="L67" s="1042">
        <f t="shared" si="11"/>
        <v>0</v>
      </c>
      <c r="M67" s="1042">
        <f t="shared" si="11"/>
        <v>0</v>
      </c>
      <c r="N67" s="1042">
        <f t="shared" si="11"/>
        <v>-100000</v>
      </c>
      <c r="O67" s="1042">
        <f t="shared" si="11"/>
        <v>0</v>
      </c>
      <c r="P67" s="1042">
        <f t="shared" si="11"/>
        <v>0</v>
      </c>
      <c r="Q67" s="1042">
        <f>Q45-Q46-Q47-Q48</f>
        <v>0</v>
      </c>
      <c r="R67" s="1042">
        <f t="shared" si="11"/>
        <v>0</v>
      </c>
      <c r="S67" s="1042">
        <f t="shared" si="11"/>
        <v>0</v>
      </c>
      <c r="T67" s="1042">
        <f t="shared" si="11"/>
        <v>0</v>
      </c>
      <c r="U67" s="1042">
        <f t="shared" si="11"/>
        <v>0</v>
      </c>
      <c r="V67" s="1042">
        <f t="shared" si="11"/>
        <v>0</v>
      </c>
      <c r="W67" s="1042">
        <f t="shared" si="11"/>
        <v>0</v>
      </c>
      <c r="X67" s="1042">
        <f>X45-X46-X47-X48</f>
        <v>0</v>
      </c>
      <c r="Y67" s="1042">
        <f>Y45-Y46-Y47-Y48</f>
        <v>0</v>
      </c>
      <c r="Z67" s="1042">
        <f>Z45-Z46-Z47-Z48</f>
        <v>0</v>
      </c>
    </row>
    <row r="68" spans="2:26" ht="18.75" customHeight="1">
      <c r="B68" s="1034"/>
      <c r="C68" s="1032"/>
      <c r="F68" s="1042"/>
      <c r="X68" s="1226"/>
      <c r="Y68" s="1226"/>
    </row>
    <row r="69" spans="2:26">
      <c r="B69" s="1034" t="s">
        <v>543</v>
      </c>
      <c r="C69" s="1032"/>
      <c r="D69" s="1027">
        <v>520000000</v>
      </c>
      <c r="E69" s="1027">
        <v>520000000</v>
      </c>
      <c r="F69" s="1027">
        <v>540000000</v>
      </c>
      <c r="G69" s="1027">
        <v>591000000</v>
      </c>
      <c r="H69" s="1027">
        <v>599000000</v>
      </c>
      <c r="I69" s="1027">
        <v>695000000</v>
      </c>
      <c r="J69" s="1027">
        <v>699000000</v>
      </c>
      <c r="K69" s="1027">
        <v>759000000</v>
      </c>
      <c r="L69" s="1027">
        <v>826000000</v>
      </c>
      <c r="M69" s="1027">
        <v>771000000</v>
      </c>
      <c r="N69" s="1027">
        <v>771000000</v>
      </c>
      <c r="O69" s="1027">
        <v>779000000</v>
      </c>
      <c r="P69" s="1027">
        <v>800000000</v>
      </c>
      <c r="Q69" s="1027">
        <v>836000000</v>
      </c>
      <c r="R69" s="1356">
        <v>2462000000</v>
      </c>
      <c r="S69" s="1356">
        <v>2575000000</v>
      </c>
      <c r="T69" s="1356">
        <v>2692000000</v>
      </c>
      <c r="U69" s="1356">
        <v>2831000000</v>
      </c>
      <c r="V69" s="1356">
        <v>2983000000</v>
      </c>
      <c r="W69" s="1356">
        <v>3139000000</v>
      </c>
      <c r="X69" s="1356">
        <v>3298000000</v>
      </c>
      <c r="Y69" s="1356">
        <v>3466000000</v>
      </c>
    </row>
    <row r="70" spans="2:26">
      <c r="B70" s="1027" t="s">
        <v>151</v>
      </c>
      <c r="D70" s="1360">
        <f>(D6/D69)*100</f>
        <v>63.557692307692307</v>
      </c>
      <c r="E70" s="1360">
        <f t="shared" ref="E70:R70" si="12">(E6/E69)*100</f>
        <v>63.557692307692307</v>
      </c>
      <c r="F70" s="1360">
        <f t="shared" si="12"/>
        <v>59.037037037037031</v>
      </c>
      <c r="G70" s="1360">
        <f t="shared" si="12"/>
        <v>69.915397631133672</v>
      </c>
      <c r="H70" s="1360">
        <f t="shared" si="12"/>
        <v>65.225375626043402</v>
      </c>
      <c r="I70" s="1360">
        <f t="shared" si="12"/>
        <v>74.201438848920873</v>
      </c>
      <c r="J70" s="1360">
        <f t="shared" si="12"/>
        <v>73.234620886981403</v>
      </c>
      <c r="K70" s="1360">
        <f t="shared" si="12"/>
        <v>58.735177865612656</v>
      </c>
      <c r="L70" s="1360">
        <f t="shared" si="12"/>
        <v>65.290556900726386</v>
      </c>
      <c r="M70" s="1360">
        <f t="shared" si="12"/>
        <v>61.439688715953309</v>
      </c>
      <c r="N70" s="1360">
        <f t="shared" si="12"/>
        <v>66.511024643320354</v>
      </c>
      <c r="O70" s="1360">
        <f t="shared" si="12"/>
        <v>63.722721437740695</v>
      </c>
      <c r="P70" s="1360">
        <f t="shared" si="12"/>
        <v>56.162500000000001</v>
      </c>
      <c r="Q70" s="1360">
        <f t="shared" si="12"/>
        <v>56.782296650717697</v>
      </c>
      <c r="R70" s="1360">
        <f t="shared" si="12"/>
        <v>24.484159220146225</v>
      </c>
      <c r="S70" s="1360">
        <f t="shared" ref="S70:Y70" si="13">(S6/S69)*100</f>
        <v>25.561165048543689</v>
      </c>
      <c r="T70" s="1360">
        <f t="shared" si="13"/>
        <v>27.916047548291235</v>
      </c>
      <c r="U70" s="1360">
        <f t="shared" si="13"/>
        <v>27.552101730837158</v>
      </c>
      <c r="V70" s="1360">
        <f t="shared" si="13"/>
        <v>27.006369426751593</v>
      </c>
      <c r="W70" s="1360">
        <f t="shared" si="13"/>
        <v>26.556228098120421</v>
      </c>
      <c r="X70" s="1360">
        <f t="shared" si="13"/>
        <v>26.224984839296546</v>
      </c>
      <c r="Y70" s="1360">
        <f t="shared" si="13"/>
        <v>25.796306982111943</v>
      </c>
    </row>
    <row r="71" spans="2:26">
      <c r="B71" s="1027" t="s">
        <v>1132</v>
      </c>
      <c r="D71" s="1360">
        <f>(D19/D69)*100</f>
        <v>70.32692307692308</v>
      </c>
      <c r="E71" s="1360">
        <f t="shared" ref="E71:R71" si="14">(E19/E69)*100</f>
        <v>80.884615384615387</v>
      </c>
      <c r="F71" s="1360">
        <f t="shared" si="14"/>
        <v>98.1111111111111</v>
      </c>
      <c r="G71" s="1360">
        <f t="shared" si="14"/>
        <v>79.661590524534688</v>
      </c>
      <c r="H71" s="1360">
        <f t="shared" si="14"/>
        <v>71.151919866444075</v>
      </c>
      <c r="I71" s="1360">
        <f t="shared" si="14"/>
        <v>73.223021582733821</v>
      </c>
      <c r="J71" s="1360">
        <f t="shared" si="14"/>
        <v>86.552217453505008</v>
      </c>
      <c r="K71" s="1360">
        <f t="shared" si="14"/>
        <v>75.862977602108046</v>
      </c>
      <c r="L71" s="1360">
        <f t="shared" si="14"/>
        <v>76.50121065375302</v>
      </c>
      <c r="M71" s="1360">
        <f t="shared" si="14"/>
        <v>75.577172503242537</v>
      </c>
      <c r="N71" s="1360">
        <f t="shared" si="14"/>
        <v>76.264591439688715</v>
      </c>
      <c r="O71" s="1360">
        <f t="shared" si="14"/>
        <v>77.689345314505772</v>
      </c>
      <c r="P71" s="1360">
        <f t="shared" si="14"/>
        <v>72.037499999999994</v>
      </c>
      <c r="Q71" s="1360">
        <f t="shared" si="14"/>
        <v>76.507177033492823</v>
      </c>
      <c r="R71" s="1360">
        <f t="shared" si="14"/>
        <v>29.147034930950451</v>
      </c>
      <c r="S71" s="1360">
        <f t="shared" ref="S71:Y71" si="15">(S19/S69)*100</f>
        <v>26.819417475728159</v>
      </c>
      <c r="T71" s="1360">
        <f t="shared" si="15"/>
        <v>25.468053491827636</v>
      </c>
      <c r="U71" s="1360">
        <f t="shared" si="15"/>
        <v>25.277287177675735</v>
      </c>
      <c r="V71" s="1360">
        <f t="shared" si="15"/>
        <v>24.52564532349983</v>
      </c>
      <c r="W71" s="1360">
        <f t="shared" si="15"/>
        <v>23.940745460337688</v>
      </c>
      <c r="X71" s="1360">
        <f t="shared" si="15"/>
        <v>23.24742268041237</v>
      </c>
      <c r="Y71" s="1360">
        <f t="shared" si="15"/>
        <v>23.211194460473166</v>
      </c>
    </row>
    <row r="76" spans="2:26">
      <c r="N76" s="1034"/>
      <c r="O76" s="1356"/>
      <c r="P76" s="1356"/>
      <c r="Q76" s="1356"/>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2842</v>
      </c>
      <c r="B1" s="82" t="s">
        <v>2843</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row>
    <row r="2" spans="1:38">
      <c r="B2" s="30" t="s">
        <v>2844</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row>
    <row r="3" spans="1:38">
      <c r="B3" s="34" t="s">
        <v>3</v>
      </c>
      <c r="C3" s="34"/>
      <c r="D3" s="28">
        <v>2000</v>
      </c>
      <c r="E3" s="28">
        <v>2001</v>
      </c>
      <c r="F3" s="28">
        <v>2002</v>
      </c>
      <c r="G3" s="28">
        <v>2003</v>
      </c>
      <c r="H3" s="28">
        <v>2004</v>
      </c>
      <c r="I3" s="309">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5"/>
      <c r="AC3" s="365"/>
      <c r="AD3" s="365"/>
      <c r="AE3" s="365"/>
      <c r="AF3" s="365"/>
      <c r="AG3" s="365"/>
      <c r="AH3" s="365"/>
      <c r="AI3" s="365"/>
      <c r="AJ3" s="365"/>
      <c r="AK3" s="365"/>
      <c r="AL3" s="365"/>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1137</v>
      </c>
      <c r="AB4" s="365"/>
      <c r="AC4" s="365"/>
      <c r="AD4" s="365"/>
      <c r="AE4" s="365"/>
      <c r="AF4" s="365"/>
      <c r="AG4" s="365"/>
      <c r="AH4" s="365"/>
      <c r="AI4" s="365"/>
      <c r="AJ4" s="365"/>
      <c r="AK4" s="365"/>
      <c r="AL4" s="365"/>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5"/>
      <c r="AC5" s="365"/>
      <c r="AD5" s="365"/>
      <c r="AE5" s="365"/>
      <c r="AF5" s="365"/>
      <c r="AG5" s="365"/>
      <c r="AH5" s="365"/>
      <c r="AI5" s="365"/>
      <c r="AJ5" s="365"/>
      <c r="AK5" s="365"/>
      <c r="AL5" s="365"/>
    </row>
    <row r="6" spans="1:38">
      <c r="A6" s="34" t="s">
        <v>785</v>
      </c>
      <c r="B6" s="34" t="s">
        <v>2845</v>
      </c>
      <c r="C6" s="239" t="s">
        <v>35</v>
      </c>
      <c r="D6" s="298">
        <f>D7+D14</f>
        <v>16469000000</v>
      </c>
      <c r="E6" s="298">
        <f t="shared" ref="E6:Q6" si="0">E7+E14</f>
        <v>18222000000</v>
      </c>
      <c r="F6" s="298">
        <f t="shared" si="0"/>
        <v>20771000000</v>
      </c>
      <c r="G6" s="298">
        <f t="shared" si="0"/>
        <v>21809000000</v>
      </c>
      <c r="H6" s="298">
        <f t="shared" si="0"/>
        <v>23462000000</v>
      </c>
      <c r="I6" s="298">
        <f t="shared" si="0"/>
        <v>24927480000.000004</v>
      </c>
      <c r="J6" s="298">
        <f t="shared" si="0"/>
        <v>29250000000</v>
      </c>
      <c r="K6" s="298">
        <f t="shared" si="0"/>
        <v>33611000000</v>
      </c>
      <c r="L6" s="298">
        <f t="shared" si="0"/>
        <v>35578000000</v>
      </c>
      <c r="M6" s="298">
        <f t="shared" si="0"/>
        <v>34037000000</v>
      </c>
      <c r="N6" s="298">
        <f t="shared" si="0"/>
        <v>37425000000</v>
      </c>
      <c r="O6" s="298">
        <f t="shared" si="0"/>
        <v>43178000000</v>
      </c>
      <c r="P6" s="298">
        <f t="shared" si="0"/>
        <v>45874000000</v>
      </c>
      <c r="Q6" s="298">
        <f t="shared" si="0"/>
        <v>49259000000</v>
      </c>
      <c r="R6" s="298">
        <f>R7+R14</f>
        <v>52217000000</v>
      </c>
      <c r="S6" s="298">
        <f t="shared" ref="S6:AA6" si="1">S7+S14</f>
        <v>52857000000</v>
      </c>
      <c r="T6" s="298">
        <f t="shared" si="1"/>
        <v>57414000000</v>
      </c>
      <c r="U6" s="298">
        <f t="shared" si="1"/>
        <v>59983000000</v>
      </c>
      <c r="V6" s="298">
        <f t="shared" si="1"/>
        <v>64940000000</v>
      </c>
      <c r="W6" s="298">
        <f t="shared" si="1"/>
        <v>69996000000</v>
      </c>
      <c r="X6" s="298">
        <f t="shared" si="1"/>
        <v>75561000000</v>
      </c>
      <c r="Y6" s="298">
        <f t="shared" si="1"/>
        <v>81096000000</v>
      </c>
      <c r="Z6" s="298">
        <f t="shared" si="1"/>
        <v>87495000000</v>
      </c>
      <c r="AA6" s="298">
        <f t="shared" si="1"/>
        <v>94328000000</v>
      </c>
      <c r="AB6" s="365"/>
      <c r="AC6" s="365"/>
      <c r="AD6" s="365"/>
      <c r="AE6" s="365"/>
      <c r="AF6" s="365"/>
      <c r="AG6" s="365"/>
      <c r="AH6" s="365"/>
      <c r="AI6" s="365"/>
      <c r="AJ6" s="365"/>
      <c r="AK6" s="365"/>
      <c r="AL6" s="365"/>
    </row>
    <row r="7" spans="1:38" s="9" customFormat="1" ht="16.5">
      <c r="A7" s="18" t="s">
        <v>370</v>
      </c>
      <c r="B7" s="18" t="s">
        <v>2846</v>
      </c>
      <c r="C7" s="11" t="s">
        <v>38</v>
      </c>
      <c r="D7" s="296">
        <v>16469000000</v>
      </c>
      <c r="E7" s="296">
        <v>18222000000</v>
      </c>
      <c r="F7" s="296">
        <v>20771000000</v>
      </c>
      <c r="G7" s="296">
        <v>21809000000</v>
      </c>
      <c r="H7" s="296">
        <v>23462000000</v>
      </c>
      <c r="I7" s="295">
        <v>24927480000.000004</v>
      </c>
      <c r="J7" s="295">
        <v>29250000000</v>
      </c>
      <c r="K7" s="295">
        <v>33611000000</v>
      </c>
      <c r="L7" s="296">
        <v>35578000000</v>
      </c>
      <c r="M7" s="296">
        <v>34037000000</v>
      </c>
      <c r="N7" s="296">
        <v>37425000000</v>
      </c>
      <c r="O7" s="296">
        <v>43178000000</v>
      </c>
      <c r="P7" s="296">
        <v>45874000000</v>
      </c>
      <c r="Q7" s="296">
        <v>49259000000</v>
      </c>
      <c r="R7" s="296">
        <f>R8+R12</f>
        <v>52217000000</v>
      </c>
      <c r="S7" s="296">
        <f t="shared" ref="S7:AA7" si="2">S8+S12</f>
        <v>52857000000</v>
      </c>
      <c r="T7" s="296">
        <f t="shared" si="2"/>
        <v>57414000000</v>
      </c>
      <c r="U7" s="296">
        <f t="shared" si="2"/>
        <v>59983000000</v>
      </c>
      <c r="V7" s="296">
        <f t="shared" si="2"/>
        <v>64940000000</v>
      </c>
      <c r="W7" s="296">
        <f t="shared" si="2"/>
        <v>69996000000</v>
      </c>
      <c r="X7" s="296">
        <f t="shared" si="2"/>
        <v>75561000000</v>
      </c>
      <c r="Y7" s="296">
        <f t="shared" si="2"/>
        <v>81096000000</v>
      </c>
      <c r="Z7" s="296">
        <f t="shared" si="2"/>
        <v>87495000000</v>
      </c>
      <c r="AA7" s="296">
        <f t="shared" si="2"/>
        <v>94328000000</v>
      </c>
      <c r="AB7" s="365"/>
      <c r="AC7" s="365"/>
      <c r="AD7" s="365"/>
      <c r="AE7" s="365"/>
      <c r="AF7" s="365"/>
      <c r="AG7" s="365"/>
      <c r="AH7" s="365"/>
      <c r="AI7" s="365"/>
      <c r="AJ7" s="365"/>
      <c r="AK7" s="365"/>
      <c r="AL7" s="365"/>
    </row>
    <row r="8" spans="1:38" ht="16.5">
      <c r="A8" s="90" t="s">
        <v>2273</v>
      </c>
      <c r="B8" s="90" t="s">
        <v>2847</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5"/>
      <c r="AC8" s="365"/>
      <c r="AD8" s="365"/>
      <c r="AE8" s="365"/>
      <c r="AF8" s="365"/>
      <c r="AG8" s="365"/>
      <c r="AH8" s="365"/>
      <c r="AI8" s="365"/>
      <c r="AJ8" s="365"/>
      <c r="AK8" s="365"/>
      <c r="AL8" s="365"/>
    </row>
    <row r="9" spans="1:38" ht="16.5">
      <c r="A9" s="99" t="s">
        <v>989</v>
      </c>
      <c r="B9" s="99" t="s">
        <v>2848</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5"/>
      <c r="AC9" s="365"/>
      <c r="AD9" s="365"/>
      <c r="AE9" s="365"/>
      <c r="AF9" s="365"/>
      <c r="AG9" s="365"/>
      <c r="AH9" s="365"/>
      <c r="AI9" s="365"/>
      <c r="AJ9" s="365"/>
      <c r="AK9" s="365"/>
      <c r="AL9" s="365"/>
    </row>
    <row r="10" spans="1:38" ht="16.5">
      <c r="A10" s="99" t="s">
        <v>992</v>
      </c>
      <c r="B10" s="99" t="s">
        <v>2849</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5"/>
      <c r="AC10" s="365"/>
      <c r="AD10" s="365"/>
      <c r="AE10" s="365"/>
      <c r="AF10" s="365"/>
      <c r="AG10" s="365"/>
      <c r="AH10" s="365"/>
      <c r="AI10" s="365"/>
      <c r="AJ10" s="365"/>
      <c r="AK10" s="365"/>
      <c r="AL10" s="365"/>
    </row>
    <row r="11" spans="1:38">
      <c r="A11" s="99" t="s">
        <v>49</v>
      </c>
      <c r="B11" s="99" t="s">
        <v>1772</v>
      </c>
      <c r="C11" s="58" t="s">
        <v>44</v>
      </c>
      <c r="D11" s="210"/>
      <c r="E11" s="210"/>
      <c r="F11" s="210"/>
      <c r="G11" s="210"/>
      <c r="H11" s="210"/>
      <c r="I11" s="319">
        <f>I8-I9-I10</f>
        <v>415458000</v>
      </c>
      <c r="J11" s="125"/>
      <c r="K11" s="125"/>
      <c r="L11" s="210"/>
      <c r="M11" s="210"/>
      <c r="N11" s="210"/>
      <c r="O11" s="210"/>
      <c r="P11" s="210"/>
      <c r="Q11" s="210"/>
      <c r="R11" s="210"/>
      <c r="S11" s="210"/>
      <c r="T11" s="210"/>
      <c r="U11" s="210"/>
      <c r="V11" s="210"/>
      <c r="W11" s="210"/>
      <c r="X11" s="210"/>
      <c r="Y11" s="210"/>
      <c r="Z11" s="210"/>
      <c r="AA11" s="210"/>
      <c r="AB11" s="365"/>
      <c r="AC11" s="365"/>
      <c r="AD11" s="365"/>
      <c r="AE11" s="365"/>
      <c r="AF11" s="365"/>
      <c r="AG11" s="365"/>
      <c r="AH11" s="365"/>
      <c r="AI11" s="365"/>
      <c r="AJ11" s="365"/>
      <c r="AK11" s="365"/>
      <c r="AL11" s="365"/>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5"/>
      <c r="AC12" s="365"/>
      <c r="AD12" s="365"/>
      <c r="AE12" s="365"/>
      <c r="AF12" s="365"/>
      <c r="AG12" s="365"/>
      <c r="AH12" s="365"/>
      <c r="AI12" s="365"/>
      <c r="AJ12" s="365"/>
      <c r="AK12" s="365"/>
      <c r="AL12" s="365"/>
    </row>
    <row r="13" spans="1:38">
      <c r="A13" s="90" t="s">
        <v>468</v>
      </c>
      <c r="B13" s="90" t="s">
        <v>562</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5"/>
      <c r="AC13" s="365"/>
      <c r="AD13" s="365"/>
      <c r="AE13" s="365"/>
      <c r="AF13" s="365"/>
      <c r="AG13" s="365"/>
      <c r="AH13" s="365"/>
      <c r="AI13" s="365"/>
      <c r="AJ13" s="365"/>
      <c r="AK13" s="365"/>
      <c r="AL13" s="365"/>
    </row>
    <row r="14" spans="1:38">
      <c r="A14" s="90" t="s">
        <v>795</v>
      </c>
      <c r="B14" s="90" t="s">
        <v>795</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5"/>
      <c r="AC14" s="365"/>
      <c r="AD14" s="365"/>
      <c r="AE14" s="365"/>
      <c r="AF14" s="365"/>
      <c r="AG14" s="365"/>
      <c r="AH14" s="365"/>
      <c r="AI14" s="365"/>
      <c r="AJ14" s="365"/>
      <c r="AK14" s="365"/>
      <c r="AL14" s="365"/>
    </row>
    <row r="15" spans="1:38" s="9" customFormat="1" ht="16.5">
      <c r="A15" s="18" t="s">
        <v>198</v>
      </c>
      <c r="B15" s="18" t="s">
        <v>2850</v>
      </c>
      <c r="C15" s="239" t="s">
        <v>35</v>
      </c>
      <c r="D15" s="210">
        <v>19110000000</v>
      </c>
      <c r="E15" s="210">
        <v>21327000000</v>
      </c>
      <c r="F15" s="210">
        <v>22541000000</v>
      </c>
      <c r="G15" s="210">
        <v>26333000000</v>
      </c>
      <c r="H15" s="210">
        <v>24337000000</v>
      </c>
      <c r="I15" s="295">
        <v>28458873000</v>
      </c>
      <c r="J15" s="295">
        <v>33721000000</v>
      </c>
      <c r="K15" s="295">
        <v>37382000000</v>
      </c>
      <c r="L15" s="210">
        <v>40355000000</v>
      </c>
      <c r="M15" s="296">
        <v>43709000000</v>
      </c>
      <c r="N15" s="296">
        <v>48385000000</v>
      </c>
      <c r="O15" s="296">
        <f>O16+O23</f>
        <v>53513000000</v>
      </c>
      <c r="P15" s="296">
        <v>55320000000</v>
      </c>
      <c r="Q15" s="296">
        <v>58269000000</v>
      </c>
      <c r="R15" s="296">
        <f>R16+R23</f>
        <v>60811000000</v>
      </c>
      <c r="S15" s="296">
        <f t="shared" ref="S15:AA15" si="3">S16+S23</f>
        <v>59866000000</v>
      </c>
      <c r="T15" s="296">
        <f t="shared" si="3"/>
        <v>63075000000</v>
      </c>
      <c r="U15" s="296">
        <f t="shared" si="3"/>
        <v>67272000000</v>
      </c>
      <c r="V15" s="296">
        <f t="shared" si="3"/>
        <v>73497000000</v>
      </c>
      <c r="W15" s="296">
        <f t="shared" si="3"/>
        <v>80944000000</v>
      </c>
      <c r="X15" s="296">
        <f t="shared" si="3"/>
        <v>88252000000</v>
      </c>
      <c r="Y15" s="296">
        <f t="shared" si="3"/>
        <v>96017000000</v>
      </c>
      <c r="Z15" s="296">
        <f t="shared" si="3"/>
        <v>104577000000</v>
      </c>
      <c r="AA15" s="296">
        <f t="shared" si="3"/>
        <v>113138000000</v>
      </c>
      <c r="AB15" s="365"/>
      <c r="AC15" s="365"/>
      <c r="AD15" s="365"/>
      <c r="AE15" s="365"/>
      <c r="AF15" s="365"/>
      <c r="AG15" s="365"/>
      <c r="AH15" s="365"/>
      <c r="AI15" s="365"/>
      <c r="AJ15" s="365"/>
      <c r="AK15" s="365"/>
      <c r="AL15" s="365"/>
    </row>
    <row r="16" spans="1:38" ht="16.5">
      <c r="A16" s="139" t="s">
        <v>73</v>
      </c>
      <c r="B16" s="139" t="s">
        <v>541</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5"/>
      <c r="AC16" s="365"/>
      <c r="AD16" s="365"/>
      <c r="AE16" s="365"/>
      <c r="AF16" s="365"/>
      <c r="AG16" s="365"/>
      <c r="AH16" s="365"/>
      <c r="AI16" s="365"/>
      <c r="AJ16" s="365"/>
      <c r="AK16" s="365"/>
      <c r="AL16" s="365"/>
    </row>
    <row r="17" spans="1:38" ht="16.5">
      <c r="A17" s="152" t="s">
        <v>536</v>
      </c>
      <c r="B17" s="152" t="s">
        <v>536</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5"/>
      <c r="AC17" s="365"/>
      <c r="AD17" s="365"/>
      <c r="AE17" s="365"/>
      <c r="AF17" s="365"/>
      <c r="AG17" s="365"/>
      <c r="AH17" s="365"/>
      <c r="AI17" s="365"/>
      <c r="AJ17" s="365"/>
      <c r="AK17" s="365"/>
      <c r="AL17" s="365"/>
    </row>
    <row r="18" spans="1:38" ht="16.5">
      <c r="A18" s="99" t="s">
        <v>83</v>
      </c>
      <c r="B18" s="99" t="s">
        <v>2851</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5"/>
      <c r="AC18" s="365"/>
      <c r="AD18" s="365"/>
      <c r="AE18" s="365"/>
      <c r="AF18" s="365"/>
      <c r="AG18" s="365"/>
      <c r="AH18" s="365"/>
      <c r="AI18" s="365"/>
      <c r="AJ18" s="365"/>
      <c r="AK18" s="365"/>
      <c r="AL18" s="365"/>
    </row>
    <row r="19" spans="1:38" ht="16.5">
      <c r="A19" s="99" t="s">
        <v>1994</v>
      </c>
      <c r="B19" s="99" t="s">
        <v>2852</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5"/>
      <c r="AC19" s="365"/>
      <c r="AD19" s="365"/>
      <c r="AE19" s="365"/>
      <c r="AF19" s="365"/>
      <c r="AG19" s="365"/>
      <c r="AH19" s="365"/>
      <c r="AI19" s="365"/>
      <c r="AJ19" s="365"/>
      <c r="AK19" s="365"/>
      <c r="AL19" s="365"/>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5"/>
      <c r="AC20" s="365"/>
      <c r="AD20" s="365"/>
      <c r="AE20" s="365"/>
      <c r="AF20" s="365"/>
      <c r="AG20" s="365"/>
      <c r="AH20" s="365"/>
      <c r="AI20" s="365"/>
      <c r="AJ20" s="365"/>
      <c r="AK20" s="365"/>
      <c r="AL20" s="365"/>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5"/>
      <c r="AC21" s="365"/>
      <c r="AD21" s="365"/>
      <c r="AE21" s="365"/>
      <c r="AF21" s="365"/>
      <c r="AG21" s="365"/>
      <c r="AH21" s="365"/>
      <c r="AI21" s="365"/>
      <c r="AJ21" s="365"/>
      <c r="AK21" s="365"/>
      <c r="AL21" s="365"/>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5"/>
      <c r="AC22" s="365"/>
      <c r="AD22" s="365"/>
      <c r="AE22" s="365"/>
      <c r="AF22" s="365"/>
      <c r="AG22" s="365"/>
      <c r="AH22" s="365"/>
      <c r="AI22" s="365"/>
      <c r="AJ22" s="365"/>
      <c r="AK22" s="365"/>
      <c r="AL22" s="365"/>
    </row>
    <row r="23" spans="1:38" ht="16.5">
      <c r="A23" s="139" t="s">
        <v>237</v>
      </c>
      <c r="B23" s="139" t="s">
        <v>540</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5"/>
      <c r="AC23" s="365"/>
      <c r="AD23" s="365"/>
      <c r="AE23" s="365"/>
      <c r="AF23" s="365"/>
      <c r="AG23" s="365"/>
      <c r="AH23" s="365"/>
      <c r="AI23" s="365"/>
      <c r="AJ23" s="365"/>
      <c r="AK23" s="365"/>
      <c r="AL23" s="365"/>
    </row>
    <row r="24" spans="1:38" ht="16.5">
      <c r="A24" t="s">
        <v>76</v>
      </c>
      <c r="B24" s="139" t="s">
        <v>2853</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5"/>
      <c r="AC24" s="365"/>
      <c r="AD24" s="365"/>
      <c r="AE24" s="365"/>
      <c r="AF24" s="365"/>
      <c r="AG24" s="365"/>
      <c r="AH24" s="365"/>
      <c r="AI24" s="365"/>
      <c r="AJ24" s="365"/>
      <c r="AK24" s="365"/>
      <c r="AL24" s="365"/>
    </row>
    <row r="25" spans="1:38" ht="16.5">
      <c r="A25" t="s">
        <v>76</v>
      </c>
      <c r="B25" s="90" t="s">
        <v>2854</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5"/>
      <c r="AC25" s="365"/>
      <c r="AD25" s="365"/>
      <c r="AE25" s="365"/>
      <c r="AF25" s="365"/>
      <c r="AG25" s="365"/>
      <c r="AH25" s="365"/>
      <c r="AI25" s="365"/>
      <c r="AJ25" s="365"/>
      <c r="AK25" s="365"/>
      <c r="AL25" s="365"/>
    </row>
    <row r="26" spans="1:38" ht="16.5">
      <c r="A26" t="s">
        <v>76</v>
      </c>
      <c r="B26" s="90" t="s">
        <v>1972</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5"/>
      <c r="AC26" s="365"/>
      <c r="AD26" s="365"/>
      <c r="AE26" s="365"/>
      <c r="AF26" s="365"/>
      <c r="AG26" s="365"/>
      <c r="AH26" s="365"/>
      <c r="AI26" s="365"/>
      <c r="AJ26" s="365"/>
      <c r="AK26" s="365"/>
      <c r="AL26" s="365"/>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5"/>
      <c r="AC27" s="365"/>
      <c r="AD27" s="365"/>
      <c r="AE27" s="365"/>
      <c r="AF27" s="365"/>
      <c r="AG27" s="365"/>
      <c r="AH27" s="365"/>
      <c r="AI27" s="365"/>
      <c r="AJ27" s="365"/>
      <c r="AK27" s="365"/>
      <c r="AL27" s="365"/>
    </row>
    <row r="28" spans="1:38" s="9" customFormat="1" ht="16.5">
      <c r="A28" s="148" t="s">
        <v>115</v>
      </c>
      <c r="B28" s="148" t="s">
        <v>115</v>
      </c>
      <c r="C28" s="55" t="s">
        <v>35</v>
      </c>
      <c r="D28" s="295">
        <v>2640000000</v>
      </c>
      <c r="E28" s="295">
        <v>3105000000</v>
      </c>
      <c r="F28" s="295">
        <v>1770000000</v>
      </c>
      <c r="G28" s="295">
        <v>4525000000</v>
      </c>
      <c r="H28" s="295">
        <v>2080000000</v>
      </c>
      <c r="I28" s="295">
        <v>3531393000</v>
      </c>
      <c r="J28" s="295">
        <v>4471000000</v>
      </c>
      <c r="K28" s="295">
        <v>3772000000</v>
      </c>
      <c r="L28" s="210">
        <v>4777000000</v>
      </c>
      <c r="M28" s="296">
        <v>9672000000</v>
      </c>
      <c r="N28" s="296">
        <v>10960000000</v>
      </c>
      <c r="O28" s="296">
        <v>10333000000</v>
      </c>
      <c r="P28" s="296">
        <v>9446000000</v>
      </c>
      <c r="Q28" s="296">
        <v>9010000000</v>
      </c>
      <c r="R28" s="296">
        <f>R52+R53</f>
        <v>30347000000</v>
      </c>
      <c r="S28" s="296">
        <f t="shared" ref="S28:AA28" si="5">S52+S53</f>
        <v>30621000000</v>
      </c>
      <c r="T28" s="296">
        <f t="shared" si="5"/>
        <v>5690000000</v>
      </c>
      <c r="U28" s="296">
        <f t="shared" si="5"/>
        <v>7789000000</v>
      </c>
      <c r="V28" s="296">
        <f t="shared" si="5"/>
        <v>10511000000</v>
      </c>
      <c r="W28" s="296">
        <f t="shared" si="5"/>
        <v>10948000000</v>
      </c>
      <c r="X28" s="296">
        <f t="shared" si="5"/>
        <v>12692000000</v>
      </c>
      <c r="Y28" s="296">
        <f t="shared" si="5"/>
        <v>14921000000</v>
      </c>
      <c r="Z28" s="296">
        <f t="shared" si="5"/>
        <v>17081000000</v>
      </c>
      <c r="AA28" s="296">
        <f t="shared" si="5"/>
        <v>18809000000</v>
      </c>
      <c r="AB28" s="365"/>
      <c r="AC28" s="365"/>
      <c r="AD28" s="365"/>
      <c r="AE28" s="365"/>
      <c r="AF28" s="365"/>
      <c r="AG28" s="365"/>
      <c r="AH28" s="365"/>
      <c r="AI28" s="365"/>
      <c r="AJ28" s="365"/>
      <c r="AK28" s="365"/>
      <c r="AL28" s="365"/>
    </row>
    <row r="29" spans="1:38" ht="16.5">
      <c r="A29" s="90" t="s">
        <v>2855</v>
      </c>
      <c r="B29" s="90" t="s">
        <v>2856</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5"/>
      <c r="AC29" s="365"/>
      <c r="AD29" s="365"/>
      <c r="AE29" s="365"/>
      <c r="AF29" s="365"/>
      <c r="AG29" s="365"/>
      <c r="AH29" s="365"/>
      <c r="AI29" s="365"/>
      <c r="AJ29" s="365"/>
      <c r="AK29" s="365"/>
      <c r="AL29" s="365"/>
    </row>
    <row r="30" spans="1:38" ht="16.5">
      <c r="A30" s="152" t="s">
        <v>444</v>
      </c>
      <c r="B30" s="152" t="s">
        <v>444</v>
      </c>
      <c r="C30" s="90" t="s">
        <v>1939</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5"/>
      <c r="AC30" s="365"/>
      <c r="AD30" s="365"/>
      <c r="AE30" s="365"/>
      <c r="AF30" s="365"/>
      <c r="AG30" s="365"/>
      <c r="AH30" s="365"/>
      <c r="AI30" s="365"/>
      <c r="AJ30" s="365"/>
      <c r="AK30" s="365"/>
      <c r="AL30" s="365"/>
    </row>
    <row r="31" spans="1:38" ht="16.5">
      <c r="A31" s="138" t="s">
        <v>415</v>
      </c>
      <c r="B31" s="138" t="s">
        <v>415</v>
      </c>
      <c r="C31" s="34" t="s">
        <v>2512</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5"/>
      <c r="AC31" s="365"/>
      <c r="AD31" s="365"/>
      <c r="AE31" s="365"/>
      <c r="AF31" s="365"/>
      <c r="AG31" s="365"/>
      <c r="AH31" s="365"/>
      <c r="AI31" s="365"/>
      <c r="AJ31" s="365"/>
      <c r="AK31" s="365"/>
      <c r="AL31" s="365"/>
    </row>
    <row r="32" spans="1:38" ht="16.5">
      <c r="A32" s="138" t="s">
        <v>418</v>
      </c>
      <c r="B32" s="138" t="s">
        <v>418</v>
      </c>
      <c r="C32" s="34" t="s">
        <v>2512</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5"/>
      <c r="AC32" s="365"/>
      <c r="AD32" s="365"/>
      <c r="AE32" s="365"/>
      <c r="AF32" s="365"/>
      <c r="AG32" s="365"/>
      <c r="AH32" s="365"/>
      <c r="AI32" s="365"/>
      <c r="AJ32" s="365"/>
      <c r="AK32" s="365"/>
      <c r="AL32" s="365"/>
    </row>
    <row r="33" spans="1:38" ht="16.5">
      <c r="A33" s="152" t="s">
        <v>1275</v>
      </c>
      <c r="B33" s="152" t="s">
        <v>1275</v>
      </c>
      <c r="C33" s="90" t="s">
        <v>1939</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5"/>
      <c r="AC33" s="365"/>
      <c r="AD33" s="365"/>
      <c r="AE33" s="365"/>
      <c r="AF33" s="365"/>
      <c r="AG33" s="365"/>
      <c r="AH33" s="365"/>
      <c r="AI33" s="365"/>
      <c r="AJ33" s="365"/>
      <c r="AK33" s="365"/>
      <c r="AL33" s="365"/>
    </row>
    <row r="34" spans="1:38" ht="16.5">
      <c r="A34" s="138" t="s">
        <v>2857</v>
      </c>
      <c r="B34" s="138" t="s">
        <v>2857</v>
      </c>
      <c r="C34" s="34" t="s">
        <v>2858</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5"/>
      <c r="AC34" s="365"/>
      <c r="AD34" s="365"/>
      <c r="AE34" s="365"/>
      <c r="AF34" s="365"/>
      <c r="AG34" s="365"/>
      <c r="AH34" s="365"/>
      <c r="AI34" s="365"/>
      <c r="AJ34" s="365"/>
      <c r="AK34" s="365"/>
      <c r="AL34" s="365"/>
    </row>
    <row r="35" spans="1:38" ht="16.5">
      <c r="A35" s="138" t="s">
        <v>418</v>
      </c>
      <c r="B35" s="138" t="s">
        <v>418</v>
      </c>
      <c r="C35" s="34" t="s">
        <v>2858</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5"/>
      <c r="AC35" s="365"/>
      <c r="AD35" s="365"/>
      <c r="AE35" s="365"/>
      <c r="AF35" s="365"/>
      <c r="AG35" s="365"/>
      <c r="AH35" s="365"/>
      <c r="AI35" s="365"/>
      <c r="AJ35" s="365"/>
      <c r="AK35" s="365"/>
      <c r="AL35" s="365"/>
    </row>
    <row r="36" spans="1:38" ht="16.5">
      <c r="A36" s="138" t="s">
        <v>2859</v>
      </c>
      <c r="B36" s="138" t="s">
        <v>2859</v>
      </c>
      <c r="C36" s="34" t="s">
        <v>2858</v>
      </c>
      <c r="D36" s="125"/>
      <c r="E36" s="125"/>
      <c r="F36" s="125"/>
      <c r="G36" s="125"/>
      <c r="H36" s="125"/>
      <c r="I36" s="125"/>
      <c r="J36" s="125"/>
      <c r="K36" s="125"/>
      <c r="L36" s="210"/>
      <c r="M36" s="210"/>
      <c r="N36" s="210"/>
      <c r="O36" s="210"/>
      <c r="P36" s="210"/>
      <c r="Q36" s="300">
        <f>Q33-Q34-Q35</f>
        <v>-115000000</v>
      </c>
      <c r="R36" s="210"/>
      <c r="S36" s="210"/>
      <c r="T36" s="210"/>
      <c r="U36" s="210"/>
      <c r="V36" s="210"/>
      <c r="W36" s="210"/>
      <c r="X36" s="210"/>
      <c r="Y36" s="210"/>
      <c r="Z36" s="210"/>
      <c r="AA36" s="210"/>
      <c r="AB36" s="365"/>
      <c r="AC36" s="365"/>
      <c r="AD36" s="365"/>
      <c r="AE36" s="365"/>
      <c r="AF36" s="365"/>
      <c r="AG36" s="365"/>
      <c r="AH36" s="365"/>
      <c r="AI36" s="365"/>
      <c r="AJ36" s="365"/>
      <c r="AK36" s="365"/>
      <c r="AL36" s="365"/>
    </row>
    <row r="37" spans="1:38" ht="16.5">
      <c r="A37" s="90" t="s">
        <v>2860</v>
      </c>
      <c r="B37" s="90" t="s">
        <v>2861</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5"/>
      <c r="AC37" s="365"/>
      <c r="AD37" s="365"/>
      <c r="AE37" s="365"/>
      <c r="AF37" s="365"/>
      <c r="AG37" s="365"/>
      <c r="AH37" s="365"/>
      <c r="AI37" s="365"/>
      <c r="AJ37" s="365"/>
      <c r="AK37" s="365"/>
      <c r="AL37" s="365"/>
    </row>
    <row r="38" spans="1:38">
      <c r="A38" s="90" t="s">
        <v>2862</v>
      </c>
      <c r="B38" s="90" t="s">
        <v>2863</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5"/>
      <c r="AC38" s="365"/>
      <c r="AD38" s="365"/>
      <c r="AE38" s="365"/>
      <c r="AF38" s="365"/>
      <c r="AG38" s="365"/>
      <c r="AH38" s="365"/>
      <c r="AI38" s="365"/>
      <c r="AJ38" s="365"/>
      <c r="AK38" s="365"/>
      <c r="AL38" s="365"/>
    </row>
    <row r="39" spans="1:38">
      <c r="A39" s="90" t="s">
        <v>2147</v>
      </c>
      <c r="B39" s="90" t="s">
        <v>1619</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5"/>
      <c r="AC39" s="365"/>
      <c r="AD39" s="365"/>
      <c r="AE39" s="365"/>
      <c r="AF39" s="365"/>
      <c r="AG39" s="365"/>
      <c r="AH39" s="365"/>
      <c r="AI39" s="365"/>
      <c r="AJ39" s="365"/>
      <c r="AK39" s="365"/>
      <c r="AL39" s="365"/>
    </row>
    <row r="40" spans="1:38" ht="16.5">
      <c r="A40" s="90" t="s">
        <v>2864</v>
      </c>
      <c r="B40" s="90" t="s">
        <v>2865</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5"/>
      <c r="AC40" s="365"/>
      <c r="AD40" s="365"/>
      <c r="AE40" s="365"/>
      <c r="AF40" s="365"/>
      <c r="AG40" s="365"/>
      <c r="AH40" s="365"/>
      <c r="AI40" s="365"/>
      <c r="AJ40" s="365"/>
      <c r="AK40" s="365"/>
      <c r="AL40" s="365"/>
    </row>
    <row r="41" spans="1:38" ht="16.5">
      <c r="A41" t="s">
        <v>76</v>
      </c>
      <c r="B41" s="99" t="s">
        <v>2866</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5"/>
      <c r="AC41" s="365"/>
      <c r="AD41" s="365"/>
      <c r="AE41" s="365"/>
      <c r="AF41" s="365"/>
      <c r="AG41" s="365"/>
      <c r="AH41" s="365"/>
      <c r="AI41" s="365"/>
      <c r="AJ41" s="365"/>
      <c r="AK41" s="365"/>
      <c r="AL41" s="365"/>
    </row>
    <row r="42" spans="1:38" ht="16.5">
      <c r="A42" t="s">
        <v>76</v>
      </c>
      <c r="B42" s="152" t="s">
        <v>418</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516"/>
      <c r="S42" s="210"/>
      <c r="T42" s="210"/>
      <c r="U42" s="210"/>
      <c r="V42" s="210"/>
      <c r="W42" s="210"/>
      <c r="X42" s="210"/>
      <c r="Y42" s="210"/>
      <c r="Z42" s="210"/>
      <c r="AA42" s="210"/>
      <c r="AB42" s="365"/>
      <c r="AC42" s="365"/>
      <c r="AD42" s="365"/>
      <c r="AE42" s="365"/>
      <c r="AF42" s="365"/>
      <c r="AG42" s="365"/>
      <c r="AH42" s="365"/>
      <c r="AI42" s="365"/>
      <c r="AJ42" s="365"/>
      <c r="AK42" s="365"/>
      <c r="AL42" s="365"/>
    </row>
    <row r="43" spans="1:38" ht="16.5">
      <c r="A43" s="139" t="s">
        <v>50</v>
      </c>
      <c r="B43" s="139" t="s">
        <v>50</v>
      </c>
      <c r="C43" s="90" t="s">
        <v>124</v>
      </c>
      <c r="D43" s="125"/>
      <c r="E43" s="125"/>
      <c r="F43" s="125"/>
      <c r="G43" s="125"/>
      <c r="H43" s="125"/>
      <c r="I43" s="319">
        <f>I37-I38-I39-I40-I44</f>
        <v>207729000</v>
      </c>
      <c r="J43" s="125">
        <v>-1160000000</v>
      </c>
      <c r="K43" s="125">
        <v>-594000000</v>
      </c>
      <c r="L43" s="210">
        <v>-393000000</v>
      </c>
      <c r="M43" s="210">
        <v>0</v>
      </c>
      <c r="N43" s="210">
        <v>0</v>
      </c>
      <c r="O43" s="300">
        <f>O37-O38-O39-O40-O44</f>
        <v>1000000</v>
      </c>
      <c r="P43" s="300">
        <f>P37-P38-P39-P40-P44</f>
        <v>322000000</v>
      </c>
      <c r="Q43" s="300">
        <f>Q37-Q38-Q39-Q40-Q44</f>
        <v>528000000</v>
      </c>
      <c r="R43" s="2516"/>
      <c r="S43" s="210"/>
      <c r="T43" s="210"/>
      <c r="U43" s="210"/>
      <c r="V43" s="210"/>
      <c r="W43" s="210"/>
      <c r="X43" s="210"/>
      <c r="Y43" s="210"/>
      <c r="Z43" s="210"/>
      <c r="AA43" s="210"/>
      <c r="AB43" s="365"/>
      <c r="AC43" s="365"/>
      <c r="AD43" s="365"/>
      <c r="AE43" s="365"/>
      <c r="AF43" s="365"/>
      <c r="AG43" s="365"/>
      <c r="AH43" s="365"/>
      <c r="AI43" s="365"/>
      <c r="AJ43" s="365"/>
      <c r="AK43" s="365"/>
      <c r="AL43" s="365"/>
    </row>
    <row r="44" spans="1:38" ht="16.5">
      <c r="A44" s="90" t="s">
        <v>2867</v>
      </c>
      <c r="B44" s="90" t="s">
        <v>2868</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516"/>
      <c r="S44" s="210"/>
      <c r="T44" s="210"/>
      <c r="U44" s="210"/>
      <c r="V44" s="210"/>
      <c r="W44" s="210"/>
      <c r="X44" s="210"/>
      <c r="Y44" s="210"/>
      <c r="Z44" s="210"/>
      <c r="AA44" s="210"/>
      <c r="AB44" s="365"/>
      <c r="AC44" s="365"/>
      <c r="AD44" s="365"/>
      <c r="AE44" s="365"/>
      <c r="AF44" s="365"/>
      <c r="AG44" s="365"/>
      <c r="AH44" s="365"/>
      <c r="AI44" s="365"/>
      <c r="AJ44" s="365"/>
      <c r="AK44" s="365"/>
      <c r="AL44" s="365"/>
    </row>
    <row r="45" spans="1:38">
      <c r="A45" s="90" t="s">
        <v>2738</v>
      </c>
      <c r="B45" s="90" t="s">
        <v>2869</v>
      </c>
      <c r="C45" s="58" t="s">
        <v>252</v>
      </c>
      <c r="D45" s="125"/>
      <c r="E45" s="125"/>
      <c r="F45" s="125"/>
      <c r="G45" s="125"/>
      <c r="H45" s="125"/>
      <c r="I45" s="125"/>
      <c r="J45" s="125"/>
      <c r="K45" s="125"/>
      <c r="L45" s="210"/>
      <c r="M45" s="210"/>
      <c r="N45" s="210"/>
      <c r="O45" s="210"/>
      <c r="P45" s="210"/>
      <c r="Q45" s="210"/>
      <c r="R45" s="2516"/>
      <c r="S45" s="210"/>
      <c r="T45" s="210"/>
      <c r="U45" s="210"/>
      <c r="V45" s="210"/>
      <c r="W45" s="210"/>
      <c r="X45" s="210"/>
      <c r="Y45" s="210"/>
      <c r="Z45" s="210"/>
      <c r="AA45" s="210"/>
      <c r="AB45" s="365"/>
      <c r="AC45" s="365"/>
      <c r="AD45" s="365"/>
      <c r="AE45" s="365"/>
      <c r="AF45" s="365"/>
      <c r="AG45" s="365"/>
      <c r="AH45" s="365"/>
      <c r="AI45" s="365"/>
      <c r="AJ45" s="365"/>
      <c r="AK45" s="365"/>
      <c r="AL45" s="365"/>
    </row>
    <row r="46" spans="1:38" ht="16.5">
      <c r="B46" s="90" t="s">
        <v>2870</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5"/>
      <c r="AC46" s="365"/>
      <c r="AD46" s="365"/>
      <c r="AE46" s="365"/>
      <c r="AF46" s="365"/>
      <c r="AG46" s="365"/>
      <c r="AH46" s="365"/>
      <c r="AI46" s="365"/>
      <c r="AJ46" s="365"/>
      <c r="AK46" s="365"/>
      <c r="AL46" s="365"/>
    </row>
    <row r="47" spans="1:38" ht="16.5">
      <c r="B47" s="90" t="s">
        <v>2871</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5"/>
      <c r="AC47" s="365"/>
      <c r="AD47" s="365"/>
      <c r="AE47" s="365"/>
      <c r="AF47" s="365"/>
      <c r="AG47" s="365"/>
      <c r="AH47" s="365"/>
      <c r="AI47" s="365"/>
      <c r="AJ47" s="365"/>
      <c r="AK47" s="365"/>
      <c r="AL47" s="365"/>
    </row>
    <row r="48" spans="1:38" ht="16.5">
      <c r="B48" s="90" t="s">
        <v>1972</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5"/>
      <c r="AC48" s="365"/>
      <c r="AD48" s="365"/>
      <c r="AE48" s="365"/>
      <c r="AF48" s="365"/>
      <c r="AG48" s="365"/>
      <c r="AH48" s="365"/>
      <c r="AI48" s="365"/>
      <c r="AJ48" s="365"/>
      <c r="AK48" s="365"/>
      <c r="AL48" s="365"/>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5"/>
      <c r="AC49" s="365"/>
      <c r="AD49" s="365"/>
      <c r="AE49" s="365"/>
      <c r="AF49" s="365"/>
      <c r="AG49" s="365"/>
      <c r="AH49" s="365"/>
      <c r="AI49" s="365"/>
      <c r="AJ49" s="365"/>
      <c r="AK49" s="365"/>
      <c r="AL49" s="365"/>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5"/>
      <c r="AC50" s="365"/>
      <c r="AD50" s="365"/>
      <c r="AE50" s="365"/>
      <c r="AF50" s="365"/>
      <c r="AG50" s="365"/>
      <c r="AH50" s="365"/>
      <c r="AI50" s="365"/>
      <c r="AJ50" s="365"/>
      <c r="AK50" s="365"/>
      <c r="AL50" s="365"/>
    </row>
    <row r="51" spans="1:38" ht="16.5">
      <c r="B51" s="90" t="s">
        <v>2872</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688</v>
      </c>
      <c r="B52" s="90" t="s">
        <v>688</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689</v>
      </c>
      <c r="B53" s="90" t="s">
        <v>689</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1760</v>
      </c>
      <c r="E55" t="s">
        <v>1760</v>
      </c>
      <c r="F55" t="s">
        <v>1760</v>
      </c>
      <c r="G55" t="s">
        <v>1760</v>
      </c>
      <c r="H55" t="s">
        <v>1760</v>
      </c>
    </row>
    <row r="56" spans="1:38">
      <c r="B56" s="90"/>
      <c r="C56" s="34"/>
    </row>
    <row r="57" spans="1:38">
      <c r="B57" s="90" t="s">
        <v>875</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528</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529</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2873</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1040</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6" activePane="bottomRight" state="frozen"/>
      <selection pane="topRight" activeCell="R8" sqref="R8"/>
      <selection pane="bottomLeft" activeCell="R8" sqref="R8"/>
      <selection pane="bottomRight" activeCell="T11" sqref="T11:U12"/>
    </sheetView>
  </sheetViews>
  <sheetFormatPr defaultRowHeight="15.75"/>
  <cols>
    <col min="1" max="1" width="38.42578125" style="972" customWidth="1"/>
    <col min="2" max="2" width="46.7109375" style="972" customWidth="1"/>
    <col min="3" max="3" width="28.28515625" style="972" customWidth="1"/>
    <col min="4" max="4" width="24.7109375" style="972" bestFit="1" customWidth="1"/>
    <col min="5" max="8" width="24" style="972" bestFit="1" customWidth="1"/>
    <col min="9" max="21" width="25.28515625" style="972" bestFit="1" customWidth="1"/>
    <col min="22" max="22" width="27.5703125" style="972" customWidth="1"/>
    <col min="23" max="23" width="29.140625" style="972" bestFit="1" customWidth="1"/>
    <col min="24" max="25" width="27.5703125" style="972" bestFit="1" customWidth="1"/>
    <col min="26" max="26" width="23.85546875" style="972" customWidth="1"/>
    <col min="27" max="27" width="24.7109375" style="972" bestFit="1" customWidth="1"/>
    <col min="28" max="28" width="46.5703125" style="972" customWidth="1"/>
    <col min="46" max="46" width="15.28515625" bestFit="1" customWidth="1"/>
  </cols>
  <sheetData>
    <row r="1" spans="1:54">
      <c r="A1" s="966" t="s">
        <v>2874</v>
      </c>
      <c r="B1" s="967" t="s">
        <v>2875</v>
      </c>
      <c r="C1" s="967"/>
      <c r="D1" s="968"/>
      <c r="E1" s="968"/>
      <c r="F1" s="968"/>
      <c r="G1" s="968"/>
      <c r="H1" s="968"/>
      <c r="I1" s="968"/>
      <c r="J1" s="968"/>
      <c r="K1" s="968"/>
      <c r="L1" s="968"/>
      <c r="M1" s="968"/>
      <c r="N1" s="968"/>
      <c r="O1" s="969"/>
      <c r="P1" s="969"/>
      <c r="Q1" s="969"/>
      <c r="R1" s="970"/>
      <c r="S1" s="969"/>
      <c r="T1" s="969"/>
      <c r="U1" s="969"/>
      <c r="V1" s="969"/>
      <c r="W1" s="969"/>
      <c r="X1" s="1007"/>
      <c r="Y1" s="1007"/>
      <c r="Z1" s="1007"/>
      <c r="AA1" s="1007"/>
      <c r="AB1" s="971"/>
      <c r="AC1" s="365"/>
      <c r="AD1" s="365"/>
      <c r="AE1" s="365"/>
      <c r="AF1" s="365"/>
      <c r="AG1" s="365"/>
      <c r="AH1" s="365"/>
      <c r="AI1" s="365"/>
      <c r="AJ1" s="365"/>
      <c r="AK1" s="365"/>
      <c r="AL1" s="365"/>
      <c r="AM1" s="365"/>
      <c r="AN1" s="365"/>
      <c r="AO1" s="365"/>
      <c r="AP1" s="365"/>
      <c r="AQ1" s="365"/>
      <c r="AR1" s="365"/>
      <c r="AS1" s="365"/>
      <c r="AT1" s="365"/>
    </row>
    <row r="2" spans="1:54">
      <c r="B2" s="973" t="s">
        <v>2876</v>
      </c>
      <c r="C2" s="973"/>
      <c r="D2" s="969"/>
      <c r="E2" s="969"/>
      <c r="F2" s="969"/>
      <c r="G2" s="969"/>
      <c r="H2" s="969"/>
      <c r="I2" s="969"/>
      <c r="J2" s="969"/>
      <c r="K2" s="969"/>
      <c r="L2" s="969"/>
      <c r="M2" s="969"/>
      <c r="N2" s="969"/>
      <c r="O2" s="969"/>
      <c r="P2" s="969"/>
      <c r="Q2" s="969"/>
      <c r="R2" s="974"/>
      <c r="S2" s="1046"/>
      <c r="T2" s="1047"/>
      <c r="U2" s="969"/>
      <c r="V2" s="969"/>
      <c r="W2" s="969"/>
      <c r="X2" s="1007"/>
      <c r="Y2" s="1007"/>
      <c r="Z2" s="1007"/>
      <c r="AA2" s="1007"/>
      <c r="AB2" s="971"/>
      <c r="AC2" s="365"/>
      <c r="AD2" s="365"/>
      <c r="AE2" s="365"/>
      <c r="AF2" s="365"/>
      <c r="AG2" s="365"/>
      <c r="AH2" s="365"/>
      <c r="AI2" s="365"/>
      <c r="AJ2" s="365"/>
      <c r="AK2" s="365"/>
      <c r="AL2" s="365"/>
      <c r="AM2" s="365"/>
      <c r="AN2" s="365"/>
      <c r="AO2" s="365"/>
      <c r="AP2" s="365"/>
      <c r="AQ2" s="365"/>
      <c r="AR2" s="365"/>
      <c r="AS2" s="365"/>
      <c r="AT2" s="2520"/>
      <c r="AU2" s="2463"/>
      <c r="AV2" s="2463"/>
      <c r="AW2" s="2463"/>
      <c r="AX2" s="2463"/>
    </row>
    <row r="3" spans="1:5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c r="AB3" s="971"/>
      <c r="AC3" s="365"/>
      <c r="AD3" s="365"/>
      <c r="AE3" s="365"/>
      <c r="AF3" s="365"/>
      <c r="AG3" s="365"/>
      <c r="AH3" s="365"/>
      <c r="AI3" s="365"/>
      <c r="AJ3" s="365"/>
      <c r="AK3" s="365"/>
      <c r="AL3" s="365"/>
      <c r="AM3" s="365"/>
      <c r="AN3" s="365"/>
      <c r="AO3" s="365"/>
      <c r="AP3" s="365"/>
      <c r="AQ3" s="365"/>
      <c r="AR3" s="365"/>
      <c r="AS3" s="365"/>
      <c r="AT3" s="2520"/>
      <c r="AU3" s="2463"/>
      <c r="AV3" s="2463"/>
      <c r="AW3" s="2463"/>
      <c r="AX3" s="2463"/>
    </row>
    <row r="4" spans="1:5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378" t="s">
        <v>25</v>
      </c>
      <c r="Y4" s="1378" t="s">
        <v>26</v>
      </c>
      <c r="Z4" s="1378" t="s">
        <v>27</v>
      </c>
      <c r="AA4" s="1378" t="s">
        <v>1137</v>
      </c>
      <c r="AB4" s="971"/>
      <c r="AC4" s="365"/>
      <c r="AD4" s="365"/>
      <c r="AE4" s="365"/>
      <c r="AF4" s="365"/>
      <c r="AG4" s="365"/>
      <c r="AH4" s="365"/>
      <c r="AI4" s="365"/>
      <c r="AJ4" s="365"/>
      <c r="AK4" s="365"/>
      <c r="AL4" s="365"/>
      <c r="AM4" s="365"/>
      <c r="AN4" s="365"/>
      <c r="AO4" s="365"/>
      <c r="AP4" s="365"/>
      <c r="AQ4" s="365"/>
      <c r="AR4" s="365"/>
      <c r="AS4" s="365"/>
      <c r="AT4" s="2520"/>
      <c r="AU4" s="2463"/>
      <c r="AV4" s="2463"/>
      <c r="AW4" s="2463"/>
      <c r="AX4" s="2463"/>
    </row>
    <row r="5" spans="1:5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70" t="s">
        <v>1177</v>
      </c>
      <c r="S5" s="969" t="s">
        <v>31</v>
      </c>
      <c r="T5" s="969" t="s">
        <v>31</v>
      </c>
      <c r="U5" s="969" t="s">
        <v>368</v>
      </c>
      <c r="V5" s="969" t="s">
        <v>32</v>
      </c>
      <c r="W5" s="969" t="s">
        <v>32</v>
      </c>
      <c r="X5" s="969" t="s">
        <v>32</v>
      </c>
      <c r="Y5" s="969" t="s">
        <v>32</v>
      </c>
      <c r="Z5" s="969" t="s">
        <v>32</v>
      </c>
      <c r="AA5" s="969" t="s">
        <v>32</v>
      </c>
      <c r="AB5" s="978"/>
      <c r="AC5" s="2528"/>
      <c r="AD5" s="2528"/>
      <c r="AE5" s="2528"/>
      <c r="AF5" s="2528"/>
      <c r="AG5" s="2528"/>
      <c r="AH5" s="2528"/>
      <c r="AI5" s="2528"/>
      <c r="AJ5" s="2528"/>
      <c r="AK5" s="2528"/>
      <c r="AL5" s="2528"/>
      <c r="AM5" s="2528"/>
      <c r="AN5" s="2528"/>
      <c r="AO5" s="2528"/>
      <c r="AP5" s="2528"/>
      <c r="AQ5" s="2528"/>
      <c r="AR5" s="2528"/>
      <c r="AS5" s="2528"/>
      <c r="AT5" s="2528"/>
      <c r="AU5" s="2528"/>
      <c r="AV5" s="2528"/>
      <c r="AW5" s="2528"/>
      <c r="AX5" s="2528"/>
      <c r="AY5" s="2528"/>
      <c r="AZ5" s="2528"/>
      <c r="BA5" s="2528"/>
      <c r="BB5" s="2528"/>
    </row>
    <row r="6" spans="1:54" s="848" customFormat="1">
      <c r="A6" s="1373" t="s">
        <v>33</v>
      </c>
      <c r="B6" s="1012" t="s">
        <v>1412</v>
      </c>
      <c r="C6" s="1374" t="s">
        <v>35</v>
      </c>
      <c r="D6" s="1016">
        <v>719800000000</v>
      </c>
      <c r="E6" s="1016">
        <v>873000000000</v>
      </c>
      <c r="F6" s="1016">
        <v>876900000000</v>
      </c>
      <c r="G6" s="1016">
        <v>952700000000</v>
      </c>
      <c r="H6" s="1016">
        <v>1027400000000.0001</v>
      </c>
      <c r="I6" s="1016">
        <v>1631000000000</v>
      </c>
      <c r="J6" s="1016">
        <v>2398000000000</v>
      </c>
      <c r="K6" s="1016">
        <v>2620000000000</v>
      </c>
      <c r="L6" s="1016">
        <v>3352000000000</v>
      </c>
      <c r="M6" s="1016">
        <v>3662000000000</v>
      </c>
      <c r="N6" s="1016">
        <v>4258000000000</v>
      </c>
      <c r="O6" s="1016">
        <v>6824000000000</v>
      </c>
      <c r="P6" s="1016">
        <v>9047000000000</v>
      </c>
      <c r="Q6" s="1016">
        <v>8544000000000</v>
      </c>
      <c r="R6" s="1016">
        <v>11951000000000</v>
      </c>
      <c r="S6" s="1016">
        <v>9749000000000</v>
      </c>
      <c r="T6" s="1016">
        <v>12325000000000</v>
      </c>
      <c r="U6" s="1016">
        <v>14342000000000</v>
      </c>
      <c r="V6" s="1069">
        <v>16806000000000</v>
      </c>
      <c r="W6" s="1069">
        <v>20314000000000</v>
      </c>
      <c r="X6" s="1018">
        <v>24361000000000</v>
      </c>
      <c r="Y6" s="1018">
        <v>28063000000000</v>
      </c>
      <c r="Z6" s="2529">
        <v>32135000000000</v>
      </c>
      <c r="AA6" s="2529">
        <f>AA7+AA17</f>
        <v>36601000000000</v>
      </c>
      <c r="AB6" s="978"/>
      <c r="AC6" s="978"/>
      <c r="AD6" s="978"/>
      <c r="AE6" s="978"/>
      <c r="AF6" s="978"/>
      <c r="AG6" s="978"/>
      <c r="AH6" s="978"/>
      <c r="AI6" s="978"/>
      <c r="AJ6" s="978"/>
      <c r="AK6" s="978"/>
      <c r="AL6" s="978"/>
      <c r="AM6" s="978"/>
      <c r="AN6" s="978"/>
      <c r="AO6" s="978"/>
      <c r="AP6" s="978"/>
      <c r="AQ6" s="978"/>
      <c r="AR6" s="978"/>
      <c r="AS6" s="978"/>
      <c r="AT6" s="2520"/>
      <c r="AU6" s="2520"/>
      <c r="AV6" s="2520"/>
      <c r="AW6" s="2520"/>
      <c r="AX6" s="2520"/>
      <c r="AY6" s="2520"/>
      <c r="AZ6" s="2520"/>
      <c r="BA6" s="2520"/>
      <c r="BB6" s="2520"/>
    </row>
    <row r="7" spans="1:54">
      <c r="A7" s="980" t="s">
        <v>370</v>
      </c>
      <c r="B7" s="981" t="s">
        <v>36</v>
      </c>
      <c r="C7" s="982" t="s">
        <v>38</v>
      </c>
      <c r="D7" s="978">
        <v>594500000000</v>
      </c>
      <c r="E7" s="978">
        <v>670200000000</v>
      </c>
      <c r="F7" s="978">
        <v>763900000000</v>
      </c>
      <c r="G7" s="978">
        <v>754100000000</v>
      </c>
      <c r="H7" s="978">
        <v>936000000000</v>
      </c>
      <c r="I7" s="978">
        <v>1557000000000</v>
      </c>
      <c r="J7" s="978">
        <v>2172000000000</v>
      </c>
      <c r="K7" s="978">
        <v>2477000000000</v>
      </c>
      <c r="L7" s="978">
        <v>3249000000000</v>
      </c>
      <c r="M7" s="978">
        <v>3582000000000</v>
      </c>
      <c r="N7" s="978">
        <v>4155000000000</v>
      </c>
      <c r="O7" s="978">
        <v>5662000000000</v>
      </c>
      <c r="P7" s="987">
        <v>7976000000000</v>
      </c>
      <c r="Q7" s="978">
        <v>7905000000000</v>
      </c>
      <c r="R7" s="978">
        <v>8683000000000</v>
      </c>
      <c r="S7" s="978">
        <v>8988000000000</v>
      </c>
      <c r="T7" s="978">
        <v>11391000000000</v>
      </c>
      <c r="U7" s="978">
        <v>12902000000000</v>
      </c>
      <c r="V7" s="1010">
        <v>15459000000000</v>
      </c>
      <c r="W7" s="1010">
        <v>18779000000000</v>
      </c>
      <c r="X7" s="1008">
        <v>22605000000000</v>
      </c>
      <c r="Y7" s="1008">
        <v>26145000000000</v>
      </c>
      <c r="Z7" s="1547">
        <v>30134000000000</v>
      </c>
      <c r="AA7" s="1547">
        <v>34420000000000</v>
      </c>
      <c r="AB7" s="978"/>
      <c r="AC7" s="978"/>
      <c r="AD7" s="978"/>
      <c r="AE7" s="978"/>
      <c r="AF7" s="978"/>
      <c r="AG7" s="978"/>
      <c r="AH7" s="978"/>
      <c r="AI7" s="978"/>
      <c r="AJ7" s="978"/>
      <c r="AK7" s="978"/>
      <c r="AL7" s="978"/>
      <c r="AM7" s="978"/>
      <c r="AN7" s="978"/>
      <c r="AO7" s="978"/>
      <c r="AP7" s="978"/>
      <c r="AQ7" s="978"/>
      <c r="AR7" s="978"/>
      <c r="AS7" s="978"/>
      <c r="AT7" s="2520"/>
      <c r="AU7" s="2520"/>
      <c r="AV7" s="2520"/>
      <c r="AW7" s="2520"/>
      <c r="AX7" s="2520"/>
      <c r="AY7" s="2520"/>
      <c r="AZ7" s="2520"/>
      <c r="BA7" s="2520"/>
      <c r="BB7" s="2520"/>
    </row>
    <row r="8" spans="1:54">
      <c r="A8" s="980"/>
      <c r="B8" s="981" t="s">
        <v>285</v>
      </c>
      <c r="C8" s="982"/>
      <c r="D8" s="978"/>
      <c r="E8" s="978"/>
      <c r="F8" s="978"/>
      <c r="G8" s="978"/>
      <c r="H8" s="978"/>
      <c r="I8" s="978"/>
      <c r="J8" s="978"/>
      <c r="K8" s="978"/>
      <c r="L8" s="978"/>
      <c r="M8" s="978"/>
      <c r="N8" s="978"/>
      <c r="O8" s="978"/>
      <c r="P8" s="987"/>
      <c r="Q8" s="978"/>
      <c r="R8" s="978"/>
      <c r="S8" s="978"/>
      <c r="T8" s="978"/>
      <c r="U8" s="978"/>
      <c r="V8" s="1010"/>
      <c r="W8" s="1010"/>
      <c r="X8" s="1008"/>
      <c r="Y8" s="1008"/>
      <c r="Z8" s="1547"/>
      <c r="AA8" s="1547"/>
      <c r="AB8" s="978"/>
      <c r="AC8" s="978"/>
      <c r="AD8" s="978"/>
      <c r="AE8" s="978"/>
      <c r="AF8" s="978"/>
      <c r="AG8" s="978"/>
      <c r="AH8" s="978"/>
      <c r="AI8" s="978"/>
      <c r="AJ8" s="978"/>
      <c r="AK8" s="978"/>
      <c r="AL8" s="978"/>
      <c r="AM8" s="978"/>
      <c r="AN8" s="978"/>
      <c r="AO8" s="978"/>
      <c r="AP8" s="978"/>
      <c r="AQ8" s="978"/>
      <c r="AR8" s="978"/>
      <c r="AS8" s="978"/>
      <c r="AT8" s="2520"/>
      <c r="AU8" s="2520"/>
      <c r="AV8" s="2520"/>
      <c r="AW8" s="2520"/>
      <c r="AX8" s="2520"/>
      <c r="AY8" s="2520"/>
      <c r="AZ8" s="2520"/>
      <c r="BA8" s="2520"/>
      <c r="BB8" s="2520"/>
    </row>
    <row r="9" spans="1:54">
      <c r="A9" s="980" t="s">
        <v>7029</v>
      </c>
      <c r="B9" s="988" t="s">
        <v>2877</v>
      </c>
      <c r="C9" s="982" t="s">
        <v>41</v>
      </c>
      <c r="D9" s="978">
        <v>146400000000</v>
      </c>
      <c r="E9" s="978">
        <v>166600000000</v>
      </c>
      <c r="F9" s="978">
        <v>145400000000</v>
      </c>
      <c r="G9" s="978">
        <v>105900000000</v>
      </c>
      <c r="H9" s="978">
        <v>171000000000</v>
      </c>
      <c r="I9" s="978">
        <v>381000000000</v>
      </c>
      <c r="J9" s="978">
        <v>675000000000</v>
      </c>
      <c r="K9" s="978">
        <v>572000000000</v>
      </c>
      <c r="L9" s="978">
        <v>738000000000</v>
      </c>
      <c r="M9" s="978">
        <v>725000000000</v>
      </c>
      <c r="N9" s="978">
        <v>1032000000000</v>
      </c>
      <c r="O9" s="978">
        <v>1296000000000</v>
      </c>
      <c r="P9" s="987">
        <v>1607000000000</v>
      </c>
      <c r="Q9" s="978">
        <v>1489000000000</v>
      </c>
      <c r="R9" s="978">
        <v>1326000000000</v>
      </c>
      <c r="S9" s="978">
        <v>1558000000000</v>
      </c>
      <c r="T9" s="978">
        <v>1671000000000</v>
      </c>
      <c r="U9" s="978">
        <v>2153000000000</v>
      </c>
      <c r="V9" s="1010">
        <v>2664000000000</v>
      </c>
      <c r="W9" s="1010">
        <v>3085000000000</v>
      </c>
      <c r="X9" s="1008">
        <v>3898000000000</v>
      </c>
      <c r="Y9" s="1008">
        <v>4456000000000</v>
      </c>
      <c r="Z9" s="1547">
        <v>5073000000000</v>
      </c>
      <c r="AA9" s="1547">
        <v>5758000000000</v>
      </c>
      <c r="AB9" s="978"/>
      <c r="AC9" s="978"/>
      <c r="AD9" s="978"/>
      <c r="AE9" s="978"/>
      <c r="AF9" s="978"/>
      <c r="AG9" s="978"/>
      <c r="AH9" s="978"/>
      <c r="AI9" s="978"/>
      <c r="AJ9" s="978"/>
      <c r="AK9" s="978"/>
      <c r="AL9" s="978"/>
      <c r="AM9" s="978"/>
      <c r="AN9" s="978"/>
      <c r="AO9" s="978"/>
      <c r="AP9" s="978"/>
      <c r="AQ9" s="978"/>
      <c r="AR9" s="978"/>
      <c r="AS9" s="978"/>
      <c r="AT9" s="2520"/>
      <c r="AU9" s="2520"/>
      <c r="AV9" s="2520"/>
      <c r="AW9" s="2520"/>
      <c r="AX9" s="2520"/>
      <c r="AY9" s="2520"/>
      <c r="AZ9" s="2520"/>
      <c r="BA9" s="2520"/>
      <c r="BB9" s="2520"/>
    </row>
    <row r="10" spans="1:54">
      <c r="A10" s="980" t="s">
        <v>7030</v>
      </c>
      <c r="B10" s="988" t="s">
        <v>2878</v>
      </c>
      <c r="C10" s="982" t="s">
        <v>41</v>
      </c>
      <c r="D10" s="978">
        <f>D11-D16</f>
        <v>394200000000</v>
      </c>
      <c r="E10" s="978">
        <f t="shared" ref="E10:O10" si="0">E11-E16</f>
        <v>440500000000</v>
      </c>
      <c r="F10" s="978">
        <f t="shared" si="0"/>
        <v>547200000000</v>
      </c>
      <c r="G10" s="978">
        <f t="shared" si="0"/>
        <v>599300000000</v>
      </c>
      <c r="H10" s="978">
        <f t="shared" si="0"/>
        <v>702400000000</v>
      </c>
      <c r="I10" s="978">
        <f t="shared" si="0"/>
        <v>1053000000000</v>
      </c>
      <c r="J10" s="978">
        <f t="shared" si="0"/>
        <v>1336000000000</v>
      </c>
      <c r="K10" s="978">
        <f t="shared" si="0"/>
        <v>1775000000000</v>
      </c>
      <c r="L10" s="978">
        <f t="shared" si="0"/>
        <v>2322000000000</v>
      </c>
      <c r="M10" s="978">
        <f t="shared" si="0"/>
        <v>2579000000000</v>
      </c>
      <c r="N10" s="978">
        <f t="shared" si="0"/>
        <v>2943000000000</v>
      </c>
      <c r="O10" s="978">
        <f t="shared" si="0"/>
        <v>3882000000000</v>
      </c>
      <c r="P10" s="987">
        <v>5993000000000</v>
      </c>
      <c r="Q10" s="978">
        <v>6130000000000</v>
      </c>
      <c r="R10" s="978">
        <v>6899000000000</v>
      </c>
      <c r="S10" s="978">
        <v>7021000000000</v>
      </c>
      <c r="T10" s="978">
        <v>9259000000000</v>
      </c>
      <c r="U10" s="978">
        <v>10290000000000</v>
      </c>
      <c r="V10" s="1010">
        <v>11731000000000</v>
      </c>
      <c r="W10" s="1010">
        <v>14934000000000</v>
      </c>
      <c r="X10" s="1008">
        <v>17837000000000</v>
      </c>
      <c r="Y10" s="1008">
        <v>20694000000000</v>
      </c>
      <c r="Z10" s="1547">
        <v>23793000000000</v>
      </c>
      <c r="AA10" s="1547">
        <v>27227000000000</v>
      </c>
      <c r="AB10" s="978"/>
      <c r="AC10" s="978"/>
      <c r="AD10" s="978"/>
      <c r="AE10" s="978"/>
      <c r="AF10" s="978"/>
      <c r="AG10" s="978"/>
      <c r="AH10" s="978"/>
      <c r="AI10" s="978"/>
      <c r="AJ10" s="978"/>
      <c r="AK10" s="978"/>
      <c r="AL10" s="978"/>
      <c r="AM10" s="978"/>
      <c r="AN10" s="978"/>
      <c r="AO10" s="978"/>
      <c r="AP10" s="978"/>
      <c r="AQ10" s="978"/>
      <c r="AR10" s="978"/>
      <c r="AS10" s="978"/>
      <c r="AT10" s="2520"/>
      <c r="AU10" s="2520"/>
      <c r="AV10" s="2520"/>
      <c r="AW10" s="2520"/>
      <c r="AX10" s="2520"/>
      <c r="AY10" s="2520"/>
      <c r="AZ10" s="2520"/>
      <c r="BA10" s="2520"/>
      <c r="BB10" s="2520"/>
    </row>
    <row r="11" spans="1:54">
      <c r="A11" s="972" t="s">
        <v>76</v>
      </c>
      <c r="B11" s="988" t="s">
        <v>2879</v>
      </c>
      <c r="C11" s="982"/>
      <c r="D11" s="978">
        <v>448100000000</v>
      </c>
      <c r="E11" s="978">
        <v>503600000000</v>
      </c>
      <c r="F11" s="978">
        <v>618500000000</v>
      </c>
      <c r="G11" s="978">
        <v>648200000000</v>
      </c>
      <c r="H11" s="978">
        <v>765000000000</v>
      </c>
      <c r="I11" s="978">
        <v>1176000000000</v>
      </c>
      <c r="J11" s="978">
        <v>1497000000000</v>
      </c>
      <c r="K11" s="978">
        <v>1905000000000</v>
      </c>
      <c r="L11" s="978">
        <v>2511000000000</v>
      </c>
      <c r="M11" s="978">
        <v>2857000000000</v>
      </c>
      <c r="N11" s="978">
        <v>3123000000000</v>
      </c>
      <c r="O11" s="978">
        <v>4366000000000</v>
      </c>
      <c r="P11" s="987">
        <v>5993000000000</v>
      </c>
      <c r="Q11" s="978">
        <v>6130000000000</v>
      </c>
      <c r="R11" s="978">
        <v>6899000000000</v>
      </c>
      <c r="S11" s="978"/>
      <c r="T11" s="978"/>
      <c r="U11" s="978"/>
      <c r="V11" s="1010"/>
      <c r="W11" s="1010"/>
      <c r="X11" s="1008"/>
      <c r="Y11" s="1008"/>
      <c r="Z11" s="1547"/>
      <c r="AA11" s="1547"/>
      <c r="AB11" s="978"/>
      <c r="AC11" s="978"/>
      <c r="AD11" s="978"/>
      <c r="AE11" s="978"/>
      <c r="AF11" s="978"/>
      <c r="AG11" s="978"/>
      <c r="AH11" s="978"/>
      <c r="AI11" s="978"/>
      <c r="AJ11" s="978"/>
      <c r="AK11" s="978"/>
      <c r="AL11" s="978"/>
      <c r="AM11" s="978"/>
      <c r="AN11" s="978"/>
      <c r="AO11" s="978"/>
      <c r="AP11" s="978"/>
      <c r="AQ11" s="978"/>
      <c r="AR11" s="978"/>
      <c r="AS11" s="978"/>
      <c r="AT11" s="2520"/>
      <c r="AU11" s="2520"/>
      <c r="AV11" s="2520"/>
      <c r="AW11" s="2520"/>
      <c r="AX11" s="2520"/>
      <c r="AY11" s="2520"/>
      <c r="AZ11" s="2520"/>
      <c r="BA11" s="2520"/>
      <c r="BB11" s="2520"/>
    </row>
    <row r="12" spans="1:54">
      <c r="A12" s="1370" t="s">
        <v>989</v>
      </c>
      <c r="B12" s="1370" t="s">
        <v>1418</v>
      </c>
      <c r="C12" s="981" t="s">
        <v>7031</v>
      </c>
      <c r="D12" s="978">
        <v>58300000000</v>
      </c>
      <c r="E12" s="978">
        <v>78100000000</v>
      </c>
      <c r="F12" s="978">
        <v>94900000000</v>
      </c>
      <c r="G12" s="978">
        <v>102400000000</v>
      </c>
      <c r="H12" s="978">
        <v>117600000000</v>
      </c>
      <c r="I12" s="978">
        <v>181000000000</v>
      </c>
      <c r="J12" s="978">
        <v>280000000000</v>
      </c>
      <c r="K12" s="978">
        <v>427000000000</v>
      </c>
      <c r="L12" s="978">
        <v>508000000000</v>
      </c>
      <c r="M12" s="978">
        <v>677000000000</v>
      </c>
      <c r="N12" s="978">
        <v>732000000000</v>
      </c>
      <c r="O12" s="978">
        <v>1001000000000</v>
      </c>
      <c r="P12" s="987">
        <v>1776000000000</v>
      </c>
      <c r="Q12" s="978">
        <v>1484000000000</v>
      </c>
      <c r="R12" s="978">
        <v>1495000000000</v>
      </c>
      <c r="S12" s="978">
        <v>1376000000000</v>
      </c>
      <c r="T12" s="978">
        <v>1890000000000</v>
      </c>
      <c r="U12" s="978">
        <v>2226000000000</v>
      </c>
      <c r="V12" s="1010">
        <v>2931000000000</v>
      </c>
      <c r="W12" s="1010">
        <v>4073000000000</v>
      </c>
      <c r="X12" s="1008">
        <v>5088000000000</v>
      </c>
      <c r="Y12" s="1008">
        <v>6025000000000</v>
      </c>
      <c r="Z12" s="1547">
        <v>7046000000000</v>
      </c>
      <c r="AA12" s="1547">
        <v>8182000000000</v>
      </c>
      <c r="AB12" s="978"/>
      <c r="AC12" s="978"/>
      <c r="AD12" s="978"/>
      <c r="AE12" s="978"/>
      <c r="AF12" s="978"/>
      <c r="AG12" s="978"/>
      <c r="AH12" s="978"/>
      <c r="AI12" s="978"/>
      <c r="AJ12" s="978"/>
      <c r="AK12" s="978"/>
      <c r="AL12" s="978"/>
      <c r="AM12" s="978"/>
      <c r="AN12" s="978"/>
      <c r="AO12" s="978"/>
      <c r="AP12" s="978"/>
      <c r="AQ12" s="978"/>
      <c r="AR12" s="978"/>
      <c r="AS12" s="978"/>
      <c r="AT12" s="2520"/>
      <c r="AU12" s="2520"/>
      <c r="AV12" s="2520"/>
      <c r="AW12" s="2520"/>
      <c r="AX12" s="2520"/>
      <c r="AY12" s="2520"/>
      <c r="AZ12" s="2520"/>
      <c r="BA12" s="2520"/>
      <c r="BB12" s="2520"/>
    </row>
    <row r="13" spans="1:54">
      <c r="A13" s="1370" t="s">
        <v>992</v>
      </c>
      <c r="B13" s="1370" t="s">
        <v>2748</v>
      </c>
      <c r="C13" s="981" t="s">
        <v>7031</v>
      </c>
      <c r="D13" s="978">
        <v>335900000000</v>
      </c>
      <c r="E13" s="978">
        <v>362500000000</v>
      </c>
      <c r="F13" s="978">
        <v>452400000000</v>
      </c>
      <c r="G13" s="978">
        <v>497000000000</v>
      </c>
      <c r="H13" s="978">
        <v>584700000000</v>
      </c>
      <c r="I13" s="978">
        <v>872000000000</v>
      </c>
      <c r="J13" s="978">
        <v>1057000000000</v>
      </c>
      <c r="K13" s="978">
        <v>1348000000000</v>
      </c>
      <c r="L13" s="978">
        <v>1814000000000</v>
      </c>
      <c r="M13" s="978">
        <v>1902000000000</v>
      </c>
      <c r="N13" s="978">
        <v>2212000000000</v>
      </c>
      <c r="O13" s="978">
        <v>2881000000000</v>
      </c>
      <c r="P13" s="987">
        <v>4217000000000</v>
      </c>
      <c r="Q13" s="978">
        <v>4646000000000</v>
      </c>
      <c r="R13" s="978">
        <v>5404000000000</v>
      </c>
      <c r="S13" s="978">
        <v>5645000000000</v>
      </c>
      <c r="T13" s="978">
        <v>7369000000000</v>
      </c>
      <c r="U13" s="978">
        <v>8064000000000</v>
      </c>
      <c r="V13" s="1010">
        <v>8799000000000</v>
      </c>
      <c r="W13" s="1010">
        <v>10861000000000</v>
      </c>
      <c r="X13" s="1008">
        <v>12749000000000</v>
      </c>
      <c r="Y13" s="1008">
        <v>14669000000000</v>
      </c>
      <c r="Z13" s="1547">
        <v>16746000000000</v>
      </c>
      <c r="AA13" s="1547">
        <v>19045000000000</v>
      </c>
      <c r="AB13" s="978"/>
      <c r="AC13" s="978"/>
      <c r="AD13" s="978"/>
      <c r="AE13" s="978"/>
      <c r="AF13" s="978"/>
      <c r="AG13" s="978"/>
      <c r="AH13" s="978"/>
      <c r="AI13" s="978"/>
      <c r="AJ13" s="978"/>
      <c r="AK13" s="978"/>
      <c r="AL13" s="978"/>
      <c r="AM13" s="978"/>
      <c r="AN13" s="978"/>
      <c r="AO13" s="978"/>
      <c r="AP13" s="978"/>
      <c r="AQ13" s="978"/>
      <c r="AR13" s="978"/>
      <c r="AS13" s="978"/>
      <c r="AT13" s="2520"/>
      <c r="AU13" s="2520"/>
      <c r="AV13" s="2520"/>
      <c r="AW13" s="2520"/>
      <c r="AX13" s="2520"/>
      <c r="AY13" s="2520"/>
      <c r="AZ13" s="2520"/>
      <c r="BA13" s="2520"/>
      <c r="BB13" s="2520"/>
    </row>
    <row r="14" spans="1:54">
      <c r="A14" s="997" t="s">
        <v>2072</v>
      </c>
      <c r="B14" s="997" t="s">
        <v>2880</v>
      </c>
      <c r="C14" s="981" t="s">
        <v>1049</v>
      </c>
      <c r="D14" s="998">
        <f>D13-D15</f>
        <v>216800000000</v>
      </c>
      <c r="E14" s="998">
        <f>E13-E15</f>
        <v>248500000000</v>
      </c>
      <c r="F14" s="998">
        <f>F13-F15</f>
        <v>313300000000</v>
      </c>
      <c r="G14" s="998">
        <f>G13-G15</f>
        <v>347900000000</v>
      </c>
      <c r="H14" s="998">
        <f>H13-H15</f>
        <v>402800000000</v>
      </c>
      <c r="I14" s="978">
        <v>554000000000</v>
      </c>
      <c r="J14" s="978">
        <v>620000000000</v>
      </c>
      <c r="K14" s="978">
        <v>875000000000</v>
      </c>
      <c r="L14" s="978">
        <v>1244000000000</v>
      </c>
      <c r="M14" s="978">
        <v>1292000000000</v>
      </c>
      <c r="N14" s="978">
        <v>1526000000000</v>
      </c>
      <c r="O14" s="978">
        <v>1904000000000</v>
      </c>
      <c r="P14" s="987">
        <v>2765000000000</v>
      </c>
      <c r="Q14" s="978">
        <v>2943000000000</v>
      </c>
      <c r="R14" s="978">
        <v>3444000000000</v>
      </c>
      <c r="S14" s="978">
        <v>3824000000000</v>
      </c>
      <c r="T14" s="978">
        <v>5342000000000</v>
      </c>
      <c r="U14" s="978">
        <v>5434000000000</v>
      </c>
      <c r="V14" s="1010">
        <v>6058000000000</v>
      </c>
      <c r="W14" s="1010">
        <v>7177000000000</v>
      </c>
      <c r="X14" s="1008">
        <v>8535000000000</v>
      </c>
      <c r="Y14" s="1008">
        <v>9851000000000</v>
      </c>
      <c r="Z14" s="1547">
        <v>11276000000000</v>
      </c>
      <c r="AA14" s="1547">
        <v>12854000000000</v>
      </c>
      <c r="AB14" s="978"/>
      <c r="AC14" s="978"/>
      <c r="AD14" s="978"/>
      <c r="AE14" s="978"/>
      <c r="AF14" s="978"/>
      <c r="AG14" s="978"/>
      <c r="AH14" s="978"/>
      <c r="AI14" s="978"/>
      <c r="AJ14" s="978"/>
      <c r="AK14" s="978"/>
      <c r="AL14" s="978"/>
      <c r="AM14" s="978"/>
      <c r="AN14" s="978"/>
      <c r="AO14" s="978"/>
      <c r="AP14" s="978"/>
      <c r="AQ14" s="978"/>
      <c r="AR14" s="978"/>
      <c r="AS14" s="978"/>
      <c r="AT14" s="2520"/>
      <c r="AU14" s="2520"/>
      <c r="AV14" s="2520"/>
      <c r="AW14" s="2520"/>
      <c r="AX14" s="2520"/>
      <c r="AY14" s="2520"/>
      <c r="AZ14" s="2520"/>
      <c r="BA14" s="2520"/>
      <c r="BB14" s="2520"/>
    </row>
    <row r="15" spans="1:54">
      <c r="A15" s="997" t="s">
        <v>643</v>
      </c>
      <c r="B15" s="997" t="s">
        <v>1423</v>
      </c>
      <c r="C15" s="981" t="s">
        <v>1049</v>
      </c>
      <c r="D15" s="978">
        <v>119100000000</v>
      </c>
      <c r="E15" s="978">
        <v>114000000000</v>
      </c>
      <c r="F15" s="978">
        <v>139100000000</v>
      </c>
      <c r="G15" s="978">
        <v>149100000000</v>
      </c>
      <c r="H15" s="978">
        <v>181900000000</v>
      </c>
      <c r="I15" s="978">
        <v>318000000000</v>
      </c>
      <c r="J15" s="978">
        <v>436000000000</v>
      </c>
      <c r="K15" s="978">
        <v>473000000000</v>
      </c>
      <c r="L15" s="978">
        <v>570000000000</v>
      </c>
      <c r="M15" s="978">
        <v>610000000000</v>
      </c>
      <c r="N15" s="978">
        <v>685000000000</v>
      </c>
      <c r="O15" s="978">
        <v>978000000000</v>
      </c>
      <c r="P15" s="987">
        <v>1452000000000</v>
      </c>
      <c r="Q15" s="978">
        <v>1703000000000</v>
      </c>
      <c r="R15" s="978">
        <v>1960000000000</v>
      </c>
      <c r="S15" s="978">
        <v>1821000000000</v>
      </c>
      <c r="T15" s="978">
        <v>2027000000000</v>
      </c>
      <c r="U15" s="978">
        <v>2630000000000</v>
      </c>
      <c r="V15" s="1010">
        <v>2742000000000</v>
      </c>
      <c r="W15" s="1010">
        <v>3684000000000</v>
      </c>
      <c r="X15" s="1008">
        <v>4215000000000</v>
      </c>
      <c r="Y15" s="1008">
        <v>4819000000000</v>
      </c>
      <c r="Z15" s="1547">
        <v>5470000000000</v>
      </c>
      <c r="AA15" s="1547">
        <v>6191000000000</v>
      </c>
      <c r="AB15" s="978"/>
      <c r="AC15" s="978"/>
      <c r="AD15" s="978"/>
      <c r="AE15" s="978"/>
      <c r="AF15" s="978"/>
      <c r="AG15" s="978"/>
      <c r="AH15" s="978"/>
      <c r="AI15" s="978"/>
      <c r="AJ15" s="978"/>
      <c r="AK15" s="978"/>
      <c r="AL15" s="978"/>
      <c r="AM15" s="978"/>
      <c r="AN15" s="978"/>
      <c r="AO15" s="978"/>
      <c r="AP15" s="978"/>
      <c r="AQ15" s="978"/>
      <c r="AR15" s="978"/>
      <c r="AS15" s="978"/>
      <c r="AT15" s="2520"/>
      <c r="AU15" s="2520"/>
      <c r="AV15" s="2520"/>
      <c r="AW15" s="2520"/>
      <c r="AX15" s="2520"/>
      <c r="AY15" s="2520"/>
      <c r="AZ15" s="2520"/>
      <c r="BA15" s="2520"/>
      <c r="BB15" s="2520"/>
    </row>
    <row r="16" spans="1:54">
      <c r="A16" s="980" t="s">
        <v>51</v>
      </c>
      <c r="B16" s="988" t="s">
        <v>1424</v>
      </c>
      <c r="C16" s="982" t="s">
        <v>41</v>
      </c>
      <c r="D16" s="978">
        <v>53900000000</v>
      </c>
      <c r="E16" s="978">
        <v>63100000000</v>
      </c>
      <c r="F16" s="978">
        <v>71300000000</v>
      </c>
      <c r="G16" s="978">
        <v>48900000000</v>
      </c>
      <c r="H16" s="978">
        <v>62600000000</v>
      </c>
      <c r="I16" s="978">
        <v>123000000000</v>
      </c>
      <c r="J16" s="978">
        <v>161000000000</v>
      </c>
      <c r="K16" s="978">
        <v>130000000000</v>
      </c>
      <c r="L16" s="978">
        <v>189000000000</v>
      </c>
      <c r="M16" s="978">
        <v>278000000000</v>
      </c>
      <c r="N16" s="978">
        <v>180000000000</v>
      </c>
      <c r="O16" s="978">
        <v>484000000000</v>
      </c>
      <c r="P16" s="987">
        <v>375000000000</v>
      </c>
      <c r="Q16" s="978">
        <v>286000000000</v>
      </c>
      <c r="R16" s="978">
        <v>458000000000</v>
      </c>
      <c r="S16" s="978">
        <v>409000000000</v>
      </c>
      <c r="T16" s="978">
        <v>462000000000</v>
      </c>
      <c r="U16" s="978">
        <v>459000000000</v>
      </c>
      <c r="V16" s="1010">
        <v>1064000000000</v>
      </c>
      <c r="W16" s="1010">
        <v>761000000000</v>
      </c>
      <c r="X16" s="1008">
        <v>870000000000</v>
      </c>
      <c r="Y16" s="1008">
        <v>995000000000</v>
      </c>
      <c r="Z16" s="1547">
        <v>1269000000000</v>
      </c>
      <c r="AA16" s="1547">
        <v>1436000000000</v>
      </c>
      <c r="AB16" s="978"/>
      <c r="AC16" s="978"/>
      <c r="AD16" s="978"/>
      <c r="AE16" s="978"/>
      <c r="AF16" s="978"/>
      <c r="AG16" s="978"/>
      <c r="AH16" s="978"/>
      <c r="AI16" s="978"/>
      <c r="AJ16" s="978"/>
      <c r="AK16" s="978"/>
      <c r="AL16" s="978"/>
      <c r="AM16" s="978"/>
      <c r="AN16" s="978"/>
      <c r="AO16" s="978"/>
      <c r="AP16" s="978"/>
      <c r="AQ16" s="978"/>
      <c r="AR16" s="978"/>
      <c r="AS16" s="978"/>
      <c r="AT16" s="2520"/>
      <c r="AU16" s="2520"/>
      <c r="AV16" s="2520"/>
      <c r="AW16" s="2520"/>
      <c r="AX16" s="2520"/>
      <c r="AY16" s="2520"/>
      <c r="AZ16" s="2520"/>
      <c r="BA16" s="2520"/>
      <c r="BB16" s="2520"/>
    </row>
    <row r="17" spans="1:54" s="848" customFormat="1">
      <c r="A17" s="1375" t="s">
        <v>53</v>
      </c>
      <c r="B17" s="1012" t="s">
        <v>53</v>
      </c>
      <c r="C17" s="1058" t="s">
        <v>38</v>
      </c>
      <c r="D17" s="1016">
        <v>125300000000</v>
      </c>
      <c r="E17" s="1016">
        <v>202800000000</v>
      </c>
      <c r="F17" s="1016">
        <v>113000000000</v>
      </c>
      <c r="G17" s="1016">
        <v>198600000000</v>
      </c>
      <c r="H17" s="1016">
        <v>91400000000</v>
      </c>
      <c r="I17" s="1016">
        <v>75000000000</v>
      </c>
      <c r="J17" s="1016">
        <v>225000000000</v>
      </c>
      <c r="K17" s="1016">
        <v>143000000000</v>
      </c>
      <c r="L17" s="1016">
        <v>103000000000</v>
      </c>
      <c r="M17" s="1016">
        <v>81000000000</v>
      </c>
      <c r="N17" s="1016">
        <v>103000000000</v>
      </c>
      <c r="O17" s="1016">
        <v>1162000000000</v>
      </c>
      <c r="P17" s="1022">
        <v>1071000000000</v>
      </c>
      <c r="Q17" s="1016">
        <v>639000000000</v>
      </c>
      <c r="R17" s="1016">
        <v>3268000000000</v>
      </c>
      <c r="S17" s="1016">
        <v>761000000000</v>
      </c>
      <c r="T17" s="1016">
        <v>934000000000</v>
      </c>
      <c r="U17" s="1016">
        <v>1440000000000</v>
      </c>
      <c r="V17" s="1069">
        <v>1347000000000</v>
      </c>
      <c r="W17" s="1069">
        <v>1535000000000</v>
      </c>
      <c r="X17" s="1018">
        <v>1756000000000</v>
      </c>
      <c r="Y17" s="1018">
        <v>1918000000000</v>
      </c>
      <c r="Z17" s="2529">
        <v>2001000000000</v>
      </c>
      <c r="AA17" s="2529">
        <f>AA18+AA19</f>
        <v>2181000000000</v>
      </c>
      <c r="AB17" s="978"/>
      <c r="AC17" s="978"/>
      <c r="AD17" s="978"/>
      <c r="AE17" s="978"/>
      <c r="AF17" s="978"/>
      <c r="AG17" s="978"/>
      <c r="AH17" s="978"/>
      <c r="AI17" s="978"/>
      <c r="AJ17" s="978"/>
      <c r="AK17" s="978"/>
      <c r="AL17" s="978"/>
      <c r="AM17" s="978"/>
      <c r="AN17" s="978"/>
      <c r="AO17" s="978"/>
      <c r="AP17" s="978"/>
      <c r="AQ17" s="978"/>
      <c r="AR17" s="978"/>
      <c r="AS17" s="978"/>
      <c r="AT17" s="2520"/>
      <c r="AU17" s="2520"/>
      <c r="AV17" s="2520"/>
      <c r="AW17" s="2520"/>
      <c r="AX17" s="2520"/>
      <c r="AY17" s="2520"/>
      <c r="AZ17" s="2520"/>
      <c r="BA17" s="2520"/>
      <c r="BB17" s="2520"/>
    </row>
    <row r="18" spans="1:54">
      <c r="A18" s="980" t="s">
        <v>564</v>
      </c>
      <c r="B18" s="988" t="s">
        <v>2881</v>
      </c>
      <c r="C18" s="1371" t="s">
        <v>57</v>
      </c>
      <c r="D18" s="978"/>
      <c r="E18" s="978"/>
      <c r="F18" s="987"/>
      <c r="G18" s="987"/>
      <c r="H18" s="987"/>
      <c r="I18" s="978">
        <v>28000000000</v>
      </c>
      <c r="J18" s="978">
        <v>129000000000</v>
      </c>
      <c r="K18" s="978">
        <v>52000000000</v>
      </c>
      <c r="L18" s="978">
        <v>103000000000</v>
      </c>
      <c r="M18" s="978">
        <v>81000000000</v>
      </c>
      <c r="N18" s="978">
        <v>103000000000</v>
      </c>
      <c r="O18" s="978">
        <v>412000000000</v>
      </c>
      <c r="P18" s="987">
        <v>677000000000</v>
      </c>
      <c r="Q18" s="978">
        <v>462000000000</v>
      </c>
      <c r="R18" s="978">
        <v>1765000000000</v>
      </c>
      <c r="S18" s="978">
        <v>249000000000</v>
      </c>
      <c r="T18" s="978">
        <v>92000000000</v>
      </c>
      <c r="U18" s="978">
        <v>960000000000</v>
      </c>
      <c r="V18" s="1010">
        <v>852000000000</v>
      </c>
      <c r="W18" s="1010">
        <v>909000000000</v>
      </c>
      <c r="X18" s="1008">
        <v>1036000000000</v>
      </c>
      <c r="Y18" s="1008">
        <v>1180000000000</v>
      </c>
      <c r="Z18" s="1547">
        <v>1178000000000</v>
      </c>
      <c r="AA18" s="1547">
        <v>1231000000000</v>
      </c>
      <c r="AB18" s="978"/>
      <c r="AC18" s="978"/>
      <c r="AD18" s="978"/>
      <c r="AE18" s="978"/>
      <c r="AF18" s="978"/>
      <c r="AG18" s="978"/>
      <c r="AH18" s="978"/>
      <c r="AI18" s="978"/>
      <c r="AJ18" s="978"/>
      <c r="AK18" s="978"/>
      <c r="AL18" s="978"/>
      <c r="AM18" s="978"/>
      <c r="AN18" s="978"/>
      <c r="AO18" s="978"/>
      <c r="AP18" s="978"/>
      <c r="AQ18" s="978"/>
      <c r="AR18" s="978"/>
      <c r="AS18" s="978"/>
      <c r="AT18" s="2520"/>
      <c r="AU18" s="2520"/>
      <c r="AV18" s="2520"/>
      <c r="AW18" s="2520"/>
      <c r="AX18" s="2520"/>
      <c r="AY18" s="2520"/>
      <c r="AZ18" s="2520"/>
      <c r="BA18" s="2520"/>
      <c r="BB18" s="2520"/>
    </row>
    <row r="19" spans="1:54">
      <c r="A19" s="980" t="s">
        <v>886</v>
      </c>
      <c r="B19" s="988" t="s">
        <v>2882</v>
      </c>
      <c r="C19" s="1371" t="s">
        <v>57</v>
      </c>
      <c r="D19" s="978"/>
      <c r="E19" s="978"/>
      <c r="F19" s="987"/>
      <c r="G19" s="987"/>
      <c r="H19" s="987"/>
      <c r="I19" s="978">
        <v>4000000000</v>
      </c>
      <c r="J19" s="978">
        <v>10000000000</v>
      </c>
      <c r="K19" s="978">
        <v>33000000000</v>
      </c>
      <c r="L19" s="978">
        <v>0</v>
      </c>
      <c r="M19" s="978">
        <v>0</v>
      </c>
      <c r="N19" s="978">
        <v>0</v>
      </c>
      <c r="O19" s="978">
        <v>750000000000</v>
      </c>
      <c r="P19" s="987">
        <v>394000000000</v>
      </c>
      <c r="Q19" s="978">
        <v>177000000000</v>
      </c>
      <c r="R19" s="978">
        <v>710000000000</v>
      </c>
      <c r="S19" s="978">
        <v>89000000000</v>
      </c>
      <c r="T19" s="978">
        <v>742000000000</v>
      </c>
      <c r="U19" s="978">
        <v>449000000000</v>
      </c>
      <c r="V19" s="1010">
        <v>495000000000</v>
      </c>
      <c r="W19" s="1010">
        <v>626000000000</v>
      </c>
      <c r="X19" s="1008">
        <v>720000000000</v>
      </c>
      <c r="Y19" s="1008">
        <v>737000000000</v>
      </c>
      <c r="Z19" s="1547">
        <v>823000000000</v>
      </c>
      <c r="AA19" s="1547">
        <v>950000000000</v>
      </c>
      <c r="AB19" s="978"/>
      <c r="AC19" s="978"/>
      <c r="AD19" s="978"/>
      <c r="AE19" s="978"/>
      <c r="AF19" s="978"/>
      <c r="AG19" s="978"/>
      <c r="AH19" s="978"/>
      <c r="AI19" s="978"/>
      <c r="AJ19" s="978"/>
      <c r="AK19" s="978"/>
      <c r="AL19" s="978"/>
      <c r="AM19" s="978"/>
      <c r="AN19" s="978"/>
      <c r="AO19" s="978"/>
      <c r="AP19" s="978"/>
      <c r="AQ19" s="978"/>
      <c r="AR19" s="978"/>
      <c r="AS19" s="978"/>
      <c r="AT19" s="2520"/>
      <c r="AU19" s="2520"/>
      <c r="AV19" s="2520"/>
      <c r="AW19" s="2520"/>
      <c r="AX19" s="2520"/>
      <c r="AY19" s="2520"/>
      <c r="AZ19" s="2520"/>
      <c r="BA19" s="2520"/>
      <c r="BB19" s="2520"/>
    </row>
    <row r="20" spans="1:54">
      <c r="A20" s="988" t="s">
        <v>2883</v>
      </c>
      <c r="B20" s="988" t="s">
        <v>2883</v>
      </c>
      <c r="C20" s="1371" t="s">
        <v>57</v>
      </c>
      <c r="D20" s="978"/>
      <c r="E20" s="978"/>
      <c r="F20" s="987"/>
      <c r="G20" s="987"/>
      <c r="H20" s="987"/>
      <c r="I20" s="978"/>
      <c r="J20" s="978"/>
      <c r="K20" s="978"/>
      <c r="L20" s="978"/>
      <c r="M20" s="978"/>
      <c r="N20" s="978"/>
      <c r="O20" s="978"/>
      <c r="P20" s="987"/>
      <c r="Q20" s="978"/>
      <c r="R20" s="978"/>
      <c r="S20" s="978">
        <f>S17-S18-S19</f>
        <v>423000000000</v>
      </c>
      <c r="T20" s="978">
        <f t="shared" ref="T20:Z20" si="1">T17-T18-T19</f>
        <v>100000000000</v>
      </c>
      <c r="U20" s="978">
        <f t="shared" si="1"/>
        <v>31000000000</v>
      </c>
      <c r="V20" s="978">
        <f t="shared" si="1"/>
        <v>0</v>
      </c>
      <c r="W20" s="978">
        <f t="shared" si="1"/>
        <v>0</v>
      </c>
      <c r="X20" s="978">
        <f t="shared" si="1"/>
        <v>0</v>
      </c>
      <c r="Y20" s="978">
        <f t="shared" si="1"/>
        <v>1000000000</v>
      </c>
      <c r="Z20" s="978">
        <f t="shared" si="1"/>
        <v>0</v>
      </c>
      <c r="AA20" s="978"/>
      <c r="AB20" s="978"/>
      <c r="AC20" s="978"/>
      <c r="AD20" s="978"/>
      <c r="AE20" s="978"/>
      <c r="AF20" s="978"/>
      <c r="AG20" s="978"/>
      <c r="AH20" s="978"/>
      <c r="AI20" s="978"/>
      <c r="AJ20" s="978"/>
      <c r="AK20" s="978"/>
      <c r="AL20" s="978"/>
      <c r="AM20" s="978"/>
      <c r="AN20" s="978"/>
      <c r="AO20" s="978"/>
      <c r="AP20" s="978"/>
      <c r="AQ20" s="978"/>
      <c r="AR20" s="978"/>
      <c r="AS20" s="978"/>
      <c r="AT20" s="2520"/>
      <c r="AU20" s="2520"/>
      <c r="AV20" s="2520"/>
      <c r="AW20" s="2520"/>
      <c r="AX20" s="2520"/>
      <c r="AY20" s="2520"/>
      <c r="AZ20" s="2520"/>
      <c r="BA20" s="2520"/>
      <c r="BB20" s="2520"/>
    </row>
    <row r="21" spans="1:54">
      <c r="A21" s="980" t="s">
        <v>2884</v>
      </c>
      <c r="B21" s="988" t="s">
        <v>2885</v>
      </c>
      <c r="C21" s="1371" t="s">
        <v>57</v>
      </c>
      <c r="D21" s="978"/>
      <c r="E21" s="978"/>
      <c r="F21" s="987"/>
      <c r="G21" s="987"/>
      <c r="H21" s="987"/>
      <c r="I21" s="978">
        <v>44000000000</v>
      </c>
      <c r="J21" s="978">
        <v>86000000000</v>
      </c>
      <c r="K21" s="978">
        <v>58000000000</v>
      </c>
      <c r="L21" s="978">
        <v>0</v>
      </c>
      <c r="M21" s="978">
        <v>0</v>
      </c>
      <c r="N21" s="978">
        <v>0</v>
      </c>
      <c r="O21" s="978">
        <v>0</v>
      </c>
      <c r="P21" s="987">
        <v>0</v>
      </c>
      <c r="Q21" s="978">
        <v>0</v>
      </c>
      <c r="R21" s="978">
        <v>0</v>
      </c>
      <c r="S21" s="978"/>
      <c r="T21" s="978"/>
      <c r="U21" s="978"/>
      <c r="V21" s="1010"/>
      <c r="W21" s="1010"/>
      <c r="X21" s="1008"/>
      <c r="Y21" s="1008"/>
      <c r="Z21" s="1547"/>
      <c r="AA21" s="1547"/>
      <c r="AB21" s="978"/>
      <c r="AC21" s="978"/>
      <c r="AD21" s="978"/>
      <c r="AE21" s="978"/>
      <c r="AF21" s="978"/>
      <c r="AG21" s="978"/>
      <c r="AH21" s="978"/>
      <c r="AI21" s="978"/>
      <c r="AJ21" s="978"/>
      <c r="AK21" s="978"/>
      <c r="AL21" s="978"/>
      <c r="AM21" s="978"/>
      <c r="AN21" s="978"/>
      <c r="AO21" s="978"/>
      <c r="AP21" s="978"/>
      <c r="AQ21" s="978"/>
      <c r="AR21" s="978"/>
      <c r="AS21" s="978"/>
      <c r="AT21" s="2520"/>
      <c r="AU21" s="2520"/>
      <c r="AV21" s="2520"/>
      <c r="AW21" s="2520"/>
      <c r="AX21" s="2463"/>
    </row>
    <row r="22" spans="1:54">
      <c r="A22" s="980" t="s">
        <v>2886</v>
      </c>
      <c r="B22" s="988" t="s">
        <v>2887</v>
      </c>
      <c r="C22" s="1371" t="s">
        <v>57</v>
      </c>
      <c r="D22" s="978"/>
      <c r="E22" s="978"/>
      <c r="F22" s="987"/>
      <c r="G22" s="987"/>
      <c r="H22" s="987"/>
      <c r="I22" s="978">
        <v>0</v>
      </c>
      <c r="J22" s="978">
        <v>0</v>
      </c>
      <c r="K22" s="978">
        <v>0</v>
      </c>
      <c r="L22" s="978">
        <v>0</v>
      </c>
      <c r="M22" s="978">
        <v>0</v>
      </c>
      <c r="N22" s="978">
        <v>0</v>
      </c>
      <c r="O22" s="978">
        <v>0</v>
      </c>
      <c r="P22" s="987">
        <v>0</v>
      </c>
      <c r="Q22" s="978">
        <v>0</v>
      </c>
      <c r="R22" s="978">
        <v>0</v>
      </c>
      <c r="S22" s="978"/>
      <c r="T22" s="978"/>
      <c r="U22" s="978"/>
      <c r="V22" s="978"/>
      <c r="W22" s="978"/>
      <c r="X22" s="978"/>
      <c r="Y22" s="978"/>
      <c r="Z22" s="978"/>
      <c r="AA22" s="978"/>
      <c r="AB22" s="978"/>
      <c r="AC22" s="978"/>
      <c r="AD22" s="978"/>
      <c r="AE22" s="978"/>
      <c r="AF22" s="978"/>
      <c r="AG22" s="978"/>
      <c r="AH22" s="978"/>
      <c r="AI22" s="978"/>
      <c r="AJ22" s="978"/>
      <c r="AK22" s="978"/>
      <c r="AL22" s="978"/>
      <c r="AM22" s="978"/>
      <c r="AN22" s="978"/>
      <c r="AO22" s="978"/>
      <c r="AP22" s="978"/>
      <c r="AQ22" s="978"/>
      <c r="AR22" s="978"/>
      <c r="AS22" s="978"/>
      <c r="AT22" s="2520"/>
      <c r="AU22" s="2463"/>
      <c r="AV22" s="2463"/>
      <c r="AW22" s="2463"/>
      <c r="AX22" s="2463"/>
    </row>
    <row r="23" spans="1:54">
      <c r="A23" s="966" t="s">
        <v>2888</v>
      </c>
      <c r="B23" s="988" t="s">
        <v>2889</v>
      </c>
      <c r="C23" s="1371" t="s">
        <v>57</v>
      </c>
      <c r="D23" s="978"/>
      <c r="E23" s="978"/>
      <c r="F23" s="987"/>
      <c r="G23" s="987"/>
      <c r="H23" s="987"/>
      <c r="I23" s="987">
        <v>0</v>
      </c>
      <c r="J23" s="987">
        <v>0</v>
      </c>
      <c r="K23" s="987">
        <v>0</v>
      </c>
      <c r="L23" s="987">
        <v>0</v>
      </c>
      <c r="M23" s="987">
        <v>0</v>
      </c>
      <c r="N23" s="987">
        <v>0</v>
      </c>
      <c r="O23" s="987">
        <v>0</v>
      </c>
      <c r="P23" s="987">
        <v>0</v>
      </c>
      <c r="Q23" s="978">
        <v>0</v>
      </c>
      <c r="R23" s="978">
        <v>792000000000</v>
      </c>
      <c r="S23" s="978"/>
      <c r="T23" s="978"/>
      <c r="U23" s="978"/>
      <c r="V23" s="1010"/>
      <c r="W23" s="1010"/>
      <c r="X23" s="1008"/>
      <c r="Y23" s="1008"/>
      <c r="Z23" s="1547"/>
      <c r="AA23" s="1547"/>
      <c r="AB23" s="978"/>
      <c r="AC23" s="978"/>
      <c r="AD23" s="978"/>
      <c r="AE23" s="978"/>
      <c r="AF23" s="978"/>
      <c r="AG23" s="978"/>
      <c r="AH23" s="978"/>
      <c r="AI23" s="978"/>
      <c r="AJ23" s="978"/>
      <c r="AK23" s="978"/>
      <c r="AL23" s="978"/>
      <c r="AM23" s="978"/>
      <c r="AN23" s="978"/>
      <c r="AO23" s="978"/>
      <c r="AP23" s="978"/>
      <c r="AQ23" s="978"/>
      <c r="AR23" s="978"/>
      <c r="AS23" s="978"/>
      <c r="AT23" s="2520"/>
      <c r="AU23" s="2463"/>
      <c r="AV23" s="2463"/>
      <c r="AW23" s="2463"/>
      <c r="AX23" s="2463"/>
    </row>
    <row r="24" spans="1:54">
      <c r="A24" s="996"/>
      <c r="B24" s="981" t="s">
        <v>2890</v>
      </c>
      <c r="D24" s="978">
        <v>893000000000</v>
      </c>
      <c r="E24" s="978">
        <v>1113800000000</v>
      </c>
      <c r="F24" s="978">
        <v>1157400000000</v>
      </c>
      <c r="G24" s="978">
        <v>1395300000000</v>
      </c>
      <c r="H24" s="978">
        <v>1464200000000</v>
      </c>
      <c r="I24" s="978">
        <v>1808000000000</v>
      </c>
      <c r="J24" s="978">
        <v>2871000000000</v>
      </c>
      <c r="K24" s="978">
        <v>2566000000000</v>
      </c>
      <c r="L24" s="978">
        <v>3627000000000</v>
      </c>
      <c r="M24" s="978">
        <v>5240000000000</v>
      </c>
      <c r="N24" s="978">
        <v>8049000000000</v>
      </c>
      <c r="O24" s="978">
        <v>7247000000000</v>
      </c>
      <c r="P24" s="978">
        <v>10342000000000</v>
      </c>
      <c r="Q24" s="978">
        <v>10785000000000</v>
      </c>
      <c r="R24" s="978">
        <v>13971000000000</v>
      </c>
      <c r="S24" s="978"/>
      <c r="T24" s="978"/>
      <c r="U24" s="978"/>
      <c r="V24" s="1010"/>
      <c r="W24" s="1010"/>
      <c r="X24" s="1008"/>
      <c r="Y24" s="1008"/>
      <c r="Z24" s="1547"/>
      <c r="AA24" s="1547"/>
      <c r="AB24" s="978"/>
      <c r="AC24" s="978"/>
      <c r="AD24" s="978"/>
      <c r="AE24" s="978"/>
      <c r="AF24" s="978"/>
      <c r="AG24" s="978"/>
      <c r="AH24" s="978"/>
      <c r="AI24" s="978"/>
      <c r="AJ24" s="978"/>
      <c r="AK24" s="978"/>
      <c r="AL24" s="978"/>
      <c r="AM24" s="978"/>
      <c r="AN24" s="978"/>
      <c r="AO24" s="978"/>
      <c r="AP24" s="978"/>
      <c r="AQ24" s="978"/>
      <c r="AR24" s="978"/>
      <c r="AS24" s="978"/>
      <c r="AT24" s="2520"/>
      <c r="AU24" s="2463"/>
      <c r="AV24" s="2463"/>
      <c r="AW24" s="2463"/>
      <c r="AX24" s="2463"/>
    </row>
    <row r="25" spans="1:54" s="848" customFormat="1">
      <c r="A25" s="1373" t="s">
        <v>71</v>
      </c>
      <c r="B25" s="1012" t="s">
        <v>2890</v>
      </c>
      <c r="C25" s="1374" t="s">
        <v>35</v>
      </c>
      <c r="D25" s="1016">
        <f>D26+D35+D41+D42</f>
        <v>893000000000</v>
      </c>
      <c r="E25" s="1016">
        <f t="shared" ref="E25:R25" si="2">E26+E35+E41+E42</f>
        <v>1113900000000</v>
      </c>
      <c r="F25" s="1016">
        <f t="shared" si="2"/>
        <v>1157300000000</v>
      </c>
      <c r="G25" s="1016">
        <f t="shared" si="2"/>
        <v>1395300000000</v>
      </c>
      <c r="H25" s="1016">
        <f t="shared" si="2"/>
        <v>1464200000000</v>
      </c>
      <c r="I25" s="1016">
        <f t="shared" si="2"/>
        <v>1807000000000</v>
      </c>
      <c r="J25" s="1016">
        <f t="shared" si="2"/>
        <v>2871000000000</v>
      </c>
      <c r="K25" s="1016">
        <f t="shared" si="2"/>
        <v>2567000000000</v>
      </c>
      <c r="L25" s="1016">
        <f t="shared" si="2"/>
        <v>3627000000000</v>
      </c>
      <c r="M25" s="1016">
        <f t="shared" si="2"/>
        <v>5240000000000</v>
      </c>
      <c r="N25" s="1016">
        <f t="shared" si="2"/>
        <v>8049000000000</v>
      </c>
      <c r="O25" s="1016">
        <f t="shared" si="2"/>
        <v>7247000000000</v>
      </c>
      <c r="P25" s="1016">
        <f t="shared" si="2"/>
        <v>10343000000000</v>
      </c>
      <c r="Q25" s="1016">
        <f t="shared" si="2"/>
        <v>10785000000000</v>
      </c>
      <c r="R25" s="1016">
        <f t="shared" si="2"/>
        <v>13971000000000</v>
      </c>
      <c r="S25" s="1016">
        <v>14286000000000</v>
      </c>
      <c r="T25" s="1016">
        <v>12439000000000</v>
      </c>
      <c r="U25" s="1016">
        <f>U26+U35+U41</f>
        <v>16228000000000</v>
      </c>
      <c r="V25" s="1069">
        <v>19171000000000</v>
      </c>
      <c r="W25" s="1069">
        <v>22966000000000</v>
      </c>
      <c r="X25" s="1018">
        <v>26424000000000</v>
      </c>
      <c r="Y25" s="1018">
        <v>30443000000000</v>
      </c>
      <c r="Z25" s="2529">
        <v>34925000000000</v>
      </c>
      <c r="AA25" s="2529">
        <v>39770000000000</v>
      </c>
      <c r="AB25" s="978"/>
      <c r="AC25" s="978"/>
      <c r="AD25" s="978"/>
      <c r="AE25" s="978"/>
      <c r="AF25" s="978"/>
      <c r="AG25" s="978"/>
      <c r="AH25" s="978"/>
      <c r="AI25" s="978"/>
      <c r="AJ25" s="978"/>
      <c r="AK25" s="978"/>
      <c r="AL25" s="978"/>
      <c r="AM25" s="978"/>
      <c r="AN25" s="978"/>
      <c r="AO25" s="978"/>
      <c r="AP25" s="978"/>
      <c r="AQ25" s="978"/>
      <c r="AR25" s="978"/>
      <c r="AS25" s="978"/>
      <c r="AT25" s="2520"/>
      <c r="AU25" s="2520"/>
      <c r="AV25" s="2520"/>
      <c r="AW25" s="2520"/>
      <c r="AX25" s="2520"/>
      <c r="AY25" s="2520"/>
      <c r="AZ25" s="2520"/>
      <c r="BA25" s="2520"/>
      <c r="BB25" s="2520"/>
    </row>
    <row r="26" spans="1:54">
      <c r="A26" s="996" t="s">
        <v>73</v>
      </c>
      <c r="B26" s="981" t="s">
        <v>2891</v>
      </c>
      <c r="C26" s="982" t="s">
        <v>75</v>
      </c>
      <c r="D26" s="978">
        <v>504000000000</v>
      </c>
      <c r="E26" s="978">
        <v>684700000000</v>
      </c>
      <c r="F26" s="978">
        <v>776100000000</v>
      </c>
      <c r="G26" s="978">
        <v>939000000000</v>
      </c>
      <c r="H26" s="978">
        <v>1015900000000</v>
      </c>
      <c r="I26" s="978">
        <v>1304000000000</v>
      </c>
      <c r="J26" s="978">
        <v>2188000000000</v>
      </c>
      <c r="K26" s="978">
        <v>1954000000000</v>
      </c>
      <c r="L26" s="978">
        <v>2787000000000</v>
      </c>
      <c r="M26" s="978">
        <v>3655000000000</v>
      </c>
      <c r="N26" s="978">
        <v>5570000000000</v>
      </c>
      <c r="O26" s="978">
        <v>5490000000000</v>
      </c>
      <c r="P26" s="978">
        <v>6291000000000</v>
      </c>
      <c r="Q26" s="978">
        <v>6954000000000</v>
      </c>
      <c r="R26" s="978">
        <v>8420000000000</v>
      </c>
      <c r="S26" s="978">
        <v>9283000000000</v>
      </c>
      <c r="T26" s="978">
        <v>8708000000000</v>
      </c>
      <c r="U26" s="978">
        <f>U28+U29+U30+U31+U32</f>
        <v>10761000000000</v>
      </c>
      <c r="V26" s="1010">
        <v>12215000000000</v>
      </c>
      <c r="W26" s="1010">
        <v>13789000000000</v>
      </c>
      <c r="X26" s="1008">
        <v>16149000000000</v>
      </c>
      <c r="Y26" s="1008">
        <v>18546000000000</v>
      </c>
      <c r="Z26" s="1547">
        <v>20986000000000</v>
      </c>
      <c r="AA26" s="1547">
        <v>23763000000000</v>
      </c>
      <c r="AB26" s="978"/>
      <c r="AC26" s="978"/>
      <c r="AD26" s="978"/>
      <c r="AE26" s="978"/>
      <c r="AF26" s="978"/>
      <c r="AG26" s="978"/>
      <c r="AH26" s="978"/>
      <c r="AI26" s="978"/>
      <c r="AJ26" s="978"/>
      <c r="AK26" s="978"/>
      <c r="AL26" s="978"/>
      <c r="AM26" s="978"/>
      <c r="AN26" s="978"/>
      <c r="AO26" s="978"/>
      <c r="AP26" s="978"/>
      <c r="AQ26" s="978"/>
      <c r="AR26" s="978"/>
      <c r="AS26" s="978"/>
      <c r="AT26" s="2520"/>
      <c r="AU26" s="2520"/>
      <c r="AV26" s="2520"/>
      <c r="AW26" s="2520"/>
      <c r="AX26" s="2520"/>
      <c r="AY26" s="2520"/>
      <c r="AZ26" s="2520"/>
      <c r="BA26" s="2520"/>
      <c r="BB26" s="2520"/>
    </row>
    <row r="27" spans="1:54">
      <c r="A27" s="972" t="s">
        <v>76</v>
      </c>
      <c r="B27" s="988" t="s">
        <v>2892</v>
      </c>
      <c r="C27" s="981"/>
      <c r="D27" s="978">
        <v>0</v>
      </c>
      <c r="E27" s="978">
        <v>0</v>
      </c>
      <c r="F27" s="987">
        <v>0</v>
      </c>
      <c r="G27" s="987">
        <v>0</v>
      </c>
      <c r="H27" s="987">
        <v>0</v>
      </c>
      <c r="I27" s="978">
        <v>975000000000</v>
      </c>
      <c r="J27" s="978">
        <v>1652000000000</v>
      </c>
      <c r="K27" s="978">
        <v>1541000000000</v>
      </c>
      <c r="L27" s="978">
        <v>2237000000000</v>
      </c>
      <c r="M27" s="978">
        <v>3195000000000</v>
      </c>
      <c r="N27" s="978">
        <v>5023000000000</v>
      </c>
      <c r="O27" s="978">
        <v>4826000000000</v>
      </c>
      <c r="P27" s="978">
        <v>5617000000000</v>
      </c>
      <c r="Q27" s="978">
        <v>6461000000000</v>
      </c>
      <c r="R27" s="978">
        <v>7894000000000</v>
      </c>
      <c r="S27" s="978">
        <v>8741000000000</v>
      </c>
      <c r="T27" s="978">
        <v>7863000000000</v>
      </c>
      <c r="U27" s="978">
        <v>9955000000000</v>
      </c>
      <c r="V27" s="1010">
        <v>11029000000000</v>
      </c>
      <c r="W27" s="1010">
        <v>12594000000000</v>
      </c>
      <c r="X27" s="1008">
        <v>14878000000000</v>
      </c>
      <c r="Y27" s="1008">
        <v>17003000000000</v>
      </c>
      <c r="Z27" s="1547">
        <v>19213000000000</v>
      </c>
      <c r="AA27" s="1547">
        <v>21723000000000</v>
      </c>
      <c r="AB27" s="978"/>
      <c r="AC27" s="978"/>
      <c r="AD27" s="978"/>
      <c r="AE27" s="978"/>
      <c r="AF27" s="978"/>
      <c r="AG27" s="978"/>
      <c r="AH27" s="978"/>
      <c r="AI27" s="978"/>
      <c r="AJ27" s="978"/>
      <c r="AK27" s="978"/>
      <c r="AL27" s="978"/>
      <c r="AM27" s="978"/>
      <c r="AN27" s="978"/>
      <c r="AO27" s="978"/>
      <c r="AP27" s="978"/>
      <c r="AQ27" s="978"/>
      <c r="AR27" s="978"/>
      <c r="AS27" s="978"/>
      <c r="AT27" s="2520"/>
      <c r="AU27" s="2520"/>
      <c r="AV27" s="2520"/>
      <c r="AW27" s="2520"/>
      <c r="AX27" s="2520"/>
      <c r="AY27" s="2520"/>
      <c r="AZ27" s="2520"/>
      <c r="BA27" s="2520"/>
      <c r="BB27" s="2520"/>
    </row>
    <row r="28" spans="1:54">
      <c r="A28" s="980" t="s">
        <v>79</v>
      </c>
      <c r="B28" s="997" t="s">
        <v>1432</v>
      </c>
      <c r="C28" s="982" t="s">
        <v>81</v>
      </c>
      <c r="D28" s="978">
        <v>206200000000</v>
      </c>
      <c r="E28" s="978">
        <v>215100000000</v>
      </c>
      <c r="F28" s="978">
        <v>236900000000</v>
      </c>
      <c r="G28" s="978">
        <v>258600000000.00003</v>
      </c>
      <c r="H28" s="978">
        <v>274800000000</v>
      </c>
      <c r="I28" s="978">
        <v>333000000000</v>
      </c>
      <c r="J28" s="978">
        <v>444000000000</v>
      </c>
      <c r="K28" s="978">
        <v>607000000000</v>
      </c>
      <c r="L28" s="978">
        <v>860000000000</v>
      </c>
      <c r="M28" s="978">
        <v>1109000000000</v>
      </c>
      <c r="N28" s="978">
        <v>1551000000000</v>
      </c>
      <c r="O28" s="978">
        <v>1764000000000</v>
      </c>
      <c r="P28" s="978">
        <v>1757000000000</v>
      </c>
      <c r="Q28" s="978">
        <v>2102000000000</v>
      </c>
      <c r="R28" s="978">
        <v>2356000000000</v>
      </c>
      <c r="S28" s="978">
        <v>2721000000000</v>
      </c>
      <c r="T28" s="978">
        <v>2937000000000</v>
      </c>
      <c r="U28" s="978">
        <v>3400000000000</v>
      </c>
      <c r="V28" s="1010">
        <v>4126000000000</v>
      </c>
      <c r="W28" s="1010">
        <v>4760000000000</v>
      </c>
      <c r="X28" s="1008">
        <v>5627000000000</v>
      </c>
      <c r="Y28" s="1008">
        <v>6433000000000</v>
      </c>
      <c r="Z28" s="1547">
        <v>7303000000000</v>
      </c>
      <c r="AA28" s="1547">
        <v>8265000000000</v>
      </c>
      <c r="AB28" s="978"/>
      <c r="AC28" s="978"/>
      <c r="AD28" s="978"/>
      <c r="AE28" s="978"/>
      <c r="AF28" s="978"/>
      <c r="AG28" s="978"/>
      <c r="AH28" s="978"/>
      <c r="AI28" s="978"/>
      <c r="AJ28" s="978"/>
      <c r="AK28" s="978"/>
      <c r="AL28" s="978"/>
      <c r="AM28" s="978"/>
      <c r="AN28" s="978"/>
      <c r="AO28" s="978"/>
      <c r="AP28" s="978"/>
      <c r="AQ28" s="978"/>
      <c r="AR28" s="978"/>
      <c r="AS28" s="978"/>
      <c r="AT28" s="2520"/>
      <c r="AU28" s="2520"/>
      <c r="AV28" s="2520"/>
      <c r="AW28" s="2520"/>
      <c r="AX28" s="2520"/>
      <c r="AY28" s="2520"/>
      <c r="AZ28" s="2520"/>
      <c r="BA28" s="2520"/>
      <c r="BB28" s="2520"/>
    </row>
    <row r="29" spans="1:54">
      <c r="A29" s="980" t="s">
        <v>83</v>
      </c>
      <c r="B29" s="997" t="s">
        <v>1433</v>
      </c>
      <c r="C29" s="982" t="s">
        <v>81</v>
      </c>
      <c r="D29" s="978">
        <v>110400000000</v>
      </c>
      <c r="E29" s="978">
        <v>133900000000</v>
      </c>
      <c r="F29" s="978">
        <v>209900000000</v>
      </c>
      <c r="G29" s="978">
        <v>264500000000</v>
      </c>
      <c r="H29" s="978">
        <v>255700000000</v>
      </c>
      <c r="I29" s="978">
        <v>396000000000</v>
      </c>
      <c r="J29" s="978">
        <v>810000000000</v>
      </c>
      <c r="K29" s="978">
        <v>559000000000</v>
      </c>
      <c r="L29" s="978">
        <v>988000000000</v>
      </c>
      <c r="M29" s="978">
        <v>1361000000000</v>
      </c>
      <c r="N29" s="978">
        <v>2546000000000</v>
      </c>
      <c r="O29" s="978">
        <v>1814000000000</v>
      </c>
      <c r="P29" s="978">
        <v>2356000000000</v>
      </c>
      <c r="Q29" s="978">
        <v>2499000000000</v>
      </c>
      <c r="R29" s="978">
        <v>2689000000000</v>
      </c>
      <c r="S29" s="978">
        <v>3313000000000</v>
      </c>
      <c r="T29" s="978">
        <v>2714000000000</v>
      </c>
      <c r="U29" s="978">
        <v>3393000000000</v>
      </c>
      <c r="V29" s="1010">
        <v>3500000000000</v>
      </c>
      <c r="W29" s="1010">
        <v>4007000000000</v>
      </c>
      <c r="X29" s="1008">
        <v>4803000000000</v>
      </c>
      <c r="Y29" s="1008">
        <v>5491000000000</v>
      </c>
      <c r="Z29" s="1547">
        <v>6234000000000</v>
      </c>
      <c r="AA29" s="1547">
        <v>7055000000000</v>
      </c>
      <c r="AB29" s="978"/>
      <c r="AC29" s="978"/>
      <c r="AD29" s="978"/>
      <c r="AE29" s="978"/>
      <c r="AF29" s="978"/>
      <c r="AG29" s="978"/>
      <c r="AH29" s="978"/>
      <c r="AI29" s="978"/>
      <c r="AJ29" s="978"/>
      <c r="AK29" s="978"/>
      <c r="AL29" s="978"/>
      <c r="AM29" s="978"/>
      <c r="AN29" s="978"/>
      <c r="AO29" s="978"/>
      <c r="AP29" s="978"/>
      <c r="AQ29" s="978"/>
      <c r="AR29" s="978"/>
      <c r="AS29" s="978"/>
      <c r="AT29" s="2520"/>
      <c r="AU29" s="2520"/>
      <c r="AV29" s="2520"/>
      <c r="AW29" s="2520"/>
      <c r="AX29" s="2520"/>
      <c r="AY29" s="2520"/>
      <c r="AZ29" s="2520"/>
      <c r="BA29" s="2520"/>
      <c r="BB29" s="2520"/>
    </row>
    <row r="30" spans="1:54">
      <c r="A30" s="980" t="s">
        <v>85</v>
      </c>
      <c r="B30" s="997" t="s">
        <v>2893</v>
      </c>
      <c r="C30" s="982" t="s">
        <v>81</v>
      </c>
      <c r="D30" s="978">
        <v>97600000000</v>
      </c>
      <c r="E30" s="978">
        <v>246100000000</v>
      </c>
      <c r="F30" s="978">
        <v>224000000000</v>
      </c>
      <c r="G30" s="978">
        <v>263200000000</v>
      </c>
      <c r="H30" s="978">
        <v>260399999999.99997</v>
      </c>
      <c r="I30" s="978">
        <v>247000000000</v>
      </c>
      <c r="J30" s="978">
        <v>397000000000</v>
      </c>
      <c r="K30" s="978">
        <v>375000000000</v>
      </c>
      <c r="L30" s="978">
        <v>388000000000</v>
      </c>
      <c r="M30" s="978">
        <v>725000000000</v>
      </c>
      <c r="N30" s="978">
        <v>926000000000</v>
      </c>
      <c r="O30" s="978">
        <v>1248000000000</v>
      </c>
      <c r="P30" s="978">
        <v>1505000000000</v>
      </c>
      <c r="Q30" s="978">
        <v>1860000000000</v>
      </c>
      <c r="R30" s="978">
        <v>2021000000000</v>
      </c>
      <c r="S30" s="978">
        <v>2707000000000</v>
      </c>
      <c r="T30" s="978">
        <v>2212000000000</v>
      </c>
      <c r="U30" s="978">
        <v>3114000000000</v>
      </c>
      <c r="V30" s="1010">
        <v>3402000000000</v>
      </c>
      <c r="W30" s="1010">
        <v>3827000000000</v>
      </c>
      <c r="X30" s="1008">
        <v>4448000000000</v>
      </c>
      <c r="Y30" s="1008">
        <v>5079000000000</v>
      </c>
      <c r="Z30" s="1547">
        <v>5676000000000</v>
      </c>
      <c r="AA30" s="1547">
        <v>6403000000000</v>
      </c>
      <c r="AB30" s="978"/>
      <c r="AC30" s="978"/>
      <c r="AD30" s="978"/>
      <c r="AE30" s="978"/>
      <c r="AF30" s="978"/>
      <c r="AG30" s="978"/>
      <c r="AH30" s="978"/>
      <c r="AI30" s="978"/>
      <c r="AJ30" s="978"/>
      <c r="AK30" s="978"/>
      <c r="AL30" s="978"/>
      <c r="AM30" s="978"/>
      <c r="AN30" s="978"/>
      <c r="AO30" s="978"/>
      <c r="AP30" s="978"/>
      <c r="AQ30" s="978"/>
      <c r="AR30" s="978"/>
      <c r="AS30" s="978"/>
      <c r="AT30" s="2520"/>
      <c r="AU30" s="2520"/>
      <c r="AV30" s="2520"/>
      <c r="AW30" s="2520"/>
      <c r="AX30" s="2520"/>
      <c r="AY30" s="2520"/>
      <c r="AZ30" s="2520"/>
      <c r="BA30" s="2520"/>
      <c r="BB30" s="2520"/>
    </row>
    <row r="31" spans="1:54">
      <c r="A31" s="980" t="s">
        <v>2888</v>
      </c>
      <c r="B31" s="997" t="s">
        <v>2889</v>
      </c>
      <c r="C31" s="982" t="s">
        <v>81</v>
      </c>
      <c r="D31" s="978">
        <v>0</v>
      </c>
      <c r="E31" s="978">
        <v>0</v>
      </c>
      <c r="F31" s="987">
        <v>0</v>
      </c>
      <c r="G31" s="987">
        <v>0</v>
      </c>
      <c r="H31" s="987">
        <v>0</v>
      </c>
      <c r="I31" s="987">
        <v>0</v>
      </c>
      <c r="J31" s="987">
        <v>0</v>
      </c>
      <c r="K31" s="987">
        <v>0</v>
      </c>
      <c r="L31" s="987">
        <v>0</v>
      </c>
      <c r="M31" s="987">
        <v>0</v>
      </c>
      <c r="N31" s="987">
        <v>0</v>
      </c>
      <c r="O31" s="987">
        <v>0</v>
      </c>
      <c r="P31" s="978">
        <v>0</v>
      </c>
      <c r="Q31" s="978">
        <v>0</v>
      </c>
      <c r="R31" s="978">
        <v>827000000000</v>
      </c>
      <c r="S31" s="978"/>
      <c r="T31" s="978"/>
      <c r="U31" s="978"/>
      <c r="V31" s="1010"/>
      <c r="W31" s="1010"/>
      <c r="X31" s="1008"/>
      <c r="Y31" s="1008"/>
      <c r="Z31" s="1547"/>
      <c r="AA31" s="1547"/>
      <c r="AB31" s="978"/>
      <c r="AC31" s="978"/>
      <c r="AD31" s="978"/>
      <c r="AE31" s="978"/>
      <c r="AF31" s="978"/>
      <c r="AG31" s="978"/>
      <c r="AH31" s="978"/>
      <c r="AI31" s="978"/>
      <c r="AJ31" s="978"/>
      <c r="AK31" s="978"/>
      <c r="AL31" s="978"/>
      <c r="AM31" s="978"/>
      <c r="AN31" s="978"/>
      <c r="AO31" s="978"/>
      <c r="AP31" s="978"/>
      <c r="AQ31" s="978"/>
      <c r="AR31" s="978"/>
      <c r="AS31" s="978"/>
      <c r="AT31" s="2520"/>
      <c r="AU31" s="2463"/>
      <c r="AV31" s="2463"/>
      <c r="AW31" s="2463"/>
      <c r="AX31" s="2463"/>
    </row>
    <row r="32" spans="1:54">
      <c r="A32" s="980" t="s">
        <v>90</v>
      </c>
      <c r="B32" s="988" t="s">
        <v>2894</v>
      </c>
      <c r="C32" s="982" t="s">
        <v>81</v>
      </c>
      <c r="D32" s="987">
        <f>D33+D34</f>
        <v>89800000000</v>
      </c>
      <c r="E32" s="987">
        <f>E33+E34</f>
        <v>89600000000</v>
      </c>
      <c r="F32" s="987">
        <f>F33+F34</f>
        <v>105300000000</v>
      </c>
      <c r="G32" s="987">
        <f>G33+G34</f>
        <v>152600000000</v>
      </c>
      <c r="H32" s="987">
        <f>H33+H34</f>
        <v>224900000000</v>
      </c>
      <c r="I32" s="978">
        <v>329000000000</v>
      </c>
      <c r="J32" s="978">
        <v>536000000000</v>
      </c>
      <c r="K32" s="978">
        <v>413000000000</v>
      </c>
      <c r="L32" s="978">
        <v>550000000000</v>
      </c>
      <c r="M32" s="978">
        <v>461000000000</v>
      </c>
      <c r="N32" s="978">
        <v>547000000000</v>
      </c>
      <c r="O32" s="978">
        <v>664000000000</v>
      </c>
      <c r="P32" s="978">
        <v>674000000000</v>
      </c>
      <c r="Q32" s="978">
        <v>493000000000</v>
      </c>
      <c r="R32" s="978">
        <v>526000000000</v>
      </c>
      <c r="S32" s="978">
        <v>542000000000</v>
      </c>
      <c r="T32" s="978">
        <v>845000000000</v>
      </c>
      <c r="U32" s="978">
        <v>854000000000</v>
      </c>
      <c r="V32" s="1010">
        <v>1186000000000</v>
      </c>
      <c r="W32" s="1010">
        <v>1194000000000</v>
      </c>
      <c r="X32" s="1008">
        <v>1271000000000</v>
      </c>
      <c r="Y32" s="1008">
        <v>1543000000000</v>
      </c>
      <c r="Z32" s="1547">
        <v>1773000000000</v>
      </c>
      <c r="AA32" s="1547">
        <v>2040000000000</v>
      </c>
      <c r="AB32" s="978"/>
      <c r="AC32" s="978"/>
      <c r="AD32" s="978"/>
      <c r="AE32" s="978"/>
      <c r="AF32" s="978"/>
      <c r="AG32" s="978"/>
      <c r="AH32" s="978"/>
      <c r="AI32" s="978"/>
      <c r="AJ32" s="978"/>
      <c r="AK32" s="978"/>
      <c r="AL32" s="978"/>
      <c r="AM32" s="978"/>
      <c r="AN32" s="978"/>
      <c r="AO32" s="978"/>
      <c r="AP32" s="978"/>
      <c r="AQ32" s="978"/>
      <c r="AR32" s="978"/>
      <c r="AS32" s="978"/>
      <c r="AT32" s="2520"/>
      <c r="AU32" s="2520"/>
      <c r="AV32" s="2520"/>
      <c r="AW32" s="2520"/>
      <c r="AX32" s="2520"/>
      <c r="AY32" s="2520"/>
      <c r="AZ32" s="2520"/>
      <c r="BA32" s="2520"/>
      <c r="BB32" s="2520"/>
    </row>
    <row r="33" spans="1:54">
      <c r="A33" s="997" t="s">
        <v>517</v>
      </c>
      <c r="B33" s="997" t="s">
        <v>2895</v>
      </c>
      <c r="C33" s="982" t="s">
        <v>211</v>
      </c>
      <c r="D33" s="978">
        <v>15900000000</v>
      </c>
      <c r="E33" s="978">
        <v>27500000000</v>
      </c>
      <c r="F33" s="978">
        <v>31200000000</v>
      </c>
      <c r="G33" s="978">
        <v>69200000000</v>
      </c>
      <c r="H33" s="978">
        <v>104300000000</v>
      </c>
      <c r="I33" s="978">
        <v>161000000000</v>
      </c>
      <c r="J33" s="978">
        <v>263000000000</v>
      </c>
      <c r="K33" s="978">
        <v>193000000000</v>
      </c>
      <c r="L33" s="978">
        <v>274000000000</v>
      </c>
      <c r="M33" s="978">
        <v>326000000000</v>
      </c>
      <c r="N33" s="978">
        <v>356000000000</v>
      </c>
      <c r="O33" s="978">
        <v>370000000000</v>
      </c>
      <c r="P33" s="978">
        <v>402000000000</v>
      </c>
      <c r="Q33" s="978">
        <v>421000000000</v>
      </c>
      <c r="R33" s="978">
        <v>434000000000</v>
      </c>
      <c r="S33" s="978">
        <v>433000000000</v>
      </c>
      <c r="T33" s="978">
        <v>609000000000</v>
      </c>
      <c r="U33" s="978">
        <v>665000000000</v>
      </c>
      <c r="V33" s="1010">
        <v>923000000000</v>
      </c>
      <c r="W33" s="1010">
        <v>912000000000</v>
      </c>
      <c r="X33" s="1008">
        <v>906000000000</v>
      </c>
      <c r="Y33" s="1008">
        <v>1117000000000</v>
      </c>
      <c r="Z33" s="1547">
        <v>1269000000000</v>
      </c>
      <c r="AA33" s="1547">
        <v>1436000000000</v>
      </c>
      <c r="AB33" s="978"/>
      <c r="AC33" s="978"/>
      <c r="AD33" s="978"/>
      <c r="AE33" s="978"/>
      <c r="AF33" s="978"/>
      <c r="AG33" s="978"/>
      <c r="AH33" s="978"/>
      <c r="AI33" s="978"/>
      <c r="AJ33" s="978"/>
      <c r="AK33" s="978"/>
      <c r="AL33" s="978"/>
      <c r="AM33" s="978"/>
      <c r="AN33" s="978"/>
      <c r="AO33" s="978"/>
      <c r="AP33" s="978"/>
      <c r="AQ33" s="978"/>
      <c r="AR33" s="978"/>
      <c r="AS33" s="978"/>
      <c r="AT33" s="2520"/>
      <c r="AU33" s="2520"/>
      <c r="AV33" s="2520"/>
      <c r="AW33" s="2520"/>
      <c r="AX33" s="2520"/>
      <c r="AY33" s="2520"/>
      <c r="AZ33" s="2520"/>
      <c r="BA33" s="2520"/>
      <c r="BB33" s="2520"/>
    </row>
    <row r="34" spans="1:54">
      <c r="A34" s="997" t="s">
        <v>280</v>
      </c>
      <c r="B34" s="997" t="s">
        <v>2896</v>
      </c>
      <c r="C34" s="982" t="s">
        <v>211</v>
      </c>
      <c r="D34" s="978">
        <v>73900000000</v>
      </c>
      <c r="E34" s="978">
        <v>62100000000</v>
      </c>
      <c r="F34" s="978">
        <v>74100000000</v>
      </c>
      <c r="G34" s="978">
        <v>83400000000</v>
      </c>
      <c r="H34" s="978">
        <v>120600000000</v>
      </c>
      <c r="I34" s="978">
        <v>168000000000</v>
      </c>
      <c r="J34" s="978">
        <v>274000000000</v>
      </c>
      <c r="K34" s="978">
        <v>220000000000</v>
      </c>
      <c r="L34" s="978">
        <v>276000000000</v>
      </c>
      <c r="M34" s="978">
        <v>135000000000</v>
      </c>
      <c r="N34" s="978">
        <v>191000000000</v>
      </c>
      <c r="O34" s="978">
        <v>293000000000</v>
      </c>
      <c r="P34" s="978">
        <v>271000000000</v>
      </c>
      <c r="Q34" s="978">
        <v>72000000000</v>
      </c>
      <c r="R34" s="978">
        <v>93000000000</v>
      </c>
      <c r="S34" s="978">
        <v>109000000000</v>
      </c>
      <c r="T34" s="978">
        <v>236000000000</v>
      </c>
      <c r="U34" s="978">
        <v>190000000000</v>
      </c>
      <c r="V34" s="1010">
        <v>263000000000</v>
      </c>
      <c r="W34" s="1010">
        <v>282000000000</v>
      </c>
      <c r="X34" s="1008">
        <v>365000000000</v>
      </c>
      <c r="Y34" s="1008">
        <v>426000000000</v>
      </c>
      <c r="Z34" s="1547">
        <v>505000000000</v>
      </c>
      <c r="AA34" s="1547">
        <v>604000000000</v>
      </c>
      <c r="AB34" s="978"/>
      <c r="AC34" s="978"/>
      <c r="AD34" s="978"/>
      <c r="AE34" s="978"/>
      <c r="AF34" s="978"/>
      <c r="AG34" s="978"/>
      <c r="AH34" s="978"/>
      <c r="AI34" s="978"/>
      <c r="AJ34" s="978"/>
      <c r="AK34" s="978"/>
      <c r="AL34" s="978"/>
      <c r="AM34" s="978"/>
      <c r="AN34" s="978"/>
      <c r="AO34" s="978"/>
      <c r="AP34" s="978"/>
      <c r="AQ34" s="978"/>
      <c r="AR34" s="978"/>
      <c r="AS34" s="978"/>
      <c r="AT34" s="2520"/>
      <c r="AU34" s="2520"/>
      <c r="AV34" s="2520"/>
      <c r="AW34" s="2520"/>
      <c r="AX34" s="2520"/>
      <c r="AY34" s="2520"/>
      <c r="AZ34" s="2520"/>
      <c r="BA34" s="2520"/>
      <c r="BB34" s="2520"/>
    </row>
    <row r="35" spans="1:54">
      <c r="A35" s="981" t="s">
        <v>237</v>
      </c>
      <c r="B35" s="981" t="s">
        <v>1442</v>
      </c>
      <c r="C35" s="982" t="s">
        <v>75</v>
      </c>
      <c r="D35" s="978">
        <v>386600000000</v>
      </c>
      <c r="E35" s="978">
        <v>423400000000</v>
      </c>
      <c r="F35" s="978">
        <v>368900000000</v>
      </c>
      <c r="G35" s="978">
        <v>453400000000</v>
      </c>
      <c r="H35" s="978">
        <v>444000000000</v>
      </c>
      <c r="I35" s="978">
        <v>500000000000</v>
      </c>
      <c r="J35" s="978">
        <v>672000000000</v>
      </c>
      <c r="K35" s="978">
        <v>608000000000</v>
      </c>
      <c r="L35" s="978">
        <v>837000000000</v>
      </c>
      <c r="M35" s="978">
        <v>1577000000000</v>
      </c>
      <c r="N35" s="978">
        <v>2479000000000</v>
      </c>
      <c r="O35" s="978">
        <v>1750000000000</v>
      </c>
      <c r="P35" s="978">
        <v>3801000000000</v>
      </c>
      <c r="Q35" s="978">
        <v>3822000000000</v>
      </c>
      <c r="R35" s="978">
        <v>5445000000000</v>
      </c>
      <c r="S35" s="978">
        <v>4990000000000</v>
      </c>
      <c r="T35" s="978">
        <v>3682000000000</v>
      </c>
      <c r="U35" s="978">
        <v>5395000000000</v>
      </c>
      <c r="V35" s="1010">
        <v>6882000000000</v>
      </c>
      <c r="W35" s="1010">
        <v>9156000000000</v>
      </c>
      <c r="X35" s="1008">
        <v>10252000000000</v>
      </c>
      <c r="Y35" s="1008">
        <v>11872000000000</v>
      </c>
      <c r="Z35" s="1547">
        <v>13911000000000</v>
      </c>
      <c r="AA35" s="1547">
        <v>15977000000000</v>
      </c>
      <c r="AB35" s="978"/>
      <c r="AC35" s="978"/>
      <c r="AD35" s="978"/>
      <c r="AE35" s="978"/>
      <c r="AF35" s="978"/>
      <c r="AG35" s="978"/>
      <c r="AH35" s="978"/>
      <c r="AI35" s="978"/>
      <c r="AJ35" s="978"/>
      <c r="AK35" s="978"/>
      <c r="AL35" s="978"/>
      <c r="AM35" s="978"/>
      <c r="AN35" s="978"/>
      <c r="AO35" s="978"/>
      <c r="AP35" s="978"/>
      <c r="AQ35" s="978"/>
      <c r="AR35" s="978"/>
      <c r="AS35" s="978"/>
      <c r="AT35" s="2520"/>
      <c r="AU35" s="2520"/>
      <c r="AV35" s="2520"/>
      <c r="AW35" s="2520"/>
      <c r="AX35" s="2520"/>
      <c r="AY35" s="2520"/>
      <c r="AZ35" s="2520"/>
      <c r="BA35" s="2520"/>
      <c r="BB35" s="2520"/>
    </row>
    <row r="36" spans="1:54">
      <c r="A36" s="980" t="s">
        <v>239</v>
      </c>
      <c r="B36" s="988" t="s">
        <v>2897</v>
      </c>
      <c r="C36" s="982" t="s">
        <v>95</v>
      </c>
      <c r="D36" s="978">
        <v>41600000000</v>
      </c>
      <c r="E36" s="978">
        <v>34700000000</v>
      </c>
      <c r="F36" s="978">
        <v>78400000000</v>
      </c>
      <c r="G36" s="978">
        <v>155900000000</v>
      </c>
      <c r="H36" s="978">
        <v>181100000000</v>
      </c>
      <c r="I36" s="978">
        <v>199000000000</v>
      </c>
      <c r="J36" s="978">
        <v>295000000000</v>
      </c>
      <c r="K36" s="978">
        <v>294000000000</v>
      </c>
      <c r="L36" s="978">
        <v>396000000000</v>
      </c>
      <c r="M36" s="978">
        <v>1273000000000</v>
      </c>
      <c r="N36" s="978">
        <v>2187000000000</v>
      </c>
      <c r="O36" s="978">
        <v>984000000000</v>
      </c>
      <c r="P36" s="978">
        <v>2674000000000</v>
      </c>
      <c r="Q36" s="978">
        <v>2184000000000</v>
      </c>
      <c r="R36" s="978">
        <v>2861000000000</v>
      </c>
      <c r="S36" s="978">
        <v>3337000000000</v>
      </c>
      <c r="T36" s="978">
        <v>3389000000000</v>
      </c>
      <c r="U36" s="978">
        <v>3240000000000</v>
      </c>
      <c r="V36" s="1010">
        <v>2529000000000</v>
      </c>
      <c r="W36" s="1010">
        <v>3969000000000</v>
      </c>
      <c r="X36" s="1008">
        <v>5300000000000</v>
      </c>
      <c r="Y36" s="1008">
        <v>6332000000000</v>
      </c>
      <c r="Z36" s="1547">
        <v>7855000000000</v>
      </c>
      <c r="AA36" s="1547">
        <v>9229000000000</v>
      </c>
      <c r="AB36" s="978"/>
      <c r="AC36" s="978"/>
      <c r="AD36" s="978"/>
      <c r="AE36" s="978"/>
      <c r="AF36" s="978"/>
      <c r="AG36" s="978"/>
      <c r="AH36" s="978"/>
      <c r="AI36" s="978"/>
      <c r="AJ36" s="978"/>
      <c r="AK36" s="978"/>
      <c r="AL36" s="978"/>
      <c r="AM36" s="978"/>
      <c r="AN36" s="978"/>
      <c r="AO36" s="978"/>
      <c r="AP36" s="978"/>
      <c r="AQ36" s="978"/>
      <c r="AR36" s="978"/>
      <c r="AS36" s="978"/>
      <c r="AT36" s="2520"/>
      <c r="AU36" s="2520"/>
      <c r="AV36" s="2520"/>
      <c r="AW36" s="2520"/>
      <c r="AX36" s="2520"/>
      <c r="AY36" s="2520"/>
      <c r="AZ36" s="2520"/>
      <c r="BA36" s="2520"/>
      <c r="BB36" s="2520"/>
    </row>
    <row r="37" spans="1:54">
      <c r="A37" s="988" t="s">
        <v>1653</v>
      </c>
      <c r="B37" s="988" t="s">
        <v>2898</v>
      </c>
      <c r="C37" s="982" t="s">
        <v>1447</v>
      </c>
      <c r="D37" s="978"/>
      <c r="E37" s="978"/>
      <c r="F37" s="978"/>
      <c r="G37" s="978"/>
      <c r="H37" s="978"/>
      <c r="I37" s="978"/>
      <c r="J37" s="978"/>
      <c r="K37" s="978"/>
      <c r="L37" s="978"/>
      <c r="M37" s="978"/>
      <c r="N37" s="978"/>
      <c r="O37" s="978"/>
      <c r="P37" s="978"/>
      <c r="Q37" s="978"/>
      <c r="R37" s="978"/>
      <c r="S37" s="978">
        <v>3290000000000</v>
      </c>
      <c r="T37" s="978">
        <v>3327000000000</v>
      </c>
      <c r="U37" s="978">
        <v>3172000000000</v>
      </c>
      <c r="V37" s="1010">
        <v>2493000000000</v>
      </c>
      <c r="W37" s="1010">
        <v>3934000000000</v>
      </c>
      <c r="X37" s="1008">
        <v>5264000000000</v>
      </c>
      <c r="Y37" s="1008">
        <v>6296000000000</v>
      </c>
      <c r="Z37" s="1547">
        <v>7855000000000</v>
      </c>
      <c r="AA37" s="1547">
        <v>9229000000000</v>
      </c>
      <c r="AB37" s="978"/>
      <c r="AC37" s="978"/>
      <c r="AD37" s="978"/>
      <c r="AE37" s="978"/>
      <c r="AF37" s="978"/>
      <c r="AG37" s="978"/>
      <c r="AH37" s="978"/>
      <c r="AI37" s="978"/>
      <c r="AJ37" s="978"/>
      <c r="AK37" s="978"/>
      <c r="AL37" s="978"/>
      <c r="AM37" s="978"/>
      <c r="AN37" s="978"/>
      <c r="AO37" s="978"/>
      <c r="AP37" s="978"/>
      <c r="AQ37" s="978"/>
      <c r="AR37" s="978"/>
      <c r="AS37" s="978"/>
      <c r="AT37" s="2520"/>
      <c r="AU37" s="2520"/>
      <c r="AV37" s="2520"/>
      <c r="AW37" s="2520"/>
      <c r="AX37" s="2520"/>
      <c r="AY37" s="2520"/>
      <c r="AZ37" s="2520"/>
      <c r="BA37" s="2520"/>
      <c r="BB37" s="2520"/>
    </row>
    <row r="38" spans="1:54">
      <c r="A38" s="988" t="s">
        <v>2414</v>
      </c>
      <c r="B38" s="988" t="s">
        <v>2414</v>
      </c>
      <c r="C38" s="982" t="s">
        <v>1447</v>
      </c>
      <c r="D38" s="978"/>
      <c r="E38" s="978"/>
      <c r="F38" s="978"/>
      <c r="G38" s="978"/>
      <c r="H38" s="978"/>
      <c r="I38" s="978"/>
      <c r="J38" s="978"/>
      <c r="K38" s="978"/>
      <c r="L38" s="978"/>
      <c r="M38" s="978"/>
      <c r="N38" s="978"/>
      <c r="O38" s="978"/>
      <c r="P38" s="978"/>
      <c r="Q38" s="978"/>
      <c r="R38" s="978"/>
      <c r="S38" s="978">
        <v>47000000000</v>
      </c>
      <c r="T38" s="978">
        <v>63000000000</v>
      </c>
      <c r="U38" s="978">
        <v>68000000000</v>
      </c>
      <c r="V38" s="1010">
        <v>36000000000</v>
      </c>
      <c r="W38" s="1010">
        <v>36000000000</v>
      </c>
      <c r="X38" s="1008">
        <v>36000000000</v>
      </c>
      <c r="Y38" s="1008">
        <v>36000000000</v>
      </c>
      <c r="Z38" s="1547">
        <v>0</v>
      </c>
      <c r="AA38" s="1547">
        <v>0</v>
      </c>
      <c r="AB38" s="978"/>
      <c r="AC38" s="978"/>
      <c r="AD38" s="978"/>
      <c r="AE38" s="978"/>
      <c r="AF38" s="978"/>
      <c r="AG38" s="978"/>
      <c r="AH38" s="978"/>
      <c r="AI38" s="978"/>
      <c r="AJ38" s="978"/>
      <c r="AK38" s="978"/>
      <c r="AL38" s="978"/>
      <c r="AM38" s="978"/>
      <c r="AN38" s="978"/>
      <c r="AO38" s="978"/>
      <c r="AP38" s="978"/>
      <c r="AQ38" s="978"/>
      <c r="AR38" s="978"/>
      <c r="AS38" s="978"/>
      <c r="AT38" s="2520"/>
      <c r="AU38" s="2520"/>
      <c r="AV38" s="2520"/>
      <c r="AW38" s="2520"/>
      <c r="AX38" s="2520"/>
      <c r="AY38" s="2520"/>
      <c r="AZ38" s="2520"/>
      <c r="BA38" s="2520"/>
      <c r="BB38" s="2520"/>
    </row>
    <row r="39" spans="1:54">
      <c r="A39" s="980" t="s">
        <v>1232</v>
      </c>
      <c r="B39" s="988" t="s">
        <v>1736</v>
      </c>
      <c r="C39" s="982" t="s">
        <v>95</v>
      </c>
      <c r="D39" s="978">
        <v>0</v>
      </c>
      <c r="E39" s="978">
        <v>0</v>
      </c>
      <c r="F39" s="987">
        <v>0</v>
      </c>
      <c r="G39" s="987">
        <v>0</v>
      </c>
      <c r="H39" s="987">
        <v>0</v>
      </c>
      <c r="I39" s="987">
        <v>0</v>
      </c>
      <c r="J39" s="987">
        <v>0</v>
      </c>
      <c r="K39" s="987">
        <v>0</v>
      </c>
      <c r="L39" s="978">
        <v>5000000000</v>
      </c>
      <c r="M39" s="978">
        <v>19000000000</v>
      </c>
      <c r="N39" s="978">
        <v>13000000000</v>
      </c>
      <c r="O39" s="978">
        <v>13000000000</v>
      </c>
      <c r="P39" s="978">
        <v>14000000000</v>
      </c>
      <c r="Q39" s="978">
        <v>17000000000</v>
      </c>
      <c r="R39" s="978">
        <v>27000000000</v>
      </c>
      <c r="S39" s="978">
        <v>1653000000000</v>
      </c>
      <c r="T39" s="978">
        <v>293000000000</v>
      </c>
      <c r="U39" s="978">
        <v>2155000000000</v>
      </c>
      <c r="V39" s="1010">
        <v>4353000000000</v>
      </c>
      <c r="W39" s="1010">
        <v>5186000000000</v>
      </c>
      <c r="X39" s="1008">
        <v>4952000000000</v>
      </c>
      <c r="Y39" s="1008">
        <v>5540000000000</v>
      </c>
      <c r="Z39" s="1547">
        <v>6056000000000</v>
      </c>
      <c r="AA39" s="1547">
        <v>6748000000000</v>
      </c>
      <c r="AB39" s="978"/>
      <c r="AC39" s="978"/>
      <c r="AD39" s="978"/>
      <c r="AE39" s="978"/>
      <c r="AF39" s="978"/>
      <c r="AG39" s="978"/>
      <c r="AH39" s="978"/>
      <c r="AI39" s="978"/>
      <c r="AJ39" s="978"/>
      <c r="AK39" s="978"/>
      <c r="AL39" s="978"/>
      <c r="AM39" s="978"/>
      <c r="AN39" s="978"/>
      <c r="AO39" s="978"/>
      <c r="AP39" s="978"/>
      <c r="AQ39" s="978"/>
      <c r="AR39" s="978"/>
      <c r="AS39" s="978"/>
      <c r="AT39" s="2520"/>
      <c r="AU39" s="2520"/>
      <c r="AV39" s="2520"/>
      <c r="AW39" s="2520"/>
      <c r="AX39" s="2520"/>
      <c r="AY39" s="2520"/>
      <c r="AZ39" s="2520"/>
      <c r="BA39" s="2520"/>
      <c r="BB39" s="2520"/>
    </row>
    <row r="40" spans="1:54">
      <c r="A40" s="980" t="s">
        <v>395</v>
      </c>
      <c r="B40" s="988" t="s">
        <v>2899</v>
      </c>
      <c r="C40" s="982" t="s">
        <v>95</v>
      </c>
      <c r="D40" s="978">
        <v>345000000000</v>
      </c>
      <c r="E40" s="978">
        <v>388700000000</v>
      </c>
      <c r="F40" s="978">
        <v>290500000000</v>
      </c>
      <c r="G40" s="978">
        <v>297500000000</v>
      </c>
      <c r="H40" s="978">
        <v>262899999999.99997</v>
      </c>
      <c r="I40" s="978">
        <v>301000000000</v>
      </c>
      <c r="J40" s="978">
        <v>377000000000</v>
      </c>
      <c r="K40" s="978">
        <v>314000000000</v>
      </c>
      <c r="L40" s="978">
        <v>436000000000</v>
      </c>
      <c r="M40" s="978">
        <v>285000000000</v>
      </c>
      <c r="N40" s="978">
        <v>279000000000</v>
      </c>
      <c r="O40" s="978">
        <v>753000000000</v>
      </c>
      <c r="P40" s="978">
        <v>1113000000000</v>
      </c>
      <c r="Q40" s="978">
        <v>1620000000000</v>
      </c>
      <c r="R40" s="978">
        <v>2558000000000</v>
      </c>
      <c r="S40" s="978"/>
      <c r="T40" s="978"/>
      <c r="U40" s="978"/>
      <c r="V40" s="1010"/>
      <c r="W40" s="1010"/>
      <c r="X40" s="1008"/>
      <c r="Y40" s="1008"/>
      <c r="Z40" s="1547"/>
      <c r="AA40" s="1547"/>
      <c r="AB40" s="978"/>
      <c r="AC40" s="978"/>
      <c r="AD40" s="978"/>
      <c r="AE40" s="978"/>
      <c r="AF40" s="978"/>
      <c r="AG40" s="978"/>
      <c r="AH40" s="978"/>
      <c r="AI40" s="978"/>
      <c r="AJ40" s="978"/>
      <c r="AK40" s="978"/>
      <c r="AL40" s="978"/>
      <c r="AM40" s="978"/>
      <c r="AN40" s="978"/>
      <c r="AO40" s="978"/>
      <c r="AP40" s="978"/>
      <c r="AQ40" s="978"/>
      <c r="AR40" s="978"/>
      <c r="AS40" s="978"/>
      <c r="AT40" s="2520"/>
      <c r="AU40" s="2463"/>
      <c r="AV40" s="2463"/>
      <c r="AW40" s="2463"/>
      <c r="AX40" s="2463"/>
    </row>
    <row r="41" spans="1:54">
      <c r="A41" s="980" t="s">
        <v>244</v>
      </c>
      <c r="B41" s="981" t="s">
        <v>2900</v>
      </c>
      <c r="C41" s="982" t="s">
        <v>75</v>
      </c>
      <c r="D41" s="978">
        <v>2400000000</v>
      </c>
      <c r="E41" s="978">
        <v>1300000000</v>
      </c>
      <c r="F41" s="978">
        <v>4400000000</v>
      </c>
      <c r="G41" s="978">
        <v>1400000000</v>
      </c>
      <c r="H41" s="978">
        <v>700000000</v>
      </c>
      <c r="I41" s="978">
        <v>3000000000</v>
      </c>
      <c r="J41" s="978">
        <v>11000000000</v>
      </c>
      <c r="K41" s="978">
        <v>5000000000</v>
      </c>
      <c r="L41" s="978">
        <v>3000000000</v>
      </c>
      <c r="M41" s="978">
        <v>8000000000</v>
      </c>
      <c r="N41" s="978">
        <v>0</v>
      </c>
      <c r="O41" s="978">
        <v>7000000000</v>
      </c>
      <c r="P41" s="978">
        <v>251000000000</v>
      </c>
      <c r="Q41" s="978">
        <v>9000000000</v>
      </c>
      <c r="R41" s="978">
        <v>106000000000</v>
      </c>
      <c r="S41" s="978">
        <v>13000000000</v>
      </c>
      <c r="T41" s="978">
        <v>49000000000</v>
      </c>
      <c r="U41" s="978">
        <v>72000000000</v>
      </c>
      <c r="V41" s="1010">
        <v>74000000000</v>
      </c>
      <c r="W41" s="1010">
        <v>22000000000</v>
      </c>
      <c r="X41" s="1008">
        <v>24000000000</v>
      </c>
      <c r="Y41" s="1008">
        <v>26000000000</v>
      </c>
      <c r="Z41" s="1547">
        <v>28000000000</v>
      </c>
      <c r="AA41" s="1547">
        <v>30000000000</v>
      </c>
      <c r="AB41" s="978"/>
      <c r="AC41" s="978"/>
      <c r="AD41" s="978"/>
      <c r="AE41" s="978"/>
      <c r="AF41" s="978"/>
      <c r="AG41" s="978"/>
      <c r="AH41" s="978"/>
      <c r="AI41" s="978"/>
      <c r="AJ41" s="978"/>
      <c r="AK41" s="978"/>
      <c r="AL41" s="978"/>
      <c r="AM41" s="978"/>
      <c r="AN41" s="978"/>
      <c r="AO41" s="978"/>
      <c r="AP41" s="978"/>
      <c r="AQ41" s="978"/>
      <c r="AR41" s="978"/>
      <c r="AS41" s="978"/>
      <c r="AT41" s="2520"/>
      <c r="AU41" s="2520"/>
      <c r="AV41" s="2520"/>
      <c r="AW41" s="2520"/>
      <c r="AX41" s="2520"/>
      <c r="AY41" s="2520"/>
      <c r="AZ41" s="2520"/>
      <c r="BA41" s="2520"/>
      <c r="BB41" s="2520"/>
    </row>
    <row r="42" spans="1:54">
      <c r="A42" s="981" t="s">
        <v>2901</v>
      </c>
      <c r="B42" s="981" t="s">
        <v>2902</v>
      </c>
      <c r="C42" s="982" t="s">
        <v>75</v>
      </c>
      <c r="D42" s="978">
        <v>0</v>
      </c>
      <c r="E42" s="978">
        <v>4500000000</v>
      </c>
      <c r="F42" s="978">
        <v>7900000000</v>
      </c>
      <c r="G42" s="978">
        <v>1500000000</v>
      </c>
      <c r="H42" s="978">
        <v>3600000000</v>
      </c>
      <c r="I42" s="978"/>
      <c r="J42" s="978"/>
      <c r="K42" s="978"/>
      <c r="L42" s="978"/>
      <c r="M42" s="978"/>
      <c r="N42" s="978"/>
      <c r="O42" s="978"/>
      <c r="P42" s="978"/>
      <c r="Q42" s="978"/>
      <c r="R42" s="978"/>
      <c r="S42" s="978"/>
      <c r="T42" s="978"/>
      <c r="U42" s="978"/>
      <c r="V42" s="1010"/>
      <c r="W42" s="1010"/>
      <c r="X42" s="1008"/>
      <c r="Y42" s="1008"/>
      <c r="Z42" s="1547"/>
      <c r="AA42" s="1547"/>
      <c r="AB42" s="978"/>
      <c r="AC42" s="978"/>
      <c r="AD42" s="978"/>
      <c r="AE42" s="978"/>
      <c r="AF42" s="978"/>
      <c r="AG42" s="978"/>
      <c r="AH42" s="978"/>
      <c r="AI42" s="978"/>
      <c r="AJ42" s="978"/>
      <c r="AK42" s="978"/>
      <c r="AL42" s="978"/>
      <c r="AM42" s="978"/>
      <c r="AN42" s="978"/>
      <c r="AO42" s="978"/>
      <c r="AP42" s="978"/>
      <c r="AQ42" s="978"/>
      <c r="AR42" s="978"/>
      <c r="AS42" s="978"/>
      <c r="AT42" s="2520"/>
      <c r="AU42" s="2463"/>
      <c r="AV42" s="2463"/>
      <c r="AW42" s="2463"/>
      <c r="AX42" s="2463"/>
    </row>
    <row r="43" spans="1:54">
      <c r="A43" s="972" t="s">
        <v>76</v>
      </c>
      <c r="B43" s="981" t="s">
        <v>2903</v>
      </c>
      <c r="C43" s="981"/>
      <c r="D43" s="978">
        <v>0</v>
      </c>
      <c r="E43" s="978">
        <v>0</v>
      </c>
      <c r="F43" s="987">
        <v>0</v>
      </c>
      <c r="G43" s="987">
        <v>0</v>
      </c>
      <c r="H43" s="987">
        <v>0</v>
      </c>
      <c r="I43" s="978">
        <v>379000000000</v>
      </c>
      <c r="J43" s="978">
        <v>214000000000</v>
      </c>
      <c r="K43" s="978">
        <v>638000000000</v>
      </c>
      <c r="L43" s="978">
        <v>334000000000</v>
      </c>
      <c r="M43" s="978">
        <v>-1239000000000</v>
      </c>
      <c r="N43" s="978">
        <v>-3424000000000</v>
      </c>
      <c r="O43" s="978">
        <v>-539000000000</v>
      </c>
      <c r="P43" s="978">
        <v>-982000000000</v>
      </c>
      <c r="Q43" s="978">
        <v>-1188000000000</v>
      </c>
      <c r="R43" s="978">
        <v>-2638000000000</v>
      </c>
      <c r="S43" s="978">
        <v>-3535000000000</v>
      </c>
      <c r="T43" s="978">
        <v>-520000000000</v>
      </c>
      <c r="U43" s="978">
        <v>-1030000000000</v>
      </c>
      <c r="V43" s="1010">
        <v>904000000000</v>
      </c>
      <c r="W43" s="1010">
        <v>1281000000000</v>
      </c>
      <c r="X43" s="1008">
        <v>1498000000000</v>
      </c>
      <c r="Y43" s="1008">
        <v>1667000000000</v>
      </c>
      <c r="Z43" s="1547">
        <v>1770000000000</v>
      </c>
      <c r="AA43" s="1547">
        <v>2002000000000</v>
      </c>
      <c r="AB43" s="978"/>
      <c r="AC43" s="978"/>
      <c r="AD43" s="978"/>
      <c r="AE43" s="978"/>
      <c r="AF43" s="978"/>
      <c r="AG43" s="978"/>
      <c r="AH43" s="978"/>
      <c r="AI43" s="978"/>
      <c r="AJ43" s="978"/>
      <c r="AK43" s="978"/>
      <c r="AL43" s="978"/>
      <c r="AM43" s="978"/>
      <c r="AN43" s="978"/>
      <c r="AO43" s="978"/>
      <c r="AP43" s="978"/>
      <c r="AQ43" s="978"/>
      <c r="AR43" s="978"/>
      <c r="AS43" s="978"/>
      <c r="AT43" s="2520"/>
      <c r="AU43" s="2520"/>
      <c r="AV43" s="2520"/>
      <c r="AW43" s="2520"/>
      <c r="AX43" s="2520"/>
      <c r="AY43" s="2520"/>
      <c r="AZ43" s="2520"/>
      <c r="BA43" s="2520"/>
      <c r="BB43" s="2520"/>
    </row>
    <row r="44" spans="1:54">
      <c r="A44" s="972" t="s">
        <v>76</v>
      </c>
      <c r="B44" s="981" t="s">
        <v>2904</v>
      </c>
      <c r="C44" s="981"/>
      <c r="D44" s="978">
        <v>0</v>
      </c>
      <c r="E44" s="978">
        <v>0</v>
      </c>
      <c r="F44" s="987">
        <v>0</v>
      </c>
      <c r="G44" s="987">
        <v>0</v>
      </c>
      <c r="H44" s="987">
        <v>0</v>
      </c>
      <c r="I44" s="987">
        <v>0</v>
      </c>
      <c r="J44" s="987">
        <v>0</v>
      </c>
      <c r="K44" s="987">
        <v>0</v>
      </c>
      <c r="L44" s="978">
        <v>1600000000</v>
      </c>
      <c r="M44" s="978">
        <v>-5600000000</v>
      </c>
      <c r="N44" s="978">
        <v>-12600000000</v>
      </c>
      <c r="O44" s="978">
        <v>-1600000000</v>
      </c>
      <c r="P44" s="978">
        <v>-2500000000</v>
      </c>
      <c r="Q44" s="978">
        <v>-2800000000</v>
      </c>
      <c r="R44" s="978">
        <v>-5700000000</v>
      </c>
      <c r="S44" s="978">
        <v>-5400000000</v>
      </c>
      <c r="T44" s="978">
        <v>-700000000</v>
      </c>
      <c r="U44" s="978">
        <v>-1100000000</v>
      </c>
      <c r="V44" s="1010">
        <v>800000000</v>
      </c>
      <c r="W44" s="1010">
        <v>1000000000</v>
      </c>
      <c r="X44" s="1008">
        <v>1100000000</v>
      </c>
      <c r="Y44" s="1008">
        <v>1000000000</v>
      </c>
      <c r="Z44" s="1547">
        <v>1000000000</v>
      </c>
      <c r="AA44" s="1547">
        <v>1000000000</v>
      </c>
      <c r="AB44" s="978"/>
      <c r="AC44" s="978"/>
      <c r="AD44" s="978"/>
      <c r="AE44" s="978"/>
      <c r="AF44" s="978"/>
      <c r="AG44" s="978"/>
      <c r="AH44" s="978"/>
      <c r="AI44" s="978"/>
      <c r="AJ44" s="978"/>
      <c r="AK44" s="978"/>
      <c r="AL44" s="978"/>
      <c r="AM44" s="978"/>
      <c r="AN44" s="978"/>
      <c r="AO44" s="978"/>
      <c r="AP44" s="978"/>
      <c r="AQ44" s="978"/>
      <c r="AR44" s="978"/>
      <c r="AS44" s="978"/>
      <c r="AT44" s="2520"/>
      <c r="AU44" s="2520"/>
      <c r="AV44" s="2520"/>
      <c r="AW44" s="2520"/>
      <c r="AX44" s="2520"/>
      <c r="AY44" s="2520"/>
      <c r="AZ44" s="2520"/>
      <c r="BA44" s="2520"/>
      <c r="BB44" s="2520"/>
    </row>
    <row r="45" spans="1:54">
      <c r="A45" s="972" t="s">
        <v>76</v>
      </c>
      <c r="B45" s="981" t="s">
        <v>2905</v>
      </c>
      <c r="C45" s="981"/>
      <c r="D45" s="978">
        <v>0</v>
      </c>
      <c r="E45" s="978">
        <v>0</v>
      </c>
      <c r="F45" s="987">
        <v>0</v>
      </c>
      <c r="G45" s="987">
        <v>0</v>
      </c>
      <c r="H45" s="987">
        <v>0</v>
      </c>
      <c r="I45" s="987">
        <v>0</v>
      </c>
      <c r="J45" s="987">
        <v>0</v>
      </c>
      <c r="K45" s="987">
        <v>0</v>
      </c>
      <c r="L45" s="978">
        <v>0</v>
      </c>
      <c r="M45" s="978">
        <v>0</v>
      </c>
      <c r="N45" s="978">
        <v>0</v>
      </c>
      <c r="O45" s="978">
        <v>0</v>
      </c>
      <c r="P45" s="978">
        <v>0</v>
      </c>
      <c r="Q45" s="978">
        <v>0</v>
      </c>
      <c r="R45" s="978">
        <v>0</v>
      </c>
      <c r="S45" s="978"/>
      <c r="T45" s="978"/>
      <c r="U45" s="978"/>
      <c r="V45" s="1010"/>
      <c r="W45" s="1010"/>
      <c r="X45" s="1008"/>
      <c r="Y45" s="1008"/>
      <c r="Z45" s="1547"/>
      <c r="AA45" s="1547"/>
      <c r="AB45" s="978"/>
      <c r="AC45" s="978"/>
      <c r="AD45" s="978"/>
      <c r="AE45" s="978"/>
      <c r="AF45" s="978"/>
      <c r="AG45" s="978"/>
      <c r="AH45" s="978"/>
      <c r="AI45" s="978"/>
      <c r="AJ45" s="978"/>
      <c r="AK45" s="978"/>
      <c r="AL45" s="978"/>
      <c r="AM45" s="978"/>
      <c r="AN45" s="978"/>
      <c r="AO45" s="978"/>
      <c r="AP45" s="978"/>
      <c r="AQ45" s="978"/>
      <c r="AR45" s="978"/>
      <c r="AS45" s="978"/>
      <c r="AT45" s="2520"/>
      <c r="AU45" s="2463"/>
      <c r="AV45" s="2463"/>
      <c r="AW45" s="2463"/>
      <c r="AX45" s="2463"/>
    </row>
    <row r="46" spans="1:54">
      <c r="A46" s="972" t="s">
        <v>76</v>
      </c>
      <c r="B46" s="981" t="s">
        <v>1456</v>
      </c>
      <c r="C46" s="981"/>
      <c r="D46" s="978">
        <v>-298500000000</v>
      </c>
      <c r="E46" s="978">
        <v>-443600000000</v>
      </c>
      <c r="F46" s="978">
        <v>-393400000000</v>
      </c>
      <c r="G46" s="978">
        <v>-641200000000</v>
      </c>
      <c r="H46" s="978">
        <v>-528100000000</v>
      </c>
      <c r="I46" s="978">
        <v>-251000000000</v>
      </c>
      <c r="J46" s="978">
        <v>-699000000000</v>
      </c>
      <c r="K46" s="978">
        <v>-89000000000</v>
      </c>
      <c r="L46" s="978">
        <v>-379000000000</v>
      </c>
      <c r="M46" s="978">
        <v>-1658000000000</v>
      </c>
      <c r="N46" s="978">
        <v>-3894000000000</v>
      </c>
      <c r="O46" s="978">
        <v>-1585000000000</v>
      </c>
      <c r="P46" s="978">
        <v>-2367000000000</v>
      </c>
      <c r="Q46" s="978">
        <v>-2880000000000</v>
      </c>
      <c r="R46" s="978">
        <v>-5288000000000</v>
      </c>
      <c r="S46" s="978">
        <v>-5298000000000</v>
      </c>
      <c r="T46" s="978">
        <v>-1048000000000</v>
      </c>
      <c r="U46" s="978">
        <v>-3374000000000</v>
      </c>
      <c r="V46" s="1010">
        <v>-3712000000000</v>
      </c>
      <c r="W46" s="1010">
        <v>-4187000000000</v>
      </c>
      <c r="X46" s="1008">
        <v>-3819000000000</v>
      </c>
      <c r="Y46" s="1008">
        <v>-4298000000000</v>
      </c>
      <c r="Z46" s="1547">
        <v>-4791000000000</v>
      </c>
      <c r="AA46" s="1547">
        <v>-5350000000000</v>
      </c>
      <c r="AB46" s="978"/>
      <c r="AC46" s="978"/>
      <c r="AD46" s="978"/>
      <c r="AE46" s="978"/>
      <c r="AF46" s="978"/>
      <c r="AG46" s="978"/>
      <c r="AH46" s="978"/>
      <c r="AI46" s="978"/>
      <c r="AJ46" s="978"/>
      <c r="AK46" s="978"/>
      <c r="AL46" s="978"/>
      <c r="AM46" s="978"/>
      <c r="AN46" s="978"/>
      <c r="AO46" s="978"/>
      <c r="AP46" s="978"/>
      <c r="AQ46" s="978"/>
      <c r="AR46" s="978"/>
      <c r="AS46" s="978"/>
      <c r="AT46" s="2520"/>
      <c r="AU46" s="2520"/>
      <c r="AV46" s="2520"/>
      <c r="AW46" s="2520"/>
      <c r="AX46" s="2520"/>
      <c r="AY46" s="2520"/>
      <c r="AZ46" s="2520"/>
      <c r="BA46" s="2520"/>
      <c r="BB46" s="2520"/>
    </row>
    <row r="47" spans="1:54">
      <c r="A47" s="972" t="s">
        <v>76</v>
      </c>
      <c r="B47" s="981" t="s">
        <v>1457</v>
      </c>
      <c r="C47" s="981"/>
      <c r="D47" s="978">
        <v>-173200000000</v>
      </c>
      <c r="E47" s="978">
        <v>-240800000000</v>
      </c>
      <c r="F47" s="978">
        <v>-280400000000</v>
      </c>
      <c r="G47" s="978">
        <v>-442600000000</v>
      </c>
      <c r="H47" s="978">
        <v>-436800000000</v>
      </c>
      <c r="I47" s="978">
        <v>-176000000000</v>
      </c>
      <c r="J47" s="978">
        <v>-474000000000</v>
      </c>
      <c r="K47" s="978">
        <v>54000000000</v>
      </c>
      <c r="L47" s="978">
        <v>-276000000000</v>
      </c>
      <c r="M47" s="978">
        <v>-1578000000000</v>
      </c>
      <c r="N47" s="978">
        <v>-3791000000000</v>
      </c>
      <c r="O47" s="978">
        <v>-423000000000</v>
      </c>
      <c r="P47" s="978">
        <v>-1296000000000</v>
      </c>
      <c r="Q47" s="978">
        <v>-2241000000000</v>
      </c>
      <c r="R47" s="978">
        <v>-2020000000000</v>
      </c>
      <c r="S47" s="978">
        <v>-4537000000000</v>
      </c>
      <c r="T47" s="978">
        <v>-114000000000</v>
      </c>
      <c r="U47" s="978">
        <v>-1935000000000</v>
      </c>
      <c r="V47" s="1010">
        <v>-2365000000000</v>
      </c>
      <c r="W47" s="1010">
        <v>-2652000000000</v>
      </c>
      <c r="X47" s="1008">
        <v>-2063000000000</v>
      </c>
      <c r="Y47" s="1008">
        <v>-2381000000000</v>
      </c>
      <c r="Z47" s="1547">
        <v>-2790000000000</v>
      </c>
      <c r="AA47" s="1547">
        <v>-3170000000000</v>
      </c>
      <c r="AB47" s="978"/>
      <c r="AC47" s="978"/>
      <c r="AD47" s="978"/>
      <c r="AE47" s="978"/>
      <c r="AF47" s="978"/>
      <c r="AG47" s="978"/>
      <c r="AH47" s="978"/>
      <c r="AI47" s="978"/>
      <c r="AJ47" s="978"/>
      <c r="AK47" s="978"/>
      <c r="AL47" s="978"/>
      <c r="AM47" s="978"/>
      <c r="AN47" s="978"/>
      <c r="AO47" s="978"/>
      <c r="AP47" s="978"/>
      <c r="AQ47" s="978"/>
      <c r="AR47" s="978"/>
      <c r="AS47" s="978"/>
      <c r="AT47" s="2520"/>
      <c r="AU47" s="2520"/>
      <c r="AV47" s="2520"/>
      <c r="AW47" s="2520"/>
      <c r="AX47" s="2520"/>
      <c r="AY47" s="2520"/>
      <c r="AZ47" s="2520"/>
      <c r="BA47" s="2520"/>
      <c r="BB47" s="2520"/>
    </row>
    <row r="48" spans="1:54">
      <c r="B48" s="981" t="s">
        <v>2906</v>
      </c>
      <c r="C48" s="981"/>
      <c r="D48" s="978"/>
      <c r="E48" s="978"/>
      <c r="F48" s="978"/>
      <c r="G48" s="978"/>
      <c r="H48" s="978"/>
      <c r="I48" s="978"/>
      <c r="J48" s="978"/>
      <c r="K48" s="978"/>
      <c r="L48" s="978"/>
      <c r="M48" s="978"/>
      <c r="N48" s="978"/>
      <c r="O48" s="978"/>
      <c r="P48" s="978"/>
      <c r="Q48" s="978"/>
      <c r="R48" s="978"/>
      <c r="S48" s="978"/>
      <c r="T48" s="978"/>
      <c r="U48" s="978"/>
      <c r="V48" s="1010"/>
      <c r="W48" s="1010"/>
      <c r="X48" s="1008"/>
      <c r="Y48" s="1008"/>
      <c r="Z48" s="1547"/>
      <c r="AA48" s="1547"/>
      <c r="AB48" s="978"/>
      <c r="AC48" s="978"/>
      <c r="AD48" s="978"/>
      <c r="AE48" s="978"/>
      <c r="AF48" s="978"/>
      <c r="AG48" s="978"/>
      <c r="AH48" s="978"/>
      <c r="AI48" s="978"/>
      <c r="AJ48" s="978"/>
      <c r="AK48" s="978"/>
      <c r="AL48" s="978"/>
      <c r="AM48" s="978"/>
      <c r="AN48" s="978"/>
      <c r="AO48" s="978"/>
      <c r="AP48" s="978"/>
      <c r="AQ48" s="978"/>
      <c r="AR48" s="978"/>
      <c r="AS48" s="978"/>
      <c r="AT48" s="2520"/>
      <c r="AU48" s="2463"/>
      <c r="AV48" s="2463"/>
      <c r="AW48" s="2463"/>
      <c r="AX48" s="2463"/>
    </row>
    <row r="49" spans="1:54">
      <c r="B49" s="981" t="s">
        <v>2907</v>
      </c>
      <c r="C49" s="981"/>
      <c r="D49" s="978"/>
      <c r="E49" s="978"/>
      <c r="F49" s="978"/>
      <c r="G49" s="978"/>
      <c r="H49" s="978"/>
      <c r="I49" s="978"/>
      <c r="J49" s="978"/>
      <c r="K49" s="978"/>
      <c r="L49" s="978"/>
      <c r="M49" s="978"/>
      <c r="N49" s="978"/>
      <c r="O49" s="978"/>
      <c r="P49" s="978"/>
      <c r="Q49" s="978"/>
      <c r="R49" s="978"/>
      <c r="S49" s="978"/>
      <c r="T49" s="978"/>
      <c r="U49" s="978"/>
      <c r="V49" s="1010"/>
      <c r="W49" s="1010"/>
      <c r="X49" s="1008"/>
      <c r="Y49" s="1008"/>
      <c r="Z49" s="1547"/>
      <c r="AA49" s="1547"/>
      <c r="AB49" s="978"/>
      <c r="AC49" s="978"/>
      <c r="AD49" s="978"/>
      <c r="AE49" s="978"/>
      <c r="AF49" s="978"/>
      <c r="AG49" s="978"/>
      <c r="AH49" s="978"/>
      <c r="AI49" s="978"/>
      <c r="AJ49" s="978"/>
      <c r="AK49" s="978"/>
      <c r="AL49" s="978"/>
      <c r="AM49" s="978"/>
      <c r="AN49" s="978"/>
      <c r="AO49" s="978"/>
      <c r="AP49" s="978"/>
      <c r="AQ49" s="978"/>
      <c r="AR49" s="978"/>
      <c r="AS49" s="978"/>
      <c r="AT49" s="2520"/>
      <c r="AU49" s="2463"/>
      <c r="AV49" s="2463"/>
      <c r="AW49" s="2463"/>
      <c r="AX49" s="2463"/>
    </row>
    <row r="50" spans="1:54" s="848" customFormat="1">
      <c r="A50" s="1375" t="s">
        <v>115</v>
      </c>
      <c r="B50" s="1012" t="s">
        <v>115</v>
      </c>
      <c r="C50" s="1374" t="s">
        <v>35</v>
      </c>
      <c r="D50" s="1016">
        <v>200300000000</v>
      </c>
      <c r="E50" s="1016">
        <v>261100000000.00003</v>
      </c>
      <c r="F50" s="1016">
        <v>365600000000</v>
      </c>
      <c r="G50" s="1016">
        <v>432300000000</v>
      </c>
      <c r="H50" s="1016">
        <v>444300000000</v>
      </c>
      <c r="I50" s="1016">
        <v>176000000000</v>
      </c>
      <c r="J50" s="1016">
        <v>474000000000</v>
      </c>
      <c r="K50" s="1016">
        <v>-38000000000</v>
      </c>
      <c r="L50" s="1016">
        <v>332000000000</v>
      </c>
      <c r="M50" s="1016">
        <v>1650000000000</v>
      </c>
      <c r="N50" s="1016">
        <v>3897000000000</v>
      </c>
      <c r="O50" s="1016">
        <v>367000000000</v>
      </c>
      <c r="P50" s="1016">
        <v>1422000000000</v>
      </c>
      <c r="Q50" s="1016">
        <v>2241000000000</v>
      </c>
      <c r="R50" s="1016">
        <v>2020000000000</v>
      </c>
      <c r="S50" s="1016">
        <v>4472000000000</v>
      </c>
      <c r="T50" s="1016">
        <v>55000000000</v>
      </c>
      <c r="U50" s="1016">
        <v>1935000000000</v>
      </c>
      <c r="V50" s="1069">
        <v>2365000000000</v>
      </c>
      <c r="W50" s="1069">
        <v>2652000000000</v>
      </c>
      <c r="X50" s="1018">
        <v>2062000000000</v>
      </c>
      <c r="Y50" s="1018">
        <v>2381000000000</v>
      </c>
      <c r="Z50" s="2529">
        <v>2790000000000</v>
      </c>
      <c r="AA50" s="2529">
        <v>3170000000000</v>
      </c>
      <c r="AB50" s="978"/>
      <c r="AC50" s="978"/>
      <c r="AD50" s="978"/>
      <c r="AE50" s="978"/>
      <c r="AF50" s="978"/>
      <c r="AG50" s="978"/>
      <c r="AH50" s="978"/>
      <c r="AI50" s="978"/>
      <c r="AJ50" s="978"/>
      <c r="AK50" s="978"/>
      <c r="AL50" s="978"/>
      <c r="AM50" s="978"/>
      <c r="AN50" s="978"/>
      <c r="AO50" s="978"/>
      <c r="AP50" s="978"/>
      <c r="AQ50" s="978"/>
      <c r="AR50" s="978"/>
      <c r="AS50" s="978"/>
      <c r="AT50" s="2520"/>
      <c r="AU50" s="2520"/>
      <c r="AV50" s="2520"/>
      <c r="AW50" s="2520"/>
      <c r="AX50" s="2520"/>
      <c r="AY50" s="2520"/>
      <c r="AZ50" s="2520"/>
      <c r="BA50" s="2520"/>
      <c r="BB50" s="2520"/>
    </row>
    <row r="51" spans="1:54">
      <c r="A51" s="980" t="s">
        <v>120</v>
      </c>
      <c r="B51" s="981" t="s">
        <v>2768</v>
      </c>
      <c r="C51" s="982" t="s">
        <v>119</v>
      </c>
      <c r="D51" s="978">
        <v>89900000000</v>
      </c>
      <c r="E51" s="978">
        <v>16200000000</v>
      </c>
      <c r="F51" s="978">
        <v>261100000000.00003</v>
      </c>
      <c r="G51" s="978">
        <v>374100000000</v>
      </c>
      <c r="H51" s="978">
        <v>322500000000</v>
      </c>
      <c r="I51" s="978">
        <v>134000000000</v>
      </c>
      <c r="J51" s="978">
        <v>586000000000</v>
      </c>
      <c r="K51" s="978">
        <v>-82000000000</v>
      </c>
      <c r="L51" s="978">
        <v>225000000000</v>
      </c>
      <c r="M51" s="978">
        <v>1686000000000</v>
      </c>
      <c r="N51" s="978">
        <v>3837000000000</v>
      </c>
      <c r="O51" s="978">
        <v>605000000000</v>
      </c>
      <c r="P51" s="978">
        <v>1314000000000</v>
      </c>
      <c r="Q51" s="978">
        <v>1042000000000</v>
      </c>
      <c r="R51" s="978">
        <v>596000000000</v>
      </c>
      <c r="S51" s="978">
        <f>S52+S55</f>
        <v>3011000000000</v>
      </c>
      <c r="T51" s="978">
        <f t="shared" ref="T51:U51" si="3">T52+T55</f>
        <v>318000000000</v>
      </c>
      <c r="U51" s="978">
        <f t="shared" si="3"/>
        <v>1101000000000</v>
      </c>
      <c r="V51" s="1010">
        <v>-1080000000000</v>
      </c>
      <c r="W51" s="1010">
        <v>-1065000000000</v>
      </c>
      <c r="X51" s="1008">
        <v>-1151000000000</v>
      </c>
      <c r="Y51" s="1008">
        <v>-1290000000000</v>
      </c>
      <c r="Z51" s="1547">
        <v>-1228000000000</v>
      </c>
      <c r="AA51" s="1547">
        <v>-1344000000000</v>
      </c>
      <c r="AB51" s="978"/>
      <c r="AC51" s="978"/>
      <c r="AD51" s="978"/>
      <c r="AE51" s="978"/>
      <c r="AF51" s="978"/>
      <c r="AG51" s="978"/>
      <c r="AH51" s="978"/>
      <c r="AI51" s="978"/>
      <c r="AJ51" s="978"/>
      <c r="AK51" s="978"/>
      <c r="AL51" s="978"/>
      <c r="AM51" s="978"/>
      <c r="AN51" s="978"/>
      <c r="AO51" s="978"/>
      <c r="AP51" s="978"/>
      <c r="AQ51" s="978"/>
      <c r="AR51" s="978"/>
      <c r="AS51" s="978"/>
      <c r="AT51" s="2520"/>
      <c r="AU51" s="2520"/>
      <c r="AV51" s="2520"/>
      <c r="AW51" s="2520"/>
      <c r="AX51" s="2520"/>
      <c r="AY51" s="2520"/>
      <c r="AZ51" s="2520"/>
      <c r="BA51" s="2520"/>
      <c r="BB51" s="2520"/>
    </row>
    <row r="52" spans="1:54">
      <c r="A52" s="980" t="s">
        <v>122</v>
      </c>
      <c r="B52" s="988" t="s">
        <v>2908</v>
      </c>
      <c r="C52" s="981" t="s">
        <v>124</v>
      </c>
      <c r="D52" s="978">
        <v>105500000000</v>
      </c>
      <c r="E52" s="978">
        <v>21800000000</v>
      </c>
      <c r="F52" s="978">
        <v>230300000000</v>
      </c>
      <c r="G52" s="978">
        <v>272100000000.00003</v>
      </c>
      <c r="H52" s="978">
        <v>240400000000</v>
      </c>
      <c r="I52" s="978">
        <v>135000000000</v>
      </c>
      <c r="J52" s="978">
        <v>617000000000</v>
      </c>
      <c r="K52" s="978">
        <v>-125000000000</v>
      </c>
      <c r="L52" s="978">
        <v>472000000000</v>
      </c>
      <c r="M52" s="978">
        <v>1349000000000</v>
      </c>
      <c r="N52" s="978">
        <v>4073000000000</v>
      </c>
      <c r="O52" s="978">
        <v>-4378000000000</v>
      </c>
      <c r="P52" s="978">
        <v>1470000000000</v>
      </c>
      <c r="Q52" s="978">
        <v>1011000000000</v>
      </c>
      <c r="R52" s="978">
        <v>768000000000</v>
      </c>
      <c r="S52" s="978">
        <v>2578000000000</v>
      </c>
      <c r="T52" s="978">
        <v>505000000000</v>
      </c>
      <c r="U52" s="978">
        <v>1300000000000</v>
      </c>
      <c r="V52" s="1010">
        <v>-90000000000</v>
      </c>
      <c r="W52" s="1010">
        <v>-87000000000</v>
      </c>
      <c r="X52" s="1008">
        <v>-130000000000</v>
      </c>
      <c r="Y52" s="1008">
        <v>-76000000000</v>
      </c>
      <c r="Z52" s="1547">
        <v>-172000000000</v>
      </c>
      <c r="AA52" s="1547">
        <v>-209000000000</v>
      </c>
      <c r="AB52" s="978"/>
      <c r="AC52" s="978"/>
      <c r="AD52" s="978"/>
      <c r="AE52" s="978"/>
      <c r="AF52" s="978"/>
      <c r="AG52" s="978"/>
      <c r="AH52" s="978"/>
      <c r="AI52" s="978"/>
      <c r="AJ52" s="978"/>
      <c r="AK52" s="978"/>
      <c r="AL52" s="978"/>
      <c r="AM52" s="978"/>
      <c r="AN52" s="978"/>
      <c r="AO52" s="978"/>
      <c r="AP52" s="978"/>
      <c r="AQ52" s="978"/>
      <c r="AR52" s="978"/>
      <c r="AS52" s="978"/>
      <c r="AT52" s="2520"/>
      <c r="AU52" s="2520"/>
      <c r="AV52" s="2520"/>
      <c r="AW52" s="2520"/>
      <c r="AX52" s="2520"/>
      <c r="AY52" s="2520"/>
      <c r="AZ52" s="2520"/>
      <c r="BA52" s="2520"/>
      <c r="BB52" s="2520"/>
    </row>
    <row r="53" spans="1:54">
      <c r="A53" s="972" t="s">
        <v>76</v>
      </c>
      <c r="B53" s="997" t="s">
        <v>2909</v>
      </c>
      <c r="C53" s="981"/>
      <c r="D53" s="978">
        <v>0</v>
      </c>
      <c r="E53" s="978">
        <v>0</v>
      </c>
      <c r="F53" s="987">
        <v>0</v>
      </c>
      <c r="G53" s="987">
        <v>0</v>
      </c>
      <c r="H53" s="987">
        <v>0</v>
      </c>
      <c r="I53" s="978">
        <v>-21000000000</v>
      </c>
      <c r="J53" s="978">
        <v>916000000000</v>
      </c>
      <c r="K53" s="978">
        <v>-187000000000</v>
      </c>
      <c r="L53" s="978">
        <v>50000000000</v>
      </c>
      <c r="M53" s="978">
        <v>1364000000000</v>
      </c>
      <c r="N53" s="978">
        <v>2907000000000</v>
      </c>
      <c r="O53" s="978">
        <v>-4671000000000</v>
      </c>
      <c r="P53" s="978">
        <v>1865000000000</v>
      </c>
      <c r="Q53" s="978">
        <v>901000000000</v>
      </c>
      <c r="R53" s="978">
        <v>768000000000</v>
      </c>
      <c r="S53" s="978">
        <v>1804000000000</v>
      </c>
      <c r="T53" s="978">
        <v>294000000000</v>
      </c>
      <c r="U53" s="978">
        <v>452000000000</v>
      </c>
      <c r="V53" s="1010">
        <v>-327000000000</v>
      </c>
      <c r="W53" s="1010">
        <v>-327000000000</v>
      </c>
      <c r="X53" s="1008">
        <v>-374000000000</v>
      </c>
      <c r="Y53" s="1008">
        <v>-364000000000</v>
      </c>
      <c r="Z53" s="1547">
        <v>-321000000000</v>
      </c>
      <c r="AA53" s="1547">
        <v>-333000000000</v>
      </c>
      <c r="AB53" s="978"/>
      <c r="AC53" s="978"/>
      <c r="AD53" s="978"/>
      <c r="AE53" s="978"/>
      <c r="AF53" s="978"/>
      <c r="AG53" s="978"/>
      <c r="AH53" s="978"/>
      <c r="AI53" s="978"/>
      <c r="AJ53" s="978"/>
      <c r="AK53" s="978"/>
      <c r="AL53" s="978"/>
      <c r="AM53" s="978"/>
      <c r="AN53" s="978"/>
      <c r="AO53" s="978"/>
      <c r="AP53" s="978"/>
      <c r="AQ53" s="978"/>
      <c r="AR53" s="978"/>
      <c r="AS53" s="978"/>
      <c r="AT53" s="2520"/>
      <c r="AU53" s="2520"/>
      <c r="AV53" s="2520"/>
      <c r="AW53" s="2520"/>
      <c r="AX53" s="2520"/>
      <c r="AY53" s="2520"/>
      <c r="AZ53" s="2520"/>
      <c r="BA53" s="2520"/>
      <c r="BB53" s="2520"/>
    </row>
    <row r="54" spans="1:54">
      <c r="A54" s="972" t="s">
        <v>76</v>
      </c>
      <c r="B54" s="997" t="s">
        <v>2910</v>
      </c>
      <c r="C54" s="981"/>
      <c r="D54" s="978">
        <v>0</v>
      </c>
      <c r="E54" s="978">
        <v>0</v>
      </c>
      <c r="F54" s="987">
        <v>0</v>
      </c>
      <c r="G54" s="987">
        <v>0</v>
      </c>
      <c r="H54" s="987">
        <v>0</v>
      </c>
      <c r="I54" s="978">
        <v>156000000000</v>
      </c>
      <c r="J54" s="978">
        <v>-300000000000</v>
      </c>
      <c r="K54" s="978">
        <v>62000000000</v>
      </c>
      <c r="L54" s="978">
        <v>422000000000</v>
      </c>
      <c r="M54" s="978">
        <v>-15000000000</v>
      </c>
      <c r="N54" s="978">
        <v>1166000000000</v>
      </c>
      <c r="O54" s="978">
        <v>293000000000</v>
      </c>
      <c r="P54" s="978">
        <v>-395000000000</v>
      </c>
      <c r="Q54" s="978">
        <v>110000000000</v>
      </c>
      <c r="R54" s="978">
        <v>0</v>
      </c>
      <c r="S54" s="978">
        <v>774000000000</v>
      </c>
      <c r="T54" s="978">
        <v>210000000000</v>
      </c>
      <c r="U54" s="978">
        <v>847000000000</v>
      </c>
      <c r="V54" s="1010">
        <v>237000000000</v>
      </c>
      <c r="W54" s="1010">
        <v>240000000000</v>
      </c>
      <c r="X54" s="1008">
        <v>244000000000</v>
      </c>
      <c r="Y54" s="1008">
        <v>288000000000</v>
      </c>
      <c r="Z54" s="1547">
        <v>149000000000</v>
      </c>
      <c r="AA54" s="1547">
        <v>124000000000</v>
      </c>
      <c r="AB54" s="978"/>
      <c r="AC54" s="978"/>
      <c r="AD54" s="978"/>
      <c r="AE54" s="978"/>
      <c r="AF54" s="978"/>
      <c r="AG54" s="978"/>
      <c r="AH54" s="978"/>
      <c r="AI54" s="978"/>
      <c r="AJ54" s="978"/>
      <c r="AK54" s="978"/>
      <c r="AL54" s="978"/>
      <c r="AM54" s="978"/>
      <c r="AN54" s="978"/>
      <c r="AO54" s="978"/>
      <c r="AP54" s="978"/>
      <c r="AQ54" s="978"/>
      <c r="AR54" s="978"/>
      <c r="AS54" s="978"/>
      <c r="AT54" s="2520"/>
      <c r="AU54" s="2520"/>
      <c r="AV54" s="2520"/>
      <c r="AW54" s="2520"/>
      <c r="AX54" s="2520"/>
      <c r="AY54" s="2520"/>
      <c r="AZ54" s="2520"/>
      <c r="BA54" s="2520"/>
      <c r="BB54" s="2520"/>
    </row>
    <row r="55" spans="1:54">
      <c r="A55" s="980" t="s">
        <v>428</v>
      </c>
      <c r="B55" s="988" t="s">
        <v>2911</v>
      </c>
      <c r="C55" s="981" t="s">
        <v>124</v>
      </c>
      <c r="D55" s="978">
        <v>-15600000000</v>
      </c>
      <c r="E55" s="978">
        <v>-5600000000</v>
      </c>
      <c r="F55" s="978">
        <v>30800000000</v>
      </c>
      <c r="G55" s="978">
        <v>102000000000</v>
      </c>
      <c r="H55" s="978">
        <v>82100000000</v>
      </c>
      <c r="I55" s="978">
        <v>-1000000000</v>
      </c>
      <c r="J55" s="978">
        <v>-31000000000</v>
      </c>
      <c r="K55" s="978">
        <v>43000000000</v>
      </c>
      <c r="L55" s="978">
        <v>-247000000000</v>
      </c>
      <c r="M55" s="978">
        <v>337000000000</v>
      </c>
      <c r="N55" s="978">
        <v>-236000000000</v>
      </c>
      <c r="O55" s="978">
        <v>4984000000000</v>
      </c>
      <c r="P55" s="978">
        <v>-155000000000</v>
      </c>
      <c r="Q55" s="978">
        <v>31000000000</v>
      </c>
      <c r="R55" s="978">
        <v>-173000000000</v>
      </c>
      <c r="S55" s="978">
        <f>S57+S56+S58+S59+S60</f>
        <v>433000000000</v>
      </c>
      <c r="T55" s="978">
        <f t="shared" ref="T55:U55" si="4">T57+T56+T58+T59+T60</f>
        <v>-187000000000</v>
      </c>
      <c r="U55" s="978">
        <f t="shared" si="4"/>
        <v>-199000000000</v>
      </c>
      <c r="V55" s="1010">
        <v>-511000000000</v>
      </c>
      <c r="W55" s="1010">
        <v>-672000000000</v>
      </c>
      <c r="X55" s="1008">
        <v>-731000000000</v>
      </c>
      <c r="Y55" s="1008">
        <v>-956000000000</v>
      </c>
      <c r="Z55" s="1547">
        <v>-708000000000</v>
      </c>
      <c r="AA55" s="1547">
        <v>-766000000000</v>
      </c>
      <c r="AB55" s="978"/>
      <c r="AC55" s="978"/>
      <c r="AD55" s="978"/>
      <c r="AE55" s="978"/>
      <c r="AF55" s="978"/>
      <c r="AG55" s="978"/>
      <c r="AH55" s="978"/>
      <c r="AI55" s="978"/>
      <c r="AJ55" s="978"/>
      <c r="AK55" s="978"/>
      <c r="AL55" s="978"/>
      <c r="AM55" s="978"/>
      <c r="AN55" s="978"/>
      <c r="AO55" s="978"/>
      <c r="AP55" s="978"/>
      <c r="AQ55" s="978"/>
      <c r="AR55" s="978"/>
      <c r="AS55" s="978"/>
      <c r="AT55" s="2520"/>
      <c r="AU55" s="2520"/>
      <c r="AV55" s="2520"/>
      <c r="AW55" s="2520"/>
      <c r="AX55" s="2520"/>
      <c r="AY55" s="2520"/>
      <c r="AZ55" s="2520"/>
      <c r="BA55" s="2520"/>
      <c r="BB55" s="2520"/>
    </row>
    <row r="56" spans="1:54">
      <c r="A56" s="972" t="s">
        <v>76</v>
      </c>
      <c r="B56" s="988" t="s">
        <v>2912</v>
      </c>
      <c r="C56" s="981"/>
      <c r="D56" s="978">
        <v>0</v>
      </c>
      <c r="E56" s="978">
        <v>0</v>
      </c>
      <c r="F56" s="987">
        <v>0</v>
      </c>
      <c r="G56" s="987">
        <v>0</v>
      </c>
      <c r="H56" s="987">
        <v>0</v>
      </c>
      <c r="I56" s="978">
        <v>88000000000</v>
      </c>
      <c r="J56" s="978">
        <v>285000000000</v>
      </c>
      <c r="K56" s="978">
        <v>189000000000</v>
      </c>
      <c r="L56" s="978">
        <v>69000000000</v>
      </c>
      <c r="M56" s="978">
        <v>0</v>
      </c>
      <c r="N56" s="978">
        <v>0</v>
      </c>
      <c r="O56" s="978">
        <v>0</v>
      </c>
      <c r="P56" s="978">
        <v>0</v>
      </c>
      <c r="Q56" s="978">
        <v>0</v>
      </c>
      <c r="R56" s="978">
        <v>0</v>
      </c>
      <c r="S56" s="978">
        <v>0</v>
      </c>
      <c r="T56" s="978">
        <v>0</v>
      </c>
      <c r="U56" s="978">
        <v>0</v>
      </c>
      <c r="V56" s="1010">
        <v>0</v>
      </c>
      <c r="W56" s="1010">
        <v>0</v>
      </c>
      <c r="X56" s="1008">
        <v>0</v>
      </c>
      <c r="Y56" s="1008">
        <v>0</v>
      </c>
      <c r="Z56" s="1547">
        <v>0</v>
      </c>
      <c r="AA56" s="1547">
        <v>0</v>
      </c>
      <c r="AB56" s="978"/>
      <c r="AC56" s="978"/>
      <c r="AD56" s="978"/>
      <c r="AE56" s="978"/>
      <c r="AF56" s="978"/>
      <c r="AG56" s="978"/>
      <c r="AH56" s="978"/>
      <c r="AI56" s="978"/>
      <c r="AJ56" s="978"/>
      <c r="AK56" s="978"/>
      <c r="AL56" s="978"/>
      <c r="AM56" s="978"/>
      <c r="AN56" s="978"/>
      <c r="AO56" s="978"/>
      <c r="AP56" s="978"/>
      <c r="AQ56" s="978"/>
      <c r="AR56" s="978"/>
      <c r="AS56" s="978"/>
      <c r="AT56" s="2520"/>
      <c r="AU56" s="2520"/>
      <c r="AV56" s="2520"/>
      <c r="AW56" s="2520"/>
      <c r="AX56" s="2520"/>
      <c r="AY56" s="2520"/>
      <c r="AZ56" s="2520"/>
      <c r="BA56" s="2520"/>
      <c r="BB56" s="2520"/>
    </row>
    <row r="57" spans="1:54">
      <c r="A57" s="972" t="s">
        <v>76</v>
      </c>
      <c r="B57" s="997" t="s">
        <v>2913</v>
      </c>
      <c r="C57" s="981"/>
      <c r="D57" s="978">
        <v>0</v>
      </c>
      <c r="E57" s="978">
        <v>0</v>
      </c>
      <c r="F57" s="987">
        <v>0</v>
      </c>
      <c r="G57" s="987">
        <v>0</v>
      </c>
      <c r="H57" s="987">
        <v>0</v>
      </c>
      <c r="I57" s="978">
        <v>-83000000000</v>
      </c>
      <c r="J57" s="978">
        <v>-241000000000</v>
      </c>
      <c r="K57" s="978">
        <v>-237000000000</v>
      </c>
      <c r="L57" s="978">
        <v>-339000000000</v>
      </c>
      <c r="M57" s="978">
        <v>-39000000000</v>
      </c>
      <c r="N57" s="978">
        <v>-124000000000</v>
      </c>
      <c r="O57" s="978">
        <v>-6000000000</v>
      </c>
      <c r="P57" s="978">
        <v>-3000000000</v>
      </c>
      <c r="Q57" s="978">
        <v>200000000000</v>
      </c>
      <c r="R57" s="978">
        <v>-285000000000</v>
      </c>
      <c r="S57" s="978">
        <v>-150000000000</v>
      </c>
      <c r="T57" s="978">
        <v>-350000000000</v>
      </c>
      <c r="U57" s="978">
        <v>-1189000000000</v>
      </c>
      <c r="V57" s="1010">
        <v>-511000000000</v>
      </c>
      <c r="W57" s="1010">
        <v>-672000000000</v>
      </c>
      <c r="X57" s="1008">
        <v>-731000000000</v>
      </c>
      <c r="Y57" s="1008">
        <v>-956000000000</v>
      </c>
      <c r="Z57" s="1547">
        <v>-708000000000</v>
      </c>
      <c r="AA57" s="1547">
        <v>-766000000000</v>
      </c>
      <c r="AB57" s="978"/>
      <c r="AC57" s="978"/>
      <c r="AD57" s="978"/>
      <c r="AE57" s="978"/>
      <c r="AF57" s="978"/>
      <c r="AG57" s="978"/>
      <c r="AH57" s="978"/>
      <c r="AI57" s="978"/>
      <c r="AJ57" s="978"/>
      <c r="AK57" s="978"/>
      <c r="AL57" s="978"/>
      <c r="AM57" s="978"/>
      <c r="AN57" s="978"/>
      <c r="AO57" s="978"/>
      <c r="AP57" s="978"/>
      <c r="AQ57" s="978"/>
      <c r="AR57" s="978"/>
      <c r="AS57" s="978"/>
      <c r="AT57" s="2520"/>
      <c r="AU57" s="2520"/>
      <c r="AV57" s="2520"/>
      <c r="AW57" s="2520"/>
      <c r="AX57" s="2520"/>
      <c r="AY57" s="2520"/>
      <c r="AZ57" s="2520"/>
      <c r="BA57" s="2520"/>
      <c r="BB57" s="2520"/>
    </row>
    <row r="58" spans="1:54">
      <c r="A58" s="972" t="s">
        <v>76</v>
      </c>
      <c r="B58" s="997" t="s">
        <v>2914</v>
      </c>
      <c r="C58" s="981"/>
      <c r="D58" s="978">
        <v>0</v>
      </c>
      <c r="E58" s="978">
        <v>0</v>
      </c>
      <c r="F58" s="987">
        <v>0</v>
      </c>
      <c r="G58" s="987">
        <v>0</v>
      </c>
      <c r="H58" s="987">
        <v>0</v>
      </c>
      <c r="I58" s="978">
        <v>0</v>
      </c>
      <c r="J58" s="978">
        <v>0</v>
      </c>
      <c r="K58" s="978">
        <v>75000000000</v>
      </c>
      <c r="L58" s="978">
        <v>-25000000000</v>
      </c>
      <c r="M58" s="978">
        <v>0</v>
      </c>
      <c r="N58" s="978">
        <v>-157000000000</v>
      </c>
      <c r="O58" s="978">
        <v>0</v>
      </c>
      <c r="P58" s="978">
        <v>-152000000000</v>
      </c>
      <c r="Q58" s="978">
        <v>0</v>
      </c>
      <c r="R58" s="978">
        <v>106000000000</v>
      </c>
      <c r="S58" s="978">
        <v>296000000000</v>
      </c>
      <c r="T58" s="978">
        <v>158000000000</v>
      </c>
      <c r="U58" s="978">
        <v>940000000000</v>
      </c>
      <c r="V58" s="1010">
        <v>-479000000000</v>
      </c>
      <c r="W58" s="1010">
        <v>-306000000000</v>
      </c>
      <c r="X58" s="1008">
        <v>-290000000000</v>
      </c>
      <c r="Y58" s="1008">
        <v>-258000000000</v>
      </c>
      <c r="Z58" s="1547">
        <v>-348000000000</v>
      </c>
      <c r="AA58" s="1547">
        <v>-369000000000</v>
      </c>
      <c r="AB58" s="978"/>
      <c r="AC58" s="978"/>
      <c r="AD58" s="978"/>
      <c r="AE58" s="978"/>
      <c r="AF58" s="978"/>
      <c r="AG58" s="978"/>
      <c r="AH58" s="978"/>
      <c r="AI58" s="978"/>
      <c r="AJ58" s="978"/>
      <c r="AK58" s="978"/>
      <c r="AL58" s="978"/>
      <c r="AM58" s="978"/>
      <c r="AN58" s="978"/>
      <c r="AO58" s="978"/>
      <c r="AP58" s="978"/>
      <c r="AQ58" s="978"/>
      <c r="AR58" s="978"/>
      <c r="AS58" s="978"/>
      <c r="AT58" s="2520"/>
      <c r="AU58" s="2520"/>
      <c r="AV58" s="2520"/>
      <c r="AW58" s="2520"/>
      <c r="AX58" s="2520"/>
      <c r="AY58" s="2520"/>
      <c r="AZ58" s="2520"/>
      <c r="BA58" s="2520"/>
      <c r="BB58" s="2520"/>
    </row>
    <row r="59" spans="1:54">
      <c r="A59" s="972" t="s">
        <v>76</v>
      </c>
      <c r="B59" s="997" t="s">
        <v>2915</v>
      </c>
      <c r="C59" s="981"/>
      <c r="D59" s="978">
        <v>0</v>
      </c>
      <c r="E59" s="978">
        <v>0</v>
      </c>
      <c r="F59" s="987">
        <v>0</v>
      </c>
      <c r="G59" s="987">
        <v>0</v>
      </c>
      <c r="H59" s="987">
        <v>0</v>
      </c>
      <c r="I59" s="978">
        <v>-35000000000</v>
      </c>
      <c r="J59" s="978">
        <v>-92000000000</v>
      </c>
      <c r="K59" s="978">
        <v>30000000000</v>
      </c>
      <c r="L59" s="978">
        <v>48000000000</v>
      </c>
      <c r="M59" s="978">
        <v>118000000000</v>
      </c>
      <c r="N59" s="978">
        <v>23000000000</v>
      </c>
      <c r="O59" s="978">
        <v>170000000000</v>
      </c>
      <c r="P59" s="978">
        <v>0</v>
      </c>
      <c r="Q59" s="978">
        <v>0</v>
      </c>
      <c r="R59" s="978">
        <v>0</v>
      </c>
      <c r="S59" s="978"/>
      <c r="T59" s="978"/>
      <c r="U59" s="978"/>
      <c r="V59" s="1010"/>
      <c r="W59" s="1010"/>
      <c r="X59" s="1008"/>
      <c r="Y59" s="1008"/>
      <c r="Z59" s="1547"/>
      <c r="AA59" s="1547"/>
      <c r="AB59" s="978"/>
      <c r="AC59" s="978"/>
      <c r="AD59" s="978"/>
      <c r="AE59" s="978"/>
      <c r="AF59" s="978"/>
      <c r="AG59" s="978"/>
      <c r="AH59" s="978"/>
      <c r="AI59" s="978"/>
      <c r="AJ59" s="978"/>
      <c r="AK59" s="978"/>
      <c r="AL59" s="978"/>
      <c r="AM59" s="978"/>
      <c r="AN59" s="978"/>
      <c r="AO59" s="978"/>
      <c r="AP59" s="978"/>
      <c r="AQ59" s="978"/>
      <c r="AR59" s="978"/>
      <c r="AS59" s="978"/>
      <c r="AT59" s="2520"/>
      <c r="AU59" s="2463"/>
      <c r="AV59" s="2463"/>
      <c r="AW59" s="2463"/>
      <c r="AX59" s="2463"/>
    </row>
    <row r="60" spans="1:54">
      <c r="B60" s="997" t="s">
        <v>2916</v>
      </c>
      <c r="C60" s="981"/>
      <c r="D60" s="978">
        <v>0</v>
      </c>
      <c r="E60" s="978">
        <v>0</v>
      </c>
      <c r="F60" s="987">
        <v>0</v>
      </c>
      <c r="G60" s="987">
        <v>0</v>
      </c>
      <c r="H60" s="987">
        <v>0</v>
      </c>
      <c r="I60" s="978">
        <v>0</v>
      </c>
      <c r="J60" s="978">
        <v>0</v>
      </c>
      <c r="K60" s="978">
        <v>0</v>
      </c>
      <c r="L60" s="978">
        <v>0</v>
      </c>
      <c r="M60" s="978">
        <v>0</v>
      </c>
      <c r="N60" s="978">
        <v>0</v>
      </c>
      <c r="O60" s="978">
        <v>4634000000000</v>
      </c>
      <c r="P60" s="978">
        <v>0</v>
      </c>
      <c r="Q60" s="978">
        <v>0</v>
      </c>
      <c r="R60" s="978">
        <v>0</v>
      </c>
      <c r="S60" s="978">
        <v>287000000000</v>
      </c>
      <c r="T60" s="978">
        <v>5000000000</v>
      </c>
      <c r="U60" s="978">
        <v>50000000000</v>
      </c>
      <c r="V60" s="1010">
        <v>0</v>
      </c>
      <c r="W60" s="1010">
        <v>0</v>
      </c>
      <c r="X60" s="1008">
        <v>0</v>
      </c>
      <c r="Y60" s="1008">
        <v>0</v>
      </c>
      <c r="Z60" s="1547">
        <v>0</v>
      </c>
      <c r="AA60" s="1547">
        <v>0</v>
      </c>
      <c r="AB60" s="978"/>
      <c r="AC60" s="978"/>
      <c r="AD60" s="978"/>
      <c r="AE60" s="978"/>
      <c r="AF60" s="978"/>
      <c r="AG60" s="978"/>
      <c r="AH60" s="978"/>
      <c r="AI60" s="978"/>
      <c r="AJ60" s="978"/>
      <c r="AK60" s="978"/>
      <c r="AL60" s="978"/>
      <c r="AM60" s="978"/>
      <c r="AN60" s="978"/>
      <c r="AO60" s="978"/>
      <c r="AP60" s="978"/>
      <c r="AQ60" s="978"/>
      <c r="AR60" s="978"/>
      <c r="AS60" s="978"/>
      <c r="AT60" s="2520"/>
      <c r="AU60" s="2520"/>
      <c r="AV60" s="2520"/>
      <c r="AW60" s="2520"/>
      <c r="AX60" s="2520"/>
      <c r="AY60" s="2520"/>
      <c r="AZ60" s="2520"/>
      <c r="BA60" s="2520"/>
      <c r="BB60" s="2520"/>
    </row>
    <row r="61" spans="1:54">
      <c r="A61" s="972" t="s">
        <v>76</v>
      </c>
      <c r="B61" s="997" t="s">
        <v>50</v>
      </c>
      <c r="C61" s="981"/>
      <c r="D61" s="978">
        <v>0</v>
      </c>
      <c r="E61" s="978">
        <v>0</v>
      </c>
      <c r="F61" s="987">
        <v>0</v>
      </c>
      <c r="G61" s="987">
        <v>0</v>
      </c>
      <c r="H61" s="987">
        <v>0</v>
      </c>
      <c r="I61" s="978">
        <v>29000000000</v>
      </c>
      <c r="J61" s="978">
        <v>17000000000</v>
      </c>
      <c r="K61" s="978">
        <v>-14000000000</v>
      </c>
      <c r="L61" s="978">
        <v>0</v>
      </c>
      <c r="M61" s="978">
        <v>258000000000</v>
      </c>
      <c r="N61" s="978">
        <v>22000000000</v>
      </c>
      <c r="O61" s="978">
        <v>186000000000</v>
      </c>
      <c r="P61" s="978">
        <v>0</v>
      </c>
      <c r="Q61" s="978">
        <v>9000000000</v>
      </c>
      <c r="R61" s="978">
        <v>7000000000</v>
      </c>
      <c r="S61" s="978"/>
      <c r="T61" s="978"/>
      <c r="U61" s="978"/>
      <c r="V61" s="1010"/>
      <c r="W61" s="1010"/>
      <c r="X61" s="1008"/>
      <c r="Y61" s="1008"/>
      <c r="Z61" s="1547"/>
      <c r="AA61" s="1547"/>
      <c r="AB61" s="978"/>
      <c r="AC61" s="978"/>
      <c r="AD61" s="978"/>
      <c r="AE61" s="978"/>
      <c r="AF61" s="978"/>
      <c r="AG61" s="978"/>
      <c r="AH61" s="978"/>
      <c r="AI61" s="978"/>
      <c r="AJ61" s="978"/>
      <c r="AK61" s="978"/>
      <c r="AL61" s="978"/>
      <c r="AM61" s="978"/>
      <c r="AN61" s="978"/>
      <c r="AO61" s="978"/>
      <c r="AP61" s="978"/>
      <c r="AQ61" s="978"/>
      <c r="AR61" s="978"/>
      <c r="AS61" s="978"/>
      <c r="AT61" s="2520"/>
      <c r="AU61" s="2463"/>
      <c r="AV61" s="2463"/>
      <c r="AW61" s="2463"/>
      <c r="AX61" s="2463"/>
    </row>
    <row r="62" spans="1:54">
      <c r="A62" s="980" t="s">
        <v>117</v>
      </c>
      <c r="B62" s="981" t="s">
        <v>2917</v>
      </c>
      <c r="C62" s="982" t="s">
        <v>119</v>
      </c>
      <c r="D62" s="978">
        <v>110400000000</v>
      </c>
      <c r="E62" s="978">
        <v>244800000000</v>
      </c>
      <c r="F62" s="978">
        <v>104500000000</v>
      </c>
      <c r="G62" s="978">
        <v>58200000000</v>
      </c>
      <c r="H62" s="978">
        <v>121800000000</v>
      </c>
      <c r="I62" s="978">
        <v>42000000000</v>
      </c>
      <c r="J62" s="978">
        <v>-112000000000</v>
      </c>
      <c r="K62" s="978">
        <v>44000000000</v>
      </c>
      <c r="L62" s="978">
        <v>108000000000</v>
      </c>
      <c r="M62" s="978">
        <v>-36000000000</v>
      </c>
      <c r="N62" s="978">
        <v>60000000000</v>
      </c>
      <c r="O62" s="978">
        <v>-238000000000</v>
      </c>
      <c r="P62" s="987">
        <v>108000000000</v>
      </c>
      <c r="Q62" s="978">
        <v>1200000000000</v>
      </c>
      <c r="R62" s="978">
        <v>1425000000000</v>
      </c>
      <c r="S62" s="978">
        <v>1461000000000</v>
      </c>
      <c r="T62" s="978">
        <v>-263000000000</v>
      </c>
      <c r="U62" s="978">
        <v>835000000000</v>
      </c>
      <c r="V62" s="1010">
        <v>3445000000000</v>
      </c>
      <c r="W62" s="1010">
        <v>3717000000000</v>
      </c>
      <c r="X62" s="1008">
        <v>3213000000000</v>
      </c>
      <c r="Y62" s="1008">
        <v>3671000000000</v>
      </c>
      <c r="Z62" s="1547">
        <v>4017000000000</v>
      </c>
      <c r="AA62" s="1547">
        <v>4513000000000</v>
      </c>
      <c r="AB62" s="978"/>
      <c r="AC62" s="978"/>
      <c r="AD62" s="978"/>
      <c r="AE62" s="978"/>
      <c r="AF62" s="978"/>
      <c r="AG62" s="978"/>
      <c r="AH62" s="978"/>
      <c r="AI62" s="978"/>
      <c r="AJ62" s="978"/>
      <c r="AK62" s="978"/>
      <c r="AL62" s="978"/>
      <c r="AM62" s="978"/>
      <c r="AN62" s="978"/>
      <c r="AO62" s="978"/>
      <c r="AP62" s="978"/>
      <c r="AQ62" s="978"/>
      <c r="AR62" s="978"/>
      <c r="AS62" s="978"/>
      <c r="AT62" s="2520"/>
      <c r="AU62" s="2520"/>
      <c r="AV62" s="2520"/>
      <c r="AW62" s="2520"/>
      <c r="AX62" s="2520"/>
      <c r="AY62" s="2520"/>
      <c r="AZ62" s="2520"/>
      <c r="BA62" s="2520"/>
      <c r="BB62" s="2520"/>
    </row>
    <row r="63" spans="1:54">
      <c r="A63" s="980" t="s">
        <v>444</v>
      </c>
      <c r="B63" s="988" t="s">
        <v>1104</v>
      </c>
      <c r="C63" s="981" t="s">
        <v>264</v>
      </c>
      <c r="D63" s="978">
        <v>224300000000</v>
      </c>
      <c r="E63" s="978">
        <v>346500000000</v>
      </c>
      <c r="F63" s="978">
        <v>215800000000</v>
      </c>
      <c r="G63" s="978">
        <v>165200000000</v>
      </c>
      <c r="H63" s="978">
        <v>204900000000</v>
      </c>
      <c r="I63" s="978">
        <v>273000000000</v>
      </c>
      <c r="J63" s="978">
        <v>248000000000</v>
      </c>
      <c r="K63" s="978">
        <v>262000000000</v>
      </c>
      <c r="L63" s="978">
        <v>333000000000</v>
      </c>
      <c r="M63" s="978">
        <v>204000000000</v>
      </c>
      <c r="N63" s="978">
        <v>177000000000</v>
      </c>
      <c r="O63" s="978">
        <v>845000000000</v>
      </c>
      <c r="P63" s="987">
        <v>939000000000</v>
      </c>
      <c r="Q63" s="978">
        <v>1509000000000</v>
      </c>
      <c r="R63" s="978">
        <v>1791000000000</v>
      </c>
      <c r="S63" s="978">
        <v>1674000000000</v>
      </c>
      <c r="T63" s="978">
        <v>201000000000</v>
      </c>
      <c r="U63" s="978">
        <v>1196000000000</v>
      </c>
      <c r="V63" s="1010">
        <v>4158000000000</v>
      </c>
      <c r="W63" s="1010">
        <v>4377000000000</v>
      </c>
      <c r="X63" s="1008">
        <v>4036000000000</v>
      </c>
      <c r="Y63" s="1008">
        <v>4480000000000</v>
      </c>
      <c r="Z63" s="1547">
        <v>4989000000000</v>
      </c>
      <c r="AA63" s="1547">
        <v>5631000000000</v>
      </c>
      <c r="AB63" s="978"/>
      <c r="AC63" s="978"/>
      <c r="AD63" s="978"/>
      <c r="AE63" s="978"/>
      <c r="AF63" s="978"/>
      <c r="AG63" s="978"/>
      <c r="AH63" s="978"/>
      <c r="AI63" s="978"/>
      <c r="AJ63" s="978"/>
      <c r="AK63" s="978"/>
      <c r="AL63" s="978"/>
      <c r="AM63" s="978"/>
      <c r="AN63" s="978"/>
      <c r="AO63" s="978"/>
      <c r="AP63" s="978"/>
      <c r="AQ63" s="978"/>
      <c r="AR63" s="978"/>
      <c r="AS63" s="978"/>
      <c r="AT63" s="2520"/>
      <c r="AU63" s="2520"/>
      <c r="AV63" s="2520"/>
      <c r="AW63" s="2520"/>
      <c r="AX63" s="2520"/>
      <c r="AY63" s="2520"/>
      <c r="AZ63" s="2520"/>
      <c r="BA63" s="2520"/>
      <c r="BB63" s="2520"/>
    </row>
    <row r="64" spans="1:54">
      <c r="A64" s="997" t="s">
        <v>1219</v>
      </c>
      <c r="B64" s="997" t="s">
        <v>1219</v>
      </c>
      <c r="C64" s="981" t="s">
        <v>2918</v>
      </c>
      <c r="D64" s="978">
        <v>221200000000</v>
      </c>
      <c r="E64" s="978">
        <v>229100000000</v>
      </c>
      <c r="F64" s="978">
        <v>213900000000</v>
      </c>
      <c r="G64" s="978">
        <v>143200000000</v>
      </c>
      <c r="H64" s="978">
        <v>204900000000</v>
      </c>
      <c r="I64" s="987"/>
      <c r="J64" s="987"/>
      <c r="K64" s="987"/>
      <c r="L64" s="987"/>
      <c r="M64" s="987"/>
      <c r="N64" s="978">
        <v>177000000000</v>
      </c>
      <c r="O64" s="978">
        <v>341000000000</v>
      </c>
      <c r="P64" s="987">
        <v>436000000000</v>
      </c>
      <c r="Q64" s="978">
        <v>1268000000000</v>
      </c>
      <c r="R64" s="978">
        <v>792000000000</v>
      </c>
      <c r="S64" s="978">
        <v>1404000000000</v>
      </c>
      <c r="T64" s="978">
        <v>201000000000</v>
      </c>
      <c r="U64" s="978">
        <v>1196000000000</v>
      </c>
      <c r="V64" s="1010">
        <v>3501000000000</v>
      </c>
      <c r="W64" s="1010">
        <v>4277000000000</v>
      </c>
      <c r="X64" s="1008">
        <v>3916000000000</v>
      </c>
      <c r="Y64" s="1008">
        <v>4360000000000</v>
      </c>
      <c r="Z64" s="1547">
        <v>4878000000000</v>
      </c>
      <c r="AA64" s="1547">
        <v>5517000000000</v>
      </c>
      <c r="AB64" s="978"/>
      <c r="AC64" s="978"/>
      <c r="AD64" s="978"/>
      <c r="AE64" s="978"/>
      <c r="AF64" s="978"/>
      <c r="AG64" s="978"/>
      <c r="AH64" s="978"/>
      <c r="AI64" s="978"/>
      <c r="AJ64" s="978"/>
      <c r="AK64" s="978"/>
      <c r="AL64" s="978"/>
      <c r="AM64" s="978"/>
      <c r="AN64" s="978"/>
      <c r="AO64" s="978"/>
      <c r="AP64" s="978"/>
      <c r="AQ64" s="978"/>
      <c r="AR64" s="978"/>
      <c r="AS64" s="978"/>
      <c r="AT64" s="2520"/>
      <c r="AU64" s="2520"/>
      <c r="AV64" s="2520"/>
      <c r="AW64" s="2520"/>
      <c r="AX64" s="2520"/>
      <c r="AY64" s="2520"/>
      <c r="AZ64" s="2520"/>
      <c r="BA64" s="2520"/>
      <c r="BB64" s="2520"/>
    </row>
    <row r="65" spans="1:54">
      <c r="A65" s="997" t="s">
        <v>1220</v>
      </c>
      <c r="B65" s="997" t="s">
        <v>1220</v>
      </c>
      <c r="C65" s="981" t="s">
        <v>2918</v>
      </c>
      <c r="D65" s="978">
        <v>3100000000</v>
      </c>
      <c r="E65" s="978">
        <v>117400000000</v>
      </c>
      <c r="F65" s="978">
        <v>1900000000</v>
      </c>
      <c r="G65" s="978">
        <v>22100000000</v>
      </c>
      <c r="H65" s="978">
        <v>0</v>
      </c>
      <c r="I65" s="987"/>
      <c r="J65" s="987"/>
      <c r="K65" s="987"/>
      <c r="L65" s="987"/>
      <c r="M65" s="987"/>
      <c r="N65" s="978">
        <v>0</v>
      </c>
      <c r="O65" s="978">
        <v>504000000000</v>
      </c>
      <c r="P65" s="987">
        <v>503000000000</v>
      </c>
      <c r="Q65" s="978">
        <v>242000000000</v>
      </c>
      <c r="R65" s="978">
        <v>999000000000</v>
      </c>
      <c r="S65" s="978">
        <v>270000000000</v>
      </c>
      <c r="T65" s="978">
        <v>0</v>
      </c>
      <c r="U65" s="978">
        <v>0</v>
      </c>
      <c r="V65" s="1010">
        <v>657000000000</v>
      </c>
      <c r="W65" s="1010">
        <v>100000000000</v>
      </c>
      <c r="X65" s="1008">
        <v>120000000000</v>
      </c>
      <c r="Y65" s="1008">
        <v>120000000000</v>
      </c>
      <c r="Z65" s="1547">
        <v>111000000000</v>
      </c>
      <c r="AA65" s="1547">
        <v>114000000000</v>
      </c>
      <c r="AB65" s="978"/>
      <c r="AC65" s="978"/>
      <c r="AD65" s="978"/>
      <c r="AE65" s="978"/>
      <c r="AF65" s="978"/>
      <c r="AG65" s="978"/>
      <c r="AH65" s="978"/>
      <c r="AI65" s="978"/>
      <c r="AJ65" s="978"/>
      <c r="AK65" s="978"/>
      <c r="AL65" s="978"/>
      <c r="AM65" s="978"/>
      <c r="AN65" s="978"/>
      <c r="AO65" s="978"/>
      <c r="AP65" s="978"/>
      <c r="AQ65" s="978"/>
      <c r="AR65" s="978"/>
      <c r="AS65" s="978"/>
      <c r="AT65" s="2520"/>
      <c r="AU65" s="2520"/>
      <c r="AV65" s="2520"/>
      <c r="AW65" s="2520"/>
      <c r="AX65" s="2520"/>
      <c r="AY65" s="2520"/>
      <c r="AZ65" s="2520"/>
      <c r="BA65" s="2520"/>
      <c r="BB65" s="2520"/>
    </row>
    <row r="66" spans="1:54">
      <c r="A66" s="997" t="s">
        <v>2889</v>
      </c>
      <c r="B66" s="997" t="s">
        <v>2889</v>
      </c>
      <c r="C66" s="981" t="s">
        <v>2918</v>
      </c>
      <c r="D66" s="978">
        <v>0</v>
      </c>
      <c r="E66" s="978">
        <v>0</v>
      </c>
      <c r="F66" s="987">
        <v>0</v>
      </c>
      <c r="G66" s="987">
        <v>0</v>
      </c>
      <c r="H66" s="987">
        <v>0</v>
      </c>
      <c r="I66" s="987"/>
      <c r="J66" s="987"/>
      <c r="K66" s="987"/>
      <c r="L66" s="987"/>
      <c r="M66" s="987"/>
      <c r="N66" s="987">
        <v>0</v>
      </c>
      <c r="O66" s="987">
        <v>0</v>
      </c>
      <c r="P66" s="987">
        <v>0</v>
      </c>
      <c r="Q66" s="978"/>
      <c r="R66" s="978">
        <v>0</v>
      </c>
      <c r="S66" s="978"/>
      <c r="T66" s="978"/>
      <c r="U66" s="978"/>
      <c r="V66" s="1010"/>
      <c r="W66" s="1010"/>
      <c r="X66" s="1008"/>
      <c r="Y66" s="1008"/>
      <c r="Z66" s="1547"/>
      <c r="AA66" s="1547"/>
      <c r="AB66" s="978"/>
      <c r="AC66" s="978"/>
      <c r="AD66" s="978"/>
      <c r="AE66" s="978"/>
      <c r="AF66" s="978"/>
      <c r="AG66" s="978"/>
      <c r="AH66" s="978"/>
      <c r="AI66" s="978"/>
      <c r="AJ66" s="978"/>
      <c r="AK66" s="978"/>
      <c r="AL66" s="978"/>
      <c r="AM66" s="978"/>
      <c r="AN66" s="978"/>
      <c r="AO66" s="978"/>
      <c r="AP66" s="978"/>
      <c r="AQ66" s="978"/>
      <c r="AR66" s="978"/>
      <c r="AS66" s="978"/>
      <c r="AT66" s="2520"/>
      <c r="AU66" s="2463"/>
      <c r="AV66" s="2463"/>
      <c r="AW66" s="2463"/>
      <c r="AX66" s="2463"/>
    </row>
    <row r="67" spans="1:54">
      <c r="A67" s="980" t="s">
        <v>258</v>
      </c>
      <c r="B67" s="988" t="s">
        <v>2919</v>
      </c>
      <c r="C67" s="981" t="s">
        <v>264</v>
      </c>
      <c r="D67" s="978">
        <v>-140000000000</v>
      </c>
      <c r="E67" s="978">
        <v>-234100000000</v>
      </c>
      <c r="F67" s="978">
        <v>-191100000000</v>
      </c>
      <c r="G67" s="978">
        <v>-247600000000</v>
      </c>
      <c r="H67" s="978">
        <v>-288400000000</v>
      </c>
      <c r="I67" s="978">
        <v>-433000000000</v>
      </c>
      <c r="J67" s="978">
        <v>-831000000000</v>
      </c>
      <c r="K67" s="978">
        <v>-637000000000</v>
      </c>
      <c r="L67" s="978">
        <v>-636000000000</v>
      </c>
      <c r="M67" s="978">
        <v>-443000000000</v>
      </c>
      <c r="N67" s="978">
        <v>-605000000000</v>
      </c>
      <c r="O67" s="978">
        <v>-1166000000000</v>
      </c>
      <c r="P67" s="987">
        <v>-1522000000000</v>
      </c>
      <c r="Q67" s="978">
        <v>-341000000000</v>
      </c>
      <c r="R67" s="978">
        <v>-421000000000</v>
      </c>
      <c r="S67" s="978">
        <v>-388000000000</v>
      </c>
      <c r="T67" s="978">
        <v>-456000000000</v>
      </c>
      <c r="U67" s="978">
        <v>-414000000000</v>
      </c>
      <c r="V67" s="1010">
        <v>-712000000000</v>
      </c>
      <c r="W67" s="1010">
        <v>-660000000000</v>
      </c>
      <c r="X67" s="1008">
        <v>-823000000000</v>
      </c>
      <c r="Y67" s="1008">
        <v>-809000000000</v>
      </c>
      <c r="Z67" s="1547">
        <v>-972000000000</v>
      </c>
      <c r="AA67" s="1547">
        <v>-1118000000000</v>
      </c>
      <c r="AB67" s="978"/>
      <c r="AC67" s="978"/>
      <c r="AD67" s="978"/>
      <c r="AE67" s="978"/>
      <c r="AF67" s="978"/>
      <c r="AG67" s="978"/>
      <c r="AH67" s="978"/>
      <c r="AI67" s="978"/>
      <c r="AJ67" s="978"/>
      <c r="AK67" s="978"/>
      <c r="AL67" s="978"/>
      <c r="AM67" s="978"/>
      <c r="AN67" s="978"/>
      <c r="AO67" s="978"/>
      <c r="AP67" s="978"/>
      <c r="AQ67" s="978"/>
      <c r="AR67" s="978"/>
      <c r="AS67" s="978"/>
      <c r="AT67" s="2520"/>
      <c r="AU67" s="2520"/>
      <c r="AV67" s="2520"/>
      <c r="AW67" s="2520"/>
      <c r="AX67" s="2520"/>
      <c r="AY67" s="2520"/>
      <c r="AZ67" s="2520"/>
      <c r="BA67" s="2520"/>
      <c r="BB67" s="2520"/>
    </row>
    <row r="68" spans="1:54">
      <c r="A68" s="980" t="s">
        <v>1348</v>
      </c>
      <c r="B68" s="988" t="s">
        <v>2920</v>
      </c>
      <c r="C68" s="981" t="s">
        <v>264</v>
      </c>
      <c r="D68" s="978">
        <v>0</v>
      </c>
      <c r="E68" s="978">
        <v>133500000000</v>
      </c>
      <c r="F68" s="978">
        <v>83100000000</v>
      </c>
      <c r="G68" s="978">
        <v>119700000000</v>
      </c>
      <c r="H68" s="978">
        <v>80000000000</v>
      </c>
      <c r="I68" s="978">
        <v>143000000000</v>
      </c>
      <c r="J68" s="978">
        <v>103000000000</v>
      </c>
      <c r="K68" s="978">
        <v>83000000000</v>
      </c>
      <c r="L68" s="978">
        <v>251000000000</v>
      </c>
      <c r="M68" s="978">
        <v>11000000000</v>
      </c>
      <c r="N68" s="978">
        <v>149000000000</v>
      </c>
      <c r="O68" s="978">
        <v>566000000000</v>
      </c>
      <c r="P68" s="987">
        <v>2446000000000</v>
      </c>
      <c r="Q68" s="978">
        <v>6000000000</v>
      </c>
      <c r="R68" s="978">
        <v>4000000000</v>
      </c>
      <c r="S68" s="978">
        <v>96000000000</v>
      </c>
      <c r="T68" s="978">
        <v>0</v>
      </c>
      <c r="U68" s="978">
        <v>0</v>
      </c>
      <c r="V68" s="1010">
        <v>0</v>
      </c>
      <c r="W68" s="1010">
        <v>0</v>
      </c>
      <c r="X68" s="1008">
        <v>0</v>
      </c>
      <c r="Y68" s="1008">
        <v>0</v>
      </c>
      <c r="Z68" s="1547">
        <v>0</v>
      </c>
      <c r="AA68" s="1547">
        <v>0</v>
      </c>
      <c r="AB68" s="978"/>
      <c r="AC68" s="978"/>
      <c r="AD68" s="978"/>
      <c r="AE68" s="978"/>
      <c r="AF68" s="978"/>
      <c r="AG68" s="978"/>
      <c r="AH68" s="978"/>
      <c r="AI68" s="978"/>
      <c r="AJ68" s="978"/>
      <c r="AK68" s="978"/>
      <c r="AL68" s="978"/>
      <c r="AM68" s="978"/>
      <c r="AN68" s="978"/>
      <c r="AO68" s="978"/>
      <c r="AP68" s="978"/>
      <c r="AQ68" s="978"/>
      <c r="AR68" s="978"/>
      <c r="AS68" s="978"/>
      <c r="AT68" s="2520"/>
      <c r="AU68" s="2520"/>
      <c r="AV68" s="2520"/>
      <c r="AW68" s="2520"/>
      <c r="AX68" s="2520"/>
      <c r="AY68" s="2520"/>
      <c r="AZ68" s="2520"/>
      <c r="BA68" s="2520"/>
      <c r="BB68" s="2520"/>
    </row>
    <row r="69" spans="1:54">
      <c r="A69" s="972" t="s">
        <v>7032</v>
      </c>
      <c r="B69" s="988" t="s">
        <v>2921</v>
      </c>
      <c r="C69" s="981" t="s">
        <v>264</v>
      </c>
      <c r="D69" s="978">
        <v>26100000000</v>
      </c>
      <c r="E69" s="978">
        <v>500000000</v>
      </c>
      <c r="F69" s="978">
        <v>-1700000000</v>
      </c>
      <c r="G69" s="978">
        <v>26900000000</v>
      </c>
      <c r="H69" s="978">
        <v>84000000000</v>
      </c>
      <c r="I69" s="978">
        <v>58000000000</v>
      </c>
      <c r="J69" s="978">
        <v>368000000000</v>
      </c>
      <c r="K69" s="978">
        <v>336000000000</v>
      </c>
      <c r="L69" s="978">
        <v>159000000000</v>
      </c>
      <c r="M69" s="978">
        <v>192000000000</v>
      </c>
      <c r="N69" s="978">
        <v>340000000000</v>
      </c>
      <c r="O69" s="978">
        <v>-483000000000</v>
      </c>
      <c r="P69" s="987">
        <v>-1755000000000</v>
      </c>
      <c r="Q69" s="978">
        <v>26000000000</v>
      </c>
      <c r="R69" s="978">
        <v>50000000000</v>
      </c>
      <c r="S69" s="978">
        <v>73000000000</v>
      </c>
      <c r="T69" s="978">
        <v>-6000000000</v>
      </c>
      <c r="U69" s="978">
        <v>-2000000000</v>
      </c>
      <c r="V69" s="1010">
        <v>0</v>
      </c>
      <c r="W69" s="1010">
        <v>0</v>
      </c>
      <c r="X69" s="1008">
        <v>0</v>
      </c>
      <c r="Y69" s="1008">
        <v>0</v>
      </c>
      <c r="Z69" s="1547">
        <v>0</v>
      </c>
      <c r="AA69" s="1547">
        <v>0</v>
      </c>
      <c r="AB69" s="978"/>
      <c r="AC69" s="978"/>
      <c r="AD69" s="978"/>
      <c r="AE69" s="978"/>
      <c r="AF69" s="978"/>
      <c r="AG69" s="978"/>
      <c r="AH69" s="978"/>
      <c r="AI69" s="978"/>
      <c r="AJ69" s="978"/>
      <c r="AK69" s="978"/>
      <c r="AL69" s="978"/>
      <c r="AM69" s="978"/>
      <c r="AN69" s="978"/>
      <c r="AO69" s="978"/>
      <c r="AP69" s="978"/>
      <c r="AQ69" s="978"/>
      <c r="AR69" s="978"/>
      <c r="AS69" s="978"/>
      <c r="AT69" s="2520"/>
      <c r="AU69" s="2520"/>
      <c r="AV69" s="2520"/>
      <c r="AW69" s="2520"/>
      <c r="AX69" s="2520"/>
      <c r="AY69" s="2520"/>
      <c r="AZ69" s="2520"/>
      <c r="BA69" s="2520"/>
      <c r="BB69" s="2520"/>
    </row>
    <row r="70" spans="1:54">
      <c r="A70" s="972" t="s">
        <v>7033</v>
      </c>
      <c r="B70" s="988" t="s">
        <v>2922</v>
      </c>
      <c r="C70" s="981" t="s">
        <v>264</v>
      </c>
      <c r="D70" s="978"/>
      <c r="E70" s="978"/>
      <c r="F70" s="978"/>
      <c r="G70" s="978"/>
      <c r="H70" s="978"/>
      <c r="I70" s="978"/>
      <c r="J70" s="978"/>
      <c r="K70" s="978"/>
      <c r="L70" s="978"/>
      <c r="M70" s="978"/>
      <c r="N70" s="978"/>
      <c r="O70" s="978"/>
      <c r="P70" s="987"/>
      <c r="Q70" s="978"/>
      <c r="R70" s="978"/>
      <c r="S70" s="978">
        <v>6000000000</v>
      </c>
      <c r="T70" s="978">
        <v>-2000000000</v>
      </c>
      <c r="U70" s="978">
        <v>0</v>
      </c>
      <c r="V70" s="1010">
        <v>0</v>
      </c>
      <c r="W70" s="1010">
        <v>0</v>
      </c>
      <c r="X70" s="1008">
        <v>0</v>
      </c>
      <c r="Y70" s="1008">
        <v>0</v>
      </c>
      <c r="Z70" s="1547">
        <v>0</v>
      </c>
      <c r="AA70" s="1547">
        <v>0</v>
      </c>
      <c r="AB70" s="978"/>
      <c r="AC70" s="978"/>
      <c r="AD70" s="978"/>
      <c r="AE70" s="978"/>
      <c r="AF70" s="978"/>
      <c r="AG70" s="978"/>
      <c r="AH70" s="978"/>
      <c r="AI70" s="978"/>
      <c r="AJ70" s="978"/>
      <c r="AK70" s="978"/>
      <c r="AL70" s="978"/>
      <c r="AM70" s="978"/>
      <c r="AN70" s="978"/>
      <c r="AO70" s="978"/>
      <c r="AP70" s="978"/>
      <c r="AQ70" s="978"/>
      <c r="AR70" s="978"/>
      <c r="AS70" s="978"/>
      <c r="AT70" s="2520"/>
      <c r="AU70" s="2520"/>
      <c r="AV70" s="2520"/>
      <c r="AW70" s="2520"/>
      <c r="AX70" s="2520"/>
      <c r="AY70" s="2520"/>
      <c r="AZ70" s="2520"/>
      <c r="BA70" s="2520"/>
      <c r="BB70" s="2520"/>
    </row>
    <row r="71" spans="1:54">
      <c r="A71" s="988" t="s">
        <v>7034</v>
      </c>
      <c r="B71" s="978" t="s">
        <v>7028</v>
      </c>
      <c r="C71" s="981" t="s">
        <v>264</v>
      </c>
      <c r="D71" s="978"/>
      <c r="E71" s="978"/>
      <c r="F71" s="978"/>
      <c r="G71" s="978"/>
      <c r="H71" s="978"/>
      <c r="I71" s="978"/>
      <c r="J71" s="978"/>
      <c r="K71" s="978"/>
      <c r="L71" s="978"/>
      <c r="M71" s="978"/>
      <c r="N71" s="978"/>
      <c r="O71" s="978"/>
      <c r="P71" s="987"/>
      <c r="Q71" s="978"/>
      <c r="R71" s="978"/>
      <c r="S71" s="978">
        <v>0</v>
      </c>
      <c r="T71" s="978">
        <v>0</v>
      </c>
      <c r="U71" s="978">
        <v>55000000000</v>
      </c>
      <c r="V71" s="1010">
        <v>0</v>
      </c>
      <c r="W71" s="1010">
        <v>0</v>
      </c>
      <c r="X71" s="1008">
        <v>0</v>
      </c>
      <c r="Y71" s="1008">
        <v>0</v>
      </c>
      <c r="Z71" s="1547">
        <v>0</v>
      </c>
      <c r="AA71" s="1547">
        <v>0</v>
      </c>
      <c r="AB71" s="978"/>
      <c r="AC71" s="978"/>
      <c r="AD71" s="978"/>
      <c r="AE71" s="978"/>
      <c r="AF71" s="978"/>
      <c r="AG71" s="978"/>
      <c r="AH71" s="978"/>
      <c r="AI71" s="978"/>
      <c r="AJ71" s="978"/>
      <c r="AK71" s="978"/>
      <c r="AL71" s="978"/>
      <c r="AM71" s="978"/>
      <c r="AN71" s="978"/>
      <c r="AO71" s="978"/>
      <c r="AP71" s="978"/>
      <c r="AQ71" s="978"/>
      <c r="AR71" s="978"/>
      <c r="AS71" s="978"/>
      <c r="AT71" s="2520"/>
      <c r="AU71" s="2520"/>
      <c r="AV71" s="2520"/>
      <c r="AW71" s="2520"/>
      <c r="AX71" s="2520"/>
      <c r="AY71" s="2520"/>
      <c r="AZ71" s="2520"/>
      <c r="BA71" s="2520"/>
      <c r="BB71" s="2520"/>
    </row>
    <row r="72" spans="1:54">
      <c r="A72" s="988" t="s">
        <v>7035</v>
      </c>
      <c r="B72" s="988" t="s">
        <v>2923</v>
      </c>
      <c r="C72" s="981" t="s">
        <v>264</v>
      </c>
      <c r="D72" s="978"/>
      <c r="E72" s="978"/>
      <c r="F72" s="978"/>
      <c r="G72" s="978"/>
      <c r="H72" s="978">
        <v>42700000000</v>
      </c>
      <c r="I72" s="978"/>
      <c r="J72" s="978"/>
      <c r="K72" s="978"/>
      <c r="L72" s="978"/>
      <c r="M72" s="978"/>
      <c r="N72" s="978"/>
      <c r="O72" s="978"/>
      <c r="P72" s="987"/>
      <c r="Q72" s="978"/>
      <c r="R72" s="978"/>
      <c r="S72" s="978"/>
      <c r="T72" s="978"/>
      <c r="U72" s="978"/>
      <c r="X72" s="1007"/>
      <c r="Y72" s="1007"/>
      <c r="Z72" s="1007"/>
      <c r="AA72" s="1007"/>
      <c r="AB72" s="971"/>
      <c r="AC72" s="365"/>
      <c r="AD72" s="365"/>
      <c r="AE72" s="365"/>
      <c r="AF72" s="365"/>
      <c r="AG72" s="365"/>
      <c r="AH72" s="365"/>
      <c r="AI72" s="365"/>
      <c r="AJ72" s="365"/>
      <c r="AK72" s="365"/>
      <c r="AL72" s="365"/>
      <c r="AM72" s="365"/>
      <c r="AN72" s="365"/>
      <c r="AO72" s="365"/>
      <c r="AP72" s="365"/>
      <c r="AQ72" s="365"/>
      <c r="AR72" s="365"/>
      <c r="AS72" s="365"/>
      <c r="AT72" s="2520"/>
      <c r="AU72" s="2463"/>
      <c r="AV72" s="2463"/>
      <c r="AW72" s="2463"/>
      <c r="AX72" s="2463"/>
    </row>
    <row r="73" spans="1:54">
      <c r="A73" s="981" t="s">
        <v>2924</v>
      </c>
      <c r="B73" s="981" t="s">
        <v>2924</v>
      </c>
      <c r="C73" s="981" t="s">
        <v>264</v>
      </c>
      <c r="D73" s="978">
        <v>0</v>
      </c>
      <c r="E73" s="978">
        <v>-1600000000</v>
      </c>
      <c r="F73" s="978">
        <v>-1700000000</v>
      </c>
      <c r="G73" s="978">
        <v>-6000000000</v>
      </c>
      <c r="H73" s="978">
        <v>-1400000000</v>
      </c>
      <c r="I73" s="978">
        <v>0</v>
      </c>
      <c r="J73" s="978">
        <v>0</v>
      </c>
      <c r="K73" s="978">
        <v>0</v>
      </c>
      <c r="L73" s="978">
        <v>0</v>
      </c>
      <c r="M73" s="978">
        <v>0</v>
      </c>
      <c r="N73" s="978">
        <v>0</v>
      </c>
      <c r="O73" s="978">
        <v>0</v>
      </c>
      <c r="P73" s="987">
        <v>0</v>
      </c>
      <c r="Q73" s="978">
        <v>0</v>
      </c>
      <c r="R73" s="978">
        <v>0</v>
      </c>
      <c r="S73" s="978"/>
      <c r="T73" s="978"/>
      <c r="U73" s="978"/>
      <c r="X73" s="1007"/>
      <c r="Y73" s="1007"/>
      <c r="Z73" s="1007"/>
      <c r="AA73" s="1007"/>
      <c r="AB73" s="971"/>
      <c r="AC73" s="365"/>
      <c r="AD73" s="365"/>
      <c r="AE73" s="365"/>
      <c r="AF73" s="365"/>
      <c r="AG73" s="365"/>
      <c r="AH73" s="365"/>
      <c r="AI73" s="365"/>
      <c r="AJ73" s="365"/>
      <c r="AK73" s="365"/>
      <c r="AL73" s="365"/>
      <c r="AM73" s="365"/>
      <c r="AN73" s="365"/>
      <c r="AO73" s="365"/>
      <c r="AP73" s="365"/>
      <c r="AQ73" s="365"/>
      <c r="AR73" s="365"/>
      <c r="AS73" s="365"/>
      <c r="AT73" s="2520"/>
      <c r="AU73" s="2463"/>
      <c r="AV73" s="2463"/>
      <c r="AW73" s="2463"/>
      <c r="AX73" s="2463"/>
    </row>
    <row r="74" spans="1:54">
      <c r="B74" s="988" t="s">
        <v>2925</v>
      </c>
      <c r="C74" s="981"/>
      <c r="D74" s="978">
        <v>0</v>
      </c>
      <c r="E74" s="978">
        <v>0</v>
      </c>
      <c r="F74" s="978">
        <v>-6100000000</v>
      </c>
      <c r="G74" s="978">
        <v>-28500000000</v>
      </c>
      <c r="H74" s="978">
        <v>0</v>
      </c>
      <c r="I74" s="978"/>
      <c r="J74" s="978"/>
      <c r="K74" s="978">
        <v>-16000000000</v>
      </c>
      <c r="L74" s="978">
        <v>-57000000000</v>
      </c>
      <c r="M74" s="978">
        <v>-73000000000</v>
      </c>
      <c r="N74" s="978">
        <v>-106000000000</v>
      </c>
      <c r="O74" s="978">
        <v>56000000000</v>
      </c>
      <c r="P74" s="987">
        <v>-127000000000</v>
      </c>
      <c r="Q74" s="978">
        <v>0</v>
      </c>
      <c r="R74" s="978">
        <v>0</v>
      </c>
      <c r="S74" s="978"/>
      <c r="T74" s="978"/>
      <c r="U74" s="978"/>
      <c r="X74" s="1007"/>
      <c r="Y74" s="1007"/>
      <c r="Z74" s="1007"/>
      <c r="AA74" s="1007"/>
      <c r="AT74" s="2520"/>
      <c r="AU74" s="2463"/>
      <c r="AV74" s="2463"/>
      <c r="AW74" s="2463"/>
      <c r="AX74" s="2463"/>
    </row>
    <row r="75" spans="1:54">
      <c r="B75" s="981" t="s">
        <v>1488</v>
      </c>
      <c r="C75" s="981"/>
      <c r="D75" s="978">
        <v>0</v>
      </c>
      <c r="E75" s="978">
        <v>0</v>
      </c>
      <c r="F75" s="987">
        <v>0</v>
      </c>
      <c r="G75" s="987">
        <v>0</v>
      </c>
      <c r="H75" s="987">
        <v>0</v>
      </c>
      <c r="I75" s="978">
        <v>0</v>
      </c>
      <c r="J75" s="978">
        <v>0</v>
      </c>
      <c r="K75" s="978">
        <v>0</v>
      </c>
      <c r="L75" s="978">
        <v>0</v>
      </c>
      <c r="M75" s="978">
        <v>0</v>
      </c>
      <c r="N75" s="978">
        <v>0</v>
      </c>
      <c r="O75" s="978">
        <v>0</v>
      </c>
      <c r="P75" s="987">
        <v>0</v>
      </c>
      <c r="Q75" s="978">
        <v>0</v>
      </c>
      <c r="R75" s="978">
        <v>0</v>
      </c>
      <c r="S75" s="978"/>
      <c r="T75" s="978"/>
      <c r="U75" s="978"/>
      <c r="X75" s="1007"/>
      <c r="Y75" s="1007"/>
      <c r="Z75" s="1007"/>
      <c r="AA75" s="1007"/>
      <c r="AB75" s="971"/>
      <c r="AC75" s="365"/>
      <c r="AD75" s="365"/>
      <c r="AE75" s="365"/>
      <c r="AF75" s="365"/>
      <c r="AG75" s="365"/>
      <c r="AH75" s="365"/>
      <c r="AI75" s="365"/>
      <c r="AJ75" s="365"/>
      <c r="AK75" s="365"/>
      <c r="AL75" s="365"/>
      <c r="AM75" s="365"/>
      <c r="AN75" s="365"/>
      <c r="AO75" s="365"/>
      <c r="AP75" s="365"/>
      <c r="AQ75" s="365"/>
      <c r="AR75" s="365"/>
      <c r="AS75" s="365"/>
      <c r="AT75" s="2520"/>
      <c r="AU75" s="2463"/>
      <c r="AV75" s="2463"/>
      <c r="AW75" s="2463"/>
      <c r="AX75" s="2463"/>
    </row>
    <row r="76" spans="1:54">
      <c r="B76" s="981" t="s">
        <v>2926</v>
      </c>
      <c r="C76" s="981"/>
      <c r="D76" s="978">
        <v>0</v>
      </c>
      <c r="E76" s="978">
        <v>0</v>
      </c>
      <c r="F76" s="987">
        <v>0</v>
      </c>
      <c r="G76" s="987">
        <v>0</v>
      </c>
      <c r="H76" s="987">
        <v>0</v>
      </c>
      <c r="I76" s="987">
        <v>0</v>
      </c>
      <c r="J76" s="987">
        <v>0</v>
      </c>
      <c r="K76" s="987">
        <v>0</v>
      </c>
      <c r="L76" s="987">
        <v>0</v>
      </c>
      <c r="M76" s="987">
        <v>0</v>
      </c>
      <c r="N76" s="987">
        <v>0</v>
      </c>
      <c r="O76" s="987">
        <v>0</v>
      </c>
      <c r="P76" s="987">
        <v>0</v>
      </c>
      <c r="Q76" s="978">
        <v>0</v>
      </c>
      <c r="R76" s="978">
        <v>0</v>
      </c>
      <c r="S76" s="978"/>
      <c r="T76" s="978"/>
      <c r="U76" s="978"/>
      <c r="X76" s="1007"/>
      <c r="Y76" s="1007"/>
      <c r="Z76" s="1007"/>
      <c r="AA76" s="1007"/>
      <c r="AB76" s="971"/>
      <c r="AC76" s="365"/>
      <c r="AD76" s="365"/>
      <c r="AE76" s="365"/>
      <c r="AF76" s="365"/>
      <c r="AG76" s="365"/>
      <c r="AH76" s="365"/>
      <c r="AI76" s="365"/>
      <c r="AJ76" s="365"/>
      <c r="AK76" s="365"/>
      <c r="AL76" s="365"/>
      <c r="AM76" s="365"/>
      <c r="AN76" s="365"/>
      <c r="AO76" s="365"/>
      <c r="AP76" s="365"/>
      <c r="AQ76" s="365"/>
      <c r="AR76" s="365"/>
      <c r="AS76" s="365"/>
      <c r="AT76" s="2520"/>
      <c r="AU76" s="2463"/>
      <c r="AV76" s="2463"/>
      <c r="AW76" s="2463"/>
      <c r="AX76" s="2463"/>
    </row>
    <row r="77" spans="1:54">
      <c r="B77" s="981" t="s">
        <v>273</v>
      </c>
      <c r="C77" s="981"/>
      <c r="D77" s="978">
        <v>0</v>
      </c>
      <c r="E77" s="978">
        <v>0</v>
      </c>
      <c r="F77" s="987">
        <v>0</v>
      </c>
      <c r="G77" s="987">
        <v>0</v>
      </c>
      <c r="H77" s="987">
        <v>0</v>
      </c>
      <c r="I77" s="987">
        <v>0</v>
      </c>
      <c r="J77" s="987">
        <v>0</v>
      </c>
      <c r="K77" s="987">
        <v>0</v>
      </c>
      <c r="L77" s="987">
        <v>0</v>
      </c>
      <c r="M77" s="987">
        <v>0</v>
      </c>
      <c r="N77" s="987">
        <v>0</v>
      </c>
      <c r="O77" s="987">
        <v>0</v>
      </c>
      <c r="P77" s="987">
        <v>0</v>
      </c>
      <c r="Q77" s="978">
        <v>0</v>
      </c>
      <c r="R77" s="978">
        <v>0</v>
      </c>
      <c r="S77" s="978"/>
      <c r="T77" s="978"/>
      <c r="U77" s="978"/>
      <c r="X77" s="1007"/>
      <c r="Y77" s="1007"/>
      <c r="Z77" s="1007"/>
      <c r="AA77" s="1007"/>
      <c r="AB77" s="971"/>
      <c r="AC77" s="365"/>
      <c r="AD77" s="365"/>
      <c r="AE77" s="365"/>
      <c r="AF77" s="365"/>
      <c r="AG77" s="365"/>
      <c r="AH77" s="365"/>
      <c r="AI77" s="365"/>
      <c r="AJ77" s="365"/>
      <c r="AK77" s="365"/>
      <c r="AL77" s="365"/>
      <c r="AM77" s="365"/>
      <c r="AN77" s="365"/>
      <c r="AO77" s="365"/>
      <c r="AP77" s="365"/>
      <c r="AQ77" s="365"/>
      <c r="AR77" s="365"/>
      <c r="AS77" s="365"/>
      <c r="AT77" s="2520"/>
      <c r="AU77" s="2463"/>
      <c r="AV77" s="2463"/>
      <c r="AW77" s="2463"/>
      <c r="AX77" s="2463"/>
    </row>
    <row r="78" spans="1:54">
      <c r="B78" s="981" t="s">
        <v>2927</v>
      </c>
      <c r="C78" s="981"/>
      <c r="D78" s="978">
        <v>0</v>
      </c>
      <c r="E78" s="978">
        <v>0</v>
      </c>
      <c r="F78" s="987">
        <v>0</v>
      </c>
      <c r="G78" s="987">
        <v>0</v>
      </c>
      <c r="H78" s="987">
        <v>0</v>
      </c>
      <c r="I78" s="987">
        <v>0</v>
      </c>
      <c r="J78" s="987">
        <v>0</v>
      </c>
      <c r="K78" s="987">
        <v>0</v>
      </c>
      <c r="L78" s="987">
        <v>0</v>
      </c>
      <c r="M78" s="987">
        <v>0</v>
      </c>
      <c r="N78" s="987">
        <v>0</v>
      </c>
      <c r="O78" s="987">
        <v>0</v>
      </c>
      <c r="P78" s="987">
        <v>0</v>
      </c>
      <c r="Q78" s="978">
        <v>0</v>
      </c>
      <c r="R78" s="978">
        <v>0</v>
      </c>
      <c r="S78" s="978"/>
      <c r="T78" s="978"/>
      <c r="U78" s="978"/>
      <c r="X78" s="1007"/>
      <c r="Y78" s="1007"/>
      <c r="Z78" s="1007"/>
      <c r="AA78" s="1007"/>
      <c r="AB78" s="971"/>
      <c r="AC78" s="365"/>
      <c r="AD78" s="365"/>
      <c r="AE78" s="365"/>
      <c r="AF78" s="365"/>
      <c r="AG78" s="365"/>
      <c r="AH78" s="365"/>
      <c r="AI78" s="365"/>
      <c r="AJ78" s="365"/>
      <c r="AK78" s="365"/>
      <c r="AL78" s="365"/>
      <c r="AM78" s="365"/>
      <c r="AN78" s="365"/>
      <c r="AO78" s="365"/>
      <c r="AP78" s="365"/>
      <c r="AQ78" s="365"/>
      <c r="AR78" s="365"/>
      <c r="AS78" s="365"/>
      <c r="AT78" s="2520"/>
      <c r="AU78" s="2463"/>
      <c r="AV78" s="2463"/>
      <c r="AW78" s="2463"/>
      <c r="AX78" s="2463"/>
    </row>
    <row r="79" spans="1:54">
      <c r="B79" s="981" t="s">
        <v>2928</v>
      </c>
      <c r="C79" s="981"/>
      <c r="D79" s="978">
        <v>0</v>
      </c>
      <c r="E79" s="978">
        <v>0</v>
      </c>
      <c r="F79" s="987">
        <v>0</v>
      </c>
      <c r="G79" s="987">
        <v>0</v>
      </c>
      <c r="H79" s="987">
        <v>0</v>
      </c>
      <c r="I79" s="987">
        <v>0</v>
      </c>
      <c r="J79" s="987">
        <v>0</v>
      </c>
      <c r="K79" s="987">
        <v>0</v>
      </c>
      <c r="L79" s="987">
        <v>0</v>
      </c>
      <c r="M79" s="987">
        <v>0</v>
      </c>
      <c r="N79" s="987">
        <v>0</v>
      </c>
      <c r="O79" s="987">
        <v>0</v>
      </c>
      <c r="P79" s="987">
        <v>0</v>
      </c>
      <c r="Q79" s="978">
        <v>0</v>
      </c>
      <c r="R79" s="978">
        <v>0</v>
      </c>
      <c r="S79" s="978"/>
      <c r="T79" s="978"/>
      <c r="U79" s="978"/>
      <c r="X79" s="1007"/>
      <c r="Y79" s="1007"/>
      <c r="Z79" s="1007"/>
      <c r="AA79" s="1007"/>
      <c r="AB79" s="971"/>
      <c r="AC79" s="365"/>
      <c r="AD79" s="365"/>
      <c r="AE79" s="365"/>
      <c r="AF79" s="365"/>
      <c r="AG79" s="365"/>
      <c r="AH79" s="365"/>
      <c r="AI79" s="365"/>
      <c r="AJ79" s="365"/>
      <c r="AK79" s="365"/>
      <c r="AL79" s="365"/>
      <c r="AM79" s="365"/>
      <c r="AN79" s="365"/>
      <c r="AO79" s="365"/>
      <c r="AP79" s="365"/>
      <c r="AQ79" s="365"/>
      <c r="AR79" s="365"/>
      <c r="AS79" s="365"/>
      <c r="AT79" s="365"/>
    </row>
    <row r="80" spans="1:54">
      <c r="X80" s="1007"/>
      <c r="Y80" s="1007"/>
      <c r="Z80" s="1007"/>
      <c r="AA80" s="1007"/>
      <c r="AB80" s="971"/>
      <c r="AC80" s="365"/>
      <c r="AD80" s="365"/>
      <c r="AE80" s="365"/>
      <c r="AF80" s="365"/>
      <c r="AG80" s="365"/>
      <c r="AH80" s="365"/>
      <c r="AI80" s="365"/>
      <c r="AJ80" s="365"/>
      <c r="AK80" s="365"/>
      <c r="AL80" s="365"/>
      <c r="AM80" s="365"/>
      <c r="AN80" s="365"/>
      <c r="AO80" s="365"/>
      <c r="AP80" s="365"/>
      <c r="AQ80" s="365"/>
      <c r="AR80" s="365"/>
      <c r="AS80" s="365"/>
      <c r="AT80" s="365"/>
    </row>
    <row r="81" spans="2:46">
      <c r="X81" s="1007"/>
      <c r="Y81" s="1007"/>
      <c r="Z81" s="1007"/>
      <c r="AA81" s="1007"/>
      <c r="AB81" s="971"/>
      <c r="AC81" s="365"/>
      <c r="AD81" s="365"/>
      <c r="AE81" s="365"/>
      <c r="AF81" s="365"/>
      <c r="AG81" s="365"/>
      <c r="AH81" s="365"/>
      <c r="AI81" s="365"/>
      <c r="AJ81" s="365"/>
      <c r="AK81" s="365"/>
      <c r="AL81" s="365"/>
      <c r="AM81" s="365"/>
      <c r="AN81" s="365"/>
      <c r="AO81" s="365"/>
      <c r="AP81" s="365"/>
      <c r="AQ81" s="365"/>
      <c r="AR81" s="365"/>
      <c r="AS81" s="365"/>
      <c r="AT81" s="365"/>
    </row>
    <row r="82" spans="2:46">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c r="AB82" s="971"/>
      <c r="AC82" s="365"/>
      <c r="AD82" s="365"/>
      <c r="AE82" s="365"/>
      <c r="AF82" s="365"/>
      <c r="AG82" s="365"/>
      <c r="AH82" s="365"/>
      <c r="AI82" s="365"/>
      <c r="AJ82" s="365"/>
      <c r="AK82" s="365"/>
      <c r="AL82" s="365"/>
      <c r="AM82" s="365"/>
      <c r="AN82" s="365"/>
      <c r="AO82" s="365"/>
      <c r="AP82" s="365"/>
      <c r="AQ82" s="365"/>
      <c r="AR82" s="365"/>
      <c r="AS82" s="365"/>
      <c r="AT82" s="365"/>
    </row>
    <row r="83" spans="2:46">
      <c r="X83" s="1007"/>
      <c r="Y83" s="1007"/>
      <c r="Z83" s="1007"/>
      <c r="AA83" s="1007"/>
      <c r="AB83" s="971"/>
      <c r="AC83" s="365"/>
      <c r="AD83" s="365"/>
      <c r="AE83" s="365"/>
      <c r="AF83" s="365"/>
      <c r="AG83" s="365"/>
      <c r="AH83" s="365"/>
      <c r="AI83" s="365"/>
      <c r="AJ83" s="365"/>
      <c r="AK83" s="365"/>
      <c r="AL83" s="365"/>
      <c r="AM83" s="365"/>
      <c r="AN83" s="365"/>
      <c r="AO83" s="365"/>
      <c r="AP83" s="365"/>
      <c r="AQ83" s="365"/>
      <c r="AR83" s="365"/>
      <c r="AS83" s="365"/>
      <c r="AT83" s="365"/>
    </row>
    <row r="84" spans="2:46">
      <c r="B84" s="972" t="s">
        <v>875</v>
      </c>
      <c r="D84" s="1000">
        <f t="shared" ref="D84:R84" si="5">D6-D7-D17</f>
        <v>0</v>
      </c>
      <c r="E84" s="1000">
        <f t="shared" si="5"/>
        <v>0</v>
      </c>
      <c r="F84" s="1000">
        <f t="shared" si="5"/>
        <v>0</v>
      </c>
      <c r="G84" s="1000">
        <f t="shared" si="5"/>
        <v>0</v>
      </c>
      <c r="H84" s="1000">
        <f t="shared" si="5"/>
        <v>1.220703125E-4</v>
      </c>
      <c r="I84" s="1000">
        <f t="shared" si="5"/>
        <v>-1000000000</v>
      </c>
      <c r="J84" s="1000">
        <f t="shared" si="5"/>
        <v>1000000000</v>
      </c>
      <c r="K84" s="1000">
        <f t="shared" si="5"/>
        <v>0</v>
      </c>
      <c r="L84" s="1000">
        <f t="shared" si="5"/>
        <v>0</v>
      </c>
      <c r="M84" s="1000">
        <f t="shared" si="5"/>
        <v>-1000000000</v>
      </c>
      <c r="N84" s="1000">
        <f t="shared" si="5"/>
        <v>0</v>
      </c>
      <c r="O84" s="1000">
        <f t="shared" si="5"/>
        <v>0</v>
      </c>
      <c r="P84" s="1000">
        <f t="shared" si="5"/>
        <v>0</v>
      </c>
      <c r="Q84" s="1000">
        <f t="shared" si="5"/>
        <v>0</v>
      </c>
      <c r="R84" s="1000">
        <f t="shared" si="5"/>
        <v>0</v>
      </c>
      <c r="S84" s="1000">
        <f t="shared" ref="S84:Y84" si="6">S6-S7-S17</f>
        <v>0</v>
      </c>
      <c r="T84" s="1000">
        <f t="shared" si="6"/>
        <v>0</v>
      </c>
      <c r="U84" s="1000">
        <f t="shared" si="6"/>
        <v>0</v>
      </c>
      <c r="V84" s="1000">
        <f t="shared" si="6"/>
        <v>0</v>
      </c>
      <c r="W84" s="1000">
        <f t="shared" si="6"/>
        <v>0</v>
      </c>
      <c r="X84" s="1000">
        <f t="shared" si="6"/>
        <v>0</v>
      </c>
      <c r="Y84" s="1000">
        <f t="shared" si="6"/>
        <v>0</v>
      </c>
      <c r="AB84" s="971"/>
      <c r="AC84" s="365"/>
      <c r="AD84" s="365"/>
      <c r="AE84" s="365"/>
      <c r="AF84" s="365"/>
      <c r="AG84" s="365"/>
      <c r="AH84" s="365"/>
      <c r="AI84" s="365"/>
      <c r="AJ84" s="365"/>
      <c r="AK84" s="365"/>
      <c r="AL84" s="365"/>
      <c r="AM84" s="365"/>
      <c r="AN84" s="365"/>
      <c r="AO84" s="365"/>
      <c r="AP84" s="365"/>
      <c r="AQ84" s="365"/>
      <c r="AR84" s="365"/>
      <c r="AS84" s="365"/>
    </row>
    <row r="85" spans="2:46">
      <c r="B85" s="972" t="s">
        <v>141</v>
      </c>
      <c r="D85" s="1000">
        <f t="shared" ref="D85:R85" si="7">D7-D9-D10-D16</f>
        <v>0</v>
      </c>
      <c r="E85" s="1000">
        <f t="shared" si="7"/>
        <v>0</v>
      </c>
      <c r="F85" s="1000">
        <f t="shared" si="7"/>
        <v>0</v>
      </c>
      <c r="G85" s="1000">
        <f t="shared" si="7"/>
        <v>0</v>
      </c>
      <c r="H85" s="1000">
        <f t="shared" si="7"/>
        <v>0</v>
      </c>
      <c r="I85" s="1000">
        <f t="shared" si="7"/>
        <v>0</v>
      </c>
      <c r="J85" s="1000">
        <f t="shared" si="7"/>
        <v>0</v>
      </c>
      <c r="K85" s="1000">
        <f t="shared" si="7"/>
        <v>0</v>
      </c>
      <c r="L85" s="1000">
        <f t="shared" si="7"/>
        <v>0</v>
      </c>
      <c r="M85" s="1000">
        <f t="shared" si="7"/>
        <v>0</v>
      </c>
      <c r="N85" s="1000">
        <f t="shared" si="7"/>
        <v>0</v>
      </c>
      <c r="O85" s="1000">
        <f t="shared" si="7"/>
        <v>0</v>
      </c>
      <c r="P85" s="1000">
        <f t="shared" si="7"/>
        <v>1000000000</v>
      </c>
      <c r="Q85" s="1000">
        <f t="shared" si="7"/>
        <v>0</v>
      </c>
      <c r="R85" s="1000">
        <f t="shared" si="7"/>
        <v>0</v>
      </c>
      <c r="S85" s="1000">
        <f t="shared" ref="S85:Y85" si="8">S7-S9-S10-S16</f>
        <v>0</v>
      </c>
      <c r="T85" s="1000">
        <f t="shared" si="8"/>
        <v>-1000000000</v>
      </c>
      <c r="U85" s="1000">
        <f t="shared" si="8"/>
        <v>0</v>
      </c>
      <c r="V85" s="1000">
        <f t="shared" si="8"/>
        <v>0</v>
      </c>
      <c r="W85" s="1000">
        <f t="shared" si="8"/>
        <v>-1000000000</v>
      </c>
      <c r="X85" s="1000">
        <f t="shared" si="8"/>
        <v>0</v>
      </c>
      <c r="Y85" s="1000">
        <f t="shared" si="8"/>
        <v>0</v>
      </c>
      <c r="Z85" s="1000">
        <f t="shared" ref="Z85:AA85" si="9">Z7-Z9-Z10-Z16</f>
        <v>-1000000000</v>
      </c>
      <c r="AA85" s="1000">
        <f t="shared" si="9"/>
        <v>-1000000000</v>
      </c>
      <c r="AB85" s="971"/>
      <c r="AC85" s="365"/>
      <c r="AD85" s="365"/>
      <c r="AE85" s="365"/>
      <c r="AF85" s="365"/>
      <c r="AG85" s="365"/>
      <c r="AH85" s="365"/>
      <c r="AI85" s="365"/>
      <c r="AJ85" s="365"/>
      <c r="AK85" s="365"/>
      <c r="AL85" s="365"/>
      <c r="AM85" s="365"/>
      <c r="AN85" s="365"/>
      <c r="AO85" s="365"/>
      <c r="AP85" s="365"/>
      <c r="AQ85" s="365"/>
      <c r="AR85" s="365"/>
      <c r="AS85" s="365"/>
    </row>
    <row r="86" spans="2:46">
      <c r="B86" s="972" t="s">
        <v>2471</v>
      </c>
      <c r="D86" s="1000">
        <f>D10-D12-D13</f>
        <v>0</v>
      </c>
      <c r="E86" s="1000">
        <f t="shared" ref="E86:R86" si="10">E10-E12-E13</f>
        <v>-100000000</v>
      </c>
      <c r="F86" s="1000">
        <f t="shared" si="10"/>
        <v>-100000000</v>
      </c>
      <c r="G86" s="1000">
        <f t="shared" si="10"/>
        <v>-100000000</v>
      </c>
      <c r="H86" s="1000">
        <f t="shared" si="10"/>
        <v>100000000</v>
      </c>
      <c r="I86" s="1000">
        <f t="shared" si="10"/>
        <v>0</v>
      </c>
      <c r="J86" s="1000">
        <f t="shared" si="10"/>
        <v>-1000000000</v>
      </c>
      <c r="K86" s="1000">
        <f t="shared" si="10"/>
        <v>0</v>
      </c>
      <c r="L86" s="1000">
        <f t="shared" si="10"/>
        <v>0</v>
      </c>
      <c r="M86" s="1000">
        <f t="shared" si="10"/>
        <v>0</v>
      </c>
      <c r="N86" s="1000">
        <f t="shared" si="10"/>
        <v>-1000000000</v>
      </c>
      <c r="O86" s="1000">
        <f t="shared" si="10"/>
        <v>0</v>
      </c>
      <c r="P86" s="1000">
        <f t="shared" si="10"/>
        <v>0</v>
      </c>
      <c r="Q86" s="1000">
        <f t="shared" si="10"/>
        <v>0</v>
      </c>
      <c r="R86" s="1000">
        <f t="shared" si="10"/>
        <v>0</v>
      </c>
      <c r="S86" s="1000">
        <f t="shared" ref="S86:Y86" si="11">S10-S12-S13</f>
        <v>0</v>
      </c>
      <c r="T86" s="1000">
        <f t="shared" si="11"/>
        <v>0</v>
      </c>
      <c r="U86" s="1000">
        <f t="shared" si="11"/>
        <v>0</v>
      </c>
      <c r="V86" s="1000">
        <f t="shared" si="11"/>
        <v>1000000000</v>
      </c>
      <c r="W86" s="1000">
        <f t="shared" si="11"/>
        <v>0</v>
      </c>
      <c r="X86" s="1000">
        <f t="shared" si="11"/>
        <v>0</v>
      </c>
      <c r="Y86" s="1000">
        <f t="shared" si="11"/>
        <v>0</v>
      </c>
      <c r="Z86" s="1000">
        <f t="shared" ref="Z86:AA86" si="12">Z10-Z12-Z13</f>
        <v>1000000000</v>
      </c>
      <c r="AA86" s="1000">
        <f t="shared" si="12"/>
        <v>0</v>
      </c>
      <c r="AB86" s="971"/>
      <c r="AC86" s="365"/>
      <c r="AD86" s="365"/>
      <c r="AE86" s="365"/>
      <c r="AF86" s="365"/>
      <c r="AG86" s="365"/>
      <c r="AH86" s="365"/>
      <c r="AI86" s="365"/>
      <c r="AJ86" s="365"/>
      <c r="AK86" s="365"/>
      <c r="AL86" s="365"/>
      <c r="AM86" s="365"/>
      <c r="AN86" s="365"/>
      <c r="AO86" s="365"/>
      <c r="AP86" s="365"/>
      <c r="AQ86" s="365"/>
      <c r="AR86" s="365"/>
      <c r="AS86" s="365"/>
    </row>
    <row r="87" spans="2:46">
      <c r="B87" s="972" t="s">
        <v>1129</v>
      </c>
      <c r="D87" s="1000">
        <f>D13-D14-D15</f>
        <v>0</v>
      </c>
      <c r="E87" s="1000">
        <f t="shared" ref="E87:R87" si="13">E13-E14-E15</f>
        <v>0</v>
      </c>
      <c r="F87" s="1000">
        <f t="shared" si="13"/>
        <v>0</v>
      </c>
      <c r="G87" s="1000">
        <f t="shared" si="13"/>
        <v>0</v>
      </c>
      <c r="H87" s="1000">
        <f t="shared" si="13"/>
        <v>0</v>
      </c>
      <c r="I87" s="1000">
        <f t="shared" si="13"/>
        <v>0</v>
      </c>
      <c r="J87" s="1000">
        <f t="shared" si="13"/>
        <v>1000000000</v>
      </c>
      <c r="K87" s="1000">
        <f t="shared" si="13"/>
        <v>0</v>
      </c>
      <c r="L87" s="1000">
        <f t="shared" si="13"/>
        <v>0</v>
      </c>
      <c r="M87" s="1000">
        <f t="shared" si="13"/>
        <v>0</v>
      </c>
      <c r="N87" s="1000">
        <f t="shared" si="13"/>
        <v>1000000000</v>
      </c>
      <c r="O87" s="1000">
        <f t="shared" si="13"/>
        <v>-1000000000</v>
      </c>
      <c r="P87" s="1000">
        <f t="shared" si="13"/>
        <v>0</v>
      </c>
      <c r="Q87" s="1000">
        <f t="shared" si="13"/>
        <v>0</v>
      </c>
      <c r="R87" s="1000">
        <f t="shared" si="13"/>
        <v>0</v>
      </c>
      <c r="S87" s="1000">
        <f t="shared" ref="S87:Y87" si="14">S13-S14-S15</f>
        <v>0</v>
      </c>
      <c r="T87" s="1000">
        <f t="shared" si="14"/>
        <v>0</v>
      </c>
      <c r="U87" s="1000">
        <f t="shared" si="14"/>
        <v>0</v>
      </c>
      <c r="V87" s="1000">
        <f t="shared" si="14"/>
        <v>-1000000000</v>
      </c>
      <c r="W87" s="1000">
        <f t="shared" si="14"/>
        <v>0</v>
      </c>
      <c r="X87" s="1000">
        <f t="shared" si="14"/>
        <v>-1000000000</v>
      </c>
      <c r="Y87" s="1000">
        <f t="shared" si="14"/>
        <v>-1000000000</v>
      </c>
      <c r="Z87" s="1000">
        <f t="shared" ref="Z87:AA87" si="15">Z13-Z14-Z15</f>
        <v>0</v>
      </c>
      <c r="AA87" s="1000">
        <f t="shared" si="15"/>
        <v>0</v>
      </c>
      <c r="AB87" s="971"/>
      <c r="AC87" s="365"/>
      <c r="AD87" s="365"/>
      <c r="AE87" s="365"/>
      <c r="AF87" s="365"/>
      <c r="AG87" s="365"/>
      <c r="AH87" s="365"/>
      <c r="AI87" s="365"/>
      <c r="AJ87" s="365"/>
      <c r="AK87" s="365"/>
      <c r="AL87" s="365"/>
      <c r="AM87" s="365"/>
      <c r="AN87" s="365"/>
      <c r="AO87" s="365"/>
      <c r="AP87" s="365"/>
      <c r="AQ87" s="365"/>
      <c r="AR87" s="365"/>
      <c r="AS87" s="365"/>
    </row>
    <row r="88" spans="2:46">
      <c r="B88" s="972" t="s">
        <v>2929</v>
      </c>
      <c r="D88" s="1372">
        <f>D17-D18-D19-D23</f>
        <v>125300000000</v>
      </c>
      <c r="E88" s="1372">
        <f>E17-E18-E19-E23</f>
        <v>202800000000</v>
      </c>
      <c r="F88" s="1372">
        <f>F17-F18-F19-F23</f>
        <v>113000000000</v>
      </c>
      <c r="G88" s="1372">
        <f>G17-G18-G19-G23</f>
        <v>198600000000</v>
      </c>
      <c r="H88" s="1372">
        <f>H17-H18-H19-H23</f>
        <v>91400000000</v>
      </c>
      <c r="I88" s="1000">
        <f>I17-I18-I19-I23-I21</f>
        <v>-1000000000</v>
      </c>
      <c r="J88" s="1000">
        <f>J17-J18-J19-J23-J21</f>
        <v>0</v>
      </c>
      <c r="K88" s="1000">
        <f>K17-K18-K19-K23-K21</f>
        <v>0</v>
      </c>
      <c r="L88" s="1000">
        <f t="shared" ref="L88:R88" si="16">L17-L18-L19-L23</f>
        <v>0</v>
      </c>
      <c r="M88" s="1000">
        <f t="shared" si="16"/>
        <v>0</v>
      </c>
      <c r="N88" s="1000">
        <f t="shared" si="16"/>
        <v>0</v>
      </c>
      <c r="O88" s="1000">
        <f t="shared" si="16"/>
        <v>0</v>
      </c>
      <c r="P88" s="1000">
        <f t="shared" si="16"/>
        <v>0</v>
      </c>
      <c r="Q88" s="1000">
        <f t="shared" si="16"/>
        <v>0</v>
      </c>
      <c r="R88" s="1000">
        <f t="shared" si="16"/>
        <v>1000000000</v>
      </c>
      <c r="S88" s="1000">
        <f>S17-S18-S19-S23-S20-S21-S22</f>
        <v>0</v>
      </c>
      <c r="T88" s="1000">
        <f t="shared" ref="T88:Y88" si="17">T17-T18-T19-T23-T20-T21-T22</f>
        <v>0</v>
      </c>
      <c r="U88" s="1000">
        <f t="shared" si="17"/>
        <v>0</v>
      </c>
      <c r="V88" s="1000">
        <f t="shared" si="17"/>
        <v>0</v>
      </c>
      <c r="W88" s="1000">
        <f t="shared" si="17"/>
        <v>0</v>
      </c>
      <c r="X88" s="1000">
        <f t="shared" si="17"/>
        <v>0</v>
      </c>
      <c r="Y88" s="1000">
        <f t="shared" si="17"/>
        <v>0</v>
      </c>
      <c r="Z88" s="1000">
        <f t="shared" ref="Z88:AA88" si="18">Z17-Z18-Z19-Z23-Z20-Z21-Z22</f>
        <v>0</v>
      </c>
      <c r="AA88" s="1000">
        <f t="shared" si="18"/>
        <v>0</v>
      </c>
      <c r="AB88" s="971"/>
      <c r="AC88" s="365"/>
      <c r="AD88" s="365"/>
      <c r="AE88" s="365"/>
      <c r="AF88" s="365"/>
      <c r="AG88" s="365"/>
      <c r="AH88" s="365"/>
      <c r="AI88" s="365"/>
      <c r="AJ88" s="365"/>
      <c r="AK88" s="365"/>
      <c r="AL88" s="365"/>
      <c r="AM88" s="365"/>
      <c r="AN88" s="365"/>
      <c r="AO88" s="365"/>
      <c r="AP88" s="365"/>
      <c r="AQ88" s="365"/>
      <c r="AR88" s="365"/>
      <c r="AS88" s="365"/>
    </row>
    <row r="89" spans="2:46">
      <c r="B89" s="972" t="s">
        <v>1207</v>
      </c>
      <c r="D89" s="1000">
        <f>D25-D26-D35-D42-D41</f>
        <v>0</v>
      </c>
      <c r="E89" s="1000">
        <f t="shared" ref="E89:R89" si="19">E25-E26-E35-E42-E41</f>
        <v>0</v>
      </c>
      <c r="F89" s="1000">
        <f t="shared" si="19"/>
        <v>0</v>
      </c>
      <c r="G89" s="1000">
        <f t="shared" si="19"/>
        <v>0</v>
      </c>
      <c r="H89" s="1000">
        <f t="shared" si="19"/>
        <v>0</v>
      </c>
      <c r="I89" s="1000">
        <f t="shared" si="19"/>
        <v>0</v>
      </c>
      <c r="J89" s="1000">
        <f t="shared" si="19"/>
        <v>0</v>
      </c>
      <c r="K89" s="1000">
        <f t="shared" si="19"/>
        <v>0</v>
      </c>
      <c r="L89" s="1000">
        <f t="shared" si="19"/>
        <v>0</v>
      </c>
      <c r="M89" s="1000">
        <f t="shared" si="19"/>
        <v>0</v>
      </c>
      <c r="N89" s="1000">
        <f t="shared" si="19"/>
        <v>0</v>
      </c>
      <c r="O89" s="1000">
        <f t="shared" si="19"/>
        <v>0</v>
      </c>
      <c r="P89" s="1000">
        <f t="shared" si="19"/>
        <v>0</v>
      </c>
      <c r="Q89" s="1000">
        <f t="shared" si="19"/>
        <v>0</v>
      </c>
      <c r="R89" s="1000">
        <f t="shared" si="19"/>
        <v>0</v>
      </c>
      <c r="S89" s="1000">
        <f t="shared" ref="S89:Y89" si="20">S25-S26-S35-S42-S41</f>
        <v>0</v>
      </c>
      <c r="T89" s="1000">
        <f t="shared" si="20"/>
        <v>0</v>
      </c>
      <c r="U89" s="1000">
        <f t="shared" si="20"/>
        <v>0</v>
      </c>
      <c r="V89" s="1000">
        <f t="shared" si="20"/>
        <v>0</v>
      </c>
      <c r="W89" s="1000">
        <f t="shared" si="20"/>
        <v>-1000000000</v>
      </c>
      <c r="X89" s="1000">
        <f t="shared" si="20"/>
        <v>-1000000000</v>
      </c>
      <c r="Y89" s="1000">
        <f t="shared" si="20"/>
        <v>-1000000000</v>
      </c>
      <c r="Z89" s="1000">
        <f t="shared" ref="Z89:AA89" si="21">Z25-Z26-Z35-Z42-Z41</f>
        <v>0</v>
      </c>
      <c r="AA89" s="1000">
        <f t="shared" si="21"/>
        <v>0</v>
      </c>
      <c r="AB89" s="971"/>
      <c r="AC89" s="365"/>
      <c r="AD89" s="365"/>
      <c r="AE89" s="365"/>
      <c r="AF89" s="365"/>
      <c r="AG89" s="365"/>
      <c r="AH89" s="365"/>
      <c r="AI89" s="365"/>
      <c r="AJ89" s="365"/>
      <c r="AK89" s="365"/>
      <c r="AL89" s="365"/>
      <c r="AM89" s="365"/>
      <c r="AN89" s="365"/>
      <c r="AO89" s="365"/>
      <c r="AP89" s="365"/>
      <c r="AQ89" s="365"/>
      <c r="AR89" s="365"/>
      <c r="AS89" s="365"/>
    </row>
    <row r="90" spans="2:46">
      <c r="B90" s="972" t="s">
        <v>2930</v>
      </c>
      <c r="D90" s="1000">
        <f>D26-D28-D29-D30-D31-D32</f>
        <v>0</v>
      </c>
      <c r="E90" s="1000">
        <f t="shared" ref="E90:R90" si="22">E26-E28-E29-E30-E31-E32</f>
        <v>0</v>
      </c>
      <c r="F90" s="1000">
        <f t="shared" si="22"/>
        <v>0</v>
      </c>
      <c r="G90" s="1000">
        <f t="shared" si="22"/>
        <v>100000000</v>
      </c>
      <c r="H90" s="1000">
        <f t="shared" si="22"/>
        <v>100000000.00003052</v>
      </c>
      <c r="I90" s="1000">
        <f t="shared" si="22"/>
        <v>-1000000000</v>
      </c>
      <c r="J90" s="1000">
        <f t="shared" si="22"/>
        <v>1000000000</v>
      </c>
      <c r="K90" s="1000">
        <f t="shared" si="22"/>
        <v>0</v>
      </c>
      <c r="L90" s="1000">
        <f t="shared" si="22"/>
        <v>1000000000</v>
      </c>
      <c r="M90" s="1000">
        <f t="shared" si="22"/>
        <v>-1000000000</v>
      </c>
      <c r="N90" s="1000">
        <f t="shared" si="22"/>
        <v>0</v>
      </c>
      <c r="O90" s="1000">
        <f t="shared" si="22"/>
        <v>0</v>
      </c>
      <c r="P90" s="1000">
        <f t="shared" si="22"/>
        <v>-1000000000</v>
      </c>
      <c r="Q90" s="1000">
        <f t="shared" si="22"/>
        <v>0</v>
      </c>
      <c r="R90" s="1000">
        <f t="shared" si="22"/>
        <v>1000000000</v>
      </c>
      <c r="S90" s="1000">
        <f t="shared" ref="S90:Y90" si="23">S26-S28-S29-S30-S31-S32</f>
        <v>0</v>
      </c>
      <c r="T90" s="1000">
        <f t="shared" si="23"/>
        <v>0</v>
      </c>
      <c r="U90" s="1000">
        <f t="shared" si="23"/>
        <v>0</v>
      </c>
      <c r="V90" s="1000">
        <f t="shared" si="23"/>
        <v>1000000000</v>
      </c>
      <c r="W90" s="1000">
        <f t="shared" si="23"/>
        <v>1000000000</v>
      </c>
      <c r="X90" s="1000">
        <f t="shared" si="23"/>
        <v>0</v>
      </c>
      <c r="Y90" s="1000">
        <f t="shared" si="23"/>
        <v>0</v>
      </c>
      <c r="Z90" s="1000">
        <f t="shared" ref="Z90:AA90" si="24">Z26-Z28-Z29-Z30-Z31-Z32</f>
        <v>0</v>
      </c>
      <c r="AA90" s="1000">
        <f t="shared" si="24"/>
        <v>0</v>
      </c>
      <c r="AB90" s="971"/>
      <c r="AC90" s="365"/>
      <c r="AD90" s="365"/>
      <c r="AE90" s="365"/>
      <c r="AF90" s="365"/>
      <c r="AG90" s="365"/>
      <c r="AH90" s="365"/>
      <c r="AI90" s="365"/>
      <c r="AJ90" s="365"/>
      <c r="AK90" s="365"/>
      <c r="AL90" s="365"/>
      <c r="AM90" s="365"/>
      <c r="AN90" s="365"/>
      <c r="AO90" s="365"/>
      <c r="AP90" s="365"/>
      <c r="AQ90" s="365"/>
      <c r="AR90" s="365"/>
      <c r="AS90" s="365"/>
    </row>
    <row r="91" spans="2:46">
      <c r="B91" s="972" t="s">
        <v>291</v>
      </c>
      <c r="D91" s="1000">
        <f>D32-D33-D34</f>
        <v>0</v>
      </c>
      <c r="E91" s="1000">
        <f t="shared" ref="E91:R91" si="25">E32-E33-E34</f>
        <v>0</v>
      </c>
      <c r="F91" s="1000">
        <f t="shared" si="25"/>
        <v>0</v>
      </c>
      <c r="G91" s="1000">
        <f t="shared" si="25"/>
        <v>0</v>
      </c>
      <c r="H91" s="1000">
        <f t="shared" si="25"/>
        <v>0</v>
      </c>
      <c r="I91" s="1000">
        <f t="shared" si="25"/>
        <v>0</v>
      </c>
      <c r="J91" s="1000">
        <f t="shared" si="25"/>
        <v>-1000000000</v>
      </c>
      <c r="K91" s="1000">
        <f t="shared" si="25"/>
        <v>0</v>
      </c>
      <c r="L91" s="1000">
        <f t="shared" si="25"/>
        <v>0</v>
      </c>
      <c r="M91" s="1000">
        <f t="shared" si="25"/>
        <v>0</v>
      </c>
      <c r="N91" s="1000">
        <f t="shared" si="25"/>
        <v>0</v>
      </c>
      <c r="O91" s="1000">
        <f t="shared" si="25"/>
        <v>1000000000</v>
      </c>
      <c r="P91" s="1000">
        <f t="shared" si="25"/>
        <v>1000000000</v>
      </c>
      <c r="Q91" s="1000">
        <f t="shared" si="25"/>
        <v>0</v>
      </c>
      <c r="R91" s="1000">
        <f t="shared" si="25"/>
        <v>-1000000000</v>
      </c>
      <c r="S91" s="1000">
        <f t="shared" ref="S91:Y91" si="26">S32-S33-S34</f>
        <v>0</v>
      </c>
      <c r="T91" s="1000">
        <f t="shared" si="26"/>
        <v>0</v>
      </c>
      <c r="U91" s="1000">
        <f t="shared" si="26"/>
        <v>-1000000000</v>
      </c>
      <c r="V91" s="1000">
        <f t="shared" si="26"/>
        <v>0</v>
      </c>
      <c r="W91" s="1000">
        <f t="shared" si="26"/>
        <v>0</v>
      </c>
      <c r="X91" s="1000">
        <f t="shared" si="26"/>
        <v>0</v>
      </c>
      <c r="Y91" s="1000">
        <f t="shared" si="26"/>
        <v>0</v>
      </c>
      <c r="Z91" s="1000">
        <f t="shared" ref="Z91:AA91" si="27">Z32-Z33-Z34</f>
        <v>-1000000000</v>
      </c>
      <c r="AA91" s="1000">
        <f t="shared" si="27"/>
        <v>0</v>
      </c>
      <c r="AB91" s="971"/>
      <c r="AC91" s="365"/>
      <c r="AD91" s="365"/>
      <c r="AE91" s="365"/>
      <c r="AF91" s="365"/>
      <c r="AG91" s="365"/>
      <c r="AH91" s="365"/>
      <c r="AI91" s="365"/>
      <c r="AJ91" s="365"/>
      <c r="AK91" s="365"/>
      <c r="AL91" s="365"/>
      <c r="AM91" s="365"/>
      <c r="AN91" s="365"/>
      <c r="AO91" s="365"/>
      <c r="AP91" s="365"/>
      <c r="AQ91" s="365"/>
      <c r="AR91" s="365"/>
      <c r="AS91" s="365"/>
    </row>
    <row r="92" spans="2:46">
      <c r="B92" s="972" t="s">
        <v>2931</v>
      </c>
      <c r="D92" s="1000">
        <f t="shared" ref="D92:R92" si="28">D35-D36-D39-D40</f>
        <v>0</v>
      </c>
      <c r="E92" s="1000">
        <f t="shared" si="28"/>
        <v>0</v>
      </c>
      <c r="F92" s="1000">
        <f t="shared" si="28"/>
        <v>0</v>
      </c>
      <c r="G92" s="1000">
        <f t="shared" si="28"/>
        <v>0</v>
      </c>
      <c r="H92" s="1000">
        <f t="shared" si="28"/>
        <v>0</v>
      </c>
      <c r="I92" s="1000">
        <f t="shared" si="28"/>
        <v>0</v>
      </c>
      <c r="J92" s="1000">
        <f t="shared" si="28"/>
        <v>0</v>
      </c>
      <c r="K92" s="1000">
        <f t="shared" si="28"/>
        <v>0</v>
      </c>
      <c r="L92" s="1000">
        <f t="shared" si="28"/>
        <v>0</v>
      </c>
      <c r="M92" s="1000">
        <f t="shared" si="28"/>
        <v>0</v>
      </c>
      <c r="N92" s="1000">
        <f t="shared" si="28"/>
        <v>0</v>
      </c>
      <c r="O92" s="1000">
        <f t="shared" si="28"/>
        <v>0</v>
      </c>
      <c r="P92" s="1000">
        <f t="shared" si="28"/>
        <v>0</v>
      </c>
      <c r="Q92" s="1000">
        <f t="shared" si="28"/>
        <v>1000000000</v>
      </c>
      <c r="R92" s="1000">
        <f t="shared" si="28"/>
        <v>-1000000000</v>
      </c>
      <c r="S92" s="1000">
        <f t="shared" ref="S92:Y92" si="29">S35-S36-S39-S40</f>
        <v>0</v>
      </c>
      <c r="T92" s="1000">
        <f t="shared" si="29"/>
        <v>0</v>
      </c>
      <c r="U92" s="1000">
        <f t="shared" si="29"/>
        <v>0</v>
      </c>
      <c r="V92" s="1000">
        <f t="shared" si="29"/>
        <v>0</v>
      </c>
      <c r="W92" s="1000">
        <f t="shared" si="29"/>
        <v>1000000000</v>
      </c>
      <c r="X92" s="1000">
        <f t="shared" si="29"/>
        <v>0</v>
      </c>
      <c r="Y92" s="1000">
        <f t="shared" si="29"/>
        <v>0</v>
      </c>
      <c r="Z92" s="1000">
        <f t="shared" ref="Z92:AA92" si="30">Z35-Z36-Z39-Z40</f>
        <v>0</v>
      </c>
      <c r="AA92" s="1000">
        <f t="shared" si="30"/>
        <v>0</v>
      </c>
      <c r="AB92" s="971"/>
      <c r="AC92" s="365"/>
      <c r="AD92" s="365"/>
      <c r="AE92" s="365"/>
      <c r="AF92" s="365"/>
      <c r="AG92" s="365"/>
      <c r="AH92" s="365"/>
      <c r="AI92" s="365"/>
      <c r="AJ92" s="365"/>
      <c r="AK92" s="365"/>
      <c r="AL92" s="365"/>
      <c r="AM92" s="365"/>
      <c r="AN92" s="365"/>
      <c r="AO92" s="365"/>
      <c r="AP92" s="365"/>
      <c r="AQ92" s="365"/>
      <c r="AR92" s="365"/>
      <c r="AS92" s="365"/>
    </row>
    <row r="93" spans="2:46">
      <c r="B93" s="972" t="s">
        <v>2932</v>
      </c>
      <c r="D93" s="1002">
        <f>D51-D52-D55</f>
        <v>0</v>
      </c>
      <c r="E93" s="1002">
        <f>E51-E52-E55</f>
        <v>0</v>
      </c>
      <c r="F93" s="1002">
        <f>F51-F52-F55</f>
        <v>3.0517578125E-5</v>
      </c>
      <c r="G93" s="1002">
        <f>G51-G52-G55</f>
        <v>0</v>
      </c>
      <c r="H93" s="1002">
        <f>H51-H52-H55</f>
        <v>0</v>
      </c>
      <c r="I93" s="1002">
        <f t="shared" ref="I93:R93" si="31">I51-I52-I55</f>
        <v>0</v>
      </c>
      <c r="J93" s="1002">
        <f t="shared" si="31"/>
        <v>0</v>
      </c>
      <c r="K93" s="1002">
        <f t="shared" si="31"/>
        <v>0</v>
      </c>
      <c r="L93" s="1002">
        <f t="shared" si="31"/>
        <v>0</v>
      </c>
      <c r="M93" s="1002">
        <f t="shared" si="31"/>
        <v>0</v>
      </c>
      <c r="N93" s="1002">
        <f t="shared" si="31"/>
        <v>0</v>
      </c>
      <c r="O93" s="1002">
        <f t="shared" si="31"/>
        <v>-1000000000</v>
      </c>
      <c r="P93" s="1002">
        <f t="shared" si="31"/>
        <v>-1000000000</v>
      </c>
      <c r="Q93" s="1002">
        <f t="shared" si="31"/>
        <v>0</v>
      </c>
      <c r="R93" s="1002">
        <f t="shared" si="31"/>
        <v>1000000000</v>
      </c>
      <c r="S93" s="1002">
        <f t="shared" ref="S93:Y93" si="32">S51-S52-S55</f>
        <v>0</v>
      </c>
      <c r="T93" s="1002">
        <f t="shared" si="32"/>
        <v>0</v>
      </c>
      <c r="U93" s="1002">
        <f t="shared" si="32"/>
        <v>0</v>
      </c>
      <c r="V93" s="1002">
        <f t="shared" si="32"/>
        <v>-479000000000</v>
      </c>
      <c r="W93" s="1002">
        <f t="shared" si="32"/>
        <v>-306000000000</v>
      </c>
      <c r="X93" s="1002">
        <f t="shared" si="32"/>
        <v>-290000000000</v>
      </c>
      <c r="Y93" s="1002">
        <f t="shared" si="32"/>
        <v>-258000000000</v>
      </c>
      <c r="Z93" s="1002">
        <f t="shared" ref="Z93:AA93" si="33">Z51-Z52-Z55</f>
        <v>-348000000000</v>
      </c>
      <c r="AA93" s="1002">
        <f t="shared" si="33"/>
        <v>-369000000000</v>
      </c>
      <c r="AB93" s="971"/>
      <c r="AC93" s="365"/>
      <c r="AD93" s="365"/>
      <c r="AE93" s="365"/>
      <c r="AF93" s="365"/>
      <c r="AG93" s="365"/>
      <c r="AH93" s="365"/>
      <c r="AI93" s="365"/>
      <c r="AJ93" s="365"/>
      <c r="AK93" s="365"/>
      <c r="AL93" s="365"/>
      <c r="AM93" s="365"/>
      <c r="AN93" s="365"/>
      <c r="AO93" s="365"/>
      <c r="AP93" s="365"/>
      <c r="AQ93" s="365"/>
      <c r="AR93" s="365"/>
      <c r="AS93" s="365"/>
    </row>
    <row r="94" spans="2:46">
      <c r="B94" s="972" t="s">
        <v>148</v>
      </c>
      <c r="C94" s="1000"/>
      <c r="D94" s="1000">
        <f t="shared" ref="D94:O94" si="34">D50-D51-D62</f>
        <v>0</v>
      </c>
      <c r="E94" s="1000">
        <f t="shared" si="34"/>
        <v>100000000.00003052</v>
      </c>
      <c r="F94" s="1000">
        <f t="shared" si="34"/>
        <v>0</v>
      </c>
      <c r="G94" s="1000">
        <f t="shared" si="34"/>
        <v>0</v>
      </c>
      <c r="H94" s="1000">
        <f t="shared" si="34"/>
        <v>0</v>
      </c>
      <c r="I94" s="1000">
        <f t="shared" si="34"/>
        <v>0</v>
      </c>
      <c r="J94" s="1000">
        <f t="shared" si="34"/>
        <v>0</v>
      </c>
      <c r="K94" s="1000">
        <f t="shared" si="34"/>
        <v>0</v>
      </c>
      <c r="L94" s="1000">
        <f t="shared" si="34"/>
        <v>-1000000000</v>
      </c>
      <c r="M94" s="1000">
        <f t="shared" si="34"/>
        <v>0</v>
      </c>
      <c r="N94" s="1000">
        <f t="shared" si="34"/>
        <v>0</v>
      </c>
      <c r="O94" s="1000">
        <f t="shared" si="34"/>
        <v>0</v>
      </c>
      <c r="P94" s="1000">
        <f t="shared" ref="P94:R94" si="35">P50-P51-P62</f>
        <v>0</v>
      </c>
      <c r="Q94" s="1000">
        <f t="shared" si="35"/>
        <v>-1000000000</v>
      </c>
      <c r="R94" s="1000">
        <f t="shared" si="35"/>
        <v>-1000000000</v>
      </c>
      <c r="S94" s="1000">
        <f t="shared" ref="S94:Y94" si="36">S50-S51-S62</f>
        <v>0</v>
      </c>
      <c r="T94" s="1000">
        <f t="shared" si="36"/>
        <v>0</v>
      </c>
      <c r="U94" s="1000">
        <f t="shared" si="36"/>
        <v>-1000000000</v>
      </c>
      <c r="V94" s="1000">
        <f t="shared" si="36"/>
        <v>0</v>
      </c>
      <c r="W94" s="1000">
        <f t="shared" si="36"/>
        <v>0</v>
      </c>
      <c r="X94" s="1000">
        <f t="shared" si="36"/>
        <v>0</v>
      </c>
      <c r="Y94" s="1000">
        <f t="shared" si="36"/>
        <v>0</v>
      </c>
      <c r="Z94" s="1000">
        <f t="shared" ref="Z94:AA94" si="37">Z50-Z51-Z62</f>
        <v>1000000000</v>
      </c>
      <c r="AA94" s="1000">
        <f t="shared" si="37"/>
        <v>1000000000</v>
      </c>
    </row>
    <row r="95" spans="2:46">
      <c r="B95" s="972" t="s">
        <v>2933</v>
      </c>
      <c r="C95" s="1000"/>
      <c r="D95" s="1000">
        <f>D63-D64-D65-D66</f>
        <v>0</v>
      </c>
      <c r="E95" s="1000">
        <f t="shared" ref="E95:R95" si="38">E63-E64-E65-E66</f>
        <v>0</v>
      </c>
      <c r="F95" s="1000">
        <f t="shared" si="38"/>
        <v>0</v>
      </c>
      <c r="G95" s="1000">
        <f t="shared" si="38"/>
        <v>-100000000</v>
      </c>
      <c r="H95" s="1000">
        <f t="shared" si="38"/>
        <v>0</v>
      </c>
      <c r="I95" s="1372">
        <f>I63-I64-I65-I66</f>
        <v>273000000000</v>
      </c>
      <c r="J95" s="1372">
        <f t="shared" si="38"/>
        <v>248000000000</v>
      </c>
      <c r="K95" s="1372">
        <f t="shared" si="38"/>
        <v>262000000000</v>
      </c>
      <c r="L95" s="1372">
        <f t="shared" si="38"/>
        <v>333000000000</v>
      </c>
      <c r="M95" s="1372">
        <f t="shared" si="38"/>
        <v>204000000000</v>
      </c>
      <c r="N95" s="1000">
        <f t="shared" si="38"/>
        <v>0</v>
      </c>
      <c r="O95" s="1000">
        <f t="shared" si="38"/>
        <v>0</v>
      </c>
      <c r="P95" s="1000">
        <f t="shared" si="38"/>
        <v>0</v>
      </c>
      <c r="Q95" s="1000">
        <f t="shared" si="38"/>
        <v>-1000000000</v>
      </c>
      <c r="R95" s="1000">
        <f t="shared" si="38"/>
        <v>0</v>
      </c>
      <c r="S95" s="1000">
        <f t="shared" ref="S95:Y95" si="39">S63-S64-S65-S66</f>
        <v>0</v>
      </c>
      <c r="T95" s="1000">
        <f t="shared" si="39"/>
        <v>0</v>
      </c>
      <c r="U95" s="1000">
        <f t="shared" si="39"/>
        <v>0</v>
      </c>
      <c r="V95" s="1000">
        <f t="shared" si="39"/>
        <v>0</v>
      </c>
      <c r="W95" s="1000">
        <f t="shared" si="39"/>
        <v>0</v>
      </c>
      <c r="X95" s="1000">
        <f t="shared" si="39"/>
        <v>0</v>
      </c>
      <c r="Y95" s="1000">
        <f t="shared" si="39"/>
        <v>0</v>
      </c>
      <c r="Z95" s="1000">
        <f t="shared" ref="Z95:AA95" si="40">Z63-Z64-Z65-Z66</f>
        <v>0</v>
      </c>
      <c r="AA95" s="1000">
        <f t="shared" si="40"/>
        <v>0</v>
      </c>
    </row>
    <row r="96" spans="2:46" ht="14.25" customHeight="1">
      <c r="B96" s="972" t="s">
        <v>2934</v>
      </c>
      <c r="D96" s="1000">
        <f t="shared" ref="D96:R96" si="41">D63+D67+D68-D62+D69+D73+D72</f>
        <v>0</v>
      </c>
      <c r="E96" s="1000">
        <f t="shared" si="41"/>
        <v>0</v>
      </c>
      <c r="F96" s="1000">
        <f t="shared" si="41"/>
        <v>-100000000</v>
      </c>
      <c r="G96" s="1000">
        <f t="shared" si="41"/>
        <v>0</v>
      </c>
      <c r="H96" s="1000">
        <f>H63+H67+H68-H62+H69+H73+H72</f>
        <v>0</v>
      </c>
      <c r="I96" s="1000">
        <f t="shared" si="41"/>
        <v>-1000000000</v>
      </c>
      <c r="J96" s="1000">
        <f t="shared" si="41"/>
        <v>0</v>
      </c>
      <c r="K96" s="1000">
        <f t="shared" si="41"/>
        <v>0</v>
      </c>
      <c r="L96" s="1000">
        <f t="shared" si="41"/>
        <v>-1000000000</v>
      </c>
      <c r="M96" s="1000">
        <f t="shared" si="41"/>
        <v>0</v>
      </c>
      <c r="N96" s="1000">
        <f t="shared" si="41"/>
        <v>1000000000</v>
      </c>
      <c r="O96" s="1000">
        <f t="shared" si="41"/>
        <v>0</v>
      </c>
      <c r="P96" s="1000">
        <f t="shared" si="41"/>
        <v>0</v>
      </c>
      <c r="Q96" s="1000">
        <f t="shared" si="41"/>
        <v>0</v>
      </c>
      <c r="R96" s="1000">
        <f t="shared" si="41"/>
        <v>-1000000000</v>
      </c>
      <c r="S96" s="1000">
        <f>S63+S67+S68-S62+S69+S73+S72+S70+S71</f>
        <v>0</v>
      </c>
      <c r="T96" s="1000">
        <f t="shared" ref="T96:Y96" si="42">T63+T67+T68-T62+T69+T73+T72+T70+T71</f>
        <v>0</v>
      </c>
      <c r="U96" s="1000">
        <f t="shared" si="42"/>
        <v>0</v>
      </c>
      <c r="V96" s="1000">
        <f t="shared" si="42"/>
        <v>1000000000</v>
      </c>
      <c r="W96" s="1000">
        <f t="shared" si="42"/>
        <v>0</v>
      </c>
      <c r="X96" s="1000">
        <f t="shared" si="42"/>
        <v>0</v>
      </c>
      <c r="Y96" s="1000">
        <f t="shared" si="42"/>
        <v>0</v>
      </c>
      <c r="Z96" s="1000">
        <f t="shared" ref="Z96:AA96" si="43">Z63+Z67+Z68-Z62+Z69+Z73+Z72+Z70+Z71</f>
        <v>0</v>
      </c>
      <c r="AA96" s="1000">
        <f t="shared" si="43"/>
        <v>0</v>
      </c>
    </row>
    <row r="97" spans="2:27">
      <c r="B97" s="972" t="s">
        <v>362</v>
      </c>
      <c r="D97" s="995">
        <f>D51-D52-D55</f>
        <v>0</v>
      </c>
      <c r="E97" s="995">
        <f t="shared" ref="E97:R97" si="44">E51-E52-E55</f>
        <v>0</v>
      </c>
      <c r="F97" s="995">
        <f t="shared" si="44"/>
        <v>3.0517578125E-5</v>
      </c>
      <c r="G97" s="995">
        <f t="shared" si="44"/>
        <v>0</v>
      </c>
      <c r="H97" s="995">
        <f t="shared" si="44"/>
        <v>0</v>
      </c>
      <c r="I97" s="995">
        <f t="shared" si="44"/>
        <v>0</v>
      </c>
      <c r="J97" s="995">
        <f t="shared" si="44"/>
        <v>0</v>
      </c>
      <c r="K97" s="995">
        <f t="shared" si="44"/>
        <v>0</v>
      </c>
      <c r="L97" s="995">
        <f t="shared" si="44"/>
        <v>0</v>
      </c>
      <c r="M97" s="995">
        <f t="shared" si="44"/>
        <v>0</v>
      </c>
      <c r="N97" s="995">
        <f t="shared" si="44"/>
        <v>0</v>
      </c>
      <c r="O97" s="995">
        <f t="shared" si="44"/>
        <v>-1000000000</v>
      </c>
      <c r="P97" s="995">
        <f t="shared" si="44"/>
        <v>-1000000000</v>
      </c>
      <c r="Q97" s="995">
        <f t="shared" si="44"/>
        <v>0</v>
      </c>
      <c r="R97" s="995">
        <f t="shared" si="44"/>
        <v>1000000000</v>
      </c>
      <c r="S97" s="995">
        <f t="shared" ref="S97:Y97" si="45">S51-S52-S55</f>
        <v>0</v>
      </c>
      <c r="T97" s="995">
        <f t="shared" si="45"/>
        <v>0</v>
      </c>
      <c r="U97" s="995">
        <f t="shared" si="45"/>
        <v>0</v>
      </c>
      <c r="V97" s="995">
        <f t="shared" si="45"/>
        <v>-479000000000</v>
      </c>
      <c r="W97" s="995">
        <f t="shared" si="45"/>
        <v>-306000000000</v>
      </c>
      <c r="X97" s="995">
        <f t="shared" si="45"/>
        <v>-290000000000</v>
      </c>
      <c r="Y97" s="995">
        <f t="shared" si="45"/>
        <v>-258000000000</v>
      </c>
      <c r="Z97" s="995">
        <f t="shared" ref="Z97:AA97" si="46">Z51-Z52-Z55</f>
        <v>-348000000000</v>
      </c>
      <c r="AA97" s="995">
        <f t="shared" si="46"/>
        <v>-369000000000</v>
      </c>
    </row>
    <row r="98" spans="2:27">
      <c r="D98" s="995"/>
    </row>
    <row r="99" spans="2:27">
      <c r="B99" s="972" t="s">
        <v>150</v>
      </c>
      <c r="D99" s="1005">
        <v>5436893000000</v>
      </c>
      <c r="E99" s="1005">
        <v>5919671000000</v>
      </c>
      <c r="F99" s="1005">
        <v>6340315000000</v>
      </c>
      <c r="G99" s="1005">
        <v>6840950000000</v>
      </c>
      <c r="H99" s="1005">
        <v>8157718000000</v>
      </c>
      <c r="I99" s="1005">
        <v>10703668000000</v>
      </c>
      <c r="J99" s="1005">
        <v>15094205000000</v>
      </c>
      <c r="K99" s="1005">
        <v>17354234000000</v>
      </c>
      <c r="L99" s="1005">
        <v>20780430000000</v>
      </c>
      <c r="M99" s="1005">
        <v>22132627000000</v>
      </c>
      <c r="N99" s="1005">
        <v>27118423000000</v>
      </c>
      <c r="O99" s="1005">
        <v>33739492000000</v>
      </c>
      <c r="P99" s="1005">
        <v>39590739000000</v>
      </c>
      <c r="Q99" s="1005">
        <v>43048165000000</v>
      </c>
      <c r="R99" s="1005">
        <v>47387699000000</v>
      </c>
      <c r="S99" s="1005">
        <v>65627000000000</v>
      </c>
      <c r="T99" s="1005">
        <v>75943000000000</v>
      </c>
      <c r="U99" s="1005">
        <v>87355000000000</v>
      </c>
      <c r="V99" s="1005">
        <v>99558000000000</v>
      </c>
      <c r="W99" s="1005">
        <v>113630000000000</v>
      </c>
      <c r="X99" s="972">
        <v>129548000000000</v>
      </c>
      <c r="Y99" s="972">
        <v>147593000000000</v>
      </c>
      <c r="Z99" s="972">
        <v>147593000000001</v>
      </c>
      <c r="AA99" s="972">
        <v>147593000000002</v>
      </c>
    </row>
    <row r="100" spans="2:27">
      <c r="B100" s="972" t="s">
        <v>151</v>
      </c>
      <c r="D100" s="972">
        <f>(D6/D99)*100</f>
        <v>13.239179067897785</v>
      </c>
      <c r="E100" s="972">
        <f t="shared" ref="E100:R100" si="47">(E6/E99)*100</f>
        <v>14.747441200701864</v>
      </c>
      <c r="F100" s="972">
        <f t="shared" si="47"/>
        <v>13.830543119703043</v>
      </c>
      <c r="G100" s="972">
        <f t="shared" si="47"/>
        <v>13.926428346940117</v>
      </c>
      <c r="H100" s="972">
        <f t="shared" si="47"/>
        <v>12.594208331300493</v>
      </c>
      <c r="I100" s="972">
        <f t="shared" si="47"/>
        <v>15.237767090683304</v>
      </c>
      <c r="J100" s="972">
        <f t="shared" si="47"/>
        <v>15.886891691215272</v>
      </c>
      <c r="K100" s="972">
        <f t="shared" si="47"/>
        <v>15.097180319223538</v>
      </c>
      <c r="L100" s="972">
        <f t="shared" si="47"/>
        <v>16.130561302148223</v>
      </c>
      <c r="M100" s="972">
        <f t="shared" si="47"/>
        <v>16.545708740313565</v>
      </c>
      <c r="N100" s="972">
        <f t="shared" si="47"/>
        <v>15.701502996689742</v>
      </c>
      <c r="O100" s="972">
        <f t="shared" si="47"/>
        <v>20.225556448804859</v>
      </c>
      <c r="P100" s="972">
        <f t="shared" si="47"/>
        <v>22.851303684935004</v>
      </c>
      <c r="Q100" s="972">
        <f t="shared" si="47"/>
        <v>19.847535893806391</v>
      </c>
      <c r="R100" s="1376">
        <f t="shared" si="47"/>
        <v>25.219625033914394</v>
      </c>
      <c r="S100" s="1376">
        <f t="shared" ref="S100:Y100" si="48">(S6/S99)*100</f>
        <v>14.855166318740762</v>
      </c>
      <c r="T100" s="1376">
        <f t="shared" si="48"/>
        <v>16.229277221073701</v>
      </c>
      <c r="U100" s="1376">
        <f t="shared" si="48"/>
        <v>16.418064220708604</v>
      </c>
      <c r="V100" s="1376">
        <f t="shared" si="48"/>
        <v>16.880612306394262</v>
      </c>
      <c r="W100" s="1376">
        <f t="shared" si="48"/>
        <v>17.877321129983279</v>
      </c>
      <c r="X100" s="1376">
        <f t="shared" si="48"/>
        <v>18.804612961990923</v>
      </c>
      <c r="Y100" s="1376">
        <f t="shared" si="48"/>
        <v>19.013774365992965</v>
      </c>
      <c r="Z100" s="1376">
        <f t="shared" ref="Z100:AA100" si="49">(Z6/Z99)*100</f>
        <v>21.772712798032281</v>
      </c>
      <c r="AA100" s="1376">
        <f t="shared" si="49"/>
        <v>24.79860155969423</v>
      </c>
    </row>
    <row r="101" spans="2:27">
      <c r="B101" s="972" t="s">
        <v>152</v>
      </c>
      <c r="D101" s="972">
        <f>(D24/D99)*100</f>
        <v>16.424822044502253</v>
      </c>
      <c r="E101" s="972">
        <f t="shared" ref="E101:R101" si="50">(E24/E99)*100</f>
        <v>18.815234833152044</v>
      </c>
      <c r="F101" s="972">
        <f t="shared" si="50"/>
        <v>18.254613532608396</v>
      </c>
      <c r="G101" s="972">
        <f t="shared" si="50"/>
        <v>20.39628998896352</v>
      </c>
      <c r="H101" s="972">
        <f t="shared" si="50"/>
        <v>17.948646913266675</v>
      </c>
      <c r="I101" s="972">
        <f t="shared" si="50"/>
        <v>16.891405824620122</v>
      </c>
      <c r="J101" s="972">
        <f t="shared" si="50"/>
        <v>19.020544639482502</v>
      </c>
      <c r="K101" s="972">
        <f t="shared" si="50"/>
        <v>14.786017060735727</v>
      </c>
      <c r="L101" s="972">
        <f t="shared" si="50"/>
        <v>17.453921790838784</v>
      </c>
      <c r="M101" s="972">
        <f t="shared" si="50"/>
        <v>23.675454341682983</v>
      </c>
      <c r="N101" s="972">
        <f t="shared" si="50"/>
        <v>29.680929455226803</v>
      </c>
      <c r="O101" s="972">
        <f t="shared" si="50"/>
        <v>21.479280126683591</v>
      </c>
      <c r="P101" s="972">
        <f t="shared" si="50"/>
        <v>26.122270665369495</v>
      </c>
      <c r="Q101" s="972">
        <f t="shared" si="50"/>
        <v>25.053332703031593</v>
      </c>
      <c r="R101" s="1376">
        <f t="shared" si="50"/>
        <v>29.482334645537446</v>
      </c>
      <c r="S101" s="1376">
        <f t="shared" ref="S101:Y101" si="51">(S24/S99)*100</f>
        <v>0</v>
      </c>
      <c r="T101" s="1376">
        <f t="shared" si="51"/>
        <v>0</v>
      </c>
      <c r="U101" s="1376">
        <f t="shared" si="51"/>
        <v>0</v>
      </c>
      <c r="V101" s="1376">
        <f t="shared" si="51"/>
        <v>0</v>
      </c>
      <c r="W101" s="1376">
        <f t="shared" si="51"/>
        <v>0</v>
      </c>
      <c r="X101" s="1376">
        <f t="shared" si="51"/>
        <v>0</v>
      </c>
      <c r="Y101" s="1376">
        <f t="shared" si="51"/>
        <v>0</v>
      </c>
      <c r="Z101" s="1376">
        <f t="shared" ref="Z101:AA101" si="52">(Z24/Z99)*100</f>
        <v>0</v>
      </c>
      <c r="AA101" s="1376">
        <f t="shared" si="52"/>
        <v>0</v>
      </c>
    </row>
    <row r="103" spans="2:27" ht="13.5" customHeight="1">
      <c r="B103" s="972" t="s">
        <v>153</v>
      </c>
      <c r="D103" s="972" t="b">
        <f>IF(D41&lt;0, (D41/D24)*100)</f>
        <v>0</v>
      </c>
      <c r="E103" s="972" t="b">
        <f t="shared" ref="E103:W103" si="53">IF(E41&lt;0, (E41/E24)*100)</f>
        <v>0</v>
      </c>
      <c r="F103" s="972" t="b">
        <f t="shared" si="53"/>
        <v>0</v>
      </c>
      <c r="G103" s="972" t="b">
        <f t="shared" si="53"/>
        <v>0</v>
      </c>
      <c r="H103" s="972" t="b">
        <f t="shared" si="53"/>
        <v>0</v>
      </c>
      <c r="I103" s="972" t="b">
        <f t="shared" si="53"/>
        <v>0</v>
      </c>
      <c r="J103" s="972" t="b">
        <f t="shared" si="53"/>
        <v>0</v>
      </c>
      <c r="K103" s="972" t="b">
        <f t="shared" si="53"/>
        <v>0</v>
      </c>
      <c r="L103" s="972" t="b">
        <f t="shared" si="53"/>
        <v>0</v>
      </c>
      <c r="M103" s="972" t="b">
        <f t="shared" si="53"/>
        <v>0</v>
      </c>
      <c r="N103" s="972" t="b">
        <f t="shared" si="53"/>
        <v>0</v>
      </c>
      <c r="O103" s="972" t="b">
        <f t="shared" si="53"/>
        <v>0</v>
      </c>
      <c r="P103" s="972" t="b">
        <f t="shared" si="53"/>
        <v>0</v>
      </c>
      <c r="Q103" s="972" t="b">
        <f t="shared" si="53"/>
        <v>0</v>
      </c>
      <c r="R103" s="972" t="b">
        <f t="shared" si="53"/>
        <v>0</v>
      </c>
      <c r="S103" s="972" t="b">
        <f t="shared" si="53"/>
        <v>0</v>
      </c>
      <c r="T103" s="972" t="b">
        <f t="shared" si="53"/>
        <v>0</v>
      </c>
      <c r="U103" s="972" t="b">
        <f t="shared" si="53"/>
        <v>0</v>
      </c>
      <c r="V103" s="972" t="b">
        <f t="shared" si="53"/>
        <v>0</v>
      </c>
      <c r="W103" s="972"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972" bestFit="1" customWidth="1"/>
    <col min="2" max="2" width="47.140625" style="972" bestFit="1" customWidth="1"/>
    <col min="3" max="3" width="28.85546875" style="972" customWidth="1"/>
    <col min="4" max="4" width="16.28515625" style="972" bestFit="1" customWidth="1"/>
    <col min="5" max="5" width="30.28515625" style="972" bestFit="1" customWidth="1"/>
    <col min="6" max="6" width="21.140625" style="972" bestFit="1" customWidth="1"/>
    <col min="7" max="7" width="30.28515625" style="972" bestFit="1" customWidth="1"/>
    <col min="8" max="8" width="27.28515625" style="972" bestFit="1" customWidth="1"/>
    <col min="9" max="9" width="29.28515625" style="972" bestFit="1" customWidth="1"/>
    <col min="10" max="13" width="21.140625" style="972" bestFit="1" customWidth="1"/>
    <col min="14" max="14" width="21.28515625" style="972" bestFit="1" customWidth="1"/>
    <col min="15" max="15" width="20.7109375" style="972" bestFit="1" customWidth="1"/>
    <col min="16" max="16" width="26.28515625" style="972" bestFit="1" customWidth="1"/>
    <col min="17" max="17" width="27.140625" style="972" bestFit="1" customWidth="1"/>
    <col min="18" max="18" width="22.140625" style="972" bestFit="1" customWidth="1"/>
    <col min="19" max="19" width="27.28515625" style="972" bestFit="1" customWidth="1"/>
    <col min="20" max="20" width="23.7109375" style="972" customWidth="1"/>
    <col min="21" max="21" width="21.5703125" style="972" customWidth="1"/>
    <col min="22" max="22" width="21.85546875" style="972" bestFit="1" customWidth="1"/>
    <col min="23" max="23" width="22.28515625" style="972" bestFit="1" customWidth="1"/>
    <col min="24" max="24" width="21.140625" style="972" customWidth="1"/>
    <col min="25" max="26" width="23.7109375" style="996" bestFit="1" customWidth="1"/>
    <col min="27" max="27" width="20.5703125" style="996" bestFit="1" customWidth="1"/>
    <col min="28" max="29" width="8.85546875" style="972"/>
  </cols>
  <sheetData>
    <row r="1" spans="1:29">
      <c r="A1" s="966" t="s">
        <v>2935</v>
      </c>
      <c r="B1" s="1402" t="s">
        <v>2936</v>
      </c>
      <c r="C1" s="967"/>
      <c r="D1" s="968"/>
      <c r="E1" s="968"/>
      <c r="F1" s="968"/>
      <c r="G1" s="968"/>
      <c r="H1" s="968"/>
      <c r="I1" s="968"/>
      <c r="J1" s="968"/>
      <c r="K1" s="968"/>
      <c r="L1" s="968"/>
      <c r="M1" s="968"/>
      <c r="N1" s="968"/>
      <c r="O1" s="969"/>
      <c r="P1" s="969"/>
      <c r="Q1" s="969"/>
      <c r="R1" s="970"/>
      <c r="S1" s="969"/>
      <c r="T1" s="969"/>
      <c r="U1" s="969"/>
      <c r="V1" s="969"/>
      <c r="W1" s="969"/>
      <c r="X1" s="971"/>
      <c r="AB1" s="2530"/>
      <c r="AC1" s="2530"/>
    </row>
    <row r="2" spans="1:29">
      <c r="B2" s="1403" t="s">
        <v>1210</v>
      </c>
      <c r="C2" s="973"/>
      <c r="D2" s="969"/>
      <c r="E2" s="969"/>
      <c r="F2" s="969"/>
      <c r="G2" s="969"/>
      <c r="H2" s="969"/>
      <c r="I2" s="969"/>
      <c r="J2" s="969"/>
      <c r="K2" s="969"/>
      <c r="L2" s="969"/>
      <c r="M2" s="969"/>
      <c r="N2" s="969"/>
      <c r="O2" s="969"/>
      <c r="P2" s="969"/>
      <c r="Q2" s="969"/>
      <c r="R2" s="974"/>
      <c r="S2" s="1046"/>
      <c r="T2" s="1047"/>
      <c r="U2" s="969"/>
      <c r="V2" s="969"/>
      <c r="W2" s="969"/>
      <c r="X2" s="971"/>
      <c r="AB2" s="2530"/>
      <c r="AC2" s="2530"/>
    </row>
    <row r="3" spans="1:29">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1378">
        <v>2020</v>
      </c>
      <c r="Y3" s="969">
        <v>2021</v>
      </c>
      <c r="Z3" s="969">
        <v>2022</v>
      </c>
      <c r="AA3" s="969">
        <v>2023</v>
      </c>
      <c r="AB3" s="2530"/>
      <c r="AC3" s="2530"/>
    </row>
    <row r="4" spans="1:29">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007" t="s">
        <v>25</v>
      </c>
      <c r="Y4" s="996" t="s">
        <v>26</v>
      </c>
      <c r="Z4" s="996" t="s">
        <v>27</v>
      </c>
      <c r="AA4" s="996" t="s">
        <v>1137</v>
      </c>
      <c r="AB4" s="2530"/>
      <c r="AC4" s="2530"/>
    </row>
    <row r="5" spans="1:29">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2937</v>
      </c>
      <c r="U5" s="969" t="s">
        <v>32</v>
      </c>
      <c r="V5" s="969" t="s">
        <v>32</v>
      </c>
      <c r="W5" s="969" t="s">
        <v>32</v>
      </c>
      <c r="X5" s="1378" t="s">
        <v>32</v>
      </c>
      <c r="Y5" s="1378" t="s">
        <v>32</v>
      </c>
      <c r="Z5" s="1378" t="s">
        <v>32</v>
      </c>
      <c r="AA5" s="1378" t="s">
        <v>32</v>
      </c>
      <c r="AB5" s="2530"/>
      <c r="AC5" s="2530"/>
    </row>
    <row r="6" spans="1:29" s="15" customFormat="1">
      <c r="A6" s="1377" t="s">
        <v>33</v>
      </c>
      <c r="B6" s="1379" t="s">
        <v>2938</v>
      </c>
      <c r="C6" s="1380" t="s">
        <v>35</v>
      </c>
      <c r="D6" s="1381"/>
      <c r="E6" s="1382">
        <v>45600000000</v>
      </c>
      <c r="F6" s="1382">
        <v>30400000000</v>
      </c>
      <c r="G6" s="1382">
        <v>35100000000</v>
      </c>
      <c r="H6" s="1382">
        <v>49100000000</v>
      </c>
      <c r="I6" s="1382">
        <v>48200000000</v>
      </c>
      <c r="J6" s="1382">
        <v>50600000000</v>
      </c>
      <c r="K6" s="1382">
        <v>53800000000</v>
      </c>
      <c r="L6" s="1382">
        <v>89300000000</v>
      </c>
      <c r="M6" s="1382">
        <v>97500000000</v>
      </c>
      <c r="N6" s="1382">
        <v>84600000000</v>
      </c>
      <c r="O6" s="1382">
        <v>87000000000</v>
      </c>
      <c r="P6" s="1382">
        <v>58100000000</v>
      </c>
      <c r="Q6" s="1382">
        <v>58900000000</v>
      </c>
      <c r="R6" s="1382">
        <v>115000000000</v>
      </c>
      <c r="S6" s="1382">
        <v>125000000000</v>
      </c>
      <c r="T6" s="1382">
        <v>112000000000</v>
      </c>
      <c r="U6" s="1383">
        <v>143300000000</v>
      </c>
      <c r="V6" s="1383">
        <v>155700000000</v>
      </c>
      <c r="W6" s="1383">
        <v>179100000000</v>
      </c>
      <c r="X6" s="1384">
        <v>201000000000</v>
      </c>
      <c r="Y6" s="2536">
        <v>223400000000</v>
      </c>
      <c r="Z6" s="2536">
        <v>249400000000</v>
      </c>
      <c r="AA6" s="2537">
        <v>279800000000</v>
      </c>
      <c r="AB6" s="2530"/>
      <c r="AC6" s="2530"/>
    </row>
    <row r="7" spans="1:29">
      <c r="A7" s="980" t="s">
        <v>370</v>
      </c>
      <c r="B7" s="981" t="s">
        <v>36</v>
      </c>
      <c r="C7" s="982" t="s">
        <v>38</v>
      </c>
      <c r="D7" s="1386"/>
      <c r="E7" s="978">
        <v>24500000000</v>
      </c>
      <c r="F7" s="978">
        <v>21700000000</v>
      </c>
      <c r="G7" s="978">
        <v>20800000000</v>
      </c>
      <c r="H7" s="978">
        <v>24500000000</v>
      </c>
      <c r="I7" s="978">
        <v>28000000000</v>
      </c>
      <c r="J7" s="978">
        <v>31500000000</v>
      </c>
      <c r="K7" s="978">
        <v>26600000000</v>
      </c>
      <c r="L7" s="978">
        <v>34600000000</v>
      </c>
      <c r="M7" s="978">
        <v>35400000000</v>
      </c>
      <c r="N7" s="978">
        <v>44600000000</v>
      </c>
      <c r="O7" s="978">
        <v>52600000000</v>
      </c>
      <c r="P7" s="978">
        <v>46000000000</v>
      </c>
      <c r="Q7" s="978">
        <v>41100000000</v>
      </c>
      <c r="R7" s="2531">
        <f>R6-R12</f>
        <v>65500000000</v>
      </c>
      <c r="S7" s="2531">
        <f>S8+S9</f>
        <v>84800000000</v>
      </c>
      <c r="T7" s="2531">
        <f t="shared" ref="T7:AA7" si="0">T8+T9</f>
        <v>84300000000</v>
      </c>
      <c r="U7" s="2531">
        <f t="shared" si="0"/>
        <v>100400000000</v>
      </c>
      <c r="V7" s="2531">
        <f t="shared" si="0"/>
        <v>116800000000</v>
      </c>
      <c r="W7" s="2531">
        <f t="shared" si="0"/>
        <v>135000000000</v>
      </c>
      <c r="X7" s="2531">
        <f t="shared" si="0"/>
        <v>152200000000</v>
      </c>
      <c r="Y7" s="2531">
        <f t="shared" si="0"/>
        <v>169800000000</v>
      </c>
      <c r="Z7" s="2531">
        <f t="shared" si="0"/>
        <v>190500000000</v>
      </c>
      <c r="AA7" s="2531">
        <f t="shared" si="0"/>
        <v>214900000000</v>
      </c>
      <c r="AB7" s="2530"/>
      <c r="AC7" s="2530"/>
    </row>
    <row r="8" spans="1:29">
      <c r="A8" s="980" t="s">
        <v>39</v>
      </c>
      <c r="B8" s="988" t="s">
        <v>2393</v>
      </c>
      <c r="C8" s="982" t="s">
        <v>41</v>
      </c>
      <c r="D8" s="1386"/>
      <c r="E8" s="978">
        <v>14800000000</v>
      </c>
      <c r="F8" s="978">
        <v>11900000000</v>
      </c>
      <c r="G8" s="978">
        <v>11900000000</v>
      </c>
      <c r="H8" s="978">
        <v>11800000000</v>
      </c>
      <c r="I8" s="978">
        <v>18300000000</v>
      </c>
      <c r="J8" s="978">
        <v>18500000000</v>
      </c>
      <c r="K8" s="978">
        <v>18800000000</v>
      </c>
      <c r="L8" s="978">
        <v>20900000000</v>
      </c>
      <c r="M8" s="978">
        <v>26600000000</v>
      </c>
      <c r="N8" s="978">
        <v>33100000000</v>
      </c>
      <c r="O8" s="978">
        <v>40300000000</v>
      </c>
      <c r="P8" s="978">
        <v>38900000000</v>
      </c>
      <c r="Q8" s="978">
        <v>35400000000</v>
      </c>
      <c r="R8" s="978">
        <v>44200000000</v>
      </c>
      <c r="S8" s="978">
        <v>61900000000</v>
      </c>
      <c r="T8" s="978">
        <v>63500000000</v>
      </c>
      <c r="U8" s="1387">
        <v>81300000000</v>
      </c>
      <c r="V8" s="1387">
        <v>94000000000</v>
      </c>
      <c r="W8" s="1387">
        <v>106700000000</v>
      </c>
      <c r="X8" s="1388">
        <v>120500000000</v>
      </c>
      <c r="Y8" s="1050">
        <v>134600000000</v>
      </c>
      <c r="Z8" s="1050">
        <v>153000000000</v>
      </c>
      <c r="AA8" s="1050">
        <v>174100000000</v>
      </c>
      <c r="AB8" s="2530"/>
      <c r="AC8" s="2530"/>
    </row>
    <row r="9" spans="1:29">
      <c r="A9" s="980" t="s">
        <v>51</v>
      </c>
      <c r="B9" s="988" t="s">
        <v>1378</v>
      </c>
      <c r="C9" s="982" t="s">
        <v>41</v>
      </c>
      <c r="D9" s="1386"/>
      <c r="E9" s="978">
        <v>9700000000</v>
      </c>
      <c r="F9" s="978">
        <v>9800000000</v>
      </c>
      <c r="G9" s="978">
        <v>8900000000</v>
      </c>
      <c r="H9" s="978">
        <v>12700000000</v>
      </c>
      <c r="I9" s="978">
        <v>9600000000</v>
      </c>
      <c r="J9" s="978">
        <v>13000000000</v>
      </c>
      <c r="K9" s="978">
        <v>7800000000</v>
      </c>
      <c r="L9" s="978">
        <v>13700000000</v>
      </c>
      <c r="M9" s="978">
        <v>8800000000</v>
      </c>
      <c r="N9" s="978">
        <v>11500000000</v>
      </c>
      <c r="O9" s="978">
        <v>12300000000</v>
      </c>
      <c r="P9" s="978">
        <v>7100000000</v>
      </c>
      <c r="Q9" s="978">
        <v>5700000000</v>
      </c>
      <c r="R9" s="978">
        <v>21400000000</v>
      </c>
      <c r="S9" s="978">
        <v>22900000000</v>
      </c>
      <c r="T9" s="978">
        <v>20800000000</v>
      </c>
      <c r="U9" s="1387">
        <v>19100000000</v>
      </c>
      <c r="V9" s="1387">
        <v>22800000000</v>
      </c>
      <c r="W9" s="1387">
        <v>28300000000</v>
      </c>
      <c r="X9" s="1388">
        <v>31700000000</v>
      </c>
      <c r="Y9" s="1050">
        <v>35200000000</v>
      </c>
      <c r="Z9" s="1050">
        <v>37500000000</v>
      </c>
      <c r="AA9" s="1050">
        <v>40800000000</v>
      </c>
      <c r="AB9" s="2530"/>
      <c r="AC9" s="2530"/>
    </row>
    <row r="10" spans="1:29">
      <c r="A10" s="972" t="s">
        <v>76</v>
      </c>
      <c r="B10" s="997" t="s">
        <v>2939</v>
      </c>
      <c r="C10" s="1389"/>
      <c r="E10" s="987"/>
      <c r="F10" s="987"/>
      <c r="G10" s="987"/>
      <c r="H10" s="987"/>
      <c r="I10" s="987"/>
      <c r="J10" s="987"/>
      <c r="K10" s="987"/>
      <c r="L10" s="987"/>
      <c r="M10" s="987"/>
      <c r="N10" s="987"/>
      <c r="O10" s="987"/>
      <c r="P10" s="987"/>
      <c r="Q10" s="987"/>
      <c r="R10" s="978"/>
      <c r="S10" s="987"/>
      <c r="T10" s="987"/>
      <c r="U10" s="1387"/>
      <c r="V10" s="1387"/>
      <c r="W10" s="1387"/>
      <c r="X10" s="1388"/>
      <c r="Y10" s="1050"/>
      <c r="Z10" s="1050"/>
      <c r="AA10" s="1050"/>
      <c r="AB10" s="2530"/>
      <c r="AC10" s="2530"/>
    </row>
    <row r="11" spans="1:29">
      <c r="A11" s="972" t="s">
        <v>76</v>
      </c>
      <c r="B11" s="997" t="s">
        <v>2940</v>
      </c>
      <c r="C11" s="1389"/>
      <c r="E11" s="987"/>
      <c r="F11" s="987"/>
      <c r="G11" s="987"/>
      <c r="H11" s="987"/>
      <c r="I11" s="987"/>
      <c r="J11" s="987"/>
      <c r="K11" s="987"/>
      <c r="L11" s="978">
        <v>7900000000</v>
      </c>
      <c r="M11" s="978">
        <v>3000000000</v>
      </c>
      <c r="N11" s="978">
        <v>5200000000</v>
      </c>
      <c r="O11" s="987"/>
      <c r="P11" s="987"/>
      <c r="Q11" s="987"/>
      <c r="R11" s="987"/>
      <c r="S11" s="987"/>
      <c r="T11" s="987"/>
      <c r="U11" s="1387"/>
      <c r="V11" s="1387"/>
      <c r="W11" s="1387"/>
      <c r="X11" s="1388"/>
      <c r="Y11" s="1050"/>
      <c r="Z11" s="1050"/>
      <c r="AA11" s="1050"/>
      <c r="AB11" s="2530"/>
      <c r="AC11" s="2530"/>
    </row>
    <row r="12" spans="1:29" s="15" customFormat="1">
      <c r="A12" s="1390" t="s">
        <v>53</v>
      </c>
      <c r="B12" s="1391" t="s">
        <v>53</v>
      </c>
      <c r="C12" s="1392" t="s">
        <v>38</v>
      </c>
      <c r="D12" s="1381"/>
      <c r="E12" s="1382">
        <v>21100000000</v>
      </c>
      <c r="F12" s="1382">
        <v>8700000000</v>
      </c>
      <c r="G12" s="1382">
        <v>14300000000</v>
      </c>
      <c r="H12" s="1382">
        <v>24500000000</v>
      </c>
      <c r="I12" s="1382">
        <v>20200000000</v>
      </c>
      <c r="J12" s="1382">
        <v>19100000000</v>
      </c>
      <c r="K12" s="1382">
        <v>27200000000</v>
      </c>
      <c r="L12" s="1382">
        <v>54700000000</v>
      </c>
      <c r="M12" s="1382">
        <v>62100000000</v>
      </c>
      <c r="N12" s="1382">
        <v>40000000000</v>
      </c>
      <c r="O12" s="1393">
        <v>34400000000</v>
      </c>
      <c r="P12" s="1393">
        <v>12100000000</v>
      </c>
      <c r="Q12" s="1382">
        <v>17800000000</v>
      </c>
      <c r="R12" s="1382">
        <v>49500000000</v>
      </c>
      <c r="S12" s="1382">
        <v>40100000000</v>
      </c>
      <c r="T12" s="1382">
        <v>27600000000</v>
      </c>
      <c r="U12" s="1383">
        <v>42800000000</v>
      </c>
      <c r="V12" s="1383">
        <v>39000000000</v>
      </c>
      <c r="W12" s="1383">
        <v>44000000000</v>
      </c>
      <c r="X12" s="1384">
        <v>48800000000</v>
      </c>
      <c r="Y12" s="2537">
        <v>53500000000</v>
      </c>
      <c r="Z12" s="2537">
        <v>58900000000</v>
      </c>
      <c r="AA12" s="2537">
        <v>64900000000.000008</v>
      </c>
      <c r="AB12" s="2530"/>
      <c r="AC12" s="2530"/>
    </row>
    <row r="13" spans="1:29">
      <c r="A13" s="980" t="s">
        <v>886</v>
      </c>
      <c r="B13" s="988" t="s">
        <v>2941</v>
      </c>
      <c r="C13" s="1371" t="s">
        <v>57</v>
      </c>
      <c r="D13" s="1386"/>
      <c r="E13" s="978">
        <v>8300000000.000001</v>
      </c>
      <c r="F13" s="978">
        <v>1900000000</v>
      </c>
      <c r="G13" s="978">
        <v>4800000000</v>
      </c>
      <c r="H13" s="978">
        <v>12000000000</v>
      </c>
      <c r="I13" s="978">
        <v>5100000000</v>
      </c>
      <c r="J13" s="978">
        <v>10200000000</v>
      </c>
      <c r="K13" s="978">
        <v>17000000000</v>
      </c>
      <c r="L13" s="978">
        <v>16399999999.999998</v>
      </c>
      <c r="M13" s="978">
        <v>28500000000</v>
      </c>
      <c r="N13" s="978">
        <v>9400000000</v>
      </c>
      <c r="O13" s="978">
        <v>8700000000</v>
      </c>
      <c r="P13" s="978">
        <v>9100000000</v>
      </c>
      <c r="Q13" s="978">
        <v>4000000000</v>
      </c>
      <c r="R13" s="978">
        <v>23300000000</v>
      </c>
      <c r="S13" s="978">
        <v>5600000000</v>
      </c>
      <c r="T13" s="978">
        <v>300000000</v>
      </c>
      <c r="U13" s="1387">
        <v>2800000000</v>
      </c>
      <c r="V13" s="1387">
        <v>0</v>
      </c>
      <c r="W13" s="1387">
        <v>0</v>
      </c>
      <c r="X13" s="1388">
        <v>0</v>
      </c>
      <c r="Y13" s="1050">
        <v>0</v>
      </c>
      <c r="Z13" s="1050">
        <v>0</v>
      </c>
      <c r="AA13" s="1050">
        <v>0</v>
      </c>
      <c r="AB13" s="2530"/>
      <c r="AC13" s="2530"/>
    </row>
    <row r="14" spans="1:29">
      <c r="A14" s="972" t="s">
        <v>76</v>
      </c>
      <c r="B14" s="997" t="s">
        <v>2942</v>
      </c>
      <c r="C14" s="981"/>
      <c r="E14" s="987"/>
      <c r="F14" s="987"/>
      <c r="G14" s="987"/>
      <c r="H14" s="987"/>
      <c r="I14" s="987"/>
      <c r="J14" s="987"/>
      <c r="K14" s="987"/>
      <c r="L14" s="987"/>
      <c r="M14" s="987"/>
      <c r="N14" s="987"/>
      <c r="O14" s="987"/>
      <c r="P14" s="987"/>
      <c r="Q14" s="987"/>
      <c r="R14" s="978"/>
      <c r="S14" s="978"/>
      <c r="T14" s="978"/>
      <c r="U14" s="1387"/>
      <c r="V14" s="1387"/>
      <c r="W14" s="1387"/>
      <c r="X14" s="1388"/>
      <c r="Y14" s="1050"/>
      <c r="Z14" s="1050"/>
      <c r="AA14" s="1050"/>
      <c r="AB14" s="2530"/>
      <c r="AC14" s="2530"/>
    </row>
    <row r="15" spans="1:29">
      <c r="A15" s="980" t="s">
        <v>564</v>
      </c>
      <c r="B15" s="988" t="s">
        <v>2881</v>
      </c>
      <c r="C15" s="1371" t="s">
        <v>57</v>
      </c>
      <c r="D15" s="1386"/>
      <c r="E15" s="978">
        <v>12900000000</v>
      </c>
      <c r="F15" s="978">
        <v>6800000000</v>
      </c>
      <c r="G15" s="978">
        <v>9500000000</v>
      </c>
      <c r="H15" s="978">
        <v>12500000000</v>
      </c>
      <c r="I15" s="978">
        <v>15200000000</v>
      </c>
      <c r="J15" s="978">
        <v>8900000000</v>
      </c>
      <c r="K15" s="978">
        <v>10100000000</v>
      </c>
      <c r="L15" s="978">
        <v>38400000000</v>
      </c>
      <c r="M15" s="978">
        <v>33600000000</v>
      </c>
      <c r="N15" s="978">
        <v>30600000000</v>
      </c>
      <c r="O15" s="978">
        <v>25700000000</v>
      </c>
      <c r="P15" s="978">
        <v>3100000000</v>
      </c>
      <c r="Q15" s="978">
        <v>13800000000</v>
      </c>
      <c r="R15" s="978">
        <v>26200000000</v>
      </c>
      <c r="S15" s="978">
        <v>34500000000</v>
      </c>
      <c r="T15" s="978">
        <v>27400000000</v>
      </c>
      <c r="U15" s="1387">
        <v>40100000000</v>
      </c>
      <c r="V15" s="1387">
        <v>39000000000</v>
      </c>
      <c r="W15" s="1387">
        <v>44000000000</v>
      </c>
      <c r="X15" s="1388">
        <v>48800000000</v>
      </c>
      <c r="Y15" s="1050">
        <v>53500000000</v>
      </c>
      <c r="Z15" s="1050">
        <v>58900000000</v>
      </c>
      <c r="AA15" s="1050">
        <v>64900000000.000008</v>
      </c>
      <c r="AB15" s="2530"/>
      <c r="AC15" s="2530"/>
    </row>
    <row r="16" spans="1:29" s="15" customFormat="1">
      <c r="A16" s="1390" t="s">
        <v>71</v>
      </c>
      <c r="B16" s="1379" t="s">
        <v>1382</v>
      </c>
      <c r="C16" s="1380" t="s">
        <v>35</v>
      </c>
      <c r="D16" s="1381"/>
      <c r="E16" s="1382">
        <v>62800000000</v>
      </c>
      <c r="F16" s="1382">
        <v>46400000000</v>
      </c>
      <c r="G16" s="1382">
        <v>52800000000</v>
      </c>
      <c r="H16" s="1382">
        <v>70400000000</v>
      </c>
      <c r="I16" s="1382">
        <v>67099999999.999992</v>
      </c>
      <c r="J16" s="1382">
        <v>66200000000</v>
      </c>
      <c r="K16" s="1382">
        <v>73700000000</v>
      </c>
      <c r="L16" s="1382">
        <v>92400000000</v>
      </c>
      <c r="M16" s="1382">
        <v>83200000000</v>
      </c>
      <c r="N16" s="1382">
        <v>85500000000</v>
      </c>
      <c r="O16" s="1382">
        <v>94400000000</v>
      </c>
      <c r="P16" s="1382">
        <v>69500000000</v>
      </c>
      <c r="Q16" s="1382">
        <v>68000000000</v>
      </c>
      <c r="R16" s="1382">
        <v>128699999999.99998</v>
      </c>
      <c r="S16" s="1382">
        <v>143300000000</v>
      </c>
      <c r="T16" s="1382">
        <v>144500000000</v>
      </c>
      <c r="U16" s="1383">
        <f>U17+U26</f>
        <v>153500000000</v>
      </c>
      <c r="V16" s="1383">
        <v>176700000000</v>
      </c>
      <c r="W16" s="1383">
        <v>199000000000</v>
      </c>
      <c r="X16" s="1384">
        <v>220400000000</v>
      </c>
      <c r="Y16" s="2537">
        <v>244900000000</v>
      </c>
      <c r="Z16" s="2537">
        <v>272500000000</v>
      </c>
      <c r="AA16" s="2537">
        <v>302900000000</v>
      </c>
      <c r="AB16" s="2530"/>
      <c r="AC16" s="2530"/>
    </row>
    <row r="17" spans="1:29">
      <c r="A17" s="996" t="s">
        <v>73</v>
      </c>
      <c r="B17" s="981" t="s">
        <v>1431</v>
      </c>
      <c r="C17" s="982" t="s">
        <v>75</v>
      </c>
      <c r="D17" s="1386"/>
      <c r="E17" s="978">
        <v>41100000000</v>
      </c>
      <c r="F17" s="978">
        <v>33700000000.000004</v>
      </c>
      <c r="G17" s="978">
        <v>34900000000</v>
      </c>
      <c r="H17" s="978">
        <v>42100000000</v>
      </c>
      <c r="I17" s="978">
        <v>44000000000</v>
      </c>
      <c r="J17" s="978">
        <v>46600000000</v>
      </c>
      <c r="K17" s="978">
        <v>49300000000</v>
      </c>
      <c r="L17" s="978">
        <v>52400000000</v>
      </c>
      <c r="M17" s="978">
        <v>47200000000</v>
      </c>
      <c r="N17" s="978">
        <v>49300000000</v>
      </c>
      <c r="O17" s="978">
        <v>57300000000</v>
      </c>
      <c r="P17" s="978">
        <v>62300000000</v>
      </c>
      <c r="Q17" s="978">
        <v>49700000000</v>
      </c>
      <c r="R17" s="978">
        <v>89200000000</v>
      </c>
      <c r="S17" s="978">
        <v>93700000000</v>
      </c>
      <c r="T17" s="978">
        <v>102000000000</v>
      </c>
      <c r="U17" s="1387">
        <f>U18+U19+U20+U21+U22+U23</f>
        <v>98600000000</v>
      </c>
      <c r="V17" s="1387">
        <v>106500000000</v>
      </c>
      <c r="W17" s="1387">
        <v>123600000000</v>
      </c>
      <c r="X17" s="1388">
        <v>137100000000</v>
      </c>
      <c r="Y17" s="1050">
        <v>151700000000</v>
      </c>
      <c r="Z17" s="1050">
        <v>171100000000</v>
      </c>
      <c r="AA17" s="1050">
        <v>191400000000</v>
      </c>
      <c r="AB17" s="2530"/>
      <c r="AC17" s="2530"/>
    </row>
    <row r="18" spans="1:29">
      <c r="A18" s="980" t="s">
        <v>79</v>
      </c>
      <c r="B18" s="988" t="s">
        <v>1432</v>
      </c>
      <c r="C18" s="982" t="s">
        <v>81</v>
      </c>
      <c r="D18" s="1386"/>
      <c r="E18" s="978">
        <v>11000000000</v>
      </c>
      <c r="F18" s="978">
        <v>10500000000</v>
      </c>
      <c r="G18" s="978">
        <v>13600000000</v>
      </c>
      <c r="H18" s="978">
        <v>16200000000</v>
      </c>
      <c r="I18" s="978">
        <v>21300000000</v>
      </c>
      <c r="J18" s="978">
        <v>20500000000</v>
      </c>
      <c r="K18" s="978">
        <v>21900000000</v>
      </c>
      <c r="L18" s="978">
        <v>20500000000</v>
      </c>
      <c r="M18" s="978">
        <v>20500000000</v>
      </c>
      <c r="N18" s="978">
        <v>20700000000</v>
      </c>
      <c r="O18" s="978">
        <v>23600000000</v>
      </c>
      <c r="P18" s="978">
        <v>25100000000</v>
      </c>
      <c r="Q18" s="978">
        <v>24300000000</v>
      </c>
      <c r="R18" s="978">
        <v>32299999999.999996</v>
      </c>
      <c r="S18" s="978">
        <v>31800000000</v>
      </c>
      <c r="T18" s="978">
        <v>34800000000</v>
      </c>
      <c r="U18" s="1387">
        <v>35100000000</v>
      </c>
      <c r="V18" s="1387">
        <v>35900000000</v>
      </c>
      <c r="W18" s="1387">
        <v>41600000000</v>
      </c>
      <c r="X18" s="1388">
        <v>45200000000</v>
      </c>
      <c r="Y18" s="1050">
        <v>49600000000</v>
      </c>
      <c r="Z18" s="1050">
        <v>57300000000</v>
      </c>
      <c r="AA18" s="1050">
        <v>64400000000.000008</v>
      </c>
      <c r="AB18" s="2530"/>
      <c r="AC18" s="2530"/>
    </row>
    <row r="19" spans="1:29">
      <c r="A19" s="980" t="s">
        <v>83</v>
      </c>
      <c r="B19" s="988" t="s">
        <v>1433</v>
      </c>
      <c r="C19" s="982" t="s">
        <v>81</v>
      </c>
      <c r="D19" s="1386"/>
      <c r="E19" s="978">
        <v>7400000000</v>
      </c>
      <c r="F19" s="978">
        <v>7700000000</v>
      </c>
      <c r="G19" s="978">
        <v>3900000000</v>
      </c>
      <c r="H19" s="978">
        <v>4500000000</v>
      </c>
      <c r="I19" s="978">
        <v>7600000000</v>
      </c>
      <c r="J19" s="978">
        <v>7900000000</v>
      </c>
      <c r="K19" s="978">
        <v>6200000000</v>
      </c>
      <c r="L19" s="978">
        <v>8000000000</v>
      </c>
      <c r="M19" s="978">
        <v>6400000000</v>
      </c>
      <c r="N19" s="978">
        <v>8600000000</v>
      </c>
      <c r="O19" s="978">
        <v>8400000000</v>
      </c>
      <c r="P19" s="978">
        <v>12800000000</v>
      </c>
      <c r="Q19" s="978">
        <v>9000000000</v>
      </c>
      <c r="R19" s="978">
        <v>11000000000</v>
      </c>
      <c r="S19" s="978">
        <v>16200000000</v>
      </c>
      <c r="T19" s="978">
        <v>12000000000</v>
      </c>
      <c r="U19" s="1387">
        <v>21900000000</v>
      </c>
      <c r="V19" s="1387">
        <v>22400000000</v>
      </c>
      <c r="W19" s="1387">
        <v>27000000000</v>
      </c>
      <c r="X19" s="1388">
        <v>30200000000</v>
      </c>
      <c r="Y19" s="1050">
        <v>34100000000</v>
      </c>
      <c r="Z19" s="1050">
        <v>38300000000</v>
      </c>
      <c r="AA19" s="1050">
        <v>43000000000</v>
      </c>
      <c r="AB19" s="2530"/>
      <c r="AC19" s="2530"/>
    </row>
    <row r="20" spans="1:29">
      <c r="A20" s="980" t="s">
        <v>895</v>
      </c>
      <c r="B20" s="988" t="s">
        <v>389</v>
      </c>
      <c r="C20" s="982" t="s">
        <v>81</v>
      </c>
      <c r="D20" s="1386"/>
      <c r="E20" s="978">
        <v>7200000000</v>
      </c>
      <c r="F20" s="978">
        <v>7400000000</v>
      </c>
      <c r="G20" s="978">
        <v>5100000000</v>
      </c>
      <c r="H20" s="978">
        <v>5000000000</v>
      </c>
      <c r="I20" s="978">
        <v>6100000000</v>
      </c>
      <c r="J20" s="978">
        <v>8300000000.000001</v>
      </c>
      <c r="K20" s="978">
        <v>9400000000</v>
      </c>
      <c r="L20" s="978">
        <v>10900000000</v>
      </c>
      <c r="M20" s="978">
        <v>11000000000</v>
      </c>
      <c r="N20" s="978">
        <v>10700000000</v>
      </c>
      <c r="O20" s="978">
        <v>11800000000</v>
      </c>
      <c r="P20" s="978">
        <v>12800000000</v>
      </c>
      <c r="Q20" s="978">
        <v>12600000000</v>
      </c>
      <c r="R20" s="978">
        <v>14500000000</v>
      </c>
      <c r="S20" s="978">
        <v>18900000000</v>
      </c>
      <c r="T20" s="978">
        <v>28300000000</v>
      </c>
      <c r="U20" s="1387">
        <v>21500000000</v>
      </c>
      <c r="V20" s="1387">
        <v>21900000000</v>
      </c>
      <c r="W20" s="1387">
        <v>25900000000</v>
      </c>
      <c r="X20" s="1388">
        <v>30100000000</v>
      </c>
      <c r="Y20" s="1050">
        <v>32400000000</v>
      </c>
      <c r="Z20" s="1050">
        <v>37200000000</v>
      </c>
      <c r="AA20" s="1050">
        <v>42000000000</v>
      </c>
      <c r="AB20" s="2530"/>
      <c r="AC20" s="2530"/>
    </row>
    <row r="21" spans="1:29">
      <c r="A21" s="988" t="s">
        <v>2943</v>
      </c>
      <c r="B21" s="988" t="s">
        <v>2943</v>
      </c>
      <c r="C21" s="982" t="s">
        <v>204</v>
      </c>
      <c r="D21" s="1386"/>
      <c r="E21" s="978"/>
      <c r="F21" s="978"/>
      <c r="G21" s="978"/>
      <c r="H21" s="978"/>
      <c r="I21" s="978"/>
      <c r="J21" s="978"/>
      <c r="K21" s="978"/>
      <c r="L21" s="978"/>
      <c r="M21" s="978"/>
      <c r="N21" s="978"/>
      <c r="O21" s="978"/>
      <c r="P21" s="978"/>
      <c r="Q21" s="978"/>
      <c r="R21" s="978">
        <v>1800000000</v>
      </c>
      <c r="S21" s="978">
        <v>2700000000</v>
      </c>
      <c r="T21" s="978">
        <v>1900000000</v>
      </c>
      <c r="U21" s="1387">
        <v>0</v>
      </c>
      <c r="V21" s="1387">
        <v>0</v>
      </c>
      <c r="W21" s="1387">
        <v>0</v>
      </c>
      <c r="X21" s="1388">
        <v>0</v>
      </c>
      <c r="Y21" s="1050">
        <v>0</v>
      </c>
      <c r="Z21" s="1050">
        <v>0</v>
      </c>
      <c r="AA21" s="1050">
        <v>0</v>
      </c>
      <c r="AB21" s="2530"/>
      <c r="AC21" s="2530"/>
    </row>
    <row r="22" spans="1:29">
      <c r="A22" s="980" t="s">
        <v>391</v>
      </c>
      <c r="B22" s="988" t="s">
        <v>2944</v>
      </c>
      <c r="C22" s="982" t="s">
        <v>81</v>
      </c>
      <c r="D22" s="1386"/>
      <c r="E22" s="978">
        <v>3300000000</v>
      </c>
      <c r="F22" s="978">
        <v>1200000000</v>
      </c>
      <c r="G22" s="978">
        <v>4500000000</v>
      </c>
      <c r="H22" s="978">
        <v>7700000000</v>
      </c>
      <c r="I22" s="978">
        <v>2400000000</v>
      </c>
      <c r="J22" s="978">
        <v>4900000000</v>
      </c>
      <c r="K22" s="978">
        <v>6000000000</v>
      </c>
      <c r="L22" s="978">
        <v>5700000000</v>
      </c>
      <c r="M22" s="978">
        <v>7500000000</v>
      </c>
      <c r="N22" s="978">
        <v>8600000000</v>
      </c>
      <c r="O22" s="978">
        <v>12900000000</v>
      </c>
      <c r="P22" s="978">
        <v>11400000000</v>
      </c>
      <c r="Q22" s="978">
        <v>3500000000</v>
      </c>
      <c r="R22" s="978">
        <v>26900000000</v>
      </c>
      <c r="S22" s="978">
        <v>19400000000</v>
      </c>
      <c r="T22" s="978">
        <v>20000000000</v>
      </c>
      <c r="U22" s="1387">
        <v>16000000000</v>
      </c>
      <c r="V22" s="1387">
        <v>19800000000</v>
      </c>
      <c r="W22" s="1387">
        <v>23700000000</v>
      </c>
      <c r="X22" s="1388">
        <v>27300000000</v>
      </c>
      <c r="Y22" s="1050">
        <v>31300000000</v>
      </c>
      <c r="Z22" s="1050">
        <v>34000000000</v>
      </c>
      <c r="AA22" s="1050">
        <v>37800000000</v>
      </c>
      <c r="AB22" s="2530"/>
      <c r="AC22" s="2530"/>
    </row>
    <row r="23" spans="1:29">
      <c r="A23" s="980" t="s">
        <v>90</v>
      </c>
      <c r="B23" s="988" t="s">
        <v>2945</v>
      </c>
      <c r="C23" s="982" t="s">
        <v>81</v>
      </c>
      <c r="D23" s="1386"/>
      <c r="E23" s="978">
        <v>12200000000</v>
      </c>
      <c r="F23" s="978">
        <v>6900000000</v>
      </c>
      <c r="G23" s="987">
        <v>7800000000</v>
      </c>
      <c r="H23" s="987">
        <v>8700000000</v>
      </c>
      <c r="I23" s="978">
        <v>6700000000</v>
      </c>
      <c r="J23" s="978">
        <v>5000000000</v>
      </c>
      <c r="K23" s="978">
        <v>5800000000</v>
      </c>
      <c r="L23" s="978">
        <v>7300000000</v>
      </c>
      <c r="M23" s="978">
        <v>1800000000</v>
      </c>
      <c r="N23" s="978">
        <v>700000000</v>
      </c>
      <c r="O23" s="1394">
        <v>600000000</v>
      </c>
      <c r="P23" s="1394">
        <v>100000000</v>
      </c>
      <c r="Q23" s="978">
        <v>400000000</v>
      </c>
      <c r="R23" s="978">
        <v>2700000000</v>
      </c>
      <c r="S23" s="978">
        <v>4600000000</v>
      </c>
      <c r="T23" s="978">
        <v>5100000000</v>
      </c>
      <c r="U23" s="1387">
        <v>4099999999.9999995</v>
      </c>
      <c r="V23" s="1387">
        <v>6500000000</v>
      </c>
      <c r="W23" s="1387">
        <v>5400000000</v>
      </c>
      <c r="X23" s="1388">
        <v>4400000000</v>
      </c>
      <c r="Y23" s="1050">
        <v>4300000000</v>
      </c>
      <c r="Z23" s="1050">
        <v>4300000000</v>
      </c>
      <c r="AA23" s="1050">
        <v>4300000000</v>
      </c>
      <c r="AB23" s="2530"/>
      <c r="AC23" s="2530"/>
    </row>
    <row r="24" spans="1:29">
      <c r="A24" s="1395" t="s">
        <v>517</v>
      </c>
      <c r="B24" s="997" t="s">
        <v>2946</v>
      </c>
      <c r="C24" s="982" t="s">
        <v>211</v>
      </c>
      <c r="D24" s="1386"/>
      <c r="E24" s="978">
        <v>600000000</v>
      </c>
      <c r="F24" s="978">
        <v>800000000</v>
      </c>
      <c r="G24" s="987"/>
      <c r="H24" s="987"/>
      <c r="I24" s="987"/>
      <c r="J24" s="987"/>
      <c r="K24" s="978">
        <v>700000000</v>
      </c>
      <c r="L24" s="978">
        <v>1300000000</v>
      </c>
      <c r="M24" s="978">
        <v>0</v>
      </c>
      <c r="N24" s="978">
        <v>200000000</v>
      </c>
      <c r="O24" s="978">
        <v>200000000</v>
      </c>
      <c r="P24" s="978">
        <v>0</v>
      </c>
      <c r="Q24" s="978">
        <v>0</v>
      </c>
      <c r="R24" s="978"/>
      <c r="S24" s="978"/>
      <c r="T24" s="978"/>
      <c r="U24" s="1387"/>
      <c r="V24" s="1387"/>
      <c r="W24" s="1387"/>
      <c r="X24" s="1388"/>
      <c r="Y24" s="1050"/>
      <c r="Z24" s="1050"/>
      <c r="AA24" s="1050"/>
      <c r="AB24" s="2530"/>
      <c r="AC24" s="2530"/>
    </row>
    <row r="25" spans="1:29">
      <c r="A25" s="1395" t="s">
        <v>583</v>
      </c>
      <c r="B25" s="997" t="s">
        <v>2947</v>
      </c>
      <c r="C25" s="982" t="s">
        <v>211</v>
      </c>
      <c r="D25" s="1386"/>
      <c r="E25" s="978">
        <v>11600000000</v>
      </c>
      <c r="F25" s="978">
        <v>6100000000</v>
      </c>
      <c r="G25" s="987"/>
      <c r="H25" s="987"/>
      <c r="I25" s="987"/>
      <c r="J25" s="987"/>
      <c r="K25" s="978">
        <v>5100000000</v>
      </c>
      <c r="L25" s="978">
        <v>6000000000</v>
      </c>
      <c r="M25" s="978">
        <v>1700000000</v>
      </c>
      <c r="N25" s="978">
        <v>500000000</v>
      </c>
      <c r="O25" s="978">
        <v>300000000</v>
      </c>
      <c r="P25" s="978">
        <v>100000000</v>
      </c>
      <c r="Q25" s="978">
        <v>400000000</v>
      </c>
      <c r="R25" s="2531"/>
      <c r="S25" s="2531"/>
      <c r="T25" s="2531"/>
      <c r="U25" s="2532"/>
      <c r="V25" s="2532"/>
      <c r="W25" s="2532"/>
      <c r="X25" s="2533"/>
      <c r="Y25" s="2538"/>
      <c r="Z25" s="2538"/>
      <c r="AA25" s="1050"/>
      <c r="AB25" s="2530"/>
      <c r="AC25" s="2530"/>
    </row>
    <row r="26" spans="1:29">
      <c r="A26" s="981" t="s">
        <v>2812</v>
      </c>
      <c r="B26" s="981" t="s">
        <v>2948</v>
      </c>
      <c r="C26" s="982" t="s">
        <v>75</v>
      </c>
      <c r="E26" s="978">
        <v>21600000000</v>
      </c>
      <c r="F26" s="978">
        <v>12700000000</v>
      </c>
      <c r="G26" s="978">
        <v>17900000000</v>
      </c>
      <c r="H26" s="978">
        <v>28300000000</v>
      </c>
      <c r="I26" s="978">
        <v>23100000000</v>
      </c>
      <c r="J26" s="978">
        <v>19700000000</v>
      </c>
      <c r="K26" s="978">
        <v>24400000000</v>
      </c>
      <c r="L26" s="978">
        <v>40000000000</v>
      </c>
      <c r="M26" s="978">
        <v>36000000000</v>
      </c>
      <c r="N26" s="978">
        <v>36200000000</v>
      </c>
      <c r="O26" s="978">
        <v>37000000000</v>
      </c>
      <c r="P26" s="978">
        <v>7200000000</v>
      </c>
      <c r="Q26" s="978">
        <v>18300000000</v>
      </c>
      <c r="R26" s="2531">
        <v>39500000000</v>
      </c>
      <c r="S26" s="2531">
        <v>49500000000</v>
      </c>
      <c r="T26" s="2531">
        <v>42500000000</v>
      </c>
      <c r="U26" s="2532">
        <v>54900000000</v>
      </c>
      <c r="V26" s="2532">
        <v>70100000000</v>
      </c>
      <c r="W26" s="2532">
        <v>75400000000</v>
      </c>
      <c r="X26" s="2533">
        <v>83300000000</v>
      </c>
      <c r="Y26" s="2538">
        <v>93100000000</v>
      </c>
      <c r="Z26" s="2538">
        <v>101500000000</v>
      </c>
      <c r="AA26" s="1050">
        <v>111500000000</v>
      </c>
      <c r="AB26" s="2530"/>
      <c r="AC26" s="2530"/>
    </row>
    <row r="27" spans="1:29">
      <c r="A27" s="988" t="s">
        <v>2949</v>
      </c>
      <c r="B27" s="988" t="s">
        <v>2950</v>
      </c>
      <c r="C27" s="982" t="s">
        <v>95</v>
      </c>
      <c r="E27" s="978">
        <v>20000000000</v>
      </c>
      <c r="F27" s="978">
        <v>12700000000</v>
      </c>
      <c r="G27" s="978">
        <v>15300000000</v>
      </c>
      <c r="H27" s="978">
        <v>15800000000</v>
      </c>
      <c r="I27" s="978">
        <v>22400000000</v>
      </c>
      <c r="J27" s="978">
        <v>17400000000</v>
      </c>
      <c r="K27" s="978">
        <v>23400000000</v>
      </c>
      <c r="L27" s="978">
        <v>39600000000</v>
      </c>
      <c r="M27" s="978">
        <v>35700000000</v>
      </c>
      <c r="N27" s="978">
        <v>35800000000</v>
      </c>
      <c r="O27" s="1394">
        <v>36900000000</v>
      </c>
      <c r="P27" s="1394">
        <v>7100000000</v>
      </c>
      <c r="Q27" s="978">
        <v>18300000000</v>
      </c>
      <c r="R27" s="2534">
        <f>R28+R29</f>
        <v>39400000000</v>
      </c>
      <c r="S27" s="2534"/>
      <c r="T27" s="2534"/>
      <c r="U27" s="2534"/>
      <c r="V27" s="2534"/>
      <c r="W27" s="2534"/>
      <c r="X27" s="2534"/>
      <c r="Y27" s="2534"/>
      <c r="Z27" s="2534"/>
      <c r="AA27" s="1050"/>
      <c r="AB27" s="2530"/>
      <c r="AC27" s="2530"/>
    </row>
    <row r="28" spans="1:29">
      <c r="A28" s="997" t="s">
        <v>239</v>
      </c>
      <c r="B28" s="997" t="s">
        <v>2897</v>
      </c>
      <c r="C28" s="982" t="s">
        <v>2951</v>
      </c>
      <c r="E28" s="978">
        <v>2500000000</v>
      </c>
      <c r="F28" s="978">
        <v>700000000</v>
      </c>
      <c r="G28" s="978">
        <v>100000000</v>
      </c>
      <c r="H28" s="978">
        <v>500000000</v>
      </c>
      <c r="I28" s="978">
        <v>1100000000</v>
      </c>
      <c r="J28" s="978">
        <v>400000000</v>
      </c>
      <c r="K28" s="987"/>
      <c r="L28" s="978">
        <v>1200000000</v>
      </c>
      <c r="M28" s="978">
        <v>1000000000</v>
      </c>
      <c r="N28" s="978">
        <v>500000000</v>
      </c>
      <c r="O28" s="978">
        <v>1800000000</v>
      </c>
      <c r="P28" s="978">
        <v>600000000</v>
      </c>
      <c r="Q28" s="978">
        <v>0</v>
      </c>
      <c r="R28" s="2531">
        <v>200000000</v>
      </c>
      <c r="S28" s="2531">
        <v>4900000000</v>
      </c>
      <c r="T28" s="2531">
        <v>1600000000</v>
      </c>
      <c r="U28" s="2532">
        <v>2200000000</v>
      </c>
      <c r="V28" s="2532">
        <v>6000000000</v>
      </c>
      <c r="W28" s="2532">
        <v>8100000000</v>
      </c>
      <c r="X28" s="2533">
        <v>10100000000</v>
      </c>
      <c r="Y28" s="2538">
        <v>13500000000</v>
      </c>
      <c r="Z28" s="2538">
        <v>14900000000</v>
      </c>
      <c r="AA28" s="1050">
        <v>18500000000</v>
      </c>
      <c r="AB28" s="2530"/>
      <c r="AC28" s="2530"/>
    </row>
    <row r="29" spans="1:29">
      <c r="A29" s="997" t="s">
        <v>242</v>
      </c>
      <c r="B29" s="997" t="s">
        <v>2952</v>
      </c>
      <c r="C29" s="982" t="s">
        <v>2951</v>
      </c>
      <c r="E29" s="978">
        <v>17500000000</v>
      </c>
      <c r="F29" s="978">
        <v>12000000000</v>
      </c>
      <c r="G29" s="978">
        <v>15200000000</v>
      </c>
      <c r="H29" s="978">
        <v>15300000000</v>
      </c>
      <c r="I29" s="978">
        <v>21400000000</v>
      </c>
      <c r="J29" s="978">
        <v>17000000000</v>
      </c>
      <c r="K29" s="987"/>
      <c r="L29" s="978">
        <v>38400000000</v>
      </c>
      <c r="M29" s="978">
        <v>34600000000</v>
      </c>
      <c r="N29" s="978">
        <v>35400000000</v>
      </c>
      <c r="O29" s="978">
        <v>35100000000</v>
      </c>
      <c r="P29" s="978">
        <v>6500000000</v>
      </c>
      <c r="Q29" s="978">
        <v>18300000000</v>
      </c>
      <c r="R29" s="2531">
        <v>39200000000</v>
      </c>
      <c r="S29" s="2531">
        <v>44600000000</v>
      </c>
      <c r="T29" s="2531">
        <v>40900000000</v>
      </c>
      <c r="U29" s="2532">
        <v>52700000000</v>
      </c>
      <c r="V29" s="2532">
        <v>64099999999.999992</v>
      </c>
      <c r="W29" s="2532">
        <v>67300000000</v>
      </c>
      <c r="X29" s="2533">
        <v>73300000000</v>
      </c>
      <c r="Y29" s="2538">
        <v>79700000000</v>
      </c>
      <c r="Z29" s="2538">
        <v>86600000000</v>
      </c>
      <c r="AA29" s="1050">
        <v>92900000000</v>
      </c>
      <c r="AB29" s="2530"/>
      <c r="AC29" s="2530"/>
    </row>
    <row r="30" spans="1:29">
      <c r="A30" s="988" t="s">
        <v>2953</v>
      </c>
      <c r="B30" s="988" t="s">
        <v>2954</v>
      </c>
      <c r="C30" s="982" t="s">
        <v>95</v>
      </c>
      <c r="E30" s="978">
        <v>1700000000</v>
      </c>
      <c r="F30" s="978">
        <v>0</v>
      </c>
      <c r="G30" s="978">
        <v>2700000000</v>
      </c>
      <c r="H30" s="978">
        <v>12500000000</v>
      </c>
      <c r="I30" s="978">
        <v>600000000</v>
      </c>
      <c r="J30" s="978">
        <v>2300000000</v>
      </c>
      <c r="K30" s="978">
        <v>1000000000</v>
      </c>
      <c r="L30" s="978">
        <v>400000000</v>
      </c>
      <c r="M30" s="978">
        <v>300000000</v>
      </c>
      <c r="N30" s="978">
        <v>400000000</v>
      </c>
      <c r="O30" s="1394">
        <v>100000000</v>
      </c>
      <c r="P30" s="1394">
        <v>100000000</v>
      </c>
      <c r="Q30" s="978">
        <v>0</v>
      </c>
      <c r="R30" s="2534"/>
      <c r="S30" s="2531"/>
      <c r="T30" s="2534"/>
      <c r="U30" s="2532"/>
      <c r="V30" s="2532"/>
      <c r="W30" s="2532"/>
      <c r="X30" s="2533"/>
      <c r="Y30" s="2538"/>
      <c r="Z30" s="2538"/>
      <c r="AA30" s="1050"/>
      <c r="AB30" s="2530"/>
      <c r="AC30" s="2530"/>
    </row>
    <row r="31" spans="1:29">
      <c r="A31" s="997" t="s">
        <v>239</v>
      </c>
      <c r="B31" s="997" t="s">
        <v>2897</v>
      </c>
      <c r="C31" s="982" t="s">
        <v>2955</v>
      </c>
      <c r="E31" s="978">
        <v>0</v>
      </c>
      <c r="F31" s="978">
        <v>0</v>
      </c>
      <c r="G31" s="987"/>
      <c r="H31" s="987"/>
      <c r="I31" s="978">
        <v>600000000</v>
      </c>
      <c r="J31" s="978">
        <v>1600000000</v>
      </c>
      <c r="K31" s="987"/>
      <c r="L31" s="978">
        <v>400000000</v>
      </c>
      <c r="M31" s="978">
        <v>300000000</v>
      </c>
      <c r="N31" s="978">
        <v>400000000</v>
      </c>
      <c r="O31" s="978">
        <v>100000000</v>
      </c>
      <c r="P31" s="978">
        <v>100000000</v>
      </c>
      <c r="Q31" s="978">
        <v>0</v>
      </c>
      <c r="R31" s="978"/>
      <c r="S31" s="978"/>
      <c r="T31" s="978"/>
      <c r="U31" s="1387"/>
      <c r="V31" s="1387"/>
      <c r="W31" s="1387"/>
      <c r="X31" s="1388"/>
      <c r="Y31" s="1050"/>
      <c r="Z31" s="1050"/>
      <c r="AA31" s="1050"/>
      <c r="AB31" s="2530"/>
      <c r="AC31" s="2530"/>
    </row>
    <row r="32" spans="1:29">
      <c r="A32" s="997" t="s">
        <v>242</v>
      </c>
      <c r="B32" s="997" t="s">
        <v>2952</v>
      </c>
      <c r="C32" s="982" t="s">
        <v>2955</v>
      </c>
      <c r="E32" s="978">
        <v>1700000000</v>
      </c>
      <c r="F32" s="978">
        <v>0</v>
      </c>
      <c r="G32" s="987"/>
      <c r="H32" s="987"/>
      <c r="I32" s="978">
        <v>0</v>
      </c>
      <c r="J32" s="978">
        <v>700000000</v>
      </c>
      <c r="K32" s="987"/>
      <c r="L32" s="987"/>
      <c r="M32" s="987"/>
      <c r="N32" s="987"/>
      <c r="O32" s="978">
        <v>0</v>
      </c>
      <c r="P32" s="978">
        <v>0</v>
      </c>
      <c r="Q32" s="978">
        <v>0</v>
      </c>
      <c r="R32" s="978"/>
      <c r="S32" s="978"/>
      <c r="T32" s="978"/>
      <c r="U32" s="1387"/>
      <c r="V32" s="1387"/>
      <c r="W32" s="1387"/>
      <c r="X32" s="1388"/>
      <c r="Y32" s="1050"/>
      <c r="Z32" s="1050"/>
      <c r="AA32" s="1050"/>
      <c r="AB32" s="2530"/>
      <c r="AC32" s="2530"/>
    </row>
    <row r="33" spans="1:29">
      <c r="A33" s="972" t="s">
        <v>76</v>
      </c>
      <c r="B33" s="981" t="s">
        <v>2956</v>
      </c>
      <c r="C33" s="981"/>
      <c r="E33" s="978">
        <v>-17100000000.000002</v>
      </c>
      <c r="F33" s="978">
        <v>-16100000000.000002</v>
      </c>
      <c r="G33" s="978">
        <v>-17700000000</v>
      </c>
      <c r="H33" s="978">
        <v>-21400000000</v>
      </c>
      <c r="I33" s="978">
        <v>-18900000000</v>
      </c>
      <c r="J33" s="978">
        <v>-15600000000</v>
      </c>
      <c r="K33" s="978">
        <v>-19900000000</v>
      </c>
      <c r="L33" s="978">
        <v>-3100000000</v>
      </c>
      <c r="M33" s="978">
        <v>14300000000</v>
      </c>
      <c r="N33" s="978">
        <v>-900000000</v>
      </c>
      <c r="O33" s="978">
        <v>-7300000000</v>
      </c>
      <c r="P33" s="978">
        <v>-11400000000</v>
      </c>
      <c r="Q33" s="978">
        <v>-9200000000</v>
      </c>
      <c r="R33" s="978">
        <v>-13700000000</v>
      </c>
      <c r="S33" s="978">
        <v>-18300000000</v>
      </c>
      <c r="T33" s="978">
        <v>-32500000000</v>
      </c>
      <c r="U33" s="1387">
        <v>-10100000000</v>
      </c>
      <c r="V33" s="1387">
        <v>-20900000000</v>
      </c>
      <c r="W33" s="1387">
        <v>-19900000000</v>
      </c>
      <c r="X33" s="1388">
        <v>-19500000000</v>
      </c>
      <c r="Y33" s="1050">
        <v>-21500000000</v>
      </c>
      <c r="Z33" s="1050">
        <v>-23100000000</v>
      </c>
      <c r="AA33" s="1050">
        <v>-23100000000</v>
      </c>
      <c r="AB33" s="2530"/>
      <c r="AC33" s="2530"/>
    </row>
    <row r="34" spans="1:29">
      <c r="A34" s="972" t="s">
        <v>76</v>
      </c>
      <c r="B34" s="981" t="s">
        <v>2957</v>
      </c>
      <c r="C34" s="981"/>
      <c r="E34" s="978">
        <v>-38300000000</v>
      </c>
      <c r="F34" s="978">
        <v>-24700000000</v>
      </c>
      <c r="G34" s="978">
        <v>-32000000000</v>
      </c>
      <c r="H34" s="978">
        <v>-45900000000</v>
      </c>
      <c r="I34" s="978">
        <v>-39100000000</v>
      </c>
      <c r="J34" s="978">
        <v>-34800000000</v>
      </c>
      <c r="K34" s="978">
        <v>-47000000000</v>
      </c>
      <c r="L34" s="978">
        <v>-57800000000</v>
      </c>
      <c r="M34" s="978">
        <v>-47800000000</v>
      </c>
      <c r="N34" s="978">
        <v>-40900000000</v>
      </c>
      <c r="O34" s="978">
        <v>-41800000000</v>
      </c>
      <c r="P34" s="978">
        <v>-23500000000</v>
      </c>
      <c r="Q34" s="978">
        <v>-26900000000</v>
      </c>
      <c r="R34" s="978">
        <v>-63100000000</v>
      </c>
      <c r="S34" s="978">
        <v>-58400000000</v>
      </c>
      <c r="T34" s="978">
        <v>-60100000000</v>
      </c>
      <c r="U34" s="1387">
        <v>-52900000000</v>
      </c>
      <c r="V34" s="1387">
        <v>-60000000000</v>
      </c>
      <c r="W34" s="1387">
        <v>-63900000000</v>
      </c>
      <c r="X34" s="1388">
        <v>-68200000000</v>
      </c>
      <c r="Y34" s="1050">
        <v>-75000000000</v>
      </c>
      <c r="Z34" s="1050">
        <v>-82000000000</v>
      </c>
      <c r="AA34" s="1050">
        <v>-88000000000</v>
      </c>
      <c r="AB34" s="2530"/>
      <c r="AC34" s="2530"/>
    </row>
    <row r="35" spans="1:29">
      <c r="B35" s="981" t="s">
        <v>2958</v>
      </c>
      <c r="C35" s="981"/>
      <c r="E35" s="978"/>
      <c r="F35" s="978"/>
      <c r="G35" s="978"/>
      <c r="H35" s="978"/>
      <c r="I35" s="978"/>
      <c r="J35" s="978"/>
      <c r="K35" s="978"/>
      <c r="L35" s="978"/>
      <c r="M35" s="978"/>
      <c r="N35" s="978"/>
      <c r="O35" s="978"/>
      <c r="P35" s="978"/>
      <c r="Q35" s="978"/>
      <c r="R35" s="978">
        <v>-1800000000</v>
      </c>
      <c r="S35" s="978">
        <v>-6100000000</v>
      </c>
      <c r="T35" s="978">
        <v>-1500000000</v>
      </c>
      <c r="U35" s="1387">
        <v>-3100000000</v>
      </c>
      <c r="V35" s="1387">
        <v>-3000000000</v>
      </c>
      <c r="W35" s="1387">
        <v>-3300000000</v>
      </c>
      <c r="X35" s="1388">
        <v>-2200000000</v>
      </c>
      <c r="Y35" s="1050">
        <v>-2000000000</v>
      </c>
      <c r="Z35" s="1050">
        <v>-1700000000</v>
      </c>
      <c r="AA35" s="1050">
        <v>-1200000000</v>
      </c>
      <c r="AB35" s="2530"/>
      <c r="AC35" s="2530"/>
    </row>
    <row r="36" spans="1:29">
      <c r="A36" s="972" t="s">
        <v>76</v>
      </c>
      <c r="B36" s="981" t="s">
        <v>2959</v>
      </c>
      <c r="C36" s="981"/>
      <c r="E36" s="978">
        <v>1900000000</v>
      </c>
      <c r="F36" s="978">
        <v>1400000000</v>
      </c>
      <c r="G36" s="978">
        <v>14800000000</v>
      </c>
      <c r="H36" s="978">
        <v>1500000000</v>
      </c>
      <c r="I36" s="978">
        <v>-100000000</v>
      </c>
      <c r="J36" s="978">
        <v>5500000000</v>
      </c>
      <c r="K36" s="978">
        <v>4200000000</v>
      </c>
      <c r="L36" s="978">
        <v>4800000000</v>
      </c>
      <c r="M36" s="978">
        <v>-4900000000</v>
      </c>
      <c r="N36" s="978">
        <v>-7700000000</v>
      </c>
      <c r="O36" s="978">
        <v>-3200000000</v>
      </c>
      <c r="P36" s="978">
        <v>3500000000</v>
      </c>
      <c r="Q36" s="978">
        <v>9700000000</v>
      </c>
      <c r="R36" s="978">
        <v>-1800000000</v>
      </c>
      <c r="S36" s="978">
        <v>-5200000000</v>
      </c>
      <c r="T36" s="978">
        <v>-2100000000</v>
      </c>
      <c r="U36" s="1387">
        <v>-2400000000</v>
      </c>
      <c r="V36" s="1387">
        <v>-3000000000</v>
      </c>
      <c r="W36" s="1387">
        <v>-3300000000</v>
      </c>
      <c r="X36" s="1388">
        <v>-2200000000</v>
      </c>
      <c r="Y36" s="1050">
        <v>-2000000000</v>
      </c>
      <c r="Z36" s="1050">
        <v>-1700000000</v>
      </c>
      <c r="AA36" s="1050">
        <v>-1200000000</v>
      </c>
      <c r="AB36" s="2530"/>
      <c r="AC36" s="2530"/>
    </row>
    <row r="37" spans="1:29">
      <c r="A37" s="972" t="s">
        <v>76</v>
      </c>
      <c r="B37" s="981" t="s">
        <v>2960</v>
      </c>
      <c r="E37" s="978">
        <v>1900000000</v>
      </c>
      <c r="F37" s="978">
        <v>5300000000</v>
      </c>
      <c r="G37" s="978">
        <v>17700000000</v>
      </c>
      <c r="H37" s="978">
        <v>3900000000</v>
      </c>
      <c r="I37" s="978">
        <v>4200000000</v>
      </c>
      <c r="J37" s="978">
        <v>7900000000</v>
      </c>
      <c r="K37" s="978">
        <v>7800000000</v>
      </c>
      <c r="L37" s="978">
        <v>10700000000</v>
      </c>
      <c r="M37" s="978">
        <v>0</v>
      </c>
      <c r="N37" s="978">
        <v>0</v>
      </c>
      <c r="O37" s="978">
        <v>0</v>
      </c>
      <c r="P37" s="978">
        <v>3500000000</v>
      </c>
      <c r="Q37" s="978">
        <v>9700000000</v>
      </c>
      <c r="R37" s="978">
        <v>2200000000</v>
      </c>
      <c r="S37" s="978">
        <v>2200000000</v>
      </c>
      <c r="T37" s="978">
        <v>4000000000</v>
      </c>
      <c r="U37" s="1387">
        <v>0</v>
      </c>
      <c r="V37" s="1387">
        <v>0</v>
      </c>
      <c r="W37" s="1387">
        <v>0</v>
      </c>
      <c r="X37" s="1388">
        <v>0</v>
      </c>
      <c r="Y37" s="1050">
        <v>0</v>
      </c>
      <c r="Z37" s="1050">
        <v>0</v>
      </c>
      <c r="AA37" s="1050">
        <v>0</v>
      </c>
      <c r="AB37" s="2530"/>
      <c r="AC37" s="2530"/>
    </row>
    <row r="38" spans="1:29">
      <c r="A38" s="972" t="s">
        <v>76</v>
      </c>
      <c r="B38" s="981" t="s">
        <v>2961</v>
      </c>
      <c r="E38" s="978">
        <v>0</v>
      </c>
      <c r="F38" s="978">
        <v>-3900000000</v>
      </c>
      <c r="G38" s="978">
        <v>-2900000000</v>
      </c>
      <c r="H38" s="978">
        <v>-2400000000</v>
      </c>
      <c r="I38" s="978">
        <v>-4300000000</v>
      </c>
      <c r="J38" s="978">
        <v>-2300000000</v>
      </c>
      <c r="K38" s="978">
        <v>-3600000000</v>
      </c>
      <c r="L38" s="978">
        <v>-5900000000</v>
      </c>
      <c r="M38" s="978">
        <v>-4900000000</v>
      </c>
      <c r="N38" s="978">
        <v>-7700000000</v>
      </c>
      <c r="O38" s="978">
        <v>-3200000000</v>
      </c>
      <c r="P38" s="978">
        <v>0</v>
      </c>
      <c r="Q38" s="978">
        <v>0</v>
      </c>
      <c r="R38" s="978">
        <v>-4000000000</v>
      </c>
      <c r="S38" s="978">
        <v>-7400000000</v>
      </c>
      <c r="T38" s="978">
        <v>-6100000000</v>
      </c>
      <c r="U38" s="1387">
        <v>-2400000000</v>
      </c>
      <c r="V38" s="1387">
        <v>-3000000000</v>
      </c>
      <c r="W38" s="1387">
        <v>-3300000000</v>
      </c>
      <c r="X38" s="1388">
        <v>-2200000000</v>
      </c>
      <c r="Y38" s="1050">
        <v>-2000000000</v>
      </c>
      <c r="Z38" s="1050">
        <v>-1700000000</v>
      </c>
      <c r="AA38" s="1050">
        <v>-1200000000</v>
      </c>
      <c r="AB38" s="2530"/>
      <c r="AC38" s="2530"/>
    </row>
    <row r="39" spans="1:29">
      <c r="A39" s="972" t="s">
        <v>76</v>
      </c>
      <c r="B39" s="981" t="s">
        <v>2962</v>
      </c>
      <c r="C39" s="981"/>
      <c r="E39" s="978">
        <v>2800000000</v>
      </c>
      <c r="F39" s="978">
        <v>2800000000</v>
      </c>
      <c r="G39" s="978">
        <v>5800000000</v>
      </c>
      <c r="H39" s="978">
        <v>4500000000</v>
      </c>
      <c r="I39" s="978">
        <v>3800000000</v>
      </c>
      <c r="J39" s="978">
        <v>3200000000</v>
      </c>
      <c r="K39" s="978">
        <v>4500000000</v>
      </c>
      <c r="L39" s="978">
        <v>5200000000</v>
      </c>
      <c r="M39" s="978">
        <v>1300000000</v>
      </c>
      <c r="N39" s="978">
        <v>0</v>
      </c>
      <c r="O39" s="978">
        <v>0</v>
      </c>
      <c r="P39" s="978">
        <v>0</v>
      </c>
      <c r="Q39" s="978">
        <v>0</v>
      </c>
      <c r="R39" s="978">
        <v>0</v>
      </c>
      <c r="S39" s="978">
        <v>-900000000</v>
      </c>
      <c r="T39" s="978">
        <v>600000000</v>
      </c>
      <c r="U39" s="1387">
        <v>-800000000</v>
      </c>
      <c r="V39" s="1387">
        <v>0</v>
      </c>
      <c r="W39" s="1387">
        <v>0</v>
      </c>
      <c r="X39" s="1388">
        <v>0</v>
      </c>
      <c r="Y39" s="1050">
        <v>0</v>
      </c>
      <c r="Z39" s="1050">
        <v>0</v>
      </c>
      <c r="AA39" s="1050">
        <v>0</v>
      </c>
      <c r="AB39" s="2530"/>
      <c r="AC39" s="2530"/>
    </row>
    <row r="40" spans="1:29">
      <c r="B40" s="981" t="s">
        <v>91</v>
      </c>
      <c r="C40" s="981"/>
      <c r="E40" s="978"/>
      <c r="F40" s="978"/>
      <c r="G40" s="978"/>
      <c r="H40" s="978"/>
      <c r="I40" s="978"/>
      <c r="J40" s="978"/>
      <c r="K40" s="978"/>
      <c r="L40" s="978"/>
      <c r="M40" s="978"/>
      <c r="N40" s="978"/>
      <c r="O40" s="978"/>
      <c r="P40" s="978"/>
      <c r="Q40" s="978"/>
      <c r="R40" s="978">
        <v>0</v>
      </c>
      <c r="S40" s="978">
        <v>-400000000</v>
      </c>
      <c r="T40" s="978">
        <v>300000000</v>
      </c>
      <c r="U40" s="1387">
        <v>-300000000</v>
      </c>
      <c r="V40" s="1387">
        <v>0</v>
      </c>
      <c r="W40" s="1387">
        <v>0</v>
      </c>
      <c r="X40" s="1388">
        <v>0</v>
      </c>
      <c r="Y40" s="1050">
        <v>0</v>
      </c>
      <c r="Z40" s="1050">
        <v>0</v>
      </c>
      <c r="AA40" s="1050">
        <v>0</v>
      </c>
      <c r="AB40" s="2530"/>
      <c r="AC40" s="2530"/>
    </row>
    <row r="41" spans="1:29">
      <c r="B41" s="981" t="s">
        <v>50</v>
      </c>
      <c r="C41" s="981"/>
      <c r="E41" s="978"/>
      <c r="F41" s="978"/>
      <c r="G41" s="978"/>
      <c r="H41" s="978"/>
      <c r="I41" s="978"/>
      <c r="J41" s="978"/>
      <c r="K41" s="978"/>
      <c r="L41" s="978"/>
      <c r="M41" s="978"/>
      <c r="N41" s="978"/>
      <c r="O41" s="978"/>
      <c r="P41" s="978"/>
      <c r="Q41" s="978"/>
      <c r="R41" s="978">
        <v>0</v>
      </c>
      <c r="S41" s="978">
        <v>-500000000</v>
      </c>
      <c r="T41" s="978">
        <v>300000000</v>
      </c>
      <c r="U41" s="1387">
        <v>-500000000</v>
      </c>
      <c r="V41" s="1387">
        <v>0</v>
      </c>
      <c r="W41" s="1387">
        <v>0</v>
      </c>
      <c r="X41" s="1388">
        <v>0</v>
      </c>
      <c r="Y41" s="1050">
        <v>0</v>
      </c>
      <c r="Z41" s="1050">
        <v>0</v>
      </c>
      <c r="AA41" s="1050">
        <v>0</v>
      </c>
      <c r="AB41" s="2530"/>
      <c r="AC41" s="2530"/>
    </row>
    <row r="42" spans="1:29">
      <c r="B42" s="981" t="s">
        <v>2963</v>
      </c>
      <c r="C42" s="981"/>
      <c r="E42" s="978"/>
      <c r="F42" s="978"/>
      <c r="G42" s="978"/>
      <c r="H42" s="978"/>
      <c r="I42" s="978"/>
      <c r="J42" s="978"/>
      <c r="K42" s="978"/>
      <c r="L42" s="978"/>
      <c r="M42" s="978"/>
      <c r="N42" s="978"/>
      <c r="O42" s="978"/>
      <c r="P42" s="978"/>
      <c r="Q42" s="978"/>
      <c r="R42" s="978"/>
      <c r="S42" s="978"/>
      <c r="T42" s="978"/>
      <c r="U42" s="1387"/>
      <c r="V42" s="1387"/>
      <c r="W42" s="1387"/>
      <c r="X42" s="1388"/>
      <c r="Y42" s="1050"/>
      <c r="Z42" s="1050"/>
      <c r="AA42" s="1050"/>
      <c r="AB42" s="2530"/>
      <c r="AC42" s="2530"/>
    </row>
    <row r="43" spans="1:29">
      <c r="A43" s="972" t="s">
        <v>76</v>
      </c>
      <c r="B43" s="981" t="s">
        <v>2964</v>
      </c>
      <c r="E43" s="978">
        <v>-2800000000</v>
      </c>
      <c r="F43" s="978">
        <v>1500000000</v>
      </c>
      <c r="G43" s="978">
        <v>-6900000000</v>
      </c>
      <c r="H43" s="978">
        <v>2000000000</v>
      </c>
      <c r="I43" s="978">
        <v>-1000000000</v>
      </c>
      <c r="J43" s="978">
        <v>-600000000</v>
      </c>
      <c r="K43" s="978">
        <v>-1100000000</v>
      </c>
      <c r="L43" s="978">
        <v>-400000000</v>
      </c>
      <c r="M43" s="978">
        <v>0</v>
      </c>
      <c r="N43" s="978">
        <v>-1800000000</v>
      </c>
      <c r="O43" s="978">
        <v>100000000</v>
      </c>
      <c r="P43" s="978">
        <v>-5800000000</v>
      </c>
      <c r="Q43" s="978">
        <v>9900000000</v>
      </c>
      <c r="R43" s="978">
        <v>-700000000</v>
      </c>
      <c r="S43" s="978">
        <v>1600000000</v>
      </c>
      <c r="T43" s="978">
        <v>4300000000</v>
      </c>
      <c r="U43" s="1387">
        <v>1300000000</v>
      </c>
      <c r="V43" s="1387">
        <v>0</v>
      </c>
      <c r="W43" s="1387">
        <v>0</v>
      </c>
      <c r="X43" s="1388">
        <v>0</v>
      </c>
      <c r="Y43" s="1050">
        <v>0</v>
      </c>
      <c r="Z43" s="1050">
        <v>0</v>
      </c>
      <c r="AA43" s="1050">
        <v>0</v>
      </c>
      <c r="AB43" s="2530"/>
      <c r="AC43" s="2530"/>
    </row>
    <row r="44" spans="1:29">
      <c r="A44" s="972" t="s">
        <v>76</v>
      </c>
      <c r="B44" s="981" t="s">
        <v>2965</v>
      </c>
      <c r="C44" s="981"/>
      <c r="E44" s="978">
        <v>-15300000000</v>
      </c>
      <c r="F44" s="978">
        <v>-10300000000</v>
      </c>
      <c r="G44" s="978">
        <v>-4000000000</v>
      </c>
      <c r="H44" s="978">
        <v>-13300000000</v>
      </c>
      <c r="I44" s="978">
        <v>-16200000000</v>
      </c>
      <c r="J44" s="978">
        <v>-7500000000</v>
      </c>
      <c r="K44" s="978">
        <v>-12300000000</v>
      </c>
      <c r="L44" s="978">
        <v>6400000000</v>
      </c>
      <c r="M44" s="978">
        <v>10700000000</v>
      </c>
      <c r="N44" s="978">
        <v>-10500000000</v>
      </c>
      <c r="O44" s="978">
        <v>-10400000000</v>
      </c>
      <c r="P44" s="978">
        <v>-13700000000</v>
      </c>
      <c r="Q44" s="978">
        <v>-9400000000</v>
      </c>
      <c r="R44" s="978">
        <v>-16200000000</v>
      </c>
      <c r="S44" s="978">
        <v>-22700000000</v>
      </c>
      <c r="T44" s="978">
        <v>-29700000000</v>
      </c>
      <c r="U44" s="1387">
        <v>-11900000000</v>
      </c>
      <c r="V44" s="1387">
        <v>-23900000000</v>
      </c>
      <c r="W44" s="1387">
        <v>-23200000000</v>
      </c>
      <c r="X44" s="1388">
        <v>-21700000000</v>
      </c>
      <c r="Y44" s="1050">
        <v>-23500000000</v>
      </c>
      <c r="Z44" s="1050">
        <v>-24800000000</v>
      </c>
      <c r="AA44" s="1050">
        <v>-24300000000</v>
      </c>
      <c r="AB44" s="2530"/>
      <c r="AC44" s="2530"/>
    </row>
    <row r="45" spans="1:29">
      <c r="A45" s="980" t="s">
        <v>76</v>
      </c>
      <c r="B45" s="981" t="s">
        <v>2966</v>
      </c>
      <c r="C45" s="975"/>
      <c r="E45" s="978">
        <v>15300000000</v>
      </c>
      <c r="F45" s="978">
        <v>10300000000</v>
      </c>
      <c r="G45" s="978">
        <v>4000000000</v>
      </c>
      <c r="H45" s="978">
        <v>13300000000</v>
      </c>
      <c r="I45" s="978">
        <v>16200000000</v>
      </c>
      <c r="J45" s="978">
        <v>7500000000</v>
      </c>
      <c r="K45" s="978">
        <v>12300000000</v>
      </c>
      <c r="L45" s="978">
        <v>-6400000000</v>
      </c>
      <c r="M45" s="978">
        <v>-10700000000</v>
      </c>
      <c r="N45" s="978">
        <v>10500000000</v>
      </c>
      <c r="O45" s="978">
        <v>10400000000</v>
      </c>
      <c r="P45" s="978">
        <v>13700000000</v>
      </c>
      <c r="Q45" s="978">
        <v>9400000000</v>
      </c>
      <c r="R45" s="978"/>
      <c r="S45" s="978"/>
      <c r="T45" s="978"/>
      <c r="U45" s="1387"/>
      <c r="V45" s="1387"/>
      <c r="W45" s="1387"/>
      <c r="X45" s="1388"/>
      <c r="Y45" s="1050"/>
      <c r="Z45" s="1050"/>
      <c r="AA45" s="1050"/>
      <c r="AB45" s="2530"/>
      <c r="AC45" s="2530"/>
    </row>
    <row r="46" spans="1:29" s="15" customFormat="1">
      <c r="A46" s="1390" t="s">
        <v>115</v>
      </c>
      <c r="B46" s="1379" t="s">
        <v>115</v>
      </c>
      <c r="C46" s="1380" t="s">
        <v>35</v>
      </c>
      <c r="D46" s="1385"/>
      <c r="E46" s="1382">
        <f t="shared" ref="E46:P46" si="1">E45-E64</f>
        <v>15300000000</v>
      </c>
      <c r="F46" s="1382">
        <f t="shared" si="1"/>
        <v>10300000000</v>
      </c>
      <c r="G46" s="1382">
        <f t="shared" si="1"/>
        <v>4000000000</v>
      </c>
      <c r="H46" s="1382">
        <f t="shared" si="1"/>
        <v>13300000000</v>
      </c>
      <c r="I46" s="1382">
        <f t="shared" si="1"/>
        <v>16200000000</v>
      </c>
      <c r="J46" s="998">
        <f>J47+J55</f>
        <v>7700000000</v>
      </c>
      <c r="K46" s="1382">
        <f t="shared" si="1"/>
        <v>25000000000</v>
      </c>
      <c r="L46" s="1382">
        <f t="shared" si="1"/>
        <v>-6400000000</v>
      </c>
      <c r="M46" s="1382">
        <f>M45-M64</f>
        <v>-10700000000</v>
      </c>
      <c r="N46" s="1382">
        <f>N47+N55</f>
        <v>10400000000</v>
      </c>
      <c r="O46" s="1382">
        <f t="shared" si="1"/>
        <v>10400000000</v>
      </c>
      <c r="P46" s="1382">
        <f t="shared" si="1"/>
        <v>13700000000</v>
      </c>
      <c r="Q46" s="1382">
        <f>Q45-Q64</f>
        <v>9400000000</v>
      </c>
      <c r="R46" s="1382">
        <f>R47+R55</f>
        <v>15900000000</v>
      </c>
      <c r="S46" s="1382">
        <v>22700000000</v>
      </c>
      <c r="T46" s="1382">
        <v>29700000000</v>
      </c>
      <c r="U46" s="1382">
        <v>11900000000</v>
      </c>
      <c r="V46" s="1382">
        <v>23900000000</v>
      </c>
      <c r="W46" s="1382">
        <v>23200000000</v>
      </c>
      <c r="X46" s="1382">
        <v>21700000000</v>
      </c>
      <c r="Y46" s="2537">
        <f>Y47+Y55</f>
        <v>28500000000</v>
      </c>
      <c r="Z46" s="2537">
        <f t="shared" ref="Z46:AA46" si="2">Z47+Z55</f>
        <v>30000000000</v>
      </c>
      <c r="AA46" s="2537">
        <f t="shared" si="2"/>
        <v>29100000000</v>
      </c>
      <c r="AB46" s="2530"/>
      <c r="AC46" s="2530"/>
    </row>
    <row r="47" spans="1:29">
      <c r="A47" s="980" t="s">
        <v>120</v>
      </c>
      <c r="B47" s="981" t="s">
        <v>2768</v>
      </c>
      <c r="C47" s="982" t="s">
        <v>119</v>
      </c>
      <c r="E47" s="978">
        <v>-700000000</v>
      </c>
      <c r="F47" s="978">
        <v>3600000000</v>
      </c>
      <c r="G47" s="978">
        <v>-5400000000</v>
      </c>
      <c r="H47" s="978">
        <v>-1600000000</v>
      </c>
      <c r="I47" s="978">
        <v>9300000000</v>
      </c>
      <c r="J47" s="978">
        <v>-1800000000</v>
      </c>
      <c r="K47" s="978">
        <v>8800000000</v>
      </c>
      <c r="L47" s="978">
        <v>-4600000000</v>
      </c>
      <c r="M47" s="978">
        <v>-10500000000</v>
      </c>
      <c r="N47" s="978">
        <v>7100000000</v>
      </c>
      <c r="O47" s="1394">
        <v>1100000000</v>
      </c>
      <c r="P47" s="1394">
        <v>9000000000</v>
      </c>
      <c r="Q47" s="1394">
        <v>4900000000</v>
      </c>
      <c r="R47" s="978">
        <v>3200000000</v>
      </c>
      <c r="S47" s="978">
        <v>21800000000</v>
      </c>
      <c r="T47" s="978">
        <v>26600000000</v>
      </c>
      <c r="U47" s="1387">
        <v>10800000000</v>
      </c>
      <c r="V47" s="1387">
        <v>21200000000</v>
      </c>
      <c r="W47" s="1387">
        <v>13500000000</v>
      </c>
      <c r="X47" s="1388">
        <v>5200000000</v>
      </c>
      <c r="Y47" s="1050">
        <f>Y49+Y54</f>
        <v>3500000000</v>
      </c>
      <c r="Z47" s="1050">
        <f t="shared" ref="Z47:AA47" si="3">Z49+Z54</f>
        <v>3300000000</v>
      </c>
      <c r="AA47" s="1050">
        <f t="shared" si="3"/>
        <v>2300000000</v>
      </c>
      <c r="AB47" s="2530"/>
      <c r="AC47" s="2530"/>
    </row>
    <row r="48" spans="1:29">
      <c r="A48" s="980" t="s">
        <v>122</v>
      </c>
      <c r="B48" s="988" t="s">
        <v>2967</v>
      </c>
      <c r="C48" s="981" t="s">
        <v>124</v>
      </c>
      <c r="E48" s="978">
        <v>-3900000000</v>
      </c>
      <c r="F48" s="978">
        <v>3200000000</v>
      </c>
      <c r="G48" s="978">
        <v>-4500000000</v>
      </c>
      <c r="H48" s="978">
        <v>-1200000000</v>
      </c>
      <c r="I48" s="978">
        <v>9200000000</v>
      </c>
      <c r="J48" s="978">
        <v>-500000000</v>
      </c>
      <c r="K48" s="978">
        <v>9900000000</v>
      </c>
      <c r="L48" s="978">
        <v>-4600000000</v>
      </c>
      <c r="M48" s="978">
        <v>-10500000000</v>
      </c>
      <c r="N48" s="978">
        <v>7100000000</v>
      </c>
      <c r="O48" s="1394">
        <v>1100000000</v>
      </c>
      <c r="P48" s="1394">
        <v>9000000000</v>
      </c>
      <c r="Q48" s="1394">
        <v>4900000000</v>
      </c>
      <c r="R48" s="978"/>
      <c r="S48" s="1394"/>
      <c r="T48" s="1394"/>
      <c r="U48" s="1387"/>
      <c r="V48" s="1387"/>
      <c r="W48" s="1387"/>
      <c r="X48" s="1388"/>
      <c r="Y48" s="1050"/>
      <c r="Z48" s="1050"/>
      <c r="AA48" s="1050"/>
      <c r="AB48" s="2530"/>
      <c r="AC48" s="2530"/>
    </row>
    <row r="49" spans="1:29">
      <c r="A49" s="997" t="s">
        <v>2968</v>
      </c>
      <c r="B49" s="997" t="s">
        <v>2968</v>
      </c>
      <c r="C49" s="981" t="s">
        <v>124</v>
      </c>
      <c r="E49" s="987"/>
      <c r="F49" s="987"/>
      <c r="G49" s="987"/>
      <c r="H49" s="987"/>
      <c r="I49" s="978"/>
      <c r="J49" s="978"/>
      <c r="K49" s="978"/>
      <c r="L49" s="978"/>
      <c r="M49" s="978"/>
      <c r="N49" s="978"/>
      <c r="O49" s="978"/>
      <c r="P49" s="978"/>
      <c r="Q49" s="978"/>
      <c r="R49" s="978">
        <v>2700000000</v>
      </c>
      <c r="S49" s="978">
        <v>2300000000</v>
      </c>
      <c r="T49" s="978">
        <v>3600000000</v>
      </c>
      <c r="U49" s="1387">
        <v>3700000000</v>
      </c>
      <c r="V49" s="1387">
        <v>3400000000</v>
      </c>
      <c r="W49" s="1387">
        <v>1100000000</v>
      </c>
      <c r="X49" s="1388">
        <v>-1600000000</v>
      </c>
      <c r="Y49" s="1050">
        <v>-1500000000</v>
      </c>
      <c r="Z49" s="1050">
        <v>-1700000000</v>
      </c>
      <c r="AA49" s="1050">
        <v>-2700000000</v>
      </c>
      <c r="AB49" s="2530"/>
      <c r="AC49" s="2530"/>
    </row>
    <row r="50" spans="1:29">
      <c r="A50" s="972" t="s">
        <v>76</v>
      </c>
      <c r="B50" s="997" t="s">
        <v>2969</v>
      </c>
      <c r="E50" s="978"/>
      <c r="F50" s="978"/>
      <c r="G50" s="978"/>
      <c r="H50" s="978"/>
      <c r="I50" s="987"/>
      <c r="J50" s="987"/>
      <c r="K50" s="987"/>
      <c r="L50" s="987"/>
      <c r="M50" s="987"/>
      <c r="N50" s="987"/>
      <c r="O50" s="978"/>
      <c r="P50" s="978"/>
      <c r="Q50" s="978"/>
      <c r="R50" s="978">
        <v>2700000000</v>
      </c>
      <c r="S50" s="978">
        <v>2300000000</v>
      </c>
      <c r="T50" s="978">
        <v>3600000000</v>
      </c>
      <c r="U50" s="1387">
        <v>3700000000</v>
      </c>
      <c r="V50" s="1387">
        <v>3400000000</v>
      </c>
      <c r="W50" s="1387">
        <v>1100000000</v>
      </c>
      <c r="X50" s="1388">
        <v>-1600000000</v>
      </c>
      <c r="Y50" s="1050">
        <v>-1500000000</v>
      </c>
      <c r="Z50" s="1050">
        <v>-1700000000</v>
      </c>
      <c r="AA50" s="1050">
        <v>-2700000000</v>
      </c>
      <c r="AB50" s="2530"/>
      <c r="AC50" s="2530"/>
    </row>
    <row r="51" spans="1:29">
      <c r="A51" s="997" t="s">
        <v>7036</v>
      </c>
      <c r="B51" s="997" t="s">
        <v>2970</v>
      </c>
      <c r="C51" s="981" t="s">
        <v>124</v>
      </c>
      <c r="E51" s="987"/>
      <c r="F51" s="987"/>
      <c r="G51" s="987"/>
      <c r="H51" s="987"/>
      <c r="I51" s="987"/>
      <c r="J51" s="987"/>
      <c r="K51" s="987"/>
      <c r="L51" s="987"/>
      <c r="M51" s="987"/>
      <c r="N51" s="987"/>
      <c r="O51" s="978"/>
      <c r="P51" s="978"/>
      <c r="Q51" s="978"/>
      <c r="R51" s="978">
        <v>-7900000000</v>
      </c>
      <c r="S51" s="978">
        <v>2700000000</v>
      </c>
      <c r="T51" s="978">
        <v>5300000000</v>
      </c>
      <c r="U51" s="1387">
        <v>-4800000000</v>
      </c>
      <c r="V51" s="1387">
        <v>-1700000000</v>
      </c>
      <c r="W51" s="1387">
        <v>0</v>
      </c>
      <c r="X51" s="1388">
        <v>0</v>
      </c>
      <c r="Y51" s="1050">
        <v>0</v>
      </c>
      <c r="Z51" s="1050">
        <v>0</v>
      </c>
      <c r="AA51" s="1050">
        <v>0</v>
      </c>
      <c r="AB51" s="2530"/>
      <c r="AC51" s="2530"/>
    </row>
    <row r="52" spans="1:29">
      <c r="A52" s="997" t="s">
        <v>2971</v>
      </c>
      <c r="B52" s="997" t="s">
        <v>2971</v>
      </c>
      <c r="C52" s="981" t="s">
        <v>124</v>
      </c>
      <c r="E52" s="987"/>
      <c r="F52" s="987"/>
      <c r="G52" s="987"/>
      <c r="H52" s="987"/>
      <c r="I52" s="978"/>
      <c r="J52" s="978"/>
      <c r="K52" s="978"/>
      <c r="L52" s="978"/>
      <c r="M52" s="978"/>
      <c r="N52" s="978"/>
      <c r="O52" s="978"/>
      <c r="P52" s="978"/>
      <c r="Q52" s="1394"/>
      <c r="R52" s="978">
        <v>8500000000</v>
      </c>
      <c r="S52" s="978">
        <v>7800000000</v>
      </c>
      <c r="T52" s="978">
        <v>700000000</v>
      </c>
      <c r="U52" s="1387">
        <v>-6200000000</v>
      </c>
      <c r="V52" s="1387">
        <v>0</v>
      </c>
      <c r="W52" s="1387">
        <v>0</v>
      </c>
      <c r="X52" s="1388">
        <v>0</v>
      </c>
      <c r="Y52" s="1050">
        <v>0</v>
      </c>
      <c r="Z52" s="1050">
        <v>0</v>
      </c>
      <c r="AA52" s="1050">
        <v>0</v>
      </c>
      <c r="AB52" s="2530"/>
      <c r="AC52" s="2530"/>
    </row>
    <row r="53" spans="1:29">
      <c r="A53" s="997" t="s">
        <v>2972</v>
      </c>
      <c r="B53" s="997" t="s">
        <v>2972</v>
      </c>
      <c r="C53" s="981" t="s">
        <v>124</v>
      </c>
      <c r="E53" s="987"/>
      <c r="F53" s="987"/>
      <c r="G53" s="987"/>
      <c r="H53" s="987"/>
      <c r="I53" s="978"/>
      <c r="J53" s="978"/>
      <c r="K53" s="978"/>
      <c r="L53" s="978"/>
      <c r="M53" s="978"/>
      <c r="N53" s="978"/>
      <c r="O53" s="978"/>
      <c r="P53" s="978"/>
      <c r="Q53" s="978"/>
      <c r="R53" s="978"/>
      <c r="S53" s="978">
        <v>1000000000</v>
      </c>
      <c r="T53" s="978">
        <v>10000000000</v>
      </c>
      <c r="U53" s="1387">
        <v>9600000000</v>
      </c>
      <c r="V53" s="1387">
        <v>0</v>
      </c>
      <c r="W53" s="1387">
        <v>0</v>
      </c>
      <c r="X53" s="1388">
        <v>0</v>
      </c>
      <c r="Y53" s="1050">
        <v>0</v>
      </c>
      <c r="Z53" s="1050">
        <v>0</v>
      </c>
      <c r="AA53" s="1050">
        <v>0</v>
      </c>
      <c r="AB53" s="2530"/>
      <c r="AC53" s="2530"/>
    </row>
    <row r="54" spans="1:29">
      <c r="A54" s="980" t="s">
        <v>428</v>
      </c>
      <c r="B54" s="988" t="s">
        <v>2973</v>
      </c>
      <c r="C54" s="981" t="s">
        <v>124</v>
      </c>
      <c r="E54" s="978">
        <v>3100000000</v>
      </c>
      <c r="F54" s="978">
        <v>400000000</v>
      </c>
      <c r="G54" s="978">
        <v>-1000000000</v>
      </c>
      <c r="H54" s="978">
        <v>-400000000</v>
      </c>
      <c r="I54" s="978">
        <v>200000000</v>
      </c>
      <c r="J54" s="978">
        <v>-1300000000</v>
      </c>
      <c r="K54" s="978">
        <v>-1100000000</v>
      </c>
      <c r="L54" s="987"/>
      <c r="M54" s="987"/>
      <c r="N54" s="987"/>
      <c r="O54" s="1394">
        <v>0</v>
      </c>
      <c r="P54" s="1394">
        <v>0</v>
      </c>
      <c r="Q54" s="1394">
        <v>0</v>
      </c>
      <c r="R54" s="1394"/>
      <c r="S54" s="978">
        <v>8000000000</v>
      </c>
      <c r="T54" s="1394">
        <v>7100000000</v>
      </c>
      <c r="U54" s="1387">
        <v>8600000000</v>
      </c>
      <c r="V54" s="1387">
        <v>19500000000</v>
      </c>
      <c r="W54" s="1387">
        <v>12500000000</v>
      </c>
      <c r="X54" s="1388">
        <v>6900000000</v>
      </c>
      <c r="Y54" s="1050">
        <v>5000000000</v>
      </c>
      <c r="Z54" s="1050">
        <v>5000000000</v>
      </c>
      <c r="AA54" s="1050">
        <v>5000000000</v>
      </c>
      <c r="AB54" s="2530"/>
      <c r="AC54" s="2530"/>
    </row>
    <row r="55" spans="1:29">
      <c r="A55" s="980" t="s">
        <v>117</v>
      </c>
      <c r="B55" s="981" t="s">
        <v>2974</v>
      </c>
      <c r="C55" s="982" t="s">
        <v>119</v>
      </c>
      <c r="E55" s="978">
        <v>16000000000</v>
      </c>
      <c r="F55" s="978">
        <v>6700000000</v>
      </c>
      <c r="G55" s="978">
        <v>9400000000</v>
      </c>
      <c r="H55" s="978">
        <v>14900000000</v>
      </c>
      <c r="I55" s="978">
        <v>6900000000</v>
      </c>
      <c r="J55" s="998">
        <f>J56+J59+J60+J61</f>
        <v>9500000000</v>
      </c>
      <c r="K55" s="978">
        <v>16200000000</v>
      </c>
      <c r="L55" s="978">
        <v>-1800000000</v>
      </c>
      <c r="M55" s="978">
        <v>-200000000</v>
      </c>
      <c r="N55" s="978">
        <f>N56+N59+N60+N61</f>
        <v>3300000000</v>
      </c>
      <c r="O55" s="978">
        <v>9400000000</v>
      </c>
      <c r="P55" s="978">
        <v>4600000000</v>
      </c>
      <c r="Q55" s="978">
        <v>4500000000</v>
      </c>
      <c r="R55" s="978">
        <v>12700000000</v>
      </c>
      <c r="S55" s="978">
        <v>900000000</v>
      </c>
      <c r="T55" s="978">
        <v>3000000000</v>
      </c>
      <c r="U55" s="1387">
        <v>1100000000</v>
      </c>
      <c r="V55" s="1387">
        <v>2700000000</v>
      </c>
      <c r="W55" s="1387">
        <v>9700000000</v>
      </c>
      <c r="X55" s="1388">
        <v>16500000000</v>
      </c>
      <c r="Y55" s="1050">
        <v>25000000000</v>
      </c>
      <c r="Z55" s="1050">
        <v>26700000000</v>
      </c>
      <c r="AA55" s="1050">
        <v>26800000000</v>
      </c>
      <c r="AB55" s="2530"/>
      <c r="AC55" s="2530"/>
    </row>
    <row r="56" spans="1:29" ht="18.75" customHeight="1">
      <c r="A56" s="980" t="s">
        <v>415</v>
      </c>
      <c r="B56" s="988" t="s">
        <v>415</v>
      </c>
      <c r="C56" s="981" t="s">
        <v>264</v>
      </c>
      <c r="E56" s="978">
        <v>4600000000</v>
      </c>
      <c r="F56" s="978">
        <v>4900000000</v>
      </c>
      <c r="G56" s="978">
        <v>8000000000</v>
      </c>
      <c r="H56" s="978">
        <v>13800000000</v>
      </c>
      <c r="I56" s="978">
        <v>6200000000</v>
      </c>
      <c r="J56" s="978">
        <v>8800000000</v>
      </c>
      <c r="K56" s="978">
        <v>11600000000</v>
      </c>
      <c r="L56" s="978">
        <v>100000000</v>
      </c>
      <c r="M56" s="978">
        <v>1000000000</v>
      </c>
      <c r="N56" s="978">
        <v>4700000000</v>
      </c>
      <c r="O56" s="1394">
        <v>9400000000</v>
      </c>
      <c r="P56" s="1394">
        <v>5100000000</v>
      </c>
      <c r="Q56" s="1394">
        <v>4600000000</v>
      </c>
      <c r="R56" s="978">
        <v>13100000000</v>
      </c>
      <c r="S56" s="978">
        <v>2100000000</v>
      </c>
      <c r="T56" s="978">
        <v>6400000000</v>
      </c>
      <c r="U56" s="1387">
        <v>4099999999.9999995</v>
      </c>
      <c r="V56" s="1387">
        <v>5600000000</v>
      </c>
      <c r="W56" s="1387">
        <v>10800000000</v>
      </c>
      <c r="X56" s="1388">
        <v>17600000000</v>
      </c>
      <c r="Y56" s="1050">
        <v>26100000000</v>
      </c>
      <c r="Z56" s="1050">
        <v>27800000000</v>
      </c>
      <c r="AA56" s="1050">
        <v>27800000000</v>
      </c>
      <c r="AB56" s="2530"/>
      <c r="AC56" s="2530"/>
    </row>
    <row r="57" spans="1:29">
      <c r="A57" s="997" t="s">
        <v>2975</v>
      </c>
      <c r="B57" s="997" t="s">
        <v>2976</v>
      </c>
      <c r="C57" s="972" t="s">
        <v>499</v>
      </c>
      <c r="E57" s="978">
        <v>2900000000</v>
      </c>
      <c r="F57" s="978">
        <v>4900000000</v>
      </c>
      <c r="G57" s="978">
        <v>5700000000</v>
      </c>
      <c r="H57" s="978">
        <v>6200000000</v>
      </c>
      <c r="I57" s="978">
        <v>6200000000</v>
      </c>
      <c r="J57" s="978">
        <v>8800000000</v>
      </c>
      <c r="K57" s="978">
        <v>11600000000</v>
      </c>
      <c r="L57" s="987"/>
      <c r="M57" s="987"/>
      <c r="N57" s="987"/>
      <c r="O57" s="978">
        <v>9400000000</v>
      </c>
      <c r="P57" s="978">
        <v>5100000000</v>
      </c>
      <c r="Q57" s="978">
        <v>4600000000</v>
      </c>
      <c r="R57" s="978">
        <v>13100000000</v>
      </c>
      <c r="S57" s="978">
        <v>2100000000</v>
      </c>
      <c r="T57" s="978">
        <v>6400000000</v>
      </c>
      <c r="U57" s="1387">
        <v>4099999999.9999995</v>
      </c>
      <c r="V57" s="1387">
        <v>5600000000</v>
      </c>
      <c r="W57" s="1387">
        <v>10800000000</v>
      </c>
      <c r="X57" s="1388">
        <v>17600000000</v>
      </c>
      <c r="Y57" s="1050">
        <v>26100000000</v>
      </c>
      <c r="Z57" s="1050">
        <v>27800000000</v>
      </c>
      <c r="AA57" s="1050">
        <v>27800000000</v>
      </c>
      <c r="AB57" s="2530"/>
      <c r="AC57" s="2530"/>
    </row>
    <row r="58" spans="1:29">
      <c r="A58" s="997" t="s">
        <v>1428</v>
      </c>
      <c r="B58" s="997" t="s">
        <v>1428</v>
      </c>
      <c r="C58" s="972" t="s">
        <v>499</v>
      </c>
      <c r="E58" s="978">
        <v>1700000000</v>
      </c>
      <c r="F58" s="978">
        <v>0</v>
      </c>
      <c r="G58" s="978">
        <v>2300000000</v>
      </c>
      <c r="H58" s="978">
        <v>7600000000</v>
      </c>
      <c r="I58" s="978">
        <v>0</v>
      </c>
      <c r="J58" s="978">
        <v>0</v>
      </c>
      <c r="K58" s="978">
        <v>0</v>
      </c>
      <c r="L58" s="987"/>
      <c r="M58" s="987"/>
      <c r="N58" s="987"/>
      <c r="O58" s="978">
        <v>0</v>
      </c>
      <c r="P58" s="978">
        <v>0</v>
      </c>
      <c r="Q58" s="978">
        <v>0</v>
      </c>
      <c r="R58" s="978">
        <v>0</v>
      </c>
      <c r="S58" s="978">
        <v>0</v>
      </c>
      <c r="T58" s="978">
        <v>0</v>
      </c>
      <c r="U58" s="1387">
        <v>0</v>
      </c>
      <c r="V58" s="1387">
        <v>0</v>
      </c>
      <c r="W58" s="1387">
        <v>0</v>
      </c>
      <c r="X58" s="1388">
        <v>0</v>
      </c>
      <c r="Y58" s="1050">
        <v>0</v>
      </c>
      <c r="Z58" s="1050">
        <v>0</v>
      </c>
      <c r="AA58" s="1050">
        <v>0</v>
      </c>
      <c r="AB58" s="2530"/>
      <c r="AC58" s="2530"/>
    </row>
    <row r="59" spans="1:29">
      <c r="A59" s="980" t="s">
        <v>258</v>
      </c>
      <c r="B59" s="988" t="s">
        <v>2977</v>
      </c>
      <c r="C59" s="981" t="s">
        <v>264</v>
      </c>
      <c r="E59" s="978">
        <v>-17400000000</v>
      </c>
      <c r="F59" s="978">
        <v>-19700000000</v>
      </c>
      <c r="G59" s="978">
        <v>-19000000000</v>
      </c>
      <c r="H59" s="978">
        <v>-18900000000</v>
      </c>
      <c r="I59" s="978">
        <v>-18000000000</v>
      </c>
      <c r="J59" s="978">
        <v>-13400000000</v>
      </c>
      <c r="K59" s="978">
        <v>-11800000000</v>
      </c>
      <c r="L59" s="978">
        <v>-12800000000</v>
      </c>
      <c r="M59" s="978">
        <v>-4099999999.9999995</v>
      </c>
      <c r="N59" s="978">
        <v>-455500000000</v>
      </c>
      <c r="O59" s="978">
        <v>-700000000</v>
      </c>
      <c r="P59" s="978">
        <v>-500000000</v>
      </c>
      <c r="Q59" s="978">
        <v>-100000000</v>
      </c>
      <c r="R59" s="978">
        <v>-2900000000</v>
      </c>
      <c r="S59" s="978">
        <v>-1100000000</v>
      </c>
      <c r="T59" s="978">
        <v>-3400000000</v>
      </c>
      <c r="U59" s="1387">
        <v>-28100000000</v>
      </c>
      <c r="V59" s="1387">
        <v>-2900000000</v>
      </c>
      <c r="W59" s="1387">
        <v>-1100000000</v>
      </c>
      <c r="X59" s="1388">
        <v>-1200000000</v>
      </c>
      <c r="Y59" s="1050">
        <v>-1100000000</v>
      </c>
      <c r="Z59" s="1050">
        <v>-1100000000</v>
      </c>
      <c r="AA59" s="1050">
        <v>-1100000000</v>
      </c>
      <c r="AB59" s="2530"/>
      <c r="AC59" s="2530"/>
    </row>
    <row r="60" spans="1:29">
      <c r="A60" s="980" t="s">
        <v>608</v>
      </c>
      <c r="B60" s="988" t="s">
        <v>2978</v>
      </c>
      <c r="C60" s="981" t="s">
        <v>264</v>
      </c>
      <c r="E60" s="978">
        <v>2800000000</v>
      </c>
      <c r="F60" s="978">
        <v>14400000000</v>
      </c>
      <c r="G60" s="978">
        <v>15800000000</v>
      </c>
      <c r="H60" s="978">
        <v>15500000000</v>
      </c>
      <c r="I60" s="978">
        <v>13400000000</v>
      </c>
      <c r="J60" s="978">
        <v>8700000000</v>
      </c>
      <c r="K60" s="978">
        <v>11100000000</v>
      </c>
      <c r="L60" s="978">
        <v>6000000000</v>
      </c>
      <c r="M60" s="978">
        <v>2800000000</v>
      </c>
      <c r="N60" s="978">
        <v>0</v>
      </c>
      <c r="O60" s="978">
        <v>-91400000000</v>
      </c>
      <c r="P60" s="978">
        <v>0</v>
      </c>
      <c r="Q60" s="978">
        <v>0</v>
      </c>
      <c r="R60" s="978"/>
      <c r="S60" s="978"/>
      <c r="T60" s="978"/>
      <c r="U60" s="1387"/>
      <c r="V60" s="1387"/>
      <c r="W60" s="1387"/>
      <c r="X60" s="1388"/>
      <c r="Y60" s="1050"/>
      <c r="Z60" s="1050"/>
      <c r="AA60" s="1050"/>
      <c r="AB60" s="2530"/>
      <c r="AC60" s="2530"/>
    </row>
    <row r="61" spans="1:29">
      <c r="A61" s="980" t="s">
        <v>1348</v>
      </c>
      <c r="B61" s="988" t="s">
        <v>2920</v>
      </c>
      <c r="C61" s="981" t="s">
        <v>264</v>
      </c>
      <c r="E61" s="978">
        <v>26000000000</v>
      </c>
      <c r="F61" s="978">
        <v>7100000000</v>
      </c>
      <c r="G61" s="978">
        <v>4700000000</v>
      </c>
      <c r="H61" s="978">
        <v>4500000000</v>
      </c>
      <c r="I61" s="978">
        <v>5300000000</v>
      </c>
      <c r="J61" s="978">
        <v>5400000000</v>
      </c>
      <c r="K61" s="978">
        <v>5300000000</v>
      </c>
      <c r="L61" s="978">
        <v>4900000000</v>
      </c>
      <c r="M61" s="978">
        <v>0</v>
      </c>
      <c r="N61" s="978">
        <v>454100000000</v>
      </c>
      <c r="O61" s="978">
        <v>92100000000</v>
      </c>
      <c r="P61" s="978">
        <v>0</v>
      </c>
      <c r="Q61" s="978">
        <v>0</v>
      </c>
      <c r="R61" s="978">
        <v>2500000000</v>
      </c>
      <c r="S61" s="978">
        <v>0</v>
      </c>
      <c r="T61" s="978">
        <v>0</v>
      </c>
      <c r="U61" s="1387">
        <v>25100000000</v>
      </c>
      <c r="V61" s="1387">
        <v>0</v>
      </c>
      <c r="W61" s="1387">
        <v>0</v>
      </c>
      <c r="X61" s="1388">
        <v>0</v>
      </c>
      <c r="Y61" s="1050">
        <v>0</v>
      </c>
      <c r="Z61" s="1050">
        <v>0</v>
      </c>
      <c r="AA61" s="1050">
        <v>0</v>
      </c>
      <c r="AB61" s="2530"/>
      <c r="AC61" s="2530"/>
    </row>
    <row r="62" spans="1:29">
      <c r="A62" s="972" t="s">
        <v>76</v>
      </c>
      <c r="B62" s="981" t="s">
        <v>2979</v>
      </c>
      <c r="C62" s="982"/>
      <c r="E62" s="978">
        <v>0</v>
      </c>
      <c r="F62" s="978">
        <v>0</v>
      </c>
      <c r="G62" s="978">
        <v>0</v>
      </c>
      <c r="H62" s="978">
        <v>0</v>
      </c>
      <c r="I62" s="978">
        <v>0</v>
      </c>
      <c r="J62" s="978">
        <v>0</v>
      </c>
      <c r="K62" s="978">
        <v>-12700000000</v>
      </c>
      <c r="L62" s="978">
        <v>0</v>
      </c>
      <c r="M62" s="978">
        <v>0</v>
      </c>
      <c r="N62" s="978">
        <v>100000000</v>
      </c>
      <c r="O62" s="978">
        <v>0</v>
      </c>
      <c r="P62" s="978">
        <v>0</v>
      </c>
      <c r="Q62" s="978">
        <v>0</v>
      </c>
      <c r="R62" s="978"/>
      <c r="S62" s="978"/>
      <c r="T62" s="978"/>
      <c r="U62" s="1387"/>
      <c r="V62" s="1387"/>
      <c r="W62" s="1387"/>
      <c r="X62" s="1388"/>
      <c r="Y62" s="1050"/>
      <c r="Z62" s="1050"/>
      <c r="AA62" s="1050"/>
      <c r="AB62" s="2530"/>
      <c r="AC62" s="2530"/>
    </row>
    <row r="63" spans="1:29">
      <c r="A63" s="972" t="s">
        <v>76</v>
      </c>
      <c r="B63" s="981" t="s">
        <v>2980</v>
      </c>
      <c r="C63" s="982"/>
      <c r="E63" s="987"/>
      <c r="F63" s="987"/>
      <c r="G63" s="987"/>
      <c r="H63" s="987"/>
      <c r="I63" s="987"/>
      <c r="J63" s="978">
        <v>0</v>
      </c>
      <c r="K63" s="978">
        <v>0</v>
      </c>
      <c r="L63" s="978">
        <v>0</v>
      </c>
      <c r="M63" s="978">
        <v>0</v>
      </c>
      <c r="N63" s="978">
        <v>100000000</v>
      </c>
      <c r="O63" s="978">
        <v>0</v>
      </c>
      <c r="P63" s="978">
        <v>0</v>
      </c>
      <c r="Q63" s="978">
        <v>0</v>
      </c>
      <c r="R63" s="978"/>
      <c r="S63" s="978"/>
      <c r="T63" s="978"/>
      <c r="U63" s="1387"/>
      <c r="V63" s="1387"/>
      <c r="W63" s="1387"/>
      <c r="X63" s="1388"/>
      <c r="AB63" s="2530"/>
      <c r="AC63" s="2530"/>
    </row>
    <row r="64" spans="1:29">
      <c r="A64" s="980" t="s">
        <v>76</v>
      </c>
      <c r="B64" s="981" t="s">
        <v>2981</v>
      </c>
      <c r="C64" s="982"/>
      <c r="E64" s="987"/>
      <c r="F64" s="987"/>
      <c r="G64" s="987"/>
      <c r="H64" s="987"/>
      <c r="I64" s="987"/>
      <c r="J64" s="978">
        <v>0</v>
      </c>
      <c r="K64" s="978">
        <v>-12700000000</v>
      </c>
      <c r="L64" s="987"/>
      <c r="M64" s="987"/>
      <c r="N64" s="987"/>
      <c r="O64" s="978">
        <v>0</v>
      </c>
      <c r="P64" s="978">
        <v>0</v>
      </c>
      <c r="Q64" s="978">
        <v>0</v>
      </c>
      <c r="R64" s="978"/>
      <c r="S64" s="978"/>
      <c r="T64" s="978"/>
      <c r="U64" s="1387"/>
      <c r="V64" s="1387"/>
      <c r="W64" s="1387"/>
      <c r="X64" s="1388"/>
      <c r="AB64" s="2530"/>
      <c r="AC64" s="2530"/>
    </row>
    <row r="65" spans="1:29">
      <c r="A65" s="972" t="s">
        <v>76</v>
      </c>
      <c r="B65" s="981" t="s">
        <v>2982</v>
      </c>
      <c r="C65" s="981"/>
      <c r="E65" s="987"/>
      <c r="F65" s="987"/>
      <c r="G65" s="978">
        <v>-6800000000</v>
      </c>
      <c r="H65" s="978">
        <v>-10800000000</v>
      </c>
      <c r="I65" s="978">
        <v>-11000000000</v>
      </c>
      <c r="J65" s="978">
        <v>-12100000000</v>
      </c>
      <c r="K65" s="978">
        <v>-19100000000</v>
      </c>
      <c r="L65" s="978">
        <v>-12100000000</v>
      </c>
      <c r="M65" s="978">
        <v>-11400000000</v>
      </c>
      <c r="N65" s="978">
        <v>-4900000000</v>
      </c>
      <c r="O65" s="978">
        <v>-6100000000</v>
      </c>
      <c r="P65" s="978">
        <v>-16800000000</v>
      </c>
      <c r="Q65" s="978">
        <v>-8199999999.999999</v>
      </c>
      <c r="R65" s="978"/>
      <c r="S65" s="978"/>
      <c r="T65" s="978"/>
      <c r="U65" s="1387"/>
      <c r="V65" s="1387"/>
      <c r="W65" s="1387"/>
      <c r="X65" s="1388"/>
      <c r="AB65" s="2530"/>
      <c r="AC65" s="2530"/>
    </row>
    <row r="66" spans="1:29">
      <c r="A66" s="972" t="s">
        <v>76</v>
      </c>
      <c r="B66" s="981" t="s">
        <v>36</v>
      </c>
      <c r="E66" s="987"/>
      <c r="F66" s="987"/>
      <c r="G66" s="978">
        <v>20800000000</v>
      </c>
      <c r="H66" s="978">
        <v>24500000000</v>
      </c>
      <c r="I66" s="978">
        <v>28000000000</v>
      </c>
      <c r="J66" s="978">
        <v>31500000000</v>
      </c>
      <c r="K66" s="987"/>
      <c r="L66" s="978">
        <v>34600000000</v>
      </c>
      <c r="M66" s="978">
        <v>35400000000</v>
      </c>
      <c r="N66" s="978">
        <v>44600000000</v>
      </c>
      <c r="O66" s="978">
        <v>52600000000</v>
      </c>
      <c r="P66" s="978">
        <v>46000000000</v>
      </c>
      <c r="Q66" s="978">
        <v>41100000000</v>
      </c>
      <c r="R66" s="978"/>
      <c r="S66" s="978"/>
      <c r="T66" s="978"/>
      <c r="U66" s="1387"/>
      <c r="V66" s="1387"/>
      <c r="W66" s="1387"/>
      <c r="X66" s="1388"/>
    </row>
    <row r="67" spans="1:29">
      <c r="A67" s="972" t="s">
        <v>76</v>
      </c>
      <c r="B67" s="981" t="s">
        <v>2983</v>
      </c>
      <c r="E67" s="987"/>
      <c r="F67" s="987"/>
      <c r="G67" s="978">
        <v>27700000000</v>
      </c>
      <c r="H67" s="978">
        <v>35300000000</v>
      </c>
      <c r="I67" s="978">
        <v>39000000000</v>
      </c>
      <c r="J67" s="978">
        <v>43500000000</v>
      </c>
      <c r="K67" s="987"/>
      <c r="L67" s="978">
        <v>46700000000</v>
      </c>
      <c r="M67" s="978">
        <v>46800000000</v>
      </c>
      <c r="N67" s="978">
        <v>49500000000</v>
      </c>
      <c r="O67" s="978">
        <v>58700000000</v>
      </c>
      <c r="P67" s="978">
        <v>62900000000</v>
      </c>
      <c r="Q67" s="978">
        <v>49400000000</v>
      </c>
      <c r="R67" s="978"/>
      <c r="S67" s="978"/>
      <c r="T67" s="978"/>
      <c r="U67" s="1387"/>
      <c r="V67" s="1387"/>
      <c r="W67" s="1387"/>
      <c r="X67" s="1388"/>
    </row>
    <row r="68" spans="1:29">
      <c r="A68" s="972" t="s">
        <v>76</v>
      </c>
      <c r="B68" s="981" t="s">
        <v>541</v>
      </c>
      <c r="E68" s="987"/>
      <c r="F68" s="987"/>
      <c r="G68" s="978">
        <v>27200000000</v>
      </c>
      <c r="H68" s="978">
        <v>33299999999.999996</v>
      </c>
      <c r="I68" s="978">
        <v>37300000000</v>
      </c>
      <c r="J68" s="978">
        <v>41600000000</v>
      </c>
      <c r="K68" s="987"/>
      <c r="L68" s="978">
        <v>45100000000</v>
      </c>
      <c r="M68" s="978">
        <v>45400000000</v>
      </c>
      <c r="N68" s="978">
        <v>48600000000</v>
      </c>
      <c r="O68" s="978"/>
      <c r="P68" s="978"/>
      <c r="Q68" s="978"/>
      <c r="R68" s="978"/>
      <c r="S68" s="978"/>
      <c r="T68" s="978"/>
      <c r="X68" s="971"/>
    </row>
    <row r="69" spans="1:29">
      <c r="A69" s="972" t="s">
        <v>76</v>
      </c>
      <c r="B69" s="981" t="s">
        <v>540</v>
      </c>
      <c r="E69" s="987"/>
      <c r="F69" s="987"/>
      <c r="G69" s="978">
        <v>500000000</v>
      </c>
      <c r="H69" s="978">
        <v>2000000000</v>
      </c>
      <c r="I69" s="978">
        <v>1700000000</v>
      </c>
      <c r="J69" s="978">
        <v>2000000000</v>
      </c>
      <c r="K69" s="987"/>
      <c r="L69" s="978">
        <v>1600000000</v>
      </c>
      <c r="M69" s="978">
        <v>1400000000</v>
      </c>
      <c r="N69" s="978">
        <v>900000000</v>
      </c>
      <c r="O69" s="978"/>
      <c r="P69" s="978"/>
      <c r="Q69" s="978"/>
      <c r="R69" s="978"/>
      <c r="S69" s="978"/>
      <c r="T69" s="978"/>
      <c r="X69" s="971"/>
    </row>
    <row r="70" spans="1:29">
      <c r="X70" s="971"/>
    </row>
    <row r="71" spans="1:29">
      <c r="E71" s="972" t="s">
        <v>139</v>
      </c>
      <c r="F71" s="972" t="s">
        <v>139</v>
      </c>
      <c r="G71" s="972" t="s">
        <v>139</v>
      </c>
      <c r="H71" s="972" t="s">
        <v>139</v>
      </c>
      <c r="I71" s="972" t="s">
        <v>139</v>
      </c>
      <c r="J71" s="972" t="s">
        <v>139</v>
      </c>
      <c r="K71" s="972" t="s">
        <v>139</v>
      </c>
      <c r="L71" s="972" t="s">
        <v>139</v>
      </c>
      <c r="M71" s="972" t="s">
        <v>139</v>
      </c>
      <c r="N71" s="972" t="s">
        <v>139</v>
      </c>
      <c r="O71" s="972" t="s">
        <v>139</v>
      </c>
      <c r="P71" s="972" t="s">
        <v>139</v>
      </c>
      <c r="Q71" s="972" t="s">
        <v>139</v>
      </c>
      <c r="R71" s="972" t="s">
        <v>139</v>
      </c>
      <c r="S71" s="972" t="s">
        <v>139</v>
      </c>
      <c r="T71" s="972" t="s">
        <v>139</v>
      </c>
      <c r="U71" s="972" t="s">
        <v>139</v>
      </c>
      <c r="V71" s="972" t="s">
        <v>139</v>
      </c>
      <c r="W71" s="972" t="s">
        <v>139</v>
      </c>
      <c r="X71" s="972" t="s">
        <v>139</v>
      </c>
      <c r="Y71" s="972" t="s">
        <v>139</v>
      </c>
      <c r="Z71" s="972" t="s">
        <v>139</v>
      </c>
      <c r="AA71" s="972" t="s">
        <v>139</v>
      </c>
    </row>
    <row r="73" spans="1:29">
      <c r="B73" s="972" t="s">
        <v>1828</v>
      </c>
      <c r="D73" s="1396"/>
      <c r="E73" s="1002">
        <f>E6-E7-E12</f>
        <v>0</v>
      </c>
      <c r="F73" s="1002">
        <f t="shared" ref="F73:T73" si="4">F6-F7-F12</f>
        <v>0</v>
      </c>
      <c r="G73" s="1002">
        <f t="shared" si="4"/>
        <v>0</v>
      </c>
      <c r="H73" s="1002">
        <f t="shared" si="4"/>
        <v>100000000</v>
      </c>
      <c r="I73" s="1002">
        <f t="shared" si="4"/>
        <v>0</v>
      </c>
      <c r="J73" s="1002">
        <f t="shared" si="4"/>
        <v>0</v>
      </c>
      <c r="K73" s="1002">
        <f t="shared" si="4"/>
        <v>0</v>
      </c>
      <c r="L73" s="1002">
        <f t="shared" si="4"/>
        <v>0</v>
      </c>
      <c r="M73" s="1002">
        <f t="shared" si="4"/>
        <v>0</v>
      </c>
      <c r="N73" s="1002">
        <f t="shared" si="4"/>
        <v>0</v>
      </c>
      <c r="O73" s="1002">
        <f t="shared" si="4"/>
        <v>0</v>
      </c>
      <c r="P73" s="1002">
        <f t="shared" si="4"/>
        <v>0</v>
      </c>
      <c r="Q73" s="1002">
        <f t="shared" si="4"/>
        <v>0</v>
      </c>
      <c r="R73" s="1002">
        <f t="shared" si="4"/>
        <v>0</v>
      </c>
      <c r="S73" s="1010">
        <f t="shared" si="4"/>
        <v>100000000</v>
      </c>
      <c r="T73" s="1010">
        <f t="shared" si="4"/>
        <v>100000000</v>
      </c>
      <c r="U73" s="1010">
        <f t="shared" ref="U73:Z73" si="5">U6-U7-U12</f>
        <v>100000000</v>
      </c>
      <c r="V73" s="1010">
        <f t="shared" si="5"/>
        <v>-100000000</v>
      </c>
      <c r="W73" s="1010">
        <f t="shared" si="5"/>
        <v>100000000</v>
      </c>
      <c r="X73" s="1010">
        <f t="shared" si="5"/>
        <v>0</v>
      </c>
      <c r="Y73" s="1078">
        <f t="shared" si="5"/>
        <v>100000000</v>
      </c>
      <c r="Z73" s="1078">
        <f t="shared" si="5"/>
        <v>0</v>
      </c>
      <c r="AA73" s="1078">
        <f t="shared" ref="AA73" si="6">AA6-AA7-AA12</f>
        <v>0</v>
      </c>
    </row>
    <row r="74" spans="1:29">
      <c r="B74" s="972" t="s">
        <v>141</v>
      </c>
      <c r="D74" s="1396"/>
      <c r="E74" s="1002">
        <f>E7-E8-E9</f>
        <v>0</v>
      </c>
      <c r="F74" s="1002">
        <f t="shared" ref="F74:T74" si="7">F7-F8-F9</f>
        <v>0</v>
      </c>
      <c r="G74" s="1002">
        <f t="shared" si="7"/>
        <v>0</v>
      </c>
      <c r="H74" s="1002">
        <f t="shared" si="7"/>
        <v>0</v>
      </c>
      <c r="I74" s="1002">
        <f t="shared" si="7"/>
        <v>100000000</v>
      </c>
      <c r="J74" s="1002">
        <f t="shared" si="7"/>
        <v>0</v>
      </c>
      <c r="K74" s="1002">
        <f t="shared" si="7"/>
        <v>0</v>
      </c>
      <c r="L74" s="1002">
        <f t="shared" si="7"/>
        <v>0</v>
      </c>
      <c r="M74" s="1002">
        <f t="shared" si="7"/>
        <v>0</v>
      </c>
      <c r="N74" s="1002">
        <f t="shared" si="7"/>
        <v>0</v>
      </c>
      <c r="O74" s="1002">
        <f t="shared" si="7"/>
        <v>0</v>
      </c>
      <c r="P74" s="1002">
        <f t="shared" si="7"/>
        <v>0</v>
      </c>
      <c r="Q74" s="1002">
        <f t="shared" si="7"/>
        <v>0</v>
      </c>
      <c r="R74" s="1010">
        <f t="shared" si="7"/>
        <v>-100000000</v>
      </c>
      <c r="S74" s="1010">
        <f t="shared" si="7"/>
        <v>0</v>
      </c>
      <c r="T74" s="1010">
        <f t="shared" si="7"/>
        <v>0</v>
      </c>
      <c r="U74" s="1010">
        <f t="shared" ref="U74:Z74" si="8">U7-U8-U9</f>
        <v>0</v>
      </c>
      <c r="V74" s="1010">
        <f t="shared" si="8"/>
        <v>0</v>
      </c>
      <c r="W74" s="1010">
        <f t="shared" si="8"/>
        <v>0</v>
      </c>
      <c r="X74" s="1010">
        <f t="shared" si="8"/>
        <v>0</v>
      </c>
      <c r="Y74" s="1078">
        <f t="shared" si="8"/>
        <v>0</v>
      </c>
      <c r="Z74" s="1078">
        <f t="shared" si="8"/>
        <v>0</v>
      </c>
      <c r="AA74" s="1078">
        <f t="shared" ref="AA74" si="9">AA7-AA8-AA9</f>
        <v>0</v>
      </c>
    </row>
    <row r="75" spans="1:29">
      <c r="B75" s="972" t="s">
        <v>143</v>
      </c>
      <c r="D75" s="1396"/>
      <c r="E75" s="1002">
        <f>E12-E13-E15</f>
        <v>-100000000</v>
      </c>
      <c r="F75" s="1002">
        <f t="shared" ref="F75:T75" si="10">F12-F13-F15</f>
        <v>0</v>
      </c>
      <c r="G75" s="1002">
        <f t="shared" si="10"/>
        <v>0</v>
      </c>
      <c r="H75" s="1002">
        <f t="shared" si="10"/>
        <v>0</v>
      </c>
      <c r="I75" s="1002">
        <f t="shared" si="10"/>
        <v>-100000000</v>
      </c>
      <c r="J75" s="1002">
        <f t="shared" si="10"/>
        <v>0</v>
      </c>
      <c r="K75" s="1002">
        <f t="shared" si="10"/>
        <v>100000000</v>
      </c>
      <c r="L75" s="1002">
        <f t="shared" si="10"/>
        <v>-100000000</v>
      </c>
      <c r="M75" s="1002">
        <f t="shared" si="10"/>
        <v>0</v>
      </c>
      <c r="N75" s="1002">
        <f t="shared" si="10"/>
        <v>0</v>
      </c>
      <c r="O75" s="1002">
        <f t="shared" si="10"/>
        <v>0</v>
      </c>
      <c r="P75" s="1002">
        <f t="shared" si="10"/>
        <v>-100000000</v>
      </c>
      <c r="Q75" s="1002">
        <f t="shared" si="10"/>
        <v>0</v>
      </c>
      <c r="R75" s="1010">
        <f t="shared" si="10"/>
        <v>0</v>
      </c>
      <c r="S75" s="1010">
        <f t="shared" si="10"/>
        <v>0</v>
      </c>
      <c r="T75" s="1010">
        <f t="shared" si="10"/>
        <v>-100000000</v>
      </c>
      <c r="U75" s="1010">
        <f t="shared" ref="U75:Z75" si="11">U12-U13-U15</f>
        <v>-100000000</v>
      </c>
      <c r="V75" s="1010">
        <f t="shared" si="11"/>
        <v>0</v>
      </c>
      <c r="W75" s="1010">
        <f t="shared" si="11"/>
        <v>0</v>
      </c>
      <c r="X75" s="1010">
        <f t="shared" si="11"/>
        <v>0</v>
      </c>
      <c r="Y75" s="1078">
        <f t="shared" si="11"/>
        <v>0</v>
      </c>
      <c r="Z75" s="1078">
        <f t="shared" si="11"/>
        <v>0</v>
      </c>
      <c r="AA75" s="1078">
        <f t="shared" ref="AA75" si="12">AA12-AA13-AA15</f>
        <v>0</v>
      </c>
    </row>
    <row r="76" spans="1:29">
      <c r="B76" s="972" t="s">
        <v>145</v>
      </c>
      <c r="D76" s="1376"/>
      <c r="E76" s="1002">
        <f t="shared" ref="E76:T76" si="13">E16-E17-E26</f>
        <v>100000000</v>
      </c>
      <c r="F76" s="1002">
        <f t="shared" si="13"/>
        <v>0</v>
      </c>
      <c r="G76" s="1002">
        <f t="shared" si="13"/>
        <v>0</v>
      </c>
      <c r="H76" s="1002">
        <f t="shared" si="13"/>
        <v>0</v>
      </c>
      <c r="I76" s="1002">
        <f t="shared" si="13"/>
        <v>0</v>
      </c>
      <c r="J76" s="1002">
        <f t="shared" si="13"/>
        <v>-100000000</v>
      </c>
      <c r="K76" s="1002">
        <f t="shared" si="13"/>
        <v>0</v>
      </c>
      <c r="L76" s="1002">
        <f t="shared" si="13"/>
        <v>0</v>
      </c>
      <c r="M76" s="1002">
        <f t="shared" si="13"/>
        <v>0</v>
      </c>
      <c r="N76" s="1002">
        <f t="shared" si="13"/>
        <v>0</v>
      </c>
      <c r="O76" s="1002">
        <f t="shared" si="13"/>
        <v>100000000</v>
      </c>
      <c r="P76" s="1002">
        <f t="shared" si="13"/>
        <v>0</v>
      </c>
      <c r="Q76" s="1002">
        <f t="shared" si="13"/>
        <v>0</v>
      </c>
      <c r="R76" s="1010">
        <f t="shared" si="13"/>
        <v>0</v>
      </c>
      <c r="S76" s="1010">
        <f t="shared" si="13"/>
        <v>100000000</v>
      </c>
      <c r="T76" s="1010">
        <f t="shared" si="13"/>
        <v>0</v>
      </c>
      <c r="U76" s="1010">
        <f t="shared" ref="U76:Z76" si="14">U16-U17-U26</f>
        <v>0</v>
      </c>
      <c r="V76" s="1010">
        <f t="shared" si="14"/>
        <v>100000000</v>
      </c>
      <c r="W76" s="1010">
        <f t="shared" si="14"/>
        <v>0</v>
      </c>
      <c r="X76" s="1010">
        <f t="shared" si="14"/>
        <v>0</v>
      </c>
      <c r="Y76" s="1078">
        <f t="shared" si="14"/>
        <v>100000000</v>
      </c>
      <c r="Z76" s="1078">
        <f t="shared" si="14"/>
        <v>-100000000</v>
      </c>
      <c r="AA76" s="1078">
        <f t="shared" ref="AA76" si="15">AA16-AA17-AA26</f>
        <v>0</v>
      </c>
    </row>
    <row r="77" spans="1:29">
      <c r="B77" s="972" t="s">
        <v>361</v>
      </c>
      <c r="D77" s="1397"/>
      <c r="E77" s="1002">
        <f>E17-E18-E19-E20-E22-E23</f>
        <v>0</v>
      </c>
      <c r="F77" s="1002">
        <f t="shared" ref="F77:Q77" si="16">F17-F18-F19-F20-F22-F23</f>
        <v>0</v>
      </c>
      <c r="G77" s="1002">
        <f t="shared" si="16"/>
        <v>0</v>
      </c>
      <c r="H77" s="1002">
        <f t="shared" si="16"/>
        <v>0</v>
      </c>
      <c r="I77" s="1002">
        <f t="shared" si="16"/>
        <v>-100000000</v>
      </c>
      <c r="J77" s="1002">
        <f t="shared" si="16"/>
        <v>0</v>
      </c>
      <c r="K77" s="1002">
        <f t="shared" si="16"/>
        <v>0</v>
      </c>
      <c r="L77" s="1002">
        <f t="shared" si="16"/>
        <v>0</v>
      </c>
      <c r="M77" s="1002">
        <f t="shared" si="16"/>
        <v>0</v>
      </c>
      <c r="N77" s="1002">
        <f t="shared" si="16"/>
        <v>0</v>
      </c>
      <c r="O77" s="1002">
        <f t="shared" si="16"/>
        <v>0</v>
      </c>
      <c r="P77" s="1002">
        <f t="shared" si="16"/>
        <v>100000000</v>
      </c>
      <c r="Q77" s="1002">
        <f t="shared" si="16"/>
        <v>-100000000</v>
      </c>
      <c r="R77" s="1010">
        <f>R17-R18-R19-R20-R22-R23-R21</f>
        <v>0</v>
      </c>
      <c r="S77" s="1010">
        <f t="shared" ref="S77:Z77" si="17">S17-S18-S19-S20-S22-S23-S21</f>
        <v>100000000</v>
      </c>
      <c r="T77" s="1010">
        <f t="shared" si="17"/>
        <v>-100000000</v>
      </c>
      <c r="U77" s="1010">
        <f t="shared" si="17"/>
        <v>4.76837158203125E-7</v>
      </c>
      <c r="V77" s="1010">
        <f t="shared" si="17"/>
        <v>0</v>
      </c>
      <c r="W77" s="1010">
        <f t="shared" si="17"/>
        <v>0</v>
      </c>
      <c r="X77" s="1010">
        <f t="shared" si="17"/>
        <v>-100000000</v>
      </c>
      <c r="Y77" s="1078">
        <f t="shared" si="17"/>
        <v>0</v>
      </c>
      <c r="Z77" s="1078">
        <f t="shared" si="17"/>
        <v>0</v>
      </c>
      <c r="AA77" s="1078">
        <f t="shared" ref="AA77" si="18">AA17-AA18-AA19-AA20-AA22-AA23-AA21</f>
        <v>-100000000</v>
      </c>
    </row>
    <row r="78" spans="1:29">
      <c r="B78" s="972" t="s">
        <v>936</v>
      </c>
      <c r="D78" s="1398"/>
      <c r="E78" s="1002">
        <f>E23-E24-E25</f>
        <v>0</v>
      </c>
      <c r="F78" s="1002">
        <f t="shared" ref="F78:T78" si="19">F23-F24-F25</f>
        <v>0</v>
      </c>
      <c r="G78" s="1399">
        <f>G23-G24-G25</f>
        <v>7800000000</v>
      </c>
      <c r="H78" s="1399">
        <f t="shared" si="19"/>
        <v>8700000000</v>
      </c>
      <c r="I78" s="1399">
        <f t="shared" si="19"/>
        <v>6700000000</v>
      </c>
      <c r="J78" s="1399">
        <f t="shared" si="19"/>
        <v>5000000000</v>
      </c>
      <c r="K78" s="1002">
        <f t="shared" si="19"/>
        <v>0</v>
      </c>
      <c r="L78" s="1002">
        <f t="shared" si="19"/>
        <v>0</v>
      </c>
      <c r="M78" s="1002">
        <f t="shared" si="19"/>
        <v>100000000</v>
      </c>
      <c r="N78" s="1002">
        <f t="shared" si="19"/>
        <v>0</v>
      </c>
      <c r="O78" s="1002">
        <f t="shared" si="19"/>
        <v>100000000</v>
      </c>
      <c r="P78" s="1002">
        <f t="shared" si="19"/>
        <v>0</v>
      </c>
      <c r="Q78" s="1002">
        <f t="shared" si="19"/>
        <v>0</v>
      </c>
      <c r="R78" s="1400">
        <f>R23-R24-R25</f>
        <v>2700000000</v>
      </c>
      <c r="S78" s="1400">
        <f>S23-S24-S25</f>
        <v>4600000000</v>
      </c>
      <c r="T78" s="1400">
        <f t="shared" si="19"/>
        <v>5100000000</v>
      </c>
      <c r="U78" s="1400">
        <f t="shared" ref="U78:Z78" si="20">U23-U24-U25</f>
        <v>4099999999.9999995</v>
      </c>
      <c r="V78" s="1400">
        <f t="shared" si="20"/>
        <v>6500000000</v>
      </c>
      <c r="W78" s="1400">
        <f t="shared" si="20"/>
        <v>5400000000</v>
      </c>
      <c r="X78" s="1400">
        <f t="shared" si="20"/>
        <v>4400000000</v>
      </c>
      <c r="Y78" s="2535">
        <f t="shared" si="20"/>
        <v>4300000000</v>
      </c>
      <c r="Z78" s="2535">
        <f t="shared" si="20"/>
        <v>4300000000</v>
      </c>
      <c r="AA78" s="2535">
        <f t="shared" ref="AA78" si="21">AA23-AA24-AA25</f>
        <v>4300000000</v>
      </c>
    </row>
    <row r="79" spans="1:29">
      <c r="B79" s="972" t="s">
        <v>876</v>
      </c>
      <c r="D79" s="1376"/>
      <c r="E79" s="1002">
        <f>E26-E27-E30</f>
        <v>-100000000</v>
      </c>
      <c r="F79" s="1002">
        <f t="shared" ref="F79:T79" si="22">F26-F27-F30</f>
        <v>0</v>
      </c>
      <c r="G79" s="1002">
        <f t="shared" si="22"/>
        <v>-100000000</v>
      </c>
      <c r="H79" s="1002">
        <f t="shared" si="22"/>
        <v>0</v>
      </c>
      <c r="I79" s="1002">
        <f t="shared" si="22"/>
        <v>100000000</v>
      </c>
      <c r="J79" s="1002">
        <f t="shared" si="22"/>
        <v>0</v>
      </c>
      <c r="K79" s="1002">
        <f t="shared" si="22"/>
        <v>0</v>
      </c>
      <c r="L79" s="1002">
        <f t="shared" si="22"/>
        <v>0</v>
      </c>
      <c r="M79" s="1002">
        <f t="shared" si="22"/>
        <v>0</v>
      </c>
      <c r="N79" s="1002">
        <f t="shared" si="22"/>
        <v>0</v>
      </c>
      <c r="O79" s="1002">
        <f t="shared" si="22"/>
        <v>0</v>
      </c>
      <c r="P79" s="1002">
        <f t="shared" si="22"/>
        <v>0</v>
      </c>
      <c r="Q79" s="1002">
        <f t="shared" si="22"/>
        <v>0</v>
      </c>
      <c r="R79" s="1010">
        <f t="shared" si="22"/>
        <v>100000000</v>
      </c>
      <c r="S79" s="1010">
        <f t="shared" si="22"/>
        <v>49500000000</v>
      </c>
      <c r="T79" s="1010">
        <f t="shared" si="22"/>
        <v>42500000000</v>
      </c>
      <c r="U79" s="1010">
        <f t="shared" ref="U79:Z79" si="23">U26-U27-U30</f>
        <v>54900000000</v>
      </c>
      <c r="V79" s="1010">
        <f t="shared" si="23"/>
        <v>70100000000</v>
      </c>
      <c r="W79" s="1010">
        <f t="shared" si="23"/>
        <v>75400000000</v>
      </c>
      <c r="X79" s="1010">
        <f t="shared" si="23"/>
        <v>83300000000</v>
      </c>
      <c r="Y79" s="1078">
        <f t="shared" si="23"/>
        <v>93100000000</v>
      </c>
      <c r="Z79" s="1078">
        <f t="shared" si="23"/>
        <v>101500000000</v>
      </c>
      <c r="AA79" s="1078">
        <f t="shared" ref="AA79" si="24">AA26-AA27-AA30</f>
        <v>111500000000</v>
      </c>
    </row>
    <row r="80" spans="1:29">
      <c r="B80" s="972" t="s">
        <v>2984</v>
      </c>
      <c r="D80" s="1376"/>
      <c r="E80" s="1002">
        <f>E27-E28-E29</f>
        <v>0</v>
      </c>
      <c r="F80" s="1002">
        <f t="shared" ref="F80:T80" si="25">F27-F28-F29</f>
        <v>0</v>
      </c>
      <c r="G80" s="1002">
        <f t="shared" si="25"/>
        <v>0</v>
      </c>
      <c r="H80" s="1002">
        <f t="shared" si="25"/>
        <v>0</v>
      </c>
      <c r="I80" s="1002">
        <f t="shared" si="25"/>
        <v>-100000000</v>
      </c>
      <c r="J80" s="1002">
        <f t="shared" si="25"/>
        <v>0</v>
      </c>
      <c r="K80" s="1399">
        <f>K27-K28-K29</f>
        <v>23400000000</v>
      </c>
      <c r="L80" s="1002">
        <f t="shared" si="25"/>
        <v>0</v>
      </c>
      <c r="M80" s="1002">
        <f t="shared" si="25"/>
        <v>100000000</v>
      </c>
      <c r="N80" s="1002">
        <f t="shared" si="25"/>
        <v>-100000000</v>
      </c>
      <c r="O80" s="1002">
        <f t="shared" si="25"/>
        <v>0</v>
      </c>
      <c r="P80" s="1002">
        <f t="shared" si="25"/>
        <v>0</v>
      </c>
      <c r="Q80" s="1002">
        <f t="shared" si="25"/>
        <v>0</v>
      </c>
      <c r="R80" s="1010">
        <f t="shared" si="25"/>
        <v>0</v>
      </c>
      <c r="S80" s="1010">
        <f t="shared" si="25"/>
        <v>-49500000000</v>
      </c>
      <c r="T80" s="1010">
        <f t="shared" si="25"/>
        <v>-42500000000</v>
      </c>
      <c r="U80" s="1010">
        <f t="shared" ref="U80:Z80" si="26">U27-U28-U29</f>
        <v>-54900000000</v>
      </c>
      <c r="V80" s="1010">
        <f t="shared" si="26"/>
        <v>-70100000000</v>
      </c>
      <c r="W80" s="1010">
        <f t="shared" si="26"/>
        <v>-75400000000</v>
      </c>
      <c r="X80" s="1010">
        <f t="shared" si="26"/>
        <v>-83400000000</v>
      </c>
      <c r="Y80" s="1078">
        <f t="shared" si="26"/>
        <v>-93200000000</v>
      </c>
      <c r="Z80" s="1078">
        <f t="shared" si="26"/>
        <v>-101500000000</v>
      </c>
      <c r="AA80" s="1078">
        <f t="shared" ref="AA80" si="27">AA27-AA28-AA29</f>
        <v>-111400000000</v>
      </c>
    </row>
    <row r="81" spans="2:27">
      <c r="B81" s="972" t="s">
        <v>2985</v>
      </c>
      <c r="D81" s="1376"/>
      <c r="E81" s="1002">
        <f>E30-E31-E32</f>
        <v>0</v>
      </c>
      <c r="F81" s="1002">
        <f t="shared" ref="F81:T81" si="28">F30-F31-F32</f>
        <v>0</v>
      </c>
      <c r="G81" s="1399">
        <f>G30-G31-G32</f>
        <v>2700000000</v>
      </c>
      <c r="H81" s="1399">
        <f t="shared" si="28"/>
        <v>12500000000</v>
      </c>
      <c r="I81" s="1002">
        <f t="shared" si="28"/>
        <v>0</v>
      </c>
      <c r="J81" s="1002">
        <f t="shared" si="28"/>
        <v>0</v>
      </c>
      <c r="K81" s="1399">
        <f t="shared" si="28"/>
        <v>1000000000</v>
      </c>
      <c r="L81" s="1002">
        <f t="shared" si="28"/>
        <v>0</v>
      </c>
      <c r="M81" s="1002">
        <f t="shared" si="28"/>
        <v>0</v>
      </c>
      <c r="N81" s="1002">
        <f t="shared" si="28"/>
        <v>0</v>
      </c>
      <c r="O81" s="1002">
        <f t="shared" si="28"/>
        <v>0</v>
      </c>
      <c r="P81" s="1002">
        <f t="shared" si="28"/>
        <v>0</v>
      </c>
      <c r="Q81" s="1002">
        <f t="shared" si="28"/>
        <v>0</v>
      </c>
      <c r="R81" s="1010">
        <f t="shared" si="28"/>
        <v>0</v>
      </c>
      <c r="S81" s="1010">
        <f t="shared" si="28"/>
        <v>0</v>
      </c>
      <c r="T81" s="1010">
        <f t="shared" si="28"/>
        <v>0</v>
      </c>
      <c r="U81" s="1010">
        <f t="shared" ref="U81:Z81" si="29">U30-U31-U32</f>
        <v>0</v>
      </c>
      <c r="V81" s="1010">
        <f t="shared" si="29"/>
        <v>0</v>
      </c>
      <c r="W81" s="1010">
        <f t="shared" si="29"/>
        <v>0</v>
      </c>
      <c r="X81" s="1010">
        <f t="shared" si="29"/>
        <v>0</v>
      </c>
      <c r="Y81" s="1078">
        <f t="shared" si="29"/>
        <v>0</v>
      </c>
      <c r="Z81" s="1078">
        <f t="shared" si="29"/>
        <v>0</v>
      </c>
      <c r="AA81" s="1078">
        <f t="shared" ref="AA81" si="30">AA30-AA31-AA32</f>
        <v>0</v>
      </c>
    </row>
    <row r="82" spans="2:27">
      <c r="B82" s="972" t="s">
        <v>148</v>
      </c>
      <c r="E82" s="995">
        <f>E46-E47-E55</f>
        <v>0</v>
      </c>
      <c r="F82" s="995">
        <f t="shared" ref="F82:T82" si="31">F46-F47-F55</f>
        <v>0</v>
      </c>
      <c r="G82" s="995">
        <f t="shared" si="31"/>
        <v>0</v>
      </c>
      <c r="H82" s="995">
        <f t="shared" si="31"/>
        <v>0</v>
      </c>
      <c r="I82" s="995">
        <f t="shared" si="31"/>
        <v>0</v>
      </c>
      <c r="J82" s="995">
        <f>J46-J47-J55</f>
        <v>0</v>
      </c>
      <c r="K82" s="995">
        <f t="shared" si="31"/>
        <v>0</v>
      </c>
      <c r="L82" s="995">
        <f t="shared" si="31"/>
        <v>0</v>
      </c>
      <c r="M82" s="995">
        <f t="shared" si="31"/>
        <v>0</v>
      </c>
      <c r="N82" s="995">
        <f>N46-N47-N55</f>
        <v>0</v>
      </c>
      <c r="O82" s="995">
        <f t="shared" si="31"/>
        <v>-100000000</v>
      </c>
      <c r="P82" s="995">
        <f t="shared" si="31"/>
        <v>100000000</v>
      </c>
      <c r="Q82" s="995">
        <f t="shared" si="31"/>
        <v>0</v>
      </c>
      <c r="R82" s="1010">
        <f t="shared" si="31"/>
        <v>0</v>
      </c>
      <c r="S82" s="1010">
        <f t="shared" si="31"/>
        <v>0</v>
      </c>
      <c r="T82" s="1010">
        <f t="shared" si="31"/>
        <v>100000000</v>
      </c>
      <c r="U82" s="1010">
        <f t="shared" ref="U82:Z82" si="32">U46-U47-U55</f>
        <v>0</v>
      </c>
      <c r="V82" s="1010">
        <f t="shared" si="32"/>
        <v>0</v>
      </c>
      <c r="W82" s="1010">
        <f t="shared" si="32"/>
        <v>0</v>
      </c>
      <c r="X82" s="1010">
        <f t="shared" si="32"/>
        <v>0</v>
      </c>
      <c r="Y82" s="1078">
        <f t="shared" si="32"/>
        <v>0</v>
      </c>
      <c r="Z82" s="1078">
        <f t="shared" si="32"/>
        <v>0</v>
      </c>
      <c r="AA82" s="1078">
        <f t="shared" ref="AA82" si="33">AA46-AA47-AA55</f>
        <v>0</v>
      </c>
    </row>
    <row r="83" spans="2:27">
      <c r="B83" s="972" t="s">
        <v>297</v>
      </c>
      <c r="E83" s="995">
        <f>E47-E48-E54</f>
        <v>100000000</v>
      </c>
      <c r="F83" s="995">
        <f t="shared" ref="F83:T83" si="34">F47-F48-F54</f>
        <v>0</v>
      </c>
      <c r="G83" s="995">
        <f t="shared" si="34"/>
        <v>100000000</v>
      </c>
      <c r="H83" s="995">
        <f t="shared" si="34"/>
        <v>0</v>
      </c>
      <c r="I83" s="995">
        <f t="shared" si="34"/>
        <v>-100000000</v>
      </c>
      <c r="J83" s="995">
        <f t="shared" si="34"/>
        <v>0</v>
      </c>
      <c r="K83" s="995">
        <f t="shared" si="34"/>
        <v>0</v>
      </c>
      <c r="L83" s="995">
        <f t="shared" si="34"/>
        <v>0</v>
      </c>
      <c r="M83" s="995">
        <f t="shared" si="34"/>
        <v>0</v>
      </c>
      <c r="N83" s="995">
        <f t="shared" si="34"/>
        <v>0</v>
      </c>
      <c r="O83" s="995">
        <f t="shared" si="34"/>
        <v>0</v>
      </c>
      <c r="P83" s="995">
        <f t="shared" si="34"/>
        <v>0</v>
      </c>
      <c r="Q83" s="995">
        <f t="shared" si="34"/>
        <v>0</v>
      </c>
      <c r="R83" s="1010">
        <f t="shared" si="34"/>
        <v>3200000000</v>
      </c>
      <c r="S83" s="1010">
        <f t="shared" si="34"/>
        <v>13800000000</v>
      </c>
      <c r="T83" s="1010">
        <f t="shared" si="34"/>
        <v>19500000000</v>
      </c>
      <c r="U83" s="1010">
        <f t="shared" ref="U83:Z83" si="35">U47-U48-U54</f>
        <v>2200000000</v>
      </c>
      <c r="V83" s="1010">
        <f t="shared" si="35"/>
        <v>1700000000</v>
      </c>
      <c r="W83" s="1010">
        <f t="shared" si="35"/>
        <v>1000000000</v>
      </c>
      <c r="X83" s="1010">
        <f t="shared" si="35"/>
        <v>-1700000000</v>
      </c>
      <c r="Y83" s="1078">
        <f t="shared" si="35"/>
        <v>-1500000000</v>
      </c>
      <c r="Z83" s="1078">
        <f t="shared" si="35"/>
        <v>-1700000000</v>
      </c>
      <c r="AA83" s="1078">
        <f t="shared" ref="AA83" si="36">AA47-AA48-AA54</f>
        <v>-2700000000</v>
      </c>
    </row>
    <row r="84" spans="2:27">
      <c r="B84" s="972" t="s">
        <v>528</v>
      </c>
      <c r="E84" s="995">
        <f>E55-E56-E59-E60-E61</f>
        <v>0</v>
      </c>
      <c r="F84" s="995">
        <f t="shared" ref="F84:T84" si="37">F55-F56-F59-F60-F61</f>
        <v>0</v>
      </c>
      <c r="G84" s="995">
        <f t="shared" si="37"/>
        <v>-100000000</v>
      </c>
      <c r="H84" s="995">
        <f t="shared" si="37"/>
        <v>0</v>
      </c>
      <c r="I84" s="995">
        <f t="shared" si="37"/>
        <v>0</v>
      </c>
      <c r="J84" s="995">
        <f>J55-J56-J59-J60-J61</f>
        <v>0</v>
      </c>
      <c r="K84" s="995">
        <f t="shared" si="37"/>
        <v>0</v>
      </c>
      <c r="L84" s="995">
        <f t="shared" si="37"/>
        <v>0</v>
      </c>
      <c r="M84" s="995">
        <f t="shared" si="37"/>
        <v>99999999.999999523</v>
      </c>
      <c r="N84" s="995">
        <f t="shared" si="37"/>
        <v>0</v>
      </c>
      <c r="O84" s="995">
        <f t="shared" si="37"/>
        <v>0</v>
      </c>
      <c r="P84" s="995">
        <f t="shared" si="37"/>
        <v>0</v>
      </c>
      <c r="Q84" s="995">
        <f t="shared" si="37"/>
        <v>0</v>
      </c>
      <c r="R84" s="1010">
        <f t="shared" si="37"/>
        <v>0</v>
      </c>
      <c r="S84" s="1010">
        <f t="shared" si="37"/>
        <v>-100000000</v>
      </c>
      <c r="T84" s="1010">
        <f t="shared" si="37"/>
        <v>0</v>
      </c>
      <c r="U84" s="1010">
        <f t="shared" ref="U84:Z84" si="38">U55-U56-U59-U60-U61</f>
        <v>0</v>
      </c>
      <c r="V84" s="1010">
        <f t="shared" si="38"/>
        <v>0</v>
      </c>
      <c r="W84" s="1010">
        <f t="shared" si="38"/>
        <v>0</v>
      </c>
      <c r="X84" s="1010">
        <f t="shared" si="38"/>
        <v>100000000</v>
      </c>
      <c r="Y84" s="1078">
        <f t="shared" si="38"/>
        <v>0</v>
      </c>
      <c r="Z84" s="1078">
        <f t="shared" si="38"/>
        <v>0</v>
      </c>
      <c r="AA84" s="1078">
        <f t="shared" ref="AA84" si="39">AA55-AA56-AA59-AA60-AA61</f>
        <v>100000000</v>
      </c>
    </row>
    <row r="85" spans="2:27">
      <c r="B85" s="972" t="s">
        <v>2986</v>
      </c>
      <c r="E85" s="995">
        <f>E56-E57-E58</f>
        <v>0</v>
      </c>
      <c r="F85" s="995">
        <f t="shared" ref="F85:T85" si="40">F56-F57-F58</f>
        <v>0</v>
      </c>
      <c r="G85" s="995">
        <f t="shared" si="40"/>
        <v>0</v>
      </c>
      <c r="H85" s="995">
        <f t="shared" si="40"/>
        <v>0</v>
      </c>
      <c r="I85" s="995">
        <f t="shared" si="40"/>
        <v>0</v>
      </c>
      <c r="J85" s="995">
        <f t="shared" si="40"/>
        <v>0</v>
      </c>
      <c r="K85" s="995">
        <f t="shared" si="40"/>
        <v>0</v>
      </c>
      <c r="L85" s="1003">
        <f t="shared" si="40"/>
        <v>100000000</v>
      </c>
      <c r="M85" s="1003">
        <f t="shared" si="40"/>
        <v>1000000000</v>
      </c>
      <c r="N85" s="1003">
        <f>N56-N57-N58</f>
        <v>4700000000</v>
      </c>
      <c r="O85" s="995">
        <f t="shared" si="40"/>
        <v>0</v>
      </c>
      <c r="P85" s="995">
        <f t="shared" si="40"/>
        <v>0</v>
      </c>
      <c r="Q85" s="995">
        <f t="shared" si="40"/>
        <v>0</v>
      </c>
      <c r="R85" s="1010">
        <f t="shared" si="40"/>
        <v>0</v>
      </c>
      <c r="S85" s="1010">
        <f t="shared" si="40"/>
        <v>0</v>
      </c>
      <c r="T85" s="1010">
        <f t="shared" si="40"/>
        <v>0</v>
      </c>
      <c r="U85" s="1010">
        <f t="shared" ref="U85:Z85" si="41">U56-U57-U58</f>
        <v>0</v>
      </c>
      <c r="V85" s="1010">
        <f t="shared" si="41"/>
        <v>0</v>
      </c>
      <c r="W85" s="1010">
        <f t="shared" si="41"/>
        <v>0</v>
      </c>
      <c r="X85" s="1010">
        <f t="shared" si="41"/>
        <v>0</v>
      </c>
      <c r="Y85" s="1078">
        <f t="shared" si="41"/>
        <v>0</v>
      </c>
      <c r="Z85" s="1078">
        <f t="shared" si="41"/>
        <v>0</v>
      </c>
      <c r="AA85" s="1078">
        <f t="shared" ref="AA85" si="42">AA56-AA57-AA58</f>
        <v>0</v>
      </c>
    </row>
    <row r="86" spans="2:27">
      <c r="D86" s="995"/>
    </row>
    <row r="87" spans="2:27">
      <c r="Y87" s="972"/>
      <c r="Z87" s="972"/>
      <c r="AA87" s="972"/>
    </row>
    <row r="88" spans="2:27">
      <c r="B88" s="972" t="s">
        <v>543</v>
      </c>
      <c r="E88" s="972">
        <v>287555000000</v>
      </c>
      <c r="F88" s="972">
        <v>289838000000</v>
      </c>
      <c r="G88" s="972">
        <v>276877000000</v>
      </c>
      <c r="H88" s="972">
        <v>280577000000</v>
      </c>
      <c r="I88" s="1000">
        <v>309514000000</v>
      </c>
      <c r="J88" s="1000">
        <v>309462000000</v>
      </c>
      <c r="K88" s="1000">
        <v>333381000000</v>
      </c>
      <c r="L88" s="1000">
        <v>386952000000</v>
      </c>
      <c r="M88" s="1000">
        <v>389930000000</v>
      </c>
      <c r="N88" s="1000">
        <v>419743000000</v>
      </c>
      <c r="O88" s="1000">
        <v>520775999999.99994</v>
      </c>
      <c r="P88" s="1000">
        <v>489523000000</v>
      </c>
      <c r="Q88" s="1000">
        <v>475945000000</v>
      </c>
      <c r="R88" s="1401">
        <v>548400000000</v>
      </c>
      <c r="S88">
        <v>619700000000</v>
      </c>
      <c r="T88">
        <v>698700000000</v>
      </c>
      <c r="U88">
        <v>784000000000</v>
      </c>
      <c r="V88">
        <v>826500000000</v>
      </c>
      <c r="W88">
        <v>888600000000</v>
      </c>
      <c r="X88">
        <v>955400000000</v>
      </c>
      <c r="Y88">
        <v>1028500000000</v>
      </c>
      <c r="Z88">
        <v>1110000000000</v>
      </c>
      <c r="AA88">
        <v>1198400000000</v>
      </c>
    </row>
    <row r="89" spans="2:27">
      <c r="B89" s="972" t="s">
        <v>363</v>
      </c>
      <c r="E89" s="972">
        <f t="shared" ref="E89:T89" si="43">(E6/E88)*100</f>
        <v>15.857835892264088</v>
      </c>
      <c r="F89" s="972">
        <f t="shared" si="43"/>
        <v>10.488617779587218</v>
      </c>
      <c r="G89" s="972">
        <f t="shared" si="43"/>
        <v>12.677109330135764</v>
      </c>
      <c r="H89" s="972">
        <f t="shared" si="43"/>
        <v>17.499652501808775</v>
      </c>
      <c r="I89" s="1000">
        <f t="shared" si="43"/>
        <v>15.572801230315914</v>
      </c>
      <c r="J89" s="1000">
        <f t="shared" si="43"/>
        <v>16.350957468122097</v>
      </c>
      <c r="K89" s="1000">
        <f t="shared" si="43"/>
        <v>16.137692309999672</v>
      </c>
      <c r="L89" s="1000">
        <f t="shared" si="43"/>
        <v>23.077797763030038</v>
      </c>
      <c r="M89" s="1000">
        <f t="shared" si="43"/>
        <v>25.004487985022955</v>
      </c>
      <c r="N89" s="1000">
        <f t="shared" si="43"/>
        <v>20.155190199717445</v>
      </c>
      <c r="O89" s="1000">
        <f t="shared" si="43"/>
        <v>16.705838978754784</v>
      </c>
      <c r="P89" s="1000">
        <f t="shared" si="43"/>
        <v>11.868696670023676</v>
      </c>
      <c r="Q89" s="1000">
        <f t="shared" si="43"/>
        <v>12.375379508136444</v>
      </c>
      <c r="R89" s="1000">
        <f>(R6/R88)*100</f>
        <v>20.970094821298321</v>
      </c>
      <c r="S89" s="1000">
        <f t="shared" si="43"/>
        <v>20.171050508310472</v>
      </c>
      <c r="T89" s="1000">
        <f t="shared" si="43"/>
        <v>16.029769572062403</v>
      </c>
      <c r="U89" s="1000">
        <f>(U6/U88)*100</f>
        <v>18.278061224489797</v>
      </c>
      <c r="V89" s="1000">
        <f>(V6/V88)*100</f>
        <v>18.838475499092556</v>
      </c>
      <c r="W89" s="1000">
        <f>(W6/W88)*100</f>
        <v>20.155300472653611</v>
      </c>
      <c r="X89" s="1000">
        <f>(X6/X88)*100</f>
        <v>21.038308561858905</v>
      </c>
      <c r="Y89" s="1000">
        <f t="shared" ref="Y89:AA89" si="44">(Y6/Y88)*100</f>
        <v>21.720952843947497</v>
      </c>
      <c r="Z89" s="1000">
        <f t="shared" si="44"/>
        <v>22.468468468468469</v>
      </c>
      <c r="AA89" s="1000">
        <f t="shared" si="44"/>
        <v>23.347797062750335</v>
      </c>
    </row>
    <row r="90" spans="2:27">
      <c r="B90" s="972" t="s">
        <v>152</v>
      </c>
      <c r="E90" s="972">
        <f t="shared" ref="E90:T90" si="45">(E16/E88)*100</f>
        <v>21.839300307767211</v>
      </c>
      <c r="F90" s="972">
        <f t="shared" si="45"/>
        <v>16.008942926738385</v>
      </c>
      <c r="G90" s="972">
        <f t="shared" si="45"/>
        <v>19.069839676101662</v>
      </c>
      <c r="H90" s="972">
        <f t="shared" si="45"/>
        <v>25.091151448621947</v>
      </c>
      <c r="I90" s="1000">
        <f t="shared" si="45"/>
        <v>21.679148600709496</v>
      </c>
      <c r="J90" s="1000">
        <f t="shared" si="45"/>
        <v>21.391964118373178</v>
      </c>
      <c r="K90" s="1000">
        <f t="shared" si="45"/>
        <v>22.106838722062744</v>
      </c>
      <c r="L90" s="1000">
        <f t="shared" si="45"/>
        <v>23.878930720089315</v>
      </c>
      <c r="M90" s="1000">
        <f t="shared" si="45"/>
        <v>21.337163080552919</v>
      </c>
      <c r="N90" s="1000">
        <f t="shared" si="45"/>
        <v>20.369607116735715</v>
      </c>
      <c r="O90" s="1000">
        <f t="shared" si="45"/>
        <v>18.126795397637373</v>
      </c>
      <c r="P90" s="1000">
        <f t="shared" si="45"/>
        <v>14.197494295467219</v>
      </c>
      <c r="Q90" s="1000">
        <f t="shared" si="45"/>
        <v>14.287365136727983</v>
      </c>
      <c r="R90" s="1000">
        <f>(R16/R88)*100</f>
        <v>23.468271334792121</v>
      </c>
      <c r="S90" s="1000">
        <f t="shared" si="45"/>
        <v>23.124092302727124</v>
      </c>
      <c r="T90" s="1000">
        <f t="shared" si="45"/>
        <v>20.68126520681265</v>
      </c>
      <c r="U90" s="1000">
        <f>(U16/U88)*100</f>
        <v>19.579081632653061</v>
      </c>
      <c r="V90" s="1000">
        <f>(V16/V88)*100</f>
        <v>21.379310344827587</v>
      </c>
      <c r="W90" s="1000">
        <f>(W16/W88)*100</f>
        <v>22.39477830294846</v>
      </c>
      <c r="X90" s="1000">
        <f>(X16/X88)*100</f>
        <v>23.068871676784592</v>
      </c>
      <c r="Y90" s="1000">
        <f t="shared" ref="Y90:AA90" si="46">(Y16/Y88)*100</f>
        <v>23.811375789985416</v>
      </c>
      <c r="Z90" s="1000">
        <f t="shared" si="46"/>
        <v>24.54954954954955</v>
      </c>
      <c r="AA90" s="1000">
        <f t="shared" si="46"/>
        <v>25.275367156208279</v>
      </c>
    </row>
    <row r="91" spans="2:27">
      <c r="I91" s="1000"/>
      <c r="J91" s="1000"/>
      <c r="K91" s="1000"/>
      <c r="L91" s="1000"/>
      <c r="M91" s="1000"/>
      <c r="N91" s="1000"/>
      <c r="O91" s="1000"/>
      <c r="P91" s="1000"/>
      <c r="Q91" s="1000"/>
      <c r="R91" s="1000"/>
      <c r="S91" s="1000"/>
      <c r="T91" s="1000"/>
      <c r="U91" s="1000"/>
      <c r="V91" s="1000"/>
      <c r="W91" s="1000"/>
      <c r="X91" s="1000"/>
    </row>
    <row r="92" spans="2:27">
      <c r="I92" s="1000"/>
      <c r="J92" s="1000"/>
      <c r="K92" s="1000"/>
      <c r="L92" s="1000"/>
      <c r="M92" s="1000"/>
      <c r="N92" s="1000"/>
      <c r="O92" s="1000"/>
      <c r="P92" s="1000"/>
      <c r="Q92" s="1000"/>
      <c r="R92" s="1000"/>
      <c r="S92" s="1000"/>
      <c r="T92" s="1000"/>
      <c r="U92" s="1000"/>
      <c r="V92" s="1000"/>
      <c r="W92" s="1000"/>
      <c r="X92" s="1000"/>
    </row>
    <row r="93" spans="2:27">
      <c r="I93" s="1000"/>
      <c r="J93" s="1000"/>
      <c r="K93" s="1000"/>
      <c r="L93" s="1000"/>
      <c r="M93" s="1000"/>
      <c r="N93" s="1000"/>
      <c r="O93" s="1000"/>
      <c r="P93" s="1000"/>
      <c r="Q93" s="1000"/>
      <c r="R93" s="1000"/>
      <c r="S93" s="1000"/>
      <c r="T93" s="1000"/>
      <c r="U93" s="1000"/>
      <c r="V93" s="1000"/>
      <c r="W93" s="1000"/>
      <c r="X93" s="1000"/>
    </row>
    <row r="94" spans="2:27">
      <c r="I94" s="1000"/>
      <c r="J94" s="1000"/>
      <c r="K94" s="1000"/>
      <c r="L94" s="1000"/>
      <c r="M94" s="1000"/>
      <c r="N94" s="1000"/>
      <c r="O94" s="1000"/>
      <c r="P94" s="1000"/>
      <c r="Q94" s="1000"/>
      <c r="R94" s="1000"/>
      <c r="S94" s="1000"/>
      <c r="T94" s="1000"/>
      <c r="U94" s="1000"/>
      <c r="V94" s="1000"/>
      <c r="W94" s="1000"/>
      <c r="X94" s="1000"/>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Q6" activePane="bottomRight" state="frozen"/>
      <selection pane="topRight" activeCell="R7" sqref="R7"/>
      <selection pane="bottomLeft" activeCell="R7" sqref="R7"/>
      <selection pane="bottomRight" activeCell="U9" sqref="U9"/>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2987</v>
      </c>
      <c r="B1" s="82" t="s">
        <v>2988</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2989</v>
      </c>
      <c r="C2" s="30"/>
      <c r="D2" s="28"/>
      <c r="E2" s="28"/>
      <c r="F2" s="28"/>
      <c r="G2" s="28"/>
      <c r="H2" s="28"/>
      <c r="I2" s="28"/>
      <c r="J2" s="28"/>
      <c r="K2" s="28"/>
      <c r="L2" s="28"/>
      <c r="M2" s="28"/>
      <c r="N2" s="28"/>
      <c r="O2" s="28"/>
      <c r="P2" s="28"/>
      <c r="Q2" s="28"/>
      <c r="R2" s="31"/>
      <c r="S2" s="32"/>
      <c r="T2" s="33"/>
      <c r="U2" s="28"/>
      <c r="V2" s="28"/>
      <c r="W2" s="28"/>
      <c r="X2" s="2"/>
      <c r="Y2" s="1543"/>
      <c r="Z2" s="1543"/>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543">
        <v>2021</v>
      </c>
      <c r="Z3" s="1543">
        <v>2022</v>
      </c>
      <c r="AA3" s="365"/>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543" t="s">
        <v>26</v>
      </c>
      <c r="Z4" s="1543" t="s">
        <v>27</v>
      </c>
      <c r="AA4" s="365"/>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5"/>
      <c r="AB5" s="365"/>
      <c r="AC5" s="365"/>
      <c r="AD5" s="365"/>
      <c r="AE5" s="365"/>
      <c r="AF5" s="365"/>
      <c r="AG5" s="365"/>
      <c r="AH5" s="365"/>
      <c r="AI5" s="365"/>
      <c r="AJ5" s="365"/>
      <c r="AK5" s="365"/>
      <c r="AL5" s="365"/>
      <c r="AM5" s="365"/>
      <c r="AN5" s="365"/>
      <c r="AO5" s="365"/>
      <c r="AP5" s="365"/>
      <c r="AQ5" s="365"/>
      <c r="AR5" s="365"/>
      <c r="AS5" s="365"/>
      <c r="AT5" s="365"/>
      <c r="AU5" s="365"/>
    </row>
    <row r="6" spans="1:47" s="848" customFormat="1">
      <c r="A6" s="1175" t="s">
        <v>785</v>
      </c>
      <c r="B6" s="1175" t="s">
        <v>831</v>
      </c>
      <c r="C6" s="1175" t="s">
        <v>35</v>
      </c>
      <c r="D6" s="1158"/>
      <c r="E6" s="1158"/>
      <c r="F6" s="1158"/>
      <c r="G6" s="1158"/>
      <c r="H6" s="1158"/>
      <c r="I6" s="1176"/>
      <c r="J6" s="1533">
        <f t="shared" ref="J6:Z6" si="0">J7+J36</f>
        <v>85556000000</v>
      </c>
      <c r="K6" s="1533">
        <f t="shared" si="0"/>
        <v>97207199999.999985</v>
      </c>
      <c r="L6" s="1533">
        <f t="shared" si="0"/>
        <v>101398500000</v>
      </c>
      <c r="M6" s="1533">
        <f t="shared" si="0"/>
        <v>118200000000</v>
      </c>
      <c r="N6" s="1533">
        <f t="shared" si="0"/>
        <v>120900000000</v>
      </c>
      <c r="O6" s="1533">
        <f t="shared" si="0"/>
        <v>134400000000</v>
      </c>
      <c r="P6" s="1533">
        <f t="shared" si="0"/>
        <v>150300000000</v>
      </c>
      <c r="Q6" s="1533">
        <f t="shared" si="0"/>
        <v>151300000000</v>
      </c>
      <c r="R6" s="1533">
        <f t="shared" si="0"/>
        <v>149900000000</v>
      </c>
      <c r="S6" s="1533">
        <f t="shared" si="0"/>
        <v>182500000000</v>
      </c>
      <c r="T6" s="1533">
        <f t="shared" si="0"/>
        <v>198600000000</v>
      </c>
      <c r="U6" s="1533">
        <f t="shared" si="0"/>
        <v>200100000000</v>
      </c>
      <c r="V6" s="1533">
        <f t="shared" si="0"/>
        <v>215800000000</v>
      </c>
      <c r="W6" s="1533">
        <f t="shared" si="0"/>
        <v>229400000000</v>
      </c>
      <c r="X6" s="1533">
        <f t="shared" si="0"/>
        <v>268700000000</v>
      </c>
      <c r="Y6" s="1533">
        <f t="shared" si="0"/>
        <v>311500000000</v>
      </c>
      <c r="Z6" s="1533">
        <f t="shared" si="0"/>
        <v>328300000000</v>
      </c>
      <c r="AA6" s="916"/>
      <c r="AB6" s="916"/>
      <c r="AC6" s="916"/>
      <c r="AD6" s="916"/>
      <c r="AE6" s="916"/>
      <c r="AF6" s="916"/>
      <c r="AG6" s="916"/>
      <c r="AH6" s="916"/>
      <c r="AI6" s="916"/>
      <c r="AJ6" s="916"/>
      <c r="AK6" s="916"/>
      <c r="AL6" s="916"/>
      <c r="AM6" s="916"/>
      <c r="AN6" s="916"/>
      <c r="AO6" s="916"/>
      <c r="AP6" s="916"/>
      <c r="AQ6" s="916"/>
      <c r="AR6" s="916"/>
      <c r="AS6" s="916"/>
      <c r="AT6" s="916"/>
      <c r="AU6" s="916"/>
    </row>
    <row r="7" spans="1:47">
      <c r="A7" s="27" t="s">
        <v>159</v>
      </c>
      <c r="B7" s="27" t="s">
        <v>159</v>
      </c>
      <c r="C7" s="11" t="s">
        <v>38</v>
      </c>
      <c r="J7" s="125">
        <v>68036000000</v>
      </c>
      <c r="K7" s="125">
        <v>85936799999.999985</v>
      </c>
      <c r="L7" s="125">
        <v>84955500000</v>
      </c>
      <c r="M7" s="125">
        <v>100900000000</v>
      </c>
      <c r="N7" s="125">
        <v>109300000000</v>
      </c>
      <c r="O7" s="894">
        <f>O8+O18</f>
        <v>120900000000</v>
      </c>
      <c r="P7" s="894">
        <f t="shared" ref="P7" si="1">P8+P18</f>
        <v>136800000000</v>
      </c>
      <c r="Q7" s="1536">
        <v>144200000000</v>
      </c>
      <c r="R7" s="1536">
        <f>R8+R18</f>
        <v>145700000000</v>
      </c>
      <c r="S7" s="1536">
        <v>176200000000</v>
      </c>
      <c r="T7" s="1536">
        <v>190800000000</v>
      </c>
      <c r="U7" s="1536">
        <f>U8+U18</f>
        <v>186000000000</v>
      </c>
      <c r="V7" s="1536">
        <f>V8+V18</f>
        <v>199400000000</v>
      </c>
      <c r="W7" s="1536">
        <f>W8+W18</f>
        <v>212900000000</v>
      </c>
      <c r="X7" s="1537">
        <v>259700000000</v>
      </c>
      <c r="Y7" s="857">
        <v>308000000000</v>
      </c>
      <c r="Z7" s="857">
        <v>324800000000</v>
      </c>
      <c r="AA7" s="365"/>
      <c r="AB7" s="365"/>
      <c r="AC7" s="365"/>
      <c r="AD7" s="365"/>
      <c r="AE7" s="365"/>
      <c r="AF7" s="365"/>
      <c r="AG7" s="365"/>
      <c r="AH7" s="365"/>
      <c r="AI7" s="365"/>
      <c r="AJ7" s="365"/>
      <c r="AK7" s="365"/>
      <c r="AL7" s="365"/>
      <c r="AM7" s="365"/>
      <c r="AN7" s="365"/>
      <c r="AO7" s="365"/>
      <c r="AP7" s="365"/>
      <c r="AQ7" s="365"/>
      <c r="AR7" s="365"/>
      <c r="AS7" s="365"/>
      <c r="AT7" s="365"/>
      <c r="AU7" s="365"/>
    </row>
    <row r="8" spans="1:47">
      <c r="A8" s="27" t="s">
        <v>2990</v>
      </c>
      <c r="B8" s="27" t="s">
        <v>2991</v>
      </c>
      <c r="C8" s="58" t="s">
        <v>41</v>
      </c>
      <c r="J8" s="125">
        <v>61904000000</v>
      </c>
      <c r="K8" s="319">
        <f>K9+K14+K15+K16</f>
        <v>80653800000</v>
      </c>
      <c r="L8" s="125">
        <v>82998000000</v>
      </c>
      <c r="M8" s="125">
        <v>94900000000</v>
      </c>
      <c r="N8" s="125">
        <v>108100000000</v>
      </c>
      <c r="O8" s="125">
        <v>120900000000</v>
      </c>
      <c r="P8" s="125">
        <v>129400000000</v>
      </c>
      <c r="Q8" s="1538">
        <v>143000000000</v>
      </c>
      <c r="R8" s="1538">
        <v>145700000000</v>
      </c>
      <c r="S8" s="1538">
        <v>162700000000</v>
      </c>
      <c r="T8" s="1538">
        <v>177300000000</v>
      </c>
      <c r="U8" s="1538">
        <v>186000000000</v>
      </c>
      <c r="V8" s="1538">
        <v>199400000000</v>
      </c>
      <c r="W8" s="1537">
        <v>212900000000</v>
      </c>
      <c r="X8" s="1537">
        <v>258300000000</v>
      </c>
      <c r="Y8" s="857">
        <v>306300000000</v>
      </c>
      <c r="Z8" s="857">
        <v>321900000000</v>
      </c>
      <c r="AA8" s="365"/>
      <c r="AB8" s="365"/>
      <c r="AC8" s="365"/>
      <c r="AD8" s="365"/>
      <c r="AE8" s="365"/>
      <c r="AF8" s="365"/>
      <c r="AG8" s="365"/>
      <c r="AH8" s="365"/>
      <c r="AI8" s="365"/>
      <c r="AJ8" s="365"/>
      <c r="AK8" s="365"/>
      <c r="AL8" s="365"/>
      <c r="AM8" s="365"/>
      <c r="AN8" s="365"/>
      <c r="AO8" s="365"/>
      <c r="AP8" s="365"/>
      <c r="AQ8" s="365"/>
      <c r="AR8" s="365"/>
      <c r="AS8" s="365"/>
      <c r="AT8" s="365"/>
      <c r="AU8" s="365"/>
    </row>
    <row r="9" spans="1:47">
      <c r="A9" s="28" t="s">
        <v>39</v>
      </c>
      <c r="B9" s="28" t="s">
        <v>2992</v>
      </c>
      <c r="C9" s="34" t="s">
        <v>2993</v>
      </c>
      <c r="J9" s="125">
        <v>57816000000</v>
      </c>
      <c r="K9" s="125">
        <v>77484000000</v>
      </c>
      <c r="L9" s="125">
        <v>79083000000</v>
      </c>
      <c r="M9" s="125">
        <v>89100000000</v>
      </c>
      <c r="N9" s="298">
        <v>101000000000</v>
      </c>
      <c r="O9" s="298">
        <v>111400000000</v>
      </c>
      <c r="P9" s="298">
        <v>118300000000</v>
      </c>
      <c r="Q9" s="269">
        <v>127900000000</v>
      </c>
      <c r="R9" s="269">
        <v>135900000000</v>
      </c>
      <c r="S9" s="269">
        <v>142900000000</v>
      </c>
      <c r="T9" s="269">
        <v>151700000000</v>
      </c>
      <c r="U9" s="269">
        <v>162600000000</v>
      </c>
      <c r="V9" s="269">
        <v>174600000000</v>
      </c>
      <c r="W9" s="1537">
        <v>185100000000</v>
      </c>
      <c r="X9" s="1537">
        <v>200500000000</v>
      </c>
      <c r="Y9" s="857">
        <v>217300000000</v>
      </c>
      <c r="Z9" s="857">
        <v>230200000000</v>
      </c>
      <c r="AA9" s="365"/>
      <c r="AB9" s="365"/>
      <c r="AC9" s="365"/>
      <c r="AD9" s="365"/>
      <c r="AE9" s="365"/>
      <c r="AF9" s="365"/>
      <c r="AG9" s="365"/>
      <c r="AH9" s="365"/>
      <c r="AI9" s="365"/>
      <c r="AJ9" s="365"/>
      <c r="AK9" s="365"/>
      <c r="AL9" s="365"/>
      <c r="AM9" s="365"/>
      <c r="AN9" s="365"/>
      <c r="AO9" s="365"/>
      <c r="AP9" s="365"/>
      <c r="AQ9" s="365"/>
      <c r="AR9" s="365"/>
      <c r="AS9" s="365"/>
      <c r="AT9" s="365"/>
      <c r="AU9" s="365"/>
    </row>
    <row r="10" spans="1:47">
      <c r="A10" s="2577" t="s">
        <v>2994</v>
      </c>
      <c r="B10" s="2577" t="s">
        <v>2994</v>
      </c>
      <c r="C10" s="2619" t="s">
        <v>2445</v>
      </c>
      <c r="J10" s="125"/>
      <c r="K10" s="125"/>
      <c r="L10" s="125"/>
      <c r="M10" s="125"/>
      <c r="N10" s="298"/>
      <c r="O10" s="298"/>
      <c r="P10" s="298"/>
      <c r="Q10" s="269">
        <v>47200000000</v>
      </c>
      <c r="R10" s="269">
        <v>51200000000</v>
      </c>
      <c r="S10" s="269">
        <v>54500000000</v>
      </c>
      <c r="T10" s="269">
        <v>60600000000</v>
      </c>
      <c r="U10" s="269">
        <v>58600000000</v>
      </c>
      <c r="V10" s="269">
        <v>62100000000</v>
      </c>
      <c r="W10" s="1537">
        <v>65800000000</v>
      </c>
      <c r="X10" s="1537">
        <v>71400000000</v>
      </c>
      <c r="Y10" s="857">
        <v>77500000000</v>
      </c>
      <c r="Z10" s="857">
        <v>82100000000</v>
      </c>
      <c r="AA10" s="365"/>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c r="A11" s="2577" t="s">
        <v>2995</v>
      </c>
      <c r="B11" s="2577" t="s">
        <v>2995</v>
      </c>
      <c r="C11" s="2619" t="s">
        <v>2445</v>
      </c>
      <c r="J11" s="125"/>
      <c r="K11" s="125"/>
      <c r="L11" s="125"/>
      <c r="M11" s="125"/>
      <c r="N11" s="298"/>
      <c r="O11" s="298"/>
      <c r="P11" s="298"/>
      <c r="Q11" s="269">
        <v>60500000000</v>
      </c>
      <c r="R11" s="269">
        <v>65700000000</v>
      </c>
      <c r="S11" s="269">
        <v>68800000000</v>
      </c>
      <c r="T11" s="269">
        <v>68700000000</v>
      </c>
      <c r="U11" s="269">
        <v>79700000000</v>
      </c>
      <c r="V11" s="269">
        <v>86100000000</v>
      </c>
      <c r="W11" s="1537">
        <v>91400000000</v>
      </c>
      <c r="X11" s="1537">
        <v>98900000000</v>
      </c>
      <c r="Y11" s="857">
        <v>107000000000</v>
      </c>
      <c r="Z11" s="857">
        <v>113400000000</v>
      </c>
      <c r="AA11" s="365"/>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c r="A12" s="2577" t="s">
        <v>2996</v>
      </c>
      <c r="B12" s="2577" t="s">
        <v>2996</v>
      </c>
      <c r="C12" s="2619" t="s">
        <v>2445</v>
      </c>
      <c r="J12" s="125"/>
      <c r="K12" s="125"/>
      <c r="L12" s="125"/>
      <c r="M12" s="125"/>
      <c r="N12" s="298"/>
      <c r="O12" s="298"/>
      <c r="P12" s="298"/>
      <c r="Q12" s="269">
        <v>14900000000</v>
      </c>
      <c r="R12" s="269">
        <v>13900000000</v>
      </c>
      <c r="S12" s="269">
        <v>14000000000</v>
      </c>
      <c r="T12" s="269">
        <v>16899999999.999998</v>
      </c>
      <c r="U12" s="269">
        <v>16700000000</v>
      </c>
      <c r="V12" s="269">
        <v>18300000000</v>
      </c>
      <c r="W12" s="1537">
        <v>19500000000</v>
      </c>
      <c r="X12" s="1537">
        <v>21100000000</v>
      </c>
      <c r="Y12" s="857">
        <v>22800000000</v>
      </c>
      <c r="Z12" s="857">
        <v>24200000000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c r="A13" s="2577" t="s">
        <v>50</v>
      </c>
      <c r="B13" s="2577" t="s">
        <v>50</v>
      </c>
      <c r="C13" s="2619" t="s">
        <v>2445</v>
      </c>
      <c r="J13" s="125"/>
      <c r="K13" s="125"/>
      <c r="L13" s="125"/>
      <c r="M13" s="125"/>
      <c r="N13" s="298"/>
      <c r="O13" s="298"/>
      <c r="P13" s="298"/>
      <c r="Q13" s="269">
        <v>5300000000</v>
      </c>
      <c r="R13" s="269">
        <v>5100000000</v>
      </c>
      <c r="S13" s="269">
        <v>5600000000</v>
      </c>
      <c r="T13" s="269">
        <v>5500000000</v>
      </c>
      <c r="U13" s="269">
        <v>7600000000</v>
      </c>
      <c r="V13" s="269">
        <v>8000000000</v>
      </c>
      <c r="W13" s="1537">
        <v>8500000000</v>
      </c>
      <c r="X13" s="1537">
        <v>9200000000</v>
      </c>
      <c r="Y13" s="857">
        <v>10000000000</v>
      </c>
      <c r="Z13" s="857">
        <v>10600000000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28" t="s">
        <v>188</v>
      </c>
      <c r="B14" s="28" t="s">
        <v>2997</v>
      </c>
      <c r="C14" s="34" t="s">
        <v>2993</v>
      </c>
      <c r="J14" s="125">
        <v>3796000000</v>
      </c>
      <c r="K14" s="125">
        <v>3169800000</v>
      </c>
      <c r="L14" s="125">
        <v>3523500000.0000005</v>
      </c>
      <c r="M14" s="125">
        <v>5800000000</v>
      </c>
      <c r="N14" s="298">
        <v>6900000000</v>
      </c>
      <c r="O14" s="298">
        <v>9500000000</v>
      </c>
      <c r="P14" s="298">
        <v>11100000000</v>
      </c>
      <c r="Q14" s="269">
        <v>14200000000</v>
      </c>
      <c r="R14" s="269">
        <v>8800000000</v>
      </c>
      <c r="S14" s="269">
        <v>18800000000</v>
      </c>
      <c r="T14" s="269">
        <v>25500000000</v>
      </c>
      <c r="U14" s="269">
        <v>23400000000</v>
      </c>
      <c r="V14" s="269">
        <v>24400000000</v>
      </c>
      <c r="W14" s="1537">
        <v>27300000000</v>
      </c>
      <c r="X14" s="1537">
        <v>57300000000</v>
      </c>
      <c r="Y14" s="857">
        <v>88500000000</v>
      </c>
      <c r="Z14" s="857">
        <v>91100000000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c r="A15" s="28" t="s">
        <v>2998</v>
      </c>
      <c r="B15" s="28" t="s">
        <v>2999</v>
      </c>
      <c r="C15" s="34" t="s">
        <v>2993</v>
      </c>
      <c r="J15" s="125">
        <v>0</v>
      </c>
      <c r="K15" s="125">
        <v>0</v>
      </c>
      <c r="L15" s="125">
        <v>0</v>
      </c>
      <c r="M15" s="125">
        <v>0</v>
      </c>
      <c r="N15" s="298">
        <v>0</v>
      </c>
      <c r="O15" s="298">
        <v>0</v>
      </c>
      <c r="P15" s="298">
        <v>0</v>
      </c>
      <c r="Q15" s="269"/>
      <c r="R15" s="269"/>
      <c r="S15" s="269"/>
      <c r="T15" s="269"/>
      <c r="U15" s="269"/>
      <c r="V15" s="269"/>
      <c r="W15" s="1537"/>
      <c r="X15" s="1537"/>
      <c r="Y15" s="857"/>
      <c r="Z15" s="857"/>
      <c r="AA15" s="365"/>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c r="A16" s="28" t="s">
        <v>468</v>
      </c>
      <c r="B16" s="28" t="s">
        <v>562</v>
      </c>
      <c r="C16" s="34" t="s">
        <v>2993</v>
      </c>
      <c r="J16" s="125">
        <v>0</v>
      </c>
      <c r="K16" s="125">
        <v>0</v>
      </c>
      <c r="L16" s="125">
        <v>391500000</v>
      </c>
      <c r="M16" s="125">
        <v>0</v>
      </c>
      <c r="N16" s="298">
        <v>200000000</v>
      </c>
      <c r="O16" s="298">
        <v>0</v>
      </c>
      <c r="P16" s="298">
        <v>0</v>
      </c>
      <c r="Q16" s="269">
        <v>0</v>
      </c>
      <c r="R16" s="269">
        <v>0</v>
      </c>
      <c r="S16" s="269">
        <v>1000000000</v>
      </c>
      <c r="T16" s="269">
        <v>0</v>
      </c>
      <c r="U16" s="269">
        <v>0</v>
      </c>
      <c r="V16" s="269">
        <v>500000000</v>
      </c>
      <c r="W16" s="1537">
        <v>500000000</v>
      </c>
      <c r="X16" s="1537">
        <v>500000000</v>
      </c>
      <c r="Y16" s="857">
        <v>500000000</v>
      </c>
      <c r="Z16" s="857">
        <v>500000000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c r="A17" s="28" t="s">
        <v>3000</v>
      </c>
      <c r="B17" s="28" t="s">
        <v>3001</v>
      </c>
      <c r="C17" s="34" t="s">
        <v>2993</v>
      </c>
      <c r="J17" s="125">
        <f>J8-J9-J14-J15-J16</f>
        <v>292000000</v>
      </c>
      <c r="K17" s="125"/>
      <c r="L17" s="125"/>
      <c r="M17" s="125"/>
      <c r="N17" s="298"/>
      <c r="O17" s="298"/>
      <c r="P17" s="298"/>
      <c r="Q17" s="894">
        <f>Q8-Q9-Q14-Q15-Q16</f>
        <v>900000000</v>
      </c>
      <c r="R17" s="894">
        <f t="shared" ref="R17:Z17" si="2">R8-R9-R14-R15-R16</f>
        <v>1000000000</v>
      </c>
      <c r="S17" s="894">
        <f t="shared" si="2"/>
        <v>0</v>
      </c>
      <c r="T17" s="894">
        <f t="shared" si="2"/>
        <v>100000000</v>
      </c>
      <c r="U17" s="894">
        <f t="shared" si="2"/>
        <v>0</v>
      </c>
      <c r="V17" s="894">
        <v>0</v>
      </c>
      <c r="W17" s="894">
        <f t="shared" si="2"/>
        <v>0</v>
      </c>
      <c r="X17" s="894">
        <f t="shared" si="2"/>
        <v>0</v>
      </c>
      <c r="Y17" s="894">
        <f t="shared" si="2"/>
        <v>0</v>
      </c>
      <c r="Z17" s="894">
        <f t="shared" si="2"/>
        <v>100000000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c r="A18" s="27" t="s">
        <v>3002</v>
      </c>
      <c r="B18" s="27" t="s">
        <v>3002</v>
      </c>
      <c r="C18" s="58" t="s">
        <v>41</v>
      </c>
      <c r="J18" s="125">
        <v>6132000000</v>
      </c>
      <c r="K18" s="125">
        <v>5282999999.999999</v>
      </c>
      <c r="L18" s="125">
        <v>1957500000</v>
      </c>
      <c r="M18" s="125">
        <v>5900000000</v>
      </c>
      <c r="N18" s="298">
        <v>1200000000</v>
      </c>
      <c r="O18" s="298"/>
      <c r="P18" s="298">
        <v>7400000000</v>
      </c>
      <c r="Q18" s="269">
        <v>1300000000</v>
      </c>
      <c r="R18" s="2741">
        <v>0</v>
      </c>
      <c r="S18" s="269">
        <v>13500000000</v>
      </c>
      <c r="T18" s="269">
        <v>13500000000</v>
      </c>
      <c r="U18" s="2741">
        <v>0</v>
      </c>
      <c r="V18" s="2741">
        <v>0</v>
      </c>
      <c r="W18" s="2742">
        <v>0</v>
      </c>
      <c r="X18" s="1537">
        <v>1400000000</v>
      </c>
      <c r="Y18" s="857">
        <v>1700000000</v>
      </c>
      <c r="Z18" s="857">
        <v>2900000000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s="848" customFormat="1">
      <c r="A19" s="848" t="s">
        <v>198</v>
      </c>
      <c r="B19" s="1176" t="s">
        <v>535</v>
      </c>
      <c r="C19" s="1175" t="s">
        <v>35</v>
      </c>
      <c r="J19" s="1159">
        <v>95776000000</v>
      </c>
      <c r="K19" s="1159">
        <f>K20+K27</f>
        <v>107773199999.99998</v>
      </c>
      <c r="L19" s="1159">
        <v>116275500000</v>
      </c>
      <c r="M19" s="1159">
        <v>132100000000</v>
      </c>
      <c r="N19" s="1159">
        <v>137199999999.99998</v>
      </c>
      <c r="O19" s="1159">
        <v>154400000000</v>
      </c>
      <c r="P19" s="1093">
        <v>176400000000</v>
      </c>
      <c r="Q19" s="1539">
        <v>173600000000</v>
      </c>
      <c r="R19" s="1539">
        <v>186200000000</v>
      </c>
      <c r="S19" s="1539">
        <v>184700000000</v>
      </c>
      <c r="T19" s="1539">
        <v>219200000000</v>
      </c>
      <c r="U19" s="1539">
        <v>251200000000</v>
      </c>
      <c r="V19" s="1539">
        <v>265000000000</v>
      </c>
      <c r="W19" s="1540">
        <v>280100000000</v>
      </c>
      <c r="X19" s="1540">
        <v>319500000000</v>
      </c>
      <c r="Y19" s="1541">
        <v>368700000000</v>
      </c>
      <c r="Z19" s="1541">
        <v>385400000000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row>
    <row r="20" spans="1:47">
      <c r="A20" s="28" t="s">
        <v>73</v>
      </c>
      <c r="B20" s="27" t="s">
        <v>888</v>
      </c>
      <c r="C20" s="58" t="s">
        <v>201</v>
      </c>
      <c r="J20" s="125">
        <v>62196000000</v>
      </c>
      <c r="K20" s="125">
        <v>64804799999.999985</v>
      </c>
      <c r="L20" s="894">
        <f>L21+L22+L23+L24</f>
        <v>78300000000</v>
      </c>
      <c r="M20" s="125">
        <v>80400000000</v>
      </c>
      <c r="N20" s="298">
        <v>86400000000</v>
      </c>
      <c r="O20" s="298">
        <v>100600000000</v>
      </c>
      <c r="P20" s="298">
        <v>114900000000</v>
      </c>
      <c r="Q20" s="1538">
        <v>120600000000</v>
      </c>
      <c r="R20" s="269">
        <v>133800000000.00002</v>
      </c>
      <c r="S20" s="269">
        <v>147600000000</v>
      </c>
      <c r="T20" s="269">
        <v>170200000000</v>
      </c>
      <c r="U20" s="269">
        <v>185800000000</v>
      </c>
      <c r="V20" s="269">
        <v>194800000000</v>
      </c>
      <c r="W20" s="1537">
        <v>207800000000</v>
      </c>
      <c r="X20" s="1537">
        <v>222700000000</v>
      </c>
      <c r="Y20" s="857">
        <v>242000000000</v>
      </c>
      <c r="Z20" s="857">
        <v>256100000000.00003</v>
      </c>
      <c r="AA20" s="365"/>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c r="A21" s="28" t="s">
        <v>79</v>
      </c>
      <c r="B21" s="28" t="s">
        <v>2840</v>
      </c>
      <c r="C21" s="58" t="s">
        <v>204</v>
      </c>
      <c r="J21" s="125">
        <v>20148000000</v>
      </c>
      <c r="K21" s="125">
        <v>21836400000</v>
      </c>
      <c r="L21" s="125">
        <v>23881500000</v>
      </c>
      <c r="M21" s="125">
        <v>26200000000</v>
      </c>
      <c r="N21" s="298">
        <v>28400000000</v>
      </c>
      <c r="O21" s="298">
        <v>31300000000</v>
      </c>
      <c r="P21" s="298">
        <v>34900000000</v>
      </c>
      <c r="Q21" s="1538">
        <v>38500000000</v>
      </c>
      <c r="R21" s="269">
        <v>42300000000</v>
      </c>
      <c r="S21" s="269">
        <v>44700000000</v>
      </c>
      <c r="T21" s="269">
        <v>49400000000</v>
      </c>
      <c r="U21" s="269">
        <v>54800000000</v>
      </c>
      <c r="V21" s="269">
        <v>58100000000</v>
      </c>
      <c r="W21" s="1537">
        <v>61700000000</v>
      </c>
      <c r="X21" s="1537">
        <v>66700000000</v>
      </c>
      <c r="Y21" s="857">
        <v>72200000000</v>
      </c>
      <c r="Z21" s="857">
        <v>76500000000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c r="A22" s="28" t="s">
        <v>3003</v>
      </c>
      <c r="B22" s="28" t="s">
        <v>3004</v>
      </c>
      <c r="C22" s="58" t="s">
        <v>204</v>
      </c>
      <c r="J22" s="125">
        <v>19564000000</v>
      </c>
      <c r="K22" s="125">
        <v>20427600000</v>
      </c>
      <c r="L22" s="125">
        <v>24273000000</v>
      </c>
      <c r="M22" s="125">
        <v>25900000000</v>
      </c>
      <c r="N22" s="298">
        <v>26800000000</v>
      </c>
      <c r="O22" s="298">
        <v>33700000000.000004</v>
      </c>
      <c r="P22" s="298">
        <v>34200000000.000004</v>
      </c>
      <c r="Q22" s="1538">
        <v>37500000000</v>
      </c>
      <c r="R22" s="269">
        <v>40100000000</v>
      </c>
      <c r="S22" s="269">
        <v>43200000000</v>
      </c>
      <c r="T22" s="269">
        <v>46800000000</v>
      </c>
      <c r="U22" s="269">
        <v>51600000000</v>
      </c>
      <c r="V22" s="269">
        <v>54700000000</v>
      </c>
      <c r="W22" s="1537">
        <v>58000000000</v>
      </c>
      <c r="X22" s="1537">
        <v>62800000000</v>
      </c>
      <c r="Y22" s="857">
        <v>68000000000</v>
      </c>
      <c r="Z22" s="857">
        <v>72000000000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c r="A23" s="28" t="s">
        <v>389</v>
      </c>
      <c r="B23" s="28" t="s">
        <v>572</v>
      </c>
      <c r="C23" s="58" t="s">
        <v>204</v>
      </c>
      <c r="J23" s="125">
        <v>15476000000</v>
      </c>
      <c r="K23" s="125">
        <v>16201199999.999996</v>
      </c>
      <c r="L23" s="125">
        <v>23490000000.000004</v>
      </c>
      <c r="M23" s="125">
        <v>21800000000</v>
      </c>
      <c r="N23" s="298">
        <v>23300000000</v>
      </c>
      <c r="O23" s="298">
        <v>27500000000</v>
      </c>
      <c r="P23" s="298">
        <v>39400000000</v>
      </c>
      <c r="Q23" s="1538">
        <v>39900000000</v>
      </c>
      <c r="R23" s="269">
        <v>45100000000</v>
      </c>
      <c r="S23" s="269">
        <v>53300000000</v>
      </c>
      <c r="T23" s="269">
        <v>67300000000</v>
      </c>
      <c r="U23" s="269">
        <v>71100000000</v>
      </c>
      <c r="V23" s="269">
        <v>72000000000</v>
      </c>
      <c r="W23" s="1537">
        <v>76400000000</v>
      </c>
      <c r="X23" s="1537">
        <v>79900000000</v>
      </c>
      <c r="Y23" s="857">
        <v>86500000000</v>
      </c>
      <c r="Z23" s="857">
        <v>91700000000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c r="A24" s="28" t="s">
        <v>91</v>
      </c>
      <c r="B24" s="28" t="s">
        <v>3005</v>
      </c>
      <c r="C24" s="58" t="s">
        <v>204</v>
      </c>
      <c r="J24" s="125">
        <v>7008000000</v>
      </c>
      <c r="K24" s="125">
        <v>6339600000</v>
      </c>
      <c r="L24" s="125">
        <v>6655500000</v>
      </c>
      <c r="M24" s="125">
        <v>6600000000</v>
      </c>
      <c r="N24" s="298">
        <v>7900000000</v>
      </c>
      <c r="O24" s="298">
        <v>8100000000</v>
      </c>
      <c r="P24" s="298">
        <v>6500000000</v>
      </c>
      <c r="Q24" s="1538">
        <v>4700000000</v>
      </c>
      <c r="R24" s="269">
        <v>6300000000</v>
      </c>
      <c r="S24" s="269">
        <v>6500000000</v>
      </c>
      <c r="T24" s="269">
        <v>6700000000</v>
      </c>
      <c r="U24" s="269">
        <v>8300000000.000001</v>
      </c>
      <c r="V24" s="269">
        <v>10000000000</v>
      </c>
      <c r="W24" s="1537">
        <v>11800000000</v>
      </c>
      <c r="X24" s="1537">
        <v>13300000000</v>
      </c>
      <c r="Y24" s="857">
        <v>15200000000</v>
      </c>
      <c r="Z24" s="857">
        <v>15800000000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c r="A25" s="339" t="s">
        <v>209</v>
      </c>
      <c r="B25" s="339" t="s">
        <v>2137</v>
      </c>
      <c r="C25" s="58" t="s">
        <v>211</v>
      </c>
      <c r="J25" s="125">
        <v>2628000000</v>
      </c>
      <c r="K25" s="125">
        <v>3169800000</v>
      </c>
      <c r="L25" s="125">
        <v>3132000000</v>
      </c>
      <c r="M25" s="125">
        <v>3300000000</v>
      </c>
      <c r="N25" s="298">
        <v>4000000000</v>
      </c>
      <c r="O25" s="298">
        <v>4000000000</v>
      </c>
      <c r="P25" s="298">
        <v>2600000000</v>
      </c>
      <c r="Q25" s="1538">
        <v>1700000000</v>
      </c>
      <c r="R25" s="269">
        <v>1500000000</v>
      </c>
      <c r="S25" s="269">
        <v>1700000000</v>
      </c>
      <c r="T25" s="269">
        <v>1900000000</v>
      </c>
      <c r="U25" s="269">
        <v>2100000000</v>
      </c>
      <c r="V25" s="269">
        <v>5300000000</v>
      </c>
      <c r="W25" s="1537">
        <v>6900000000</v>
      </c>
      <c r="X25" s="1537">
        <v>8199999999.999999</v>
      </c>
      <c r="Y25" s="857">
        <v>10000000000</v>
      </c>
      <c r="Z25" s="857">
        <v>10500000000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c r="A26" s="339" t="s">
        <v>280</v>
      </c>
      <c r="B26" s="339" t="s">
        <v>2326</v>
      </c>
      <c r="C26" s="58" t="s">
        <v>211</v>
      </c>
      <c r="J26" s="125">
        <v>4380000000</v>
      </c>
      <c r="K26" s="125">
        <v>3169800000</v>
      </c>
      <c r="L26" s="125">
        <v>3523500000.0000005</v>
      </c>
      <c r="M26" s="125">
        <v>3300000000</v>
      </c>
      <c r="N26" s="298">
        <v>3900000000</v>
      </c>
      <c r="O26" s="298">
        <v>4000000000</v>
      </c>
      <c r="P26" s="298">
        <v>3900000000</v>
      </c>
      <c r="Q26" s="1538">
        <v>2900000000</v>
      </c>
      <c r="R26" s="269">
        <v>4800000000</v>
      </c>
      <c r="S26" s="269">
        <v>4800000000</v>
      </c>
      <c r="T26" s="269">
        <v>4800000000</v>
      </c>
      <c r="U26" s="269">
        <v>6200000000</v>
      </c>
      <c r="V26" s="269">
        <v>4600000000</v>
      </c>
      <c r="W26" s="1537">
        <v>4900000000</v>
      </c>
      <c r="X26" s="1537">
        <v>5100000000</v>
      </c>
      <c r="Y26" s="857">
        <v>5300000000</v>
      </c>
      <c r="Z26" s="857">
        <v>5300000000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27" t="s">
        <v>237</v>
      </c>
      <c r="B27" s="27" t="s">
        <v>904</v>
      </c>
      <c r="C27" s="58" t="s">
        <v>201</v>
      </c>
      <c r="J27" s="125">
        <v>33580000000</v>
      </c>
      <c r="K27" s="894">
        <f>K28+K29+K30+K32+K33</f>
        <v>42968400000</v>
      </c>
      <c r="L27" s="125">
        <v>37975500000</v>
      </c>
      <c r="M27" s="125">
        <v>51700000000</v>
      </c>
      <c r="N27" s="298">
        <v>50800000000</v>
      </c>
      <c r="O27" s="298">
        <v>53800000000</v>
      </c>
      <c r="P27" s="298">
        <v>61500000000</v>
      </c>
      <c r="Q27" s="1538">
        <v>53000000000</v>
      </c>
      <c r="R27" s="269">
        <v>52400000000</v>
      </c>
      <c r="S27" s="269">
        <v>37100000000</v>
      </c>
      <c r="T27" s="1535">
        <f>T28+T29+T30+T31+T32+T33</f>
        <v>49100000000</v>
      </c>
      <c r="U27" s="1535">
        <f t="shared" ref="U27:Z27" si="3">U28+U29+U30+U31+U32+U33</f>
        <v>65300000000</v>
      </c>
      <c r="V27" s="1535">
        <f t="shared" si="3"/>
        <v>70200000000</v>
      </c>
      <c r="W27" s="1535">
        <f t="shared" si="3"/>
        <v>72200000000</v>
      </c>
      <c r="X27" s="1535">
        <f t="shared" si="3"/>
        <v>96800000000</v>
      </c>
      <c r="Y27" s="1535">
        <f t="shared" si="3"/>
        <v>126800000000</v>
      </c>
      <c r="Z27" s="1535">
        <f t="shared" si="3"/>
        <v>129400000000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28" t="s">
        <v>3006</v>
      </c>
      <c r="B28" s="28" t="s">
        <v>3007</v>
      </c>
      <c r="C28" s="58" t="s">
        <v>241</v>
      </c>
      <c r="J28" s="125">
        <v>18980000000</v>
      </c>
      <c r="K28" s="340">
        <v>23949599999.999996</v>
      </c>
      <c r="L28" s="340">
        <v>21141000000</v>
      </c>
      <c r="M28" s="125">
        <v>17100000000.000002</v>
      </c>
      <c r="N28" s="298">
        <v>15800000000</v>
      </c>
      <c r="O28" s="298">
        <v>17600000000</v>
      </c>
      <c r="P28" s="298">
        <v>22300000000</v>
      </c>
      <c r="Q28" s="1538">
        <v>13800000000</v>
      </c>
      <c r="R28" s="269">
        <v>11200000000</v>
      </c>
      <c r="S28" s="269">
        <v>9700000000</v>
      </c>
      <c r="T28" s="269">
        <v>15900000000</v>
      </c>
      <c r="U28" s="269">
        <v>22100000000</v>
      </c>
      <c r="V28" s="269">
        <v>40600000000</v>
      </c>
      <c r="W28" s="1537">
        <v>43500000000</v>
      </c>
      <c r="X28" s="1537">
        <v>32400000000</v>
      </c>
      <c r="Y28" s="857">
        <v>26500000000</v>
      </c>
      <c r="Z28" s="857">
        <v>23400000000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28" t="s">
        <v>3008</v>
      </c>
      <c r="B29" s="28" t="s">
        <v>3009</v>
      </c>
      <c r="C29" s="58" t="s">
        <v>241</v>
      </c>
      <c r="J29" s="125">
        <v>0</v>
      </c>
      <c r="K29" s="125">
        <v>0</v>
      </c>
      <c r="L29" s="125">
        <v>0</v>
      </c>
      <c r="M29" s="125">
        <v>0</v>
      </c>
      <c r="N29" s="125">
        <v>0</v>
      </c>
      <c r="O29" s="298">
        <v>0</v>
      </c>
      <c r="P29" s="298">
        <v>0</v>
      </c>
      <c r="Q29" s="1538"/>
      <c r="R29" s="269"/>
      <c r="S29" s="269"/>
      <c r="T29" s="269"/>
      <c r="U29" s="269"/>
      <c r="V29" s="269"/>
      <c r="W29" s="1537"/>
      <c r="X29" s="1537"/>
      <c r="Y29" s="857"/>
      <c r="Z29" s="857"/>
      <c r="AA29" s="365"/>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c r="A30" s="28" t="s">
        <v>3010</v>
      </c>
      <c r="B30" s="28" t="s">
        <v>3011</v>
      </c>
      <c r="C30" s="58" t="s">
        <v>241</v>
      </c>
      <c r="J30" s="125">
        <v>12848000000</v>
      </c>
      <c r="K30" s="125">
        <v>19018800000</v>
      </c>
      <c r="L30" s="125">
        <v>15268500000</v>
      </c>
      <c r="M30" s="125">
        <v>25900000000</v>
      </c>
      <c r="N30" s="298">
        <v>27400000000</v>
      </c>
      <c r="O30" s="298">
        <v>24900000000</v>
      </c>
      <c r="P30" s="298">
        <v>26500000000</v>
      </c>
      <c r="Q30" s="1538">
        <v>29700000000</v>
      </c>
      <c r="R30" s="269">
        <v>35100000000</v>
      </c>
      <c r="S30" s="269">
        <v>18900000000</v>
      </c>
      <c r="T30" s="269">
        <v>30800000000</v>
      </c>
      <c r="U30" s="269">
        <v>34600000000</v>
      </c>
      <c r="V30" s="269">
        <v>24000000000</v>
      </c>
      <c r="W30" s="1537">
        <v>22900000000</v>
      </c>
      <c r="X30" s="1537">
        <v>30300000000</v>
      </c>
      <c r="Y30" s="857">
        <v>36800000000</v>
      </c>
      <c r="Z30" s="857">
        <v>41100000000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c r="A31" s="2577" t="s">
        <v>3012</v>
      </c>
      <c r="B31" s="2577" t="s">
        <v>3012</v>
      </c>
      <c r="C31" s="2579" t="s">
        <v>241</v>
      </c>
      <c r="J31" s="125"/>
      <c r="K31" s="125"/>
      <c r="L31" s="125"/>
      <c r="M31" s="125"/>
      <c r="N31" s="298"/>
      <c r="O31" s="298"/>
      <c r="P31" s="298"/>
      <c r="Q31" s="1538">
        <v>0</v>
      </c>
      <c r="R31" s="269">
        <v>0</v>
      </c>
      <c r="S31" s="269">
        <v>0</v>
      </c>
      <c r="T31" s="269">
        <v>0</v>
      </c>
      <c r="U31" s="269">
        <v>0</v>
      </c>
      <c r="V31" s="269">
        <v>0</v>
      </c>
      <c r="W31" s="1537">
        <v>0</v>
      </c>
      <c r="X31" s="1537">
        <v>27400000000</v>
      </c>
      <c r="Y31" s="857">
        <v>55800000000</v>
      </c>
      <c r="Z31" s="857">
        <v>56900000000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28" t="s">
        <v>3002</v>
      </c>
      <c r="B32" s="28" t="s">
        <v>3002</v>
      </c>
      <c r="C32" s="58" t="s">
        <v>241</v>
      </c>
      <c r="J32" s="125">
        <v>1752000000</v>
      </c>
      <c r="K32" s="125"/>
      <c r="L32" s="125">
        <v>1566000000</v>
      </c>
      <c r="M32" s="125">
        <v>2700000000</v>
      </c>
      <c r="N32" s="298">
        <v>3100000000</v>
      </c>
      <c r="O32" s="298">
        <v>3400000000</v>
      </c>
      <c r="P32" s="298">
        <v>5400000000</v>
      </c>
      <c r="Q32" s="1538">
        <v>2600000000</v>
      </c>
      <c r="R32" s="269">
        <v>1400000000</v>
      </c>
      <c r="S32" s="269">
        <v>6400000000</v>
      </c>
      <c r="T32" s="269">
        <v>2400000000</v>
      </c>
      <c r="U32" s="269">
        <v>8600000000</v>
      </c>
      <c r="V32" s="269">
        <v>5600000000</v>
      </c>
      <c r="W32" s="1537">
        <v>5800000000</v>
      </c>
      <c r="X32" s="1537">
        <v>6700000000</v>
      </c>
      <c r="Y32" s="857">
        <v>7700000000</v>
      </c>
      <c r="Z32" s="857">
        <v>8000000000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28" t="s">
        <v>3013</v>
      </c>
      <c r="B33" s="28" t="s">
        <v>3014</v>
      </c>
      <c r="C33" s="58" t="s">
        <v>241</v>
      </c>
      <c r="J33" s="125">
        <v>0</v>
      </c>
      <c r="K33" s="125">
        <v>0</v>
      </c>
      <c r="L33" s="125">
        <v>0</v>
      </c>
      <c r="M33" s="125">
        <v>3300000000</v>
      </c>
      <c r="N33" s="298">
        <v>200000000</v>
      </c>
      <c r="O33" s="298">
        <v>3900000000</v>
      </c>
      <c r="P33" s="298">
        <v>5300000000</v>
      </c>
      <c r="Q33" s="1538"/>
      <c r="R33" s="269"/>
      <c r="S33" s="269"/>
      <c r="T33" s="269"/>
      <c r="U33" s="269"/>
      <c r="V33" s="269"/>
      <c r="W33" s="1537"/>
      <c r="X33" s="1537"/>
      <c r="Y33" s="857"/>
      <c r="Z33" s="857"/>
      <c r="AA33" s="365"/>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1544" t="s">
        <v>2953</v>
      </c>
      <c r="B34" s="1544" t="s">
        <v>2953</v>
      </c>
      <c r="C34" s="891" t="s">
        <v>241</v>
      </c>
      <c r="J34" s="125"/>
      <c r="K34" s="125"/>
      <c r="L34" s="125"/>
      <c r="M34" s="125">
        <f t="shared" ref="M34:S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5"/>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c r="A35" t="s">
        <v>76</v>
      </c>
      <c r="B35" s="27" t="s">
        <v>3015</v>
      </c>
      <c r="J35" s="125">
        <v>-27740000000</v>
      </c>
      <c r="K35" s="125">
        <v>-20427600000</v>
      </c>
      <c r="L35" s="125">
        <v>-31320000000</v>
      </c>
      <c r="M35" s="125">
        <v>-28600000000</v>
      </c>
      <c r="N35" s="298">
        <v>-25000000000</v>
      </c>
      <c r="O35" s="298">
        <v>-35700000000</v>
      </c>
      <c r="P35" s="298">
        <v>-39100000000</v>
      </c>
      <c r="Q35" s="1538">
        <v>-29100000000</v>
      </c>
      <c r="R35" s="269">
        <v>-40600000000</v>
      </c>
      <c r="S35" s="269">
        <v>-8500000000</v>
      </c>
      <c r="T35" s="269">
        <v>-28400000000</v>
      </c>
      <c r="U35" s="269">
        <v>-68599999999.999992</v>
      </c>
      <c r="V35" s="269">
        <v>-66800000000</v>
      </c>
      <c r="W35" s="1537">
        <v>-67700000000</v>
      </c>
      <c r="X35" s="1537">
        <v>-59700000000</v>
      </c>
      <c r="Y35" s="857">
        <v>-60600000000</v>
      </c>
      <c r="Z35" s="857">
        <v>-60600000000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c r="A36" s="27" t="s">
        <v>53</v>
      </c>
      <c r="B36" s="27" t="s">
        <v>53</v>
      </c>
      <c r="C36" s="11" t="s">
        <v>38</v>
      </c>
      <c r="J36" s="125">
        <v>17520000000</v>
      </c>
      <c r="K36" s="125">
        <v>11270400000</v>
      </c>
      <c r="L36" s="125">
        <v>16443000000.000002</v>
      </c>
      <c r="M36" s="125">
        <v>17300000000</v>
      </c>
      <c r="N36" s="298">
        <v>11600000000</v>
      </c>
      <c r="O36" s="298">
        <v>13500000000</v>
      </c>
      <c r="P36" s="298">
        <v>13500000000</v>
      </c>
      <c r="Q36" s="1538">
        <v>7100000000</v>
      </c>
      <c r="R36" s="269">
        <v>4200000000</v>
      </c>
      <c r="S36" s="269">
        <v>6300000000</v>
      </c>
      <c r="T36" s="269">
        <v>7800000000</v>
      </c>
      <c r="U36" s="269">
        <v>14100000000</v>
      </c>
      <c r="V36" s="269">
        <v>16399999999.999998</v>
      </c>
      <c r="W36" s="1537">
        <v>16500000000</v>
      </c>
      <c r="X36" s="1537">
        <v>9000000000</v>
      </c>
      <c r="Y36" s="857">
        <v>3500000000</v>
      </c>
      <c r="Z36" s="857">
        <v>3500000000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t="s">
        <v>76</v>
      </c>
      <c r="B37" s="58" t="s">
        <v>3016</v>
      </c>
      <c r="J37" s="125">
        <v>-10219999999.999998</v>
      </c>
      <c r="K37" s="125">
        <v>-9509400000</v>
      </c>
      <c r="L37" s="125">
        <v>-14876999999.999998</v>
      </c>
      <c r="M37" s="125">
        <v>0</v>
      </c>
      <c r="N37" s="298">
        <v>0</v>
      </c>
      <c r="O37" s="298">
        <v>0</v>
      </c>
      <c r="P37" s="298"/>
      <c r="Q37" s="1538">
        <v>-22000000000</v>
      </c>
      <c r="R37" s="269">
        <v>-36400000000</v>
      </c>
      <c r="S37" s="269">
        <v>-2200000000</v>
      </c>
      <c r="T37" s="269">
        <v>-20600000000</v>
      </c>
      <c r="U37" s="269">
        <v>-54500000000</v>
      </c>
      <c r="V37" s="269">
        <v>-50500000000</v>
      </c>
      <c r="W37" s="1537">
        <v>-51200000000</v>
      </c>
      <c r="X37" s="1537">
        <v>-50800000000</v>
      </c>
      <c r="Y37" s="857">
        <v>-57100000000</v>
      </c>
      <c r="Z37" s="857">
        <v>-57000000000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c r="A38" t="s">
        <v>76</v>
      </c>
      <c r="B38" s="58" t="s">
        <v>3017</v>
      </c>
      <c r="J38" s="125">
        <v>10804000000</v>
      </c>
      <c r="K38" s="125">
        <v>7748400000</v>
      </c>
      <c r="L38" s="125">
        <v>3915000000</v>
      </c>
      <c r="M38" s="125">
        <v>0</v>
      </c>
      <c r="N38" s="298">
        <v>0</v>
      </c>
      <c r="O38" s="298">
        <v>0</v>
      </c>
      <c r="P38" s="298"/>
      <c r="Q38" s="1538">
        <v>300000000</v>
      </c>
      <c r="R38" s="269">
        <v>0</v>
      </c>
      <c r="S38" s="269">
        <v>0</v>
      </c>
      <c r="T38" s="269">
        <v>0</v>
      </c>
      <c r="U38" s="269">
        <v>0</v>
      </c>
      <c r="V38" s="269">
        <v>0</v>
      </c>
      <c r="W38" s="1537">
        <v>0</v>
      </c>
      <c r="X38" s="1537">
        <v>0</v>
      </c>
      <c r="Y38" s="857">
        <v>0</v>
      </c>
      <c r="Z38" s="857">
        <v>0</v>
      </c>
      <c r="AA38" s="365"/>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c r="A39" t="s">
        <v>76</v>
      </c>
      <c r="B39" s="27" t="s">
        <v>3018</v>
      </c>
      <c r="J39" s="125">
        <v>-21024000000</v>
      </c>
      <c r="K39" s="125">
        <v>-17257800000</v>
      </c>
      <c r="L39" s="125">
        <v>-18400500000</v>
      </c>
      <c r="M39" s="125">
        <v>-14000000000</v>
      </c>
      <c r="N39" s="298">
        <v>-16300000000</v>
      </c>
      <c r="O39" s="298">
        <v>-22900000000</v>
      </c>
      <c r="P39" s="298">
        <v>-26000000000</v>
      </c>
      <c r="Q39" s="1538">
        <v>-22300000000</v>
      </c>
      <c r="R39" s="269">
        <v>-36400000000</v>
      </c>
      <c r="S39" s="269">
        <v>-1200000000</v>
      </c>
      <c r="T39" s="269">
        <v>-20600000000</v>
      </c>
      <c r="U39" s="269">
        <v>-54500000000</v>
      </c>
      <c r="V39" s="269">
        <v>-50500000000</v>
      </c>
      <c r="W39" s="1537">
        <v>-51200000000</v>
      </c>
      <c r="X39" s="1537">
        <v>-50800000000</v>
      </c>
      <c r="Y39" s="857">
        <v>-57100000000</v>
      </c>
      <c r="Z39" s="857">
        <v>-57000000000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s="848" customFormat="1">
      <c r="A40" s="1176" t="s">
        <v>592</v>
      </c>
      <c r="B40" s="1176" t="s">
        <v>592</v>
      </c>
      <c r="C40" s="1175" t="s">
        <v>35</v>
      </c>
      <c r="J40" s="1159">
        <v>21024000000</v>
      </c>
      <c r="K40" s="1159">
        <v>17257800000</v>
      </c>
      <c r="L40" s="1159">
        <v>18400500000</v>
      </c>
      <c r="M40" s="1159">
        <v>14000000000</v>
      </c>
      <c r="N40" s="1159">
        <v>16300000000</v>
      </c>
      <c r="O40" s="1159">
        <v>22900000000</v>
      </c>
      <c r="P40" s="1093">
        <v>26000000000</v>
      </c>
      <c r="Q40" s="1539">
        <v>22300000000</v>
      </c>
      <c r="R40" s="1539">
        <v>36400000000</v>
      </c>
      <c r="S40" s="1539">
        <f>S41+S42+S43+S44</f>
        <v>1300000000</v>
      </c>
      <c r="T40" s="1539">
        <f>T41+T42+T43+T44</f>
        <v>20500000000</v>
      </c>
      <c r="U40" s="1539">
        <f>U41+U42+U43+U44</f>
        <v>54400000000</v>
      </c>
      <c r="V40" s="1539">
        <f t="shared" ref="V40:Z40" si="5">V41+V42+V43+V44</f>
        <v>50500000000</v>
      </c>
      <c r="W40" s="1539">
        <f t="shared" si="5"/>
        <v>51200000000</v>
      </c>
      <c r="X40" s="1539">
        <f t="shared" si="5"/>
        <v>50800000000</v>
      </c>
      <c r="Y40" s="1539">
        <f t="shared" si="5"/>
        <v>57100000000</v>
      </c>
      <c r="Z40" s="1539">
        <f t="shared" si="5"/>
        <v>57000000000</v>
      </c>
      <c r="AA40" s="916"/>
      <c r="AB40" s="916"/>
      <c r="AC40" s="916"/>
      <c r="AD40" s="916"/>
      <c r="AE40" s="916"/>
      <c r="AF40" s="916"/>
      <c r="AG40" s="916"/>
      <c r="AH40" s="916"/>
      <c r="AI40" s="916"/>
      <c r="AJ40" s="916"/>
      <c r="AK40" s="916"/>
      <c r="AL40" s="916"/>
      <c r="AM40" s="916"/>
      <c r="AN40" s="916"/>
      <c r="AO40" s="916"/>
      <c r="AP40" s="916"/>
      <c r="AQ40" s="916"/>
      <c r="AR40" s="916"/>
      <c r="AS40" s="916"/>
      <c r="AT40" s="916"/>
      <c r="AU40" s="916"/>
    </row>
    <row r="41" spans="1:47">
      <c r="A41" s="27" t="s">
        <v>261</v>
      </c>
      <c r="B41" s="27" t="s">
        <v>3019</v>
      </c>
      <c r="C41" s="58" t="s">
        <v>252</v>
      </c>
      <c r="J41" s="125">
        <v>18396000000</v>
      </c>
      <c r="K41" s="125">
        <v>19371000000</v>
      </c>
      <c r="L41" s="125">
        <v>26622000000</v>
      </c>
      <c r="M41" s="125">
        <v>20300000000</v>
      </c>
      <c r="N41" s="298">
        <v>14400000000</v>
      </c>
      <c r="O41" s="298">
        <v>11400000000</v>
      </c>
      <c r="P41" s="298">
        <v>25600000000</v>
      </c>
      <c r="Q41" s="1538">
        <v>29900000000</v>
      </c>
      <c r="R41" s="269">
        <v>8400000000</v>
      </c>
      <c r="S41" s="269">
        <v>-5600000000</v>
      </c>
      <c r="T41" s="269">
        <v>8199999999.999999</v>
      </c>
      <c r="U41" s="269">
        <v>8199999999.999999</v>
      </c>
      <c r="V41" s="269">
        <v>17000000000</v>
      </c>
      <c r="W41" s="1537">
        <v>20300000000</v>
      </c>
      <c r="X41" s="1537">
        <v>17400000000</v>
      </c>
      <c r="Y41" s="857">
        <v>13200000000</v>
      </c>
      <c r="Z41" s="857">
        <v>13200000000</v>
      </c>
      <c r="AA41" s="365"/>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c r="A42" s="27" t="s">
        <v>120</v>
      </c>
      <c r="B42" s="27" t="s">
        <v>3020</v>
      </c>
      <c r="C42" s="58" t="s">
        <v>252</v>
      </c>
      <c r="J42" s="125">
        <v>2628000000</v>
      </c>
      <c r="K42" s="125">
        <v>1761000000</v>
      </c>
      <c r="L42" s="125">
        <v>1957500000</v>
      </c>
      <c r="M42" s="125">
        <v>-2700000000</v>
      </c>
      <c r="N42" s="298">
        <v>1500000000</v>
      </c>
      <c r="O42" s="298">
        <v>5100000000</v>
      </c>
      <c r="P42" s="298">
        <v>5300000000</v>
      </c>
      <c r="Q42" s="1538">
        <v>5100000000</v>
      </c>
      <c r="R42" s="269">
        <v>23700000000</v>
      </c>
      <c r="S42" s="269">
        <v>6900000000</v>
      </c>
      <c r="T42" s="269">
        <v>12300000000</v>
      </c>
      <c r="U42" s="269">
        <v>46200000000</v>
      </c>
      <c r="V42" s="269">
        <v>33500000000</v>
      </c>
      <c r="W42" s="1537">
        <v>30900000000</v>
      </c>
      <c r="X42" s="1537">
        <v>33400000000</v>
      </c>
      <c r="Y42" s="857">
        <v>43900000000</v>
      </c>
      <c r="Z42" s="857">
        <v>43800000000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43" s="27" t="s">
        <v>3021</v>
      </c>
      <c r="B43" s="27" t="s">
        <v>3022</v>
      </c>
      <c r="C43" s="58" t="s">
        <v>252</v>
      </c>
      <c r="J43" s="125">
        <v>0</v>
      </c>
      <c r="K43" s="125">
        <v>-3874200000</v>
      </c>
      <c r="L43" s="125">
        <v>-10179000000</v>
      </c>
      <c r="M43" s="125">
        <v>-3600000000</v>
      </c>
      <c r="N43" s="298">
        <v>400000000</v>
      </c>
      <c r="O43" s="298">
        <v>6400000000</v>
      </c>
      <c r="P43" s="298">
        <v>-4900000000</v>
      </c>
      <c r="Q43" s="125"/>
      <c r="R43" s="298"/>
      <c r="S43" s="298"/>
      <c r="T43" s="298"/>
      <c r="U43" s="298"/>
      <c r="V43" s="298"/>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A44" s="2631" t="s">
        <v>1560</v>
      </c>
      <c r="B44" s="2631" t="s">
        <v>1560</v>
      </c>
      <c r="C44" s="2579" t="s">
        <v>252</v>
      </c>
      <c r="J44" s="125"/>
      <c r="K44" s="125"/>
      <c r="L44" s="125"/>
      <c r="M44" s="125"/>
      <c r="N44" s="298"/>
      <c r="O44" s="298"/>
      <c r="P44" s="298"/>
      <c r="Q44" s="894">
        <f>Q40-Q41-Q42</f>
        <v>-12700000000</v>
      </c>
      <c r="R44" s="894">
        <f>R40-R41-R42</f>
        <v>4300000000</v>
      </c>
      <c r="S44" s="298"/>
      <c r="T44" s="298"/>
      <c r="U44" s="298"/>
      <c r="V44" s="298"/>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B45" s="27" t="s">
        <v>614</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2.8018679119412941</v>
      </c>
      <c r="S45">
        <f t="shared" si="7"/>
        <v>3.4520547945205484</v>
      </c>
      <c r="T45">
        <f t="shared" si="7"/>
        <v>3.9274924471299091</v>
      </c>
      <c r="U45">
        <f t="shared" si="7"/>
        <v>7.0464767616191901</v>
      </c>
      <c r="V45">
        <f t="shared" si="7"/>
        <v>7.5996292863762731</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J47" t="s">
        <v>139</v>
      </c>
      <c r="K47" t="s">
        <v>139</v>
      </c>
      <c r="L47" t="s">
        <v>139</v>
      </c>
      <c r="M47" t="s">
        <v>447</v>
      </c>
      <c r="N47" t="s">
        <v>447</v>
      </c>
      <c r="O47" t="s">
        <v>447</v>
      </c>
      <c r="P47" t="s">
        <v>447</v>
      </c>
      <c r="Q47" t="s">
        <v>139</v>
      </c>
      <c r="R47" t="s">
        <v>139</v>
      </c>
      <c r="S47" t="s">
        <v>139</v>
      </c>
      <c r="T47" t="s">
        <v>139</v>
      </c>
      <c r="U47" t="s">
        <v>139</v>
      </c>
      <c r="V47" t="s">
        <v>139</v>
      </c>
      <c r="W47" t="s">
        <v>139</v>
      </c>
      <c r="X47" t="s">
        <v>139</v>
      </c>
      <c r="Y47" t="s">
        <v>139</v>
      </c>
      <c r="Z47" t="s">
        <v>139</v>
      </c>
      <c r="AA47" s="365"/>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449</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3023</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-100000000</v>
      </c>
      <c r="W51" s="21">
        <f t="shared" si="13"/>
        <v>0</v>
      </c>
      <c r="X51" s="21">
        <f t="shared" si="13"/>
        <v>0</v>
      </c>
      <c r="Y51" s="21">
        <f t="shared" si="13"/>
        <v>0</v>
      </c>
      <c r="Z51" s="21">
        <f t="shared" si="13"/>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5"/>
      <c r="AB52" s="365"/>
      <c r="AC52" s="365"/>
      <c r="AD52" s="365"/>
      <c r="AE52" s="365"/>
      <c r="AF52" s="365"/>
      <c r="AG52" s="365"/>
      <c r="AH52" s="365"/>
      <c r="AI52" s="365"/>
      <c r="AJ52" s="365"/>
      <c r="AK52" s="365"/>
      <c r="AL52" s="365"/>
      <c r="AM52" s="365"/>
      <c r="AN52" s="365"/>
      <c r="AO52" s="365"/>
      <c r="AP52" s="365"/>
      <c r="AQ52" s="365"/>
      <c r="AR52" s="365"/>
      <c r="AS52" s="365"/>
      <c r="AT52" s="365"/>
      <c r="AU52" s="365"/>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5"/>
      <c r="AB53" s="365"/>
      <c r="AC53" s="365"/>
      <c r="AD53" s="365"/>
      <c r="AE53" s="365"/>
      <c r="AF53" s="365"/>
      <c r="AG53" s="365"/>
      <c r="AH53" s="365"/>
      <c r="AI53" s="365"/>
      <c r="AJ53" s="365"/>
      <c r="AK53" s="365"/>
      <c r="AL53" s="365"/>
      <c r="AM53" s="365"/>
      <c r="AN53" s="365"/>
      <c r="AO53" s="365"/>
      <c r="AP53" s="365"/>
      <c r="AQ53" s="365"/>
      <c r="AR53" s="365"/>
      <c r="AS53" s="365"/>
      <c r="AT53" s="365"/>
      <c r="AU53" s="365"/>
    </row>
    <row r="54" spans="2:47">
      <c r="B54" t="s">
        <v>1573</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row>
    <row r="55" spans="2:47">
      <c r="B55" t="s">
        <v>3024</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row>
    <row r="56" spans="2:47">
      <c r="B56" t="s">
        <v>3025</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row>
    <row r="57" spans="2:47">
      <c r="J57" s="21"/>
      <c r="K57" s="21"/>
      <c r="L57" s="21"/>
      <c r="M57" s="21"/>
      <c r="N57" s="21"/>
      <c r="O57" s="21"/>
      <c r="P57" s="21"/>
      <c r="Q57" s="21"/>
      <c r="R57" s="21"/>
      <c r="S57" s="21"/>
      <c r="T57" s="21"/>
      <c r="U57" s="21"/>
      <c r="V57" s="21"/>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row>
    <row r="58" spans="2:47">
      <c r="B58" t="s">
        <v>623</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542">
        <v>1262300000000</v>
      </c>
      <c r="Z58" s="1542">
        <v>1327000000000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22.934046906973084</v>
      </c>
      <c r="S59" s="78">
        <f t="shared" si="24"/>
        <v>26.802555521752357</v>
      </c>
      <c r="T59" s="78">
        <f t="shared" si="24"/>
        <v>26.884599126391436</v>
      </c>
      <c r="U59" s="78">
        <f t="shared" si="24"/>
        <v>24.63249900675407</v>
      </c>
      <c r="V59" s="78">
        <f t="shared" si="24"/>
        <v>24.912543728135933</v>
      </c>
      <c r="W59" s="78">
        <f t="shared" ref="W59:Z59" si="25">(W7/W58)*100</f>
        <v>25.079514666038406</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27" bestFit="1" customWidth="1"/>
    <col min="2" max="2" width="47.85546875" style="1027" bestFit="1" customWidth="1"/>
    <col min="3" max="3" width="28.28515625" style="1027" bestFit="1" customWidth="1"/>
    <col min="4" max="7" width="8.85546875" style="1027"/>
    <col min="8" max="12" width="19.85546875" style="1027" bestFit="1" customWidth="1"/>
    <col min="13" max="13" width="20.28515625" style="1027" bestFit="1" customWidth="1"/>
    <col min="14" max="14" width="20.7109375" style="1027" bestFit="1" customWidth="1"/>
    <col min="15" max="16" width="19.5703125" style="1027" bestFit="1" customWidth="1"/>
    <col min="17" max="18" width="20.7109375" style="1027" bestFit="1" customWidth="1"/>
    <col min="19" max="20" width="18.85546875" style="1040" bestFit="1" customWidth="1"/>
    <col min="21" max="25" width="19.7109375" style="1040" bestFit="1" customWidth="1"/>
    <col min="26" max="28" width="8.85546875" style="1027"/>
  </cols>
  <sheetData>
    <row r="1" spans="1:56">
      <c r="A1" s="924" t="s">
        <v>3026</v>
      </c>
      <c r="B1" s="964" t="s">
        <v>3027</v>
      </c>
      <c r="C1" s="964"/>
      <c r="D1" s="1024"/>
      <c r="E1" s="1024"/>
      <c r="F1" s="1024"/>
      <c r="G1" s="1024"/>
      <c r="H1" s="1024"/>
      <c r="I1" s="1024"/>
      <c r="J1" s="1024"/>
      <c r="K1" s="1024"/>
      <c r="L1" s="1024"/>
      <c r="M1" s="1024"/>
      <c r="N1" s="1024"/>
      <c r="O1" s="1025"/>
      <c r="P1" s="1025"/>
      <c r="Q1" s="1025"/>
      <c r="R1" s="1026"/>
      <c r="S1" s="1025"/>
      <c r="T1" s="1025"/>
      <c r="U1" s="1025"/>
      <c r="V1" s="1025"/>
      <c r="W1" s="1025"/>
      <c r="X1" s="2539"/>
      <c r="Y1" s="2539"/>
      <c r="Z1" s="1246"/>
      <c r="AA1" s="1246"/>
      <c r="AB1" s="1246"/>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28" t="s">
        <v>3028</v>
      </c>
      <c r="C2" s="1028"/>
      <c r="D2" s="1025"/>
      <c r="E2" s="1025"/>
      <c r="F2" s="1025"/>
      <c r="G2" s="1025"/>
      <c r="H2" s="1025"/>
      <c r="I2" s="1025"/>
      <c r="J2" s="1025"/>
      <c r="K2" s="1025"/>
      <c r="L2" s="1025"/>
      <c r="M2" s="1025"/>
      <c r="N2" s="1025"/>
      <c r="O2" s="1025"/>
      <c r="P2" s="1025"/>
      <c r="Q2" s="1025"/>
      <c r="R2" s="1029"/>
      <c r="S2" s="1030"/>
      <c r="T2" s="1031"/>
      <c r="U2" s="1025"/>
      <c r="V2" s="1025"/>
      <c r="W2" s="1025"/>
      <c r="X2" s="2539"/>
      <c r="Y2" s="2539"/>
      <c r="Z2" s="1246"/>
      <c r="AA2" s="1246"/>
      <c r="AB2" s="1246"/>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246"/>
      <c r="AA3" s="1246"/>
      <c r="AB3" s="1246"/>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2539" t="s">
        <v>25</v>
      </c>
      <c r="Y4" s="2539" t="s">
        <v>26</v>
      </c>
      <c r="Z4" s="1246"/>
      <c r="AA4" s="1246"/>
      <c r="AB4" s="1246"/>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3029</v>
      </c>
      <c r="R5" s="1025" t="s">
        <v>7037</v>
      </c>
      <c r="S5" s="1025" t="s">
        <v>369</v>
      </c>
      <c r="T5" s="1025" t="s">
        <v>32</v>
      </c>
      <c r="U5" s="1025" t="s">
        <v>32</v>
      </c>
      <c r="V5" s="1025" t="s">
        <v>32</v>
      </c>
      <c r="W5" s="1025" t="s">
        <v>32</v>
      </c>
      <c r="X5" s="2539" t="s">
        <v>32</v>
      </c>
      <c r="Y5" s="2539" t="s">
        <v>32</v>
      </c>
      <c r="Z5" s="1246"/>
      <c r="AA5" s="1246"/>
      <c r="AB5" s="1246"/>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ht="15.75">
      <c r="A6" s="1373" t="s">
        <v>33</v>
      </c>
      <c r="B6" s="1096" t="s">
        <v>2791</v>
      </c>
      <c r="C6" s="1407" t="s">
        <v>35</v>
      </c>
      <c r="D6" s="1208"/>
      <c r="E6" s="1208"/>
      <c r="F6" s="1208"/>
      <c r="G6" s="1208"/>
      <c r="H6" s="1111">
        <v>14306000000</v>
      </c>
      <c r="I6" s="1111">
        <v>22056000000</v>
      </c>
      <c r="J6" s="1111">
        <v>26558000000</v>
      </c>
      <c r="K6" s="1111">
        <v>34713000000</v>
      </c>
      <c r="L6" s="1111">
        <v>37901000000</v>
      </c>
      <c r="M6" s="1111">
        <v>47717000000</v>
      </c>
      <c r="N6" s="1111">
        <v>63822000000</v>
      </c>
      <c r="O6" s="1111">
        <v>66321000000</v>
      </c>
      <c r="P6" s="1111">
        <v>76774000000</v>
      </c>
      <c r="Q6" s="1111">
        <v>75855000000</v>
      </c>
      <c r="R6" s="1239">
        <v>74097000000</v>
      </c>
      <c r="S6" s="1239">
        <v>82026000000</v>
      </c>
      <c r="T6" s="2540">
        <v>82290000000</v>
      </c>
      <c r="U6" s="2540">
        <v>112757000000</v>
      </c>
      <c r="V6" s="2540">
        <v>117873000000</v>
      </c>
      <c r="W6" s="2540">
        <v>126878000000</v>
      </c>
      <c r="X6" s="2541">
        <v>136267000000</v>
      </c>
      <c r="Y6" s="2541">
        <v>147849000000</v>
      </c>
      <c r="Z6" s="1247"/>
      <c r="AA6" s="1247"/>
      <c r="AB6" s="1247"/>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1041" t="s">
        <v>36</v>
      </c>
      <c r="B7" s="1034" t="s">
        <v>3030</v>
      </c>
      <c r="C7" s="1035" t="s">
        <v>38</v>
      </c>
      <c r="H7" s="1099">
        <v>12457000000</v>
      </c>
      <c r="I7" s="1099">
        <v>16255000000</v>
      </c>
      <c r="J7" s="1099">
        <v>20110000000</v>
      </c>
      <c r="K7" s="1099">
        <v>23197000000</v>
      </c>
      <c r="L7" s="1099">
        <v>26849000000</v>
      </c>
      <c r="M7" s="1099">
        <v>29881000000</v>
      </c>
      <c r="N7" s="1099">
        <v>31425000000</v>
      </c>
      <c r="O7" s="1099">
        <v>38893000000</v>
      </c>
      <c r="P7" s="1099">
        <v>41970000000</v>
      </c>
      <c r="Q7" s="1099">
        <v>46475000000</v>
      </c>
      <c r="R7" s="1241">
        <v>48967000000</v>
      </c>
      <c r="S7" s="1241">
        <v>58861000000</v>
      </c>
      <c r="T7" s="1242">
        <v>67312000000</v>
      </c>
      <c r="U7" s="1242">
        <v>75708000000</v>
      </c>
      <c r="V7" s="1242">
        <v>85191000000</v>
      </c>
      <c r="W7" s="1242">
        <v>95078000000</v>
      </c>
      <c r="X7" s="2542">
        <v>104283000000</v>
      </c>
      <c r="Y7" s="2542">
        <v>116216000000</v>
      </c>
      <c r="Z7" s="1246"/>
      <c r="AA7" s="1246"/>
      <c r="AB7" s="1246"/>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1037" t="s">
        <v>1904</v>
      </c>
      <c r="B8" s="1037" t="s">
        <v>3031</v>
      </c>
      <c r="C8" s="1035" t="s">
        <v>41</v>
      </c>
      <c r="H8" s="1099">
        <v>8769000000</v>
      </c>
      <c r="I8" s="1099">
        <v>10653000000</v>
      </c>
      <c r="J8" s="1099">
        <v>12878000000</v>
      </c>
      <c r="K8" s="1099">
        <v>15740000000</v>
      </c>
      <c r="L8" s="1099">
        <v>18026000000</v>
      </c>
      <c r="M8" s="1099">
        <v>19954000000</v>
      </c>
      <c r="N8" s="1099">
        <v>19393000000</v>
      </c>
      <c r="O8" s="1099">
        <v>24460000000</v>
      </c>
      <c r="P8" s="1099">
        <v>28076000000</v>
      </c>
      <c r="Q8" s="1099">
        <v>29242000000</v>
      </c>
      <c r="R8" s="1241">
        <v>33735000000</v>
      </c>
      <c r="S8" s="1241">
        <v>38950000000</v>
      </c>
      <c r="T8" s="1242">
        <v>44802000000</v>
      </c>
      <c r="U8" s="1242">
        <v>49536000000</v>
      </c>
      <c r="V8" s="1242">
        <v>55734000000</v>
      </c>
      <c r="W8" s="1242">
        <v>62294000000</v>
      </c>
      <c r="X8" s="2542">
        <v>68171000000</v>
      </c>
      <c r="Y8" s="2542">
        <v>76824000000</v>
      </c>
      <c r="Z8" s="1246"/>
      <c r="AA8" s="1246"/>
      <c r="AB8" s="1246"/>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1037" t="s">
        <v>174</v>
      </c>
      <c r="B9" s="1037" t="s">
        <v>3032</v>
      </c>
      <c r="C9" s="1035" t="s">
        <v>41</v>
      </c>
      <c r="H9" s="1099">
        <v>3481000000</v>
      </c>
      <c r="I9" s="1099">
        <v>4275000000</v>
      </c>
      <c r="J9" s="1099">
        <v>6099000000</v>
      </c>
      <c r="K9" s="1099">
        <v>6828000000</v>
      </c>
      <c r="L9" s="1099">
        <v>7917000000</v>
      </c>
      <c r="M9" s="1099">
        <v>8958000000</v>
      </c>
      <c r="N9" s="1099">
        <v>11394000000</v>
      </c>
      <c r="O9" s="1099">
        <v>13672000000</v>
      </c>
      <c r="P9" s="1099">
        <v>13721000000</v>
      </c>
      <c r="Q9" s="1099">
        <v>14230000000</v>
      </c>
      <c r="R9" s="1241">
        <v>13401000000</v>
      </c>
      <c r="S9" s="1241">
        <v>17577000000</v>
      </c>
      <c r="T9" s="1242">
        <v>19379000000</v>
      </c>
      <c r="U9" s="1242">
        <v>22396000000</v>
      </c>
      <c r="V9" s="1242">
        <v>25108000000</v>
      </c>
      <c r="W9" s="1242">
        <v>27793000000</v>
      </c>
      <c r="X9" s="2542">
        <v>30403000000</v>
      </c>
      <c r="Y9" s="2542">
        <v>32881000000</v>
      </c>
      <c r="Z9" s="1246"/>
      <c r="AA9" s="1246"/>
      <c r="AB9" s="1246"/>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1027" t="s">
        <v>76</v>
      </c>
      <c r="B10" s="1039" t="s">
        <v>3033</v>
      </c>
      <c r="H10" s="1103"/>
      <c r="I10" s="1103"/>
      <c r="J10" s="1103"/>
      <c r="K10" s="1103"/>
      <c r="L10" s="1103"/>
      <c r="M10" s="1103"/>
      <c r="N10" s="1103"/>
      <c r="O10" s="1099">
        <v>1573000000</v>
      </c>
      <c r="P10" s="1099">
        <v>1877000000</v>
      </c>
      <c r="Q10" s="1099">
        <v>1028000000</v>
      </c>
      <c r="R10" s="1241">
        <v>820000000</v>
      </c>
      <c r="S10" s="1241">
        <v>7546000000</v>
      </c>
      <c r="T10" s="1242">
        <v>8721000000</v>
      </c>
      <c r="U10" s="1242">
        <v>10106000000</v>
      </c>
      <c r="V10" s="1242">
        <v>11225000000</v>
      </c>
      <c r="W10" s="1242">
        <v>12459000000</v>
      </c>
      <c r="X10" s="2542">
        <v>13820000000</v>
      </c>
      <c r="Y10" s="2542">
        <v>14946000000</v>
      </c>
      <c r="Z10" s="1246"/>
      <c r="AA10" s="1246"/>
      <c r="AB10" s="1246"/>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1041" t="s">
        <v>377</v>
      </c>
      <c r="B11" s="1037" t="s">
        <v>3034</v>
      </c>
      <c r="C11" s="1035" t="s">
        <v>41</v>
      </c>
      <c r="H11" s="1099">
        <v>207000000</v>
      </c>
      <c r="I11" s="1099">
        <v>1328000000</v>
      </c>
      <c r="J11" s="1099">
        <v>1133000000</v>
      </c>
      <c r="K11" s="1099">
        <v>629000000</v>
      </c>
      <c r="L11" s="1099">
        <v>906000000</v>
      </c>
      <c r="M11" s="1099">
        <v>970000000</v>
      </c>
      <c r="N11" s="1099">
        <v>638000000</v>
      </c>
      <c r="O11" s="1099">
        <v>761000000</v>
      </c>
      <c r="P11" s="1099">
        <v>174000000</v>
      </c>
      <c r="Q11" s="1099">
        <v>3002000000</v>
      </c>
      <c r="R11" s="1241">
        <v>1830000000</v>
      </c>
      <c r="S11" s="1241">
        <v>2334000000</v>
      </c>
      <c r="T11" s="1242">
        <v>3131000000</v>
      </c>
      <c r="U11" s="1242">
        <v>3776000000</v>
      </c>
      <c r="V11" s="1242">
        <v>4349000000</v>
      </c>
      <c r="W11" s="1242">
        <v>4991000000</v>
      </c>
      <c r="X11" s="2542">
        <v>5709000000</v>
      </c>
      <c r="Y11" s="2542">
        <v>6510000000</v>
      </c>
      <c r="Z11" s="1246"/>
      <c r="AA11" s="1246"/>
      <c r="AB11" s="1246"/>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1027" t="s">
        <v>76</v>
      </c>
      <c r="B12" s="1039" t="s">
        <v>3035</v>
      </c>
      <c r="H12" s="1103"/>
      <c r="I12" s="1103"/>
      <c r="J12" s="1103"/>
      <c r="K12" s="1103"/>
      <c r="L12" s="1103"/>
      <c r="M12" s="1103"/>
      <c r="N12" s="1103"/>
      <c r="O12" s="1099"/>
      <c r="P12" s="1099">
        <v>1350000000</v>
      </c>
      <c r="Q12" s="1099">
        <v>1954000000</v>
      </c>
      <c r="R12" s="1241">
        <v>1313000000</v>
      </c>
      <c r="S12" s="1241">
        <v>1485000000</v>
      </c>
      <c r="T12" s="1242">
        <v>1453000000</v>
      </c>
      <c r="U12" s="1242">
        <v>1721000000</v>
      </c>
      <c r="V12" s="1242">
        <v>1950000000</v>
      </c>
      <c r="W12" s="1242">
        <v>2204000000</v>
      </c>
      <c r="X12" s="2542">
        <v>2488000000</v>
      </c>
      <c r="Y12" s="2542">
        <v>2802000000</v>
      </c>
      <c r="Z12" s="1246"/>
      <c r="AA12" s="1246"/>
      <c r="AB12" s="1246"/>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1027" t="s">
        <v>76</v>
      </c>
      <c r="B13" s="1039" t="s">
        <v>3036</v>
      </c>
      <c r="H13" s="1103"/>
      <c r="I13" s="1103"/>
      <c r="J13" s="1103"/>
      <c r="K13" s="1103"/>
      <c r="L13" s="1103"/>
      <c r="M13" s="1103"/>
      <c r="N13" s="1103"/>
      <c r="O13" s="1099"/>
      <c r="P13" s="1099">
        <v>0</v>
      </c>
      <c r="Q13" s="1099">
        <v>0</v>
      </c>
      <c r="R13" s="1241">
        <v>191000000</v>
      </c>
      <c r="S13" s="1241">
        <v>197000000</v>
      </c>
      <c r="T13" s="1242">
        <v>224000000</v>
      </c>
      <c r="U13" s="1242">
        <v>334000000</v>
      </c>
      <c r="V13" s="1242">
        <v>450000000</v>
      </c>
      <c r="W13" s="1242">
        <v>583000000</v>
      </c>
      <c r="X13" s="2542">
        <v>734000000</v>
      </c>
      <c r="Y13" s="2542">
        <v>906000000</v>
      </c>
      <c r="Z13" s="1246"/>
      <c r="AA13" s="1246"/>
      <c r="AB13" s="1246"/>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s="848" customFormat="1">
      <c r="A14" s="1108" t="s">
        <v>53</v>
      </c>
      <c r="B14" s="1096" t="s">
        <v>53</v>
      </c>
      <c r="C14" s="1408" t="s">
        <v>38</v>
      </c>
      <c r="D14" s="1208"/>
      <c r="E14" s="1208"/>
      <c r="F14" s="1208"/>
      <c r="G14" s="1208"/>
      <c r="H14" s="1111">
        <v>1848000000</v>
      </c>
      <c r="I14" s="1111">
        <v>5800000000</v>
      </c>
      <c r="J14" s="1111">
        <v>6449000000</v>
      </c>
      <c r="K14" s="1111">
        <v>11517000000</v>
      </c>
      <c r="L14" s="1111">
        <v>11052000000</v>
      </c>
      <c r="M14" s="1111">
        <v>17836000000</v>
      </c>
      <c r="N14" s="1111">
        <v>32397000000</v>
      </c>
      <c r="O14" s="1111">
        <v>27428000000</v>
      </c>
      <c r="P14" s="1111">
        <v>34803000000</v>
      </c>
      <c r="Q14" s="1111">
        <v>29380000000</v>
      </c>
      <c r="R14" s="1239">
        <v>25130000000</v>
      </c>
      <c r="S14" s="1239">
        <v>23165000000</v>
      </c>
      <c r="T14" s="2540">
        <v>14978000000</v>
      </c>
      <c r="U14" s="2540">
        <v>37049000000</v>
      </c>
      <c r="V14" s="2540">
        <v>32682000000</v>
      </c>
      <c r="W14" s="2540">
        <v>31800000000</v>
      </c>
      <c r="X14" s="2541">
        <v>31984000000</v>
      </c>
      <c r="Y14" s="2541">
        <v>31633000000</v>
      </c>
      <c r="Z14" s="1247"/>
      <c r="AA14" s="1247"/>
      <c r="AB14" s="1247"/>
      <c r="AC14" s="916"/>
      <c r="AD14" s="916"/>
      <c r="AE14" s="916"/>
      <c r="AF14" s="916"/>
      <c r="AG14" s="916"/>
      <c r="AH14" s="916"/>
      <c r="AI14" s="916"/>
      <c r="AJ14" s="916"/>
      <c r="AK14" s="916"/>
      <c r="AL14" s="916"/>
      <c r="AM14" s="916"/>
      <c r="AN14" s="916"/>
      <c r="AO14" s="916"/>
      <c r="AP14" s="916"/>
      <c r="AQ14" s="916"/>
      <c r="AR14" s="916"/>
      <c r="AS14" s="916"/>
      <c r="AT14" s="916"/>
      <c r="AU14" s="916"/>
      <c r="AV14" s="916"/>
      <c r="AW14" s="916"/>
      <c r="AX14" s="916"/>
      <c r="AY14" s="916"/>
      <c r="AZ14" s="916"/>
      <c r="BA14" s="916"/>
      <c r="BB14" s="916"/>
      <c r="BC14" s="916"/>
      <c r="BD14" s="916"/>
    </row>
    <row r="15" spans="1:56">
      <c r="A15" s="1041" t="s">
        <v>886</v>
      </c>
      <c r="B15" s="1037" t="s">
        <v>3037</v>
      </c>
      <c r="C15" s="1107" t="s">
        <v>57</v>
      </c>
      <c r="H15" s="1099">
        <v>476000000</v>
      </c>
      <c r="I15" s="1099">
        <v>2361000000</v>
      </c>
      <c r="J15" s="1099">
        <v>684000000</v>
      </c>
      <c r="K15" s="1099">
        <v>2720000000</v>
      </c>
      <c r="L15" s="1099">
        <v>3485000000</v>
      </c>
      <c r="M15" s="1099">
        <v>3873000000</v>
      </c>
      <c r="N15" s="1099">
        <v>8966000000</v>
      </c>
      <c r="O15" s="1099">
        <v>3492000000</v>
      </c>
      <c r="P15" s="1099">
        <v>1123000000</v>
      </c>
      <c r="Q15" s="1099">
        <v>3791000000</v>
      </c>
      <c r="R15" s="1241">
        <v>4999000000</v>
      </c>
      <c r="S15" s="1241">
        <v>3625000000</v>
      </c>
      <c r="T15" s="1242">
        <v>1642000000</v>
      </c>
      <c r="U15" s="1242">
        <v>10717000000</v>
      </c>
      <c r="V15" s="1242">
        <v>1569000000</v>
      </c>
      <c r="W15" s="1242">
        <v>0</v>
      </c>
      <c r="X15" s="2542">
        <v>0</v>
      </c>
      <c r="Y15" s="2542">
        <v>0</v>
      </c>
      <c r="Z15" s="1246"/>
      <c r="AA15" s="1246"/>
      <c r="AB15" s="1246"/>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1041" t="s">
        <v>564</v>
      </c>
      <c r="B16" s="1037" t="s">
        <v>3038</v>
      </c>
      <c r="C16" s="1107" t="s">
        <v>57</v>
      </c>
      <c r="H16" s="1099">
        <v>1372000000</v>
      </c>
      <c r="I16" s="1099">
        <v>3440000000</v>
      </c>
      <c r="J16" s="1099">
        <v>5765000000</v>
      </c>
      <c r="K16" s="1099">
        <v>8797000000</v>
      </c>
      <c r="L16" s="1099">
        <v>7568000000</v>
      </c>
      <c r="M16" s="1099">
        <v>13962000000</v>
      </c>
      <c r="N16" s="1099">
        <v>12742000000</v>
      </c>
      <c r="O16" s="1099">
        <v>23935000000</v>
      </c>
      <c r="P16" s="1099">
        <v>33681000000</v>
      </c>
      <c r="Q16" s="1099">
        <v>25589000000</v>
      </c>
      <c r="R16" s="1241">
        <v>20131000000</v>
      </c>
      <c r="S16" s="1241">
        <v>19540000000</v>
      </c>
      <c r="T16" s="1242">
        <v>13336000000</v>
      </c>
      <c r="U16" s="1242">
        <v>26332000000</v>
      </c>
      <c r="V16" s="1242">
        <v>31113000000</v>
      </c>
      <c r="W16" s="1242">
        <v>31800000000</v>
      </c>
      <c r="X16" s="2542">
        <v>31984000000</v>
      </c>
      <c r="Y16" s="2542">
        <v>31633000000</v>
      </c>
      <c r="Z16" s="1246"/>
      <c r="AA16" s="1246"/>
      <c r="AB16" s="1246"/>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1409" t="s">
        <v>67</v>
      </c>
      <c r="B17" s="1409" t="s">
        <v>67</v>
      </c>
      <c r="C17" s="1107" t="s">
        <v>57</v>
      </c>
      <c r="H17" s="1099"/>
      <c r="I17" s="1099"/>
      <c r="J17" s="1099"/>
      <c r="K17" s="1099"/>
      <c r="L17" s="1099"/>
      <c r="M17" s="1099"/>
      <c r="N17" s="1099">
        <f>N14-N15-N16</f>
        <v>10689000000</v>
      </c>
      <c r="O17" s="1099"/>
      <c r="P17" s="1099"/>
      <c r="Q17" s="1099"/>
      <c r="R17" s="1241"/>
      <c r="S17" s="1241"/>
      <c r="T17" s="1242"/>
      <c r="U17" s="1242"/>
      <c r="V17" s="1242"/>
      <c r="W17" s="1242"/>
      <c r="X17" s="2542"/>
      <c r="Y17" s="2542"/>
      <c r="Z17" s="1246"/>
      <c r="AA17" s="1246"/>
      <c r="AB17" s="1246"/>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s="848" customFormat="1">
      <c r="A18" s="1108" t="s">
        <v>71</v>
      </c>
      <c r="B18" s="1096" t="s">
        <v>3039</v>
      </c>
      <c r="C18" s="1407" t="s">
        <v>35</v>
      </c>
      <c r="D18" s="1208"/>
      <c r="E18" s="1208"/>
      <c r="F18" s="1208"/>
      <c r="G18" s="1208"/>
      <c r="H18" s="1111">
        <v>15996000000</v>
      </c>
      <c r="I18" s="1111">
        <v>23111000000</v>
      </c>
      <c r="J18" s="1111">
        <v>29890000000</v>
      </c>
      <c r="K18" s="1111">
        <v>34248000000</v>
      </c>
      <c r="L18" s="1111">
        <v>45680000000</v>
      </c>
      <c r="M18" s="1111">
        <v>60030000000</v>
      </c>
      <c r="N18" s="1111">
        <v>58002000000</v>
      </c>
      <c r="O18" s="1111">
        <v>77352000000</v>
      </c>
      <c r="P18" s="1111">
        <v>92490000000</v>
      </c>
      <c r="Q18" s="1111">
        <v>101888000000</v>
      </c>
      <c r="R18" s="1239">
        <v>99032000000</v>
      </c>
      <c r="S18" s="1239">
        <v>92203000000</v>
      </c>
      <c r="T18" s="2540">
        <v>89814000000</v>
      </c>
      <c r="U18" s="2540">
        <v>137384000000</v>
      </c>
      <c r="V18" s="2540">
        <v>138623000000</v>
      </c>
      <c r="W18" s="2540">
        <v>145501000000</v>
      </c>
      <c r="X18" s="2541">
        <v>155386000000</v>
      </c>
      <c r="Y18" s="2541">
        <v>164510000000</v>
      </c>
      <c r="Z18" s="1247"/>
      <c r="AA18" s="1247"/>
      <c r="AB18" s="1247"/>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c r="BC18" s="916"/>
      <c r="BD18" s="916"/>
    </row>
    <row r="19" spans="1:56">
      <c r="A19" s="1040" t="s">
        <v>73</v>
      </c>
      <c r="B19" s="1034" t="s">
        <v>2800</v>
      </c>
      <c r="C19" s="1035" t="s">
        <v>75</v>
      </c>
      <c r="H19" s="1099">
        <v>11037000000</v>
      </c>
      <c r="I19" s="1099">
        <v>16161000000</v>
      </c>
      <c r="J19" s="1099">
        <v>19242000000</v>
      </c>
      <c r="K19" s="1099">
        <v>18864000000</v>
      </c>
      <c r="L19" s="1099">
        <v>26935000000</v>
      </c>
      <c r="M19" s="1099">
        <v>31136000000</v>
      </c>
      <c r="N19" s="1099">
        <v>29849000000</v>
      </c>
      <c r="O19" s="1099">
        <v>35232000000</v>
      </c>
      <c r="P19" s="1099">
        <v>39006000000</v>
      </c>
      <c r="Q19" s="1099">
        <v>43158000000</v>
      </c>
      <c r="R19" s="1241">
        <v>48991000000</v>
      </c>
      <c r="S19" s="1241">
        <v>50945000000</v>
      </c>
      <c r="T19" s="1242">
        <v>58943000000</v>
      </c>
      <c r="U19" s="1242">
        <v>65497000000</v>
      </c>
      <c r="V19" s="1242">
        <v>67756000000</v>
      </c>
      <c r="W19" s="1242">
        <v>72048000000</v>
      </c>
      <c r="X19" s="2542">
        <v>79402000000</v>
      </c>
      <c r="Y19" s="2542">
        <v>86053000000</v>
      </c>
      <c r="Z19" s="1246"/>
      <c r="AA19" s="1246"/>
      <c r="AB19" s="1246"/>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1041" t="s">
        <v>79</v>
      </c>
      <c r="B20" s="1037" t="s">
        <v>2801</v>
      </c>
      <c r="C20" s="1035" t="s">
        <v>81</v>
      </c>
      <c r="H20" s="1099">
        <v>4126000000</v>
      </c>
      <c r="I20" s="1099">
        <v>5700000000</v>
      </c>
      <c r="J20" s="1099">
        <v>6470000000</v>
      </c>
      <c r="K20" s="1099">
        <v>8087000000</v>
      </c>
      <c r="L20" s="1099">
        <v>11716000000</v>
      </c>
      <c r="M20" s="1099">
        <v>13396000000</v>
      </c>
      <c r="N20" s="1099">
        <v>14563000000</v>
      </c>
      <c r="O20" s="1099">
        <v>14809000000</v>
      </c>
      <c r="P20" s="1099">
        <v>16706000000</v>
      </c>
      <c r="Q20" s="1099">
        <v>20007000000</v>
      </c>
      <c r="R20" s="1241">
        <v>22625000000</v>
      </c>
      <c r="S20" s="1241">
        <v>27632000000</v>
      </c>
      <c r="T20" s="1242">
        <v>31491000000</v>
      </c>
      <c r="U20" s="1242">
        <v>34960000000</v>
      </c>
      <c r="V20" s="1242">
        <v>37809000000</v>
      </c>
      <c r="W20" s="1242">
        <v>40890000000</v>
      </c>
      <c r="X20" s="2542">
        <v>44223000000</v>
      </c>
      <c r="Y20" s="2542">
        <v>48201000000</v>
      </c>
      <c r="Z20" s="1246"/>
      <c r="AA20" s="1246"/>
      <c r="AB20" s="1246"/>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1041" t="s">
        <v>83</v>
      </c>
      <c r="B21" s="1037" t="s">
        <v>2807</v>
      </c>
      <c r="C21" s="1035" t="s">
        <v>81</v>
      </c>
      <c r="H21" s="1101">
        <v>4500000000</v>
      </c>
      <c r="I21" s="1099">
        <v>4306000000</v>
      </c>
      <c r="J21" s="1099">
        <v>6167000000</v>
      </c>
      <c r="K21" s="1099">
        <v>3027000000</v>
      </c>
      <c r="L21" s="1099">
        <v>8416000000</v>
      </c>
      <c r="M21" s="1099">
        <v>7655000000</v>
      </c>
      <c r="N21" s="1099">
        <v>7040000000</v>
      </c>
      <c r="O21" s="1099">
        <v>7525000000</v>
      </c>
      <c r="P21" s="1099">
        <v>11406000000</v>
      </c>
      <c r="Q21" s="1099">
        <v>11320000000</v>
      </c>
      <c r="R21" s="1241">
        <v>13128000000</v>
      </c>
      <c r="S21" s="1241">
        <v>14922000000</v>
      </c>
      <c r="T21" s="1242">
        <v>17441000000</v>
      </c>
      <c r="U21" s="1242">
        <v>19665000000</v>
      </c>
      <c r="V21" s="1242">
        <v>20205000000</v>
      </c>
      <c r="W21" s="1242">
        <v>21669000000</v>
      </c>
      <c r="X21" s="2542">
        <v>25291000000</v>
      </c>
      <c r="Y21" s="2542">
        <v>27094000000</v>
      </c>
      <c r="Z21" s="1246"/>
      <c r="AA21" s="1246"/>
      <c r="AB21" s="1246"/>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1041" t="s">
        <v>90</v>
      </c>
      <c r="B22" s="1037" t="s">
        <v>2810</v>
      </c>
      <c r="C22" s="1035" t="s">
        <v>81</v>
      </c>
      <c r="H22" s="1099">
        <v>1150000000</v>
      </c>
      <c r="I22" s="1099">
        <v>1132000000</v>
      </c>
      <c r="J22" s="1099">
        <v>1052000000</v>
      </c>
      <c r="K22" s="1099">
        <v>2420000000</v>
      </c>
      <c r="L22" s="1099">
        <v>1768000000</v>
      </c>
      <c r="M22" s="1099">
        <v>2242000000</v>
      </c>
      <c r="N22" s="1099">
        <v>1569000000</v>
      </c>
      <c r="O22" s="1099">
        <v>1272000000</v>
      </c>
      <c r="P22" s="1099">
        <v>1359000000</v>
      </c>
      <c r="Q22" s="1099">
        <v>1711000000</v>
      </c>
      <c r="R22" s="1241">
        <v>1861000000</v>
      </c>
      <c r="S22" s="1241">
        <v>1041000000</v>
      </c>
      <c r="T22" s="1242">
        <v>2596000000</v>
      </c>
      <c r="U22" s="1242">
        <v>3100000000</v>
      </c>
      <c r="V22" s="1242">
        <v>3539000000</v>
      </c>
      <c r="W22" s="1242">
        <v>4058000000</v>
      </c>
      <c r="X22" s="2542">
        <v>4014000000</v>
      </c>
      <c r="Y22" s="2542">
        <v>4405000000</v>
      </c>
      <c r="Z22" s="1246"/>
      <c r="AA22" s="1246"/>
      <c r="AB22" s="1246"/>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c r="A23" s="1039" t="s">
        <v>280</v>
      </c>
      <c r="B23" s="1039" t="s">
        <v>280</v>
      </c>
      <c r="C23" s="1035" t="s">
        <v>211</v>
      </c>
      <c r="H23" s="1099">
        <v>662000000</v>
      </c>
      <c r="I23" s="1103"/>
      <c r="J23" s="1099">
        <v>209000000</v>
      </c>
      <c r="K23" s="1099">
        <v>720000000</v>
      </c>
      <c r="L23" s="1099">
        <v>928000000</v>
      </c>
      <c r="M23" s="1099">
        <v>1106000000</v>
      </c>
      <c r="N23" s="1099">
        <v>452000000</v>
      </c>
      <c r="O23" s="1099">
        <v>153000000</v>
      </c>
      <c r="P23" s="1099">
        <v>229000000</v>
      </c>
      <c r="Q23" s="1099">
        <v>407000000</v>
      </c>
      <c r="R23" s="1241">
        <v>661000000</v>
      </c>
      <c r="S23" s="1241">
        <v>736000000</v>
      </c>
      <c r="T23" s="1242">
        <v>1164000000</v>
      </c>
      <c r="U23" s="1242">
        <v>1424000000</v>
      </c>
      <c r="V23" s="1242">
        <v>1430000000</v>
      </c>
      <c r="W23" s="1242">
        <v>1566000000</v>
      </c>
      <c r="X23" s="2542">
        <v>1764000000</v>
      </c>
      <c r="Y23" s="2542">
        <v>1955000000</v>
      </c>
      <c r="Z23" s="1246"/>
      <c r="AA23" s="1246"/>
      <c r="AB23" s="1246"/>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c r="A24" s="1039" t="s">
        <v>209</v>
      </c>
      <c r="B24" s="1039" t="s">
        <v>209</v>
      </c>
      <c r="C24" s="1035" t="s">
        <v>211</v>
      </c>
      <c r="H24" s="1099">
        <v>488000000</v>
      </c>
      <c r="I24" s="1103"/>
      <c r="J24" s="1099">
        <v>843000000</v>
      </c>
      <c r="K24" s="1099">
        <v>1700000000</v>
      </c>
      <c r="L24" s="1099">
        <v>840000000</v>
      </c>
      <c r="M24" s="1099">
        <v>1136000000</v>
      </c>
      <c r="N24" s="1099">
        <v>1118000000</v>
      </c>
      <c r="O24" s="1099">
        <v>1119000000</v>
      </c>
      <c r="P24" s="1099">
        <v>1130000000</v>
      </c>
      <c r="Q24" s="1099">
        <v>1304000000</v>
      </c>
      <c r="R24" s="1241">
        <v>1200000000</v>
      </c>
      <c r="S24" s="1241">
        <v>305000000</v>
      </c>
      <c r="T24" s="1242">
        <v>1432000000</v>
      </c>
      <c r="U24" s="1242">
        <v>1676000000</v>
      </c>
      <c r="V24" s="1242">
        <v>2108000000</v>
      </c>
      <c r="W24" s="1242">
        <v>2492000000</v>
      </c>
      <c r="X24" s="2542">
        <v>2250000000</v>
      </c>
      <c r="Y24" s="2542">
        <v>2450000000</v>
      </c>
      <c r="Z24" s="1246"/>
      <c r="AA24" s="1246"/>
      <c r="AB24" s="1246"/>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1037" t="s">
        <v>2238</v>
      </c>
      <c r="B25" s="1037" t="s">
        <v>3040</v>
      </c>
      <c r="C25" s="1035" t="s">
        <v>81</v>
      </c>
      <c r="H25" s="1099">
        <v>1261000000</v>
      </c>
      <c r="I25" s="1099">
        <v>5023000000</v>
      </c>
      <c r="J25" s="1099">
        <v>5553000000</v>
      </c>
      <c r="K25" s="1099">
        <v>5330000000</v>
      </c>
      <c r="L25" s="1099">
        <v>5035000000</v>
      </c>
      <c r="M25" s="1099">
        <v>7844000000</v>
      </c>
      <c r="N25" s="1099">
        <v>6677000000</v>
      </c>
      <c r="O25" s="1099">
        <v>11626000000</v>
      </c>
      <c r="P25" s="1099">
        <v>9534000000</v>
      </c>
      <c r="Q25" s="1099">
        <v>10120000000</v>
      </c>
      <c r="R25" s="1241">
        <v>11377000000</v>
      </c>
      <c r="S25" s="1241">
        <v>7350000000</v>
      </c>
      <c r="T25" s="1242">
        <v>7415000000</v>
      </c>
      <c r="U25" s="1242">
        <v>7773000000</v>
      </c>
      <c r="V25" s="1242">
        <v>6203000000</v>
      </c>
      <c r="W25" s="1242">
        <v>5431000000</v>
      </c>
      <c r="X25" s="2542">
        <v>5873000000</v>
      </c>
      <c r="Y25" s="2542">
        <v>6352000000</v>
      </c>
      <c r="Z25" s="1246"/>
      <c r="AA25" s="1246"/>
      <c r="AB25" s="1246"/>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1039" t="s">
        <v>3041</v>
      </c>
      <c r="B26" s="1039" t="s">
        <v>3042</v>
      </c>
      <c r="C26" s="1035" t="s">
        <v>486</v>
      </c>
      <c r="H26" s="1099"/>
      <c r="I26" s="1099"/>
      <c r="J26" s="1099"/>
      <c r="K26" s="1099"/>
      <c r="L26" s="1099"/>
      <c r="M26" s="1099"/>
      <c r="N26" s="1099">
        <v>3793000000</v>
      </c>
      <c r="O26" s="1099">
        <v>8233000000</v>
      </c>
      <c r="P26" s="1099">
        <v>4844000000</v>
      </c>
      <c r="Q26" s="1099">
        <v>5652000000</v>
      </c>
      <c r="R26" s="1241">
        <v>5956000000</v>
      </c>
      <c r="S26" s="1241">
        <v>4281000000</v>
      </c>
      <c r="T26" s="1242">
        <v>3539000000</v>
      </c>
      <c r="U26" s="1242">
        <v>4495000000</v>
      </c>
      <c r="V26" s="1242">
        <v>2954000000</v>
      </c>
      <c r="W26" s="1242">
        <v>2556000000</v>
      </c>
      <c r="X26" s="2542">
        <v>2764000000</v>
      </c>
      <c r="Y26" s="2542">
        <v>2989000000</v>
      </c>
      <c r="Z26" s="1246"/>
      <c r="AA26" s="1246"/>
      <c r="AB26" s="1246"/>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1039" t="s">
        <v>3043</v>
      </c>
      <c r="B27" s="1039" t="s">
        <v>3044</v>
      </c>
      <c r="C27" s="1035" t="s">
        <v>486</v>
      </c>
      <c r="H27" s="1103"/>
      <c r="I27" s="1103"/>
      <c r="J27" s="1103"/>
      <c r="K27" s="1103"/>
      <c r="L27" s="1103"/>
      <c r="M27" s="1103"/>
      <c r="N27" s="1103"/>
      <c r="O27" s="1099">
        <v>0</v>
      </c>
      <c r="P27" s="1099">
        <v>0</v>
      </c>
      <c r="Q27" s="1099">
        <v>0</v>
      </c>
      <c r="R27" s="1241">
        <v>0</v>
      </c>
      <c r="S27" s="1241">
        <v>0</v>
      </c>
      <c r="T27" s="1242">
        <v>0</v>
      </c>
      <c r="U27" s="1242">
        <v>0</v>
      </c>
      <c r="V27" s="1242">
        <v>0</v>
      </c>
      <c r="W27" s="1242">
        <v>0</v>
      </c>
      <c r="X27" s="2542">
        <v>0</v>
      </c>
      <c r="Y27" s="2542">
        <v>0</v>
      </c>
      <c r="Z27" s="1246"/>
      <c r="AA27" s="1246"/>
      <c r="AB27" s="1246"/>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1410" t="s">
        <v>487</v>
      </c>
      <c r="B28" s="1410" t="s">
        <v>487</v>
      </c>
      <c r="C28" s="1035" t="s">
        <v>486</v>
      </c>
      <c r="H28" s="1103"/>
      <c r="I28" s="1103"/>
      <c r="J28" s="1103"/>
      <c r="K28" s="1103"/>
      <c r="L28" s="1103"/>
      <c r="M28" s="1103"/>
      <c r="N28" s="1103">
        <f>N25-N26</f>
        <v>2884000000</v>
      </c>
      <c r="O28" s="1103">
        <f>O25-O26</f>
        <v>3393000000</v>
      </c>
      <c r="P28" s="1103">
        <f>P25-P26</f>
        <v>4690000000</v>
      </c>
      <c r="Q28" s="1103">
        <f>Q25-Q26</f>
        <v>4468000000</v>
      </c>
      <c r="R28" s="1103">
        <f t="shared" ref="R28:Y28" si="0">R25-R26</f>
        <v>5421000000</v>
      </c>
      <c r="S28" s="1103">
        <f t="shared" si="0"/>
        <v>3069000000</v>
      </c>
      <c r="T28" s="1103">
        <f t="shared" si="0"/>
        <v>3876000000</v>
      </c>
      <c r="U28" s="1103">
        <f t="shared" si="0"/>
        <v>3278000000</v>
      </c>
      <c r="V28" s="1103">
        <f t="shared" si="0"/>
        <v>3249000000</v>
      </c>
      <c r="W28" s="1103">
        <f t="shared" si="0"/>
        <v>2875000000</v>
      </c>
      <c r="X28" s="1103">
        <f t="shared" si="0"/>
        <v>3109000000</v>
      </c>
      <c r="Y28" s="1103">
        <f t="shared" si="0"/>
        <v>3363000000</v>
      </c>
      <c r="Z28" s="1246"/>
      <c r="AA28" s="1246"/>
      <c r="AB28" s="1246"/>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1040" t="s">
        <v>237</v>
      </c>
      <c r="B29" s="1034" t="s">
        <v>3045</v>
      </c>
      <c r="C29" s="1035" t="s">
        <v>75</v>
      </c>
      <c r="H29" s="1099">
        <v>4960000000</v>
      </c>
      <c r="I29" s="1099">
        <v>6949000000</v>
      </c>
      <c r="J29" s="1099">
        <v>10648000000</v>
      </c>
      <c r="K29" s="1099">
        <v>15385000000</v>
      </c>
      <c r="L29" s="1099">
        <v>18745000000</v>
      </c>
      <c r="M29" s="1099">
        <v>28894000000</v>
      </c>
      <c r="N29" s="1099">
        <v>28153000000</v>
      </c>
      <c r="O29" s="1099">
        <v>42120000000</v>
      </c>
      <c r="P29" s="1099">
        <v>53484000000</v>
      </c>
      <c r="Q29" s="1099">
        <v>58730000000</v>
      </c>
      <c r="R29" s="1241">
        <v>50041000000</v>
      </c>
      <c r="S29" s="1241">
        <v>41258000000</v>
      </c>
      <c r="T29" s="1242">
        <v>30871000000</v>
      </c>
      <c r="U29" s="1242">
        <v>71887000000</v>
      </c>
      <c r="V29" s="1242">
        <v>70867000000</v>
      </c>
      <c r="W29" s="1242">
        <v>73453000000</v>
      </c>
      <c r="X29" s="2542">
        <v>75984000000</v>
      </c>
      <c r="Y29" s="2542">
        <v>78457000000</v>
      </c>
      <c r="Z29" s="1246"/>
      <c r="AA29" s="1246"/>
      <c r="AB29" s="1246"/>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1041" t="s">
        <v>239</v>
      </c>
      <c r="B30" s="1037" t="s">
        <v>3046</v>
      </c>
      <c r="C30" s="1035" t="s">
        <v>95</v>
      </c>
      <c r="H30" s="1099">
        <v>3031000000</v>
      </c>
      <c r="I30" s="1099">
        <v>2144000000</v>
      </c>
      <c r="J30" s="1099">
        <v>1940000000</v>
      </c>
      <c r="K30" s="1099">
        <v>3546000000</v>
      </c>
      <c r="L30" s="1099">
        <v>5611000000</v>
      </c>
      <c r="M30" s="1099">
        <v>10959000000</v>
      </c>
      <c r="N30" s="1099">
        <v>14689000000</v>
      </c>
      <c r="O30" s="1099">
        <v>17642000000</v>
      </c>
      <c r="P30" s="1099">
        <v>19252000000</v>
      </c>
      <c r="Q30" s="1099">
        <v>32870000000</v>
      </c>
      <c r="R30" s="1241">
        <v>29113000000</v>
      </c>
      <c r="S30" s="1241">
        <v>21326000000</v>
      </c>
      <c r="T30" s="1242">
        <v>16309000000</v>
      </c>
      <c r="U30" s="1242">
        <v>36808000000</v>
      </c>
      <c r="V30" s="1242">
        <v>23790000000</v>
      </c>
      <c r="W30" s="1242">
        <v>26419000000</v>
      </c>
      <c r="X30" s="2542">
        <v>29100000000</v>
      </c>
      <c r="Y30" s="2542">
        <v>36036000000</v>
      </c>
      <c r="Z30" s="1246"/>
      <c r="AA30" s="1246"/>
      <c r="AB30" s="1246"/>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1027" t="s">
        <v>3047</v>
      </c>
      <c r="B31" s="1039" t="s">
        <v>3048</v>
      </c>
      <c r="C31" s="1035" t="s">
        <v>3049</v>
      </c>
      <c r="H31" s="1103"/>
      <c r="I31" s="1103"/>
      <c r="J31" s="1103"/>
      <c r="K31" s="1103"/>
      <c r="L31" s="1099">
        <v>5611000000</v>
      </c>
      <c r="M31" s="1099">
        <v>2225000000</v>
      </c>
      <c r="N31" s="1099">
        <v>13475000000</v>
      </c>
      <c r="O31" s="1099">
        <v>16431000000</v>
      </c>
      <c r="P31" s="1099">
        <v>19252000000</v>
      </c>
      <c r="Q31" s="1099">
        <v>32870000000</v>
      </c>
      <c r="R31" s="1241">
        <v>29113000000</v>
      </c>
      <c r="S31" s="1241">
        <v>21326000000</v>
      </c>
      <c r="T31" s="1242">
        <v>16309000000</v>
      </c>
      <c r="U31" s="1242">
        <v>36808000000</v>
      </c>
      <c r="V31" s="1242">
        <v>23790000000</v>
      </c>
      <c r="W31" s="1242">
        <v>26419000000</v>
      </c>
      <c r="X31" s="2542">
        <v>29100000000</v>
      </c>
      <c r="Y31" s="2542">
        <v>36036000000</v>
      </c>
      <c r="Z31" s="1246"/>
      <c r="AA31" s="1246"/>
      <c r="AB31" s="1246"/>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1027" t="s">
        <v>76</v>
      </c>
      <c r="B32" s="1039" t="s">
        <v>3050</v>
      </c>
      <c r="H32" s="1103"/>
      <c r="I32" s="1103"/>
      <c r="J32" s="1103"/>
      <c r="K32" s="1103"/>
      <c r="L32" s="1103"/>
      <c r="M32" s="1099">
        <v>2225000000</v>
      </c>
      <c r="N32" s="1099">
        <v>2991000000</v>
      </c>
      <c r="O32" s="1099">
        <v>7479000000</v>
      </c>
      <c r="P32" s="1099">
        <v>9264000000</v>
      </c>
      <c r="Q32" s="1099">
        <v>14450000000</v>
      </c>
      <c r="R32" s="1241">
        <v>14596000000</v>
      </c>
      <c r="S32" s="1241">
        <v>12371000000</v>
      </c>
      <c r="T32" s="1242">
        <v>2331000000</v>
      </c>
      <c r="U32" s="1242">
        <v>5088000000</v>
      </c>
      <c r="V32" s="1242">
        <v>7235000000</v>
      </c>
      <c r="W32" s="1242">
        <v>8418000000</v>
      </c>
      <c r="X32" s="2542">
        <v>9295000000</v>
      </c>
      <c r="Y32" s="2542">
        <v>9908000000</v>
      </c>
      <c r="Z32" s="1246"/>
      <c r="AA32" s="1246"/>
      <c r="AB32" s="1246"/>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1027" t="s">
        <v>76</v>
      </c>
      <c r="B33" s="1039" t="s">
        <v>3051</v>
      </c>
      <c r="H33" s="1103"/>
      <c r="I33" s="1103"/>
      <c r="J33" s="1103"/>
      <c r="K33" s="1103"/>
      <c r="L33" s="1103"/>
      <c r="M33" s="1099">
        <v>0</v>
      </c>
      <c r="N33" s="1103"/>
      <c r="O33" s="1099">
        <v>0</v>
      </c>
      <c r="P33" s="1099">
        <v>1130000000</v>
      </c>
      <c r="Q33" s="1099">
        <v>1587000000</v>
      </c>
      <c r="R33" s="1241">
        <v>1404000000</v>
      </c>
      <c r="S33" s="1241">
        <v>1380000000</v>
      </c>
      <c r="T33" s="1242">
        <v>1159000000</v>
      </c>
      <c r="U33" s="1242">
        <v>1159000000</v>
      </c>
      <c r="V33" s="1242">
        <v>1159000000</v>
      </c>
      <c r="W33" s="1242">
        <v>1159000000</v>
      </c>
      <c r="X33" s="2542">
        <v>0</v>
      </c>
      <c r="Y33" s="2542">
        <v>0</v>
      </c>
      <c r="Z33" s="1246"/>
      <c r="AA33" s="1246"/>
      <c r="AB33" s="1246"/>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1027" t="s">
        <v>76</v>
      </c>
      <c r="B34" s="1039" t="s">
        <v>3052</v>
      </c>
      <c r="H34" s="1103"/>
      <c r="I34" s="1103"/>
      <c r="J34" s="1103"/>
      <c r="K34" s="1103"/>
      <c r="L34" s="1103"/>
      <c r="M34" s="1099">
        <v>1899000000</v>
      </c>
      <c r="N34" s="1103"/>
      <c r="O34" s="1099">
        <v>0</v>
      </c>
      <c r="P34" s="1099">
        <v>0</v>
      </c>
      <c r="Q34" s="1099">
        <v>1704000000</v>
      </c>
      <c r="R34" s="1241">
        <v>1651000000</v>
      </c>
      <c r="S34" s="1241">
        <v>1356000000</v>
      </c>
      <c r="T34" s="1242">
        <v>1677000000</v>
      </c>
      <c r="U34" s="1242">
        <v>2055000000</v>
      </c>
      <c r="V34" s="1242">
        <v>2400000000</v>
      </c>
      <c r="W34" s="1242">
        <v>2787000000</v>
      </c>
      <c r="X34" s="2542">
        <v>3221000000</v>
      </c>
      <c r="Y34" s="2542">
        <v>3708000000</v>
      </c>
      <c r="Z34" s="1246"/>
      <c r="AA34" s="1246"/>
      <c r="AB34" s="1246"/>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1411" t="s">
        <v>3053</v>
      </c>
      <c r="B35" s="1410" t="s">
        <v>50</v>
      </c>
      <c r="C35" s="1035" t="s">
        <v>3049</v>
      </c>
      <c r="H35" s="1103"/>
      <c r="I35" s="1103"/>
      <c r="J35" s="1103"/>
      <c r="K35" s="1103"/>
      <c r="L35" s="1103"/>
      <c r="M35" s="1099">
        <f t="shared" ref="M35:Y35" si="1">M30-M31</f>
        <v>8734000000</v>
      </c>
      <c r="N35" s="1099">
        <f t="shared" si="1"/>
        <v>1214000000</v>
      </c>
      <c r="O35" s="1099">
        <f t="shared" si="1"/>
        <v>1211000000</v>
      </c>
      <c r="P35" s="1099">
        <f t="shared" si="1"/>
        <v>0</v>
      </c>
      <c r="Q35" s="1099">
        <f t="shared" si="1"/>
        <v>0</v>
      </c>
      <c r="R35" s="1099">
        <f t="shared" si="1"/>
        <v>0</v>
      </c>
      <c r="S35" s="1099">
        <f t="shared" si="1"/>
        <v>0</v>
      </c>
      <c r="T35" s="1099">
        <f t="shared" si="1"/>
        <v>0</v>
      </c>
      <c r="U35" s="1099">
        <f t="shared" si="1"/>
        <v>0</v>
      </c>
      <c r="V35" s="1099">
        <f t="shared" si="1"/>
        <v>0</v>
      </c>
      <c r="W35" s="1099">
        <f t="shared" si="1"/>
        <v>0</v>
      </c>
      <c r="X35" s="1099">
        <f t="shared" si="1"/>
        <v>0</v>
      </c>
      <c r="Y35" s="1099">
        <f t="shared" si="1"/>
        <v>0</v>
      </c>
      <c r="Z35" s="1246"/>
      <c r="AA35" s="1246"/>
      <c r="AB35" s="1246"/>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1041" t="s">
        <v>395</v>
      </c>
      <c r="B36" s="1037" t="s">
        <v>681</v>
      </c>
      <c r="C36" s="1035" t="s">
        <v>95</v>
      </c>
      <c r="H36" s="1099">
        <v>1929000000</v>
      </c>
      <c r="I36" s="1099">
        <v>4805000000</v>
      </c>
      <c r="J36" s="1099">
        <v>8708000000</v>
      </c>
      <c r="K36" s="1099">
        <v>11839000000</v>
      </c>
      <c r="L36" s="1099">
        <v>13134000000</v>
      </c>
      <c r="M36" s="1099">
        <v>17934000000</v>
      </c>
      <c r="N36" s="1099">
        <v>13464000000</v>
      </c>
      <c r="O36" s="1099">
        <v>24478000000</v>
      </c>
      <c r="P36" s="1099">
        <v>34232000000</v>
      </c>
      <c r="Q36" s="1099">
        <v>25861000000</v>
      </c>
      <c r="R36" s="1241">
        <v>20928000000</v>
      </c>
      <c r="S36" s="1241">
        <v>19932000000</v>
      </c>
      <c r="T36" s="1242">
        <v>14562000000</v>
      </c>
      <c r="U36" s="1242">
        <v>35080000000</v>
      </c>
      <c r="V36" s="1242">
        <v>47077000000</v>
      </c>
      <c r="W36" s="1242">
        <v>47034000000</v>
      </c>
      <c r="X36" s="2542">
        <v>46884000000</v>
      </c>
      <c r="Y36" s="2542">
        <v>42421000000</v>
      </c>
      <c r="Z36" s="1246"/>
      <c r="AA36" s="1246"/>
      <c r="AB36" s="1246"/>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027" t="s">
        <v>76</v>
      </c>
      <c r="B37" s="1034" t="s">
        <v>3054</v>
      </c>
      <c r="H37" s="1099">
        <v>1897000000</v>
      </c>
      <c r="I37" s="1099">
        <v>-1055000000</v>
      </c>
      <c r="J37" s="1099">
        <v>-3332000000</v>
      </c>
      <c r="K37" s="1099">
        <v>465000000</v>
      </c>
      <c r="L37" s="1099">
        <v>-7778000000</v>
      </c>
      <c r="M37" s="1099">
        <v>-12313000000</v>
      </c>
      <c r="N37" s="1099">
        <v>5819000000</v>
      </c>
      <c r="O37" s="1099">
        <v>-11031000000</v>
      </c>
      <c r="P37" s="1099">
        <v>-15716000000</v>
      </c>
      <c r="Q37" s="1099">
        <v>-26033000000</v>
      </c>
      <c r="R37" s="1241">
        <v>-24935000000</v>
      </c>
      <c r="S37" s="1241">
        <v>-10177000000</v>
      </c>
      <c r="T37" s="1242">
        <v>-7524000000</v>
      </c>
      <c r="U37" s="1242">
        <v>-24628000000</v>
      </c>
      <c r="V37" s="1242">
        <v>-20750000000</v>
      </c>
      <c r="W37" s="1242">
        <v>-18624000000</v>
      </c>
      <c r="X37" s="2542">
        <v>-19119000000</v>
      </c>
      <c r="Y37" s="2542">
        <v>-16661000000</v>
      </c>
      <c r="Z37" s="1246"/>
      <c r="AA37" s="1246"/>
      <c r="AB37" s="1246"/>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1027" t="s">
        <v>76</v>
      </c>
      <c r="B38" s="1034" t="s">
        <v>3055</v>
      </c>
      <c r="H38" s="1099">
        <v>1421000000</v>
      </c>
      <c r="I38" s="1099">
        <v>-6856000000</v>
      </c>
      <c r="J38" s="1099">
        <v>-9781000000</v>
      </c>
      <c r="K38" s="1099">
        <v>-11052000000</v>
      </c>
      <c r="L38" s="1099">
        <v>-18831000000</v>
      </c>
      <c r="M38" s="1099">
        <v>-30149000000</v>
      </c>
      <c r="N38" s="1099">
        <v>-26577000000</v>
      </c>
      <c r="O38" s="1099">
        <v>-38458000000</v>
      </c>
      <c r="P38" s="1099">
        <v>-50520000000</v>
      </c>
      <c r="Q38" s="1099">
        <v>-55413000000</v>
      </c>
      <c r="R38" s="1241">
        <v>-50065000000</v>
      </c>
      <c r="S38" s="1241">
        <v>-33342000000</v>
      </c>
      <c r="T38" s="1242">
        <v>-22502000000</v>
      </c>
      <c r="U38" s="1242">
        <v>-61676000000</v>
      </c>
      <c r="V38" s="1242">
        <v>-53432000000</v>
      </c>
      <c r="W38" s="1242">
        <v>-50424000000</v>
      </c>
      <c r="X38" s="2542">
        <v>-51103000000</v>
      </c>
      <c r="Y38" s="2542">
        <v>-48294000000</v>
      </c>
      <c r="Z38" s="1246"/>
      <c r="AA38" s="1246"/>
      <c r="AB38" s="1246"/>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1027" t="s">
        <v>76</v>
      </c>
      <c r="B39" s="1034" t="s">
        <v>3056</v>
      </c>
      <c r="H39" s="1099">
        <v>-1691000000</v>
      </c>
      <c r="I39" s="1099">
        <v>-2050000000</v>
      </c>
      <c r="J39" s="1099">
        <v>-1073000000</v>
      </c>
      <c r="K39" s="1099">
        <v>787000000</v>
      </c>
      <c r="L39" s="1099">
        <v>-5697000000</v>
      </c>
      <c r="M39" s="1099">
        <v>-12214000000</v>
      </c>
      <c r="N39" s="1099">
        <v>-13113000000</v>
      </c>
      <c r="O39" s="1099">
        <v>-13980000000</v>
      </c>
      <c r="P39" s="1099">
        <v>-16288000000</v>
      </c>
      <c r="Q39" s="1099">
        <v>-29552000000</v>
      </c>
      <c r="R39" s="1241">
        <v>-29137000000</v>
      </c>
      <c r="S39" s="1241">
        <v>-13410000000</v>
      </c>
      <c r="T39" s="1242">
        <v>-7940000000</v>
      </c>
      <c r="U39" s="1242">
        <v>-26596000000</v>
      </c>
      <c r="V39" s="1242">
        <v>-6355000000</v>
      </c>
      <c r="W39" s="1242">
        <v>-3390000000</v>
      </c>
      <c r="X39" s="2542">
        <v>-4219000000</v>
      </c>
      <c r="Y39" s="2542">
        <v>-5873000000</v>
      </c>
      <c r="Z39" s="1246"/>
      <c r="AA39" s="1246"/>
      <c r="AB39" s="1246"/>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B40" s="2545" t="s">
        <v>3057</v>
      </c>
      <c r="H40" s="1099"/>
      <c r="I40" s="1099"/>
      <c r="J40" s="1099"/>
      <c r="K40" s="1099"/>
      <c r="L40" s="1099"/>
      <c r="M40" s="1099"/>
      <c r="N40" s="1099"/>
      <c r="O40" s="1099"/>
      <c r="P40" s="1099"/>
      <c r="Q40" s="1099"/>
      <c r="R40" s="1241">
        <v>-28885000000</v>
      </c>
      <c r="S40" s="1241">
        <v>-13105000000</v>
      </c>
      <c r="T40" s="1242">
        <v>-12684000000</v>
      </c>
      <c r="U40" s="1242">
        <v>-28888000000</v>
      </c>
      <c r="V40" s="1242">
        <v>-24211000000</v>
      </c>
      <c r="W40" s="1242">
        <v>-22084000000</v>
      </c>
      <c r="X40" s="2542">
        <v>-22180000000</v>
      </c>
      <c r="Y40" s="2542">
        <v>-17821000000</v>
      </c>
      <c r="Z40" s="1246"/>
      <c r="AA40" s="1246"/>
      <c r="AB40" s="1246"/>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A41" s="1027" t="s">
        <v>76</v>
      </c>
      <c r="B41" s="1034" t="s">
        <v>3058</v>
      </c>
      <c r="H41" s="1103"/>
      <c r="I41" s="1103"/>
      <c r="J41" s="1103"/>
      <c r="K41" s="1103"/>
      <c r="L41" s="1099">
        <v>-2212000000</v>
      </c>
      <c r="M41" s="1099">
        <v>-565000000</v>
      </c>
      <c r="N41" s="1099">
        <v>3713000000</v>
      </c>
      <c r="O41" s="1099">
        <v>-18000000</v>
      </c>
      <c r="P41" s="1099">
        <v>139000000</v>
      </c>
      <c r="Q41" s="1099">
        <v>3388000000</v>
      </c>
      <c r="R41" s="1241">
        <v>-1058000000</v>
      </c>
      <c r="S41" s="1241">
        <v>-1629000000</v>
      </c>
      <c r="T41" s="1242">
        <v>8000000</v>
      </c>
      <c r="U41" s="1242">
        <v>0</v>
      </c>
      <c r="V41" s="1242">
        <v>0</v>
      </c>
      <c r="W41" s="1242">
        <v>0</v>
      </c>
      <c r="X41" s="2542">
        <v>0</v>
      </c>
      <c r="Y41" s="2542">
        <v>0</v>
      </c>
      <c r="Z41" s="1246"/>
      <c r="AA41" s="1246"/>
      <c r="AB41" s="1246"/>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s="848" customFormat="1">
      <c r="A42" s="1108" t="s">
        <v>115</v>
      </c>
      <c r="B42" s="1368" t="s">
        <v>115</v>
      </c>
      <c r="C42" s="1407" t="s">
        <v>35</v>
      </c>
      <c r="D42" s="1208"/>
      <c r="E42" s="1208"/>
      <c r="F42" s="1208"/>
      <c r="G42" s="1208"/>
      <c r="H42" s="1111">
        <v>3413000000</v>
      </c>
      <c r="I42" s="1111">
        <v>1055000000</v>
      </c>
      <c r="J42" s="1111">
        <v>3332000000</v>
      </c>
      <c r="K42" s="1111">
        <v>-465000000</v>
      </c>
      <c r="L42" s="1111">
        <v>7778000000</v>
      </c>
      <c r="M42" s="1111">
        <v>11749000000</v>
      </c>
      <c r="N42" s="1111">
        <v>-2107000000</v>
      </c>
      <c r="O42" s="1111">
        <v>11013000000</v>
      </c>
      <c r="P42" s="1111">
        <v>15855000000</v>
      </c>
      <c r="Q42" s="1111">
        <v>29421000000</v>
      </c>
      <c r="R42" s="1239">
        <v>27827000000</v>
      </c>
      <c r="S42" s="1239">
        <v>11476000000</v>
      </c>
      <c r="T42" s="2540">
        <v>12692000000</v>
      </c>
      <c r="U42" s="2540">
        <v>28888000000</v>
      </c>
      <c r="V42" s="2540">
        <v>24211000000</v>
      </c>
      <c r="W42" s="2540">
        <v>22084000000</v>
      </c>
      <c r="X42" s="2541">
        <v>22180000000</v>
      </c>
      <c r="Y42" s="2541">
        <v>17821000000</v>
      </c>
      <c r="Z42" s="1247"/>
      <c r="AA42" s="1247"/>
      <c r="AB42" s="1247"/>
      <c r="AC42" s="916"/>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row>
    <row r="43" spans="1:56">
      <c r="A43" s="1041" t="s">
        <v>117</v>
      </c>
      <c r="B43" s="1034" t="s">
        <v>3059</v>
      </c>
      <c r="C43" s="1035" t="s">
        <v>119</v>
      </c>
      <c r="H43" s="1099">
        <v>605000000</v>
      </c>
      <c r="I43" s="1099">
        <v>1064000000</v>
      </c>
      <c r="J43" s="1099">
        <v>4038000000</v>
      </c>
      <c r="K43" s="1099">
        <v>-106000000</v>
      </c>
      <c r="L43" s="1099">
        <v>6786000000</v>
      </c>
      <c r="M43" s="1099">
        <v>8141000000</v>
      </c>
      <c r="N43" s="1099">
        <v>9530000000</v>
      </c>
      <c r="O43" s="1099">
        <v>16341000000</v>
      </c>
      <c r="P43" s="1099">
        <v>15454000000</v>
      </c>
      <c r="Q43" s="1099">
        <v>16636000000</v>
      </c>
      <c r="R43" s="1241">
        <v>15597000000</v>
      </c>
      <c r="S43" s="1241">
        <v>9489000000</v>
      </c>
      <c r="T43" s="1242">
        <v>6273000000</v>
      </c>
      <c r="U43" s="1242">
        <v>11503000000</v>
      </c>
      <c r="V43" s="1242">
        <v>18481000000</v>
      </c>
      <c r="W43" s="1242">
        <v>17907000000</v>
      </c>
      <c r="X43" s="2542">
        <v>17617000000</v>
      </c>
      <c r="Y43" s="2542">
        <v>13133000000</v>
      </c>
      <c r="Z43" s="1246"/>
      <c r="AA43" s="1246"/>
      <c r="AB43" s="1246"/>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A44" s="1027" t="s">
        <v>76</v>
      </c>
      <c r="B44" s="1037" t="s">
        <v>3060</v>
      </c>
      <c r="H44" s="1099">
        <v>-179000000</v>
      </c>
      <c r="I44" s="1099">
        <v>2737000000</v>
      </c>
      <c r="J44" s="1099">
        <v>3719000000</v>
      </c>
      <c r="K44" s="1099">
        <v>1620000000</v>
      </c>
      <c r="L44" s="1099">
        <v>6786000000</v>
      </c>
      <c r="M44" s="1099">
        <v>8141000000</v>
      </c>
      <c r="N44" s="1099">
        <v>9530000000</v>
      </c>
      <c r="O44" s="1099">
        <v>16341000000</v>
      </c>
      <c r="P44" s="1099">
        <v>15454000000</v>
      </c>
      <c r="Q44" s="1099">
        <v>16636000000</v>
      </c>
      <c r="R44" s="1241">
        <v>15597000000</v>
      </c>
      <c r="S44" s="1241">
        <v>7018000000</v>
      </c>
      <c r="T44" s="1242">
        <v>3500000000</v>
      </c>
      <c r="U44" s="1242">
        <v>11503000000</v>
      </c>
      <c r="V44" s="1242">
        <v>18481000000</v>
      </c>
      <c r="W44" s="1242">
        <v>17907000000</v>
      </c>
      <c r="X44" s="2542">
        <v>17617000000</v>
      </c>
      <c r="Y44" s="2542">
        <v>13133000000</v>
      </c>
      <c r="Z44" s="1246"/>
      <c r="AA44" s="1246"/>
      <c r="AB44" s="1246"/>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1404" t="s">
        <v>415</v>
      </c>
      <c r="B45" s="1404" t="s">
        <v>415</v>
      </c>
      <c r="C45" s="1034" t="s">
        <v>264</v>
      </c>
      <c r="H45" s="1099">
        <v>954000000</v>
      </c>
      <c r="I45" s="1099">
        <v>4010000000</v>
      </c>
      <c r="J45" s="1099">
        <v>3719000000</v>
      </c>
      <c r="K45" s="1099">
        <v>3406000000</v>
      </c>
      <c r="L45" s="1099">
        <v>8461000000</v>
      </c>
      <c r="M45" s="1099">
        <v>9935000000</v>
      </c>
      <c r="N45" s="1099">
        <v>9836000000</v>
      </c>
      <c r="O45" s="1099">
        <v>16419000000</v>
      </c>
      <c r="P45" s="1099">
        <v>15581000000</v>
      </c>
      <c r="Q45" s="1099">
        <v>17425000000</v>
      </c>
      <c r="R45" s="1241">
        <v>16725000000</v>
      </c>
      <c r="S45" s="1241">
        <v>8430000000</v>
      </c>
      <c r="T45" s="1242">
        <v>6717000000</v>
      </c>
      <c r="U45" s="1242">
        <v>17496000000</v>
      </c>
      <c r="V45" s="1242">
        <v>25569000000</v>
      </c>
      <c r="W45" s="1242">
        <v>25801000000</v>
      </c>
      <c r="X45" s="2542">
        <v>26424000000</v>
      </c>
      <c r="Y45" s="2542">
        <v>23012000000</v>
      </c>
      <c r="Z45" s="1246"/>
      <c r="AA45" s="1246"/>
      <c r="AB45" s="1246"/>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1039" t="s">
        <v>3061</v>
      </c>
      <c r="B46" s="1039" t="s">
        <v>3062</v>
      </c>
      <c r="C46" s="1034" t="s">
        <v>499</v>
      </c>
      <c r="H46" s="1099">
        <v>397000000</v>
      </c>
      <c r="I46" s="1099">
        <v>2645000000</v>
      </c>
      <c r="J46" s="1099">
        <v>776000000</v>
      </c>
      <c r="K46" s="1099">
        <v>364000000</v>
      </c>
      <c r="L46" s="1099">
        <v>2895000000</v>
      </c>
      <c r="M46" s="1099">
        <v>5963000000</v>
      </c>
      <c r="N46" s="1099"/>
      <c r="O46" s="1099">
        <f>O45-O47-O48</f>
        <v>2660000000</v>
      </c>
      <c r="P46" s="1099"/>
      <c r="Q46" s="1099"/>
      <c r="R46" s="1241"/>
      <c r="S46" s="1241"/>
      <c r="T46" s="1242"/>
      <c r="U46" s="1242"/>
      <c r="V46" s="1242"/>
      <c r="W46" s="1242"/>
      <c r="X46" s="2542"/>
      <c r="Y46" s="2542"/>
      <c r="Z46" s="1246"/>
      <c r="AA46" s="1246"/>
      <c r="AB46" s="1246"/>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c r="A47" s="1039" t="s">
        <v>3063</v>
      </c>
      <c r="B47" s="1039" t="s">
        <v>3064</v>
      </c>
      <c r="C47" s="1034" t="s">
        <v>499</v>
      </c>
      <c r="H47" s="1099"/>
      <c r="I47" s="1099"/>
      <c r="J47" s="1099"/>
      <c r="K47" s="1099"/>
      <c r="L47" s="1099"/>
      <c r="M47" s="1101">
        <f>M45-M46-M48</f>
        <v>-8000000</v>
      </c>
      <c r="N47" s="1099">
        <v>9114000000</v>
      </c>
      <c r="O47" s="1099">
        <v>13216000000</v>
      </c>
      <c r="P47" s="1099">
        <v>15029000000</v>
      </c>
      <c r="Q47" s="1099">
        <v>17153000000</v>
      </c>
      <c r="R47" s="1241">
        <v>15928000000</v>
      </c>
      <c r="S47" s="1241">
        <v>8038000000</v>
      </c>
      <c r="T47" s="1242">
        <v>5491000000</v>
      </c>
      <c r="U47" s="1242">
        <v>8748000000</v>
      </c>
      <c r="V47" s="1242">
        <v>9605000000</v>
      </c>
      <c r="W47" s="1242">
        <v>10566000000</v>
      </c>
      <c r="X47" s="2542">
        <v>11525000000</v>
      </c>
      <c r="Y47" s="2542">
        <v>12225000000</v>
      </c>
      <c r="Z47" s="1246"/>
      <c r="AA47" s="1246"/>
      <c r="AB47" s="1246"/>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c r="A48" s="1039" t="s">
        <v>1253</v>
      </c>
      <c r="B48" s="1039" t="s">
        <v>3065</v>
      </c>
      <c r="C48" s="1034" t="s">
        <v>499</v>
      </c>
      <c r="H48" s="1099">
        <v>557000000</v>
      </c>
      <c r="I48" s="1099">
        <v>1365000000</v>
      </c>
      <c r="J48" s="1099">
        <v>2943000000</v>
      </c>
      <c r="K48" s="1099">
        <v>3042000000</v>
      </c>
      <c r="L48" s="1099">
        <v>5566000000</v>
      </c>
      <c r="M48" s="1099">
        <v>3980000000</v>
      </c>
      <c r="N48" s="1099">
        <v>722000000</v>
      </c>
      <c r="O48" s="1099">
        <v>543000000</v>
      </c>
      <c r="P48" s="1099">
        <v>551000000</v>
      </c>
      <c r="Q48" s="1099">
        <v>272000000</v>
      </c>
      <c r="R48" s="1241">
        <v>797000000</v>
      </c>
      <c r="S48" s="1241">
        <v>392000000</v>
      </c>
      <c r="T48" s="1242">
        <v>1226000000</v>
      </c>
      <c r="U48" s="1242">
        <v>8748000000</v>
      </c>
      <c r="V48" s="1242">
        <v>15964000000</v>
      </c>
      <c r="W48" s="1242">
        <v>15234000000</v>
      </c>
      <c r="X48" s="2542">
        <v>14900000000</v>
      </c>
      <c r="Y48" s="2542">
        <v>10788000000</v>
      </c>
      <c r="Z48" s="1246"/>
      <c r="AA48" s="1246"/>
      <c r="AB48" s="1246"/>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1405" t="s">
        <v>258</v>
      </c>
      <c r="B49" s="1405" t="s">
        <v>258</v>
      </c>
      <c r="C49" s="1034" t="s">
        <v>264</v>
      </c>
      <c r="H49" s="1099">
        <v>-1136000000</v>
      </c>
      <c r="I49" s="1099">
        <v>-1274000000</v>
      </c>
      <c r="J49" s="1099">
        <v>0</v>
      </c>
      <c r="K49" s="1099">
        <v>-1786000000</v>
      </c>
      <c r="L49" s="1099">
        <v>-1676000000</v>
      </c>
      <c r="M49" s="1099">
        <v>-1794000000</v>
      </c>
      <c r="N49" s="1099">
        <v>-306000000</v>
      </c>
      <c r="O49" s="1099">
        <v>-77000000</v>
      </c>
      <c r="P49" s="1099">
        <v>-127000000</v>
      </c>
      <c r="Q49" s="1099">
        <v>-789000000</v>
      </c>
      <c r="R49" s="1241">
        <v>-1129000000</v>
      </c>
      <c r="S49" s="1241">
        <v>-1412000000</v>
      </c>
      <c r="T49" s="1242">
        <v>-3217000000</v>
      </c>
      <c r="U49" s="1242">
        <v>-5993000000</v>
      </c>
      <c r="V49" s="1242">
        <v>-7088000000</v>
      </c>
      <c r="W49" s="1242">
        <v>-7893000000</v>
      </c>
      <c r="X49" s="2542">
        <v>-8807000000</v>
      </c>
      <c r="Y49" s="2542">
        <v>-9879000000</v>
      </c>
      <c r="Z49" s="1246"/>
      <c r="AA49" s="1246"/>
      <c r="AB49" s="1246"/>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1041" t="s">
        <v>3066</v>
      </c>
      <c r="B50" s="1037" t="s">
        <v>3067</v>
      </c>
      <c r="C50" s="1034" t="s">
        <v>264</v>
      </c>
      <c r="H50" s="1099">
        <v>784000000</v>
      </c>
      <c r="I50" s="1099">
        <v>-1673000000</v>
      </c>
      <c r="J50" s="1099">
        <v>319000000</v>
      </c>
      <c r="K50" s="1099">
        <v>-1726000000</v>
      </c>
      <c r="L50" s="1099">
        <v>0</v>
      </c>
      <c r="M50" s="1099">
        <v>0</v>
      </c>
      <c r="N50" s="1099">
        <v>0</v>
      </c>
      <c r="O50" s="1099">
        <v>0</v>
      </c>
      <c r="P50" s="1099">
        <v>0</v>
      </c>
      <c r="Q50" s="1099">
        <v>0</v>
      </c>
      <c r="R50" s="1241">
        <v>0</v>
      </c>
      <c r="S50" s="1241">
        <v>2471000000</v>
      </c>
      <c r="T50" s="1242">
        <v>2773000000</v>
      </c>
      <c r="U50" s="1242">
        <v>0</v>
      </c>
      <c r="V50" s="1242">
        <v>0</v>
      </c>
      <c r="W50" s="1242">
        <v>0</v>
      </c>
      <c r="X50" s="2542">
        <v>0</v>
      </c>
      <c r="Y50" s="2542">
        <v>0</v>
      </c>
      <c r="Z50" s="1246"/>
      <c r="AA50" s="1246"/>
      <c r="AB50" s="1246"/>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1409" t="s">
        <v>421</v>
      </c>
      <c r="B51" s="1409" t="s">
        <v>2420</v>
      </c>
      <c r="C51" s="1034" t="s">
        <v>264</v>
      </c>
      <c r="H51" s="1099">
        <f>H43-H45-H49-H50</f>
        <v>3000000</v>
      </c>
      <c r="I51" s="1099"/>
      <c r="J51" s="1099"/>
      <c r="K51" s="1099"/>
      <c r="L51" s="1099"/>
      <c r="M51" s="1099"/>
      <c r="N51" s="1099"/>
      <c r="O51" s="1099"/>
      <c r="P51" s="1099"/>
      <c r="Q51" s="1099"/>
      <c r="R51" s="1241"/>
      <c r="S51" s="1241"/>
      <c r="T51" s="1242"/>
      <c r="U51" s="1242"/>
      <c r="V51" s="1242"/>
      <c r="W51" s="1242"/>
      <c r="X51" s="2542"/>
      <c r="Y51" s="2542"/>
      <c r="Z51" s="1246"/>
      <c r="AA51" s="1246"/>
      <c r="AB51" s="1246"/>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1041" t="s">
        <v>120</v>
      </c>
      <c r="B52" s="1034" t="s">
        <v>3068</v>
      </c>
      <c r="C52" s="1035" t="s">
        <v>119</v>
      </c>
      <c r="H52" s="1099">
        <v>2807000000</v>
      </c>
      <c r="I52" s="1099">
        <v>-9000000</v>
      </c>
      <c r="J52" s="1099">
        <v>-706000000</v>
      </c>
      <c r="K52" s="1099">
        <v>-1264000000</v>
      </c>
      <c r="L52" s="1099">
        <v>83000000</v>
      </c>
      <c r="M52" s="1099">
        <v>2082000000</v>
      </c>
      <c r="N52" s="1099">
        <v>-11637000000</v>
      </c>
      <c r="O52" s="1099">
        <v>-5328000000</v>
      </c>
      <c r="P52" s="1099">
        <v>402000000</v>
      </c>
      <c r="Q52" s="1099">
        <v>12785000000</v>
      </c>
      <c r="R52" s="1241">
        <v>12230000000</v>
      </c>
      <c r="S52" s="1241">
        <v>1987000000</v>
      </c>
      <c r="T52" s="1242">
        <v>6419000000</v>
      </c>
      <c r="U52" s="1242">
        <v>17385000000</v>
      </c>
      <c r="V52" s="1242">
        <v>5730000000</v>
      </c>
      <c r="W52" s="1242">
        <v>4177000000</v>
      </c>
      <c r="X52" s="2542">
        <v>4562000000</v>
      </c>
      <c r="Y52" s="2542">
        <v>4688000000</v>
      </c>
      <c r="Z52" s="1246"/>
      <c r="AA52" s="1246"/>
      <c r="AB52" s="1246"/>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1041" t="s">
        <v>122</v>
      </c>
      <c r="B53" s="1037" t="s">
        <v>3069</v>
      </c>
      <c r="C53" s="1034" t="s">
        <v>124</v>
      </c>
      <c r="H53" s="1099">
        <v>2789000000</v>
      </c>
      <c r="I53" s="1099">
        <v>-50000000</v>
      </c>
      <c r="J53" s="1099">
        <v>-634000000</v>
      </c>
      <c r="K53" s="1099">
        <v>-1264000000</v>
      </c>
      <c r="L53" s="1099">
        <v>-229000000</v>
      </c>
      <c r="M53" s="1099">
        <v>644000000</v>
      </c>
      <c r="N53" s="1099">
        <v>-13945000000</v>
      </c>
      <c r="O53" s="1099">
        <v>-7163000000</v>
      </c>
      <c r="P53" s="1099">
        <v>-3480000000</v>
      </c>
      <c r="Q53" s="1099">
        <v>14026000000</v>
      </c>
      <c r="R53" s="1241">
        <v>9957000000</v>
      </c>
      <c r="S53" s="1241">
        <v>9821000000</v>
      </c>
      <c r="T53" s="1242">
        <v>5511000000</v>
      </c>
      <c r="U53" s="1242">
        <v>16160000000</v>
      </c>
      <c r="V53" s="1242">
        <v>3990000000</v>
      </c>
      <c r="W53" s="1242">
        <v>2888000000</v>
      </c>
      <c r="X53" s="2542">
        <v>3525000000</v>
      </c>
      <c r="Y53" s="2542">
        <v>3512000000</v>
      </c>
      <c r="Z53" s="1246"/>
      <c r="AA53" s="1246"/>
      <c r="AB53" s="1246"/>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546" t="s">
        <v>2146</v>
      </c>
      <c r="B54" s="2547" t="s">
        <v>3070</v>
      </c>
      <c r="C54" s="2548" t="s">
        <v>3071</v>
      </c>
      <c r="H54" s="1099">
        <v>2821000000</v>
      </c>
      <c r="I54" s="1099">
        <v>-21000000</v>
      </c>
      <c r="J54" s="1099">
        <v>-344000000</v>
      </c>
      <c r="K54" s="1099">
        <v>-949000000</v>
      </c>
      <c r="L54" s="1099">
        <v>121000000</v>
      </c>
      <c r="M54" s="1099">
        <v>644000000</v>
      </c>
      <c r="N54" s="1099">
        <v>-11248000000</v>
      </c>
      <c r="O54" s="1099">
        <v>-2912000000</v>
      </c>
      <c r="P54" s="1099">
        <v>-433000000</v>
      </c>
      <c r="Q54" s="1099">
        <v>2332000000</v>
      </c>
      <c r="R54" s="1241">
        <v>5243000000</v>
      </c>
      <c r="S54" s="1241">
        <v>10141000000</v>
      </c>
      <c r="T54" s="1242">
        <v>3585000000</v>
      </c>
      <c r="U54" s="1242">
        <v>12783000000</v>
      </c>
      <c r="V54" s="1242">
        <v>1585000000</v>
      </c>
      <c r="W54" s="1242">
        <v>1585000000</v>
      </c>
      <c r="X54" s="2542">
        <v>2159000000</v>
      </c>
      <c r="Y54" s="2542">
        <v>1159000000</v>
      </c>
      <c r="Z54" s="1246"/>
      <c r="AA54" s="1246"/>
      <c r="AB54" s="1246"/>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2548" t="s">
        <v>76</v>
      </c>
      <c r="B55" s="2549" t="s">
        <v>3072</v>
      </c>
      <c r="C55" s="2548"/>
      <c r="H55" s="1103"/>
      <c r="I55" s="1103"/>
      <c r="J55" s="1103"/>
      <c r="K55" s="1103"/>
      <c r="L55" s="1103"/>
      <c r="M55" s="1099">
        <v>0</v>
      </c>
      <c r="N55" s="1099">
        <v>0</v>
      </c>
      <c r="O55" s="1099">
        <v>0</v>
      </c>
      <c r="P55" s="1099">
        <v>1130000000</v>
      </c>
      <c r="Q55" s="1099">
        <v>1587000000</v>
      </c>
      <c r="R55" s="1241">
        <v>1069000000</v>
      </c>
      <c r="S55" s="1241">
        <v>478000000</v>
      </c>
      <c r="T55" s="1242">
        <v>1159000000</v>
      </c>
      <c r="U55" s="1242">
        <v>1159000000</v>
      </c>
      <c r="V55" s="1242">
        <v>1159000000</v>
      </c>
      <c r="W55" s="1242">
        <v>1159000000</v>
      </c>
      <c r="X55" s="2542">
        <v>1159000000</v>
      </c>
      <c r="Y55" s="2542">
        <v>1159000000</v>
      </c>
      <c r="Z55" s="1246"/>
      <c r="AA55" s="1246"/>
      <c r="AB55" s="1246"/>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2548" t="s">
        <v>76</v>
      </c>
      <c r="B56" s="2549" t="s">
        <v>3073</v>
      </c>
      <c r="C56" s="2548"/>
      <c r="H56" s="1103"/>
      <c r="I56" s="1103"/>
      <c r="J56" s="1103"/>
      <c r="K56" s="1103"/>
      <c r="L56" s="1103"/>
      <c r="M56" s="1099">
        <v>0</v>
      </c>
      <c r="N56" s="1103">
        <v>0</v>
      </c>
      <c r="O56" s="1099">
        <v>0</v>
      </c>
      <c r="P56" s="1099">
        <v>0</v>
      </c>
      <c r="Q56" s="1099">
        <v>0</v>
      </c>
      <c r="R56" s="1241">
        <v>3636000000</v>
      </c>
      <c r="S56" s="1241">
        <v>5565000000</v>
      </c>
      <c r="T56" s="1242">
        <v>-574000000</v>
      </c>
      <c r="U56" s="1242">
        <v>-574000000</v>
      </c>
      <c r="V56" s="1242">
        <v>-574000000</v>
      </c>
      <c r="W56" s="1242">
        <v>-574000000</v>
      </c>
      <c r="X56" s="2542">
        <v>0</v>
      </c>
      <c r="Y56" s="2542">
        <v>0</v>
      </c>
      <c r="Z56" s="1246"/>
      <c r="AA56" s="1246"/>
      <c r="AB56" s="1246"/>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2548"/>
      <c r="B57" s="2549" t="s">
        <v>3074</v>
      </c>
      <c r="C57" s="2548"/>
      <c r="H57" s="1103"/>
      <c r="I57" s="1103"/>
      <c r="J57" s="1103"/>
      <c r="K57" s="1103"/>
      <c r="L57" s="1103"/>
      <c r="M57" s="1099"/>
      <c r="N57" s="1103"/>
      <c r="O57" s="1099"/>
      <c r="P57" s="1099"/>
      <c r="Q57" s="1099"/>
      <c r="R57" s="1241">
        <v>539000000</v>
      </c>
      <c r="S57" s="1241">
        <v>4098000000</v>
      </c>
      <c r="T57" s="1242">
        <v>3000000000</v>
      </c>
      <c r="U57" s="1242">
        <v>12199000000</v>
      </c>
      <c r="V57" s="1242">
        <v>1000000000</v>
      </c>
      <c r="W57" s="1242">
        <v>1000000000</v>
      </c>
      <c r="X57" s="2542">
        <v>1000000000</v>
      </c>
      <c r="Y57" s="2542">
        <v>0</v>
      </c>
      <c r="Z57" s="1246"/>
      <c r="AA57" s="1246"/>
      <c r="AB57" s="1246"/>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2548"/>
      <c r="B58" s="2549" t="s">
        <v>3075</v>
      </c>
      <c r="C58" s="2548"/>
      <c r="H58" s="1103"/>
      <c r="I58" s="1103"/>
      <c r="J58" s="1103"/>
      <c r="K58" s="1103"/>
      <c r="L58" s="1103"/>
      <c r="M58" s="1099"/>
      <c r="N58" s="1103"/>
      <c r="O58" s="1099"/>
      <c r="P58" s="1099"/>
      <c r="Q58" s="1099"/>
      <c r="R58" s="1241">
        <v>0</v>
      </c>
      <c r="S58" s="1241">
        <v>0</v>
      </c>
      <c r="T58" s="1242">
        <v>0</v>
      </c>
      <c r="U58" s="1242">
        <v>2868000000</v>
      </c>
      <c r="V58" s="1242">
        <v>0</v>
      </c>
      <c r="W58" s="1242">
        <v>0</v>
      </c>
      <c r="X58" s="2542">
        <v>0</v>
      </c>
      <c r="Y58" s="2542">
        <v>0</v>
      </c>
      <c r="Z58" s="1246"/>
      <c r="AA58" s="1246"/>
      <c r="AB58" s="1246"/>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2548"/>
      <c r="B59" s="2549" t="s">
        <v>3076</v>
      </c>
      <c r="C59" s="2548"/>
      <c r="H59" s="1103"/>
      <c r="I59" s="1103"/>
      <c r="J59" s="1103"/>
      <c r="K59" s="1103"/>
      <c r="L59" s="1103"/>
      <c r="M59" s="1099"/>
      <c r="N59" s="1103"/>
      <c r="O59" s="1099"/>
      <c r="P59" s="1099"/>
      <c r="Q59" s="1099"/>
      <c r="R59" s="1241">
        <v>0</v>
      </c>
      <c r="S59" s="1241">
        <v>0</v>
      </c>
      <c r="T59" s="1242">
        <v>0</v>
      </c>
      <c r="U59" s="1242">
        <v>5462000000</v>
      </c>
      <c r="V59" s="1242">
        <v>0</v>
      </c>
      <c r="W59" s="1242">
        <v>0</v>
      </c>
      <c r="X59" s="2542">
        <v>0</v>
      </c>
      <c r="Y59" s="2542">
        <v>0</v>
      </c>
      <c r="Z59" s="1246"/>
      <c r="AA59" s="1246"/>
      <c r="AB59" s="1246"/>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2547" t="s">
        <v>3077</v>
      </c>
      <c r="B60" s="2547" t="s">
        <v>3077</v>
      </c>
      <c r="C60" s="2548" t="s">
        <v>3078</v>
      </c>
      <c r="H60" s="1099">
        <v>-32000000</v>
      </c>
      <c r="I60" s="1099">
        <v>-29000000</v>
      </c>
      <c r="J60" s="1099">
        <v>-290000000</v>
      </c>
      <c r="K60" s="1099">
        <v>-315000000</v>
      </c>
      <c r="L60" s="1103">
        <v>-349000000</v>
      </c>
      <c r="M60" s="1099">
        <v>0</v>
      </c>
      <c r="N60" s="1099">
        <v>-2697000000</v>
      </c>
      <c r="O60" s="1099">
        <v>-4251000000</v>
      </c>
      <c r="P60" s="1099">
        <v>-3048000000</v>
      </c>
      <c r="Q60" s="1099">
        <v>11694000000</v>
      </c>
      <c r="R60" s="1241">
        <v>4713000000</v>
      </c>
      <c r="S60" s="1241">
        <v>-320000000</v>
      </c>
      <c r="T60" s="1242">
        <v>1926000000</v>
      </c>
      <c r="U60" s="1242">
        <v>3376000000</v>
      </c>
      <c r="V60" s="1242">
        <v>2405000000</v>
      </c>
      <c r="W60" s="1242">
        <v>1303000000</v>
      </c>
      <c r="X60" s="2542">
        <v>1366000000</v>
      </c>
      <c r="Y60" s="2542">
        <v>2353000000</v>
      </c>
      <c r="Z60" s="1246"/>
      <c r="AA60" s="1246"/>
      <c r="AB60" s="1246"/>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2548" t="s">
        <v>76</v>
      </c>
      <c r="B61" s="2549" t="s">
        <v>3079</v>
      </c>
      <c r="C61" s="2548"/>
      <c r="H61" s="1099">
        <v>18000000</v>
      </c>
      <c r="I61" s="1103"/>
      <c r="J61" s="1103"/>
      <c r="K61" s="1103"/>
      <c r="L61" s="1103"/>
      <c r="M61" s="1099">
        <v>0</v>
      </c>
      <c r="N61" s="1099">
        <v>300000000</v>
      </c>
      <c r="O61" s="1099">
        <v>-300000000</v>
      </c>
      <c r="P61" s="1099">
        <v>0</v>
      </c>
      <c r="Q61" s="1099">
        <v>2875000000</v>
      </c>
      <c r="R61" s="1241">
        <v>732000000</v>
      </c>
      <c r="S61" s="1241">
        <v>-3069000000</v>
      </c>
      <c r="T61" s="1242">
        <v>0</v>
      </c>
      <c r="U61" s="1242">
        <v>3450000000</v>
      </c>
      <c r="V61" s="1242">
        <v>3479000000</v>
      </c>
      <c r="W61" s="1242">
        <v>2377000000</v>
      </c>
      <c r="X61" s="2542">
        <v>1575000000</v>
      </c>
      <c r="Y61" s="2542">
        <v>2353000000</v>
      </c>
      <c r="Z61" s="1246"/>
      <c r="AA61" s="1246"/>
      <c r="AB61" s="1246"/>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2548" t="s">
        <v>76</v>
      </c>
      <c r="B62" s="2549" t="s">
        <v>3073</v>
      </c>
      <c r="C62" s="2548"/>
      <c r="H62" s="1103"/>
      <c r="I62" s="1103"/>
      <c r="J62" s="1103"/>
      <c r="K62" s="1103"/>
      <c r="L62" s="1103"/>
      <c r="M62" s="1099">
        <v>0</v>
      </c>
      <c r="N62" s="1103">
        <v>0</v>
      </c>
      <c r="O62" s="1099">
        <v>0</v>
      </c>
      <c r="P62" s="1099">
        <v>0</v>
      </c>
      <c r="Q62" s="1099">
        <v>0</v>
      </c>
      <c r="R62" s="1241">
        <v>2869000000</v>
      </c>
      <c r="S62" s="1241">
        <v>1635000000</v>
      </c>
      <c r="T62" s="1242">
        <v>-1074000000</v>
      </c>
      <c r="U62" s="1242">
        <v>-1074000000</v>
      </c>
      <c r="V62" s="1242">
        <v>-1074000000</v>
      </c>
      <c r="W62" s="1242">
        <v>-1074000000</v>
      </c>
      <c r="X62" s="2542">
        <v>-208000000</v>
      </c>
      <c r="Y62" s="2542">
        <v>0</v>
      </c>
      <c r="Z62" s="1246"/>
      <c r="AA62" s="1246"/>
      <c r="AB62" s="1246"/>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2548"/>
      <c r="B63" s="2549" t="s">
        <v>3080</v>
      </c>
      <c r="C63" s="2548"/>
      <c r="H63" s="1103"/>
      <c r="I63" s="1103"/>
      <c r="J63" s="1103"/>
      <c r="K63" s="1103"/>
      <c r="L63" s="1103"/>
      <c r="M63" s="1099"/>
      <c r="N63" s="1103"/>
      <c r="O63" s="1099"/>
      <c r="P63" s="1099"/>
      <c r="Q63" s="1099"/>
      <c r="R63" s="1241">
        <v>-4226000000</v>
      </c>
      <c r="S63" s="1241">
        <v>3314000000</v>
      </c>
      <c r="T63" s="1242">
        <v>1000000000</v>
      </c>
      <c r="U63" s="1242">
        <v>0</v>
      </c>
      <c r="V63" s="1242">
        <v>0</v>
      </c>
      <c r="W63" s="1242">
        <v>0</v>
      </c>
      <c r="X63" s="2542">
        <v>0</v>
      </c>
      <c r="Y63" s="2542">
        <v>0</v>
      </c>
      <c r="Z63" s="1246"/>
      <c r="AA63" s="1246"/>
      <c r="AB63" s="1246"/>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A64" s="2548"/>
      <c r="B64" s="2549" t="s">
        <v>3081</v>
      </c>
      <c r="C64" s="2548"/>
      <c r="H64" s="1103"/>
      <c r="I64" s="1103"/>
      <c r="J64" s="1103"/>
      <c r="K64" s="1103"/>
      <c r="L64" s="1103"/>
      <c r="M64" s="1099"/>
      <c r="N64" s="1103"/>
      <c r="O64" s="1099"/>
      <c r="P64" s="1099"/>
      <c r="Q64" s="1099"/>
      <c r="R64" s="1241">
        <v>5339000000</v>
      </c>
      <c r="S64" s="1241">
        <v>-2200000000</v>
      </c>
      <c r="T64" s="1242">
        <v>2000000000</v>
      </c>
      <c r="U64" s="1242">
        <v>1000000000</v>
      </c>
      <c r="V64" s="1242">
        <v>0</v>
      </c>
      <c r="W64" s="1242">
        <v>0</v>
      </c>
      <c r="X64" s="2542">
        <v>0</v>
      </c>
      <c r="Y64" s="2542">
        <v>0</v>
      </c>
      <c r="Z64" s="1246"/>
      <c r="AA64" s="1246"/>
      <c r="AB64" s="1246"/>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2550" t="s">
        <v>428</v>
      </c>
      <c r="B65" s="2551" t="s">
        <v>3082</v>
      </c>
      <c r="C65" s="2545" t="s">
        <v>124</v>
      </c>
      <c r="H65" s="1103"/>
      <c r="I65" s="1099">
        <v>0</v>
      </c>
      <c r="J65" s="1099">
        <v>-120000000</v>
      </c>
      <c r="K65" s="1099">
        <v>0</v>
      </c>
      <c r="L65" s="1103">
        <v>312000000</v>
      </c>
      <c r="M65" s="1099">
        <v>1439000000</v>
      </c>
      <c r="N65" s="1099">
        <v>2308000000</v>
      </c>
      <c r="O65" s="1099">
        <v>1835000000</v>
      </c>
      <c r="P65" s="1099">
        <v>3882000000</v>
      </c>
      <c r="Q65" s="1099">
        <v>-1241000000</v>
      </c>
      <c r="R65" s="1241">
        <v>2274000000</v>
      </c>
      <c r="S65" s="1241">
        <v>-7834000000</v>
      </c>
      <c r="T65" s="1242">
        <v>908000000</v>
      </c>
      <c r="U65" s="1242">
        <v>1225000000</v>
      </c>
      <c r="V65" s="1242">
        <v>1740000000</v>
      </c>
      <c r="W65" s="1242">
        <v>1289000000</v>
      </c>
      <c r="X65" s="2542">
        <v>1037000000</v>
      </c>
      <c r="Y65" s="2542">
        <v>1177000000</v>
      </c>
      <c r="Z65" s="1246"/>
      <c r="AA65" s="1246"/>
      <c r="AB65" s="1246"/>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c r="A66" s="2548" t="s">
        <v>76</v>
      </c>
      <c r="B66" s="2549" t="s">
        <v>3079</v>
      </c>
      <c r="C66" s="2548"/>
      <c r="H66" s="1103"/>
      <c r="I66" s="1103"/>
      <c r="J66" s="1103"/>
      <c r="K66" s="1103"/>
      <c r="L66" s="1103"/>
      <c r="M66" s="1099">
        <v>0</v>
      </c>
      <c r="N66" s="1099">
        <v>0</v>
      </c>
      <c r="O66" s="1099">
        <v>0</v>
      </c>
      <c r="P66" s="1099">
        <v>0</v>
      </c>
      <c r="Q66" s="1099">
        <v>1800000000</v>
      </c>
      <c r="R66" s="1241">
        <v>123000000</v>
      </c>
      <c r="S66" s="1241">
        <v>-1061000000</v>
      </c>
      <c r="T66" s="1242">
        <v>0</v>
      </c>
      <c r="U66" s="1242">
        <v>1725000000</v>
      </c>
      <c r="V66" s="1242">
        <v>1740000000</v>
      </c>
      <c r="W66" s="1242">
        <v>1189000000</v>
      </c>
      <c r="X66" s="2542">
        <v>787000000</v>
      </c>
      <c r="Y66" s="2542">
        <v>1177000000</v>
      </c>
      <c r="Z66" s="1246"/>
      <c r="AA66" s="1246"/>
      <c r="AB66" s="1246"/>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2548"/>
      <c r="B67" s="2549" t="s">
        <v>3083</v>
      </c>
      <c r="C67" s="2548"/>
      <c r="H67" s="1103"/>
      <c r="I67" s="1103"/>
      <c r="J67" s="1103"/>
      <c r="K67" s="1103"/>
      <c r="L67" s="1103"/>
      <c r="M67" s="1103">
        <v>-460000000</v>
      </c>
      <c r="N67" s="1103"/>
      <c r="O67" s="1099">
        <v>0</v>
      </c>
      <c r="P67" s="1099">
        <v>0</v>
      </c>
      <c r="Q67" s="1099">
        <v>-1800000000</v>
      </c>
      <c r="R67" s="1241">
        <v>-1845000000</v>
      </c>
      <c r="S67" s="1241">
        <v>-2381000000</v>
      </c>
      <c r="T67" s="1242">
        <v>-1000000000</v>
      </c>
      <c r="U67" s="1242">
        <v>-500000000</v>
      </c>
      <c r="V67" s="1242">
        <v>0</v>
      </c>
      <c r="W67" s="1242">
        <v>100000000</v>
      </c>
      <c r="X67" s="2542">
        <v>250000000</v>
      </c>
      <c r="Y67" s="2542">
        <v>0</v>
      </c>
      <c r="Z67" s="1246"/>
      <c r="AA67" s="1246"/>
      <c r="AB67" s="1246"/>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2548"/>
      <c r="B68" s="2549" t="s">
        <v>3084</v>
      </c>
      <c r="C68" s="2548"/>
      <c r="H68" s="1103"/>
      <c r="I68" s="1103"/>
      <c r="J68" s="1103"/>
      <c r="K68" s="1103"/>
      <c r="L68" s="1103"/>
      <c r="M68" s="1103"/>
      <c r="N68" s="1103"/>
      <c r="O68" s="1099">
        <v>0</v>
      </c>
      <c r="P68" s="1099">
        <v>0</v>
      </c>
      <c r="Q68" s="1099">
        <v>-3366000000</v>
      </c>
      <c r="R68" s="1241">
        <v>-2386000000</v>
      </c>
      <c r="S68" s="1241">
        <v>-1725000000</v>
      </c>
      <c r="T68" s="1242">
        <v>-1160000000</v>
      </c>
      <c r="U68" s="1242">
        <v>-1160000000</v>
      </c>
      <c r="V68" s="1242">
        <v>-1160000000</v>
      </c>
      <c r="W68" s="1242">
        <v>-1160000000</v>
      </c>
      <c r="X68" s="2542">
        <v>-1160000000</v>
      </c>
      <c r="Y68" s="2542">
        <v>-1160000000</v>
      </c>
      <c r="Z68" s="1246"/>
      <c r="AA68" s="1246"/>
      <c r="AB68" s="1246"/>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2548"/>
      <c r="B69" s="2549" t="s">
        <v>3085</v>
      </c>
      <c r="C69" s="2548"/>
      <c r="H69" s="1103"/>
      <c r="I69" s="1103"/>
      <c r="J69" s="1103"/>
      <c r="K69" s="1103"/>
      <c r="L69" s="1103"/>
      <c r="M69" s="1103"/>
      <c r="N69" s="1103"/>
      <c r="O69" s="1099">
        <v>0</v>
      </c>
      <c r="P69" s="1099">
        <v>0</v>
      </c>
      <c r="Q69" s="1099">
        <v>0</v>
      </c>
      <c r="R69" s="1241">
        <v>-1564000000</v>
      </c>
      <c r="S69" s="1241">
        <v>-1203000000</v>
      </c>
      <c r="T69" s="1242">
        <v>-4000000000</v>
      </c>
      <c r="U69" s="1242">
        <v>-3100000000</v>
      </c>
      <c r="V69" s="1242">
        <v>-2300000000</v>
      </c>
      <c r="W69" s="1242">
        <v>-2300000000</v>
      </c>
      <c r="X69" s="2542">
        <v>-1900000000</v>
      </c>
      <c r="Y69" s="2542">
        <v>0</v>
      </c>
      <c r="Z69" s="1246"/>
      <c r="AA69" s="1246"/>
      <c r="AB69" s="1246"/>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2548"/>
      <c r="B70" s="2549" t="s">
        <v>3086</v>
      </c>
      <c r="C70" s="2548"/>
      <c r="H70" s="1103"/>
      <c r="I70" s="1103"/>
      <c r="J70" s="1103"/>
      <c r="K70" s="1103"/>
      <c r="L70" s="1103"/>
      <c r="M70" s="1103"/>
      <c r="N70" s="1103"/>
      <c r="O70" s="1099">
        <v>0</v>
      </c>
      <c r="P70" s="1099">
        <v>0</v>
      </c>
      <c r="Q70" s="1099">
        <v>445000000</v>
      </c>
      <c r="R70" s="1241">
        <v>-63000000</v>
      </c>
      <c r="S70" s="1241">
        <v>1346000000</v>
      </c>
      <c r="T70" s="1242">
        <v>1346000000</v>
      </c>
      <c r="U70" s="1242">
        <v>0</v>
      </c>
      <c r="V70" s="1242">
        <v>0</v>
      </c>
      <c r="W70" s="1242">
        <v>0</v>
      </c>
      <c r="X70" s="2542">
        <v>0</v>
      </c>
      <c r="Y70" s="2542">
        <v>0</v>
      </c>
      <c r="Z70" s="1246"/>
      <c r="AA70" s="1246"/>
      <c r="AB70" s="1246"/>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2548"/>
      <c r="B71" s="2552" t="s">
        <v>3087</v>
      </c>
      <c r="C71" s="2548"/>
      <c r="H71" s="1103"/>
      <c r="I71" s="1103"/>
      <c r="J71" s="1103"/>
      <c r="K71" s="1103"/>
      <c r="L71" s="1103"/>
      <c r="M71" s="1103"/>
      <c r="N71" s="1103"/>
      <c r="O71" s="1099"/>
      <c r="P71" s="1099"/>
      <c r="Q71" s="1099"/>
      <c r="R71" s="1241">
        <v>4058000000</v>
      </c>
      <c r="S71" s="1241">
        <v>-5738000000</v>
      </c>
      <c r="T71" s="1242">
        <v>562000000</v>
      </c>
      <c r="U71" s="1242">
        <v>0</v>
      </c>
      <c r="V71" s="1242">
        <v>0</v>
      </c>
      <c r="W71" s="1242">
        <v>0</v>
      </c>
      <c r="X71" s="2542">
        <v>0</v>
      </c>
      <c r="Y71" s="2542">
        <v>0</v>
      </c>
      <c r="Z71" s="1246"/>
      <c r="AA71" s="1246"/>
      <c r="AB71" s="1246"/>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2548"/>
      <c r="B72" s="2549" t="s">
        <v>3088</v>
      </c>
      <c r="C72" s="2548"/>
      <c r="H72" s="1103"/>
      <c r="I72" s="1103"/>
      <c r="J72" s="1103"/>
      <c r="K72" s="1103"/>
      <c r="L72" s="1103"/>
      <c r="M72" s="1103"/>
      <c r="N72" s="1103"/>
      <c r="O72" s="1099">
        <v>0</v>
      </c>
      <c r="P72" s="1099">
        <v>0</v>
      </c>
      <c r="Q72" s="1099">
        <v>1680000000</v>
      </c>
      <c r="R72" s="1241"/>
      <c r="S72" s="1241"/>
      <c r="T72" s="1242"/>
      <c r="U72" s="1242"/>
      <c r="V72" s="1242"/>
      <c r="W72" s="1242"/>
      <c r="X72" s="2542"/>
      <c r="Y72" s="2542"/>
      <c r="Z72" s="1246"/>
      <c r="AA72" s="1246"/>
      <c r="AB72" s="1246"/>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2548"/>
      <c r="B73" s="2551" t="s">
        <v>3089</v>
      </c>
      <c r="C73" s="2545" t="s">
        <v>124</v>
      </c>
      <c r="H73" s="1099">
        <v>18000000</v>
      </c>
      <c r="I73" s="1099">
        <v>41000000</v>
      </c>
      <c r="J73" s="1099">
        <v>48000000</v>
      </c>
      <c r="K73" s="1099">
        <v>0</v>
      </c>
      <c r="L73" s="1103">
        <v>0</v>
      </c>
      <c r="M73" s="1103">
        <v>0</v>
      </c>
      <c r="N73" s="1103">
        <v>0</v>
      </c>
      <c r="O73" s="1099"/>
      <c r="P73" s="1099"/>
      <c r="Q73" s="1099"/>
      <c r="R73" s="1241"/>
      <c r="S73" s="1241"/>
      <c r="T73" s="1242"/>
      <c r="U73" s="1242"/>
      <c r="V73" s="1242"/>
      <c r="W73" s="1242"/>
      <c r="X73" s="1242"/>
      <c r="Y73" s="1242"/>
    </row>
    <row r="74" spans="1:56">
      <c r="A74" s="2545" t="s">
        <v>1466</v>
      </c>
      <c r="B74" s="2545" t="s">
        <v>1467</v>
      </c>
      <c r="C74" s="2553" t="s">
        <v>119</v>
      </c>
      <c r="H74" s="1103"/>
      <c r="I74" s="1099">
        <v>0</v>
      </c>
      <c r="J74" s="1099">
        <v>0</v>
      </c>
      <c r="K74" s="1099">
        <v>134000000</v>
      </c>
      <c r="L74" s="1099">
        <v>163000000</v>
      </c>
      <c r="M74" s="1099">
        <v>143000000</v>
      </c>
      <c r="N74" s="1103"/>
      <c r="O74" s="1099"/>
      <c r="P74" s="1099"/>
      <c r="Q74" s="1099"/>
      <c r="R74" s="1241"/>
      <c r="S74" s="1241"/>
      <c r="T74" s="1242"/>
      <c r="U74" s="1242"/>
      <c r="V74" s="1242"/>
      <c r="W74" s="1242"/>
      <c r="X74" s="1242"/>
      <c r="Y74" s="1242"/>
    </row>
    <row r="75" spans="1:56">
      <c r="A75" s="2545" t="s">
        <v>3090</v>
      </c>
      <c r="B75" s="2545" t="s">
        <v>3091</v>
      </c>
      <c r="C75" s="2553" t="s">
        <v>119</v>
      </c>
      <c r="H75" s="1103"/>
      <c r="I75" s="1103"/>
      <c r="J75" s="1099">
        <v>0</v>
      </c>
      <c r="K75" s="1099">
        <v>771000000</v>
      </c>
      <c r="L75" s="1099">
        <v>747000000</v>
      </c>
      <c r="M75" s="1103">
        <v>1383000000</v>
      </c>
      <c r="N75" s="1103"/>
      <c r="O75" s="1099"/>
      <c r="P75" s="1099"/>
      <c r="Q75" s="1099"/>
      <c r="R75" s="1241"/>
      <c r="S75" s="1241"/>
      <c r="T75" s="1242"/>
      <c r="U75" s="1242"/>
      <c r="V75" s="1242"/>
      <c r="W75" s="1242"/>
      <c r="X75" s="1242"/>
      <c r="Y75" s="1242"/>
    </row>
    <row r="76" spans="1:56">
      <c r="A76" s="2545"/>
      <c r="B76" s="2545" t="s">
        <v>3092</v>
      </c>
      <c r="C76" s="2553"/>
      <c r="H76" s="1103"/>
      <c r="I76" s="1103"/>
      <c r="J76" s="1099"/>
      <c r="K76" s="1099"/>
      <c r="L76" s="1099"/>
      <c r="M76" s="1103"/>
      <c r="N76" s="1103"/>
      <c r="O76" s="1099"/>
      <c r="P76" s="1099"/>
      <c r="Q76" s="1099"/>
      <c r="R76" s="1241">
        <v>3950700000</v>
      </c>
      <c r="S76" s="1241">
        <v>2928000000</v>
      </c>
      <c r="T76" s="1242">
        <v>5160000000</v>
      </c>
      <c r="U76" s="1242">
        <v>4260000000</v>
      </c>
      <c r="V76" s="1242">
        <v>3460000000</v>
      </c>
      <c r="W76" s="1242">
        <v>3460000000</v>
      </c>
      <c r="X76" s="1242">
        <v>3060000000</v>
      </c>
      <c r="Y76" s="1242">
        <v>1160000000</v>
      </c>
    </row>
    <row r="77" spans="1:56">
      <c r="A77" s="2545"/>
      <c r="B77" s="2545" t="s">
        <v>2606</v>
      </c>
      <c r="C77" s="2553"/>
      <c r="H77" s="1103"/>
      <c r="I77" s="1103"/>
      <c r="J77" s="1099"/>
      <c r="K77" s="1099"/>
      <c r="L77" s="1099"/>
      <c r="M77" s="1103"/>
      <c r="N77" s="1103"/>
      <c r="O77" s="1099"/>
      <c r="P77" s="1099"/>
      <c r="Q77" s="1099"/>
      <c r="R77" s="1241">
        <v>0</v>
      </c>
      <c r="S77" s="1241">
        <v>0</v>
      </c>
      <c r="T77" s="1242">
        <v>0</v>
      </c>
      <c r="U77" s="1242">
        <v>2868000000</v>
      </c>
      <c r="V77" s="1242">
        <v>0</v>
      </c>
      <c r="W77" s="1242">
        <v>0</v>
      </c>
      <c r="X77" s="1242">
        <v>0</v>
      </c>
      <c r="Y77" s="1242">
        <v>0</v>
      </c>
    </row>
    <row r="78" spans="1:56" ht="15" customHeight="1">
      <c r="A78" s="2548"/>
      <c r="B78" s="2548"/>
      <c r="C78" s="2548"/>
    </row>
    <row r="79" spans="1:56">
      <c r="H79" s="1027" t="s">
        <v>139</v>
      </c>
      <c r="I79" s="1027" t="s">
        <v>139</v>
      </c>
      <c r="J79" s="1027" t="s">
        <v>139</v>
      </c>
      <c r="K79" s="1027" t="s">
        <v>139</v>
      </c>
      <c r="L79" s="1027" t="s">
        <v>139</v>
      </c>
      <c r="M79" s="1027" t="s">
        <v>139</v>
      </c>
      <c r="N79" s="1027" t="s">
        <v>139</v>
      </c>
      <c r="O79" s="1027" t="s">
        <v>139</v>
      </c>
      <c r="P79" s="1027" t="s">
        <v>139</v>
      </c>
      <c r="Q79" s="1027" t="s">
        <v>139</v>
      </c>
      <c r="R79" s="1027" t="s">
        <v>139</v>
      </c>
      <c r="S79" s="1040" t="s">
        <v>139</v>
      </c>
      <c r="T79" s="1040" t="s">
        <v>139</v>
      </c>
      <c r="U79" s="1040" t="s">
        <v>139</v>
      </c>
      <c r="V79" s="1040" t="s">
        <v>139</v>
      </c>
      <c r="W79" s="1040" t="s">
        <v>139</v>
      </c>
      <c r="X79" s="1040" t="s">
        <v>139</v>
      </c>
      <c r="Y79" s="1040" t="s">
        <v>139</v>
      </c>
    </row>
    <row r="81" spans="2:25">
      <c r="B81" s="1027" t="s">
        <v>1168</v>
      </c>
      <c r="D81" s="1045"/>
      <c r="E81" s="1045"/>
      <c r="F81" s="1045"/>
      <c r="G81" s="1045"/>
      <c r="H81" s="1045">
        <f t="shared" ref="H81:R81" si="2">H6-H7-H14</f>
        <v>1000000</v>
      </c>
      <c r="I81" s="1045">
        <f t="shared" si="2"/>
        <v>1000000</v>
      </c>
      <c r="J81" s="1045">
        <f t="shared" si="2"/>
        <v>-1000000</v>
      </c>
      <c r="K81" s="1045">
        <f t="shared" si="2"/>
        <v>-1000000</v>
      </c>
      <c r="L81" s="1045">
        <f t="shared" si="2"/>
        <v>0</v>
      </c>
      <c r="M81" s="1045">
        <f t="shared" si="2"/>
        <v>0</v>
      </c>
      <c r="N81" s="1045">
        <f t="shared" si="2"/>
        <v>0</v>
      </c>
      <c r="O81" s="1045">
        <f t="shared" si="2"/>
        <v>0</v>
      </c>
      <c r="P81" s="1045">
        <f t="shared" si="2"/>
        <v>1000000</v>
      </c>
      <c r="Q81" s="1045">
        <f t="shared" si="2"/>
        <v>0</v>
      </c>
      <c r="R81" s="1045">
        <f t="shared" si="2"/>
        <v>0</v>
      </c>
      <c r="S81" s="2543">
        <f t="shared" ref="S81:Y81" si="3">S6-S7-S14</f>
        <v>0</v>
      </c>
      <c r="T81" s="2543">
        <f t="shared" si="3"/>
        <v>0</v>
      </c>
      <c r="U81" s="2543">
        <f t="shared" si="3"/>
        <v>0</v>
      </c>
      <c r="V81" s="2543">
        <f t="shared" si="3"/>
        <v>0</v>
      </c>
      <c r="W81" s="2543">
        <f t="shared" si="3"/>
        <v>0</v>
      </c>
      <c r="X81" s="2543">
        <f t="shared" si="3"/>
        <v>0</v>
      </c>
      <c r="Y81" s="2543">
        <f t="shared" si="3"/>
        <v>0</v>
      </c>
    </row>
    <row r="82" spans="2:25">
      <c r="B82" s="1027" t="s">
        <v>3093</v>
      </c>
      <c r="D82" s="1045"/>
      <c r="E82" s="1045"/>
      <c r="F82" s="1045"/>
      <c r="G82" s="1045"/>
      <c r="H82" s="1045">
        <f t="shared" ref="H82:R82" si="4">H7-H8-H9-H11</f>
        <v>0</v>
      </c>
      <c r="I82" s="1045">
        <f t="shared" si="4"/>
        <v>-1000000</v>
      </c>
      <c r="J82" s="1045">
        <f t="shared" si="4"/>
        <v>0</v>
      </c>
      <c r="K82" s="1045">
        <f t="shared" si="4"/>
        <v>0</v>
      </c>
      <c r="L82" s="1045">
        <f t="shared" si="4"/>
        <v>0</v>
      </c>
      <c r="M82" s="1045">
        <f t="shared" si="4"/>
        <v>-1000000</v>
      </c>
      <c r="N82" s="1045">
        <f t="shared" si="4"/>
        <v>0</v>
      </c>
      <c r="O82" s="1045">
        <f t="shared" si="4"/>
        <v>0</v>
      </c>
      <c r="P82" s="1045">
        <f t="shared" si="4"/>
        <v>-1000000</v>
      </c>
      <c r="Q82" s="1045">
        <f t="shared" si="4"/>
        <v>1000000</v>
      </c>
      <c r="R82" s="1045">
        <f t="shared" si="4"/>
        <v>1000000</v>
      </c>
      <c r="S82" s="2543">
        <f t="shared" ref="S82:Y82" si="5">S7-S8-S9-S11</f>
        <v>0</v>
      </c>
      <c r="T82" s="2543">
        <f t="shared" si="5"/>
        <v>0</v>
      </c>
      <c r="U82" s="2543">
        <f t="shared" si="5"/>
        <v>0</v>
      </c>
      <c r="V82" s="2543">
        <f t="shared" si="5"/>
        <v>0</v>
      </c>
      <c r="W82" s="2543">
        <f t="shared" si="5"/>
        <v>0</v>
      </c>
      <c r="X82" s="2543">
        <f t="shared" si="5"/>
        <v>0</v>
      </c>
      <c r="Y82" s="2543">
        <f t="shared" si="5"/>
        <v>1000000</v>
      </c>
    </row>
    <row r="83" spans="2:25">
      <c r="B83" s="1027" t="s">
        <v>1362</v>
      </c>
      <c r="D83" s="1045"/>
      <c r="E83" s="1045"/>
      <c r="F83" s="1045"/>
      <c r="G83" s="1045"/>
      <c r="H83" s="1045">
        <f t="shared" ref="H83:R83" si="6">H14-H15-H16-H17</f>
        <v>0</v>
      </c>
      <c r="I83" s="1045">
        <f t="shared" si="6"/>
        <v>-1000000</v>
      </c>
      <c r="J83" s="1045">
        <f t="shared" si="6"/>
        <v>0</v>
      </c>
      <c r="K83" s="1045">
        <f t="shared" si="6"/>
        <v>0</v>
      </c>
      <c r="L83" s="1045">
        <f t="shared" si="6"/>
        <v>-1000000</v>
      </c>
      <c r="M83" s="1045">
        <f t="shared" si="6"/>
        <v>1000000</v>
      </c>
      <c r="N83" s="1045">
        <f t="shared" si="6"/>
        <v>0</v>
      </c>
      <c r="O83" s="1045">
        <f t="shared" si="6"/>
        <v>1000000</v>
      </c>
      <c r="P83" s="1045">
        <f t="shared" si="6"/>
        <v>-1000000</v>
      </c>
      <c r="Q83" s="1045">
        <f t="shared" si="6"/>
        <v>0</v>
      </c>
      <c r="R83" s="1045">
        <f t="shared" si="6"/>
        <v>0</v>
      </c>
      <c r="S83" s="2543">
        <f t="shared" ref="S83:Y83" si="7">S14-S15-S16-S17</f>
        <v>0</v>
      </c>
      <c r="T83" s="2543">
        <f t="shared" si="7"/>
        <v>0</v>
      </c>
      <c r="U83" s="2543">
        <f t="shared" si="7"/>
        <v>0</v>
      </c>
      <c r="V83" s="2543">
        <f t="shared" si="7"/>
        <v>0</v>
      </c>
      <c r="W83" s="2543">
        <f t="shared" si="7"/>
        <v>0</v>
      </c>
      <c r="X83" s="2543">
        <f t="shared" si="7"/>
        <v>0</v>
      </c>
      <c r="Y83" s="2543">
        <f t="shared" si="7"/>
        <v>0</v>
      </c>
    </row>
    <row r="84" spans="2:25">
      <c r="B84" s="1027" t="s">
        <v>1207</v>
      </c>
      <c r="D84" s="1045"/>
      <c r="E84" s="1045"/>
      <c r="F84" s="1045"/>
      <c r="G84" s="1045"/>
      <c r="H84" s="1045">
        <f t="shared" ref="H84:R84" si="8">H18-H19-H29</f>
        <v>-1000000</v>
      </c>
      <c r="I84" s="1045">
        <f t="shared" si="8"/>
        <v>1000000</v>
      </c>
      <c r="J84" s="1045">
        <f t="shared" si="8"/>
        <v>0</v>
      </c>
      <c r="K84" s="1045">
        <f t="shared" si="8"/>
        <v>-1000000</v>
      </c>
      <c r="L84" s="1045">
        <f t="shared" si="8"/>
        <v>0</v>
      </c>
      <c r="M84" s="1045">
        <f t="shared" si="8"/>
        <v>0</v>
      </c>
      <c r="N84" s="1045">
        <f t="shared" si="8"/>
        <v>0</v>
      </c>
      <c r="O84" s="1045">
        <f t="shared" si="8"/>
        <v>0</v>
      </c>
      <c r="P84" s="1045">
        <f t="shared" si="8"/>
        <v>0</v>
      </c>
      <c r="Q84" s="1045">
        <f t="shared" si="8"/>
        <v>0</v>
      </c>
      <c r="R84" s="1045">
        <f t="shared" si="8"/>
        <v>0</v>
      </c>
      <c r="S84" s="2543">
        <f t="shared" ref="S84:Y84" si="9">S18-S19-S29</f>
        <v>0</v>
      </c>
      <c r="T84" s="2543">
        <f t="shared" si="9"/>
        <v>0</v>
      </c>
      <c r="U84" s="2543">
        <f t="shared" si="9"/>
        <v>0</v>
      </c>
      <c r="V84" s="2543">
        <f t="shared" si="9"/>
        <v>0</v>
      </c>
      <c r="W84" s="2543">
        <f t="shared" si="9"/>
        <v>0</v>
      </c>
      <c r="X84" s="2543">
        <f t="shared" si="9"/>
        <v>0</v>
      </c>
      <c r="Y84" s="2543">
        <f t="shared" si="9"/>
        <v>0</v>
      </c>
    </row>
    <row r="85" spans="2:25">
      <c r="B85" s="1027" t="s">
        <v>2930</v>
      </c>
      <c r="D85" s="1045"/>
      <c r="E85" s="1045"/>
      <c r="F85" s="1045"/>
      <c r="G85" s="1045"/>
      <c r="H85" s="1045">
        <f t="shared" ref="H85:R85" si="10">H19-H20-H21-H22-H25</f>
        <v>0</v>
      </c>
      <c r="I85" s="1045">
        <f t="shared" si="10"/>
        <v>0</v>
      </c>
      <c r="J85" s="1045">
        <f t="shared" si="10"/>
        <v>0</v>
      </c>
      <c r="K85" s="1045">
        <f t="shared" si="10"/>
        <v>0</v>
      </c>
      <c r="L85" s="1045">
        <f t="shared" si="10"/>
        <v>0</v>
      </c>
      <c r="M85" s="1045">
        <f t="shared" si="10"/>
        <v>-1000000</v>
      </c>
      <c r="N85" s="1045">
        <f t="shared" si="10"/>
        <v>0</v>
      </c>
      <c r="O85" s="1045">
        <f t="shared" si="10"/>
        <v>0</v>
      </c>
      <c r="P85" s="1045">
        <f t="shared" si="10"/>
        <v>1000000</v>
      </c>
      <c r="Q85" s="1045">
        <f t="shared" si="10"/>
        <v>0</v>
      </c>
      <c r="R85" s="1045">
        <f t="shared" si="10"/>
        <v>0</v>
      </c>
      <c r="S85" s="2543">
        <f t="shared" ref="S85:Y85" si="11">S19-S20-S21-S22-S25</f>
        <v>0</v>
      </c>
      <c r="T85" s="2543">
        <f t="shared" si="11"/>
        <v>0</v>
      </c>
      <c r="U85" s="2543">
        <f t="shared" si="11"/>
        <v>-1000000</v>
      </c>
      <c r="V85" s="2543">
        <f t="shared" si="11"/>
        <v>0</v>
      </c>
      <c r="W85" s="2543">
        <f t="shared" si="11"/>
        <v>0</v>
      </c>
      <c r="X85" s="2543">
        <f t="shared" si="11"/>
        <v>1000000</v>
      </c>
      <c r="Y85" s="2543">
        <f t="shared" si="11"/>
        <v>1000000</v>
      </c>
    </row>
    <row r="86" spans="2:25">
      <c r="B86" s="1027" t="s">
        <v>291</v>
      </c>
      <c r="D86" s="1045"/>
      <c r="E86" s="1045"/>
      <c r="F86" s="1045"/>
      <c r="G86" s="1045"/>
      <c r="H86" s="1045">
        <f t="shared" ref="H86:R86" si="12">H22-H23-H24</f>
        <v>0</v>
      </c>
      <c r="I86" s="1406">
        <f t="shared" si="12"/>
        <v>1132000000</v>
      </c>
      <c r="J86" s="1045">
        <f t="shared" si="12"/>
        <v>0</v>
      </c>
      <c r="K86" s="1045">
        <f t="shared" si="12"/>
        <v>0</v>
      </c>
      <c r="L86" s="1045">
        <f t="shared" si="12"/>
        <v>0</v>
      </c>
      <c r="M86" s="1045">
        <f t="shared" si="12"/>
        <v>0</v>
      </c>
      <c r="N86" s="1045">
        <f t="shared" si="12"/>
        <v>-1000000</v>
      </c>
      <c r="O86" s="1045">
        <f t="shared" si="12"/>
        <v>0</v>
      </c>
      <c r="P86" s="1045">
        <f t="shared" si="12"/>
        <v>0</v>
      </c>
      <c r="Q86" s="1045">
        <f t="shared" si="12"/>
        <v>0</v>
      </c>
      <c r="R86" s="1045">
        <f t="shared" si="12"/>
        <v>0</v>
      </c>
      <c r="S86" s="2543">
        <f t="shared" ref="S86:Y86" si="13">S22-S23-S24</f>
        <v>0</v>
      </c>
      <c r="T86" s="2543">
        <f t="shared" si="13"/>
        <v>0</v>
      </c>
      <c r="U86" s="2543">
        <f t="shared" si="13"/>
        <v>0</v>
      </c>
      <c r="V86" s="2543">
        <f t="shared" si="13"/>
        <v>1000000</v>
      </c>
      <c r="W86" s="2543">
        <f t="shared" si="13"/>
        <v>0</v>
      </c>
      <c r="X86" s="2543">
        <f t="shared" si="13"/>
        <v>0</v>
      </c>
      <c r="Y86" s="2543">
        <f t="shared" si="13"/>
        <v>0</v>
      </c>
    </row>
    <row r="87" spans="2:25">
      <c r="B87" s="1027" t="s">
        <v>1961</v>
      </c>
      <c r="D87" s="1045"/>
      <c r="E87" s="1045"/>
      <c r="F87" s="1045"/>
      <c r="G87" s="1045"/>
      <c r="H87" s="1406">
        <f t="shared" ref="H87:R87" si="14">H25-H26-H27-H28</f>
        <v>1261000000</v>
      </c>
      <c r="I87" s="1406">
        <f t="shared" si="14"/>
        <v>5023000000</v>
      </c>
      <c r="J87" s="1406">
        <f t="shared" si="14"/>
        <v>5553000000</v>
      </c>
      <c r="K87" s="1406">
        <f t="shared" si="14"/>
        <v>5330000000</v>
      </c>
      <c r="L87" s="1406">
        <f t="shared" si="14"/>
        <v>5035000000</v>
      </c>
      <c r="M87" s="1406">
        <f t="shared" si="14"/>
        <v>7844000000</v>
      </c>
      <c r="N87" s="1045">
        <f t="shared" si="14"/>
        <v>0</v>
      </c>
      <c r="O87" s="1045">
        <f t="shared" si="14"/>
        <v>0</v>
      </c>
      <c r="P87" s="1045">
        <f t="shared" si="14"/>
        <v>0</v>
      </c>
      <c r="Q87" s="1045">
        <f t="shared" si="14"/>
        <v>0</v>
      </c>
      <c r="R87" s="1045">
        <f t="shared" si="14"/>
        <v>0</v>
      </c>
      <c r="S87" s="2543">
        <f t="shared" ref="S87:Y87" si="15">S25-S26-S27-S28</f>
        <v>0</v>
      </c>
      <c r="T87" s="2543">
        <f t="shared" si="15"/>
        <v>0</v>
      </c>
      <c r="U87" s="2543">
        <f t="shared" si="15"/>
        <v>0</v>
      </c>
      <c r="V87" s="2543">
        <f t="shared" si="15"/>
        <v>0</v>
      </c>
      <c r="W87" s="2543">
        <f t="shared" si="15"/>
        <v>0</v>
      </c>
      <c r="X87" s="2543">
        <f t="shared" si="15"/>
        <v>0</v>
      </c>
      <c r="Y87" s="2543">
        <f t="shared" si="15"/>
        <v>0</v>
      </c>
    </row>
    <row r="88" spans="2:25">
      <c r="B88" s="1027" t="s">
        <v>876</v>
      </c>
      <c r="D88" s="1045"/>
      <c r="E88" s="1045"/>
      <c r="F88" s="1045"/>
      <c r="G88" s="1045"/>
      <c r="H88" s="1045">
        <f t="shared" ref="H88:R88" si="16">H29-H30-H36</f>
        <v>0</v>
      </c>
      <c r="I88" s="1045">
        <f t="shared" si="16"/>
        <v>0</v>
      </c>
      <c r="J88" s="1045">
        <f t="shared" si="16"/>
        <v>0</v>
      </c>
      <c r="K88" s="1045">
        <f t="shared" si="16"/>
        <v>0</v>
      </c>
      <c r="L88" s="1045">
        <f t="shared" si="16"/>
        <v>0</v>
      </c>
      <c r="M88" s="1045">
        <f t="shared" si="16"/>
        <v>1000000</v>
      </c>
      <c r="N88" s="1045">
        <f t="shared" si="16"/>
        <v>0</v>
      </c>
      <c r="O88" s="1045">
        <f t="shared" si="16"/>
        <v>0</v>
      </c>
      <c r="P88" s="1045">
        <f t="shared" si="16"/>
        <v>0</v>
      </c>
      <c r="Q88" s="1045">
        <f t="shared" si="16"/>
        <v>-1000000</v>
      </c>
      <c r="R88" s="1045">
        <f t="shared" si="16"/>
        <v>0</v>
      </c>
      <c r="S88" s="2543">
        <f t="shared" ref="S88:Y88" si="17">S29-S30-S36</f>
        <v>0</v>
      </c>
      <c r="T88" s="2543">
        <f t="shared" si="17"/>
        <v>0</v>
      </c>
      <c r="U88" s="2543">
        <f t="shared" si="17"/>
        <v>-1000000</v>
      </c>
      <c r="V88" s="2543">
        <f t="shared" si="17"/>
        <v>0</v>
      </c>
      <c r="W88" s="2543">
        <f t="shared" si="17"/>
        <v>0</v>
      </c>
      <c r="X88" s="2543">
        <f t="shared" si="17"/>
        <v>0</v>
      </c>
      <c r="Y88" s="2543">
        <f t="shared" si="17"/>
        <v>0</v>
      </c>
    </row>
    <row r="89" spans="2:25">
      <c r="B89" s="1027" t="s">
        <v>3094</v>
      </c>
      <c r="D89" s="1045"/>
      <c r="E89" s="1045"/>
      <c r="F89" s="1045"/>
      <c r="G89" s="1045"/>
      <c r="H89" s="1406">
        <f t="shared" ref="H89:R89" si="18">H30-H31-H35</f>
        <v>3031000000</v>
      </c>
      <c r="I89" s="1406">
        <f t="shared" si="18"/>
        <v>2144000000</v>
      </c>
      <c r="J89" s="1406">
        <f t="shared" si="18"/>
        <v>1940000000</v>
      </c>
      <c r="K89" s="1406">
        <f t="shared" si="18"/>
        <v>3546000000</v>
      </c>
      <c r="L89" s="1045">
        <f t="shared" si="18"/>
        <v>0</v>
      </c>
      <c r="M89" s="1045">
        <f t="shared" si="18"/>
        <v>0</v>
      </c>
      <c r="N89" s="1045">
        <f t="shared" si="18"/>
        <v>0</v>
      </c>
      <c r="O89" s="1045">
        <f t="shared" si="18"/>
        <v>0</v>
      </c>
      <c r="P89" s="1045">
        <f t="shared" si="18"/>
        <v>0</v>
      </c>
      <c r="Q89" s="1045">
        <f t="shared" si="18"/>
        <v>0</v>
      </c>
      <c r="R89" s="1045">
        <f t="shared" si="18"/>
        <v>0</v>
      </c>
      <c r="S89" s="2543">
        <f t="shared" ref="S89:Y89" si="19">S30-S31-S35</f>
        <v>0</v>
      </c>
      <c r="T89" s="2543">
        <f t="shared" si="19"/>
        <v>0</v>
      </c>
      <c r="U89" s="2543">
        <f t="shared" si="19"/>
        <v>0</v>
      </c>
      <c r="V89" s="2543">
        <f t="shared" si="19"/>
        <v>0</v>
      </c>
      <c r="W89" s="2543">
        <f t="shared" si="19"/>
        <v>0</v>
      </c>
      <c r="X89" s="2543">
        <f t="shared" si="19"/>
        <v>0</v>
      </c>
      <c r="Y89" s="2543">
        <f t="shared" si="19"/>
        <v>0</v>
      </c>
    </row>
    <row r="90" spans="2:25">
      <c r="B90" s="1027" t="s">
        <v>457</v>
      </c>
      <c r="D90" s="1045"/>
      <c r="E90" s="1045"/>
      <c r="F90" s="1045"/>
      <c r="G90" s="1045"/>
      <c r="H90" s="1045">
        <f t="shared" ref="H90:R90" si="20">H42-H43-H52-H75-H74</f>
        <v>1000000</v>
      </c>
      <c r="I90" s="1045">
        <f t="shared" si="20"/>
        <v>0</v>
      </c>
      <c r="J90" s="1045">
        <f t="shared" si="20"/>
        <v>0</v>
      </c>
      <c r="K90" s="1045">
        <f t="shared" si="20"/>
        <v>0</v>
      </c>
      <c r="L90" s="1045">
        <f t="shared" si="20"/>
        <v>-1000000</v>
      </c>
      <c r="M90" s="1045">
        <f t="shared" si="20"/>
        <v>0</v>
      </c>
      <c r="N90" s="1045">
        <f t="shared" si="20"/>
        <v>0</v>
      </c>
      <c r="O90" s="1045">
        <f t="shared" si="20"/>
        <v>0</v>
      </c>
      <c r="P90" s="1045">
        <f t="shared" si="20"/>
        <v>-1000000</v>
      </c>
      <c r="Q90" s="1045">
        <f t="shared" si="20"/>
        <v>0</v>
      </c>
      <c r="R90" s="1045">
        <f t="shared" si="20"/>
        <v>0</v>
      </c>
      <c r="S90" s="2543">
        <f t="shared" ref="S90:Y90" si="21">S42-S43-S52-S75-S74</f>
        <v>0</v>
      </c>
      <c r="T90" s="2543">
        <f t="shared" si="21"/>
        <v>0</v>
      </c>
      <c r="U90" s="2543">
        <f t="shared" si="21"/>
        <v>0</v>
      </c>
      <c r="V90" s="2543">
        <f t="shared" si="21"/>
        <v>0</v>
      </c>
      <c r="W90" s="2543">
        <f t="shared" si="21"/>
        <v>0</v>
      </c>
      <c r="X90" s="2543">
        <f t="shared" si="21"/>
        <v>1000000</v>
      </c>
      <c r="Y90" s="2543">
        <f t="shared" si="21"/>
        <v>0</v>
      </c>
    </row>
    <row r="91" spans="2:25">
      <c r="B91" s="1027" t="s">
        <v>297</v>
      </c>
      <c r="D91" s="1045"/>
      <c r="E91" s="1045"/>
      <c r="F91" s="1045"/>
      <c r="G91" s="1045"/>
      <c r="H91" s="1045">
        <f t="shared" ref="H91:R91" si="22">H52-H53-H65-H73</f>
        <v>0</v>
      </c>
      <c r="I91" s="1045">
        <f t="shared" si="22"/>
        <v>0</v>
      </c>
      <c r="J91" s="1045">
        <f t="shared" si="22"/>
        <v>0</v>
      </c>
      <c r="K91" s="1045">
        <f t="shared" si="22"/>
        <v>0</v>
      </c>
      <c r="L91" s="1045">
        <f t="shared" si="22"/>
        <v>0</v>
      </c>
      <c r="M91" s="1045">
        <f t="shared" si="22"/>
        <v>-1000000</v>
      </c>
      <c r="N91" s="1045">
        <f t="shared" si="22"/>
        <v>0</v>
      </c>
      <c r="O91" s="1045">
        <f t="shared" si="22"/>
        <v>0</v>
      </c>
      <c r="P91" s="1045">
        <f t="shared" si="22"/>
        <v>0</v>
      </c>
      <c r="Q91" s="1045">
        <f t="shared" si="22"/>
        <v>0</v>
      </c>
      <c r="R91" s="1045">
        <f t="shared" si="22"/>
        <v>-1000000</v>
      </c>
      <c r="S91" s="2543">
        <f t="shared" ref="S91:Y91" si="23">S52-S53-S65-S73</f>
        <v>0</v>
      </c>
      <c r="T91" s="2543">
        <f t="shared" si="23"/>
        <v>0</v>
      </c>
      <c r="U91" s="2543">
        <f t="shared" si="23"/>
        <v>0</v>
      </c>
      <c r="V91" s="2543">
        <f t="shared" si="23"/>
        <v>0</v>
      </c>
      <c r="W91" s="2543">
        <f t="shared" si="23"/>
        <v>0</v>
      </c>
      <c r="X91" s="2543">
        <f t="shared" si="23"/>
        <v>0</v>
      </c>
      <c r="Y91" s="2543">
        <f t="shared" si="23"/>
        <v>-1000000</v>
      </c>
    </row>
    <row r="92" spans="2:25">
      <c r="B92" s="1027" t="s">
        <v>528</v>
      </c>
      <c r="D92" s="1045"/>
      <c r="E92" s="1045"/>
      <c r="F92" s="1045"/>
      <c r="G92" s="1045"/>
      <c r="H92" s="1045">
        <f t="shared" ref="H92:R92" si="24">H45+H49+H50-H43+H51</f>
        <v>0</v>
      </c>
      <c r="I92" s="1045">
        <f t="shared" si="24"/>
        <v>-1000000</v>
      </c>
      <c r="J92" s="1045">
        <f t="shared" si="24"/>
        <v>0</v>
      </c>
      <c r="K92" s="1045">
        <f t="shared" si="24"/>
        <v>0</v>
      </c>
      <c r="L92" s="1045">
        <f t="shared" si="24"/>
        <v>-1000000</v>
      </c>
      <c r="M92" s="1045">
        <f t="shared" si="24"/>
        <v>0</v>
      </c>
      <c r="N92" s="1045">
        <f t="shared" si="24"/>
        <v>0</v>
      </c>
      <c r="O92" s="1045">
        <f t="shared" si="24"/>
        <v>1000000</v>
      </c>
      <c r="P92" s="1045">
        <f t="shared" si="24"/>
        <v>0</v>
      </c>
      <c r="Q92" s="1045">
        <f t="shared" si="24"/>
        <v>0</v>
      </c>
      <c r="R92" s="1045">
        <f t="shared" si="24"/>
        <v>-1000000</v>
      </c>
      <c r="S92" s="2543">
        <f t="shared" ref="S92:Y92" si="25">S45+S49+S50-S43+S51</f>
        <v>0</v>
      </c>
      <c r="T92" s="2543">
        <f t="shared" si="25"/>
        <v>0</v>
      </c>
      <c r="U92" s="2543">
        <f t="shared" si="25"/>
        <v>0</v>
      </c>
      <c r="V92" s="2543">
        <f t="shared" si="25"/>
        <v>0</v>
      </c>
      <c r="W92" s="2543">
        <f t="shared" si="25"/>
        <v>1000000</v>
      </c>
      <c r="X92" s="2543">
        <f t="shared" si="25"/>
        <v>0</v>
      </c>
      <c r="Y92" s="2543">
        <f t="shared" si="25"/>
        <v>0</v>
      </c>
    </row>
    <row r="93" spans="2:25">
      <c r="B93" s="1027" t="s">
        <v>3095</v>
      </c>
      <c r="H93" s="1120">
        <f t="shared" ref="H93:R93" si="26">H45-H46-H47-H48</f>
        <v>0</v>
      </c>
      <c r="I93" s="1120">
        <f t="shared" si="26"/>
        <v>0</v>
      </c>
      <c r="J93" s="1120">
        <f t="shared" si="26"/>
        <v>0</v>
      </c>
      <c r="K93" s="1120">
        <f t="shared" si="26"/>
        <v>0</v>
      </c>
      <c r="L93" s="1120">
        <f t="shared" si="26"/>
        <v>0</v>
      </c>
      <c r="M93" s="1120">
        <f t="shared" si="26"/>
        <v>0</v>
      </c>
      <c r="N93" s="1120">
        <f t="shared" si="26"/>
        <v>0</v>
      </c>
      <c r="O93" s="1120">
        <f t="shared" si="26"/>
        <v>0</v>
      </c>
      <c r="P93" s="1119">
        <f t="shared" si="26"/>
        <v>1000000</v>
      </c>
      <c r="Q93" s="1119">
        <f t="shared" si="26"/>
        <v>0</v>
      </c>
      <c r="R93" s="1119">
        <f t="shared" si="26"/>
        <v>0</v>
      </c>
      <c r="S93" s="2544">
        <f t="shared" ref="S93:Y93" si="27">S45-S46-S47-S48</f>
        <v>0</v>
      </c>
      <c r="T93" s="2544">
        <f t="shared" si="27"/>
        <v>0</v>
      </c>
      <c r="U93" s="2544">
        <f t="shared" si="27"/>
        <v>0</v>
      </c>
      <c r="V93" s="2544">
        <f t="shared" si="27"/>
        <v>0</v>
      </c>
      <c r="W93" s="2544">
        <f t="shared" si="27"/>
        <v>1000000</v>
      </c>
      <c r="X93" s="2544">
        <f t="shared" si="27"/>
        <v>-1000000</v>
      </c>
      <c r="Y93" s="2544">
        <f t="shared" si="27"/>
        <v>-1000000</v>
      </c>
    </row>
    <row r="96" spans="2:25">
      <c r="B96" s="1027" t="s">
        <v>623</v>
      </c>
      <c r="H96" s="1027">
        <v>140387000000</v>
      </c>
      <c r="I96" s="1027">
        <v>168035000000</v>
      </c>
      <c r="J96" s="1027">
        <v>197138000000</v>
      </c>
      <c r="K96" s="1027">
        <v>220110000000</v>
      </c>
      <c r="L96" s="1027">
        <v>250590000000</v>
      </c>
      <c r="M96" s="1027">
        <v>267880000000</v>
      </c>
      <c r="N96" s="1027">
        <v>266952000000</v>
      </c>
      <c r="O96" s="1027">
        <v>302854000000</v>
      </c>
      <c r="P96" s="1027">
        <v>328061000000</v>
      </c>
      <c r="Q96" s="1027">
        <v>364811000000</v>
      </c>
      <c r="R96" s="1027">
        <v>398346000000</v>
      </c>
      <c r="S96" s="1040">
        <v>437870000000</v>
      </c>
    </row>
    <row r="97" spans="2:19">
      <c r="B97" s="1027" t="s">
        <v>151</v>
      </c>
      <c r="H97" s="1027">
        <f t="shared" ref="H97:S97" si="28">(H6/H96)*100</f>
        <v>10.190402245222135</v>
      </c>
      <c r="I97" s="1027">
        <f t="shared" si="28"/>
        <v>13.125836879221591</v>
      </c>
      <c r="J97" s="1027">
        <f t="shared" si="28"/>
        <v>13.471781188811899</v>
      </c>
      <c r="K97" s="1027">
        <f t="shared" si="28"/>
        <v>15.770750988142293</v>
      </c>
      <c r="L97" s="1027">
        <f t="shared" si="28"/>
        <v>15.124705694560836</v>
      </c>
      <c r="M97" s="1027">
        <f t="shared" si="28"/>
        <v>17.812826638793489</v>
      </c>
      <c r="N97" s="1027">
        <f t="shared" si="28"/>
        <v>23.907668794390002</v>
      </c>
      <c r="O97" s="1027">
        <f t="shared" si="28"/>
        <v>21.898670646582183</v>
      </c>
      <c r="P97" s="1027">
        <f t="shared" si="28"/>
        <v>23.402355049823051</v>
      </c>
      <c r="Q97" s="1027">
        <f t="shared" si="28"/>
        <v>20.792958545657889</v>
      </c>
      <c r="R97" s="1027">
        <f t="shared" si="28"/>
        <v>18.601165820668463</v>
      </c>
      <c r="S97" s="1040">
        <f t="shared" si="28"/>
        <v>18.73295727042273</v>
      </c>
    </row>
    <row r="98" spans="2:19">
      <c r="B98" s="1027" t="s">
        <v>152</v>
      </c>
      <c r="H98" s="1027">
        <f t="shared" ref="H98:S98" si="29">(H18/H96)*100</f>
        <v>11.394217413293253</v>
      </c>
      <c r="I98" s="1027">
        <f t="shared" si="29"/>
        <v>13.753682268574998</v>
      </c>
      <c r="J98" s="1027">
        <f t="shared" si="29"/>
        <v>15.161967758625938</v>
      </c>
      <c r="K98" s="1027">
        <f t="shared" si="29"/>
        <v>15.559492980782336</v>
      </c>
      <c r="L98" s="1027">
        <f t="shared" si="29"/>
        <v>18.228979608124828</v>
      </c>
      <c r="M98" s="1027">
        <f t="shared" si="29"/>
        <v>22.409287740779455</v>
      </c>
      <c r="N98" s="1027">
        <f t="shared" si="29"/>
        <v>21.727501573316552</v>
      </c>
      <c r="O98" s="1027">
        <f t="shared" si="29"/>
        <v>25.541019765299449</v>
      </c>
      <c r="P98" s="1027">
        <f t="shared" si="29"/>
        <v>28.192927534818217</v>
      </c>
      <c r="Q98" s="1027">
        <f t="shared" si="29"/>
        <v>27.928982404587583</v>
      </c>
      <c r="R98" s="1027">
        <f t="shared" si="29"/>
        <v>24.860799405541918</v>
      </c>
      <c r="S98" s="1040">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F6" activePane="bottomRight" state="frozen"/>
      <selection pane="topRight" activeCell="R7" sqref="R7"/>
      <selection pane="bottomLeft" activeCell="R7" sqref="R7"/>
      <selection pane="bottomRight" activeCell="P40" sqref="P40"/>
    </sheetView>
  </sheetViews>
  <sheetFormatPr defaultRowHeight="15.75"/>
  <cols>
    <col min="1" max="1" width="38.42578125" style="972" bestFit="1" customWidth="1"/>
    <col min="2" max="2" width="46.7109375" style="972" bestFit="1" customWidth="1"/>
    <col min="3" max="3" width="23.5703125" style="972" bestFit="1" customWidth="1"/>
    <col min="4" max="12" width="19.7109375" style="972" bestFit="1" customWidth="1"/>
    <col min="13" max="14" width="20.42578125" style="972" bestFit="1" customWidth="1"/>
    <col min="15" max="15" width="24.42578125" style="972" bestFit="1" customWidth="1"/>
    <col min="16" max="16" width="20.42578125" style="972" bestFit="1" customWidth="1"/>
    <col min="17" max="17" width="21.140625" style="972" bestFit="1" customWidth="1"/>
    <col min="18" max="20" width="23.28515625" style="972" bestFit="1" customWidth="1"/>
    <col min="21" max="21" width="22.7109375" style="972" bestFit="1" customWidth="1"/>
    <col min="22" max="22" width="23.28515625" style="972" bestFit="1" customWidth="1"/>
    <col min="23" max="24" width="23.7109375" style="972" bestFit="1" customWidth="1"/>
    <col min="25" max="25" width="23.28515625" style="972" bestFit="1" customWidth="1"/>
    <col min="26" max="26" width="23.7109375" style="972" bestFit="1" customWidth="1"/>
    <col min="27" max="27" width="19.7109375" style="972" bestFit="1" customWidth="1"/>
    <col min="28" max="33" width="8.85546875" style="972"/>
  </cols>
  <sheetData>
    <row r="1" spans="1:53">
      <c r="A1" s="966" t="s">
        <v>3096</v>
      </c>
      <c r="B1" s="1086" t="s">
        <v>3097</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1007"/>
      <c r="AF1" s="1007"/>
      <c r="AG1" s="1007"/>
      <c r="AH1" s="365"/>
      <c r="AI1" s="365"/>
      <c r="AJ1" s="365"/>
      <c r="AK1" s="365"/>
      <c r="AL1" s="365"/>
      <c r="AM1" s="365"/>
      <c r="AN1" s="365"/>
      <c r="AO1" s="365"/>
      <c r="AP1" s="365"/>
      <c r="AQ1" s="365"/>
      <c r="AR1" s="365"/>
      <c r="AS1" s="365"/>
      <c r="AT1" s="365"/>
      <c r="AU1" s="365"/>
      <c r="AV1" s="365"/>
      <c r="AW1" s="365"/>
      <c r="AX1" s="365"/>
      <c r="AY1" s="365"/>
      <c r="AZ1" s="365"/>
      <c r="BA1" s="365"/>
    </row>
    <row r="2" spans="1:53">
      <c r="B2" s="1087" t="s">
        <v>3098</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1007"/>
      <c r="AF2" s="1007"/>
      <c r="AG2" s="1007"/>
      <c r="AH2" s="365"/>
      <c r="AI2" s="365"/>
      <c r="AJ2" s="365"/>
      <c r="AK2" s="365"/>
      <c r="AL2" s="365"/>
      <c r="AM2" s="365"/>
      <c r="AN2" s="365"/>
      <c r="AO2" s="365"/>
      <c r="AP2" s="365"/>
      <c r="AQ2" s="365"/>
      <c r="AR2" s="365"/>
      <c r="AS2" s="365"/>
      <c r="AT2" s="365"/>
      <c r="AU2" s="365"/>
      <c r="AV2" s="365"/>
      <c r="AW2" s="365"/>
      <c r="AX2" s="365"/>
      <c r="AY2" s="365"/>
      <c r="AZ2" s="365"/>
      <c r="BA2" s="365"/>
    </row>
    <row r="3" spans="1:5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1007"/>
      <c r="AB3" s="1007"/>
      <c r="AC3" s="1007"/>
      <c r="AD3" s="1007"/>
      <c r="AE3" s="1007"/>
      <c r="AF3" s="1007"/>
      <c r="AG3" s="1007"/>
      <c r="AH3" s="365"/>
      <c r="AI3" s="365"/>
      <c r="AJ3" s="365"/>
      <c r="AK3" s="365"/>
      <c r="AL3" s="365"/>
      <c r="AM3" s="365"/>
      <c r="AN3" s="365"/>
      <c r="AO3" s="365"/>
      <c r="AP3" s="365"/>
      <c r="AQ3" s="365"/>
      <c r="AR3" s="365"/>
      <c r="AS3" s="365"/>
      <c r="AT3" s="365"/>
      <c r="AU3" s="365"/>
      <c r="AV3" s="365"/>
      <c r="AW3" s="365"/>
      <c r="AX3" s="365"/>
      <c r="AY3" s="365"/>
      <c r="AZ3" s="365"/>
      <c r="BA3" s="365"/>
    </row>
    <row r="4" spans="1:5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1007"/>
      <c r="AB4" s="1007"/>
      <c r="AC4" s="1007"/>
      <c r="AD4" s="1007"/>
      <c r="AE4" s="1007"/>
      <c r="AF4" s="1007"/>
      <c r="AG4" s="1007"/>
      <c r="AH4" s="365"/>
      <c r="AI4" s="365"/>
      <c r="AJ4" s="365"/>
      <c r="AK4" s="365"/>
      <c r="AL4" s="365"/>
      <c r="AM4" s="365"/>
      <c r="AN4" s="365"/>
      <c r="AO4" s="365"/>
      <c r="AP4" s="365"/>
      <c r="AQ4" s="365"/>
      <c r="AR4" s="365"/>
      <c r="AS4" s="365"/>
      <c r="AT4" s="365"/>
      <c r="AU4" s="365"/>
      <c r="AV4" s="365"/>
      <c r="AW4" s="365"/>
      <c r="AX4" s="365"/>
      <c r="AY4" s="365"/>
      <c r="AZ4" s="365"/>
      <c r="BA4" s="365"/>
    </row>
    <row r="5" spans="1:53">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368</v>
      </c>
      <c r="U5" s="969" t="s">
        <v>32</v>
      </c>
      <c r="V5" s="969" t="s">
        <v>32</v>
      </c>
      <c r="W5" s="969" t="s">
        <v>32</v>
      </c>
      <c r="X5" s="969" t="s">
        <v>32</v>
      </c>
      <c r="Y5" s="969" t="s">
        <v>32</v>
      </c>
      <c r="Z5" s="969" t="s">
        <v>32</v>
      </c>
      <c r="AA5" s="1007"/>
      <c r="AB5" s="1007"/>
      <c r="AC5" s="1007"/>
      <c r="AD5" s="1007"/>
      <c r="AE5" s="1007"/>
      <c r="AF5" s="1007"/>
      <c r="AG5" s="1007"/>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012" t="s">
        <v>33</v>
      </c>
      <c r="B6" s="1012" t="s">
        <v>3099</v>
      </c>
      <c r="C6" s="1374" t="s">
        <v>35</v>
      </c>
      <c r="D6" s="1055">
        <f>D7+D21</f>
        <v>20050952000</v>
      </c>
      <c r="E6" s="1055">
        <v>23683200000</v>
      </c>
      <c r="F6" s="1055">
        <v>25058398000</v>
      </c>
      <c r="G6" s="1055">
        <f>G7+G21</f>
        <v>28277964000.000004</v>
      </c>
      <c r="H6" s="1055">
        <f>H7+H21</f>
        <v>33270648000</v>
      </c>
      <c r="I6" s="1055">
        <f>I7+I21</f>
        <v>32155152000</v>
      </c>
      <c r="J6" s="1055">
        <f>J7+J21</f>
        <v>37457355000</v>
      </c>
      <c r="K6" s="1055">
        <v>43303962000.000008</v>
      </c>
      <c r="L6" s="1054">
        <v>52241000000</v>
      </c>
      <c r="M6" s="1054">
        <v>47007000000</v>
      </c>
      <c r="N6" s="1054">
        <v>50494000000</v>
      </c>
      <c r="O6" s="1552">
        <v>57340000000</v>
      </c>
      <c r="P6" s="1055">
        <f>P7+P21</f>
        <v>60823392000</v>
      </c>
      <c r="Q6" s="1055">
        <f>Q7+Q21</f>
        <v>64381499999.999992</v>
      </c>
      <c r="R6" s="1055">
        <f>R7+R21</f>
        <v>128693000000</v>
      </c>
      <c r="S6" s="1055">
        <f t="shared" ref="S6:Z6" si="0">S7+S21</f>
        <v>142733000000</v>
      </c>
      <c r="T6" s="1055">
        <f t="shared" si="0"/>
        <v>160064000000</v>
      </c>
      <c r="U6" s="1055">
        <f t="shared" si="0"/>
        <v>172919000000</v>
      </c>
      <c r="V6" s="1055">
        <f t="shared" si="0"/>
        <v>188547000000</v>
      </c>
      <c r="W6" s="1055">
        <f t="shared" si="0"/>
        <v>203501000000</v>
      </c>
      <c r="X6" s="1055">
        <f t="shared" si="0"/>
        <v>220845000000</v>
      </c>
      <c r="Y6" s="1055">
        <f t="shared" si="0"/>
        <v>238170000000</v>
      </c>
      <c r="Z6" s="1055">
        <f t="shared" si="0"/>
        <v>257882000000</v>
      </c>
      <c r="AA6" s="1066"/>
      <c r="AB6" s="1066"/>
      <c r="AC6" s="1066"/>
      <c r="AD6" s="1066"/>
      <c r="AE6" s="1066"/>
      <c r="AF6" s="1066"/>
      <c r="AG6" s="1066"/>
      <c r="AH6" s="916"/>
      <c r="AI6" s="916"/>
      <c r="AJ6" s="916"/>
      <c r="AK6" s="916"/>
      <c r="AL6" s="916"/>
      <c r="AM6" s="916"/>
      <c r="AN6" s="916"/>
      <c r="AO6" s="916"/>
      <c r="AP6" s="916"/>
      <c r="AQ6" s="916"/>
      <c r="AR6" s="916"/>
      <c r="AS6" s="916"/>
      <c r="AT6" s="916"/>
      <c r="AU6" s="916"/>
      <c r="AV6" s="916"/>
      <c r="AW6" s="916"/>
      <c r="AX6" s="916"/>
      <c r="AY6" s="916"/>
      <c r="AZ6" s="916"/>
      <c r="BA6" s="916"/>
    </row>
    <row r="7" spans="1:53">
      <c r="A7" s="981" t="s">
        <v>159</v>
      </c>
      <c r="B7" s="981" t="s">
        <v>159</v>
      </c>
      <c r="C7" s="982" t="s">
        <v>38</v>
      </c>
      <c r="D7" s="1061">
        <f t="shared" ref="D7:Q7" si="1">D8+D20</f>
        <v>18984412000</v>
      </c>
      <c r="E7" s="1061">
        <f t="shared" si="1"/>
        <v>21551712000</v>
      </c>
      <c r="F7" s="1061">
        <f t="shared" si="1"/>
        <v>23637561000</v>
      </c>
      <c r="G7" s="1061">
        <f t="shared" si="1"/>
        <v>26992602000.000004</v>
      </c>
      <c r="H7" s="1061">
        <f t="shared" si="1"/>
        <v>31655568000</v>
      </c>
      <c r="I7" s="1061">
        <f t="shared" si="1"/>
        <v>30133924000</v>
      </c>
      <c r="J7" s="1061">
        <f t="shared" si="1"/>
        <v>34387080000</v>
      </c>
      <c r="K7" s="1050">
        <f t="shared" si="1"/>
        <v>40510157999.999992</v>
      </c>
      <c r="L7" s="1050">
        <f t="shared" si="1"/>
        <v>46789000000</v>
      </c>
      <c r="M7" s="1050">
        <f t="shared" si="1"/>
        <v>41987000000</v>
      </c>
      <c r="N7" s="1050">
        <f t="shared" si="1"/>
        <v>46416000000</v>
      </c>
      <c r="O7" s="1050">
        <f t="shared" si="1"/>
        <v>54252000000</v>
      </c>
      <c r="P7" s="1061">
        <f t="shared" si="1"/>
        <v>57202952000</v>
      </c>
      <c r="Q7" s="1061">
        <f t="shared" si="1"/>
        <v>61369499999.999992</v>
      </c>
      <c r="R7" s="1061">
        <f>R9+R15+R16</f>
        <v>125466000000</v>
      </c>
      <c r="S7" s="1061">
        <f t="shared" ref="S7:Z7" si="2">S9+S15+S16</f>
        <v>138626000000</v>
      </c>
      <c r="T7" s="1061">
        <f t="shared" si="2"/>
        <v>156304000000</v>
      </c>
      <c r="U7" s="1061">
        <f t="shared" si="2"/>
        <v>169342000000</v>
      </c>
      <c r="V7" s="1061">
        <f t="shared" si="2"/>
        <v>184818000000</v>
      </c>
      <c r="W7" s="1061">
        <f t="shared" si="2"/>
        <v>199191000000</v>
      </c>
      <c r="X7" s="1061">
        <f t="shared" si="2"/>
        <v>216204000000</v>
      </c>
      <c r="Y7" s="1061">
        <f t="shared" si="2"/>
        <v>233171000000</v>
      </c>
      <c r="Z7" s="1061">
        <f t="shared" si="2"/>
        <v>252496000000</v>
      </c>
      <c r="AA7" s="1007"/>
      <c r="AB7" s="1007"/>
      <c r="AC7" s="1007"/>
      <c r="AD7" s="1007"/>
      <c r="AE7" s="1007"/>
      <c r="AF7" s="1007"/>
      <c r="AG7" s="1007"/>
      <c r="AH7" s="365"/>
      <c r="AI7" s="365"/>
      <c r="AJ7" s="365"/>
      <c r="AK7" s="365"/>
      <c r="AL7" s="365"/>
      <c r="AM7" s="365"/>
      <c r="AN7" s="365"/>
      <c r="AO7" s="365"/>
      <c r="AP7" s="365"/>
      <c r="AQ7" s="365"/>
      <c r="AR7" s="365"/>
      <c r="AS7" s="365"/>
      <c r="AT7" s="365"/>
      <c r="AU7" s="365"/>
      <c r="AV7" s="365"/>
      <c r="AW7" s="365"/>
      <c r="AX7" s="365"/>
      <c r="AY7" s="365"/>
      <c r="AZ7" s="365"/>
      <c r="BA7" s="365"/>
    </row>
    <row r="8" spans="1:53">
      <c r="A8" s="981" t="s">
        <v>833</v>
      </c>
      <c r="B8" s="981" t="s">
        <v>2392</v>
      </c>
      <c r="C8" s="981"/>
      <c r="D8" s="1061">
        <f>D9+D17+D18+D19</f>
        <v>18984412000</v>
      </c>
      <c r="E8" s="1050">
        <v>21551712000</v>
      </c>
      <c r="F8" s="1050">
        <v>23637561000</v>
      </c>
      <c r="G8" s="1061">
        <f>G9+G17+G18+G19</f>
        <v>26992602000.000004</v>
      </c>
      <c r="H8" s="1061">
        <f>H9+H17+H18+H19</f>
        <v>31655568000</v>
      </c>
      <c r="I8" s="1061">
        <f>I9+I17+I18+I19</f>
        <v>29950924000</v>
      </c>
      <c r="J8" s="1061">
        <f>J9+J17+J18+J19</f>
        <v>34387080000</v>
      </c>
      <c r="K8" s="1050">
        <v>40510157999.999992</v>
      </c>
      <c r="L8" s="1048">
        <v>46789000000</v>
      </c>
      <c r="M8" s="1048">
        <v>41987000000</v>
      </c>
      <c r="N8" s="1048">
        <v>46416000000</v>
      </c>
      <c r="O8" s="1233">
        <v>54252000000</v>
      </c>
      <c r="P8" s="1061">
        <f>P9+P17+P18+P19</f>
        <v>57202952000</v>
      </c>
      <c r="Q8" s="1048">
        <v>61369499999.999992</v>
      </c>
      <c r="R8" s="1050"/>
      <c r="S8" s="1050"/>
      <c r="T8" s="1050"/>
      <c r="U8" s="1050"/>
      <c r="V8" s="1050"/>
      <c r="W8" s="1050"/>
      <c r="X8" s="969"/>
      <c r="Y8" s="1007"/>
      <c r="Z8" s="1007"/>
      <c r="AA8" s="1007"/>
      <c r="AB8" s="1007"/>
      <c r="AC8" s="1007"/>
      <c r="AD8" s="1007"/>
      <c r="AE8" s="1007"/>
      <c r="AF8" s="1007"/>
      <c r="AG8" s="1007"/>
      <c r="AH8" s="365"/>
      <c r="AI8" s="365"/>
      <c r="AJ8" s="365"/>
      <c r="AK8" s="365"/>
      <c r="AL8" s="365"/>
      <c r="AM8" s="365"/>
      <c r="AN8" s="365"/>
      <c r="AO8" s="365"/>
      <c r="AP8" s="365"/>
      <c r="AQ8" s="365"/>
      <c r="AR8" s="365"/>
      <c r="AS8" s="365"/>
      <c r="AT8" s="365"/>
      <c r="AU8" s="365"/>
      <c r="AV8" s="365"/>
      <c r="AW8" s="365"/>
      <c r="AX8" s="365"/>
      <c r="AY8" s="365"/>
      <c r="AZ8" s="365"/>
      <c r="BA8" s="365"/>
    </row>
    <row r="9" spans="1:53">
      <c r="A9" s="988" t="s">
        <v>39</v>
      </c>
      <c r="B9" s="988" t="s">
        <v>2393</v>
      </c>
      <c r="C9" s="975" t="s">
        <v>41</v>
      </c>
      <c r="D9" s="1050">
        <v>17491256000</v>
      </c>
      <c r="E9" s="1050">
        <v>19183391999.999996</v>
      </c>
      <c r="F9" s="1050">
        <v>20537553000.000004</v>
      </c>
      <c r="G9" s="1050">
        <v>23707788000.000004</v>
      </c>
      <c r="H9" s="1050">
        <v>28263900000</v>
      </c>
      <c r="I9" s="1050">
        <v>26643460000</v>
      </c>
      <c r="J9" s="1050">
        <v>31521489999.999996</v>
      </c>
      <c r="K9" s="1050">
        <v>37716354000</v>
      </c>
      <c r="L9" s="1048">
        <v>42329000000</v>
      </c>
      <c r="M9" s="1048">
        <v>39035000000</v>
      </c>
      <c r="N9" s="1048">
        <v>43172000000</v>
      </c>
      <c r="O9" s="1233">
        <v>50322000000</v>
      </c>
      <c r="P9" s="1048">
        <v>53582512000</v>
      </c>
      <c r="Q9" s="1048">
        <v>56851499999.999992</v>
      </c>
      <c r="R9" s="1048">
        <f>R10+R11+R12+R13+R14</f>
        <v>70979000000</v>
      </c>
      <c r="S9" s="1048">
        <f t="shared" ref="S9:Z9" si="3">S10+S11+S12+S13+S14</f>
        <v>82212000000</v>
      </c>
      <c r="T9" s="1048">
        <f t="shared" si="3"/>
        <v>95970000000</v>
      </c>
      <c r="U9" s="1048">
        <f t="shared" si="3"/>
        <v>103144000000</v>
      </c>
      <c r="V9" s="1048">
        <f t="shared" si="3"/>
        <v>110116000000</v>
      </c>
      <c r="W9" s="1048">
        <f t="shared" si="3"/>
        <v>119621000000</v>
      </c>
      <c r="X9" s="1048">
        <f t="shared" si="3"/>
        <v>129140000000</v>
      </c>
      <c r="Y9" s="1048">
        <f t="shared" si="3"/>
        <v>139413000000</v>
      </c>
      <c r="Z9" s="1048">
        <f t="shared" si="3"/>
        <v>151332000000</v>
      </c>
      <c r="AA9" s="1547"/>
      <c r="AB9" s="1007"/>
      <c r="AC9" s="1007"/>
      <c r="AD9" s="1007"/>
      <c r="AE9" s="1007"/>
      <c r="AF9" s="1007"/>
      <c r="AG9" s="1007"/>
      <c r="AH9" s="365"/>
      <c r="AI9" s="365"/>
      <c r="AJ9" s="365"/>
      <c r="AK9" s="365"/>
      <c r="AL9" s="365"/>
      <c r="AM9" s="365"/>
      <c r="AN9" s="365"/>
      <c r="AO9" s="365"/>
      <c r="AP9" s="365"/>
      <c r="AQ9" s="365"/>
      <c r="AR9" s="365"/>
      <c r="AS9" s="365"/>
      <c r="AT9" s="365"/>
      <c r="AU9" s="365"/>
      <c r="AV9" s="365"/>
      <c r="AW9" s="365"/>
      <c r="AX9" s="365"/>
      <c r="AY9" s="365"/>
      <c r="AZ9" s="365"/>
      <c r="BA9" s="365"/>
    </row>
    <row r="10" spans="1:53">
      <c r="A10" s="2558" t="s">
        <v>3100</v>
      </c>
      <c r="B10" s="2558" t="s">
        <v>3100</v>
      </c>
      <c r="C10" s="2560" t="s">
        <v>44</v>
      </c>
      <c r="D10" s="1050"/>
      <c r="E10" s="1050"/>
      <c r="F10" s="1050"/>
      <c r="G10" s="1050"/>
      <c r="H10" s="1050"/>
      <c r="I10" s="1050"/>
      <c r="J10" s="1050"/>
      <c r="K10" s="1050"/>
      <c r="L10" s="1048"/>
      <c r="M10" s="1048"/>
      <c r="N10" s="1048"/>
      <c r="O10" s="1233"/>
      <c r="P10" s="1048"/>
      <c r="Q10" s="1048"/>
      <c r="R10" s="1076">
        <v>21722000000</v>
      </c>
      <c r="S10" s="1076">
        <v>25324000000</v>
      </c>
      <c r="T10" s="1076">
        <v>29865000000</v>
      </c>
      <c r="U10" s="1076">
        <v>32079000000</v>
      </c>
      <c r="V10" s="1076">
        <v>34385000000</v>
      </c>
      <c r="W10" s="1076">
        <v>37748000000</v>
      </c>
      <c r="X10" s="1076">
        <v>40749000000</v>
      </c>
      <c r="Y10" s="1008">
        <v>43990000000</v>
      </c>
      <c r="Z10" s="1008">
        <v>48278000000</v>
      </c>
      <c r="AA10" s="1547"/>
      <c r="AB10" s="1007"/>
      <c r="AC10" s="1007"/>
      <c r="AD10" s="1007"/>
      <c r="AE10" s="1007"/>
      <c r="AF10" s="1007"/>
      <c r="AG10" s="1007"/>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2558" t="s">
        <v>2664</v>
      </c>
      <c r="B11" s="2558" t="s">
        <v>2664</v>
      </c>
      <c r="C11" s="2560" t="s">
        <v>44</v>
      </c>
      <c r="D11" s="1050"/>
      <c r="E11" s="1050"/>
      <c r="F11" s="1050"/>
      <c r="G11" s="1050"/>
      <c r="H11" s="1050"/>
      <c r="I11" s="1050"/>
      <c r="J11" s="1050"/>
      <c r="K11" s="1050"/>
      <c r="L11" s="1048"/>
      <c r="M11" s="1048"/>
      <c r="N11" s="1048"/>
      <c r="O11" s="1233"/>
      <c r="P11" s="1048"/>
      <c r="Q11" s="1048"/>
      <c r="R11" s="1076">
        <v>275000000</v>
      </c>
      <c r="S11" s="1076">
        <v>298000000</v>
      </c>
      <c r="T11" s="1076">
        <v>330000000</v>
      </c>
      <c r="U11" s="1076">
        <v>364000000</v>
      </c>
      <c r="V11" s="1076">
        <v>391000000</v>
      </c>
      <c r="W11" s="1076">
        <v>422000000</v>
      </c>
      <c r="X11" s="1076">
        <v>456000000</v>
      </c>
      <c r="Y11" s="1008">
        <v>492000000</v>
      </c>
      <c r="Z11" s="1008">
        <v>531000000</v>
      </c>
      <c r="AA11" s="1547"/>
      <c r="AB11" s="1007"/>
      <c r="AC11" s="1007"/>
      <c r="AD11" s="1007"/>
      <c r="AE11" s="1007"/>
      <c r="AF11" s="1007"/>
      <c r="AG11" s="1007"/>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2558" t="s">
        <v>3101</v>
      </c>
      <c r="B12" s="2558" t="s">
        <v>3101</v>
      </c>
      <c r="C12" s="2560" t="s">
        <v>44</v>
      </c>
      <c r="D12" s="1050"/>
      <c r="E12" s="1050"/>
      <c r="F12" s="1050"/>
      <c r="G12" s="1050"/>
      <c r="H12" s="1050"/>
      <c r="I12" s="1050"/>
      <c r="J12" s="1050"/>
      <c r="K12" s="1050"/>
      <c r="L12" s="1048"/>
      <c r="M12" s="1048"/>
      <c r="N12" s="1048"/>
      <c r="O12" s="1233"/>
      <c r="P12" s="1048"/>
      <c r="Q12" s="1048"/>
      <c r="R12" s="1076">
        <v>41781000000</v>
      </c>
      <c r="S12" s="1076">
        <v>48501000000</v>
      </c>
      <c r="T12" s="1076">
        <v>54481000000</v>
      </c>
      <c r="U12" s="1076">
        <v>58630000000</v>
      </c>
      <c r="V12" s="1076">
        <v>63063000000</v>
      </c>
      <c r="W12" s="1076">
        <v>68078000000</v>
      </c>
      <c r="X12" s="1076">
        <v>73491000000</v>
      </c>
      <c r="Y12" s="1008">
        <v>79335000000</v>
      </c>
      <c r="Z12" s="1008">
        <v>85644000000</v>
      </c>
      <c r="AA12" s="1547"/>
      <c r="AB12" s="1007"/>
      <c r="AC12" s="1007"/>
      <c r="AD12" s="1007"/>
      <c r="AE12" s="1007"/>
      <c r="AF12" s="1007"/>
      <c r="AG12" s="1007"/>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2558" t="s">
        <v>3102</v>
      </c>
      <c r="B13" s="2558" t="s">
        <v>3102</v>
      </c>
      <c r="C13" s="2560" t="s">
        <v>44</v>
      </c>
      <c r="D13" s="1050"/>
      <c r="E13" s="1050"/>
      <c r="F13" s="1050"/>
      <c r="G13" s="1050"/>
      <c r="H13" s="1050"/>
      <c r="I13" s="1050"/>
      <c r="J13" s="1050"/>
      <c r="K13" s="1050"/>
      <c r="L13" s="1048"/>
      <c r="M13" s="1048"/>
      <c r="N13" s="1048"/>
      <c r="O13" s="1233"/>
      <c r="P13" s="1048"/>
      <c r="Q13" s="1048"/>
      <c r="R13" s="1076">
        <v>2974000000</v>
      </c>
      <c r="S13" s="1076">
        <v>3541000000</v>
      </c>
      <c r="T13" s="1076">
        <v>3998000000</v>
      </c>
      <c r="U13" s="1076">
        <v>3931000000</v>
      </c>
      <c r="V13" s="1076">
        <v>3783000000</v>
      </c>
      <c r="W13" s="1076">
        <v>4094000000</v>
      </c>
      <c r="X13" s="1076">
        <v>4427000000</v>
      </c>
      <c r="Y13" s="1008">
        <v>4782000000</v>
      </c>
      <c r="Z13" s="1008">
        <v>5162000000</v>
      </c>
      <c r="AA13" s="1547"/>
      <c r="AB13" s="1007"/>
      <c r="AC13" s="1007"/>
      <c r="AD13" s="1007"/>
      <c r="AE13" s="1007"/>
      <c r="AF13" s="1007"/>
      <c r="AG13" s="1007"/>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2558" t="s">
        <v>1772</v>
      </c>
      <c r="B14" s="2558" t="s">
        <v>1772</v>
      </c>
      <c r="C14" s="2560" t="s">
        <v>44</v>
      </c>
      <c r="D14" s="1050"/>
      <c r="E14" s="1050"/>
      <c r="F14" s="1050"/>
      <c r="G14" s="1050"/>
      <c r="H14" s="1050"/>
      <c r="I14" s="1050"/>
      <c r="J14" s="1050"/>
      <c r="K14" s="1050"/>
      <c r="L14" s="1048"/>
      <c r="M14" s="1048"/>
      <c r="N14" s="1048"/>
      <c r="O14" s="1233"/>
      <c r="P14" s="1048"/>
      <c r="Q14" s="1048"/>
      <c r="R14" s="1076">
        <v>4227000000</v>
      </c>
      <c r="S14" s="1076">
        <v>4548000000</v>
      </c>
      <c r="T14" s="1076">
        <v>7296000000</v>
      </c>
      <c r="U14" s="1076">
        <v>8140000000</v>
      </c>
      <c r="V14" s="1076">
        <v>8494000000</v>
      </c>
      <c r="W14" s="1076">
        <v>9279000000</v>
      </c>
      <c r="X14" s="1076">
        <v>10017000000</v>
      </c>
      <c r="Y14" s="1008">
        <v>10814000000</v>
      </c>
      <c r="Z14" s="1008">
        <v>11717000000</v>
      </c>
      <c r="AA14" s="1547"/>
      <c r="AB14" s="1007"/>
      <c r="AC14" s="1007"/>
      <c r="AD14" s="1007"/>
      <c r="AE14" s="1007"/>
      <c r="AF14" s="1007"/>
      <c r="AG14" s="1007"/>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2558" t="s">
        <v>3103</v>
      </c>
      <c r="B15" s="2558" t="s">
        <v>3103</v>
      </c>
      <c r="C15" s="2560" t="s">
        <v>41</v>
      </c>
      <c r="D15" s="1050"/>
      <c r="E15" s="1050"/>
      <c r="F15" s="1050"/>
      <c r="G15" s="1050"/>
      <c r="H15" s="1050"/>
      <c r="I15" s="1050"/>
      <c r="J15" s="1050"/>
      <c r="K15" s="1050"/>
      <c r="L15" s="1048"/>
      <c r="M15" s="1048"/>
      <c r="N15" s="1048"/>
      <c r="O15" s="1233"/>
      <c r="P15" s="1048"/>
      <c r="Q15" s="1048"/>
      <c r="R15" s="1076">
        <v>12467000000</v>
      </c>
      <c r="S15" s="1076">
        <v>13524000000</v>
      </c>
      <c r="T15" s="1076">
        <v>15550000000</v>
      </c>
      <c r="U15" s="1076">
        <v>16154000000</v>
      </c>
      <c r="V15" s="1076">
        <v>17283000000</v>
      </c>
      <c r="W15" s="1076">
        <v>18843000000</v>
      </c>
      <c r="X15" s="1076">
        <v>20545000000</v>
      </c>
      <c r="Y15" s="1008">
        <v>22179000000</v>
      </c>
      <c r="Z15" s="1008">
        <v>23943000000</v>
      </c>
      <c r="AA15" s="1547"/>
      <c r="AB15" s="1007"/>
      <c r="AC15" s="1007"/>
      <c r="AD15" s="1007"/>
      <c r="AE15" s="1007"/>
      <c r="AF15" s="1007"/>
      <c r="AG15" s="1007"/>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2558" t="s">
        <v>3104</v>
      </c>
      <c r="B16" s="2558" t="s">
        <v>3104</v>
      </c>
      <c r="C16" s="2560" t="s">
        <v>41</v>
      </c>
      <c r="D16" s="1050"/>
      <c r="E16" s="1050"/>
      <c r="F16" s="1050"/>
      <c r="G16" s="1050"/>
      <c r="H16" s="1050"/>
      <c r="I16" s="1050"/>
      <c r="J16" s="1050"/>
      <c r="K16" s="1050"/>
      <c r="L16" s="1048"/>
      <c r="M16" s="1048"/>
      <c r="N16" s="1048"/>
      <c r="O16" s="1233"/>
      <c r="P16" s="1048"/>
      <c r="Q16" s="1048"/>
      <c r="R16" s="1076">
        <v>42020000000</v>
      </c>
      <c r="S16" s="1076">
        <v>42890000000</v>
      </c>
      <c r="T16" s="1076">
        <v>44784000000</v>
      </c>
      <c r="U16" s="1076">
        <v>50044000000</v>
      </c>
      <c r="V16" s="1076">
        <v>57419000000</v>
      </c>
      <c r="W16" s="1076">
        <v>60727000000</v>
      </c>
      <c r="X16" s="1076">
        <v>66519000000</v>
      </c>
      <c r="Y16" s="1008">
        <v>71579000000</v>
      </c>
      <c r="Z16" s="1008">
        <v>77221000000</v>
      </c>
      <c r="AA16" s="1547"/>
      <c r="AB16" s="1007"/>
      <c r="AC16" s="1007"/>
      <c r="AD16" s="1007"/>
      <c r="AE16" s="1007"/>
      <c r="AF16" s="1007"/>
      <c r="AG16" s="1007"/>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988" t="s">
        <v>51</v>
      </c>
      <c r="B17" s="988" t="s">
        <v>1378</v>
      </c>
      <c r="C17" s="975" t="s">
        <v>41</v>
      </c>
      <c r="D17" s="1050">
        <v>853232000.00000012</v>
      </c>
      <c r="E17" s="1050">
        <v>1065744000</v>
      </c>
      <c r="F17" s="1050">
        <v>1291670000</v>
      </c>
      <c r="G17" s="1050">
        <v>1428180000.0000002</v>
      </c>
      <c r="H17" s="1050">
        <v>1615080000</v>
      </c>
      <c r="I17" s="1050">
        <v>1837480000</v>
      </c>
      <c r="J17" s="1050">
        <v>2046850000</v>
      </c>
      <c r="K17" s="1050">
        <v>2095353000</v>
      </c>
      <c r="L17" s="1050"/>
      <c r="M17" s="1050"/>
      <c r="N17" s="1050"/>
      <c r="O17" s="1050"/>
      <c r="P17" s="1048">
        <v>3620440000</v>
      </c>
      <c r="Q17" s="1048">
        <v>4518000000</v>
      </c>
      <c r="R17" s="1076"/>
      <c r="S17" s="1076"/>
      <c r="T17" s="1076"/>
      <c r="U17" s="1076"/>
      <c r="V17" s="1076"/>
      <c r="W17" s="1076"/>
      <c r="X17" s="1076"/>
      <c r="Y17" s="1008"/>
      <c r="Z17" s="1008"/>
      <c r="AA17" s="1007"/>
      <c r="AB17" s="1007"/>
      <c r="AC17" s="1007"/>
      <c r="AD17" s="1007"/>
      <c r="AE17" s="1007"/>
      <c r="AF17" s="1007"/>
      <c r="AG17" s="1007"/>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988" t="s">
        <v>389</v>
      </c>
      <c r="B18" s="988" t="s">
        <v>389</v>
      </c>
      <c r="C18" s="975" t="s">
        <v>41</v>
      </c>
      <c r="D18" s="1050">
        <v>639924000</v>
      </c>
      <c r="E18" s="1050">
        <v>1302576000</v>
      </c>
      <c r="F18" s="1050">
        <v>1808338000</v>
      </c>
      <c r="G18" s="1050">
        <v>1856634000.0000002</v>
      </c>
      <c r="H18" s="1050">
        <v>1776588000.0000002</v>
      </c>
      <c r="I18" s="1050">
        <v>1469984000.0000002</v>
      </c>
      <c r="J18" s="1050">
        <v>818740000</v>
      </c>
      <c r="K18" s="1050">
        <v>698451000</v>
      </c>
      <c r="L18" s="1050"/>
      <c r="M18" s="1050"/>
      <c r="N18" s="1050"/>
      <c r="O18" s="1050"/>
      <c r="P18" s="1048"/>
      <c r="Q18" s="1048"/>
      <c r="R18" s="1076"/>
      <c r="S18" s="1076"/>
      <c r="T18" s="1076"/>
      <c r="U18" s="1076"/>
      <c r="V18" s="1076"/>
      <c r="W18" s="1076"/>
      <c r="X18" s="1076"/>
      <c r="Y18" s="1008"/>
      <c r="Z18" s="1008"/>
      <c r="AA18" s="1007"/>
      <c r="AB18" s="1007"/>
      <c r="AC18" s="1007"/>
      <c r="AD18" s="1007"/>
      <c r="AE18" s="1007"/>
      <c r="AF18" s="1007"/>
      <c r="AG18" s="1007"/>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062" t="s">
        <v>3105</v>
      </c>
      <c r="B19" s="1062" t="s">
        <v>3105</v>
      </c>
      <c r="C19" s="975" t="s">
        <v>41</v>
      </c>
      <c r="D19" s="1050"/>
      <c r="E19" s="1050"/>
      <c r="F19" s="1050"/>
      <c r="G19" s="1050"/>
      <c r="H19" s="1050"/>
      <c r="I19" s="1050"/>
      <c r="J19" s="1050"/>
      <c r="K19" s="1050"/>
      <c r="L19" s="1050">
        <f>L8-L9-L17-L18</f>
        <v>4460000000</v>
      </c>
      <c r="M19" s="1050">
        <f>M8-M9-M17-M18</f>
        <v>2952000000</v>
      </c>
      <c r="N19" s="1050">
        <f>N8-N9-N17-N18</f>
        <v>3244000000</v>
      </c>
      <c r="O19" s="1050">
        <f>O8-O9-O17-O18</f>
        <v>3930000000</v>
      </c>
      <c r="P19" s="1048"/>
      <c r="Q19" s="1048"/>
      <c r="R19" s="1076"/>
      <c r="S19" s="1076"/>
      <c r="T19" s="1076"/>
      <c r="U19" s="1076"/>
      <c r="V19" s="1076"/>
      <c r="W19" s="1076"/>
      <c r="X19" s="1076"/>
      <c r="Y19" s="1008"/>
      <c r="Z19" s="1008"/>
      <c r="AA19" s="1007"/>
      <c r="AB19" s="1007"/>
      <c r="AC19" s="1007"/>
      <c r="AD19" s="1007"/>
      <c r="AE19" s="1007"/>
      <c r="AF19" s="1007"/>
      <c r="AG19" s="1007"/>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981" t="s">
        <v>468</v>
      </c>
      <c r="B20" s="981" t="s">
        <v>2399</v>
      </c>
      <c r="C20" s="981" t="s">
        <v>41</v>
      </c>
      <c r="D20" s="1050"/>
      <c r="E20" s="1050"/>
      <c r="F20" s="1050"/>
      <c r="G20" s="1050"/>
      <c r="H20" s="1050"/>
      <c r="I20" s="1050">
        <v>183000000</v>
      </c>
      <c r="J20" s="1050">
        <v>0</v>
      </c>
      <c r="K20" s="1050">
        <v>0</v>
      </c>
      <c r="L20" s="1050"/>
      <c r="M20" s="1050"/>
      <c r="N20" s="1050"/>
      <c r="O20" s="1050"/>
      <c r="P20" s="1048">
        <v>0</v>
      </c>
      <c r="Q20" s="1048">
        <v>0</v>
      </c>
      <c r="R20" s="1076"/>
      <c r="S20" s="1076"/>
      <c r="T20" s="1076"/>
      <c r="U20" s="1076"/>
      <c r="V20" s="1076"/>
      <c r="W20" s="1076"/>
      <c r="X20" s="1076"/>
      <c r="Y20" s="1008"/>
      <c r="Z20" s="1008"/>
      <c r="AA20" s="1007"/>
      <c r="AB20" s="1007"/>
      <c r="AC20" s="1007"/>
      <c r="AD20" s="1007"/>
      <c r="AE20" s="1007"/>
      <c r="AF20" s="1007"/>
      <c r="AG20" s="1007"/>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s="848" customFormat="1">
      <c r="A21" s="1012" t="s">
        <v>53</v>
      </c>
      <c r="B21" s="1012" t="s">
        <v>53</v>
      </c>
      <c r="C21" s="1058" t="s">
        <v>38</v>
      </c>
      <c r="D21" s="1055">
        <v>1066540000</v>
      </c>
      <c r="E21" s="1055">
        <v>2131488000</v>
      </c>
      <c r="F21" s="1055">
        <v>1420837000.0000002</v>
      </c>
      <c r="G21" s="1055">
        <v>1285362000.0000002</v>
      </c>
      <c r="H21" s="1055">
        <v>1615080000</v>
      </c>
      <c r="I21" s="1055">
        <v>2021228000.0000002</v>
      </c>
      <c r="J21" s="1055">
        <v>3070274999.9999995</v>
      </c>
      <c r="K21" s="1055">
        <v>2793804000</v>
      </c>
      <c r="L21" s="1054">
        <v>5452000000</v>
      </c>
      <c r="M21" s="1054">
        <v>5020000000</v>
      </c>
      <c r="N21" s="1054">
        <v>4078000000</v>
      </c>
      <c r="O21" s="1054">
        <v>3088000000</v>
      </c>
      <c r="P21" s="1054">
        <v>3620440000</v>
      </c>
      <c r="Q21" s="1054">
        <v>3012000000</v>
      </c>
      <c r="R21" s="1085">
        <v>3227000000</v>
      </c>
      <c r="S21" s="1085">
        <v>4107000000</v>
      </c>
      <c r="T21" s="1085">
        <v>3760000000</v>
      </c>
      <c r="U21" s="1085">
        <v>3577000000</v>
      </c>
      <c r="V21" s="1085">
        <v>3729000000</v>
      </c>
      <c r="W21" s="1085">
        <v>4310000000</v>
      </c>
      <c r="X21" s="1069">
        <v>4641000000</v>
      </c>
      <c r="Y21" s="1018">
        <v>4999000000</v>
      </c>
      <c r="Z21" s="1018">
        <v>5386000000</v>
      </c>
      <c r="AA21" s="1066"/>
      <c r="AB21" s="1066"/>
      <c r="AC21" s="1066"/>
      <c r="AD21" s="1066"/>
      <c r="AE21" s="1066"/>
      <c r="AF21" s="1066"/>
      <c r="AG21" s="1066"/>
      <c r="AH21" s="916"/>
      <c r="AI21" s="916"/>
      <c r="AJ21" s="916"/>
      <c r="AK21" s="916"/>
      <c r="AL21" s="916"/>
      <c r="AM21" s="916"/>
      <c r="AN21" s="916"/>
      <c r="AO21" s="916"/>
      <c r="AP21" s="916"/>
      <c r="AQ21" s="916"/>
      <c r="AR21" s="916"/>
      <c r="AS21" s="916"/>
      <c r="AT21" s="916"/>
      <c r="AU21" s="916"/>
      <c r="AV21" s="916"/>
      <c r="AW21" s="916"/>
      <c r="AX21" s="916"/>
      <c r="AY21" s="916"/>
      <c r="AZ21" s="916"/>
      <c r="BA21" s="916"/>
    </row>
    <row r="22" spans="1:53">
      <c r="A22" s="972" t="s">
        <v>76</v>
      </c>
      <c r="B22" s="981" t="s">
        <v>3106</v>
      </c>
      <c r="C22" s="975"/>
      <c r="D22" s="1050"/>
      <c r="E22" s="1050"/>
      <c r="F22" s="1050"/>
      <c r="G22" s="1050"/>
      <c r="H22" s="1050"/>
      <c r="I22" s="1077">
        <v>0</v>
      </c>
      <c r="J22" s="1077">
        <v>818740000</v>
      </c>
      <c r="K22" s="1077">
        <v>232817000</v>
      </c>
      <c r="L22" s="1048"/>
      <c r="M22" s="1048"/>
      <c r="N22" s="1048"/>
      <c r="O22" s="1048"/>
      <c r="P22" s="1048"/>
      <c r="Q22" s="1048"/>
      <c r="R22" s="1076"/>
      <c r="S22" s="1076"/>
      <c r="T22" s="1076"/>
      <c r="U22" s="1076"/>
      <c r="V22" s="1076"/>
      <c r="W22" s="1076"/>
      <c r="X22" s="1076"/>
      <c r="Y22" s="1008"/>
      <c r="Z22" s="1008"/>
      <c r="AA22" s="1007"/>
      <c r="AB22" s="1007"/>
      <c r="AC22" s="1007"/>
      <c r="AD22" s="1007"/>
      <c r="AE22" s="1007"/>
      <c r="AF22" s="1007"/>
      <c r="AG22" s="1007"/>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s="848" customFormat="1">
      <c r="A23" s="1013" t="s">
        <v>76</v>
      </c>
      <c r="B23" s="1012" t="s">
        <v>3107</v>
      </c>
      <c r="C23" s="1374"/>
      <c r="D23" s="1055">
        <v>26023576000</v>
      </c>
      <c r="E23" s="1055">
        <v>30906575999.999996</v>
      </c>
      <c r="F23" s="1055">
        <v>31904249000</v>
      </c>
      <c r="G23" s="1055">
        <v>36275772000</v>
      </c>
      <c r="H23" s="1055">
        <v>39084936000</v>
      </c>
      <c r="I23" s="1084">
        <v>36565852000</v>
      </c>
      <c r="J23" s="1084">
        <v>39504205000</v>
      </c>
      <c r="K23" s="1084">
        <v>48193119000</v>
      </c>
      <c r="L23" s="1054">
        <v>58683000000</v>
      </c>
      <c r="M23" s="1054">
        <v>63669000000</v>
      </c>
      <c r="N23" s="1054">
        <v>64466000000</v>
      </c>
      <c r="O23" s="1054">
        <v>68068000000</v>
      </c>
      <c r="P23" s="1054">
        <v>82183988000</v>
      </c>
      <c r="Q23" s="1054">
        <v>93748500000</v>
      </c>
      <c r="R23" s="1085"/>
      <c r="S23" s="1085"/>
      <c r="T23" s="1085"/>
      <c r="U23" s="1085"/>
      <c r="V23" s="1085"/>
      <c r="W23" s="1085"/>
      <c r="X23" s="1085"/>
      <c r="Y23" s="1085"/>
      <c r="Z23" s="1085"/>
      <c r="AA23" s="1066"/>
      <c r="AB23" s="1066"/>
      <c r="AC23" s="1066"/>
      <c r="AD23" s="1066"/>
      <c r="AE23" s="1066"/>
      <c r="AF23" s="1066"/>
      <c r="AG23" s="1066"/>
      <c r="AH23" s="916"/>
      <c r="AI23" s="916"/>
      <c r="AJ23" s="916"/>
      <c r="AK23" s="916"/>
      <c r="AL23" s="916"/>
      <c r="AM23" s="916"/>
      <c r="AN23" s="916"/>
      <c r="AO23" s="916"/>
      <c r="AP23" s="916"/>
      <c r="AQ23" s="916"/>
      <c r="AR23" s="916"/>
      <c r="AS23" s="916"/>
      <c r="AT23" s="916"/>
      <c r="AU23" s="916"/>
      <c r="AV23" s="916"/>
      <c r="AW23" s="916"/>
      <c r="AX23" s="916"/>
      <c r="AY23" s="916"/>
      <c r="AZ23" s="916"/>
      <c r="BA23" s="916"/>
    </row>
    <row r="24" spans="1:53" s="848" customFormat="1">
      <c r="A24" s="1012" t="s">
        <v>198</v>
      </c>
      <c r="B24" s="1012" t="s">
        <v>3107</v>
      </c>
      <c r="C24" s="1374" t="s">
        <v>35</v>
      </c>
      <c r="D24" s="1055">
        <f t="shared" ref="D24:Z24" si="4">D25+D39+D43</f>
        <v>25916922000.000004</v>
      </c>
      <c r="E24" s="1055">
        <f t="shared" si="4"/>
        <v>30788160000</v>
      </c>
      <c r="F24" s="1055">
        <f t="shared" si="4"/>
        <v>31904249000.000004</v>
      </c>
      <c r="G24" s="1055">
        <f t="shared" si="4"/>
        <v>36275772000.000008</v>
      </c>
      <c r="H24" s="1055">
        <f t="shared" si="4"/>
        <v>38923428000</v>
      </c>
      <c r="I24" s="1055">
        <f>I25+I39+I43</f>
        <v>36749600000</v>
      </c>
      <c r="J24" s="1055">
        <f>J25+J39+J43</f>
        <v>39913575000</v>
      </c>
      <c r="K24" s="1055">
        <f t="shared" si="4"/>
        <v>48425936000</v>
      </c>
      <c r="L24" s="1055">
        <f>L25+L39+L43</f>
        <v>58861000000</v>
      </c>
      <c r="M24" s="1055">
        <f>M25+M39+M43</f>
        <v>65496000000</v>
      </c>
      <c r="N24" s="1055">
        <f>N25+N39+N43</f>
        <v>64853000000</v>
      </c>
      <c r="O24" s="1055">
        <f t="shared" si="4"/>
        <v>68068000000</v>
      </c>
      <c r="P24" s="1055">
        <f t="shared" si="4"/>
        <v>81821944000</v>
      </c>
      <c r="Q24" s="1055">
        <f>Q25+Q39+Q43</f>
        <v>94125000000</v>
      </c>
      <c r="R24" s="1023">
        <f t="shared" si="4"/>
        <v>144766000000</v>
      </c>
      <c r="S24" s="1023">
        <f t="shared" si="4"/>
        <v>147085000000</v>
      </c>
      <c r="T24" s="1023">
        <f t="shared" si="4"/>
        <v>162726000000</v>
      </c>
      <c r="U24" s="1023">
        <f t="shared" si="4"/>
        <v>179598000000</v>
      </c>
      <c r="V24" s="1023">
        <f t="shared" si="4"/>
        <v>195746000000</v>
      </c>
      <c r="W24" s="1023">
        <f t="shared" si="4"/>
        <v>209916000000</v>
      </c>
      <c r="X24" s="1023">
        <f t="shared" si="4"/>
        <v>227508000000</v>
      </c>
      <c r="Y24" s="1023">
        <f t="shared" si="4"/>
        <v>244936000000</v>
      </c>
      <c r="Z24" s="1023">
        <f t="shared" si="4"/>
        <v>264869000000</v>
      </c>
      <c r="AA24" s="1066"/>
      <c r="AB24" s="1066"/>
      <c r="AC24" s="1066"/>
      <c r="AD24" s="1066"/>
      <c r="AE24" s="1066"/>
      <c r="AF24" s="1066"/>
      <c r="AG24" s="1066"/>
      <c r="AH24" s="916"/>
      <c r="AI24" s="916"/>
      <c r="AJ24" s="916"/>
      <c r="AK24" s="916"/>
      <c r="AL24" s="916"/>
      <c r="AM24" s="916"/>
      <c r="AN24" s="916"/>
      <c r="AO24" s="916"/>
      <c r="AP24" s="916"/>
      <c r="AQ24" s="916"/>
      <c r="AR24" s="916"/>
      <c r="AS24" s="916"/>
      <c r="AT24" s="916"/>
      <c r="AU24" s="916"/>
      <c r="AV24" s="916"/>
      <c r="AW24" s="916"/>
      <c r="AX24" s="916"/>
      <c r="AY24" s="916"/>
      <c r="AZ24" s="916"/>
      <c r="BA24" s="916"/>
    </row>
    <row r="25" spans="1:53">
      <c r="A25" s="981" t="s">
        <v>1807</v>
      </c>
      <c r="B25" s="981" t="s">
        <v>1431</v>
      </c>
      <c r="C25" s="981" t="s">
        <v>201</v>
      </c>
      <c r="D25" s="1061">
        <f>D26+D27+D28+D34</f>
        <v>18451142000.000004</v>
      </c>
      <c r="E25" s="1050">
        <f>E26+E27+E28+E34+E37</f>
        <v>22143792000</v>
      </c>
      <c r="F25" s="1050">
        <v>24283396000.000004</v>
      </c>
      <c r="G25" s="1050">
        <v>28420782000.000004</v>
      </c>
      <c r="H25" s="1050">
        <v>29555964000.000004</v>
      </c>
      <c r="I25" s="1077">
        <v>28664688000</v>
      </c>
      <c r="J25" s="1077">
        <v>32954285000.000004</v>
      </c>
      <c r="K25" s="1237">
        <f>K26+K27+K28+K34+K37</f>
        <v>39578890000</v>
      </c>
      <c r="L25" s="1048">
        <v>45982000000</v>
      </c>
      <c r="M25" s="1048">
        <v>51351000000</v>
      </c>
      <c r="N25" s="1048">
        <v>53668000000</v>
      </c>
      <c r="O25" s="1048">
        <v>54633000000</v>
      </c>
      <c r="P25" s="1237">
        <f>P26+P27+P28+P34+P37</f>
        <v>65892007999.999992</v>
      </c>
      <c r="Q25" s="1237">
        <f>Q26+Q27+Q28+Q34+Q37</f>
        <v>74547000000</v>
      </c>
      <c r="R25" s="1237">
        <f>R26+R27+R28+R34+R37</f>
        <v>129184000000</v>
      </c>
      <c r="S25" s="1237">
        <f t="shared" ref="S25:Z25" si="5">S26+S27+S28+S34+S37</f>
        <v>129480000000</v>
      </c>
      <c r="T25" s="1237">
        <f t="shared" si="5"/>
        <v>146697000000</v>
      </c>
      <c r="U25" s="1237">
        <f t="shared" si="5"/>
        <v>154630000000</v>
      </c>
      <c r="V25" s="1237">
        <f t="shared" si="5"/>
        <v>165874000000</v>
      </c>
      <c r="W25" s="1237">
        <f t="shared" si="5"/>
        <v>177203000000</v>
      </c>
      <c r="X25" s="1237">
        <f t="shared" si="5"/>
        <v>190304000000</v>
      </c>
      <c r="Y25" s="1237">
        <f t="shared" si="5"/>
        <v>203768000000</v>
      </c>
      <c r="Z25" s="1237">
        <f t="shared" si="5"/>
        <v>218281000000</v>
      </c>
      <c r="AA25" s="1007"/>
      <c r="AB25" s="1007"/>
      <c r="AC25" s="1007"/>
      <c r="AD25" s="1007"/>
      <c r="AE25" s="1007"/>
      <c r="AF25" s="1007"/>
      <c r="AG25" s="1007"/>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988" t="s">
        <v>79</v>
      </c>
      <c r="B26" s="988" t="s">
        <v>1432</v>
      </c>
      <c r="C26" s="981" t="s">
        <v>204</v>
      </c>
      <c r="D26" s="1050">
        <v>9492206000.0000019</v>
      </c>
      <c r="E26" s="1050">
        <v>11960015999.999998</v>
      </c>
      <c r="F26" s="1050">
        <v>13820869000</v>
      </c>
      <c r="G26" s="1050">
        <v>15424344000.000004</v>
      </c>
      <c r="H26" s="1050">
        <v>16796832000.000002</v>
      </c>
      <c r="I26" s="1077">
        <v>15067336000</v>
      </c>
      <c r="J26" s="1077">
        <v>16988855000</v>
      </c>
      <c r="K26" s="1077">
        <v>21419164000</v>
      </c>
      <c r="L26" s="1048">
        <v>24511000000</v>
      </c>
      <c r="M26" s="1048">
        <v>29938000000</v>
      </c>
      <c r="N26" s="1048">
        <v>31908000000</v>
      </c>
      <c r="O26" s="1048">
        <v>32235000000</v>
      </c>
      <c r="P26" s="1048">
        <v>34756223999.999992</v>
      </c>
      <c r="Q26" s="1048">
        <v>36897000000.000008</v>
      </c>
      <c r="R26" s="1076">
        <v>52618000000</v>
      </c>
      <c r="S26" s="1076">
        <v>53720000000</v>
      </c>
      <c r="T26" s="1076">
        <v>56029000000</v>
      </c>
      <c r="U26" s="1076">
        <v>61644000000</v>
      </c>
      <c r="V26" s="1076">
        <v>66729000000</v>
      </c>
      <c r="W26" s="1076">
        <v>71930000000</v>
      </c>
      <c r="X26" s="1010">
        <v>77727000000</v>
      </c>
      <c r="Y26" s="1008">
        <v>84002000000</v>
      </c>
      <c r="Z26" s="1008">
        <v>90899000000</v>
      </c>
      <c r="AA26" s="1007"/>
      <c r="AB26" s="1007"/>
      <c r="AC26" s="1007"/>
      <c r="AD26" s="1007"/>
      <c r="AE26" s="1007"/>
      <c r="AF26" s="1007"/>
      <c r="AG26" s="1007"/>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988" t="s">
        <v>83</v>
      </c>
      <c r="B27" s="988" t="s">
        <v>1433</v>
      </c>
      <c r="C27" s="981" t="s">
        <v>204</v>
      </c>
      <c r="D27" s="1050">
        <v>2879658000.0000005</v>
      </c>
      <c r="E27" s="1050">
        <v>3315647999.9999995</v>
      </c>
      <c r="F27" s="1050">
        <v>3100008000.0000005</v>
      </c>
      <c r="G27" s="1050">
        <v>3570450000.0000005</v>
      </c>
      <c r="H27" s="1050">
        <v>3876192000</v>
      </c>
      <c r="I27" s="1077">
        <v>4409952000</v>
      </c>
      <c r="J27" s="1077">
        <v>5321809999.999999</v>
      </c>
      <c r="K27" s="1077">
        <v>6518876000</v>
      </c>
      <c r="L27" s="1048">
        <v>6885000000</v>
      </c>
      <c r="M27" s="1048">
        <v>8235000000</v>
      </c>
      <c r="N27" s="1048">
        <v>7408000000</v>
      </c>
      <c r="O27" s="1048">
        <v>7702000000</v>
      </c>
      <c r="P27" s="1048">
        <v>9775188000</v>
      </c>
      <c r="Q27" s="1048">
        <v>11295000000</v>
      </c>
      <c r="R27" s="1076">
        <v>38986000000</v>
      </c>
      <c r="S27" s="1076">
        <v>37326000000</v>
      </c>
      <c r="T27" s="1076">
        <v>40272000000</v>
      </c>
      <c r="U27" s="1076">
        <v>45622000000</v>
      </c>
      <c r="V27" s="1076">
        <v>47186000000</v>
      </c>
      <c r="W27" s="1076">
        <v>51552000000</v>
      </c>
      <c r="X27" s="1076">
        <v>55935000000</v>
      </c>
      <c r="Y27" s="1008">
        <v>59304000000</v>
      </c>
      <c r="Z27" s="1008">
        <v>62989000000</v>
      </c>
      <c r="AA27" s="1007"/>
      <c r="AB27" s="1007"/>
      <c r="AC27" s="1007"/>
      <c r="AD27" s="1007"/>
      <c r="AE27" s="1007"/>
      <c r="AF27" s="1007"/>
      <c r="AG27" s="1007"/>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988" t="s">
        <v>389</v>
      </c>
      <c r="B28" s="988" t="s">
        <v>389</v>
      </c>
      <c r="C28" s="981" t="s">
        <v>204</v>
      </c>
      <c r="D28" s="1050">
        <v>3412928000.0000005</v>
      </c>
      <c r="E28" s="1050">
        <v>4262976000</v>
      </c>
      <c r="F28" s="1050">
        <v>4908346000</v>
      </c>
      <c r="G28" s="1050">
        <v>6569628000.000001</v>
      </c>
      <c r="H28" s="1050">
        <v>5814288000</v>
      </c>
      <c r="I28" s="1077">
        <v>6798676000</v>
      </c>
      <c r="J28" s="1077">
        <v>7368660000</v>
      </c>
      <c r="K28" s="1077">
        <v>8847046000</v>
      </c>
      <c r="L28" s="1048">
        <v>12974000000</v>
      </c>
      <c r="M28" s="1048">
        <v>11169000000</v>
      </c>
      <c r="N28" s="1048">
        <v>9578000000</v>
      </c>
      <c r="O28" s="1048">
        <v>8712000000</v>
      </c>
      <c r="P28" s="1048">
        <v>15567891999.999998</v>
      </c>
      <c r="Q28" s="1048">
        <v>16566000000.000002</v>
      </c>
      <c r="R28" s="1009">
        <f>R30+R29</f>
        <v>14861000000</v>
      </c>
      <c r="S28" s="1009">
        <f t="shared" ref="S28:Z28" si="6">S30+S29</f>
        <v>14908000000</v>
      </c>
      <c r="T28" s="1009">
        <f t="shared" si="6"/>
        <v>17793000000</v>
      </c>
      <c r="U28" s="1009">
        <f t="shared" si="6"/>
        <v>18635000000</v>
      </c>
      <c r="V28" s="1009">
        <f t="shared" si="6"/>
        <v>19495000000</v>
      </c>
      <c r="W28" s="1009">
        <f t="shared" si="6"/>
        <v>20980000000</v>
      </c>
      <c r="X28" s="1009">
        <f t="shared" si="6"/>
        <v>22649000000</v>
      </c>
      <c r="Y28" s="1009">
        <f t="shared" si="6"/>
        <v>24450000000</v>
      </c>
      <c r="Z28" s="1009">
        <f t="shared" si="6"/>
        <v>26394000000</v>
      </c>
      <c r="AA28" s="1007"/>
      <c r="AB28" s="1007"/>
      <c r="AC28" s="1007"/>
      <c r="AD28" s="1007"/>
      <c r="AE28" s="1007"/>
      <c r="AF28" s="1007"/>
      <c r="AG28" s="1007"/>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c r="A29" s="2558" t="s">
        <v>215</v>
      </c>
      <c r="B29" s="2558" t="s">
        <v>215</v>
      </c>
      <c r="C29" s="2560" t="s">
        <v>486</v>
      </c>
      <c r="D29" s="1050"/>
      <c r="E29" s="1050"/>
      <c r="F29" s="1050"/>
      <c r="G29" s="1050"/>
      <c r="H29" s="1050"/>
      <c r="I29" s="1077"/>
      <c r="J29" s="1077"/>
      <c r="K29" s="1077"/>
      <c r="L29" s="1048"/>
      <c r="M29" s="1048"/>
      <c r="N29" s="1048"/>
      <c r="O29" s="1048"/>
      <c r="P29" s="1048"/>
      <c r="Q29" s="1048"/>
      <c r="R29" s="1076">
        <v>51000000</v>
      </c>
      <c r="S29" s="1076">
        <v>69000000</v>
      </c>
      <c r="T29" s="1076">
        <v>152000000</v>
      </c>
      <c r="U29" s="1076">
        <v>57000000</v>
      </c>
      <c r="V29" s="1076">
        <v>60000000</v>
      </c>
      <c r="W29" s="1076">
        <v>0</v>
      </c>
      <c r="X29" s="1010">
        <v>0</v>
      </c>
      <c r="Y29" s="1008">
        <v>0</v>
      </c>
      <c r="Z29" s="1008">
        <v>0</v>
      </c>
      <c r="AA29" s="1007"/>
      <c r="AB29" s="1007"/>
      <c r="AC29" s="1007"/>
      <c r="AD29" s="1007"/>
      <c r="AE29" s="1007"/>
      <c r="AF29" s="1007"/>
      <c r="AG29" s="1007"/>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c r="A30" s="2558" t="s">
        <v>3108</v>
      </c>
      <c r="B30" s="2558" t="s">
        <v>3108</v>
      </c>
      <c r="C30" s="2560" t="s">
        <v>486</v>
      </c>
      <c r="D30" s="1050"/>
      <c r="E30" s="1050"/>
      <c r="F30" s="1050"/>
      <c r="G30" s="1050"/>
      <c r="H30" s="1050"/>
      <c r="I30" s="1077"/>
      <c r="J30" s="1077"/>
      <c r="K30" s="1077"/>
      <c r="L30" s="1048"/>
      <c r="M30" s="1048"/>
      <c r="N30" s="1048"/>
      <c r="O30" s="1048"/>
      <c r="P30" s="1048"/>
      <c r="Q30" s="1048"/>
      <c r="R30" s="1076">
        <v>14810000000</v>
      </c>
      <c r="S30" s="1076">
        <v>14839000000</v>
      </c>
      <c r="T30" s="1076">
        <v>17641000000</v>
      </c>
      <c r="U30" s="1076">
        <v>18578000000</v>
      </c>
      <c r="V30" s="1076">
        <v>19435000000</v>
      </c>
      <c r="W30" s="1076">
        <v>20980000000</v>
      </c>
      <c r="X30" s="1010">
        <v>22649000000</v>
      </c>
      <c r="Y30" s="1008">
        <v>24450000000</v>
      </c>
      <c r="Z30" s="1008">
        <v>26394000000</v>
      </c>
      <c r="AA30" s="1007"/>
      <c r="AB30" s="1007"/>
      <c r="AC30" s="1007"/>
      <c r="AD30" s="1007"/>
      <c r="AE30" s="1007"/>
      <c r="AF30" s="1007"/>
      <c r="AG30" s="1007"/>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997"/>
      <c r="B31" s="997" t="s">
        <v>3109</v>
      </c>
      <c r="C31" s="975"/>
      <c r="D31" s="1050"/>
      <c r="E31" s="1050"/>
      <c r="F31" s="1050"/>
      <c r="G31" s="1050"/>
      <c r="H31" s="1050"/>
      <c r="I31" s="1077"/>
      <c r="J31" s="1077">
        <v>1023425000</v>
      </c>
      <c r="K31" s="1077">
        <v>931268000</v>
      </c>
      <c r="L31" s="1048"/>
      <c r="M31" s="1048"/>
      <c r="N31" s="1048"/>
      <c r="O31" s="1048"/>
      <c r="P31" s="1048"/>
      <c r="Q31" s="1048"/>
      <c r="R31" s="1076"/>
      <c r="S31" s="1076"/>
      <c r="T31" s="1076"/>
      <c r="U31" s="1076"/>
      <c r="V31" s="1076"/>
      <c r="W31" s="1076"/>
      <c r="X31" s="1076"/>
      <c r="Y31" s="1008"/>
      <c r="Z31" s="1008"/>
      <c r="AA31" s="1007"/>
      <c r="AB31" s="1007"/>
      <c r="AC31" s="1007"/>
      <c r="AD31" s="1007"/>
      <c r="AE31" s="1007"/>
      <c r="AF31" s="1007"/>
      <c r="AG31" s="1007"/>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997"/>
      <c r="B32" s="997" t="s">
        <v>3110</v>
      </c>
      <c r="C32" s="975"/>
      <c r="D32" s="1050"/>
      <c r="E32" s="1050"/>
      <c r="F32" s="1050"/>
      <c r="G32" s="1050"/>
      <c r="H32" s="1050"/>
      <c r="I32" s="1077"/>
      <c r="J32" s="1077">
        <v>614055000</v>
      </c>
      <c r="K32" s="1077">
        <v>931268000</v>
      </c>
      <c r="L32" s="1048"/>
      <c r="M32" s="1048"/>
      <c r="N32" s="1048"/>
      <c r="O32" s="1048"/>
      <c r="P32" s="1048"/>
      <c r="Q32" s="1048"/>
      <c r="R32" s="1076"/>
      <c r="S32" s="1076"/>
      <c r="T32" s="1076"/>
      <c r="U32" s="1076"/>
      <c r="V32" s="1076"/>
      <c r="W32" s="1076"/>
      <c r="X32" s="1010"/>
      <c r="Y32" s="1008"/>
      <c r="Z32" s="1008"/>
      <c r="AA32" s="1007"/>
      <c r="AB32" s="1007"/>
      <c r="AC32" s="1007"/>
      <c r="AD32" s="1007"/>
      <c r="AE32" s="1007"/>
      <c r="AF32" s="1007"/>
      <c r="AG32" s="1007"/>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997"/>
      <c r="B33" s="997" t="s">
        <v>3111</v>
      </c>
      <c r="C33" s="975"/>
      <c r="D33" s="1050"/>
      <c r="E33" s="1050"/>
      <c r="F33" s="1050"/>
      <c r="G33" s="1050"/>
      <c r="H33" s="1050"/>
      <c r="I33" s="1077"/>
      <c r="J33" s="1077">
        <v>204685000</v>
      </c>
      <c r="K33" s="1077">
        <v>232817000</v>
      </c>
      <c r="L33" s="1048"/>
      <c r="M33" s="1048"/>
      <c r="N33" s="1048"/>
      <c r="O33" s="1048"/>
      <c r="P33" s="1048"/>
      <c r="Q33" s="1048"/>
      <c r="R33" s="1076"/>
      <c r="S33" s="1076"/>
      <c r="T33" s="1076"/>
      <c r="U33" s="1076"/>
      <c r="V33" s="1076"/>
      <c r="W33" s="1076"/>
      <c r="X33" s="1076"/>
      <c r="Y33" s="1008"/>
      <c r="Z33" s="1008"/>
      <c r="AA33" s="1007"/>
      <c r="AB33" s="1007"/>
      <c r="AC33" s="1007"/>
      <c r="AD33" s="1007"/>
      <c r="AE33" s="1007"/>
      <c r="AF33" s="1007"/>
      <c r="AG33" s="1007"/>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988" t="s">
        <v>90</v>
      </c>
      <c r="B34" s="988" t="s">
        <v>1729</v>
      </c>
      <c r="C34" s="981" t="s">
        <v>204</v>
      </c>
      <c r="D34" s="1061">
        <f>D35+D36</f>
        <v>2666350000.0000005</v>
      </c>
      <c r="E34" s="1061">
        <f>E35+E36</f>
        <v>2605152000</v>
      </c>
      <c r="F34" s="1050">
        <v>2454173000</v>
      </c>
      <c r="G34" s="1050">
        <v>2856360000.0000005</v>
      </c>
      <c r="H34" s="1050">
        <v>3068652000</v>
      </c>
      <c r="I34" s="1050">
        <v>2388724000</v>
      </c>
      <c r="J34" s="1050">
        <v>2046850000</v>
      </c>
      <c r="K34" s="1061">
        <f>K35+K36</f>
        <v>1396902000</v>
      </c>
      <c r="L34" s="1048">
        <v>1612000000</v>
      </c>
      <c r="M34" s="1048">
        <v>2009000000</v>
      </c>
      <c r="N34" s="1048">
        <v>2892000000</v>
      </c>
      <c r="O34" s="1048">
        <v>4061000000</v>
      </c>
      <c r="P34" s="1061">
        <f>P35+P36</f>
        <v>5792704000</v>
      </c>
      <c r="Q34" s="1061">
        <f>Q35+Q36</f>
        <v>8282999999.999999</v>
      </c>
      <c r="R34" s="1076">
        <v>8560000000</v>
      </c>
      <c r="S34" s="1076">
        <v>10628000000</v>
      </c>
      <c r="T34" s="1076">
        <v>13634000000</v>
      </c>
      <c r="U34" s="1076">
        <v>15217000000</v>
      </c>
      <c r="V34" s="1076">
        <v>17939000000</v>
      </c>
      <c r="W34" s="1076">
        <v>18467000000</v>
      </c>
      <c r="X34" s="1010">
        <v>18748000000</v>
      </c>
      <c r="Y34" s="1008">
        <v>18588000000</v>
      </c>
      <c r="Z34" s="1008">
        <v>18514000000</v>
      </c>
      <c r="AA34" s="1007"/>
      <c r="AB34" s="1007"/>
      <c r="AC34" s="1007"/>
      <c r="AD34" s="1007"/>
      <c r="AE34" s="1007"/>
      <c r="AF34" s="1007"/>
      <c r="AG34" s="1007"/>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997" t="s">
        <v>280</v>
      </c>
      <c r="B35" s="997" t="s">
        <v>280</v>
      </c>
      <c r="C35" s="975" t="s">
        <v>211</v>
      </c>
      <c r="D35" s="1050">
        <v>2239734000.0000005</v>
      </c>
      <c r="E35" s="1050">
        <v>2131488000</v>
      </c>
      <c r="F35" s="1050">
        <v>2066672000</v>
      </c>
      <c r="G35" s="1050">
        <v>2142270000.0000002</v>
      </c>
      <c r="H35" s="1050">
        <v>2261112000</v>
      </c>
      <c r="I35" s="1050">
        <v>1653732000</v>
      </c>
      <c r="J35" s="1050">
        <v>1432794999.9999998</v>
      </c>
      <c r="K35" s="1050">
        <v>698451000</v>
      </c>
      <c r="L35" s="1048">
        <v>831000000</v>
      </c>
      <c r="M35" s="1048">
        <v>837000000</v>
      </c>
      <c r="N35" s="1048">
        <v>710000000</v>
      </c>
      <c r="O35" s="1048">
        <v>856000000</v>
      </c>
      <c r="P35" s="1048">
        <v>1086131999.9999998</v>
      </c>
      <c r="Q35" s="1048">
        <v>1882500000</v>
      </c>
      <c r="R35" s="1076">
        <v>3753000000</v>
      </c>
      <c r="S35" s="1076">
        <v>4216000000</v>
      </c>
      <c r="T35" s="1076">
        <v>4782000000</v>
      </c>
      <c r="U35" s="1076">
        <v>6369000000</v>
      </c>
      <c r="V35" s="1076">
        <v>8027000000</v>
      </c>
      <c r="W35" s="1076">
        <v>8558000000</v>
      </c>
      <c r="X35" s="1076">
        <v>9820000000</v>
      </c>
      <c r="Y35" s="1008">
        <v>9710000000</v>
      </c>
      <c r="Z35" s="1008">
        <v>10153000000</v>
      </c>
      <c r="AA35" s="1007"/>
      <c r="AB35" s="1007"/>
      <c r="AC35" s="1007"/>
      <c r="AD35" s="1007"/>
      <c r="AE35" s="1007"/>
      <c r="AF35" s="1007"/>
      <c r="AG35" s="1007"/>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997" t="s">
        <v>209</v>
      </c>
      <c r="B36" s="997" t="s">
        <v>209</v>
      </c>
      <c r="C36" s="975" t="s">
        <v>211</v>
      </c>
      <c r="D36" s="1050">
        <v>426616000.00000006</v>
      </c>
      <c r="E36" s="1050">
        <v>473664000</v>
      </c>
      <c r="F36" s="1050">
        <v>387501000.00000006</v>
      </c>
      <c r="G36" s="1050">
        <v>714090000.00000012</v>
      </c>
      <c r="H36" s="1050">
        <v>807540000</v>
      </c>
      <c r="I36" s="1050">
        <v>734992000.00000012</v>
      </c>
      <c r="J36" s="1050">
        <v>614055000</v>
      </c>
      <c r="K36" s="1050">
        <v>698451000</v>
      </c>
      <c r="L36" s="1048">
        <v>781000000</v>
      </c>
      <c r="M36" s="1048">
        <v>1172000000</v>
      </c>
      <c r="N36" s="1048">
        <v>2182000000</v>
      </c>
      <c r="O36" s="1048">
        <v>3205000000</v>
      </c>
      <c r="P36" s="1048">
        <v>4706572000</v>
      </c>
      <c r="Q36" s="1048">
        <v>6400499999.999999</v>
      </c>
      <c r="R36" s="1076">
        <v>4807000000</v>
      </c>
      <c r="S36" s="1076">
        <v>6411000000</v>
      </c>
      <c r="T36" s="1076">
        <v>8853000000</v>
      </c>
      <c r="U36" s="1076">
        <v>8848000000</v>
      </c>
      <c r="V36" s="1076">
        <v>9912000000</v>
      </c>
      <c r="W36" s="1076">
        <v>9910000000</v>
      </c>
      <c r="X36" s="1010">
        <v>8928000000</v>
      </c>
      <c r="Y36" s="1008">
        <v>8878000000</v>
      </c>
      <c r="Z36" s="1008">
        <v>8361000000</v>
      </c>
      <c r="AA36" s="1007"/>
      <c r="AB36" s="1007"/>
      <c r="AC36" s="1007"/>
      <c r="AD36" s="1007"/>
      <c r="AE36" s="1007"/>
      <c r="AF36" s="1007"/>
      <c r="AG36" s="1007"/>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988" t="s">
        <v>1915</v>
      </c>
      <c r="B37" s="988" t="s">
        <v>3112</v>
      </c>
      <c r="C37" s="981" t="s">
        <v>204</v>
      </c>
      <c r="D37" s="1050"/>
      <c r="E37" s="1050"/>
      <c r="F37" s="1050"/>
      <c r="G37" s="1050"/>
      <c r="H37" s="1050"/>
      <c r="I37" s="1061"/>
      <c r="J37" s="1050">
        <v>1228110000</v>
      </c>
      <c r="K37" s="1050">
        <v>1396902000</v>
      </c>
      <c r="L37" s="1048">
        <v>0</v>
      </c>
      <c r="M37" s="1048">
        <v>0</v>
      </c>
      <c r="N37" s="1048">
        <v>1882000000</v>
      </c>
      <c r="O37" s="1048">
        <v>1922000000</v>
      </c>
      <c r="P37" s="1048">
        <v>0</v>
      </c>
      <c r="Q37" s="1048">
        <v>1506000000</v>
      </c>
      <c r="R37" s="1076">
        <f>R38+R42</f>
        <v>14159000000</v>
      </c>
      <c r="S37" s="1076">
        <f t="shared" ref="S37:Z37" si="7">S38+S42</f>
        <v>12898000000</v>
      </c>
      <c r="T37" s="1076">
        <f t="shared" si="7"/>
        <v>18969000000</v>
      </c>
      <c r="U37" s="1076">
        <f t="shared" si="7"/>
        <v>13512000000</v>
      </c>
      <c r="V37" s="1076">
        <f t="shared" si="7"/>
        <v>14525000000</v>
      </c>
      <c r="W37" s="1076">
        <f t="shared" si="7"/>
        <v>14274000000</v>
      </c>
      <c r="X37" s="1076">
        <f t="shared" si="7"/>
        <v>15245000000</v>
      </c>
      <c r="Y37" s="1076">
        <f t="shared" si="7"/>
        <v>17424000000</v>
      </c>
      <c r="Z37" s="1076">
        <f t="shared" si="7"/>
        <v>19485000000</v>
      </c>
      <c r="AA37" s="1007"/>
      <c r="AB37" s="1007"/>
      <c r="AC37" s="1007"/>
      <c r="AD37" s="1007"/>
      <c r="AE37" s="1007"/>
      <c r="AF37" s="1007"/>
      <c r="AG37" s="1007"/>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988"/>
      <c r="B38" s="988" t="s">
        <v>3792</v>
      </c>
      <c r="C38" s="981"/>
      <c r="D38" s="1050"/>
      <c r="E38" s="1050"/>
      <c r="F38" s="1050"/>
      <c r="G38" s="1050"/>
      <c r="H38" s="1050"/>
      <c r="I38" s="1061"/>
      <c r="J38" s="1050"/>
      <c r="K38" s="1050"/>
      <c r="L38" s="1048"/>
      <c r="M38" s="1048"/>
      <c r="N38" s="1048"/>
      <c r="O38" s="1048"/>
      <c r="P38" s="1048"/>
      <c r="Q38" s="1048"/>
      <c r="R38" s="1076">
        <v>5219000000</v>
      </c>
      <c r="S38" s="1076">
        <v>5354000000</v>
      </c>
      <c r="T38" s="1076">
        <v>5644000000</v>
      </c>
      <c r="U38" s="1076">
        <v>5242000000</v>
      </c>
      <c r="V38" s="1076">
        <v>5666000000</v>
      </c>
      <c r="W38" s="1076">
        <v>6661000000</v>
      </c>
      <c r="X38" s="1076">
        <v>7156000000</v>
      </c>
      <c r="Y38" s="1008">
        <v>7668000000</v>
      </c>
      <c r="Z38" s="1008">
        <v>8330000000</v>
      </c>
      <c r="AA38" s="1007"/>
      <c r="AB38" s="1007"/>
      <c r="AC38" s="1007"/>
      <c r="AD38" s="1007"/>
      <c r="AE38" s="1007"/>
      <c r="AF38" s="1007"/>
      <c r="AG38" s="1007"/>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981" t="s">
        <v>237</v>
      </c>
      <c r="B39" s="981" t="s">
        <v>1442</v>
      </c>
      <c r="C39" s="981" t="s">
        <v>201</v>
      </c>
      <c r="D39" s="1050">
        <v>6292586000.000001</v>
      </c>
      <c r="E39" s="1050">
        <f>E40+E41</f>
        <v>7933872000</v>
      </c>
      <c r="F39" s="1050">
        <v>6458350000</v>
      </c>
      <c r="G39" s="1061">
        <f>G40+G41</f>
        <v>6998082000.000001</v>
      </c>
      <c r="H39" s="1061">
        <f>H40+H41</f>
        <v>8398416000</v>
      </c>
      <c r="I39" s="1050">
        <v>8084912000.000001</v>
      </c>
      <c r="J39" s="1050">
        <v>6959289999.999999</v>
      </c>
      <c r="K39" s="1050">
        <v>8847046000</v>
      </c>
      <c r="L39" s="1048">
        <v>12879000000</v>
      </c>
      <c r="M39" s="1048">
        <v>14145000000</v>
      </c>
      <c r="N39" s="1048">
        <v>11185000000</v>
      </c>
      <c r="O39" s="1048">
        <v>13435000000</v>
      </c>
      <c r="P39" s="1415">
        <f>P40+P41</f>
        <v>15567892000</v>
      </c>
      <c r="Q39" s="1048">
        <v>19578000000</v>
      </c>
      <c r="R39" s="1076">
        <v>15582000000</v>
      </c>
      <c r="S39" s="1076">
        <v>17605000000</v>
      </c>
      <c r="T39" s="1009">
        <v>16029000000</v>
      </c>
      <c r="U39" s="1076">
        <v>24968000000</v>
      </c>
      <c r="V39" s="1076">
        <v>29872000000</v>
      </c>
      <c r="W39" s="1076">
        <v>32713000000</v>
      </c>
      <c r="X39" s="1009">
        <v>37204000000</v>
      </c>
      <c r="Y39" s="1008">
        <v>41168000000</v>
      </c>
      <c r="Z39" s="1008">
        <v>46588000000</v>
      </c>
      <c r="AA39" s="1007"/>
      <c r="AB39" s="1007"/>
      <c r="AC39" s="1007"/>
      <c r="AD39" s="1007"/>
      <c r="AE39" s="1007"/>
      <c r="AF39" s="1007"/>
      <c r="AG39" s="1007"/>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988" t="s">
        <v>2412</v>
      </c>
      <c r="B40" s="988" t="s">
        <v>3113</v>
      </c>
      <c r="C40" s="981" t="s">
        <v>241</v>
      </c>
      <c r="D40" s="1050">
        <v>2879658000.0000005</v>
      </c>
      <c r="E40" s="1050">
        <v>3315647999.9999995</v>
      </c>
      <c r="F40" s="1050">
        <v>2841674000.0000005</v>
      </c>
      <c r="G40" s="1050">
        <v>2713542000.0000005</v>
      </c>
      <c r="H40" s="1050">
        <v>3553176000.0000005</v>
      </c>
      <c r="I40" s="1050"/>
      <c r="J40" s="1050"/>
      <c r="K40" s="1050"/>
      <c r="L40" s="1050"/>
      <c r="M40" s="1050"/>
      <c r="N40" s="1050"/>
      <c r="O40" s="1050"/>
      <c r="P40" s="1048">
        <v>5792704000.000001</v>
      </c>
      <c r="Q40" s="1048">
        <v>9789000000</v>
      </c>
      <c r="R40" s="1076"/>
      <c r="S40" s="1076"/>
      <c r="T40" s="1076"/>
      <c r="U40" s="1076"/>
      <c r="V40" s="1076"/>
      <c r="W40" s="1076"/>
      <c r="X40" s="1076"/>
      <c r="Y40" s="1008"/>
      <c r="Z40" s="1008"/>
      <c r="AA40" s="1007"/>
      <c r="AB40" s="1007"/>
      <c r="AC40" s="1007"/>
      <c r="AD40" s="1007"/>
      <c r="AE40" s="1007"/>
      <c r="AF40" s="1007"/>
      <c r="AG40" s="1007"/>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988" t="s">
        <v>389</v>
      </c>
      <c r="B41" s="988" t="s">
        <v>389</v>
      </c>
      <c r="C41" s="981" t="s">
        <v>241</v>
      </c>
      <c r="D41" s="1050">
        <v>3412928000.0000005</v>
      </c>
      <c r="E41" s="1050">
        <v>4618224000</v>
      </c>
      <c r="F41" s="1050">
        <v>3616676000</v>
      </c>
      <c r="G41" s="1050">
        <v>4284540000.0000005</v>
      </c>
      <c r="H41" s="1050">
        <v>4845240000</v>
      </c>
      <c r="I41" s="1050"/>
      <c r="J41" s="1050"/>
      <c r="K41" s="1050"/>
      <c r="L41" s="1050"/>
      <c r="M41" s="1050"/>
      <c r="N41" s="1050"/>
      <c r="O41" s="1050"/>
      <c r="P41" s="1048">
        <v>9775188000</v>
      </c>
      <c r="Q41" s="1048">
        <v>9789000000</v>
      </c>
      <c r="R41" s="1076"/>
      <c r="S41" s="1076"/>
      <c r="T41" s="1076"/>
      <c r="U41" s="1076"/>
      <c r="V41" s="1076"/>
      <c r="W41" s="1076"/>
      <c r="X41" s="1010"/>
      <c r="Y41" s="1008"/>
      <c r="Z41" s="1008"/>
      <c r="AA41" s="1007"/>
      <c r="AB41" s="1007"/>
      <c r="AC41" s="1007"/>
      <c r="AD41" s="1007"/>
      <c r="AE41" s="1007"/>
      <c r="AF41" s="1007"/>
      <c r="AG41" s="1007"/>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988"/>
      <c r="B42" s="2558" t="s">
        <v>3114</v>
      </c>
      <c r="C42" s="981"/>
      <c r="D42" s="1050"/>
      <c r="E42" s="1050"/>
      <c r="F42" s="1050"/>
      <c r="G42" s="1050"/>
      <c r="H42" s="1050"/>
      <c r="I42" s="1050"/>
      <c r="J42" s="1050"/>
      <c r="K42" s="1050"/>
      <c r="L42" s="1050"/>
      <c r="M42" s="1050"/>
      <c r="N42" s="1050"/>
      <c r="O42" s="1050"/>
      <c r="P42" s="1048"/>
      <c r="Q42" s="1048"/>
      <c r="R42" s="1076">
        <v>8940000000</v>
      </c>
      <c r="S42" s="1076">
        <v>7544000000</v>
      </c>
      <c r="T42" s="1076">
        <v>13325000000</v>
      </c>
      <c r="U42" s="1076">
        <v>8270000000</v>
      </c>
      <c r="V42" s="1076">
        <v>8859000000</v>
      </c>
      <c r="W42" s="1076">
        <v>7613000000</v>
      </c>
      <c r="X42" s="1010">
        <v>8089000000</v>
      </c>
      <c r="Y42" s="1008">
        <v>9756000000</v>
      </c>
      <c r="Z42" s="1008">
        <v>11155000000</v>
      </c>
      <c r="AA42" s="1007"/>
      <c r="AB42" s="1007"/>
      <c r="AC42" s="1007"/>
      <c r="AD42" s="1007"/>
      <c r="AE42" s="1007"/>
      <c r="AF42" s="1007"/>
      <c r="AG42" s="1007"/>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981" t="s">
        <v>3115</v>
      </c>
      <c r="B43" s="981" t="s">
        <v>3115</v>
      </c>
      <c r="C43" s="981" t="s">
        <v>201</v>
      </c>
      <c r="D43" s="1050">
        <v>1173194000</v>
      </c>
      <c r="E43" s="1050">
        <v>710495999.99999988</v>
      </c>
      <c r="F43" s="1050">
        <v>1162503000</v>
      </c>
      <c r="G43" s="1050">
        <v>856908000.00000012</v>
      </c>
      <c r="H43" s="1050">
        <v>969048000</v>
      </c>
      <c r="I43" s="2651">
        <v>0</v>
      </c>
      <c r="J43" s="2651">
        <v>0</v>
      </c>
      <c r="K43" s="1050">
        <v>0</v>
      </c>
      <c r="L43" s="2652">
        <v>0</v>
      </c>
      <c r="M43" s="2652">
        <v>0</v>
      </c>
      <c r="N43" s="2652">
        <v>0</v>
      </c>
      <c r="O43" s="1048">
        <v>0</v>
      </c>
      <c r="P43" s="1048">
        <v>362044000.00000006</v>
      </c>
      <c r="Q43" s="2652">
        <v>0</v>
      </c>
      <c r="R43" s="1076"/>
      <c r="S43" s="1076"/>
      <c r="T43" s="1076"/>
      <c r="U43" s="1076"/>
      <c r="V43" s="1076"/>
      <c r="W43" s="1076"/>
      <c r="X43" s="1076"/>
      <c r="Y43" s="1008"/>
      <c r="Z43" s="1008"/>
      <c r="AA43" s="1007"/>
      <c r="AB43" s="1007"/>
      <c r="AC43" s="1007"/>
      <c r="AD43" s="1007"/>
      <c r="AE43" s="1007"/>
      <c r="AF43" s="1007"/>
      <c r="AG43" s="1007"/>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972" t="s">
        <v>76</v>
      </c>
      <c r="B44" s="981" t="s">
        <v>3116</v>
      </c>
      <c r="D44" s="1050">
        <v>-6079278000</v>
      </c>
      <c r="E44" s="1050">
        <v>-7223375999.999999</v>
      </c>
      <c r="F44" s="1050">
        <v>-6845851000.000001</v>
      </c>
      <c r="G44" s="1050">
        <v>-7854990000.000001</v>
      </c>
      <c r="H44" s="1050">
        <v>-5652780000</v>
      </c>
      <c r="I44" s="1050">
        <v>-4226203999.9999995</v>
      </c>
      <c r="J44" s="1050">
        <v>-2251535000</v>
      </c>
      <c r="K44" s="1050">
        <v>-4889157000</v>
      </c>
      <c r="L44" s="1048">
        <v>-6442000000</v>
      </c>
      <c r="M44" s="1048">
        <v>-16662000000</v>
      </c>
      <c r="N44" s="1048">
        <v>-13972000000</v>
      </c>
      <c r="O44" s="1048">
        <v>-10728000000</v>
      </c>
      <c r="P44" s="1048">
        <v>-21722640000</v>
      </c>
      <c r="Q44" s="1048">
        <v>-29743499999.999996</v>
      </c>
      <c r="R44" s="1076"/>
      <c r="S44" s="1076"/>
      <c r="T44" s="1076"/>
      <c r="U44" s="1076"/>
      <c r="V44" s="1076"/>
      <c r="W44" s="1076"/>
      <c r="X44" s="1010"/>
      <c r="Y44" s="1008"/>
      <c r="Z44" s="1008"/>
      <c r="AA44" s="1007"/>
      <c r="AB44" s="1007"/>
      <c r="AC44" s="1007"/>
      <c r="AD44" s="1007"/>
      <c r="AE44" s="1007"/>
      <c r="AF44" s="1007"/>
      <c r="AG44" s="1007"/>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s="848" customFormat="1">
      <c r="A45" s="1065" t="s">
        <v>115</v>
      </c>
      <c r="B45" s="1065" t="s">
        <v>115</v>
      </c>
      <c r="C45" s="1374" t="s">
        <v>35</v>
      </c>
      <c r="D45" s="1055">
        <v>6079278000</v>
      </c>
      <c r="E45" s="1055">
        <v>7223375999.999999</v>
      </c>
      <c r="F45" s="1055">
        <f>F46+F52+F63+F64</f>
        <v>6975018000</v>
      </c>
      <c r="G45" s="1055">
        <f>G46+G52+G63+G64</f>
        <v>7997808000.000001</v>
      </c>
      <c r="H45" s="1055">
        <v>5652780000</v>
      </c>
      <c r="I45" s="1055">
        <f>I46+I52+I63+I64</f>
        <v>4226204000</v>
      </c>
      <c r="J45" s="1055">
        <f>J46+J52+J63+J64</f>
        <v>2251535000.0000005</v>
      </c>
      <c r="K45" s="1055">
        <f>K46+K52+K63+K64</f>
        <v>5121974000</v>
      </c>
      <c r="L45" s="1054">
        <v>6442000000</v>
      </c>
      <c r="M45" s="1054">
        <v>16662000000</v>
      </c>
      <c r="N45" s="1054">
        <v>13972000000</v>
      </c>
      <c r="O45" s="1054">
        <v>10728000000</v>
      </c>
      <c r="P45" s="1054">
        <f>P46+P52+P64+P63</f>
        <v>21360596000</v>
      </c>
      <c r="Q45" s="1054">
        <v>29743499999.999996</v>
      </c>
      <c r="R45" s="1023">
        <f>R46+R52+R63</f>
        <v>16073000000</v>
      </c>
      <c r="S45" s="1023">
        <f>S46+S52+S63</f>
        <v>4351000000</v>
      </c>
      <c r="T45" s="1023">
        <f t="shared" ref="T45:Z45" si="8">T46+T52+T63</f>
        <v>2663000000</v>
      </c>
      <c r="U45" s="1023">
        <f t="shared" si="8"/>
        <v>6680000000</v>
      </c>
      <c r="V45" s="1023">
        <f t="shared" si="8"/>
        <v>7201000000</v>
      </c>
      <c r="W45" s="1023">
        <f t="shared" si="8"/>
        <v>6417000000</v>
      </c>
      <c r="X45" s="1023">
        <f t="shared" si="8"/>
        <v>6663000000</v>
      </c>
      <c r="Y45" s="1023">
        <f t="shared" si="8"/>
        <v>6765000000</v>
      </c>
      <c r="Z45" s="1023">
        <f t="shared" si="8"/>
        <v>6989000000</v>
      </c>
      <c r="AA45" s="1066"/>
      <c r="AB45" s="1066"/>
      <c r="AC45" s="1066"/>
      <c r="AD45" s="1066"/>
      <c r="AE45" s="1066"/>
      <c r="AF45" s="1066"/>
      <c r="AG45" s="1066"/>
      <c r="AH45" s="916"/>
      <c r="AI45" s="916"/>
      <c r="AJ45" s="916"/>
      <c r="AK45" s="916"/>
      <c r="AL45" s="916"/>
      <c r="AM45" s="916"/>
      <c r="AN45" s="916"/>
      <c r="AO45" s="916"/>
      <c r="AP45" s="916"/>
      <c r="AQ45" s="916"/>
      <c r="AR45" s="916"/>
      <c r="AS45" s="916"/>
      <c r="AT45" s="916"/>
      <c r="AU45" s="916"/>
      <c r="AV45" s="916"/>
      <c r="AW45" s="916"/>
      <c r="AX45" s="916"/>
      <c r="AY45" s="916"/>
      <c r="AZ45" s="916"/>
      <c r="BA45" s="916"/>
    </row>
    <row r="46" spans="1:53">
      <c r="A46" s="981" t="s">
        <v>2029</v>
      </c>
      <c r="B46" s="981" t="s">
        <v>3117</v>
      </c>
      <c r="C46" s="981" t="s">
        <v>252</v>
      </c>
      <c r="D46" s="1061">
        <f>D47+D48+D49+D50+D51</f>
        <v>1386501999.999999</v>
      </c>
      <c r="E46" s="1050">
        <v>4144559999.9999995</v>
      </c>
      <c r="F46" s="1061">
        <f>F47+F48+F49+F50+F51</f>
        <v>2325006000.0000005</v>
      </c>
      <c r="G46" s="1050">
        <v>2427906000</v>
      </c>
      <c r="H46" s="1050">
        <v>-3876192000</v>
      </c>
      <c r="I46" s="1050">
        <v>3491212000</v>
      </c>
      <c r="J46" s="1061">
        <f>J47+J48+J49+J50+J51</f>
        <v>2660905000</v>
      </c>
      <c r="K46" s="1061">
        <f>K47+K48+K49+K50+K51</f>
        <v>2560987000</v>
      </c>
      <c r="L46" s="1048">
        <v>7090000000</v>
      </c>
      <c r="M46" s="1048">
        <v>2632000000</v>
      </c>
      <c r="N46" s="1048">
        <v>7492000000</v>
      </c>
      <c r="O46" s="1048">
        <v>8375000000</v>
      </c>
      <c r="P46" s="1048">
        <v>7602924000</v>
      </c>
      <c r="Q46" s="1061">
        <f>Q47+Q48+Q49+Q50+Q51</f>
        <v>31626000000.000004</v>
      </c>
      <c r="R46" s="1009">
        <f>R69+R79</f>
        <v>10359000000</v>
      </c>
      <c r="S46" s="1553">
        <f t="shared" ref="S46:Z46" si="9">S69+S79</f>
        <v>9795000000</v>
      </c>
      <c r="T46" s="1553">
        <f>T69+T79</f>
        <v>5200000000</v>
      </c>
      <c r="U46" s="1009">
        <f t="shared" si="9"/>
        <v>28889000000</v>
      </c>
      <c r="V46" s="1009">
        <f t="shared" si="9"/>
        <v>6456000000</v>
      </c>
      <c r="W46" s="1009">
        <f t="shared" si="9"/>
        <v>13112000000</v>
      </c>
      <c r="X46" s="1553">
        <f t="shared" si="9"/>
        <v>13981000000</v>
      </c>
      <c r="Y46" s="1485">
        <f t="shared" si="9"/>
        <v>7881000000</v>
      </c>
      <c r="Z46" s="1485">
        <f t="shared" si="9"/>
        <v>4702000000</v>
      </c>
      <c r="AA46" s="1007"/>
      <c r="AB46" s="1007"/>
      <c r="AC46" s="1007"/>
      <c r="AD46" s="1007"/>
      <c r="AE46" s="1007"/>
      <c r="AF46" s="1007"/>
      <c r="AG46" s="1007"/>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988" t="s">
        <v>415</v>
      </c>
      <c r="B47" s="988" t="s">
        <v>415</v>
      </c>
      <c r="C47" s="981" t="s">
        <v>1939</v>
      </c>
      <c r="D47" s="1050">
        <v>2346388000</v>
      </c>
      <c r="E47" s="1050">
        <v>4618224000</v>
      </c>
      <c r="F47" s="1050">
        <v>3100008000.0000005</v>
      </c>
      <c r="G47" s="1050">
        <v>3570450000.0000005</v>
      </c>
      <c r="H47" s="1050">
        <v>4683732000</v>
      </c>
      <c r="I47" s="1050">
        <v>5328692000</v>
      </c>
      <c r="J47" s="1050">
        <v>3684330000</v>
      </c>
      <c r="K47" s="1050">
        <v>4190706000</v>
      </c>
      <c r="L47" s="1048">
        <v>7675000000</v>
      </c>
      <c r="M47" s="1048">
        <v>5851000000</v>
      </c>
      <c r="N47" s="1048">
        <v>8335000000</v>
      </c>
      <c r="O47" s="1048">
        <v>8708000000</v>
      </c>
      <c r="P47" s="1048">
        <v>8689055999.9999981</v>
      </c>
      <c r="Q47" s="1048">
        <v>12048000000</v>
      </c>
      <c r="R47" s="1076"/>
      <c r="S47" s="1076"/>
      <c r="T47" s="1076"/>
      <c r="U47" s="1076"/>
      <c r="V47" s="1076"/>
      <c r="W47" s="1076"/>
      <c r="X47" s="1010"/>
      <c r="Y47" s="1008"/>
      <c r="Z47" s="1008"/>
      <c r="AA47" s="1007"/>
      <c r="AB47" s="1007"/>
      <c r="AC47" s="1007"/>
      <c r="AD47" s="1007"/>
      <c r="AE47" s="1007"/>
      <c r="AF47" s="1007"/>
      <c r="AG47" s="1007"/>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988" t="s">
        <v>258</v>
      </c>
      <c r="B48" s="988" t="s">
        <v>258</v>
      </c>
      <c r="C48" s="981" t="s">
        <v>1939</v>
      </c>
      <c r="D48" s="1050">
        <v>-6932510000.000001</v>
      </c>
      <c r="E48" s="1050">
        <v>-2249903999.9999995</v>
      </c>
      <c r="F48" s="1050">
        <v>-2970841000</v>
      </c>
      <c r="G48" s="1050">
        <v>-3570450000.0000005</v>
      </c>
      <c r="H48" s="1050">
        <v>-4037700000</v>
      </c>
      <c r="I48" s="1050">
        <v>-4961196000.000001</v>
      </c>
      <c r="J48" s="1050">
        <v>-2456220000</v>
      </c>
      <c r="K48" s="1050">
        <v>-2328170000</v>
      </c>
      <c r="L48" s="1048">
        <v>-1470000000</v>
      </c>
      <c r="M48" s="1048">
        <v>-3129000000</v>
      </c>
      <c r="N48" s="1048">
        <v>-1161000000</v>
      </c>
      <c r="O48" s="1048">
        <v>-1068000000</v>
      </c>
      <c r="P48" s="1048">
        <v>-1448176000.0000002</v>
      </c>
      <c r="Q48" s="1048">
        <v>-1129500000</v>
      </c>
      <c r="R48" s="1076"/>
      <c r="S48" s="1076"/>
      <c r="T48" s="1076"/>
      <c r="U48" s="1076"/>
      <c r="V48" s="1076"/>
      <c r="W48" s="1076"/>
      <c r="X48" s="1010"/>
      <c r="Y48" s="1008"/>
      <c r="Z48" s="1008"/>
      <c r="AA48" s="1007"/>
      <c r="AB48" s="1007"/>
      <c r="AC48" s="1007"/>
      <c r="AD48" s="1007"/>
      <c r="AE48" s="1007"/>
      <c r="AF48" s="1007"/>
      <c r="AG48" s="1007"/>
      <c r="AH48" s="365"/>
      <c r="AI48" s="365"/>
      <c r="AJ48" s="365"/>
      <c r="AK48" s="365"/>
      <c r="AL48" s="365"/>
      <c r="AM48" s="365"/>
      <c r="AN48" s="365"/>
      <c r="AO48" s="365"/>
      <c r="AP48" s="365"/>
      <c r="AQ48" s="365"/>
      <c r="AR48" s="365"/>
      <c r="AS48" s="365"/>
      <c r="AT48" s="365"/>
      <c r="AU48" s="365"/>
      <c r="AV48" s="365"/>
      <c r="AW48" s="365"/>
      <c r="AX48" s="365"/>
      <c r="AY48" s="365"/>
      <c r="AZ48" s="365"/>
      <c r="BA48" s="365"/>
    </row>
    <row r="49" spans="1:47">
      <c r="A49" s="988" t="s">
        <v>3118</v>
      </c>
      <c r="B49" s="988" t="s">
        <v>3119</v>
      </c>
      <c r="C49" s="981" t="s">
        <v>1939</v>
      </c>
      <c r="D49" s="1050">
        <v>-1066540000</v>
      </c>
      <c r="E49" s="1050">
        <v>-118416000</v>
      </c>
      <c r="F49" s="1050">
        <v>-129167000</v>
      </c>
      <c r="G49" s="1050">
        <v>-142818000.00000003</v>
      </c>
      <c r="H49" s="1050">
        <v>-161508000</v>
      </c>
      <c r="I49" s="1050"/>
      <c r="J49" s="1050"/>
      <c r="K49" s="1050"/>
      <c r="L49" s="1048">
        <v>-103000000</v>
      </c>
      <c r="M49" s="1048">
        <v>-109000000</v>
      </c>
      <c r="N49" s="1048">
        <v>-116000000</v>
      </c>
      <c r="O49" s="1048">
        <v>-125000000</v>
      </c>
      <c r="P49" s="1048">
        <v>0</v>
      </c>
      <c r="Q49" s="1048">
        <v>20331000000.000004</v>
      </c>
      <c r="R49" s="1076"/>
      <c r="S49" s="1076"/>
      <c r="T49" s="1076"/>
      <c r="U49" s="1076"/>
      <c r="V49" s="1076"/>
      <c r="W49" s="1076"/>
      <c r="X49" s="1010"/>
      <c r="Y49" s="1008"/>
      <c r="Z49" s="1008"/>
      <c r="AA49" s="1007"/>
      <c r="AB49" s="1007"/>
      <c r="AC49" s="1007"/>
      <c r="AD49" s="1007"/>
      <c r="AE49" s="1007"/>
      <c r="AF49" s="1007"/>
      <c r="AG49" s="1007"/>
      <c r="AH49" s="365"/>
      <c r="AI49" s="365"/>
      <c r="AJ49" s="365"/>
      <c r="AK49" s="365"/>
      <c r="AL49" s="365"/>
      <c r="AM49" s="365"/>
      <c r="AN49" s="365"/>
      <c r="AO49" s="365"/>
      <c r="AP49" s="365"/>
      <c r="AQ49" s="365"/>
      <c r="AR49" s="365"/>
      <c r="AS49" s="365"/>
      <c r="AT49" s="365"/>
      <c r="AU49" s="365"/>
    </row>
    <row r="50" spans="1:47">
      <c r="A50" s="988" t="s">
        <v>871</v>
      </c>
      <c r="B50" s="988" t="s">
        <v>3120</v>
      </c>
      <c r="C50" s="981" t="s">
        <v>1939</v>
      </c>
      <c r="D50" s="1050">
        <v>7039164000</v>
      </c>
      <c r="E50" s="1050">
        <v>1894656000</v>
      </c>
      <c r="F50" s="1050">
        <v>2325006000</v>
      </c>
      <c r="G50" s="1050">
        <v>2570724000.0000005</v>
      </c>
      <c r="H50" s="1050">
        <v>-4360716000</v>
      </c>
      <c r="I50" s="1050">
        <v>3123716000</v>
      </c>
      <c r="J50" s="1050">
        <v>1432794999.9999998</v>
      </c>
      <c r="K50" s="1050">
        <v>698451000</v>
      </c>
      <c r="L50" s="1048">
        <v>989000000</v>
      </c>
      <c r="M50" s="1048">
        <v>560000000</v>
      </c>
      <c r="N50" s="1048">
        <v>473000000</v>
      </c>
      <c r="O50" s="1048">
        <v>860000000</v>
      </c>
      <c r="P50" s="1048">
        <v>362044000.00000006</v>
      </c>
      <c r="Q50" s="1048">
        <v>376500000</v>
      </c>
      <c r="R50" s="1076"/>
      <c r="S50" s="1076"/>
      <c r="T50" s="1076"/>
      <c r="U50" s="1076"/>
      <c r="V50" s="1076"/>
      <c r="W50" s="1076"/>
      <c r="X50" s="1010"/>
      <c r="Y50" s="1008"/>
      <c r="Z50" s="1008"/>
      <c r="AA50" s="1007"/>
      <c r="AB50" s="1007"/>
      <c r="AC50" s="1007"/>
      <c r="AD50" s="1007"/>
      <c r="AE50" s="1007"/>
      <c r="AF50" s="1007"/>
      <c r="AG50" s="1007"/>
      <c r="AH50" s="365"/>
      <c r="AI50" s="365"/>
      <c r="AJ50" s="365"/>
      <c r="AK50" s="365"/>
      <c r="AL50" s="365"/>
      <c r="AM50" s="365"/>
      <c r="AN50" s="365"/>
      <c r="AO50" s="365"/>
      <c r="AP50" s="365"/>
      <c r="AQ50" s="365"/>
      <c r="AR50" s="365"/>
      <c r="AS50" s="365"/>
      <c r="AT50" s="365"/>
      <c r="AU50" s="365"/>
    </row>
    <row r="51" spans="1:47">
      <c r="A51" s="988" t="s">
        <v>3121</v>
      </c>
      <c r="B51" s="988" t="s">
        <v>2958</v>
      </c>
      <c r="C51" s="981" t="s">
        <v>1939</v>
      </c>
      <c r="D51" s="1050"/>
      <c r="E51" s="1050"/>
      <c r="F51" s="1050"/>
      <c r="G51" s="1050"/>
      <c r="H51" s="1050"/>
      <c r="I51" s="1050">
        <v>0</v>
      </c>
      <c r="J51" s="1050">
        <v>0</v>
      </c>
      <c r="K51" s="1050">
        <v>0</v>
      </c>
      <c r="L51" s="1048">
        <v>0</v>
      </c>
      <c r="M51" s="1048">
        <v>-541000000</v>
      </c>
      <c r="N51" s="1048">
        <v>-40000000</v>
      </c>
      <c r="O51" s="1048">
        <v>0</v>
      </c>
      <c r="P51" s="1048"/>
      <c r="Q51" s="1048"/>
      <c r="R51" s="1076"/>
      <c r="S51" s="1076"/>
      <c r="T51" s="1076"/>
      <c r="U51" s="1076"/>
      <c r="V51" s="1076"/>
      <c r="W51" s="1076"/>
      <c r="X51" s="1010"/>
      <c r="Y51" s="1008"/>
      <c r="Z51" s="1008"/>
      <c r="AA51" s="1007"/>
      <c r="AB51" s="1007"/>
      <c r="AC51" s="1007"/>
      <c r="AD51" s="1007"/>
      <c r="AE51" s="1007"/>
      <c r="AF51" s="1007"/>
      <c r="AG51" s="1007"/>
      <c r="AH51" s="365"/>
      <c r="AI51" s="365"/>
      <c r="AJ51" s="365"/>
      <c r="AK51" s="365"/>
      <c r="AL51" s="365"/>
      <c r="AM51" s="365"/>
      <c r="AN51" s="365"/>
      <c r="AO51" s="365"/>
      <c r="AP51" s="365"/>
      <c r="AQ51" s="365"/>
      <c r="AR51" s="365"/>
      <c r="AS51" s="365"/>
      <c r="AT51" s="365"/>
      <c r="AU51" s="365"/>
    </row>
    <row r="52" spans="1:47">
      <c r="A52" s="981" t="s">
        <v>3122</v>
      </c>
      <c r="B52" s="981" t="s">
        <v>3123</v>
      </c>
      <c r="C52" s="981" t="s">
        <v>252</v>
      </c>
      <c r="D52" s="1061">
        <f>D53+D56+D60+D61+D62</f>
        <v>4692776000</v>
      </c>
      <c r="E52" s="1050">
        <v>3078816000</v>
      </c>
      <c r="F52" s="1061">
        <f>F53+F56+F60+F61+F62</f>
        <v>4650012000</v>
      </c>
      <c r="G52" s="1061">
        <f>G53+G56+G60+G61+G62</f>
        <v>5569902000.000001</v>
      </c>
      <c r="H52" s="1050">
        <v>807540000</v>
      </c>
      <c r="I52" s="1061">
        <f>I53+I56+I60+I61+I62</f>
        <v>734992000</v>
      </c>
      <c r="J52" s="1061">
        <f>J53+J56+J60+J61+J62</f>
        <v>4.76837158203125E-7</v>
      </c>
      <c r="K52" s="1050">
        <v>2560987000</v>
      </c>
      <c r="L52" s="1048">
        <v>-757000000</v>
      </c>
      <c r="M52" s="1048">
        <v>14086000000</v>
      </c>
      <c r="N52" s="1048">
        <v>6558000000</v>
      </c>
      <c r="O52" s="1048">
        <v>2353000000</v>
      </c>
      <c r="P52" s="1061">
        <f>P53+P56+P60+P61+P62</f>
        <v>15567892000</v>
      </c>
      <c r="Q52" s="1048">
        <v>-376500000</v>
      </c>
      <c r="R52" s="1009">
        <f>R73+R85</f>
        <v>7442000000</v>
      </c>
      <c r="S52" s="1553">
        <f t="shared" ref="S52:Z52" si="10">S73+S85</f>
        <v>-3629000000</v>
      </c>
      <c r="T52" s="1553">
        <f t="shared" si="10"/>
        <v>-486000000</v>
      </c>
      <c r="U52" s="1553">
        <f t="shared" si="10"/>
        <v>-19908000000</v>
      </c>
      <c r="V52" s="1553">
        <f t="shared" si="10"/>
        <v>3050000000</v>
      </c>
      <c r="W52" s="1009">
        <f t="shared" si="10"/>
        <v>-4169000000</v>
      </c>
      <c r="X52" s="1553">
        <f t="shared" si="10"/>
        <v>-4666000000</v>
      </c>
      <c r="Y52" s="1485">
        <f t="shared" si="10"/>
        <v>1444000000</v>
      </c>
      <c r="Z52" s="1485">
        <f t="shared" si="10"/>
        <v>4943000000</v>
      </c>
      <c r="AA52" s="1007"/>
      <c r="AB52" s="1007"/>
      <c r="AC52" s="1007"/>
      <c r="AD52" s="1007"/>
      <c r="AE52" s="1007"/>
      <c r="AF52" s="1007"/>
      <c r="AG52" s="1007"/>
      <c r="AH52" s="365"/>
      <c r="AI52" s="365"/>
      <c r="AJ52" s="365"/>
      <c r="AK52" s="365"/>
      <c r="AL52" s="365"/>
      <c r="AM52" s="365"/>
      <c r="AN52" s="365"/>
      <c r="AO52" s="365"/>
      <c r="AP52" s="365"/>
      <c r="AQ52" s="365"/>
      <c r="AR52" s="365"/>
      <c r="AS52" s="365"/>
      <c r="AT52" s="365"/>
      <c r="AU52" s="365"/>
    </row>
    <row r="53" spans="1:47">
      <c r="A53" s="988" t="s">
        <v>3124</v>
      </c>
      <c r="B53" s="988" t="s">
        <v>3125</v>
      </c>
      <c r="C53" s="981" t="s">
        <v>124</v>
      </c>
      <c r="D53" s="1050">
        <v>1706464000.0000002</v>
      </c>
      <c r="E53" s="1050">
        <v>2486736000</v>
      </c>
      <c r="F53" s="1050">
        <v>258334000</v>
      </c>
      <c r="G53" s="1050">
        <v>3427632000.0000005</v>
      </c>
      <c r="H53" s="1050">
        <v>807540000</v>
      </c>
      <c r="I53" s="1050">
        <v>1102488000</v>
      </c>
      <c r="J53" s="1050">
        <v>-2660904999.9999995</v>
      </c>
      <c r="K53" s="1050">
        <v>-1164085000</v>
      </c>
      <c r="L53" s="1048">
        <v>-393000000</v>
      </c>
      <c r="M53" s="1048">
        <v>6218000000</v>
      </c>
      <c r="N53" s="1048">
        <v>3186000000</v>
      </c>
      <c r="O53" s="1048">
        <v>8261000000</v>
      </c>
      <c r="P53" s="1048">
        <v>2534308000</v>
      </c>
      <c r="Q53" s="1048">
        <v>-4894500000</v>
      </c>
      <c r="R53" s="1076"/>
      <c r="S53" s="1076"/>
      <c r="T53" s="1076"/>
      <c r="U53" s="1076"/>
      <c r="V53" s="1076"/>
      <c r="W53" s="1076"/>
      <c r="X53" s="1010"/>
      <c r="Y53" s="1008"/>
      <c r="Z53" s="1008"/>
      <c r="AA53" s="1007"/>
      <c r="AB53" s="1007"/>
      <c r="AC53" s="1007"/>
      <c r="AD53" s="1007"/>
      <c r="AE53" s="1007"/>
      <c r="AF53" s="1007"/>
      <c r="AG53" s="1007"/>
      <c r="AH53" s="365"/>
      <c r="AI53" s="365"/>
      <c r="AJ53" s="365"/>
      <c r="AK53" s="365"/>
      <c r="AL53" s="365"/>
      <c r="AM53" s="365"/>
      <c r="AN53" s="365"/>
      <c r="AO53" s="365"/>
      <c r="AP53" s="365"/>
      <c r="AQ53" s="365"/>
      <c r="AR53" s="365"/>
      <c r="AS53" s="365"/>
      <c r="AT53" s="365"/>
      <c r="AU53" s="365"/>
    </row>
    <row r="54" spans="1:47">
      <c r="A54" s="972" t="s">
        <v>76</v>
      </c>
      <c r="B54" s="997" t="s">
        <v>2909</v>
      </c>
      <c r="D54" s="1050"/>
      <c r="E54" s="1050"/>
      <c r="F54" s="1050"/>
      <c r="G54" s="1050"/>
      <c r="H54" s="1050"/>
      <c r="I54" s="1050">
        <v>1469984000.0000002</v>
      </c>
      <c r="J54" s="1050">
        <v>-2456220000</v>
      </c>
      <c r="K54" s="1050">
        <v>-931268000</v>
      </c>
      <c r="L54" s="1048">
        <v>-2093000000</v>
      </c>
      <c r="M54" s="1048">
        <v>4191000000</v>
      </c>
      <c r="N54" s="1048">
        <v>1487000000</v>
      </c>
      <c r="O54" s="1048">
        <v>4552000000</v>
      </c>
      <c r="P54" s="1048">
        <v>-724088000.00000012</v>
      </c>
      <c r="Q54" s="1048">
        <v>-4894500000</v>
      </c>
      <c r="R54" s="1076"/>
      <c r="S54" s="1076"/>
      <c r="T54" s="1076"/>
      <c r="U54" s="1076"/>
      <c r="V54" s="1076"/>
      <c r="W54" s="1076"/>
      <c r="X54" s="1010"/>
      <c r="Y54" s="1008"/>
      <c r="Z54" s="1008"/>
      <c r="AA54" s="1007"/>
      <c r="AB54" s="1007"/>
      <c r="AC54" s="1007"/>
      <c r="AD54" s="1007"/>
      <c r="AE54" s="1007"/>
      <c r="AF54" s="1007"/>
      <c r="AG54" s="1007"/>
      <c r="AH54" s="365"/>
      <c r="AI54" s="365"/>
      <c r="AJ54" s="365"/>
      <c r="AK54" s="365"/>
      <c r="AL54" s="365"/>
      <c r="AM54" s="365"/>
      <c r="AN54" s="365"/>
      <c r="AO54" s="365"/>
      <c r="AP54" s="365"/>
      <c r="AQ54" s="365"/>
      <c r="AR54" s="365"/>
      <c r="AS54" s="365"/>
      <c r="AT54" s="365"/>
      <c r="AU54" s="365"/>
    </row>
    <row r="55" spans="1:47">
      <c r="A55" s="972" t="s">
        <v>76</v>
      </c>
      <c r="B55" s="997" t="s">
        <v>3126</v>
      </c>
      <c r="D55" s="1050"/>
      <c r="E55" s="1050"/>
      <c r="F55" s="1050"/>
      <c r="G55" s="1050"/>
      <c r="H55" s="1050"/>
      <c r="I55" s="1050">
        <v>-183748000.00000003</v>
      </c>
      <c r="J55" s="1050">
        <v>0</v>
      </c>
      <c r="K55" s="1050">
        <v>-232817000</v>
      </c>
      <c r="L55" s="1048">
        <v>1699000000</v>
      </c>
      <c r="M55" s="1048">
        <v>2188000000</v>
      </c>
      <c r="N55" s="1048">
        <v>9782000000</v>
      </c>
      <c r="O55" s="1048">
        <v>3709000000</v>
      </c>
      <c r="P55" s="1048">
        <v>3258396000</v>
      </c>
      <c r="Q55" s="1048">
        <v>0</v>
      </c>
      <c r="R55" s="1076"/>
      <c r="S55" s="1076"/>
      <c r="T55" s="1076"/>
      <c r="U55" s="1076"/>
      <c r="V55" s="1076"/>
      <c r="W55" s="1076"/>
      <c r="X55" s="1010"/>
      <c r="Y55" s="1008"/>
      <c r="Z55" s="1008"/>
      <c r="AA55" s="1007"/>
      <c r="AB55" s="1007"/>
      <c r="AC55" s="1007"/>
      <c r="AD55" s="1007"/>
      <c r="AE55" s="1007"/>
      <c r="AF55" s="1007"/>
      <c r="AG55" s="1007"/>
      <c r="AH55" s="365"/>
      <c r="AI55" s="365"/>
      <c r="AJ55" s="365"/>
      <c r="AK55" s="365"/>
      <c r="AL55" s="365"/>
      <c r="AM55" s="365"/>
      <c r="AN55" s="365"/>
      <c r="AO55" s="365"/>
      <c r="AP55" s="365"/>
      <c r="AQ55" s="365"/>
      <c r="AR55" s="365"/>
      <c r="AS55" s="365"/>
      <c r="AT55" s="365"/>
      <c r="AU55" s="365"/>
    </row>
    <row r="56" spans="1:47">
      <c r="A56" s="972" t="s">
        <v>76</v>
      </c>
      <c r="B56" s="988" t="s">
        <v>3127</v>
      </c>
      <c r="C56" s="981" t="s">
        <v>124</v>
      </c>
      <c r="D56" s="1050">
        <v>533270000</v>
      </c>
      <c r="E56" s="1050">
        <v>355247999.99999994</v>
      </c>
      <c r="F56" s="1050">
        <v>904169000</v>
      </c>
      <c r="G56" s="1050">
        <v>428454000.00000006</v>
      </c>
      <c r="H56" s="1050">
        <v>0</v>
      </c>
      <c r="I56" s="1050">
        <v>183748000.00000003</v>
      </c>
      <c r="J56" s="1050">
        <v>204685000</v>
      </c>
      <c r="K56" s="1050">
        <v>0</v>
      </c>
      <c r="L56" s="1048">
        <v>4317000000</v>
      </c>
      <c r="M56" s="1048">
        <v>2188000000</v>
      </c>
      <c r="N56" s="1048">
        <v>9782000000</v>
      </c>
      <c r="O56" s="1048">
        <v>-509000000</v>
      </c>
      <c r="P56" s="1048">
        <v>3620440000</v>
      </c>
      <c r="Q56" s="1048">
        <v>4141500000.0000005</v>
      </c>
      <c r="R56" s="1076"/>
      <c r="S56" s="1076"/>
      <c r="T56" s="1076"/>
      <c r="U56" s="1076"/>
      <c r="V56" s="1076"/>
      <c r="W56" s="1076"/>
      <c r="X56" s="1010"/>
      <c r="Y56" s="1008"/>
      <c r="Z56" s="1008"/>
      <c r="AA56" s="1007"/>
      <c r="AB56" s="1007"/>
      <c r="AC56" s="1007"/>
      <c r="AD56" s="1007"/>
      <c r="AE56" s="1007"/>
      <c r="AF56" s="1007"/>
      <c r="AG56" s="1007"/>
      <c r="AH56" s="365"/>
      <c r="AI56" s="365"/>
      <c r="AJ56" s="365"/>
      <c r="AK56" s="365"/>
      <c r="AL56" s="365"/>
      <c r="AM56" s="365"/>
      <c r="AN56" s="365"/>
      <c r="AO56" s="365"/>
      <c r="AP56" s="365"/>
      <c r="AQ56" s="365"/>
      <c r="AR56" s="365"/>
      <c r="AS56" s="365"/>
      <c r="AT56" s="365"/>
      <c r="AU56" s="365"/>
    </row>
    <row r="57" spans="1:47">
      <c r="A57" s="972" t="s">
        <v>76</v>
      </c>
      <c r="B57" s="997" t="s">
        <v>3128</v>
      </c>
      <c r="C57" s="997"/>
      <c r="D57" s="1050"/>
      <c r="E57" s="1050"/>
      <c r="F57" s="1050"/>
      <c r="G57" s="1050"/>
      <c r="H57" s="1050"/>
      <c r="I57" s="1050"/>
      <c r="J57" s="1050"/>
      <c r="K57" s="1050"/>
      <c r="L57" s="1048">
        <v>3864000000</v>
      </c>
      <c r="M57" s="1048">
        <v>2168000000</v>
      </c>
      <c r="N57" s="1048">
        <v>9069000000</v>
      </c>
      <c r="O57" s="1048">
        <v>409000000</v>
      </c>
      <c r="P57" s="1048"/>
      <c r="Q57" s="1048"/>
      <c r="R57" s="1076"/>
      <c r="S57" s="1076"/>
      <c r="T57" s="1076"/>
      <c r="U57" s="1076"/>
      <c r="V57" s="1076"/>
      <c r="W57" s="1076"/>
      <c r="X57" s="1010"/>
      <c r="Y57" s="1008"/>
      <c r="Z57" s="1008"/>
      <c r="AA57" s="1007"/>
      <c r="AB57" s="1007"/>
      <c r="AC57" s="1007"/>
      <c r="AD57" s="1007"/>
      <c r="AE57" s="1007"/>
      <c r="AF57" s="1007"/>
      <c r="AG57" s="1007"/>
      <c r="AH57" s="365"/>
      <c r="AI57" s="365"/>
      <c r="AJ57" s="365"/>
      <c r="AK57" s="365"/>
      <c r="AL57" s="365"/>
      <c r="AM57" s="365"/>
      <c r="AN57" s="365"/>
      <c r="AO57" s="365"/>
      <c r="AP57" s="365"/>
      <c r="AQ57" s="365"/>
      <c r="AR57" s="365"/>
      <c r="AS57" s="365"/>
      <c r="AT57" s="365"/>
      <c r="AU57" s="365"/>
    </row>
    <row r="58" spans="1:47">
      <c r="A58" s="972" t="s">
        <v>76</v>
      </c>
      <c r="B58" s="997" t="s">
        <v>50</v>
      </c>
      <c r="C58" s="997"/>
      <c r="D58" s="1050"/>
      <c r="E58" s="1050"/>
      <c r="F58" s="1050"/>
      <c r="G58" s="1050"/>
      <c r="H58" s="1050"/>
      <c r="I58" s="1050"/>
      <c r="J58" s="1050"/>
      <c r="K58" s="1050"/>
      <c r="L58" s="1048">
        <v>527000000</v>
      </c>
      <c r="M58" s="1048">
        <v>94000000</v>
      </c>
      <c r="N58" s="1048">
        <v>787000000</v>
      </c>
      <c r="O58" s="1048">
        <v>-918000000</v>
      </c>
      <c r="P58" s="1048"/>
      <c r="Q58" s="1048"/>
      <c r="R58" s="1076"/>
      <c r="S58" s="1076"/>
      <c r="T58" s="1076"/>
      <c r="U58" s="1076"/>
      <c r="V58" s="1076"/>
      <c r="W58" s="1076"/>
      <c r="X58" s="1010"/>
      <c r="Y58" s="1008"/>
      <c r="Z58" s="1008"/>
      <c r="AA58" s="1007"/>
      <c r="AB58" s="1007"/>
      <c r="AC58" s="1007"/>
      <c r="AD58" s="1007"/>
      <c r="AE58" s="1007"/>
      <c r="AF58" s="1007"/>
      <c r="AG58" s="1007"/>
      <c r="AH58" s="365"/>
      <c r="AI58" s="365"/>
      <c r="AJ58" s="365"/>
      <c r="AK58" s="365"/>
      <c r="AL58" s="365"/>
      <c r="AM58" s="365"/>
      <c r="AN58" s="365"/>
      <c r="AO58" s="365"/>
      <c r="AP58" s="365"/>
      <c r="AQ58" s="365"/>
      <c r="AR58" s="365"/>
      <c r="AS58" s="365"/>
      <c r="AT58" s="365"/>
      <c r="AU58" s="365"/>
    </row>
    <row r="59" spans="1:47">
      <c r="A59" s="972" t="s">
        <v>76</v>
      </c>
      <c r="B59" s="997" t="s">
        <v>3129</v>
      </c>
      <c r="C59" s="997"/>
      <c r="D59" s="1050"/>
      <c r="E59" s="1050"/>
      <c r="F59" s="1050"/>
      <c r="G59" s="1050"/>
      <c r="H59" s="1050"/>
      <c r="I59" s="1050"/>
      <c r="J59" s="1050"/>
      <c r="K59" s="1050"/>
      <c r="L59" s="1048">
        <v>-74000000</v>
      </c>
      <c r="M59" s="1048">
        <v>-74000000</v>
      </c>
      <c r="N59" s="1048">
        <v>-74000000</v>
      </c>
      <c r="O59" s="1048">
        <v>0</v>
      </c>
      <c r="P59" s="1048"/>
      <c r="Q59" s="1048"/>
      <c r="R59" s="1076"/>
      <c r="S59" s="1076"/>
      <c r="T59" s="1076"/>
      <c r="U59" s="1076"/>
      <c r="V59" s="1076"/>
      <c r="W59" s="1076"/>
      <c r="X59" s="1010"/>
      <c r="Y59" s="1008"/>
      <c r="Z59" s="1008"/>
      <c r="AA59" s="1547"/>
      <c r="AB59" s="1007"/>
      <c r="AC59" s="1007"/>
      <c r="AD59" s="1007"/>
      <c r="AE59" s="1007"/>
      <c r="AF59" s="1007"/>
      <c r="AG59" s="1007"/>
      <c r="AH59" s="365"/>
      <c r="AI59" s="365"/>
      <c r="AJ59" s="365"/>
      <c r="AK59" s="365"/>
      <c r="AL59" s="365"/>
      <c r="AM59" s="365"/>
      <c r="AN59" s="365"/>
      <c r="AO59" s="365"/>
      <c r="AP59" s="365"/>
      <c r="AQ59" s="365"/>
      <c r="AR59" s="365"/>
      <c r="AS59" s="365"/>
      <c r="AT59" s="365"/>
      <c r="AU59" s="365"/>
    </row>
    <row r="60" spans="1:47">
      <c r="A60" s="988" t="s">
        <v>3130</v>
      </c>
      <c r="B60" s="988" t="s">
        <v>3131</v>
      </c>
      <c r="C60" s="981" t="s">
        <v>124</v>
      </c>
      <c r="D60" s="1050">
        <v>0</v>
      </c>
      <c r="E60" s="1050">
        <v>0</v>
      </c>
      <c r="F60" s="1050">
        <v>2970841000</v>
      </c>
      <c r="G60" s="1050">
        <v>1856634000.0000002</v>
      </c>
      <c r="H60" s="1050">
        <v>0</v>
      </c>
      <c r="I60" s="1050"/>
      <c r="J60" s="1050"/>
      <c r="K60" s="1050"/>
      <c r="L60" s="1132">
        <f>L52-L53-L56-L61</f>
        <v>1562000000</v>
      </c>
      <c r="M60" s="1048"/>
      <c r="N60" s="1048"/>
      <c r="O60" s="1048"/>
      <c r="P60" s="1048"/>
      <c r="Q60" s="1048"/>
      <c r="R60" s="1076"/>
      <c r="S60" s="1076"/>
      <c r="T60" s="1076"/>
      <c r="U60" s="1076"/>
      <c r="V60" s="1076"/>
      <c r="W60" s="1076"/>
      <c r="X60" s="1010"/>
      <c r="Y60" s="1008"/>
      <c r="Z60" s="1008"/>
      <c r="AA60" s="1007"/>
      <c r="AB60" s="1007"/>
      <c r="AC60" s="1007"/>
      <c r="AD60" s="1007"/>
      <c r="AE60" s="1007"/>
      <c r="AF60" s="1007"/>
      <c r="AG60" s="1007"/>
      <c r="AH60" s="365"/>
      <c r="AI60" s="365"/>
      <c r="AJ60" s="365"/>
      <c r="AK60" s="365"/>
      <c r="AL60" s="365"/>
      <c r="AM60" s="365"/>
      <c r="AN60" s="365"/>
      <c r="AO60" s="365"/>
      <c r="AP60" s="365"/>
      <c r="AQ60" s="365"/>
      <c r="AR60" s="365"/>
      <c r="AS60" s="365"/>
      <c r="AT60" s="365"/>
      <c r="AU60" s="365"/>
    </row>
    <row r="61" spans="1:47">
      <c r="A61" s="988" t="s">
        <v>3132</v>
      </c>
      <c r="B61" s="988" t="s">
        <v>3133</v>
      </c>
      <c r="C61" s="981" t="s">
        <v>124</v>
      </c>
      <c r="D61" s="1050">
        <v>2453042000</v>
      </c>
      <c r="E61" s="1050">
        <v>236832000</v>
      </c>
      <c r="F61" s="1050">
        <v>516668000</v>
      </c>
      <c r="G61" s="1050">
        <v>-142818000.00000003</v>
      </c>
      <c r="H61" s="1050">
        <v>0</v>
      </c>
      <c r="I61" s="1050">
        <v>-551244000</v>
      </c>
      <c r="J61" s="1050">
        <v>2456220000</v>
      </c>
      <c r="K61" s="1050">
        <v>3725072000</v>
      </c>
      <c r="L61" s="1048">
        <v>-6243000000</v>
      </c>
      <c r="M61" s="1048">
        <v>5680000000</v>
      </c>
      <c r="N61" s="1048">
        <v>-6410000000</v>
      </c>
      <c r="O61" s="1048">
        <v>-5400000000</v>
      </c>
      <c r="P61" s="1048">
        <v>9413144000</v>
      </c>
      <c r="Q61" s="1048">
        <v>376500000</v>
      </c>
      <c r="R61" s="1076"/>
      <c r="S61" s="1076"/>
      <c r="T61" s="1076"/>
      <c r="U61" s="1076"/>
      <c r="V61" s="1076"/>
      <c r="W61" s="1076"/>
      <c r="X61" s="1010"/>
      <c r="Y61" s="1008"/>
      <c r="Z61" s="1008"/>
      <c r="AA61" s="1007"/>
      <c r="AB61" s="1007"/>
      <c r="AC61" s="1007"/>
      <c r="AD61" s="1007"/>
      <c r="AE61" s="1007"/>
      <c r="AF61" s="1007"/>
      <c r="AG61" s="1007"/>
      <c r="AH61" s="365"/>
      <c r="AI61" s="365"/>
      <c r="AJ61" s="365"/>
      <c r="AK61" s="365"/>
      <c r="AL61" s="365"/>
      <c r="AM61" s="365"/>
      <c r="AN61" s="365"/>
      <c r="AO61" s="365"/>
      <c r="AP61" s="365"/>
      <c r="AQ61" s="365"/>
      <c r="AR61" s="365"/>
      <c r="AS61" s="365"/>
      <c r="AT61" s="365"/>
      <c r="AU61" s="365"/>
    </row>
    <row r="62" spans="1:47">
      <c r="A62" s="1546" t="s">
        <v>3134</v>
      </c>
      <c r="B62" s="988" t="s">
        <v>3135</v>
      </c>
      <c r="C62" s="981" t="s">
        <v>124</v>
      </c>
      <c r="D62" s="1050"/>
      <c r="E62" s="1050"/>
      <c r="F62" s="1050"/>
      <c r="G62" s="1050"/>
      <c r="H62" s="1050"/>
      <c r="I62" s="1050"/>
      <c r="J62" s="1050"/>
      <c r="K62" s="1050"/>
      <c r="L62" s="1050"/>
      <c r="M62" s="1050"/>
      <c r="N62" s="1050"/>
      <c r="O62" s="1050"/>
      <c r="P62" s="1048">
        <v>0</v>
      </c>
      <c r="Q62" s="1048">
        <v>0</v>
      </c>
      <c r="R62" s="1076"/>
      <c r="S62" s="1076"/>
      <c r="T62" s="1076"/>
      <c r="U62" s="1076"/>
      <c r="V62" s="1076"/>
      <c r="W62" s="1076"/>
      <c r="X62" s="1010"/>
      <c r="Y62" s="1008"/>
      <c r="Z62" s="1008"/>
      <c r="AA62" s="1007"/>
      <c r="AB62" s="1007"/>
      <c r="AC62" s="1007"/>
      <c r="AD62" s="1007"/>
      <c r="AE62" s="1007"/>
      <c r="AF62" s="1007"/>
      <c r="AG62" s="1007"/>
      <c r="AH62" s="365"/>
      <c r="AI62" s="365"/>
      <c r="AJ62" s="365"/>
      <c r="AK62" s="365"/>
      <c r="AL62" s="365"/>
      <c r="AM62" s="365"/>
      <c r="AN62" s="365"/>
      <c r="AO62" s="365"/>
      <c r="AP62" s="365"/>
      <c r="AQ62" s="365"/>
      <c r="AR62" s="365"/>
      <c r="AS62" s="365"/>
      <c r="AT62" s="365"/>
      <c r="AU62" s="365"/>
    </row>
    <row r="63" spans="1:47">
      <c r="A63" s="981" t="s">
        <v>3136</v>
      </c>
      <c r="B63" s="981" t="s">
        <v>3137</v>
      </c>
      <c r="C63" s="981" t="s">
        <v>252</v>
      </c>
      <c r="D63" s="1050"/>
      <c r="E63" s="1050"/>
      <c r="F63" s="1050"/>
      <c r="G63" s="1050"/>
      <c r="H63" s="1050"/>
      <c r="I63" s="1050"/>
      <c r="J63" s="1050"/>
      <c r="K63" s="1050"/>
      <c r="L63" s="1050"/>
      <c r="M63" s="1050"/>
      <c r="N63" s="1050"/>
      <c r="O63" s="1050"/>
      <c r="P63" s="1048">
        <v>-1810220000</v>
      </c>
      <c r="Q63" s="1048">
        <v>-1506000000</v>
      </c>
      <c r="R63" s="1076">
        <v>-1728000000</v>
      </c>
      <c r="S63" s="1076">
        <v>-1815000000</v>
      </c>
      <c r="T63" s="1076">
        <v>-2051000000</v>
      </c>
      <c r="U63" s="1076">
        <v>-2301000000</v>
      </c>
      <c r="V63" s="1076">
        <v>-2305000000</v>
      </c>
      <c r="W63" s="1076">
        <v>-2526000000</v>
      </c>
      <c r="X63" s="1010">
        <v>-2652000000</v>
      </c>
      <c r="Y63" s="1008">
        <v>-2560000000</v>
      </c>
      <c r="Z63" s="1008">
        <v>-2656000000</v>
      </c>
      <c r="AA63" s="1547"/>
      <c r="AB63" s="1007"/>
      <c r="AC63" s="1007"/>
      <c r="AD63" s="1007"/>
      <c r="AE63" s="1007"/>
      <c r="AF63" s="1007"/>
      <c r="AG63" s="1007"/>
      <c r="AH63" s="365"/>
      <c r="AI63" s="365"/>
      <c r="AJ63" s="365"/>
      <c r="AK63" s="365"/>
      <c r="AL63" s="365"/>
      <c r="AM63" s="365"/>
      <c r="AN63" s="365"/>
      <c r="AO63" s="365"/>
      <c r="AP63" s="365"/>
      <c r="AQ63" s="365"/>
      <c r="AR63" s="365"/>
      <c r="AS63" s="365"/>
      <c r="AT63" s="365"/>
      <c r="AU63" s="365"/>
    </row>
    <row r="64" spans="1:47">
      <c r="A64" s="981" t="s">
        <v>2259</v>
      </c>
      <c r="B64" s="981" t="s">
        <v>3138</v>
      </c>
      <c r="C64" s="981" t="s">
        <v>252</v>
      </c>
      <c r="D64" s="1050"/>
      <c r="E64" s="1050"/>
      <c r="F64" s="1050"/>
      <c r="G64" s="1050"/>
      <c r="H64" s="1050">
        <v>8721432000</v>
      </c>
      <c r="I64" s="1050">
        <v>0</v>
      </c>
      <c r="J64" s="1050">
        <v>-409370000</v>
      </c>
      <c r="K64" s="1050">
        <v>0</v>
      </c>
      <c r="L64" s="1048">
        <v>109000000</v>
      </c>
      <c r="M64" s="1048">
        <v>-56000000</v>
      </c>
      <c r="N64" s="1048">
        <v>-78000000</v>
      </c>
      <c r="O64" s="1048"/>
      <c r="P64" s="1048">
        <v>0</v>
      </c>
      <c r="Q64" s="1048">
        <v>0</v>
      </c>
      <c r="R64" s="1009">
        <f>R45-R46-R52-R63</f>
        <v>0</v>
      </c>
      <c r="S64" s="1009">
        <f t="shared" ref="S64:Z64" si="11">S45-S46-S52-S63</f>
        <v>0</v>
      </c>
      <c r="T64" s="1009">
        <f t="shared" si="11"/>
        <v>0</v>
      </c>
      <c r="U64" s="1009">
        <f t="shared" si="11"/>
        <v>0</v>
      </c>
      <c r="V64" s="1009">
        <f t="shared" si="11"/>
        <v>0</v>
      </c>
      <c r="W64" s="1009">
        <f t="shared" si="11"/>
        <v>0</v>
      </c>
      <c r="X64" s="1009">
        <f t="shared" si="11"/>
        <v>0</v>
      </c>
      <c r="Y64" s="1009">
        <f t="shared" si="11"/>
        <v>0</v>
      </c>
      <c r="Z64" s="1009">
        <f t="shared" si="11"/>
        <v>0</v>
      </c>
      <c r="AA64" s="1007"/>
      <c r="AB64" s="1007"/>
      <c r="AC64" s="1007"/>
      <c r="AD64" s="1007"/>
      <c r="AE64" s="1007"/>
      <c r="AF64" s="1007"/>
      <c r="AG64" s="1007"/>
      <c r="AH64" s="365"/>
      <c r="AI64" s="365"/>
      <c r="AJ64" s="365"/>
      <c r="AK64" s="365"/>
      <c r="AL64" s="365"/>
      <c r="AM64" s="365"/>
      <c r="AN64" s="365"/>
      <c r="AO64" s="365"/>
      <c r="AP64" s="365"/>
      <c r="AQ64" s="365"/>
      <c r="AR64" s="365"/>
      <c r="AS64" s="365"/>
      <c r="AT64" s="365"/>
      <c r="AU64" s="365"/>
    </row>
    <row r="65" spans="2:47">
      <c r="B65" s="981" t="s">
        <v>3139</v>
      </c>
      <c r="C65" s="997"/>
      <c r="D65" s="1050"/>
      <c r="E65" s="1050"/>
      <c r="F65" s="1050"/>
      <c r="G65" s="1050"/>
      <c r="H65" s="1050"/>
      <c r="I65" s="1050"/>
      <c r="J65" s="1050"/>
      <c r="K65" s="1050"/>
      <c r="L65" s="1050"/>
      <c r="M65" s="1050"/>
      <c r="N65" s="1050"/>
      <c r="O65" s="1050"/>
      <c r="P65" s="1048">
        <v>0</v>
      </c>
      <c r="Q65" s="1048">
        <v>0</v>
      </c>
      <c r="R65" s="1076"/>
      <c r="S65" s="1076"/>
      <c r="T65" s="1076"/>
      <c r="U65" s="1076"/>
      <c r="V65" s="1076"/>
      <c r="W65" s="1076"/>
      <c r="X65" s="1010"/>
      <c r="Y65" s="1008"/>
      <c r="Z65" s="1008"/>
      <c r="AA65" s="1007"/>
      <c r="AB65" s="1007"/>
      <c r="AC65" s="1007"/>
      <c r="AD65" s="1007"/>
      <c r="AE65" s="1007"/>
      <c r="AF65" s="1007"/>
      <c r="AG65" s="1007"/>
      <c r="AH65" s="365"/>
      <c r="AI65" s="365"/>
      <c r="AJ65" s="365"/>
      <c r="AK65" s="365"/>
      <c r="AL65" s="365"/>
      <c r="AM65" s="365"/>
      <c r="AN65" s="365"/>
      <c r="AO65" s="365"/>
      <c r="AP65" s="365"/>
      <c r="AQ65" s="365"/>
      <c r="AR65" s="365"/>
      <c r="AS65" s="365"/>
      <c r="AT65" s="365"/>
      <c r="AU65" s="365"/>
    </row>
    <row r="66" spans="2:47">
      <c r="B66" s="981" t="s">
        <v>3140</v>
      </c>
      <c r="C66" s="997"/>
      <c r="D66" s="1050"/>
      <c r="E66" s="1050"/>
      <c r="F66" s="1050"/>
      <c r="G66" s="1050"/>
      <c r="H66" s="1050"/>
      <c r="I66" s="1050"/>
      <c r="J66" s="1050"/>
      <c r="K66" s="1050"/>
      <c r="L66" s="1050"/>
      <c r="M66" s="1050"/>
      <c r="N66" s="1050"/>
      <c r="O66" s="1050"/>
      <c r="P66" s="1048"/>
      <c r="Q66" s="1048">
        <v>0</v>
      </c>
      <c r="R66" s="1076"/>
      <c r="S66" s="1076"/>
      <c r="T66" s="1076"/>
      <c r="U66" s="1076"/>
      <c r="V66" s="1076"/>
      <c r="W66" s="1076"/>
      <c r="X66" s="1010"/>
      <c r="Y66" s="1008"/>
      <c r="Z66" s="1008"/>
      <c r="AA66" s="1007"/>
      <c r="AB66" s="1007"/>
      <c r="AC66" s="1007"/>
      <c r="AD66" s="1007"/>
      <c r="AE66" s="1007"/>
      <c r="AF66" s="1007"/>
      <c r="AG66" s="1007"/>
      <c r="AH66" s="365"/>
      <c r="AI66" s="365"/>
      <c r="AJ66" s="365"/>
      <c r="AK66" s="365"/>
      <c r="AL66" s="365"/>
      <c r="AM66" s="365"/>
      <c r="AN66" s="365"/>
      <c r="AO66" s="365"/>
      <c r="AP66" s="365"/>
      <c r="AQ66" s="365"/>
      <c r="AR66" s="365"/>
      <c r="AS66" s="365"/>
      <c r="AT66" s="365"/>
      <c r="AU66" s="365"/>
    </row>
    <row r="67" spans="2:47">
      <c r="B67" s="981" t="s">
        <v>3141</v>
      </c>
      <c r="C67" s="997"/>
      <c r="D67" s="1050"/>
      <c r="E67" s="1050"/>
      <c r="F67" s="1050"/>
      <c r="G67" s="1050"/>
      <c r="H67" s="1050"/>
      <c r="I67" s="1050"/>
      <c r="J67" s="1050"/>
      <c r="K67" s="1050"/>
      <c r="L67" s="1050"/>
      <c r="M67" s="1050"/>
      <c r="N67" s="1050"/>
      <c r="O67" s="1050"/>
      <c r="P67" s="1048"/>
      <c r="Q67" s="1048">
        <v>0</v>
      </c>
      <c r="R67" s="1076"/>
      <c r="S67" s="1076"/>
      <c r="T67" s="1076"/>
      <c r="U67" s="1076"/>
      <c r="V67" s="1076"/>
      <c r="W67" s="1076"/>
      <c r="X67" s="1076"/>
      <c r="Y67" s="1076"/>
      <c r="Z67" s="1076"/>
      <c r="AA67" s="1007"/>
      <c r="AB67" s="1007"/>
      <c r="AC67" s="1007"/>
      <c r="AD67" s="1007"/>
      <c r="AE67" s="1007"/>
      <c r="AF67" s="1007"/>
      <c r="AG67" s="1007"/>
      <c r="AH67" s="365"/>
      <c r="AI67" s="365"/>
      <c r="AJ67" s="365"/>
      <c r="AK67" s="365"/>
      <c r="AL67" s="365"/>
      <c r="AM67" s="365"/>
      <c r="AN67" s="365"/>
      <c r="AO67" s="365"/>
      <c r="AP67" s="365"/>
      <c r="AQ67" s="365"/>
      <c r="AR67" s="365"/>
      <c r="AS67" s="365"/>
      <c r="AT67" s="365"/>
      <c r="AU67" s="365"/>
    </row>
    <row r="68" spans="2:47">
      <c r="B68" s="2560" t="s">
        <v>688</v>
      </c>
      <c r="C68" s="997"/>
      <c r="D68" s="1050"/>
      <c r="E68" s="1050"/>
      <c r="F68" s="1050"/>
      <c r="G68" s="1050"/>
      <c r="H68" s="1050"/>
      <c r="I68" s="1050"/>
      <c r="J68" s="1050"/>
      <c r="K68" s="1050"/>
      <c r="L68" s="1050"/>
      <c r="M68" s="1050"/>
      <c r="N68" s="1050"/>
      <c r="O68" s="1050"/>
      <c r="P68" s="1048"/>
      <c r="Q68" s="1048"/>
      <c r="R68" s="1076">
        <f>R69+R73</f>
        <v>-746000000</v>
      </c>
      <c r="S68" s="1076">
        <f t="shared" ref="S68:Z68" si="12">S69+S73</f>
        <v>-4122000000</v>
      </c>
      <c r="T68" s="1076">
        <f t="shared" si="12"/>
        <v>-364000000</v>
      </c>
      <c r="U68" s="1076">
        <f t="shared" si="12"/>
        <v>4213000000</v>
      </c>
      <c r="V68" s="1076">
        <f t="shared" si="12"/>
        <v>-5852000000</v>
      </c>
      <c r="W68" s="1076">
        <f t="shared" si="12"/>
        <v>-8966000000</v>
      </c>
      <c r="X68" s="1076">
        <f t="shared" si="12"/>
        <v>5519000000</v>
      </c>
      <c r="Y68" s="1076">
        <f t="shared" si="12"/>
        <v>8770000000</v>
      </c>
      <c r="Z68" s="1076">
        <f t="shared" si="12"/>
        <v>21907000000</v>
      </c>
      <c r="AA68" s="1007"/>
      <c r="AB68" s="1007"/>
      <c r="AC68" s="1007"/>
      <c r="AD68" s="1007"/>
      <c r="AE68" s="1007"/>
      <c r="AF68" s="1007"/>
      <c r="AG68" s="1007"/>
      <c r="AH68" s="365"/>
      <c r="AI68" s="365"/>
      <c r="AJ68" s="365"/>
      <c r="AK68" s="365"/>
      <c r="AL68" s="365"/>
      <c r="AM68" s="365"/>
      <c r="AN68" s="365"/>
      <c r="AO68" s="365"/>
      <c r="AP68" s="365"/>
      <c r="AQ68" s="365"/>
      <c r="AR68" s="365"/>
      <c r="AS68" s="365"/>
      <c r="AT68" s="365"/>
      <c r="AU68" s="365"/>
    </row>
    <row r="69" spans="2:47">
      <c r="B69" s="2561" t="s">
        <v>212</v>
      </c>
      <c r="C69" s="997"/>
      <c r="D69" s="1050"/>
      <c r="E69" s="1050"/>
      <c r="F69" s="1050"/>
      <c r="G69" s="1050"/>
      <c r="H69" s="1050"/>
      <c r="I69" s="1050"/>
      <c r="J69" s="1050"/>
      <c r="K69" s="1050"/>
      <c r="L69" s="1050"/>
      <c r="M69" s="1050"/>
      <c r="N69" s="1050"/>
      <c r="O69" s="1050"/>
      <c r="P69" s="1048"/>
      <c r="Q69" s="1048"/>
      <c r="R69" s="1076">
        <f>R70+R71+R72</f>
        <v>27000000</v>
      </c>
      <c r="S69" s="1076">
        <f t="shared" ref="S69:Z69" si="13">S70+S71+S72</f>
        <v>0</v>
      </c>
      <c r="T69" s="1076">
        <f t="shared" si="13"/>
        <v>49000000</v>
      </c>
      <c r="U69" s="1076">
        <f t="shared" si="13"/>
        <v>0</v>
      </c>
      <c r="V69" s="1076">
        <f t="shared" si="13"/>
        <v>0</v>
      </c>
      <c r="W69" s="1076">
        <f t="shared" si="13"/>
        <v>0</v>
      </c>
      <c r="X69" s="1076">
        <f t="shared" si="13"/>
        <v>0</v>
      </c>
      <c r="Y69" s="1076">
        <f t="shared" si="13"/>
        <v>0</v>
      </c>
      <c r="Z69" s="1076">
        <f t="shared" si="13"/>
        <v>0</v>
      </c>
      <c r="AA69" s="1007"/>
      <c r="AB69" s="1007"/>
      <c r="AC69" s="1007"/>
      <c r="AD69" s="1007"/>
      <c r="AE69" s="1007"/>
      <c r="AF69" s="1007"/>
      <c r="AG69" s="1007"/>
      <c r="AH69" s="365"/>
      <c r="AI69" s="365"/>
      <c r="AJ69" s="365"/>
      <c r="AK69" s="365"/>
      <c r="AL69" s="365"/>
      <c r="AM69" s="365"/>
      <c r="AN69" s="365"/>
      <c r="AO69" s="365"/>
      <c r="AP69" s="365"/>
      <c r="AQ69" s="365"/>
      <c r="AR69" s="365"/>
      <c r="AS69" s="365"/>
      <c r="AT69" s="365"/>
      <c r="AU69" s="365"/>
    </row>
    <row r="70" spans="2:47">
      <c r="B70" s="2561" t="s">
        <v>2781</v>
      </c>
      <c r="C70" s="997"/>
      <c r="D70" s="1050"/>
      <c r="E70" s="1050"/>
      <c r="F70" s="1050"/>
      <c r="G70" s="1050"/>
      <c r="H70" s="1050"/>
      <c r="I70" s="1050"/>
      <c r="J70" s="1050"/>
      <c r="K70" s="1050"/>
      <c r="L70" s="1050"/>
      <c r="M70" s="1050"/>
      <c r="N70" s="1050"/>
      <c r="O70" s="1050"/>
      <c r="P70" s="1048"/>
      <c r="Q70" s="1048"/>
      <c r="R70" s="1076">
        <v>27000000</v>
      </c>
      <c r="S70" s="1076">
        <v>0</v>
      </c>
      <c r="T70" s="1076">
        <v>49000000</v>
      </c>
      <c r="U70" s="1076">
        <v>0</v>
      </c>
      <c r="V70" s="1076">
        <v>0</v>
      </c>
      <c r="W70" s="1076">
        <v>0</v>
      </c>
      <c r="X70" s="1010">
        <v>0</v>
      </c>
      <c r="Y70" s="1008">
        <v>0</v>
      </c>
      <c r="Z70" s="1008">
        <v>0</v>
      </c>
      <c r="AA70" s="1007"/>
      <c r="AB70" s="1007"/>
      <c r="AC70" s="1007"/>
      <c r="AD70" s="1007"/>
      <c r="AE70" s="1007"/>
      <c r="AF70" s="1007"/>
      <c r="AG70" s="1007"/>
      <c r="AH70" s="365"/>
      <c r="AI70" s="365"/>
      <c r="AJ70" s="365"/>
      <c r="AK70" s="365"/>
      <c r="AL70" s="365"/>
      <c r="AM70" s="365"/>
      <c r="AN70" s="365"/>
      <c r="AO70" s="365"/>
      <c r="AP70" s="365"/>
      <c r="AQ70" s="365"/>
      <c r="AR70" s="365"/>
      <c r="AS70" s="365"/>
      <c r="AT70" s="365"/>
      <c r="AU70" s="365"/>
    </row>
    <row r="71" spans="2:47">
      <c r="B71" s="2561" t="s">
        <v>444</v>
      </c>
      <c r="C71" s="997"/>
      <c r="D71" s="1050"/>
      <c r="E71" s="1050"/>
      <c r="F71" s="1050"/>
      <c r="G71" s="1050"/>
      <c r="H71" s="1050"/>
      <c r="I71" s="1050"/>
      <c r="J71" s="1050"/>
      <c r="K71" s="1050"/>
      <c r="L71" s="1050"/>
      <c r="M71" s="1050"/>
      <c r="N71" s="1050"/>
      <c r="O71" s="1050"/>
      <c r="P71" s="1048"/>
      <c r="Q71" s="1048"/>
      <c r="R71" s="1076">
        <v>0</v>
      </c>
      <c r="S71" s="1076">
        <v>0</v>
      </c>
      <c r="T71" s="1076">
        <v>0</v>
      </c>
      <c r="U71" s="1076">
        <v>0</v>
      </c>
      <c r="V71" s="1076">
        <v>0</v>
      </c>
      <c r="W71" s="1076">
        <v>0</v>
      </c>
      <c r="X71" s="1010">
        <v>0</v>
      </c>
      <c r="Y71" s="1008">
        <v>0</v>
      </c>
      <c r="Z71" s="1008">
        <v>0</v>
      </c>
      <c r="AA71" s="1007"/>
      <c r="AB71" s="1007"/>
      <c r="AC71" s="1007"/>
      <c r="AD71" s="1007"/>
      <c r="AE71" s="1007"/>
      <c r="AF71" s="1007"/>
      <c r="AG71" s="1007"/>
      <c r="AH71" s="365"/>
      <c r="AI71" s="365"/>
      <c r="AJ71" s="365"/>
      <c r="AK71" s="365"/>
      <c r="AL71" s="365"/>
      <c r="AM71" s="365"/>
      <c r="AN71" s="365"/>
      <c r="AO71" s="365"/>
      <c r="AP71" s="365"/>
      <c r="AQ71" s="365"/>
      <c r="AR71" s="365"/>
      <c r="AS71" s="365"/>
      <c r="AT71" s="365"/>
      <c r="AU71" s="365"/>
    </row>
    <row r="72" spans="2:47">
      <c r="B72" s="2561" t="s">
        <v>3142</v>
      </c>
      <c r="C72" s="997"/>
      <c r="D72" s="1050"/>
      <c r="E72" s="1050"/>
      <c r="F72" s="1050"/>
      <c r="G72" s="1050"/>
      <c r="H72" s="1050"/>
      <c r="I72" s="1050"/>
      <c r="J72" s="1050"/>
      <c r="K72" s="1050"/>
      <c r="L72" s="1050"/>
      <c r="M72" s="1050"/>
      <c r="N72" s="1050"/>
      <c r="O72" s="1050"/>
      <c r="P72" s="1048"/>
      <c r="Q72" s="1048"/>
      <c r="R72" s="1076">
        <v>0</v>
      </c>
      <c r="S72" s="1076">
        <v>0</v>
      </c>
      <c r="T72" s="1076">
        <v>0</v>
      </c>
      <c r="U72" s="1076">
        <v>0</v>
      </c>
      <c r="V72" s="1076">
        <v>0</v>
      </c>
      <c r="W72" s="1076">
        <v>0</v>
      </c>
      <c r="X72" s="1010">
        <v>0</v>
      </c>
      <c r="Y72" s="1008">
        <v>0</v>
      </c>
      <c r="Z72" s="1008">
        <v>0</v>
      </c>
      <c r="AA72" s="1007"/>
      <c r="AB72" s="1007"/>
      <c r="AC72" s="1007"/>
      <c r="AD72" s="1007"/>
      <c r="AE72" s="1007"/>
      <c r="AF72" s="1007"/>
      <c r="AG72" s="1007"/>
      <c r="AH72" s="365"/>
      <c r="AI72" s="365"/>
      <c r="AJ72" s="365"/>
      <c r="AK72" s="365"/>
      <c r="AL72" s="365"/>
      <c r="AM72" s="365"/>
      <c r="AN72" s="365"/>
      <c r="AO72" s="365"/>
      <c r="AP72" s="365"/>
      <c r="AQ72" s="365"/>
      <c r="AR72" s="365"/>
      <c r="AS72" s="365"/>
      <c r="AT72" s="365"/>
      <c r="AU72" s="365"/>
    </row>
    <row r="73" spans="2:47">
      <c r="B73" s="2561" t="s">
        <v>209</v>
      </c>
      <c r="C73" s="997"/>
      <c r="D73" s="1050"/>
      <c r="E73" s="1050"/>
      <c r="F73" s="1050"/>
      <c r="G73" s="1050"/>
      <c r="H73" s="1050"/>
      <c r="I73" s="1050"/>
      <c r="J73" s="1050"/>
      <c r="K73" s="1050"/>
      <c r="L73" s="1050"/>
      <c r="M73" s="1050"/>
      <c r="N73" s="1050"/>
      <c r="O73" s="1050"/>
      <c r="P73" s="1048"/>
      <c r="Q73" s="1048"/>
      <c r="R73" s="1076">
        <f>R74+R75+R76</f>
        <v>-773000000</v>
      </c>
      <c r="S73" s="1076">
        <f t="shared" ref="S73:Z73" si="14">S74+S75+S76</f>
        <v>-4122000000</v>
      </c>
      <c r="T73" s="1076">
        <f t="shared" si="14"/>
        <v>-413000000</v>
      </c>
      <c r="U73" s="1076">
        <f t="shared" si="14"/>
        <v>4213000000</v>
      </c>
      <c r="V73" s="1076">
        <f t="shared" si="14"/>
        <v>-5852000000</v>
      </c>
      <c r="W73" s="1076">
        <f t="shared" si="14"/>
        <v>-8966000000</v>
      </c>
      <c r="X73" s="1076">
        <f t="shared" si="14"/>
        <v>5519000000</v>
      </c>
      <c r="Y73" s="1076">
        <f t="shared" si="14"/>
        <v>8770000000</v>
      </c>
      <c r="Z73" s="1076">
        <f t="shared" si="14"/>
        <v>21907000000</v>
      </c>
      <c r="AA73" s="1007"/>
      <c r="AB73" s="1007"/>
      <c r="AC73" s="1007"/>
      <c r="AD73" s="1007"/>
      <c r="AE73" s="1007"/>
      <c r="AF73" s="1007"/>
      <c r="AG73" s="1007"/>
      <c r="AH73" s="365"/>
      <c r="AI73" s="365"/>
      <c r="AJ73" s="365"/>
      <c r="AK73" s="365"/>
      <c r="AL73" s="365"/>
      <c r="AM73" s="365"/>
      <c r="AN73" s="365"/>
      <c r="AO73" s="365"/>
      <c r="AP73" s="365"/>
      <c r="AQ73" s="365"/>
      <c r="AR73" s="365"/>
      <c r="AS73" s="365"/>
      <c r="AT73" s="365"/>
      <c r="AU73" s="365"/>
    </row>
    <row r="74" spans="2:47">
      <c r="B74" s="2561" t="s">
        <v>2781</v>
      </c>
      <c r="C74" s="997"/>
      <c r="D74" s="1050"/>
      <c r="E74" s="1050"/>
      <c r="F74" s="1050"/>
      <c r="G74" s="1050"/>
      <c r="H74" s="1050"/>
      <c r="I74" s="1050"/>
      <c r="J74" s="1050"/>
      <c r="K74" s="1050"/>
      <c r="L74" s="1050"/>
      <c r="M74" s="1050"/>
      <c r="N74" s="1050"/>
      <c r="O74" s="1050"/>
      <c r="P74" s="1048"/>
      <c r="Q74" s="1048"/>
      <c r="R74" s="1076">
        <v>-1178000000</v>
      </c>
      <c r="S74" s="1076">
        <v>-3578000000</v>
      </c>
      <c r="T74" s="1076">
        <v>2539000000</v>
      </c>
      <c r="U74" s="1076">
        <v>5284000000</v>
      </c>
      <c r="V74" s="1076">
        <v>-5252000000</v>
      </c>
      <c r="W74" s="1076">
        <v>-8486000000</v>
      </c>
      <c r="X74" s="1010">
        <v>5903000000</v>
      </c>
      <c r="Y74" s="1008">
        <v>9070000000</v>
      </c>
      <c r="Z74" s="1008">
        <v>22207000000</v>
      </c>
      <c r="AA74" s="1007"/>
      <c r="AB74" s="1007"/>
      <c r="AC74" s="1007"/>
      <c r="AD74" s="1007"/>
      <c r="AE74" s="1007"/>
      <c r="AF74" s="1007"/>
      <c r="AG74" s="1007"/>
      <c r="AH74" s="365"/>
      <c r="AI74" s="365"/>
      <c r="AJ74" s="365"/>
      <c r="AK74" s="365"/>
      <c r="AL74" s="365"/>
      <c r="AM74" s="365"/>
      <c r="AN74" s="365"/>
      <c r="AO74" s="365"/>
      <c r="AP74" s="365"/>
      <c r="AQ74" s="365"/>
      <c r="AR74" s="365"/>
      <c r="AS74" s="365"/>
      <c r="AT74" s="365"/>
      <c r="AU74" s="365"/>
    </row>
    <row r="75" spans="2:47">
      <c r="B75" s="2561" t="s">
        <v>690</v>
      </c>
      <c r="C75" s="997"/>
      <c r="D75" s="1050"/>
      <c r="E75" s="1050"/>
      <c r="F75" s="1050"/>
      <c r="G75" s="1050"/>
      <c r="H75" s="1050"/>
      <c r="I75" s="1050"/>
      <c r="J75" s="1050"/>
      <c r="K75" s="1050"/>
      <c r="L75" s="1050"/>
      <c r="M75" s="1050"/>
      <c r="N75" s="1050"/>
      <c r="O75" s="1050"/>
      <c r="P75" s="1048"/>
      <c r="Q75" s="1048"/>
      <c r="R75" s="1076">
        <v>0</v>
      </c>
      <c r="S75" s="1076">
        <v>0</v>
      </c>
      <c r="T75" s="1076">
        <v>0</v>
      </c>
      <c r="U75" s="1076">
        <v>0</v>
      </c>
      <c r="V75" s="1076">
        <v>0</v>
      </c>
      <c r="W75" s="1076">
        <v>0</v>
      </c>
      <c r="X75" s="1010">
        <v>0</v>
      </c>
      <c r="Y75" s="1008">
        <v>0</v>
      </c>
      <c r="Z75" s="1008">
        <v>0</v>
      </c>
      <c r="AA75" s="1007"/>
      <c r="AB75" s="1007"/>
      <c r="AC75" s="1007"/>
      <c r="AD75" s="1007"/>
      <c r="AE75" s="1007"/>
      <c r="AF75" s="1007"/>
      <c r="AG75" s="1007"/>
      <c r="AH75" s="365"/>
      <c r="AI75" s="365"/>
      <c r="AJ75" s="365"/>
      <c r="AK75" s="365"/>
      <c r="AL75" s="365"/>
      <c r="AM75" s="365"/>
      <c r="AN75" s="365"/>
      <c r="AO75" s="365"/>
      <c r="AP75" s="365"/>
      <c r="AQ75" s="365"/>
      <c r="AR75" s="365"/>
      <c r="AS75" s="365"/>
      <c r="AT75" s="365"/>
      <c r="AU75" s="365"/>
    </row>
    <row r="76" spans="2:47">
      <c r="B76" s="2561" t="s">
        <v>444</v>
      </c>
      <c r="C76" s="997"/>
      <c r="D76" s="1050"/>
      <c r="E76" s="1050"/>
      <c r="F76" s="1050"/>
      <c r="G76" s="1050"/>
      <c r="H76" s="1050"/>
      <c r="I76" s="1050"/>
      <c r="J76" s="1050"/>
      <c r="K76" s="1050"/>
      <c r="L76" s="1050"/>
      <c r="M76" s="1050"/>
      <c r="N76" s="1050"/>
      <c r="O76" s="1050"/>
      <c r="P76" s="1048"/>
      <c r="Q76" s="1048"/>
      <c r="R76" s="1076">
        <v>405000000</v>
      </c>
      <c r="S76" s="1076">
        <v>-544000000</v>
      </c>
      <c r="T76" s="1076">
        <v>-2952000000</v>
      </c>
      <c r="U76" s="1076">
        <v>-1071000000</v>
      </c>
      <c r="V76" s="1076">
        <v>-600000000</v>
      </c>
      <c r="W76" s="1076">
        <v>-480000000</v>
      </c>
      <c r="X76" s="1010">
        <v>-384000000</v>
      </c>
      <c r="Y76" s="1008">
        <v>-300000000</v>
      </c>
      <c r="Z76" s="1008">
        <v>-300000000</v>
      </c>
      <c r="AA76" s="1007"/>
      <c r="AB76" s="1007"/>
      <c r="AC76" s="1007"/>
      <c r="AD76" s="1007"/>
      <c r="AE76" s="1007"/>
      <c r="AF76" s="1007"/>
      <c r="AG76" s="1007"/>
      <c r="AH76" s="365"/>
      <c r="AI76" s="365"/>
      <c r="AJ76" s="365"/>
      <c r="AK76" s="365"/>
      <c r="AL76" s="365"/>
      <c r="AM76" s="365"/>
      <c r="AN76" s="365"/>
      <c r="AO76" s="365"/>
      <c r="AP76" s="365"/>
      <c r="AQ76" s="365"/>
      <c r="AR76" s="365"/>
      <c r="AS76" s="365"/>
      <c r="AT76" s="365"/>
      <c r="AU76" s="365"/>
    </row>
    <row r="77" spans="2:47">
      <c r="B77" s="2561" t="s">
        <v>3142</v>
      </c>
      <c r="C77" s="997"/>
      <c r="D77" s="1050"/>
      <c r="E77" s="1050"/>
      <c r="F77" s="1050"/>
      <c r="G77" s="1050"/>
      <c r="H77" s="1050"/>
      <c r="I77" s="1050"/>
      <c r="J77" s="1050"/>
      <c r="K77" s="1050"/>
      <c r="L77" s="1050"/>
      <c r="M77" s="1050"/>
      <c r="N77" s="1050"/>
      <c r="O77" s="1050"/>
      <c r="P77" s="1048"/>
      <c r="Q77" s="1048"/>
      <c r="R77" s="1076">
        <v>0</v>
      </c>
      <c r="S77" s="1076">
        <v>0</v>
      </c>
      <c r="T77" s="1076">
        <v>0</v>
      </c>
      <c r="U77" s="1076">
        <v>0</v>
      </c>
      <c r="V77" s="1076">
        <v>0</v>
      </c>
      <c r="W77" s="1076">
        <v>0</v>
      </c>
      <c r="X77" s="1010">
        <v>0</v>
      </c>
      <c r="Y77" s="1008">
        <v>0</v>
      </c>
      <c r="Z77" s="1008">
        <v>0</v>
      </c>
      <c r="AA77" s="1007"/>
      <c r="AB77" s="1007"/>
      <c r="AC77" s="1007"/>
      <c r="AD77" s="1007"/>
      <c r="AE77" s="1007"/>
      <c r="AF77" s="1007"/>
      <c r="AG77" s="1007"/>
      <c r="AH77" s="365"/>
      <c r="AI77" s="365"/>
      <c r="AJ77" s="365"/>
      <c r="AK77" s="365"/>
      <c r="AL77" s="365"/>
      <c r="AM77" s="365"/>
      <c r="AN77" s="365"/>
      <c r="AO77" s="365"/>
      <c r="AP77" s="365"/>
      <c r="AQ77" s="365"/>
      <c r="AR77" s="365"/>
      <c r="AS77" s="365"/>
      <c r="AT77" s="365"/>
      <c r="AU77" s="365"/>
    </row>
    <row r="78" spans="2:47">
      <c r="B78" s="2560" t="s">
        <v>689</v>
      </c>
      <c r="C78" s="997"/>
      <c r="D78" s="1050"/>
      <c r="E78" s="1050"/>
      <c r="F78" s="1050"/>
      <c r="G78" s="1050"/>
      <c r="H78" s="1050"/>
      <c r="I78" s="1050"/>
      <c r="J78" s="1050"/>
      <c r="K78" s="1050"/>
      <c r="L78" s="1050"/>
      <c r="M78" s="1050"/>
      <c r="N78" s="1050"/>
      <c r="O78" s="1050"/>
      <c r="P78" s="1048"/>
      <c r="Q78" s="1048"/>
      <c r="R78" s="1076">
        <v>16819000000</v>
      </c>
      <c r="S78" s="1076">
        <v>8473000000</v>
      </c>
      <c r="T78" s="1076">
        <v>3027000000</v>
      </c>
      <c r="U78" s="1076">
        <v>2468000000</v>
      </c>
      <c r="V78" s="1076">
        <v>13053000000</v>
      </c>
      <c r="W78" s="1076">
        <v>15383000000</v>
      </c>
      <c r="X78" s="1010">
        <v>1143000000</v>
      </c>
      <c r="Y78" s="1008">
        <v>-2005000000</v>
      </c>
      <c r="Z78" s="1008">
        <v>-14919000000</v>
      </c>
      <c r="AA78" s="1007"/>
      <c r="AB78" s="1007"/>
      <c r="AC78" s="1007"/>
      <c r="AD78" s="1007"/>
      <c r="AE78" s="1007"/>
      <c r="AF78" s="1007"/>
      <c r="AG78" s="1007"/>
      <c r="AH78" s="365"/>
      <c r="AI78" s="365"/>
      <c r="AJ78" s="365"/>
      <c r="AK78" s="365"/>
      <c r="AL78" s="365"/>
      <c r="AM78" s="365"/>
      <c r="AN78" s="365"/>
      <c r="AO78" s="365"/>
      <c r="AP78" s="365"/>
      <c r="AQ78" s="365"/>
      <c r="AR78" s="365"/>
      <c r="AS78" s="365"/>
      <c r="AT78" s="365"/>
      <c r="AU78" s="365"/>
    </row>
    <row r="79" spans="2:47">
      <c r="B79" s="2560" t="s">
        <v>212</v>
      </c>
      <c r="C79" s="997"/>
      <c r="D79" s="1050"/>
      <c r="E79" s="1050"/>
      <c r="F79" s="1050"/>
      <c r="G79" s="1050"/>
      <c r="H79" s="1050"/>
      <c r="I79" s="1050"/>
      <c r="J79" s="1050"/>
      <c r="K79" s="1050"/>
      <c r="L79" s="1050"/>
      <c r="M79" s="1050"/>
      <c r="N79" s="1050"/>
      <c r="O79" s="1050"/>
      <c r="P79" s="1048"/>
      <c r="Q79" s="1048"/>
      <c r="R79" s="1076">
        <v>10332000000</v>
      </c>
      <c r="S79" s="1076">
        <v>9795000000</v>
      </c>
      <c r="T79" s="1076">
        <v>5151000000</v>
      </c>
      <c r="U79" s="1076">
        <v>28889000000</v>
      </c>
      <c r="V79" s="1076">
        <v>6456000000</v>
      </c>
      <c r="W79" s="1076">
        <v>13112000000</v>
      </c>
      <c r="X79" s="1010">
        <v>13981000000</v>
      </c>
      <c r="Y79" s="1008">
        <v>7881000000</v>
      </c>
      <c r="Z79" s="1008">
        <v>4702000000</v>
      </c>
      <c r="AA79" s="1007"/>
      <c r="AB79" s="1007"/>
      <c r="AC79" s="1007"/>
      <c r="AD79" s="1007"/>
      <c r="AE79" s="1007"/>
      <c r="AF79" s="1007"/>
      <c r="AG79" s="1007"/>
      <c r="AH79" s="365"/>
      <c r="AI79" s="365"/>
      <c r="AJ79" s="365"/>
      <c r="AK79" s="365"/>
      <c r="AL79" s="365"/>
      <c r="AM79" s="365"/>
      <c r="AN79" s="365"/>
      <c r="AO79" s="365"/>
      <c r="AP79" s="365"/>
      <c r="AQ79" s="365"/>
      <c r="AR79" s="365"/>
      <c r="AS79" s="365"/>
      <c r="AT79" s="365"/>
      <c r="AU79" s="365"/>
    </row>
    <row r="80" spans="2:47">
      <c r="B80" s="2560" t="s">
        <v>2781</v>
      </c>
      <c r="C80" s="997"/>
      <c r="D80" s="1050"/>
      <c r="E80" s="1050"/>
      <c r="F80" s="1050"/>
      <c r="G80" s="1050"/>
      <c r="H80" s="1050"/>
      <c r="I80" s="1050"/>
      <c r="J80" s="1050"/>
      <c r="K80" s="1050"/>
      <c r="L80" s="1050"/>
      <c r="M80" s="1050"/>
      <c r="N80" s="1050"/>
      <c r="O80" s="1050"/>
      <c r="P80" s="1048"/>
      <c r="Q80" s="1048"/>
      <c r="R80" s="1076">
        <v>0</v>
      </c>
      <c r="S80" s="1076">
        <v>0</v>
      </c>
      <c r="T80" s="1076">
        <v>0</v>
      </c>
      <c r="U80" s="1076">
        <v>0</v>
      </c>
      <c r="V80" s="1076">
        <v>0</v>
      </c>
      <c r="W80" s="1076">
        <v>0</v>
      </c>
      <c r="X80" s="1010">
        <v>0</v>
      </c>
      <c r="Y80" s="1008">
        <v>0</v>
      </c>
      <c r="Z80" s="1008">
        <v>0</v>
      </c>
      <c r="AA80" s="1007"/>
      <c r="AB80" s="1007"/>
      <c r="AC80" s="1007"/>
      <c r="AD80" s="1007"/>
      <c r="AE80" s="1007"/>
      <c r="AF80" s="1007"/>
      <c r="AG80" s="1007"/>
      <c r="AH80" s="365"/>
      <c r="AI80" s="365"/>
      <c r="AJ80" s="365"/>
      <c r="AK80" s="365"/>
      <c r="AL80" s="365"/>
      <c r="AM80" s="365"/>
      <c r="AN80" s="365"/>
      <c r="AO80" s="365"/>
      <c r="AP80" s="365"/>
      <c r="AQ80" s="365"/>
      <c r="AR80" s="365"/>
      <c r="AS80" s="365"/>
      <c r="AT80" s="365"/>
      <c r="AU80" s="365"/>
    </row>
    <row r="81" spans="2:47">
      <c r="B81" s="2560" t="s">
        <v>444</v>
      </c>
      <c r="C81" s="997"/>
      <c r="D81" s="1050"/>
      <c r="E81" s="1050"/>
      <c r="F81" s="1050"/>
      <c r="G81" s="1050"/>
      <c r="H81" s="1050"/>
      <c r="I81" s="1050"/>
      <c r="J81" s="1050"/>
      <c r="K81" s="1050"/>
      <c r="L81" s="1050"/>
      <c r="M81" s="1050"/>
      <c r="N81" s="1050"/>
      <c r="O81" s="1050"/>
      <c r="P81" s="1048"/>
      <c r="Q81" s="1048"/>
      <c r="R81" s="1076">
        <v>10299000000</v>
      </c>
      <c r="S81" s="1076">
        <v>9760000000</v>
      </c>
      <c r="T81" s="1076">
        <v>5127000000</v>
      </c>
      <c r="U81" s="1076">
        <v>28923000000</v>
      </c>
      <c r="V81" s="1076">
        <v>6555000000</v>
      </c>
      <c r="W81" s="1076">
        <v>13270000000</v>
      </c>
      <c r="X81" s="1010">
        <v>14138000000</v>
      </c>
      <c r="Y81" s="1008">
        <v>8039000000</v>
      </c>
      <c r="Z81" s="1008">
        <v>4859000000</v>
      </c>
      <c r="AA81" s="1007"/>
      <c r="AB81" s="1007"/>
      <c r="AC81" s="1007"/>
      <c r="AD81" s="1007"/>
      <c r="AE81" s="1007"/>
      <c r="AF81" s="1007"/>
      <c r="AG81" s="1007"/>
      <c r="AH81" s="365"/>
      <c r="AI81" s="365"/>
      <c r="AJ81" s="365"/>
      <c r="AK81" s="365"/>
      <c r="AL81" s="365"/>
      <c r="AM81" s="365"/>
      <c r="AN81" s="365"/>
      <c r="AO81" s="365"/>
      <c r="AP81" s="365"/>
      <c r="AQ81" s="365"/>
      <c r="AR81" s="365"/>
      <c r="AS81" s="365"/>
      <c r="AT81" s="365"/>
      <c r="AU81" s="365"/>
    </row>
    <row r="82" spans="2:47">
      <c r="B82" s="2560" t="s">
        <v>2264</v>
      </c>
      <c r="C82" s="997"/>
      <c r="D82" s="1050"/>
      <c r="E82" s="1050"/>
      <c r="F82" s="1050"/>
      <c r="G82" s="1050"/>
      <c r="H82" s="1050"/>
      <c r="I82" s="1050"/>
      <c r="J82" s="1050"/>
      <c r="K82" s="1050"/>
      <c r="L82" s="1050"/>
      <c r="M82" s="1050"/>
      <c r="N82" s="1050"/>
      <c r="O82" s="1050"/>
      <c r="P82" s="1048"/>
      <c r="Q82" s="1048"/>
      <c r="R82" s="1076">
        <v>0</v>
      </c>
      <c r="S82" s="1076">
        <v>0</v>
      </c>
      <c r="T82" s="1076">
        <v>0</v>
      </c>
      <c r="U82" s="1076">
        <v>0</v>
      </c>
      <c r="V82" s="1076">
        <v>0</v>
      </c>
      <c r="W82" s="1076">
        <v>0</v>
      </c>
      <c r="X82" s="1010">
        <v>0</v>
      </c>
      <c r="Y82" s="1008">
        <v>0</v>
      </c>
      <c r="Z82" s="1008">
        <v>0</v>
      </c>
      <c r="AA82" s="1007"/>
      <c r="AB82" s="1007"/>
      <c r="AC82" s="1007"/>
      <c r="AD82" s="1007"/>
      <c r="AE82" s="1007"/>
      <c r="AF82" s="1007"/>
      <c r="AG82" s="1007"/>
      <c r="AH82" s="365"/>
      <c r="AI82" s="365"/>
      <c r="AJ82" s="365"/>
      <c r="AK82" s="365"/>
      <c r="AL82" s="365"/>
      <c r="AM82" s="365"/>
      <c r="AN82" s="365"/>
      <c r="AO82" s="365"/>
      <c r="AP82" s="365"/>
      <c r="AQ82" s="365"/>
      <c r="AR82" s="365"/>
      <c r="AS82" s="365"/>
      <c r="AT82" s="365"/>
      <c r="AU82" s="365"/>
    </row>
    <row r="83" spans="2:47">
      <c r="B83" s="2560" t="s">
        <v>3143</v>
      </c>
      <c r="C83" s="997"/>
      <c r="D83" s="1050"/>
      <c r="E83" s="1050"/>
      <c r="F83" s="1050"/>
      <c r="G83" s="1050"/>
      <c r="H83" s="1050"/>
      <c r="I83" s="1050"/>
      <c r="J83" s="1050"/>
      <c r="K83" s="1050"/>
      <c r="L83" s="1050"/>
      <c r="M83" s="1050"/>
      <c r="N83" s="1050"/>
      <c r="O83" s="1050"/>
      <c r="P83" s="1048"/>
      <c r="Q83" s="1048"/>
      <c r="R83" s="1076">
        <v>195000000</v>
      </c>
      <c r="S83" s="1076">
        <v>215000000</v>
      </c>
      <c r="T83" s="1076">
        <v>224000000</v>
      </c>
      <c r="U83" s="1076">
        <v>176000000</v>
      </c>
      <c r="V83" s="1076">
        <v>149000000</v>
      </c>
      <c r="W83" s="1076">
        <v>120000000</v>
      </c>
      <c r="X83" s="1010">
        <v>120000000</v>
      </c>
      <c r="Y83" s="1008">
        <v>120000000</v>
      </c>
      <c r="Z83" s="1008">
        <v>120000000</v>
      </c>
      <c r="AA83" s="1007"/>
      <c r="AB83" s="1007"/>
      <c r="AC83" s="1007"/>
      <c r="AD83" s="1007"/>
      <c r="AE83" s="1007"/>
      <c r="AF83" s="1007"/>
      <c r="AG83" s="1007"/>
      <c r="AH83" s="365"/>
      <c r="AI83" s="365"/>
      <c r="AJ83" s="365"/>
      <c r="AK83" s="365"/>
      <c r="AL83" s="365"/>
      <c r="AM83" s="365"/>
      <c r="AN83" s="365"/>
      <c r="AO83" s="365"/>
      <c r="AP83" s="365"/>
      <c r="AQ83" s="365"/>
      <c r="AR83" s="365"/>
      <c r="AS83" s="365"/>
      <c r="AT83" s="365"/>
      <c r="AU83" s="365"/>
    </row>
    <row r="84" spans="2:47">
      <c r="B84" s="2560" t="s">
        <v>3144</v>
      </c>
      <c r="C84" s="997"/>
      <c r="D84" s="1050"/>
      <c r="E84" s="1050"/>
      <c r="F84" s="1050"/>
      <c r="G84" s="1050"/>
      <c r="H84" s="1050"/>
      <c r="I84" s="1050"/>
      <c r="J84" s="1050"/>
      <c r="K84" s="1050"/>
      <c r="L84" s="1050"/>
      <c r="M84" s="1050"/>
      <c r="N84" s="1050"/>
      <c r="O84" s="1050"/>
      <c r="P84" s="1048"/>
      <c r="Q84" s="1048"/>
      <c r="R84" s="1076">
        <v>-163000000</v>
      </c>
      <c r="S84" s="1076">
        <v>-180000000</v>
      </c>
      <c r="T84" s="1076">
        <v>-200000000</v>
      </c>
      <c r="U84" s="1076">
        <v>-211000000</v>
      </c>
      <c r="V84" s="1076">
        <v>-249000000</v>
      </c>
      <c r="W84" s="1076">
        <v>-277000000</v>
      </c>
      <c r="X84" s="1010">
        <v>-277000000</v>
      </c>
      <c r="Y84" s="1008">
        <v>-277000000</v>
      </c>
      <c r="Z84" s="1008">
        <v>-277000000</v>
      </c>
      <c r="AA84" s="1007"/>
      <c r="AB84" s="1007"/>
      <c r="AC84" s="1007"/>
      <c r="AD84" s="1007"/>
      <c r="AE84" s="1007"/>
      <c r="AF84" s="1007"/>
      <c r="AG84" s="1007"/>
      <c r="AH84" s="365"/>
      <c r="AI84" s="365"/>
      <c r="AJ84" s="365"/>
      <c r="AK84" s="365"/>
      <c r="AL84" s="365"/>
      <c r="AM84" s="365"/>
      <c r="AN84" s="365"/>
      <c r="AO84" s="365"/>
      <c r="AP84" s="365"/>
      <c r="AQ84" s="365"/>
      <c r="AR84" s="365"/>
      <c r="AS84" s="365"/>
      <c r="AT84" s="365"/>
      <c r="AU84" s="365"/>
    </row>
    <row r="85" spans="2:47">
      <c r="B85" s="2560" t="s">
        <v>209</v>
      </c>
      <c r="C85" s="997"/>
      <c r="D85" s="1050"/>
      <c r="E85" s="1050"/>
      <c r="F85" s="1050"/>
      <c r="G85" s="1050"/>
      <c r="H85" s="1050"/>
      <c r="I85" s="1050"/>
      <c r="J85" s="1050"/>
      <c r="K85" s="1050"/>
      <c r="L85" s="1050"/>
      <c r="M85" s="1050"/>
      <c r="N85" s="1050"/>
      <c r="O85" s="1050"/>
      <c r="P85" s="1048"/>
      <c r="Q85" s="1048"/>
      <c r="R85" s="1076">
        <v>8215000000</v>
      </c>
      <c r="S85" s="1076">
        <v>493000000</v>
      </c>
      <c r="T85" s="1076">
        <v>-73000000</v>
      </c>
      <c r="U85" s="1076">
        <v>-24121000000</v>
      </c>
      <c r="V85" s="1076">
        <v>8902000000</v>
      </c>
      <c r="W85" s="1076">
        <v>4797000000</v>
      </c>
      <c r="X85" s="1010">
        <v>-10185000000</v>
      </c>
      <c r="Y85" s="1008">
        <v>-7326000000</v>
      </c>
      <c r="Z85" s="1008">
        <v>-16964000000</v>
      </c>
      <c r="AA85" s="1007"/>
      <c r="AB85" s="1007"/>
      <c r="AC85" s="1007"/>
      <c r="AD85" s="1007"/>
      <c r="AE85" s="1007"/>
      <c r="AF85" s="1007"/>
      <c r="AG85" s="1007"/>
      <c r="AH85" s="365"/>
      <c r="AI85" s="365"/>
      <c r="AJ85" s="365"/>
      <c r="AK85" s="365"/>
      <c r="AL85" s="365"/>
      <c r="AM85" s="365"/>
      <c r="AN85" s="365"/>
      <c r="AO85" s="365"/>
      <c r="AP85" s="365"/>
      <c r="AQ85" s="365"/>
      <c r="AR85" s="365"/>
      <c r="AS85" s="365"/>
      <c r="AT85" s="365"/>
      <c r="AU85" s="365"/>
    </row>
    <row r="86" spans="2:47">
      <c r="B86" s="2560" t="s">
        <v>2781</v>
      </c>
      <c r="C86" s="997"/>
      <c r="D86" s="1050"/>
      <c r="E86" s="1050"/>
      <c r="F86" s="1050"/>
      <c r="G86" s="1050"/>
      <c r="H86" s="1050"/>
      <c r="I86" s="1050"/>
      <c r="J86" s="1050"/>
      <c r="K86" s="1050"/>
      <c r="L86" s="1050"/>
      <c r="M86" s="1050"/>
      <c r="N86" s="1050"/>
      <c r="O86" s="1050"/>
      <c r="P86" s="1048"/>
      <c r="Q86" s="1048"/>
      <c r="R86" s="1076">
        <v>0</v>
      </c>
      <c r="S86" s="1076">
        <v>0</v>
      </c>
      <c r="T86" s="1076">
        <v>0</v>
      </c>
      <c r="U86" s="1076">
        <v>0</v>
      </c>
      <c r="V86" s="1076">
        <v>0</v>
      </c>
      <c r="W86" s="1076">
        <v>0</v>
      </c>
      <c r="X86" s="1010">
        <v>0</v>
      </c>
      <c r="Y86" s="1008">
        <v>0</v>
      </c>
      <c r="Z86" s="1008">
        <v>0</v>
      </c>
      <c r="AA86" s="1007"/>
      <c r="AB86" s="1007"/>
      <c r="AC86" s="1007"/>
      <c r="AD86" s="1007"/>
      <c r="AE86" s="1007"/>
      <c r="AF86" s="1007"/>
      <c r="AG86" s="1007"/>
      <c r="AH86" s="365"/>
      <c r="AI86" s="365"/>
      <c r="AJ86" s="365"/>
      <c r="AK86" s="365"/>
      <c r="AL86" s="365"/>
      <c r="AM86" s="365"/>
      <c r="AN86" s="365"/>
      <c r="AO86" s="365"/>
      <c r="AP86" s="365"/>
      <c r="AQ86" s="365"/>
      <c r="AR86" s="365"/>
      <c r="AS86" s="365"/>
      <c r="AT86" s="365"/>
      <c r="AU86" s="365"/>
    </row>
    <row r="87" spans="2:47">
      <c r="B87" s="2530" t="s">
        <v>444</v>
      </c>
      <c r="R87" s="1010">
        <v>7465000000</v>
      </c>
      <c r="S87" s="1010">
        <v>2697000000</v>
      </c>
      <c r="T87" s="1010">
        <v>4768000000</v>
      </c>
      <c r="U87" s="1010">
        <v>-22572000000</v>
      </c>
      <c r="V87" s="1010">
        <v>1383000000</v>
      </c>
      <c r="W87" s="1010">
        <v>-1266000000</v>
      </c>
      <c r="X87" s="1010">
        <v>-15701000000</v>
      </c>
      <c r="Y87" s="1008">
        <v>-11326000000</v>
      </c>
      <c r="Z87" s="1008">
        <v>-20964000000</v>
      </c>
      <c r="AA87" s="1547"/>
      <c r="AB87" s="1007"/>
      <c r="AC87" s="1007"/>
      <c r="AD87" s="1007"/>
      <c r="AE87" s="1007"/>
      <c r="AF87" s="1007"/>
      <c r="AG87" s="1007"/>
      <c r="AH87" s="365"/>
      <c r="AI87" s="365"/>
      <c r="AJ87" s="365"/>
      <c r="AK87" s="365"/>
      <c r="AL87" s="365"/>
      <c r="AM87" s="365"/>
      <c r="AN87" s="365"/>
      <c r="AO87" s="365"/>
      <c r="AP87" s="365"/>
      <c r="AQ87" s="365"/>
      <c r="AR87" s="365"/>
      <c r="AS87" s="365"/>
      <c r="AT87" s="365"/>
      <c r="AU87" s="365"/>
    </row>
    <row r="88" spans="2:47">
      <c r="B88" s="2530" t="s">
        <v>2264</v>
      </c>
      <c r="R88" s="1010">
        <v>455000000</v>
      </c>
      <c r="S88" s="1010">
        <v>-3621000000</v>
      </c>
      <c r="T88" s="1010">
        <v>-7073000000</v>
      </c>
      <c r="U88" s="1010">
        <v>-5954000000</v>
      </c>
      <c r="V88" s="1010">
        <v>0</v>
      </c>
      <c r="W88" s="1010">
        <v>0</v>
      </c>
      <c r="X88" s="1010">
        <v>0</v>
      </c>
      <c r="Y88" s="1008">
        <v>0</v>
      </c>
      <c r="Z88" s="1008">
        <v>0</v>
      </c>
      <c r="AA88" s="1007"/>
      <c r="AB88" s="1007"/>
      <c r="AC88" s="1007"/>
      <c r="AD88" s="1007"/>
      <c r="AE88" s="1007"/>
      <c r="AF88" s="1007"/>
      <c r="AG88" s="1007"/>
      <c r="AH88" s="365"/>
      <c r="AI88" s="365"/>
      <c r="AJ88" s="365"/>
      <c r="AK88" s="365"/>
      <c r="AL88" s="365"/>
      <c r="AM88" s="365"/>
      <c r="AN88" s="365"/>
      <c r="AO88" s="365"/>
      <c r="AP88" s="365"/>
      <c r="AQ88" s="365"/>
      <c r="AR88" s="365"/>
      <c r="AS88" s="365"/>
      <c r="AT88" s="365"/>
      <c r="AU88" s="365"/>
    </row>
    <row r="89" spans="2:47">
      <c r="B89" s="2530" t="s">
        <v>3145</v>
      </c>
      <c r="R89" s="1010">
        <v>295000000</v>
      </c>
      <c r="S89" s="1010">
        <v>1417000000</v>
      </c>
      <c r="T89" s="1010">
        <v>2232000000</v>
      </c>
      <c r="U89" s="1010">
        <v>4405000000</v>
      </c>
      <c r="V89" s="1010">
        <v>7518000000</v>
      </c>
      <c r="W89" s="1010">
        <v>6063000000</v>
      </c>
      <c r="X89" s="1010">
        <v>5515000000</v>
      </c>
      <c r="Y89" s="1008">
        <v>4000000000</v>
      </c>
      <c r="Z89" s="1008">
        <v>4000000000</v>
      </c>
      <c r="AA89" s="1007"/>
      <c r="AB89" s="1007"/>
      <c r="AC89" s="1007"/>
      <c r="AD89" s="1007"/>
      <c r="AE89" s="1007"/>
      <c r="AF89" s="1007"/>
      <c r="AG89" s="1007"/>
      <c r="AH89" s="365"/>
      <c r="AI89" s="365"/>
      <c r="AJ89" s="365"/>
      <c r="AK89" s="365"/>
      <c r="AL89" s="365"/>
      <c r="AM89" s="365"/>
      <c r="AN89" s="365"/>
      <c r="AO89" s="365"/>
      <c r="AP89" s="365"/>
      <c r="AQ89" s="365"/>
      <c r="AR89" s="365"/>
      <c r="AS89" s="365"/>
      <c r="AT89" s="365"/>
      <c r="AU89" s="365"/>
    </row>
    <row r="90" spans="2:47">
      <c r="B90" s="981" t="s">
        <v>3146</v>
      </c>
      <c r="C90" s="997"/>
      <c r="P90" s="1386">
        <v>21.679281437125749</v>
      </c>
      <c r="Q90" s="1386">
        <f>(Q21/Q6)*100</f>
        <v>4.6783625730994158</v>
      </c>
      <c r="R90" s="2599">
        <f>(R21/R6)*100</f>
        <v>2.5075178914160059</v>
      </c>
      <c r="S90" s="2599">
        <f>(S21/S6)*100</f>
        <v>2.8774004610006099</v>
      </c>
      <c r="T90" s="2599">
        <f>(T21/T6)*100</f>
        <v>2.34906037584966</v>
      </c>
      <c r="U90" s="2599">
        <v>13.763556149732619</v>
      </c>
      <c r="V90" s="2599">
        <f>(V21/V6)*100</f>
        <v>1.9777562093271175</v>
      </c>
      <c r="W90" s="2599">
        <f>(W21/W6)*100</f>
        <v>2.1179257104387692</v>
      </c>
      <c r="X90" s="996"/>
      <c r="Y90" s="1378"/>
      <c r="Z90" s="1378"/>
      <c r="AA90" s="1007"/>
      <c r="AB90" s="1007"/>
      <c r="AC90" s="1007"/>
      <c r="AD90" s="1007"/>
      <c r="AE90" s="1007"/>
      <c r="AF90" s="1007"/>
      <c r="AG90" s="1007"/>
      <c r="AH90" s="365"/>
      <c r="AI90" s="365"/>
      <c r="AJ90" s="365"/>
      <c r="AK90" s="365"/>
      <c r="AL90" s="365"/>
      <c r="AM90" s="365"/>
      <c r="AN90" s="365"/>
      <c r="AO90" s="365"/>
      <c r="AP90" s="365"/>
      <c r="AQ90" s="365"/>
      <c r="AR90" s="365"/>
      <c r="AS90" s="365"/>
      <c r="AT90" s="365"/>
      <c r="AU90" s="365"/>
    </row>
    <row r="91" spans="2:47">
      <c r="B91" s="981"/>
      <c r="C91" s="997"/>
      <c r="Y91" s="1007"/>
      <c r="Z91" s="1007"/>
      <c r="AA91" s="1007"/>
      <c r="AB91" s="1007"/>
      <c r="AC91" s="1007"/>
      <c r="AD91" s="1007"/>
      <c r="AE91" s="1007"/>
      <c r="AF91" s="1007"/>
      <c r="AG91" s="1007"/>
      <c r="AH91" s="365"/>
      <c r="AI91" s="365"/>
      <c r="AJ91" s="365"/>
      <c r="AK91" s="365"/>
      <c r="AL91" s="365"/>
      <c r="AM91" s="365"/>
      <c r="AN91" s="365"/>
      <c r="AO91" s="365"/>
      <c r="AP91" s="365"/>
      <c r="AQ91" s="365"/>
      <c r="AR91" s="365"/>
      <c r="AS91" s="365"/>
      <c r="AT91" s="365"/>
      <c r="AU91" s="365"/>
    </row>
    <row r="92" spans="2:47">
      <c r="B92" s="981"/>
      <c r="C92" s="997"/>
      <c r="D92" s="972" t="s">
        <v>139</v>
      </c>
      <c r="E92" s="972" t="s">
        <v>139</v>
      </c>
      <c r="F92" s="972" t="s">
        <v>139</v>
      </c>
      <c r="G92" s="972" t="s">
        <v>139</v>
      </c>
      <c r="H92" s="972" t="s">
        <v>139</v>
      </c>
      <c r="I92" s="972" t="s">
        <v>139</v>
      </c>
      <c r="J92" s="972" t="s">
        <v>139</v>
      </c>
      <c r="K92" s="972" t="s">
        <v>139</v>
      </c>
      <c r="L92" s="972" t="s">
        <v>139</v>
      </c>
      <c r="M92" s="972" t="s">
        <v>139</v>
      </c>
      <c r="N92" s="972" t="s">
        <v>139</v>
      </c>
      <c r="O92" s="972" t="s">
        <v>139</v>
      </c>
      <c r="P92" s="972" t="s">
        <v>139</v>
      </c>
      <c r="Q92" s="972" t="s">
        <v>139</v>
      </c>
      <c r="R92" s="972" t="s">
        <v>139</v>
      </c>
      <c r="S92" s="972" t="s">
        <v>139</v>
      </c>
      <c r="T92" s="972" t="s">
        <v>139</v>
      </c>
      <c r="U92" s="972" t="s">
        <v>139</v>
      </c>
      <c r="V92" s="972" t="s">
        <v>139</v>
      </c>
      <c r="W92" s="972" t="s">
        <v>139</v>
      </c>
      <c r="X92" s="972" t="s">
        <v>139</v>
      </c>
      <c r="Y92" s="972" t="s">
        <v>139</v>
      </c>
      <c r="Z92" s="972" t="s">
        <v>139</v>
      </c>
      <c r="AA92" s="1007"/>
      <c r="AB92" s="1007"/>
      <c r="AC92" s="1007"/>
      <c r="AD92" s="1007"/>
      <c r="AE92" s="1007"/>
      <c r="AF92" s="1007"/>
      <c r="AG92" s="1007"/>
      <c r="AH92" s="365"/>
      <c r="AI92" s="365"/>
      <c r="AJ92" s="365"/>
      <c r="AK92" s="365"/>
      <c r="AL92" s="365"/>
      <c r="AM92" s="365"/>
      <c r="AN92" s="365"/>
      <c r="AO92" s="365"/>
      <c r="AP92" s="365"/>
      <c r="AQ92" s="365"/>
      <c r="AR92" s="365"/>
      <c r="AS92" s="365"/>
      <c r="AT92" s="365"/>
      <c r="AU92" s="365"/>
    </row>
    <row r="93" spans="2:47" ht="16.5" thickBot="1">
      <c r="B93" s="981"/>
      <c r="C93" s="997"/>
      <c r="Y93" s="1007"/>
      <c r="Z93" s="1007"/>
      <c r="AA93" s="1007"/>
      <c r="AB93" s="1007"/>
      <c r="AC93" s="1007"/>
      <c r="AD93" s="1007"/>
      <c r="AE93" s="1007"/>
      <c r="AF93" s="1007"/>
      <c r="AG93" s="1007"/>
      <c r="AH93" s="365"/>
      <c r="AI93" s="365"/>
      <c r="AJ93" s="365"/>
      <c r="AK93" s="365"/>
      <c r="AL93" s="365"/>
      <c r="AM93" s="365"/>
      <c r="AN93" s="365"/>
      <c r="AO93" s="365"/>
      <c r="AP93" s="365"/>
      <c r="AQ93" s="365"/>
      <c r="AR93" s="365"/>
      <c r="AS93" s="365"/>
      <c r="AT93" s="365"/>
      <c r="AU93" s="365"/>
    </row>
    <row r="94" spans="2:47" ht="16.5" thickBot="1">
      <c r="B94" s="981"/>
      <c r="C94" s="997"/>
      <c r="D94" s="1420">
        <v>106654000000</v>
      </c>
      <c r="E94" s="1421">
        <v>118416000000</v>
      </c>
      <c r="F94" s="1421">
        <v>129167000000</v>
      </c>
      <c r="G94" s="1421">
        <v>142818000000</v>
      </c>
      <c r="H94" s="1421">
        <v>161508000000</v>
      </c>
      <c r="I94" s="1421">
        <v>183747000000</v>
      </c>
      <c r="J94" s="1421">
        <v>206288000000</v>
      </c>
      <c r="K94" s="1548">
        <v>233567000000</v>
      </c>
      <c r="L94" s="1420">
        <v>262416999999.99997</v>
      </c>
      <c r="M94" s="1421">
        <v>275632000000</v>
      </c>
      <c r="N94" s="1421">
        <v>299286000000</v>
      </c>
      <c r="O94" s="1548">
        <v>335028000000</v>
      </c>
      <c r="P94" s="1420">
        <v>362044000000</v>
      </c>
      <c r="Q94" s="1421">
        <v>377630000000</v>
      </c>
      <c r="R94" s="1549">
        <v>408422000000</v>
      </c>
      <c r="S94" s="1549">
        <v>444172000000</v>
      </c>
      <c r="T94" s="1549">
        <v>479107000000</v>
      </c>
      <c r="U94" s="1549">
        <v>514756999999.99994</v>
      </c>
      <c r="V94" s="1550">
        <v>552253000000</v>
      </c>
      <c r="W94" s="1551">
        <v>592481000000</v>
      </c>
      <c r="Y94" s="1007"/>
      <c r="Z94" s="1007"/>
      <c r="AA94" s="1007"/>
      <c r="AB94" s="1007"/>
      <c r="AC94" s="1007"/>
      <c r="AD94" s="1007"/>
      <c r="AE94" s="1007"/>
      <c r="AF94" s="1007"/>
      <c r="AG94" s="1007"/>
      <c r="AH94" s="365"/>
      <c r="AI94" s="365"/>
      <c r="AJ94" s="365"/>
      <c r="AK94" s="365"/>
      <c r="AL94" s="365"/>
      <c r="AM94" s="365"/>
      <c r="AN94" s="365"/>
      <c r="AO94" s="365"/>
      <c r="AP94" s="365"/>
      <c r="AQ94" s="365"/>
      <c r="AR94" s="365"/>
      <c r="AS94" s="365"/>
      <c r="AT94" s="365"/>
      <c r="AU94" s="365"/>
    </row>
    <row r="95" spans="2:47">
      <c r="B95" s="981"/>
      <c r="C95" s="997"/>
      <c r="Y95" s="1007"/>
      <c r="Z95" s="1007"/>
      <c r="AA95" s="1007"/>
      <c r="AB95" s="1007"/>
      <c r="AC95" s="1007"/>
      <c r="AD95" s="1007"/>
      <c r="AE95" s="1007"/>
      <c r="AF95" s="1007"/>
      <c r="AG95" s="1007"/>
      <c r="AH95" s="365"/>
      <c r="AI95" s="365"/>
      <c r="AJ95" s="365"/>
      <c r="AK95" s="365"/>
      <c r="AL95" s="365"/>
      <c r="AM95" s="365"/>
      <c r="AN95" s="365"/>
      <c r="AO95" s="365"/>
      <c r="AP95" s="365"/>
      <c r="AQ95" s="365"/>
      <c r="AR95" s="365"/>
      <c r="AS95" s="365"/>
      <c r="AT95" s="365"/>
      <c r="AU95" s="365"/>
    </row>
    <row r="96" spans="2:47">
      <c r="B96" s="981"/>
      <c r="C96" s="997"/>
    </row>
    <row r="97" spans="2:26">
      <c r="B97" s="972" t="s">
        <v>140</v>
      </c>
      <c r="C97" s="997"/>
      <c r="D97" s="995">
        <f t="shared" ref="D97:Z97" si="15">D6-D21-D7</f>
        <v>0</v>
      </c>
      <c r="E97" s="995">
        <f t="shared" si="15"/>
        <v>0</v>
      </c>
      <c r="F97" s="995">
        <f t="shared" si="15"/>
        <v>0</v>
      </c>
      <c r="G97" s="995">
        <f t="shared" si="15"/>
        <v>0</v>
      </c>
      <c r="H97" s="995">
        <f t="shared" si="15"/>
        <v>0</v>
      </c>
      <c r="I97" s="995">
        <f t="shared" si="15"/>
        <v>0</v>
      </c>
      <c r="J97" s="995">
        <f t="shared" si="15"/>
        <v>0</v>
      </c>
      <c r="K97" s="995">
        <f t="shared" si="15"/>
        <v>0</v>
      </c>
      <c r="L97" s="995">
        <f t="shared" si="15"/>
        <v>0</v>
      </c>
      <c r="M97" s="995">
        <f t="shared" si="15"/>
        <v>0</v>
      </c>
      <c r="N97" s="995">
        <f t="shared" si="15"/>
        <v>0</v>
      </c>
      <c r="O97" s="995">
        <f t="shared" si="15"/>
        <v>0</v>
      </c>
      <c r="P97" s="995">
        <f t="shared" si="15"/>
        <v>0</v>
      </c>
      <c r="Q97" s="995">
        <f t="shared" si="15"/>
        <v>0</v>
      </c>
      <c r="R97" s="995">
        <f t="shared" si="15"/>
        <v>0</v>
      </c>
      <c r="S97" s="995">
        <f t="shared" si="15"/>
        <v>0</v>
      </c>
      <c r="T97" s="995">
        <f t="shared" si="15"/>
        <v>0</v>
      </c>
      <c r="U97" s="995">
        <f t="shared" si="15"/>
        <v>0</v>
      </c>
      <c r="V97" s="995">
        <f t="shared" si="15"/>
        <v>0</v>
      </c>
      <c r="W97" s="995">
        <f t="shared" si="15"/>
        <v>0</v>
      </c>
      <c r="X97" s="995">
        <f t="shared" si="15"/>
        <v>0</v>
      </c>
      <c r="Y97" s="995">
        <f t="shared" si="15"/>
        <v>0</v>
      </c>
      <c r="Z97" s="995">
        <f t="shared" si="15"/>
        <v>0</v>
      </c>
    </row>
    <row r="98" spans="2:26">
      <c r="B98" s="972" t="s">
        <v>141</v>
      </c>
      <c r="C98" s="997"/>
      <c r="D98" s="995">
        <f t="shared" ref="D98:Z98" si="16">D7-D8-D20</f>
        <v>0</v>
      </c>
      <c r="E98" s="995">
        <f t="shared" si="16"/>
        <v>0</v>
      </c>
      <c r="F98" s="995">
        <f t="shared" si="16"/>
        <v>0</v>
      </c>
      <c r="G98" s="995">
        <f t="shared" si="16"/>
        <v>0</v>
      </c>
      <c r="H98" s="995">
        <f t="shared" si="16"/>
        <v>0</v>
      </c>
      <c r="I98" s="995">
        <f t="shared" si="16"/>
        <v>0</v>
      </c>
      <c r="J98" s="995">
        <f t="shared" si="16"/>
        <v>0</v>
      </c>
      <c r="K98" s="995">
        <f t="shared" si="16"/>
        <v>0</v>
      </c>
      <c r="L98" s="995">
        <f t="shared" si="16"/>
        <v>0</v>
      </c>
      <c r="M98" s="995">
        <f t="shared" si="16"/>
        <v>0</v>
      </c>
      <c r="N98" s="995">
        <f t="shared" si="16"/>
        <v>0</v>
      </c>
      <c r="O98" s="995">
        <f t="shared" si="16"/>
        <v>0</v>
      </c>
      <c r="P98" s="995">
        <f t="shared" si="16"/>
        <v>0</v>
      </c>
      <c r="Q98" s="995">
        <f t="shared" si="16"/>
        <v>0</v>
      </c>
      <c r="R98" s="1070">
        <f t="shared" si="16"/>
        <v>125466000000</v>
      </c>
      <c r="S98" s="1070">
        <f t="shared" si="16"/>
        <v>138626000000</v>
      </c>
      <c r="T98" s="1070">
        <f t="shared" si="16"/>
        <v>156304000000</v>
      </c>
      <c r="U98" s="1070">
        <f t="shared" si="16"/>
        <v>169342000000</v>
      </c>
      <c r="V98" s="1070">
        <f t="shared" si="16"/>
        <v>184818000000</v>
      </c>
      <c r="W98" s="1070">
        <f t="shared" si="16"/>
        <v>199191000000</v>
      </c>
      <c r="X98" s="1070">
        <f t="shared" si="16"/>
        <v>216204000000</v>
      </c>
      <c r="Y98" s="1070">
        <f t="shared" si="16"/>
        <v>233171000000</v>
      </c>
      <c r="Z98" s="1070">
        <f t="shared" si="16"/>
        <v>252496000000</v>
      </c>
    </row>
    <row r="99" spans="2:26">
      <c r="B99" s="972" t="s">
        <v>3147</v>
      </c>
      <c r="C99" s="997"/>
      <c r="D99" s="995"/>
      <c r="E99" s="995"/>
      <c r="F99" s="995"/>
      <c r="G99" s="995"/>
      <c r="H99" s="995"/>
      <c r="I99" s="995"/>
      <c r="J99" s="995"/>
      <c r="K99" s="995"/>
      <c r="L99" s="995"/>
      <c r="M99" s="995"/>
      <c r="N99" s="995"/>
      <c r="O99" s="995"/>
      <c r="P99" s="995"/>
      <c r="Q99" s="995"/>
      <c r="R99" s="995" t="e">
        <f>R7-#REF!-R15-R16</f>
        <v>#REF!</v>
      </c>
      <c r="S99" s="995" t="e">
        <f>S7-#REF!-S15-S16</f>
        <v>#REF!</v>
      </c>
      <c r="T99" s="995" t="e">
        <f>T7-#REF!-T15-T16</f>
        <v>#REF!</v>
      </c>
      <c r="U99" s="995" t="e">
        <f>U7-#REF!-U15-U16</f>
        <v>#REF!</v>
      </c>
      <c r="V99" s="995" t="e">
        <f>V7-#REF!-V15-V16</f>
        <v>#REF!</v>
      </c>
      <c r="W99" s="995" t="e">
        <f>W7-#REF!-W15-W16</f>
        <v>#REF!</v>
      </c>
      <c r="X99" s="995" t="e">
        <f>X7-#REF!-X15-X16</f>
        <v>#REF!</v>
      </c>
      <c r="Y99" s="995" t="e">
        <f>Y7-#REF!-Y15-Y16</f>
        <v>#REF!</v>
      </c>
      <c r="Z99" s="995" t="e">
        <f>Z7-#REF!-Z15-Z16</f>
        <v>#REF!</v>
      </c>
    </row>
    <row r="100" spans="2:26">
      <c r="B100" s="972" t="s">
        <v>361</v>
      </c>
      <c r="C100" s="997"/>
      <c r="D100" s="995">
        <f t="shared" ref="D100:Z100" si="17">D8-D9-D17-D18-D19</f>
        <v>-1.1920928955078125E-7</v>
      </c>
      <c r="E100" s="995">
        <f t="shared" si="17"/>
        <v>3.814697265625E-6</v>
      </c>
      <c r="F100" s="995">
        <f t="shared" si="17"/>
        <v>-3.814697265625E-6</v>
      </c>
      <c r="G100" s="995">
        <f t="shared" si="17"/>
        <v>-4.76837158203125E-7</v>
      </c>
      <c r="H100" s="995">
        <f t="shared" si="17"/>
        <v>-2.384185791015625E-7</v>
      </c>
      <c r="I100" s="995">
        <f t="shared" si="17"/>
        <v>-2.384185791015625E-7</v>
      </c>
      <c r="J100" s="995">
        <f t="shared" si="17"/>
        <v>3.814697265625E-6</v>
      </c>
      <c r="K100" s="995">
        <f t="shared" si="17"/>
        <v>-7.62939453125E-6</v>
      </c>
      <c r="L100" s="995">
        <f t="shared" si="17"/>
        <v>0</v>
      </c>
      <c r="M100" s="995">
        <f t="shared" si="17"/>
        <v>0</v>
      </c>
      <c r="N100" s="995">
        <f t="shared" si="17"/>
        <v>0</v>
      </c>
      <c r="O100" s="995">
        <f t="shared" si="17"/>
        <v>0</v>
      </c>
      <c r="P100" s="995">
        <f t="shared" si="17"/>
        <v>0</v>
      </c>
      <c r="Q100" s="995">
        <f t="shared" si="17"/>
        <v>0</v>
      </c>
      <c r="R100" s="995">
        <f t="shared" si="17"/>
        <v>-70979000000</v>
      </c>
      <c r="S100" s="995">
        <f t="shared" si="17"/>
        <v>-82212000000</v>
      </c>
      <c r="T100" s="995">
        <f t="shared" si="17"/>
        <v>-95970000000</v>
      </c>
      <c r="U100" s="995">
        <f t="shared" si="17"/>
        <v>-103144000000</v>
      </c>
      <c r="V100" s="995">
        <f t="shared" si="17"/>
        <v>-110116000000</v>
      </c>
      <c r="W100" s="995">
        <f t="shared" si="17"/>
        <v>-119621000000</v>
      </c>
      <c r="X100" s="995">
        <f t="shared" si="17"/>
        <v>-129140000000</v>
      </c>
      <c r="Y100" s="995">
        <f t="shared" si="17"/>
        <v>-139413000000</v>
      </c>
      <c r="Z100" s="995">
        <f t="shared" si="17"/>
        <v>-151332000000</v>
      </c>
    </row>
    <row r="101" spans="2:26">
      <c r="B101" s="972" t="s">
        <v>145</v>
      </c>
      <c r="C101" s="997"/>
      <c r="D101" s="1000">
        <f t="shared" ref="D101:Z101" si="18">D24-D25-D39-D43</f>
        <v>0</v>
      </c>
      <c r="E101" s="1000">
        <f t="shared" si="18"/>
        <v>0</v>
      </c>
      <c r="F101" s="1000">
        <f t="shared" si="18"/>
        <v>0</v>
      </c>
      <c r="G101" s="1000">
        <f t="shared" si="18"/>
        <v>2.7418136596679688E-6</v>
      </c>
      <c r="H101" s="1000">
        <f t="shared" si="18"/>
        <v>-3.814697265625E-6</v>
      </c>
      <c r="I101" s="1000">
        <f t="shared" si="18"/>
        <v>-9.5367431640625E-7</v>
      </c>
      <c r="J101" s="1000">
        <f t="shared" si="18"/>
        <v>-2.86102294921875E-6</v>
      </c>
      <c r="K101" s="1000">
        <f t="shared" si="18"/>
        <v>0</v>
      </c>
      <c r="L101" s="1000">
        <f t="shared" si="18"/>
        <v>0</v>
      </c>
      <c r="M101" s="1000">
        <f t="shared" si="18"/>
        <v>0</v>
      </c>
      <c r="N101" s="1000">
        <f t="shared" si="18"/>
        <v>0</v>
      </c>
      <c r="O101" s="1000">
        <f t="shared" si="18"/>
        <v>0</v>
      </c>
      <c r="P101" s="1000">
        <f t="shared" si="18"/>
        <v>7.5697898864746094E-6</v>
      </c>
      <c r="Q101" s="1000">
        <f t="shared" si="18"/>
        <v>0</v>
      </c>
      <c r="R101" s="1000">
        <f t="shared" si="18"/>
        <v>0</v>
      </c>
      <c r="S101" s="1000">
        <f t="shared" si="18"/>
        <v>0</v>
      </c>
      <c r="T101" s="1000">
        <f t="shared" si="18"/>
        <v>0</v>
      </c>
      <c r="U101" s="1000">
        <f t="shared" si="18"/>
        <v>0</v>
      </c>
      <c r="V101" s="1000">
        <f t="shared" si="18"/>
        <v>0</v>
      </c>
      <c r="W101" s="1000">
        <f t="shared" si="18"/>
        <v>0</v>
      </c>
      <c r="X101" s="1000">
        <f t="shared" si="18"/>
        <v>0</v>
      </c>
      <c r="Y101" s="1000">
        <f t="shared" si="18"/>
        <v>0</v>
      </c>
      <c r="Z101" s="1000">
        <f t="shared" si="18"/>
        <v>0</v>
      </c>
    </row>
    <row r="102" spans="2:26">
      <c r="B102" s="972" t="s">
        <v>361</v>
      </c>
      <c r="C102" s="997"/>
      <c r="D102" s="1000">
        <f t="shared" ref="D102:Z102" si="19">D25-D26-D27-D28-D34-D37</f>
        <v>9.5367431640625E-7</v>
      </c>
      <c r="E102" s="1000">
        <f t="shared" si="19"/>
        <v>1.9073486328125E-6</v>
      </c>
      <c r="F102" s="1000">
        <f t="shared" si="19"/>
        <v>3.814697265625E-6</v>
      </c>
      <c r="G102" s="1000">
        <f t="shared" si="19"/>
        <v>-1.430511474609375E-6</v>
      </c>
      <c r="H102" s="1000">
        <f t="shared" si="19"/>
        <v>1.9073486328125E-6</v>
      </c>
      <c r="I102" s="1000">
        <f t="shared" si="19"/>
        <v>0</v>
      </c>
      <c r="J102" s="1000">
        <f t="shared" si="19"/>
        <v>3.814697265625E-6</v>
      </c>
      <c r="K102" s="1000">
        <f t="shared" si="19"/>
        <v>0</v>
      </c>
      <c r="L102" s="1000">
        <f t="shared" si="19"/>
        <v>0</v>
      </c>
      <c r="M102" s="1000">
        <f t="shared" si="19"/>
        <v>0</v>
      </c>
      <c r="N102" s="1000">
        <f t="shared" si="19"/>
        <v>0</v>
      </c>
      <c r="O102" s="1000">
        <f t="shared" si="19"/>
        <v>1000000</v>
      </c>
      <c r="P102" s="1000">
        <f t="shared" si="19"/>
        <v>1.9073486328125E-6</v>
      </c>
      <c r="Q102" s="1000">
        <f t="shared" si="19"/>
        <v>-8.58306884765625E-6</v>
      </c>
      <c r="R102" s="1000">
        <f t="shared" si="19"/>
        <v>0</v>
      </c>
      <c r="S102" s="1000">
        <f t="shared" si="19"/>
        <v>0</v>
      </c>
      <c r="T102" s="1000">
        <f t="shared" si="19"/>
        <v>0</v>
      </c>
      <c r="U102" s="1000">
        <f t="shared" si="19"/>
        <v>0</v>
      </c>
      <c r="V102" s="1000">
        <f t="shared" si="19"/>
        <v>0</v>
      </c>
      <c r="W102" s="1000">
        <f t="shared" si="19"/>
        <v>0</v>
      </c>
      <c r="X102" s="1000">
        <f t="shared" si="19"/>
        <v>0</v>
      </c>
      <c r="Y102" s="1000">
        <f t="shared" si="19"/>
        <v>0</v>
      </c>
      <c r="Z102" s="1000">
        <f t="shared" si="19"/>
        <v>0</v>
      </c>
    </row>
    <row r="103" spans="2:26">
      <c r="B103" s="972" t="s">
        <v>936</v>
      </c>
      <c r="C103" s="997"/>
      <c r="D103" s="1000">
        <f t="shared" ref="D103:Z103" si="20">D34-D35-D36</f>
        <v>0</v>
      </c>
      <c r="E103" s="1000">
        <f t="shared" si="20"/>
        <v>0</v>
      </c>
      <c r="F103" s="1000">
        <f t="shared" si="20"/>
        <v>0</v>
      </c>
      <c r="G103" s="1000">
        <f t="shared" si="20"/>
        <v>0</v>
      </c>
      <c r="H103" s="1000">
        <f t="shared" si="20"/>
        <v>0</v>
      </c>
      <c r="I103" s="1000">
        <f t="shared" si="20"/>
        <v>0</v>
      </c>
      <c r="J103" s="1000">
        <f t="shared" si="20"/>
        <v>0</v>
      </c>
      <c r="K103" s="1000">
        <f t="shared" si="20"/>
        <v>0</v>
      </c>
      <c r="L103" s="1000">
        <f t="shared" si="20"/>
        <v>0</v>
      </c>
      <c r="M103" s="1000">
        <f t="shared" si="20"/>
        <v>0</v>
      </c>
      <c r="N103" s="1000">
        <f t="shared" si="20"/>
        <v>0</v>
      </c>
      <c r="O103" s="1000">
        <f t="shared" si="20"/>
        <v>0</v>
      </c>
      <c r="P103" s="1000">
        <f t="shared" si="20"/>
        <v>0</v>
      </c>
      <c r="Q103" s="1000">
        <f t="shared" si="20"/>
        <v>0</v>
      </c>
      <c r="R103" s="1000">
        <f t="shared" si="20"/>
        <v>0</v>
      </c>
      <c r="S103" s="1000">
        <f t="shared" si="20"/>
        <v>1000000</v>
      </c>
      <c r="T103" s="1000">
        <f t="shared" si="20"/>
        <v>-1000000</v>
      </c>
      <c r="U103" s="1000">
        <f t="shared" si="20"/>
        <v>0</v>
      </c>
      <c r="V103" s="1000">
        <f t="shared" si="20"/>
        <v>0</v>
      </c>
      <c r="W103" s="1000">
        <f t="shared" si="20"/>
        <v>-1000000</v>
      </c>
      <c r="X103" s="1000">
        <f t="shared" si="20"/>
        <v>0</v>
      </c>
      <c r="Y103" s="1000">
        <f t="shared" si="20"/>
        <v>0</v>
      </c>
      <c r="Z103" s="1000">
        <f t="shared" si="20"/>
        <v>0</v>
      </c>
    </row>
    <row r="104" spans="2:26">
      <c r="B104" s="972" t="s">
        <v>876</v>
      </c>
      <c r="C104" s="997"/>
      <c r="D104" s="1000">
        <f t="shared" ref="D104:Q104" si="21">D39-D40-D41</f>
        <v>0</v>
      </c>
      <c r="E104" s="1000">
        <f t="shared" si="21"/>
        <v>0</v>
      </c>
      <c r="F104" s="1000">
        <f t="shared" si="21"/>
        <v>0</v>
      </c>
      <c r="G104" s="1000">
        <f t="shared" si="21"/>
        <v>0</v>
      </c>
      <c r="H104" s="1000">
        <f t="shared" si="21"/>
        <v>0</v>
      </c>
      <c r="I104" s="1372">
        <f t="shared" si="21"/>
        <v>8084912000.000001</v>
      </c>
      <c r="J104" s="1372">
        <f t="shared" si="21"/>
        <v>6959289999.999999</v>
      </c>
      <c r="K104" s="1372">
        <f t="shared" si="21"/>
        <v>8847046000</v>
      </c>
      <c r="L104" s="1372">
        <f t="shared" si="21"/>
        <v>12879000000</v>
      </c>
      <c r="M104" s="1372">
        <f t="shared" si="21"/>
        <v>14145000000</v>
      </c>
      <c r="N104" s="1372">
        <f t="shared" si="21"/>
        <v>11185000000</v>
      </c>
      <c r="O104" s="1372">
        <f t="shared" si="21"/>
        <v>13435000000</v>
      </c>
      <c r="P104" s="1000">
        <f t="shared" si="21"/>
        <v>0</v>
      </c>
      <c r="Q104" s="1000">
        <f t="shared" si="21"/>
        <v>0</v>
      </c>
      <c r="R104" s="1000" t="e">
        <f>R39-#REF!-R40-R41-R42</f>
        <v>#REF!</v>
      </c>
      <c r="S104" s="1000" t="e">
        <f>S39-#REF!-S40-S41-S42</f>
        <v>#REF!</v>
      </c>
      <c r="T104" s="1000" t="e">
        <f>T39-#REF!-T40-T41-T42</f>
        <v>#REF!</v>
      </c>
      <c r="U104" s="1000" t="e">
        <f>U39-#REF!-U40-U41-U42</f>
        <v>#REF!</v>
      </c>
      <c r="V104" s="1000" t="e">
        <f>V39-#REF!-V40-V41-V42</f>
        <v>#REF!</v>
      </c>
      <c r="W104" s="1000" t="e">
        <f>W39-#REF!-W40-W41-W42</f>
        <v>#REF!</v>
      </c>
      <c r="X104" s="1000" t="e">
        <f>X39-#REF!-X40-X41-X42</f>
        <v>#REF!</v>
      </c>
      <c r="Y104" s="1000" t="e">
        <f>Y39-#REF!-Y40-Y41-Y42</f>
        <v>#REF!</v>
      </c>
      <c r="Z104" s="1000" t="e">
        <f>Z39-#REF!-Z40-Z41-Z42</f>
        <v>#REF!</v>
      </c>
    </row>
    <row r="105" spans="2:26">
      <c r="B105" s="972" t="s">
        <v>148</v>
      </c>
      <c r="C105" s="997"/>
      <c r="D105" s="1000">
        <f t="shared" ref="D105:O105" si="22">D45-D46-D52-D64</f>
        <v>9.5367431640625E-7</v>
      </c>
      <c r="E105" s="1000">
        <f t="shared" si="22"/>
        <v>-4.76837158203125E-7</v>
      </c>
      <c r="F105" s="1000">
        <f t="shared" si="22"/>
        <v>0</v>
      </c>
      <c r="G105" s="1000">
        <f t="shared" si="22"/>
        <v>0</v>
      </c>
      <c r="H105" s="1000">
        <f t="shared" si="22"/>
        <v>0</v>
      </c>
      <c r="I105" s="1000">
        <f t="shared" si="22"/>
        <v>0</v>
      </c>
      <c r="J105" s="1000">
        <f t="shared" si="22"/>
        <v>0</v>
      </c>
      <c r="K105" s="1000">
        <f t="shared" si="22"/>
        <v>0</v>
      </c>
      <c r="L105" s="1000">
        <f t="shared" si="22"/>
        <v>0</v>
      </c>
      <c r="M105" s="1000">
        <f t="shared" si="22"/>
        <v>0</v>
      </c>
      <c r="N105" s="1000">
        <f t="shared" si="22"/>
        <v>0</v>
      </c>
      <c r="O105" s="1000">
        <f t="shared" si="22"/>
        <v>0</v>
      </c>
      <c r="P105" s="1000">
        <f>P45-P46-P52-P64-P63</f>
        <v>0</v>
      </c>
      <c r="Q105" s="1000">
        <f t="shared" ref="Q105:W105" si="23">Q45-Q46-Q52-Q64-Q63</f>
        <v>-7.62939453125E-6</v>
      </c>
      <c r="R105" s="1000">
        <f>R45-R46-R52-R64-R63</f>
        <v>0</v>
      </c>
      <c r="S105" s="1000">
        <f>S45-S46-S52-S64-S63</f>
        <v>0</v>
      </c>
      <c r="T105" s="1000">
        <f t="shared" si="23"/>
        <v>0</v>
      </c>
      <c r="U105" s="1000">
        <f t="shared" si="23"/>
        <v>0</v>
      </c>
      <c r="V105" s="1000">
        <f>V45-V46-V52-V64-V63</f>
        <v>0</v>
      </c>
      <c r="W105" s="1000">
        <f t="shared" si="23"/>
        <v>0</v>
      </c>
      <c r="X105" s="1000">
        <f>X45-X46-X52-X64-X63</f>
        <v>0</v>
      </c>
      <c r="Y105" s="1000">
        <f t="shared" ref="Y105:Z105" si="24">Y45-Y46-Y52-Y64-Y63</f>
        <v>0</v>
      </c>
      <c r="Z105" s="1000">
        <f t="shared" si="24"/>
        <v>0</v>
      </c>
    </row>
    <row r="106" spans="2:26">
      <c r="B106" s="972" t="s">
        <v>528</v>
      </c>
      <c r="C106" s="997"/>
      <c r="D106" s="1000">
        <f>D46-D47-D48-D49-D50-D51</f>
        <v>0</v>
      </c>
      <c r="E106" s="1000">
        <f t="shared" ref="E106:M106" si="25">E46-E47-E48-E49-E50-E51</f>
        <v>-9.5367431640625E-7</v>
      </c>
      <c r="F106" s="1000">
        <f t="shared" si="25"/>
        <v>0</v>
      </c>
      <c r="G106" s="1000">
        <f t="shared" si="25"/>
        <v>-4.76837158203125E-7</v>
      </c>
      <c r="H106" s="1000">
        <f t="shared" si="25"/>
        <v>0</v>
      </c>
      <c r="I106" s="1000">
        <f t="shared" si="25"/>
        <v>9.5367431640625E-7</v>
      </c>
      <c r="J106" s="1000">
        <f>J46-J47-J48-J49-J50-J51</f>
        <v>2.384185791015625E-7</v>
      </c>
      <c r="K106" s="1000">
        <f>K46-K47-K48-K49-K50-K51</f>
        <v>0</v>
      </c>
      <c r="L106" s="1000">
        <f t="shared" si="25"/>
        <v>-1000000</v>
      </c>
      <c r="M106" s="1000">
        <f t="shared" si="25"/>
        <v>0</v>
      </c>
      <c r="N106" s="1000">
        <f>N46-N47-N48-N49-N50-N51</f>
        <v>1000000</v>
      </c>
      <c r="O106" s="1000">
        <f>O46-O47-O48-O49-O50-O51</f>
        <v>0</v>
      </c>
      <c r="P106" s="1000">
        <f>P46-P47-P48-P49-P50-P51</f>
        <v>2.0861625671386719E-6</v>
      </c>
      <c r="Q106" s="1000">
        <f t="shared" ref="Q106:X106" si="26">Q46-Q47-Q48-Q49-Q50-Q51</f>
        <v>0</v>
      </c>
      <c r="R106" s="1555">
        <f t="shared" si="26"/>
        <v>10359000000</v>
      </c>
      <c r="S106" s="1555">
        <f>S46-S47-S48-S49-S50-S51</f>
        <v>9795000000</v>
      </c>
      <c r="T106" s="1555">
        <f t="shared" si="26"/>
        <v>5200000000</v>
      </c>
      <c r="U106" s="1555">
        <f t="shared" si="26"/>
        <v>28889000000</v>
      </c>
      <c r="V106" s="1555">
        <f t="shared" si="26"/>
        <v>6456000000</v>
      </c>
      <c r="W106" s="1555">
        <f t="shared" si="26"/>
        <v>13112000000</v>
      </c>
      <c r="X106" s="1555">
        <f t="shared" si="26"/>
        <v>13981000000</v>
      </c>
      <c r="Y106" s="1555">
        <f t="shared" ref="Y106:Z106" si="27">Y46-Y47-Y48-Y49-Y50-Y51</f>
        <v>7881000000</v>
      </c>
      <c r="Z106" s="1555">
        <f t="shared" si="27"/>
        <v>4702000000</v>
      </c>
    </row>
    <row r="107" spans="2:26">
      <c r="B107" s="972" t="s">
        <v>297</v>
      </c>
      <c r="C107" s="997"/>
      <c r="D107" s="1000">
        <f>D52-D53-D56-D61-D60-D62</f>
        <v>0</v>
      </c>
      <c r="E107" s="1000">
        <f t="shared" ref="E107:O107" si="28">E52-E53-E56-E61-E60-E62</f>
        <v>5.9604644775390625E-8</v>
      </c>
      <c r="F107" s="1000">
        <f t="shared" si="28"/>
        <v>0</v>
      </c>
      <c r="G107" s="1000">
        <f>G52-G53-G56-G61-G60-G62</f>
        <v>2.384185791015625E-7</v>
      </c>
      <c r="H107" s="1000">
        <f t="shared" si="28"/>
        <v>0</v>
      </c>
      <c r="I107" s="1000">
        <f t="shared" si="28"/>
        <v>0</v>
      </c>
      <c r="J107" s="1000">
        <f t="shared" si="28"/>
        <v>0</v>
      </c>
      <c r="K107" s="1000">
        <f t="shared" si="28"/>
        <v>0</v>
      </c>
      <c r="L107" s="1000">
        <f t="shared" si="28"/>
        <v>0</v>
      </c>
      <c r="M107" s="1000">
        <f t="shared" si="28"/>
        <v>0</v>
      </c>
      <c r="N107" s="1000">
        <f t="shared" si="28"/>
        <v>0</v>
      </c>
      <c r="O107" s="1000">
        <f t="shared" si="28"/>
        <v>1000000</v>
      </c>
      <c r="P107" s="1000">
        <f>P52-P53-P56-P61-P60-P62</f>
        <v>0</v>
      </c>
      <c r="Q107" s="1000">
        <f t="shared" ref="Q107:X107" si="29">Q52-Q53-Q56-Q61-Q60-Q62</f>
        <v>-4.76837158203125E-7</v>
      </c>
      <c r="R107" s="1555">
        <f t="shared" si="29"/>
        <v>7442000000</v>
      </c>
      <c r="S107" s="1555">
        <f>S52-S53-S56-S61-S60-S62</f>
        <v>-3629000000</v>
      </c>
      <c r="T107" s="1555">
        <f>T52-T53-T56-T61-T60-T62</f>
        <v>-486000000</v>
      </c>
      <c r="U107" s="1555">
        <f t="shared" si="29"/>
        <v>-19908000000</v>
      </c>
      <c r="V107" s="1555">
        <f t="shared" si="29"/>
        <v>3050000000</v>
      </c>
      <c r="W107" s="1555">
        <f t="shared" si="29"/>
        <v>-4169000000</v>
      </c>
      <c r="X107" s="1555">
        <f t="shared" si="29"/>
        <v>-4666000000</v>
      </c>
      <c r="Y107" s="1555">
        <f t="shared" ref="Y107:Z107" si="30">Y52-Y53-Y56-Y61-Y60-Y62</f>
        <v>1444000000</v>
      </c>
      <c r="Z107" s="1555">
        <f t="shared" si="30"/>
        <v>4943000000</v>
      </c>
    </row>
    <row r="109" spans="2:26">
      <c r="B109" s="972" t="s">
        <v>3148</v>
      </c>
      <c r="D109" s="1139">
        <f t="shared" ref="D109:Z109" si="31">(D23/D94)*100</f>
        <v>24.4</v>
      </c>
      <c r="E109" s="1139">
        <f t="shared" si="31"/>
        <v>26.099999999999994</v>
      </c>
      <c r="F109" s="1139">
        <f t="shared" si="31"/>
        <v>24.7</v>
      </c>
      <c r="G109" s="1139">
        <f t="shared" si="31"/>
        <v>25.4</v>
      </c>
      <c r="H109" s="1139">
        <f t="shared" si="31"/>
        <v>24.2</v>
      </c>
      <c r="I109" s="1139">
        <f t="shared" si="31"/>
        <v>19.900108301087911</v>
      </c>
      <c r="J109" s="1139">
        <f t="shared" si="31"/>
        <v>19.150025692236099</v>
      </c>
      <c r="K109" s="1139">
        <f t="shared" si="31"/>
        <v>20.633530849820396</v>
      </c>
      <c r="L109" s="1139">
        <f t="shared" si="31"/>
        <v>22.362499380756585</v>
      </c>
      <c r="M109" s="1139">
        <f t="shared" si="31"/>
        <v>23.099277297265917</v>
      </c>
      <c r="N109" s="1139">
        <f t="shared" si="31"/>
        <v>21.539931704122477</v>
      </c>
      <c r="O109" s="1139">
        <f t="shared" si="31"/>
        <v>20.31710782382368</v>
      </c>
      <c r="P109" s="1139">
        <f t="shared" si="31"/>
        <v>22.7</v>
      </c>
      <c r="Q109" s="1139">
        <f t="shared" si="31"/>
        <v>24.825490559542409</v>
      </c>
      <c r="R109" s="1139">
        <f t="shared" si="31"/>
        <v>0</v>
      </c>
      <c r="S109" s="1139">
        <f t="shared" si="31"/>
        <v>0</v>
      </c>
      <c r="T109" s="1139">
        <f t="shared" si="31"/>
        <v>0</v>
      </c>
      <c r="U109" s="1139">
        <f t="shared" si="31"/>
        <v>0</v>
      </c>
      <c r="V109" s="1139">
        <f t="shared" si="31"/>
        <v>0</v>
      </c>
      <c r="W109" s="1139">
        <f t="shared" si="31"/>
        <v>0</v>
      </c>
      <c r="X109" s="1139" t="e">
        <f t="shared" si="31"/>
        <v>#DIV/0!</v>
      </c>
      <c r="Y109" s="1139" t="e">
        <f t="shared" si="31"/>
        <v>#DIV/0!</v>
      </c>
      <c r="Z109" s="1139" t="e">
        <f t="shared" si="31"/>
        <v>#DIV/0!</v>
      </c>
    </row>
    <row r="110" spans="2:26">
      <c r="B110" s="972" t="s">
        <v>2432</v>
      </c>
      <c r="D110" s="1139">
        <f t="shared" ref="D110:Z110" si="32">(D6/D94)*100</f>
        <v>18.8</v>
      </c>
      <c r="E110" s="1139">
        <f t="shared" si="32"/>
        <v>20</v>
      </c>
      <c r="F110" s="1139">
        <f t="shared" si="32"/>
        <v>19.400000000000002</v>
      </c>
      <c r="G110" s="1139">
        <f t="shared" si="32"/>
        <v>19.800000000000004</v>
      </c>
      <c r="H110" s="1139">
        <f t="shared" si="32"/>
        <v>20.599999999999998</v>
      </c>
      <c r="I110" s="1139">
        <f t="shared" si="32"/>
        <v>17.499688158174013</v>
      </c>
      <c r="J110" s="1139">
        <f t="shared" si="32"/>
        <v>18.157796381757542</v>
      </c>
      <c r="K110" s="1139">
        <f t="shared" si="32"/>
        <v>18.540274096940067</v>
      </c>
      <c r="L110" s="1139">
        <f t="shared" si="32"/>
        <v>19.907627935690144</v>
      </c>
      <c r="M110" s="1139">
        <f t="shared" si="32"/>
        <v>17.054260753468391</v>
      </c>
      <c r="N110" s="1139">
        <f t="shared" si="32"/>
        <v>16.871487473520311</v>
      </c>
      <c r="O110" s="1139">
        <f t="shared" si="32"/>
        <v>17.114987404037869</v>
      </c>
      <c r="P110" s="1139">
        <f t="shared" si="32"/>
        <v>16.8</v>
      </c>
      <c r="Q110" s="1139">
        <f t="shared" si="32"/>
        <v>17.048830866191771</v>
      </c>
      <c r="R110" s="1139">
        <f t="shared" si="32"/>
        <v>31.509810930850936</v>
      </c>
      <c r="S110" s="1139">
        <f t="shared" si="32"/>
        <v>32.134623524220345</v>
      </c>
      <c r="T110" s="1139">
        <f t="shared" si="32"/>
        <v>33.408820994057699</v>
      </c>
      <c r="U110" s="1139">
        <f t="shared" si="32"/>
        <v>33.592355227806522</v>
      </c>
      <c r="V110" s="1139">
        <f t="shared" si="32"/>
        <v>34.141417067901848</v>
      </c>
      <c r="W110" s="1139">
        <f t="shared" si="32"/>
        <v>34.347261768731826</v>
      </c>
      <c r="X110" s="1139" t="e">
        <f t="shared" si="32"/>
        <v>#DIV/0!</v>
      </c>
      <c r="Y110" s="1139" t="e">
        <f t="shared" si="32"/>
        <v>#DIV/0!</v>
      </c>
      <c r="Z110" s="1139" t="e">
        <f t="shared" si="32"/>
        <v>#DIV/0!</v>
      </c>
    </row>
    <row r="113" spans="2:24" ht="13.5" customHeight="1">
      <c r="B113" s="972" t="s">
        <v>153</v>
      </c>
      <c r="D113" s="972" t="b">
        <f t="shared" ref="D113:X113" si="33">IF(D43&lt;0, (D43/D23)*100)</f>
        <v>0</v>
      </c>
      <c r="E113" s="972" t="b">
        <f t="shared" si="33"/>
        <v>0</v>
      </c>
      <c r="F113" s="972" t="b">
        <f t="shared" si="33"/>
        <v>0</v>
      </c>
      <c r="G113" s="972" t="b">
        <f t="shared" si="33"/>
        <v>0</v>
      </c>
      <c r="H113" s="972" t="b">
        <f t="shared" si="33"/>
        <v>0</v>
      </c>
      <c r="I113" s="972" t="b">
        <f t="shared" si="33"/>
        <v>0</v>
      </c>
      <c r="J113" s="972" t="b">
        <f t="shared" si="33"/>
        <v>0</v>
      </c>
      <c r="K113" s="972" t="b">
        <f t="shared" si="33"/>
        <v>0</v>
      </c>
      <c r="L113" s="972" t="b">
        <f t="shared" si="33"/>
        <v>0</v>
      </c>
      <c r="M113" s="972" t="b">
        <f t="shared" si="33"/>
        <v>0</v>
      </c>
      <c r="N113" s="972" t="b">
        <f t="shared" si="33"/>
        <v>0</v>
      </c>
      <c r="O113" s="972" t="b">
        <f t="shared" si="33"/>
        <v>0</v>
      </c>
      <c r="P113" s="972" t="b">
        <f t="shared" si="33"/>
        <v>0</v>
      </c>
      <c r="Q113" s="972" t="b">
        <f t="shared" si="33"/>
        <v>0</v>
      </c>
      <c r="R113" s="972" t="b">
        <f t="shared" si="33"/>
        <v>0</v>
      </c>
      <c r="S113" s="972" t="b">
        <f t="shared" si="33"/>
        <v>0</v>
      </c>
      <c r="T113" s="972" t="b">
        <f t="shared" si="33"/>
        <v>0</v>
      </c>
      <c r="U113" s="972" t="b">
        <f t="shared" si="33"/>
        <v>0</v>
      </c>
      <c r="V113" s="972" t="b">
        <f t="shared" si="33"/>
        <v>0</v>
      </c>
      <c r="W113" s="972" t="b">
        <f t="shared" si="33"/>
        <v>0</v>
      </c>
      <c r="X113" s="972" t="b">
        <f t="shared" si="33"/>
        <v>0</v>
      </c>
    </row>
    <row r="116" spans="2:24">
      <c r="P116" s="995"/>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R6"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3149</v>
      </c>
      <c r="B1" s="82" t="s">
        <v>3150</v>
      </c>
      <c r="C1" s="82"/>
      <c r="D1" s="27"/>
      <c r="E1" s="27"/>
      <c r="F1" s="27"/>
      <c r="G1" s="27"/>
      <c r="H1" s="27"/>
      <c r="I1" s="27"/>
      <c r="J1" s="27"/>
      <c r="K1" s="27"/>
      <c r="L1" s="27"/>
      <c r="M1" s="27"/>
      <c r="N1" s="27"/>
      <c r="O1" s="28"/>
      <c r="P1" s="28"/>
      <c r="Q1" s="28"/>
      <c r="R1" s="29"/>
      <c r="S1" s="28"/>
      <c r="T1" s="28"/>
      <c r="U1" s="28"/>
      <c r="V1" s="28"/>
      <c r="W1" s="28"/>
      <c r="X1" s="2"/>
    </row>
    <row r="2" spans="1:35">
      <c r="B2" s="30" t="s">
        <v>3151</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463"/>
      <c r="AH4" s="2463"/>
      <c r="AI4" s="2463"/>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2166</v>
      </c>
      <c r="W5" s="28" t="s">
        <v>32</v>
      </c>
      <c r="X5" s="2" t="s">
        <v>32</v>
      </c>
      <c r="AG5" s="2463"/>
      <c r="AH5" s="2463"/>
      <c r="AI5" s="2463"/>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463"/>
      <c r="Z6" s="2463"/>
      <c r="AA6" s="2463"/>
      <c r="AB6" s="2463"/>
      <c r="AC6" s="2463"/>
      <c r="AD6" s="2463"/>
      <c r="AE6" s="2463"/>
      <c r="AF6" s="2463"/>
      <c r="AG6" s="2463"/>
      <c r="AH6" s="2463"/>
      <c r="AI6" s="2463"/>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8">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463"/>
      <c r="Z7" s="2463"/>
      <c r="AA7" s="2463"/>
      <c r="AB7" s="2463"/>
      <c r="AC7" s="2463"/>
      <c r="AD7" s="2463"/>
      <c r="AE7" s="2463"/>
      <c r="AF7" s="2463"/>
      <c r="AG7" s="2463"/>
      <c r="AH7" s="2463"/>
      <c r="AI7" s="2463"/>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463"/>
      <c r="Z8" s="2463"/>
      <c r="AA8" s="2463"/>
      <c r="AB8" s="2463"/>
      <c r="AC8" s="2463"/>
      <c r="AD8" s="2463"/>
      <c r="AE8" s="2463"/>
      <c r="AF8" s="2463"/>
      <c r="AG8" s="2463"/>
      <c r="AH8" s="2463"/>
      <c r="AI8" s="2463"/>
    </row>
    <row r="9" spans="1:35">
      <c r="A9" s="58" t="s">
        <v>7056</v>
      </c>
      <c r="B9" s="58" t="s">
        <v>7056</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463"/>
      <c r="Z9" s="2463"/>
      <c r="AA9" s="2463"/>
      <c r="AB9" s="2463"/>
      <c r="AC9" s="2463"/>
      <c r="AD9" s="2463"/>
      <c r="AE9" s="2463"/>
      <c r="AF9" s="2463"/>
      <c r="AG9" s="2463"/>
      <c r="AH9" s="2463"/>
      <c r="AI9" s="2463"/>
    </row>
    <row r="10" spans="1:35">
      <c r="A10" s="58" t="s">
        <v>3742</v>
      </c>
      <c r="B10" s="58" t="s">
        <v>3742</v>
      </c>
      <c r="C10" s="11" t="s">
        <v>7061</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463"/>
      <c r="Z10" s="2463"/>
      <c r="AA10" s="2463"/>
      <c r="AB10" s="2463"/>
      <c r="AC10" s="2463"/>
      <c r="AD10" s="2463"/>
      <c r="AE10" s="2463"/>
      <c r="AF10" s="2463"/>
      <c r="AG10" s="2463"/>
      <c r="AH10" s="2463"/>
      <c r="AI10" s="2463"/>
    </row>
    <row r="11" spans="1:35">
      <c r="A11" s="58" t="s">
        <v>7059</v>
      </c>
      <c r="B11" s="58" t="s">
        <v>7059</v>
      </c>
      <c r="C11" s="11" t="s">
        <v>7061</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463"/>
      <c r="Z11" s="2463"/>
      <c r="AA11" s="2463"/>
      <c r="AB11" s="2463"/>
      <c r="AC11" s="2463"/>
      <c r="AD11" s="2463"/>
      <c r="AE11" s="2463"/>
      <c r="AF11" s="2463"/>
      <c r="AG11" s="2463"/>
      <c r="AH11" s="2463"/>
      <c r="AI11" s="2463"/>
    </row>
    <row r="12" spans="1:35">
      <c r="A12" s="58" t="s">
        <v>5699</v>
      </c>
      <c r="B12" s="58" t="s">
        <v>5699</v>
      </c>
      <c r="C12" s="11" t="s">
        <v>7061</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463"/>
      <c r="Z12" s="2463"/>
      <c r="AA12" s="2463"/>
      <c r="AB12" s="2463"/>
      <c r="AC12" s="2463"/>
      <c r="AD12" s="2463"/>
      <c r="AE12" s="2463"/>
      <c r="AF12" s="2463"/>
      <c r="AG12" s="2463"/>
      <c r="AH12" s="2463"/>
      <c r="AI12" s="2463"/>
    </row>
    <row r="13" spans="1:35">
      <c r="A13" s="58" t="s">
        <v>7054</v>
      </c>
      <c r="B13" s="58" t="s">
        <v>7054</v>
      </c>
      <c r="C13" s="11" t="s">
        <v>7061</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463"/>
      <c r="Z13" s="2463"/>
      <c r="AA13" s="2463"/>
      <c r="AB13" s="2463"/>
      <c r="AC13" s="2463"/>
      <c r="AD13" s="2463"/>
      <c r="AE13" s="2463"/>
      <c r="AF13" s="2463"/>
      <c r="AG13" s="2463"/>
      <c r="AH13" s="2463"/>
      <c r="AI13" s="2463"/>
    </row>
    <row r="14" spans="1:35">
      <c r="A14" t="s">
        <v>7055</v>
      </c>
      <c r="B14" t="s">
        <v>7055</v>
      </c>
      <c r="C14" s="11" t="s">
        <v>7061</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463"/>
      <c r="Z14" s="2463"/>
      <c r="AA14" s="2463"/>
      <c r="AB14" s="2463"/>
      <c r="AC14" s="2463"/>
      <c r="AD14" s="2463"/>
      <c r="AE14" s="2463"/>
      <c r="AF14" s="2463"/>
      <c r="AG14" s="2463"/>
      <c r="AH14" s="2463"/>
      <c r="AI14" s="2463"/>
    </row>
    <row r="15" spans="1:35">
      <c r="A15" s="58" t="s">
        <v>1772</v>
      </c>
      <c r="B15" s="58" t="s">
        <v>1772</v>
      </c>
      <c r="C15" s="11" t="s">
        <v>7061</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463"/>
      <c r="Z15" s="2463"/>
      <c r="AA15" s="2463"/>
      <c r="AB15" s="2463"/>
      <c r="AC15" s="2463"/>
      <c r="AD15" s="2463"/>
      <c r="AE15" s="2463"/>
      <c r="AF15" s="2463"/>
      <c r="AG15" s="2463"/>
      <c r="AH15" s="2463"/>
      <c r="AI15" s="2463"/>
    </row>
    <row r="16" spans="1:35">
      <c r="A16" s="58" t="s">
        <v>7057</v>
      </c>
      <c r="B16" s="58" t="s">
        <v>7057</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463"/>
      <c r="Z16" s="2463"/>
      <c r="AA16" s="2463"/>
      <c r="AB16" s="2463"/>
      <c r="AC16" s="2463"/>
      <c r="AD16" s="2463"/>
      <c r="AE16" s="2463"/>
      <c r="AF16" s="2463"/>
      <c r="AG16" s="2463"/>
      <c r="AH16" s="2463"/>
      <c r="AI16" s="2463"/>
    </row>
    <row r="17" spans="1:35">
      <c r="A17" s="58" t="s">
        <v>3104</v>
      </c>
      <c r="B17" s="58" t="s">
        <v>3104</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463"/>
      <c r="Z17" s="2463"/>
      <c r="AA17" s="2463"/>
      <c r="AB17" s="2463"/>
      <c r="AC17" s="2463"/>
      <c r="AD17" s="2463"/>
      <c r="AE17" s="2463"/>
      <c r="AF17" s="2463"/>
      <c r="AG17" s="2463"/>
      <c r="AH17" s="2463"/>
      <c r="AI17" s="2463"/>
    </row>
    <row r="18" spans="1:35">
      <c r="A18" s="58" t="s">
        <v>7053</v>
      </c>
      <c r="B18" s="58" t="s">
        <v>7053</v>
      </c>
      <c r="C18" s="11" t="s">
        <v>998</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463"/>
      <c r="Z18" s="2463"/>
      <c r="AA18" s="2463"/>
      <c r="AB18" s="2463"/>
      <c r="AC18" s="2463"/>
      <c r="AD18" s="2463"/>
      <c r="AE18" s="2463"/>
      <c r="AF18" s="2463"/>
      <c r="AG18" s="2463"/>
      <c r="AH18" s="2463"/>
      <c r="AI18" s="2463"/>
    </row>
    <row r="19" spans="1:35">
      <c r="A19" t="s">
        <v>7058</v>
      </c>
      <c r="B19" t="s">
        <v>7058</v>
      </c>
      <c r="C19" s="11" t="s">
        <v>998</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463"/>
      <c r="Z19" s="2463"/>
      <c r="AA19" s="2463"/>
      <c r="AB19" s="2463"/>
      <c r="AC19" s="2463"/>
      <c r="AD19" s="2463"/>
      <c r="AE19" s="2463"/>
      <c r="AF19" s="2463"/>
      <c r="AG19" s="2463"/>
      <c r="AH19" s="2463"/>
      <c r="AI19" s="2463"/>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463"/>
      <c r="Z20" s="2463"/>
      <c r="AA20" s="2463"/>
      <c r="AB20" s="2463"/>
      <c r="AC20" s="2463"/>
      <c r="AD20" s="2463"/>
      <c r="AE20" s="2463"/>
      <c r="AF20" s="2463"/>
      <c r="AG20" s="2463"/>
      <c r="AH20" s="2463"/>
      <c r="AI20" s="2463"/>
    </row>
    <row r="21" spans="1:35">
      <c r="A21" s="86" t="s">
        <v>377</v>
      </c>
      <c r="B21" s="58" t="s">
        <v>997</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463"/>
      <c r="Z21" s="2463"/>
      <c r="AA21" s="2463"/>
      <c r="AB21" s="2463"/>
      <c r="AC21" s="2463"/>
      <c r="AD21" s="2463"/>
      <c r="AE21" s="2463"/>
      <c r="AF21" s="2463"/>
      <c r="AG21" s="2463"/>
      <c r="AH21" s="2463"/>
      <c r="AI21" s="2463"/>
    </row>
    <row r="22" spans="1:35" s="15" customFormat="1">
      <c r="A22" s="206" t="s">
        <v>71</v>
      </c>
      <c r="B22" s="97" t="s">
        <v>535</v>
      </c>
      <c r="C22" s="514"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463"/>
      <c r="Z22" s="2463"/>
      <c r="AA22" s="2463"/>
      <c r="AB22" s="2463"/>
      <c r="AC22" s="2463"/>
      <c r="AD22" s="2463"/>
      <c r="AE22" s="2463"/>
      <c r="AF22" s="2463"/>
      <c r="AG22" s="2463"/>
      <c r="AH22" s="2463"/>
      <c r="AI22" s="2463"/>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02">
        <f t="shared" ref="P23:R23" si="7">P29</f>
        <v>3356163800000</v>
      </c>
      <c r="Q23" s="2602">
        <f t="shared" si="7"/>
        <v>3795645200000</v>
      </c>
      <c r="R23" s="2602">
        <f t="shared" si="7"/>
        <v>4311122800000</v>
      </c>
      <c r="S23" s="2602">
        <f>S29</f>
        <v>4862504400000</v>
      </c>
      <c r="T23" s="2602">
        <f t="shared" ref="T23:X23" si="8">T29</f>
        <v>6331458399999.999</v>
      </c>
      <c r="U23" s="2602">
        <f t="shared" si="8"/>
        <v>7016706599999.999</v>
      </c>
      <c r="V23" s="2602">
        <f t="shared" si="8"/>
        <v>7226385683000</v>
      </c>
      <c r="W23" s="2602">
        <f t="shared" si="8"/>
        <v>8243361368000.001</v>
      </c>
      <c r="X23" s="2602">
        <f t="shared" si="8"/>
        <v>9075163717000</v>
      </c>
      <c r="Y23" s="2463"/>
      <c r="Z23" s="2463"/>
      <c r="AA23" s="2463"/>
      <c r="AB23" s="2463"/>
      <c r="AC23" s="2463"/>
      <c r="AD23" s="2463"/>
      <c r="AE23" s="2463"/>
      <c r="AF23" s="2463"/>
      <c r="AG23" s="2463"/>
      <c r="AH23" s="2463"/>
      <c r="AI23" s="2463"/>
    </row>
    <row r="24" spans="1:35">
      <c r="A24" t="s">
        <v>76</v>
      </c>
      <c r="B24" s="208" t="s">
        <v>3152</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463"/>
      <c r="Z24" s="2463"/>
      <c r="AA24" s="2463"/>
      <c r="AB24" s="2463"/>
      <c r="AC24" s="2463"/>
      <c r="AD24" s="2463"/>
      <c r="AE24" s="2463"/>
      <c r="AF24" s="2463"/>
      <c r="AG24" s="2463"/>
      <c r="AH24" s="2463"/>
      <c r="AI24" s="2463"/>
    </row>
    <row r="25" spans="1:35">
      <c r="A25" t="s">
        <v>76</v>
      </c>
      <c r="B25" s="208" t="s">
        <v>3153</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463"/>
      <c r="Z25" s="2463"/>
      <c r="AA25" s="2463"/>
      <c r="AB25" s="2463"/>
      <c r="AC25" s="2463"/>
      <c r="AD25" s="2463"/>
      <c r="AE25" s="2463"/>
      <c r="AF25" s="2463"/>
      <c r="AG25" s="2463"/>
      <c r="AH25" s="2463"/>
      <c r="AI25" s="2463"/>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463"/>
      <c r="Z26" s="2463"/>
      <c r="AA26" s="2463"/>
      <c r="AB26" s="2463"/>
      <c r="AC26" s="2463"/>
      <c r="AD26" s="2463"/>
      <c r="AE26" s="2463"/>
      <c r="AF26" s="2463"/>
      <c r="AG26" s="2463"/>
      <c r="AH26" s="2463"/>
      <c r="AI26" s="2463"/>
    </row>
    <row r="27" spans="1:35">
      <c r="A27" s="20" t="s">
        <v>91</v>
      </c>
      <c r="B27" s="58" t="s">
        <v>3154</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463"/>
      <c r="Z27" s="2463"/>
      <c r="AA27" s="2463"/>
      <c r="AB27" s="2463"/>
      <c r="AC27" s="2463"/>
      <c r="AD27" s="2463"/>
      <c r="AE27" s="2463"/>
      <c r="AF27" s="2463"/>
      <c r="AG27" s="2463"/>
      <c r="AH27" s="2463"/>
      <c r="AI27" s="2463"/>
    </row>
    <row r="28" spans="1:35">
      <c r="A28" s="20" t="s">
        <v>50</v>
      </c>
      <c r="B28" s="58" t="s">
        <v>7060</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463"/>
      <c r="Z28" s="2463"/>
      <c r="AA28" s="2463"/>
      <c r="AB28" s="2463"/>
      <c r="AC28" s="2463"/>
      <c r="AD28" s="2463"/>
      <c r="AE28" s="2463"/>
      <c r="AF28" s="2463"/>
      <c r="AG28" s="2463"/>
      <c r="AH28" s="2463"/>
      <c r="AI28" s="2463"/>
    </row>
    <row r="29" spans="1:35">
      <c r="A29" t="s">
        <v>76</v>
      </c>
      <c r="B29" s="58" t="s">
        <v>1186</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463"/>
      <c r="Z29" s="2463"/>
      <c r="AA29" s="2463"/>
      <c r="AB29" s="2463"/>
      <c r="AC29" s="2463"/>
      <c r="AD29" s="2463"/>
      <c r="AE29" s="2463"/>
      <c r="AF29" s="2463"/>
      <c r="AG29" s="2463"/>
      <c r="AH29" s="2463"/>
      <c r="AI29" s="2463"/>
    </row>
    <row r="30" spans="1:35">
      <c r="A30" t="s">
        <v>76</v>
      </c>
      <c r="B30" s="58" t="s">
        <v>1190</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463"/>
      <c r="Z30" s="2463"/>
      <c r="AA30" s="2463"/>
      <c r="AB30" s="2463"/>
      <c r="AC30" s="2463"/>
      <c r="AD30" s="2463"/>
      <c r="AE30" s="2463"/>
      <c r="AF30" s="2463"/>
      <c r="AG30" s="2463"/>
      <c r="AH30" s="2463"/>
      <c r="AI30" s="2463"/>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5">
        <f t="shared" ref="P31:R31" si="11">P32+P33</f>
        <v>7153928100000</v>
      </c>
      <c r="Q31" s="335">
        <f t="shared" si="11"/>
        <v>7491405000000</v>
      </c>
      <c r="R31" s="335">
        <f t="shared" si="11"/>
        <v>8735696200000</v>
      </c>
      <c r="S31" s="335">
        <f>S32+S33</f>
        <v>8976931200000</v>
      </c>
      <c r="T31" s="335">
        <f t="shared" ref="T31:X31" si="12">T32+T33</f>
        <v>9634828000000</v>
      </c>
      <c r="U31" s="335">
        <f t="shared" si="12"/>
        <v>10219985700000</v>
      </c>
      <c r="V31" s="335">
        <f t="shared" si="12"/>
        <v>11931939151000</v>
      </c>
      <c r="W31" s="335">
        <f t="shared" si="12"/>
        <v>12365042052000</v>
      </c>
      <c r="X31" s="335">
        <f t="shared" si="12"/>
        <v>13929321054000</v>
      </c>
      <c r="Y31" s="2463"/>
      <c r="Z31" s="2463"/>
      <c r="AA31" s="2463"/>
      <c r="AB31" s="2463"/>
      <c r="AC31" s="2463"/>
      <c r="AD31" s="2463"/>
      <c r="AE31" s="2463"/>
      <c r="AF31" s="2463"/>
      <c r="AG31" s="2463"/>
      <c r="AH31" s="2463"/>
      <c r="AI31" s="2463"/>
    </row>
    <row r="32" spans="1:35">
      <c r="A32" t="s">
        <v>117</v>
      </c>
      <c r="B32" s="90" t="s">
        <v>409</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479">
        <f t="shared" ref="P32:R32" si="13">P46</f>
        <v>88320100000</v>
      </c>
      <c r="Q32" s="2479">
        <f t="shared" si="13"/>
        <v>99885400000</v>
      </c>
      <c r="R32" s="2479">
        <f t="shared" si="13"/>
        <v>113450600000</v>
      </c>
      <c r="S32" s="2479">
        <f>S46</f>
        <v>124679600000</v>
      </c>
      <c r="T32" s="2479">
        <f t="shared" ref="T32:X32" si="14">T46</f>
        <v>137640400000</v>
      </c>
      <c r="U32" s="2479">
        <f t="shared" si="14"/>
        <v>152537100000</v>
      </c>
      <c r="V32" s="2479">
        <f t="shared" si="14"/>
        <v>168055481000</v>
      </c>
      <c r="W32" s="2479">
        <f t="shared" si="14"/>
        <v>0</v>
      </c>
      <c r="X32" s="2479">
        <f t="shared" si="14"/>
        <v>0</v>
      </c>
      <c r="Y32" s="2463"/>
      <c r="Z32" s="2463"/>
      <c r="AA32" s="2463"/>
      <c r="AB32" s="2463"/>
      <c r="AC32" s="2463"/>
      <c r="AD32" s="2463"/>
      <c r="AE32" s="2463"/>
      <c r="AF32" s="2463"/>
      <c r="AG32" s="2463"/>
      <c r="AH32" s="2463"/>
      <c r="AI32" s="2463"/>
    </row>
    <row r="33" spans="1:35">
      <c r="A33" s="43" t="s">
        <v>120</v>
      </c>
      <c r="B33" s="90" t="s">
        <v>406</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449">
        <f>P38+P43</f>
        <v>7065608000000</v>
      </c>
      <c r="Q33" s="2449">
        <f t="shared" ref="Q33:R33" si="15">Q38+Q43</f>
        <v>7391519600000</v>
      </c>
      <c r="R33" s="2449">
        <f t="shared" si="15"/>
        <v>8622245600000</v>
      </c>
      <c r="S33" s="2449">
        <f>S38+S43</f>
        <v>8852251600000</v>
      </c>
      <c r="T33" s="2449">
        <f t="shared" ref="T33:X33" si="16">T38+T43</f>
        <v>9497187600000</v>
      </c>
      <c r="U33" s="2449">
        <f t="shared" si="16"/>
        <v>10067448600000</v>
      </c>
      <c r="V33" s="2449">
        <f t="shared" si="16"/>
        <v>11763883670000</v>
      </c>
      <c r="W33" s="2449">
        <f t="shared" si="16"/>
        <v>12365042052000</v>
      </c>
      <c r="X33" s="2449">
        <f t="shared" si="16"/>
        <v>13929321054000</v>
      </c>
      <c r="Y33" s="2463"/>
      <c r="Z33" s="2463"/>
      <c r="AA33" s="2463"/>
      <c r="AB33" s="2463"/>
      <c r="AC33" s="2463"/>
      <c r="AD33" s="2463"/>
      <c r="AE33" s="2463"/>
      <c r="AF33" s="2463"/>
      <c r="AG33" s="2463"/>
      <c r="AH33" s="2463"/>
      <c r="AI33" s="2463"/>
    </row>
    <row r="34" spans="1:35">
      <c r="A34" t="s">
        <v>76</v>
      </c>
      <c r="B34" s="90" t="s">
        <v>3155</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2"/>
      <c r="R34" s="135"/>
      <c r="S34" s="135"/>
      <c r="T34" s="21"/>
      <c r="U34" s="21"/>
      <c r="V34" s="21"/>
      <c r="W34" s="21"/>
      <c r="X34" s="21"/>
      <c r="Y34" s="2463"/>
      <c r="Z34" s="2463"/>
      <c r="AA34" s="2463"/>
      <c r="AB34" s="2463"/>
      <c r="AC34" s="2463"/>
      <c r="AD34" s="2463"/>
      <c r="AE34" s="2463"/>
      <c r="AF34" s="2463"/>
      <c r="AG34" s="2463"/>
      <c r="AH34" s="2463"/>
      <c r="AI34" s="2463"/>
    </row>
    <row r="35" spans="1:35">
      <c r="A35" t="s">
        <v>76</v>
      </c>
      <c r="B35" s="58" t="s">
        <v>3156</v>
      </c>
      <c r="C35" s="58"/>
      <c r="D35" s="135"/>
      <c r="E35" s="135"/>
      <c r="F35" s="115"/>
      <c r="G35" s="115"/>
      <c r="H35" s="115"/>
      <c r="I35" s="115"/>
      <c r="J35" s="115"/>
      <c r="K35" s="115"/>
      <c r="L35" s="115"/>
      <c r="M35" s="209"/>
      <c r="N35" s="209"/>
      <c r="O35" s="28"/>
      <c r="P35" s="209">
        <v>-7153928100000</v>
      </c>
      <c r="Q35" s="209">
        <v>-7391519600000</v>
      </c>
      <c r="R35" s="209">
        <v>-8622245600000</v>
      </c>
      <c r="S35" s="209"/>
      <c r="T35" s="2600"/>
      <c r="U35" s="2600"/>
      <c r="V35" s="21"/>
      <c r="W35" s="21"/>
      <c r="X35" s="21"/>
      <c r="Y35" s="2463"/>
      <c r="Z35" s="2463"/>
      <c r="AA35" s="2463"/>
      <c r="AB35" s="2463"/>
      <c r="AC35" s="2463"/>
      <c r="AD35" s="2463"/>
      <c r="AE35" s="2463"/>
      <c r="AF35" s="2463"/>
      <c r="AG35" s="2463"/>
    </row>
    <row r="36" spans="1:35">
      <c r="A36" t="s">
        <v>76</v>
      </c>
      <c r="B36" s="58" t="s">
        <v>3157</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463"/>
      <c r="Z36" s="2463"/>
      <c r="AA36" s="2463"/>
      <c r="AB36" s="2463"/>
      <c r="AC36" s="2463"/>
      <c r="AD36" s="2463"/>
      <c r="AE36" s="2463"/>
      <c r="AF36" s="2463"/>
      <c r="AG36" s="2463"/>
    </row>
    <row r="37" spans="1:35">
      <c r="A37" t="s">
        <v>76</v>
      </c>
      <c r="B37" s="58" t="s">
        <v>1204</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463"/>
      <c r="Z37" s="2463"/>
      <c r="AA37" s="2463"/>
      <c r="AB37" s="2463"/>
      <c r="AC37" s="2463"/>
      <c r="AD37" s="2463"/>
      <c r="AE37" s="2463"/>
      <c r="AF37" s="2463"/>
      <c r="AG37" s="2463"/>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463"/>
      <c r="Z38" s="2463"/>
      <c r="AA38" s="2463"/>
      <c r="AB38" s="2463"/>
      <c r="AC38" s="2463"/>
      <c r="AD38" s="2463"/>
      <c r="AE38" s="2463"/>
      <c r="AF38" s="2463"/>
      <c r="AG38" s="2463"/>
    </row>
    <row r="39" spans="1:35">
      <c r="A39" s="64" t="s">
        <v>2261</v>
      </c>
      <c r="B39" s="64" t="s">
        <v>1194</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463"/>
      <c r="Z39" s="2463"/>
      <c r="AA39" s="2463"/>
      <c r="AB39" s="2463"/>
      <c r="AC39" s="2463"/>
      <c r="AD39" s="2463"/>
      <c r="AE39" s="2463"/>
      <c r="AF39" s="2463"/>
      <c r="AG39" s="2463"/>
    </row>
    <row r="40" spans="1:35">
      <c r="A40" s="64" t="s">
        <v>444</v>
      </c>
      <c r="B40" s="64" t="s">
        <v>444</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463"/>
      <c r="Z40" s="2463"/>
      <c r="AA40" s="2463"/>
      <c r="AB40" s="2463"/>
      <c r="AC40" s="2463"/>
      <c r="AD40" s="2463"/>
      <c r="AE40" s="2463"/>
      <c r="AF40" s="2463"/>
      <c r="AG40" s="2463"/>
    </row>
    <row r="41" spans="1:35">
      <c r="A41" s="64" t="s">
        <v>3158</v>
      </c>
      <c r="B41" s="64" t="s">
        <v>1196</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1027</v>
      </c>
      <c r="C42" s="58"/>
      <c r="D42" s="135"/>
      <c r="E42" s="135"/>
      <c r="F42" s="115"/>
      <c r="G42" s="115"/>
      <c r="H42" s="115"/>
      <c r="I42" s="115"/>
      <c r="J42" s="115"/>
      <c r="K42" s="115"/>
      <c r="L42" s="115"/>
      <c r="M42" s="209"/>
      <c r="N42" s="209"/>
      <c r="O42" s="28"/>
      <c r="P42" s="209">
        <v>6800647700000</v>
      </c>
      <c r="Q42" s="209">
        <v>6991978000000</v>
      </c>
      <c r="R42" s="209">
        <v>8168443200000</v>
      </c>
      <c r="S42" s="209"/>
      <c r="T42" s="2601"/>
      <c r="U42" s="2601"/>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3159</v>
      </c>
      <c r="B44" s="58" t="s">
        <v>1195</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3160</v>
      </c>
      <c r="B45" s="58" t="s">
        <v>1205</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444</v>
      </c>
      <c r="B47" s="64" t="s">
        <v>444</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1760</v>
      </c>
      <c r="N50" t="s">
        <v>1760</v>
      </c>
      <c r="O50" t="s">
        <v>1760</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450</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1207</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457</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529</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3161</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1898</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623</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15"/>
      <c r="Q64" s="515"/>
      <c r="R64" s="515"/>
      <c r="S64" s="515"/>
      <c r="T64" s="515"/>
      <c r="U64" s="516"/>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3162</v>
      </c>
      <c r="B1" s="82" t="s">
        <v>3163</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3164</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v>2011</v>
      </c>
      <c r="AD3" s="365">
        <v>2012</v>
      </c>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063" t="s">
        <v>3165</v>
      </c>
      <c r="B6" s="1063" t="s">
        <v>831</v>
      </c>
      <c r="C6" s="848" t="s">
        <v>35</v>
      </c>
      <c r="K6" s="1556">
        <v>762000000000000</v>
      </c>
      <c r="L6" s="1556">
        <v>1053000000000000</v>
      </c>
      <c r="M6" s="1556">
        <v>925000000000000</v>
      </c>
      <c r="N6" s="1556">
        <v>1096000000000000</v>
      </c>
      <c r="O6" s="1556">
        <v>1332000000000000</v>
      </c>
      <c r="P6" s="1556">
        <v>1486000000000000</v>
      </c>
      <c r="Q6" s="1556">
        <v>1610000000000000</v>
      </c>
      <c r="R6" s="1556">
        <v>1740000000000000</v>
      </c>
      <c r="S6" s="1556">
        <v>1715000000000000</v>
      </c>
      <c r="T6" s="1557">
        <v>1778000000000000</v>
      </c>
      <c r="U6" s="1348">
        <v>1881000000000000</v>
      </c>
      <c r="V6" s="1348">
        <v>2082000000000000</v>
      </c>
      <c r="Y6" s="916"/>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891" t="s">
        <v>36</v>
      </c>
      <c r="B7" s="891" t="s">
        <v>36</v>
      </c>
      <c r="C7" s="1559"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7">
        <f t="shared" si="1"/>
        <v>1880000000000000</v>
      </c>
      <c r="V7" s="267">
        <f t="shared" si="1"/>
        <v>2081000000000000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09">
        <v>1434000000000000</v>
      </c>
      <c r="U8" s="267">
        <v>1501000000000000</v>
      </c>
      <c r="V8" s="267">
        <v>1664000000000000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64" t="s">
        <v>42</v>
      </c>
      <c r="B9" s="64" t="s">
        <v>1292</v>
      </c>
      <c r="C9" t="s">
        <v>44</v>
      </c>
      <c r="K9" s="210">
        <v>239000000000000</v>
      </c>
      <c r="L9" s="210">
        <v>327000000000000</v>
      </c>
      <c r="M9" s="210">
        <v>318000000000000</v>
      </c>
      <c r="N9" s="210">
        <v>357000000000000</v>
      </c>
      <c r="O9" s="210">
        <v>431000000000000</v>
      </c>
      <c r="P9" s="210">
        <v>465000000000000</v>
      </c>
      <c r="Q9" s="298">
        <v>506000000000000</v>
      </c>
      <c r="R9" s="210">
        <v>546000000000000</v>
      </c>
      <c r="S9" s="210">
        <v>602000000000000</v>
      </c>
      <c r="T9" s="509">
        <v>666000000000000</v>
      </c>
      <c r="U9" s="267">
        <v>638000000000000</v>
      </c>
      <c r="V9" s="267">
        <v>703000000000000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64" t="s">
        <v>47</v>
      </c>
      <c r="B10" s="64" t="s">
        <v>3166</v>
      </c>
      <c r="C10" t="s">
        <v>44</v>
      </c>
      <c r="K10" s="210">
        <v>200000000000000</v>
      </c>
      <c r="L10" s="210">
        <v>261000000000000</v>
      </c>
      <c r="M10" s="210">
        <v>250000000000000</v>
      </c>
      <c r="N10" s="210">
        <v>319000000000000</v>
      </c>
      <c r="O10" s="210">
        <v>355000000000000</v>
      </c>
      <c r="P10" s="210">
        <v>433000000000000</v>
      </c>
      <c r="Q10" s="298">
        <v>493000000000000</v>
      </c>
      <c r="R10" s="210">
        <v>527000000000000</v>
      </c>
      <c r="S10" s="210">
        <v>568000000000000</v>
      </c>
      <c r="T10" s="509">
        <v>556000000000000</v>
      </c>
      <c r="U10" s="267">
        <v>638000000000000</v>
      </c>
      <c r="V10" s="267">
        <v>716000000000000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65" t="s">
        <v>3167</v>
      </c>
      <c r="B11" s="65" t="s">
        <v>3168</v>
      </c>
      <c r="C11" t="s">
        <v>3169</v>
      </c>
      <c r="K11" s="210">
        <v>155000000000000</v>
      </c>
      <c r="L11" s="210">
        <v>210000000000000</v>
      </c>
      <c r="M11" s="210">
        <v>193000000000000</v>
      </c>
      <c r="N11" s="210">
        <v>252000000000000</v>
      </c>
      <c r="O11" s="210">
        <v>278000000000000</v>
      </c>
      <c r="P11" s="210">
        <v>338000000000000</v>
      </c>
      <c r="Q11" s="298">
        <v>385000000000000</v>
      </c>
      <c r="R11" s="210">
        <v>409000000000000</v>
      </c>
      <c r="S11" s="210">
        <v>424000000000000</v>
      </c>
      <c r="T11" s="509">
        <v>412000000000000</v>
      </c>
      <c r="U11" s="267">
        <v>469000000000000</v>
      </c>
      <c r="V11" s="267">
        <v>530000000000000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65" t="s">
        <v>3170</v>
      </c>
      <c r="B12" s="65" t="s">
        <v>3170</v>
      </c>
      <c r="C12" t="s">
        <v>3169</v>
      </c>
      <c r="K12" s="210">
        <v>45000000000000</v>
      </c>
      <c r="L12" s="210">
        <v>51000000000000</v>
      </c>
      <c r="M12" s="210">
        <v>57000000000000</v>
      </c>
      <c r="N12" s="210">
        <v>67000000000000</v>
      </c>
      <c r="O12" s="210">
        <v>77000000000000</v>
      </c>
      <c r="P12" s="210">
        <v>95000000000000</v>
      </c>
      <c r="Q12" s="298">
        <v>108000000000000</v>
      </c>
      <c r="R12" s="210">
        <v>118000000000000</v>
      </c>
      <c r="S12" s="210">
        <v>145000000000000</v>
      </c>
      <c r="T12" s="509">
        <v>144000000000000</v>
      </c>
      <c r="U12" s="267">
        <v>169000000000000</v>
      </c>
      <c r="V12" s="267">
        <v>186000000000000</v>
      </c>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64" t="s">
        <v>2448</v>
      </c>
      <c r="B13" s="64" t="s">
        <v>3171</v>
      </c>
      <c r="C13" t="s">
        <v>44</v>
      </c>
      <c r="K13" s="210">
        <v>21000000000000</v>
      </c>
      <c r="L13" s="210">
        <v>36000000000000</v>
      </c>
      <c r="M13" s="210">
        <v>19000000000000</v>
      </c>
      <c r="N13" s="210">
        <v>29000000000000</v>
      </c>
      <c r="O13" s="210">
        <v>54000000000000</v>
      </c>
      <c r="P13" s="210">
        <v>50000000000000</v>
      </c>
      <c r="Q13" s="298">
        <v>47000000000000</v>
      </c>
      <c r="R13" s="210">
        <v>44000000000000</v>
      </c>
      <c r="S13" s="210">
        <v>35000000000000</v>
      </c>
      <c r="T13" s="509">
        <v>35000000000000</v>
      </c>
      <c r="U13" s="267">
        <v>40000000000000</v>
      </c>
      <c r="V13" s="267">
        <v>43000000000000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64" t="s">
        <v>3172</v>
      </c>
      <c r="B14" s="64" t="s">
        <v>3173</v>
      </c>
      <c r="C14" t="s">
        <v>44</v>
      </c>
      <c r="K14" s="210">
        <v>32000000000000</v>
      </c>
      <c r="L14" s="210">
        <v>34000000000000</v>
      </c>
      <c r="M14" s="210">
        <v>34000000000000</v>
      </c>
      <c r="N14" s="210">
        <v>41000000000000</v>
      </c>
      <c r="O14" s="210">
        <v>113000000000000</v>
      </c>
      <c r="P14" s="210">
        <v>127000000000000</v>
      </c>
      <c r="Q14" s="298">
        <v>145000000000000</v>
      </c>
      <c r="R14" s="210">
        <v>157000000000000</v>
      </c>
      <c r="S14" s="210">
        <v>173000000000000</v>
      </c>
      <c r="T14" s="509">
        <v>176000000000000</v>
      </c>
      <c r="U14" s="267">
        <v>185000000000000</v>
      </c>
      <c r="V14" s="267">
        <v>202000000000000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58" t="s">
        <v>53</v>
      </c>
      <c r="B15" s="58" t="s">
        <v>53</v>
      </c>
      <c r="C15" s="11" t="s">
        <v>38</v>
      </c>
      <c r="K15" s="210">
        <v>2000000000000</v>
      </c>
      <c r="L15" s="210">
        <v>2000000000000</v>
      </c>
      <c r="M15" s="210">
        <v>2000000000000</v>
      </c>
      <c r="N15" s="210">
        <v>3000000000000</v>
      </c>
      <c r="O15" s="210">
        <v>5000000000000</v>
      </c>
      <c r="P15" s="210">
        <v>6000000000000</v>
      </c>
      <c r="Q15" s="298">
        <v>7000000000000</v>
      </c>
      <c r="R15" s="210">
        <v>5000000000000</v>
      </c>
      <c r="S15" s="210">
        <v>12000000000000</v>
      </c>
      <c r="T15" s="509">
        <v>9000000000000</v>
      </c>
      <c r="U15" s="267">
        <v>1000000000000</v>
      </c>
      <c r="V15" s="267">
        <v>1000000000000</v>
      </c>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560</v>
      </c>
      <c r="B16" s="58" t="s">
        <v>997</v>
      </c>
      <c r="C16" s="58" t="s">
        <v>41</v>
      </c>
      <c r="K16" s="210">
        <v>269000000000000</v>
      </c>
      <c r="L16" s="210">
        <v>392000000000000</v>
      </c>
      <c r="M16" s="210">
        <v>303000000000000</v>
      </c>
      <c r="N16" s="210">
        <v>348000000000000</v>
      </c>
      <c r="O16" s="210">
        <v>374000000000000</v>
      </c>
      <c r="P16" s="210">
        <v>406000000000000</v>
      </c>
      <c r="Q16" s="298">
        <v>411000000000000</v>
      </c>
      <c r="R16" s="210">
        <v>461000000000000</v>
      </c>
      <c r="S16" s="210">
        <v>324000000000000</v>
      </c>
      <c r="T16" s="509">
        <v>335000000000000</v>
      </c>
      <c r="U16" s="267">
        <v>379000000000000</v>
      </c>
      <c r="V16" s="267">
        <v>417000000000000</v>
      </c>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063" t="s">
        <v>198</v>
      </c>
      <c r="B17" s="1063" t="s">
        <v>1360</v>
      </c>
      <c r="C17" s="848" t="s">
        <v>35</v>
      </c>
      <c r="K17" s="1556">
        <v>803000000000000</v>
      </c>
      <c r="L17" s="1556">
        <v>1053000000000000</v>
      </c>
      <c r="M17" s="1556">
        <v>1023000000000000</v>
      </c>
      <c r="N17" s="1556">
        <v>1176000000000000</v>
      </c>
      <c r="O17" s="1556">
        <v>1387000000000000</v>
      </c>
      <c r="P17" s="1556">
        <v>1623000000000000</v>
      </c>
      <c r="Q17" s="1093">
        <v>1822000000000000</v>
      </c>
      <c r="R17" s="1556">
        <v>1967000000000000</v>
      </c>
      <c r="S17" s="1556">
        <v>2015000000000000</v>
      </c>
      <c r="T17" s="1557">
        <v>2087000000000000</v>
      </c>
      <c r="U17" s="1348">
        <v>2243000000000000</v>
      </c>
      <c r="V17" s="1348">
        <v>2455000000000000</v>
      </c>
      <c r="Y17" s="916"/>
      <c r="Z17" s="916"/>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8">
        <v>1481000000000000</v>
      </c>
      <c r="R18" s="210">
        <v>1642000000000000</v>
      </c>
      <c r="S18" s="210">
        <v>1605000000000000</v>
      </c>
      <c r="T18" s="509">
        <v>1645000000000000</v>
      </c>
      <c r="U18" s="267">
        <v>1798000000000000</v>
      </c>
      <c r="V18" s="267">
        <v>1930000000000000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64" t="s">
        <v>797</v>
      </c>
      <c r="B19" s="64" t="s">
        <v>1005</v>
      </c>
      <c r="C19" s="58" t="s">
        <v>204</v>
      </c>
      <c r="K19" s="210">
        <v>211000000000000</v>
      </c>
      <c r="L19" s="210">
        <v>261000000000000</v>
      </c>
      <c r="M19" s="210">
        <v>296000000000000</v>
      </c>
      <c r="N19" s="210">
        <v>346000000000000</v>
      </c>
      <c r="O19" s="210">
        <v>406000000000000</v>
      </c>
      <c r="P19" s="210">
        <v>465000000000000</v>
      </c>
      <c r="Q19" s="298">
        <v>511000000000000</v>
      </c>
      <c r="R19" s="210">
        <v>564000000000000</v>
      </c>
      <c r="S19" s="210">
        <v>631000000000000</v>
      </c>
      <c r="T19" s="509">
        <v>681000000000000</v>
      </c>
      <c r="U19" s="267">
        <v>752000000000000</v>
      </c>
      <c r="V19" s="267">
        <v>819000000000000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64" t="s">
        <v>1059</v>
      </c>
      <c r="B20" s="64" t="s">
        <v>3174</v>
      </c>
      <c r="C20" s="58" t="s">
        <v>204</v>
      </c>
      <c r="K20" s="210">
        <v>51000000000000</v>
      </c>
      <c r="L20" s="210">
        <v>56000000000000</v>
      </c>
      <c r="M20" s="210">
        <v>81000000000000</v>
      </c>
      <c r="N20" s="210">
        <v>96000000000000</v>
      </c>
      <c r="O20" s="210">
        <v>125000000000000</v>
      </c>
      <c r="P20" s="210">
        <v>141000000000000</v>
      </c>
      <c r="Q20" s="298">
        <v>170000000000000</v>
      </c>
      <c r="R20" s="210">
        <v>177000000000000</v>
      </c>
      <c r="S20" s="210">
        <v>233000000000000</v>
      </c>
      <c r="T20" s="509">
        <v>260000000000000</v>
      </c>
      <c r="U20" s="267">
        <v>301000000000000</v>
      </c>
      <c r="V20" s="267">
        <v>368000000000000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8">
        <v>113000000000000</v>
      </c>
      <c r="R21" s="210">
        <v>133000000000000</v>
      </c>
      <c r="S21" s="210">
        <v>156000000000000</v>
      </c>
      <c r="T21" s="509">
        <v>183000000000000</v>
      </c>
      <c r="U21" s="267">
        <v>221000000000000</v>
      </c>
      <c r="V21" s="267">
        <v>242000000000000</v>
      </c>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64" t="s">
        <v>1439</v>
      </c>
      <c r="B22" s="64" t="s">
        <v>3175</v>
      </c>
      <c r="C22" s="58" t="s">
        <v>204</v>
      </c>
      <c r="K22" s="210">
        <v>117000000000000</v>
      </c>
      <c r="L22" s="210">
        <v>223000000000000</v>
      </c>
      <c r="M22" s="210">
        <v>95000000000000</v>
      </c>
      <c r="N22" s="210">
        <v>140000000000000</v>
      </c>
      <c r="O22" s="210">
        <v>256000000000000</v>
      </c>
      <c r="P22" s="210">
        <v>306000000000000</v>
      </c>
      <c r="Q22" s="298">
        <v>310000000000000</v>
      </c>
      <c r="R22" s="210">
        <v>342000000000000</v>
      </c>
      <c r="S22" s="210">
        <v>119000000000000</v>
      </c>
      <c r="T22" s="509">
        <v>107000000000000</v>
      </c>
      <c r="U22" s="267">
        <v>92000000000000</v>
      </c>
      <c r="V22" s="267">
        <v>106000000000000</v>
      </c>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64" t="s">
        <v>3176</v>
      </c>
      <c r="B23" s="64" t="s">
        <v>3176</v>
      </c>
      <c r="C23" s="58" t="s">
        <v>204</v>
      </c>
      <c r="O23" s="210">
        <v>84000000000000</v>
      </c>
      <c r="P23" s="210">
        <v>88000000000000</v>
      </c>
      <c r="Q23" s="210">
        <v>103000000000000</v>
      </c>
      <c r="R23" s="210">
        <v>110000000000000</v>
      </c>
      <c r="S23" s="210">
        <v>112000000000000</v>
      </c>
      <c r="T23" s="210">
        <v>68000000000000</v>
      </c>
      <c r="U23" s="267">
        <v>82000000000000</v>
      </c>
      <c r="V23" s="267">
        <v>109000000000000</v>
      </c>
    </row>
    <row r="24" spans="1:50">
      <c r="A24" s="1558" t="s">
        <v>847</v>
      </c>
      <c r="B24" s="1558" t="s">
        <v>847</v>
      </c>
      <c r="C24" s="891"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7">
        <f t="shared" si="2"/>
        <v>350000000000000</v>
      </c>
      <c r="V24" s="269">
        <f t="shared" si="2"/>
        <v>286000000000000</v>
      </c>
      <c r="Y24" s="365"/>
      <c r="Z24" s="365"/>
      <c r="AA24" s="365"/>
      <c r="AI24" s="365"/>
      <c r="AJ24" s="365"/>
      <c r="AK24" s="365"/>
      <c r="AL24" s="365"/>
      <c r="AM24" s="365"/>
      <c r="AN24" s="365"/>
      <c r="AO24" s="365"/>
      <c r="AP24" s="365"/>
      <c r="AQ24" s="365"/>
      <c r="AR24" s="365"/>
      <c r="AS24" s="365"/>
      <c r="AT24" s="365"/>
      <c r="AU24" s="365"/>
      <c r="AV24" s="365"/>
      <c r="AW24" s="365"/>
      <c r="AX24" s="365"/>
    </row>
    <row r="25" spans="1:50">
      <c r="A25" s="64" t="s">
        <v>237</v>
      </c>
      <c r="B25" s="58" t="s">
        <v>1186</v>
      </c>
      <c r="C25" s="58" t="s">
        <v>201</v>
      </c>
      <c r="K25" s="210">
        <v>221000000000000</v>
      </c>
      <c r="L25" s="210">
        <v>252000000000000</v>
      </c>
      <c r="M25" s="210">
        <v>275000000000000</v>
      </c>
      <c r="N25" s="210">
        <v>253000000000000</v>
      </c>
      <c r="O25" s="210">
        <v>226000000000000</v>
      </c>
      <c r="P25" s="210">
        <v>280000000000000</v>
      </c>
      <c r="Q25" s="298">
        <v>341000000000000</v>
      </c>
      <c r="R25" s="210">
        <v>324000000000000</v>
      </c>
      <c r="S25" s="210">
        <v>410000000000000</v>
      </c>
      <c r="T25" s="509">
        <v>442000000000000</v>
      </c>
      <c r="U25" s="267">
        <v>446000000000000</v>
      </c>
      <c r="V25" s="267">
        <v>525000000000000</v>
      </c>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B26" s="58" t="s">
        <v>3177</v>
      </c>
      <c r="K26" s="210">
        <v>-41000000000000</v>
      </c>
      <c r="L26" s="210">
        <v>0</v>
      </c>
      <c r="M26" s="210">
        <v>-99000000000000</v>
      </c>
      <c r="N26" s="210">
        <v>-80000000000000</v>
      </c>
      <c r="O26" s="210">
        <v>-55000000000000</v>
      </c>
      <c r="P26" s="210">
        <v>-137000000000000</v>
      </c>
      <c r="Q26" s="298">
        <v>-212000000000000</v>
      </c>
      <c r="R26" s="210">
        <v>-227000000000000</v>
      </c>
      <c r="S26" s="210">
        <v>-300000000000000</v>
      </c>
      <c r="T26" s="509">
        <v>-308000000000000</v>
      </c>
      <c r="U26" s="267">
        <v>-363000000000000</v>
      </c>
      <c r="V26" s="267">
        <v>-373000000000000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s="848" customFormat="1">
      <c r="A27" s="1063" t="s">
        <v>115</v>
      </c>
      <c r="B27" s="1063" t="s">
        <v>115</v>
      </c>
      <c r="C27" s="848" t="s">
        <v>35</v>
      </c>
      <c r="K27" s="1556">
        <f>K28+K30</f>
        <v>41000000000000</v>
      </c>
      <c r="L27" s="1556">
        <f t="shared" ref="L27:Q27" si="3">L28+L30</f>
        <v>0</v>
      </c>
      <c r="M27" s="1556">
        <f t="shared" si="3"/>
        <v>99000000000000</v>
      </c>
      <c r="N27" s="1556">
        <f t="shared" si="3"/>
        <v>80000000000000</v>
      </c>
      <c r="O27" s="1556">
        <f t="shared" si="3"/>
        <v>55000000000000</v>
      </c>
      <c r="P27" s="1556">
        <f t="shared" si="3"/>
        <v>137000000000000</v>
      </c>
      <c r="Q27" s="1556">
        <f t="shared" si="3"/>
        <v>212000000000000</v>
      </c>
      <c r="R27" s="1556">
        <f>R28+R30</f>
        <v>227000000000000</v>
      </c>
      <c r="S27" s="1556">
        <f t="shared" ref="S27:V27" si="4">S28+S30</f>
        <v>300000000000000</v>
      </c>
      <c r="T27" s="1556">
        <f t="shared" si="4"/>
        <v>308000000000000</v>
      </c>
      <c r="U27" s="1556">
        <f t="shared" si="4"/>
        <v>362000000000000</v>
      </c>
      <c r="V27" s="1556">
        <f t="shared" si="4"/>
        <v>373000000000000</v>
      </c>
      <c r="Y27" s="916"/>
      <c r="Z27" s="916"/>
      <c r="AA27" s="916"/>
      <c r="AB27" s="916"/>
      <c r="AC27" s="916"/>
      <c r="AD27" s="916"/>
      <c r="AE27" s="916"/>
      <c r="AF27" s="916"/>
      <c r="AG27" s="916"/>
      <c r="AH27" s="916"/>
      <c r="AI27" s="916"/>
      <c r="AJ27" s="916"/>
      <c r="AK27" s="916"/>
      <c r="AL27" s="916"/>
      <c r="AM27" s="916"/>
      <c r="AN27" s="916"/>
      <c r="AO27" s="916"/>
      <c r="AP27" s="916"/>
      <c r="AQ27" s="916"/>
      <c r="AR27" s="916"/>
      <c r="AS27" s="916"/>
      <c r="AT27" s="916"/>
      <c r="AU27" s="916"/>
      <c r="AV27" s="916"/>
      <c r="AW27" s="916"/>
      <c r="AX27" s="916"/>
    </row>
    <row r="28" spans="1:50">
      <c r="A28" s="58" t="s">
        <v>3178</v>
      </c>
      <c r="B28" s="58" t="s">
        <v>1204</v>
      </c>
      <c r="C28" s="58" t="s">
        <v>252</v>
      </c>
      <c r="K28" s="210">
        <v>8000000000000</v>
      </c>
      <c r="L28" s="210">
        <v>-71000000000000</v>
      </c>
      <c r="M28" s="210">
        <v>9000000000000</v>
      </c>
      <c r="N28" s="210">
        <v>16000000000000</v>
      </c>
      <c r="O28" s="210">
        <v>-47000000000000</v>
      </c>
      <c r="P28" s="210">
        <v>1000000000000</v>
      </c>
      <c r="Q28" s="298">
        <v>-7000000000000</v>
      </c>
      <c r="R28" s="210">
        <v>-35000000000000</v>
      </c>
      <c r="S28" s="210">
        <v>-82000000000000</v>
      </c>
      <c r="T28" s="509">
        <v>-89000000000000</v>
      </c>
      <c r="U28" s="267">
        <v>-57000000000000</v>
      </c>
      <c r="V28" s="267">
        <v>-63000000000000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58" t="s">
        <v>3179</v>
      </c>
      <c r="K29" s="210">
        <v>0</v>
      </c>
      <c r="L29" s="210">
        <v>0</v>
      </c>
      <c r="M29" s="210">
        <v>6000000000000</v>
      </c>
      <c r="N29" s="210">
        <v>0</v>
      </c>
      <c r="O29" s="210">
        <v>4000000000000</v>
      </c>
      <c r="P29" s="210">
        <v>4000000000000</v>
      </c>
      <c r="Q29" s="298">
        <v>4000000000000</v>
      </c>
      <c r="R29" s="298">
        <v>3000000000000</v>
      </c>
      <c r="S29" s="210">
        <v>3000000000000</v>
      </c>
      <c r="T29" s="509">
        <v>5000000000000</v>
      </c>
      <c r="U29" s="267">
        <v>0</v>
      </c>
      <c r="V29" s="267">
        <v>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58" t="s">
        <v>3180</v>
      </c>
      <c r="B30" s="58" t="s">
        <v>1027</v>
      </c>
      <c r="C30" s="58" t="s">
        <v>252</v>
      </c>
      <c r="K30" s="210">
        <v>33000000000000</v>
      </c>
      <c r="L30" s="210">
        <v>71000000000000</v>
      </c>
      <c r="M30" s="210">
        <v>90000000000000</v>
      </c>
      <c r="N30" s="210">
        <v>64000000000000</v>
      </c>
      <c r="O30" s="210">
        <v>102000000000000</v>
      </c>
      <c r="P30" s="210">
        <v>136000000000000</v>
      </c>
      <c r="Q30" s="298">
        <v>219000000000000</v>
      </c>
      <c r="R30" s="210">
        <v>262000000000000</v>
      </c>
      <c r="S30" s="210">
        <v>382000000000000</v>
      </c>
      <c r="T30" s="509">
        <v>397000000000000</v>
      </c>
      <c r="U30" s="267">
        <v>419000000000000</v>
      </c>
      <c r="V30" s="267">
        <v>436000000000000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58" t="s">
        <v>614</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3" spans="2:23">
      <c r="K33" t="s">
        <v>139</v>
      </c>
      <c r="L33" t="s">
        <v>139</v>
      </c>
      <c r="M33" t="s">
        <v>139</v>
      </c>
      <c r="N33" t="s">
        <v>139</v>
      </c>
      <c r="O33" t="s">
        <v>139</v>
      </c>
      <c r="P33" t="s">
        <v>139</v>
      </c>
      <c r="Q33" t="s">
        <v>139</v>
      </c>
      <c r="R33" t="s">
        <v>139</v>
      </c>
      <c r="S33" t="s">
        <v>139</v>
      </c>
      <c r="T33" t="s">
        <v>139</v>
      </c>
      <c r="U33" t="s">
        <v>139</v>
      </c>
      <c r="V33" t="s">
        <v>139</v>
      </c>
    </row>
    <row r="34" spans="2:23">
      <c r="Q34" s="1140"/>
    </row>
    <row r="35" spans="2:23">
      <c r="B35" t="s">
        <v>875</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3181</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2" t="s">
        <v>826</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543</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972" bestFit="1" customWidth="1"/>
    <col min="2" max="2" width="53.28515625" style="972" bestFit="1" customWidth="1"/>
    <col min="3" max="3" width="24.5703125" style="972" bestFit="1" customWidth="1"/>
    <col min="4" max="8" width="9.140625" style="972" bestFit="1" customWidth="1"/>
    <col min="9" max="9" width="15.140625" style="972" bestFit="1" customWidth="1"/>
    <col min="10" max="10" width="9.140625" style="972" bestFit="1" customWidth="1"/>
    <col min="11" max="11" width="28.7109375" style="972" bestFit="1" customWidth="1"/>
    <col min="12" max="14" width="25.5703125" style="972" customWidth="1"/>
    <col min="15" max="15" width="32.5703125" style="972" bestFit="1" customWidth="1"/>
    <col min="16" max="16" width="32" style="972" bestFit="1" customWidth="1"/>
    <col min="17" max="17" width="31.5703125" style="972" bestFit="1" customWidth="1"/>
    <col min="18" max="18" width="33.42578125" style="972" bestFit="1" customWidth="1"/>
    <col min="19" max="19" width="32" style="972" bestFit="1" customWidth="1"/>
    <col min="20" max="20" width="29.7109375" style="972" bestFit="1" customWidth="1"/>
    <col min="21" max="21" width="29.140625" style="972" bestFit="1" customWidth="1"/>
    <col min="22" max="22" width="29.7109375" style="972" bestFit="1" customWidth="1"/>
    <col min="23" max="24" width="29.140625" style="972" bestFit="1" customWidth="1"/>
    <col min="25" max="26" width="31.28515625" style="972" bestFit="1" customWidth="1"/>
    <col min="27" max="27" width="8.85546875" style="972"/>
    <col min="28" max="28" width="15.140625" customWidth="1"/>
    <col min="29" max="36" width="24.42578125" customWidth="1"/>
    <col min="37" max="37" width="16.5703125" bestFit="1" customWidth="1"/>
  </cols>
  <sheetData>
    <row r="1" spans="1:42">
      <c r="A1" s="1128" t="s">
        <v>3182</v>
      </c>
      <c r="B1" s="967" t="s">
        <v>3183</v>
      </c>
      <c r="C1" s="967"/>
      <c r="D1" s="968"/>
      <c r="E1" s="968"/>
      <c r="F1" s="968"/>
      <c r="G1" s="968"/>
      <c r="H1" s="968"/>
      <c r="I1" s="968"/>
      <c r="J1" s="968"/>
      <c r="K1" s="968"/>
      <c r="L1" s="968"/>
      <c r="M1" s="968"/>
      <c r="N1" s="969"/>
      <c r="O1" s="969"/>
      <c r="P1" s="969"/>
      <c r="Q1" s="970"/>
      <c r="R1" s="969"/>
      <c r="S1" s="969"/>
      <c r="T1" s="969"/>
      <c r="U1" s="969"/>
      <c r="V1" s="969"/>
      <c r="W1" s="969"/>
      <c r="X1" s="1007"/>
      <c r="Y1" s="1007"/>
      <c r="Z1" s="1007"/>
      <c r="AA1" s="1007"/>
      <c r="AB1" s="527"/>
      <c r="AC1" s="365"/>
      <c r="AD1" s="365"/>
      <c r="AE1" s="365"/>
      <c r="AF1" s="365"/>
      <c r="AG1" s="365"/>
      <c r="AH1" s="365"/>
      <c r="AI1" s="365"/>
      <c r="AJ1" s="365"/>
      <c r="AK1" s="365"/>
      <c r="AL1" s="365"/>
      <c r="AM1" s="365"/>
      <c r="AN1" s="365"/>
      <c r="AO1" s="365"/>
      <c r="AP1" s="365"/>
    </row>
    <row r="2" spans="1:42">
      <c r="B2" s="973" t="s">
        <v>3184</v>
      </c>
      <c r="C2" s="973"/>
      <c r="D2" s="969"/>
      <c r="E2" s="969"/>
      <c r="F2" s="969"/>
      <c r="G2" s="969"/>
      <c r="H2" s="969"/>
      <c r="I2" s="969"/>
      <c r="J2" s="969"/>
      <c r="K2" s="969"/>
      <c r="L2" s="969"/>
      <c r="M2" s="969"/>
      <c r="N2" s="969"/>
      <c r="O2" s="969"/>
      <c r="P2" s="969"/>
      <c r="Q2" s="974"/>
      <c r="R2" s="1046"/>
      <c r="S2" s="1047"/>
      <c r="T2" s="969"/>
      <c r="U2" s="969"/>
      <c r="V2" s="969"/>
      <c r="W2" s="969"/>
      <c r="X2" s="1007"/>
      <c r="Y2" s="1007"/>
      <c r="Z2" s="1007"/>
      <c r="AA2" s="1007"/>
      <c r="AB2" s="527"/>
      <c r="AC2" s="365"/>
      <c r="AD2" s="365"/>
      <c r="AE2" s="365"/>
      <c r="AF2" s="365"/>
      <c r="AG2" s="365"/>
      <c r="AH2" s="365"/>
      <c r="AI2" s="365"/>
      <c r="AJ2" s="365"/>
      <c r="AK2" s="365"/>
      <c r="AL2" s="365"/>
      <c r="AM2" s="365"/>
      <c r="AN2" s="365"/>
      <c r="AO2" s="365"/>
      <c r="AP2" s="365"/>
    </row>
    <row r="3" spans="1:42"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378">
        <v>2021</v>
      </c>
      <c r="Z3" s="1007">
        <v>2022</v>
      </c>
      <c r="AA3" s="1007"/>
      <c r="AB3" s="90"/>
      <c r="AC3" s="90"/>
      <c r="AD3" s="139"/>
      <c r="AE3" s="139"/>
      <c r="AF3" s="139"/>
      <c r="AG3" s="139"/>
      <c r="AH3" s="139"/>
      <c r="AI3" s="139"/>
      <c r="AJ3" s="139"/>
      <c r="AK3" s="365"/>
      <c r="AL3" s="365"/>
      <c r="AM3" s="365"/>
      <c r="AN3" s="365"/>
      <c r="AO3" s="365"/>
      <c r="AP3" s="365"/>
    </row>
    <row r="4" spans="1:42" ht="16.5">
      <c r="B4" s="975" t="s">
        <v>4</v>
      </c>
      <c r="C4" s="975"/>
      <c r="D4" s="969" t="s">
        <v>6</v>
      </c>
      <c r="E4" s="969" t="s">
        <v>7</v>
      </c>
      <c r="F4" s="969" t="s">
        <v>8</v>
      </c>
      <c r="G4" s="969" t="s">
        <v>9</v>
      </c>
      <c r="H4" s="969" t="s">
        <v>10</v>
      </c>
      <c r="I4" s="969" t="s">
        <v>11</v>
      </c>
      <c r="J4" s="969" t="s">
        <v>12</v>
      </c>
      <c r="K4" s="969" t="s">
        <v>13</v>
      </c>
      <c r="L4" s="969" t="s">
        <v>14</v>
      </c>
      <c r="M4" s="969" t="s">
        <v>15</v>
      </c>
      <c r="N4" s="969" t="s">
        <v>16</v>
      </c>
      <c r="O4" s="969" t="s">
        <v>17</v>
      </c>
      <c r="P4" s="969" t="s">
        <v>18</v>
      </c>
      <c r="Q4" s="970" t="s">
        <v>19</v>
      </c>
      <c r="R4" s="969" t="s">
        <v>20</v>
      </c>
      <c r="S4" s="969" t="s">
        <v>21</v>
      </c>
      <c r="T4" s="969" t="s">
        <v>22</v>
      </c>
      <c r="U4" s="969" t="s">
        <v>23</v>
      </c>
      <c r="V4" s="969" t="s">
        <v>24</v>
      </c>
      <c r="W4" s="969" t="s">
        <v>25</v>
      </c>
      <c r="X4" s="1378" t="s">
        <v>3185</v>
      </c>
      <c r="Y4" s="1007" t="s">
        <v>27</v>
      </c>
      <c r="Z4" s="1007" t="s">
        <v>1137</v>
      </c>
      <c r="AA4" s="1007"/>
      <c r="AB4" s="90"/>
      <c r="AC4" s="139"/>
      <c r="AD4" s="139"/>
      <c r="AE4" s="139"/>
      <c r="AF4" s="139"/>
      <c r="AG4" s="139"/>
      <c r="AH4" s="139"/>
      <c r="AI4" s="139"/>
      <c r="AJ4" s="139"/>
      <c r="AK4" s="365"/>
      <c r="AL4" s="365"/>
      <c r="AM4" s="365"/>
      <c r="AN4" s="365"/>
      <c r="AO4" s="365"/>
      <c r="AP4" s="365"/>
    </row>
    <row r="5" spans="1:42">
      <c r="A5" s="972" t="s">
        <v>157</v>
      </c>
      <c r="B5" s="975" t="s">
        <v>29</v>
      </c>
      <c r="C5" s="975"/>
      <c r="D5" s="969" t="s">
        <v>30</v>
      </c>
      <c r="E5" s="969" t="s">
        <v>30</v>
      </c>
      <c r="F5" s="969" t="s">
        <v>30</v>
      </c>
      <c r="G5" s="969" t="s">
        <v>30</v>
      </c>
      <c r="H5" s="968" t="s">
        <v>31</v>
      </c>
      <c r="I5" s="968" t="s">
        <v>30</v>
      </c>
      <c r="J5" s="968" t="s">
        <v>30</v>
      </c>
      <c r="K5" s="968" t="s">
        <v>30</v>
      </c>
      <c r="L5" s="968" t="s">
        <v>30</v>
      </c>
      <c r="M5" s="968" t="s">
        <v>30</v>
      </c>
      <c r="N5" s="968" t="s">
        <v>30</v>
      </c>
      <c r="O5" s="968" t="s">
        <v>30</v>
      </c>
      <c r="P5" s="968" t="s">
        <v>30</v>
      </c>
      <c r="Q5" s="968" t="s">
        <v>30</v>
      </c>
      <c r="R5" s="969" t="s">
        <v>369</v>
      </c>
      <c r="S5" s="968" t="s">
        <v>30</v>
      </c>
      <c r="T5" s="968" t="s">
        <v>30</v>
      </c>
      <c r="U5" s="969" t="s">
        <v>32</v>
      </c>
      <c r="V5" s="969" t="s">
        <v>32</v>
      </c>
      <c r="W5" s="969" t="s">
        <v>32</v>
      </c>
      <c r="X5" s="969" t="s">
        <v>32</v>
      </c>
      <c r="Y5" s="1007" t="s">
        <v>32</v>
      </c>
      <c r="Z5" s="1007" t="s">
        <v>32</v>
      </c>
      <c r="AA5" s="1007"/>
      <c r="AB5" s="90"/>
      <c r="AC5" s="90"/>
      <c r="AD5" s="90"/>
      <c r="AE5" s="90"/>
      <c r="AF5" s="90"/>
      <c r="AG5" s="90"/>
      <c r="AH5" s="90"/>
      <c r="AI5" s="90"/>
      <c r="AJ5" s="90"/>
      <c r="AK5" s="365"/>
      <c r="AL5" s="365"/>
      <c r="AM5" s="365"/>
      <c r="AN5" s="365"/>
      <c r="AO5" s="365"/>
      <c r="AP5" s="365"/>
    </row>
    <row r="6" spans="1:42" s="848" customFormat="1">
      <c r="A6" s="1374" t="s">
        <v>33</v>
      </c>
      <c r="B6" s="1374" t="s">
        <v>33</v>
      </c>
      <c r="C6" s="1012" t="s">
        <v>35</v>
      </c>
      <c r="D6" s="1020"/>
      <c r="E6" s="1020"/>
      <c r="F6" s="1020"/>
      <c r="G6" s="1020"/>
      <c r="H6" s="1413"/>
      <c r="I6" s="1413"/>
      <c r="J6" s="1413"/>
      <c r="K6" s="1059">
        <f>K7+K19</f>
        <v>828611000000000</v>
      </c>
      <c r="L6" s="1059">
        <f t="shared" ref="L6:R6" si="0">L7+L19</f>
        <v>851710000000000</v>
      </c>
      <c r="M6" s="1059">
        <f t="shared" si="0"/>
        <v>846381000000000</v>
      </c>
      <c r="N6" s="1059">
        <f t="shared" si="0"/>
        <v>987113000000000</v>
      </c>
      <c r="O6" s="1059">
        <f t="shared" si="0"/>
        <v>1203714000000000</v>
      </c>
      <c r="P6" s="1059">
        <f t="shared" si="0"/>
        <v>1015803000000000</v>
      </c>
      <c r="Q6" s="1059">
        <f t="shared" si="0"/>
        <v>1326785000000000</v>
      </c>
      <c r="R6" s="1059">
        <f t="shared" si="0"/>
        <v>1606800000000000</v>
      </c>
      <c r="S6" s="1059">
        <v>1794189000000000</v>
      </c>
      <c r="T6" s="1059">
        <v>2198600000000000</v>
      </c>
      <c r="U6" s="1059">
        <v>2311962000000000</v>
      </c>
      <c r="V6" s="1059">
        <v>3346236000000000</v>
      </c>
      <c r="W6" s="1059">
        <v>4046630000000000</v>
      </c>
      <c r="X6" s="1059">
        <v>4643934000000000</v>
      </c>
      <c r="Y6" s="1018">
        <v>5338740000000000</v>
      </c>
      <c r="Z6" s="1018">
        <v>6128793000000000</v>
      </c>
      <c r="AA6" s="1066"/>
      <c r="AK6" s="916"/>
      <c r="AL6" s="916"/>
      <c r="AM6" s="916"/>
      <c r="AN6" s="916"/>
      <c r="AO6" s="916"/>
      <c r="AP6" s="916"/>
    </row>
    <row r="7" spans="1:42" ht="16.5">
      <c r="A7" s="981" t="s">
        <v>36</v>
      </c>
      <c r="B7" s="981" t="s">
        <v>36</v>
      </c>
      <c r="C7" s="982" t="s">
        <v>38</v>
      </c>
      <c r="K7" s="1050">
        <v>828611000000000</v>
      </c>
      <c r="L7" s="1050">
        <v>851710000000000</v>
      </c>
      <c r="M7" s="1050">
        <v>846381000000000</v>
      </c>
      <c r="N7" s="1050">
        <v>987113000000000</v>
      </c>
      <c r="O7" s="1048">
        <v>1203714000000000</v>
      </c>
      <c r="P7" s="1048">
        <v>1015803000000000</v>
      </c>
      <c r="Q7" s="1048">
        <v>1326785000000000</v>
      </c>
      <c r="R7" s="1048">
        <v>1606800000000000</v>
      </c>
      <c r="S7" s="1415">
        <f>S8+S15</f>
        <v>1794189000000000</v>
      </c>
      <c r="T7" s="1415">
        <f t="shared" ref="T7:Z7" si="1">T8+T15</f>
        <v>2198600000000000</v>
      </c>
      <c r="U7" s="1415">
        <f t="shared" si="1"/>
        <v>2311963000000000</v>
      </c>
      <c r="V7" s="1415">
        <f t="shared" si="1"/>
        <v>3346236000000000</v>
      </c>
      <c r="W7" s="1415">
        <f t="shared" si="1"/>
        <v>4046631000000000</v>
      </c>
      <c r="X7" s="1415">
        <f t="shared" si="1"/>
        <v>4643934000000000</v>
      </c>
      <c r="Y7" s="1415">
        <f t="shared" si="1"/>
        <v>5338739000000000</v>
      </c>
      <c r="Z7" s="1415">
        <f t="shared" si="1"/>
        <v>6128793000000000</v>
      </c>
      <c r="AA7" s="1007"/>
      <c r="AB7" s="139"/>
      <c r="AC7" s="410"/>
      <c r="AD7" s="410"/>
      <c r="AE7" s="410"/>
      <c r="AF7" s="410"/>
      <c r="AG7" s="410"/>
      <c r="AH7" s="410"/>
      <c r="AI7" s="410"/>
      <c r="AJ7" s="410"/>
      <c r="AK7" s="365"/>
      <c r="AL7" s="365"/>
      <c r="AM7" s="365"/>
      <c r="AN7" s="365"/>
      <c r="AO7" s="365"/>
      <c r="AP7" s="365"/>
    </row>
    <row r="8" spans="1:42" ht="16.5">
      <c r="A8" s="981" t="s">
        <v>371</v>
      </c>
      <c r="B8" s="981" t="s">
        <v>371</v>
      </c>
      <c r="C8" s="981" t="s">
        <v>41</v>
      </c>
      <c r="K8" s="1050">
        <v>191815000000000</v>
      </c>
      <c r="L8" s="1050">
        <v>239742000000000</v>
      </c>
      <c r="M8" s="1050">
        <v>303661000000000</v>
      </c>
      <c r="N8" s="1050">
        <v>272382000000000</v>
      </c>
      <c r="O8" s="1048">
        <v>359451000000000</v>
      </c>
      <c r="P8" s="1048">
        <v>395169000000000</v>
      </c>
      <c r="Q8" s="1048">
        <v>494250000000000</v>
      </c>
      <c r="R8" s="1048">
        <v>709652000000000</v>
      </c>
      <c r="S8" s="1048">
        <v>791980000000000</v>
      </c>
      <c r="T8" s="1000">
        <v>1014600000000000</v>
      </c>
      <c r="U8" s="1000">
        <v>1085118000000000</v>
      </c>
      <c r="V8" s="1000">
        <v>1295799000000000</v>
      </c>
      <c r="W8" s="1000">
        <v>1497477000000000</v>
      </c>
      <c r="X8" s="1412">
        <v>1735565000000000</v>
      </c>
      <c r="Y8" s="1008">
        <v>2007633000000000</v>
      </c>
      <c r="Z8" s="1008">
        <v>2319378000000000</v>
      </c>
      <c r="AA8" s="1007"/>
      <c r="AB8" s="90"/>
      <c r="AC8" s="410"/>
      <c r="AD8" s="410"/>
      <c r="AE8" s="410"/>
      <c r="AF8" s="410"/>
      <c r="AG8" s="410"/>
      <c r="AH8" s="410"/>
      <c r="AI8" s="410"/>
      <c r="AJ8" s="410"/>
      <c r="AK8" s="365"/>
      <c r="AL8" s="365"/>
      <c r="AM8" s="365"/>
      <c r="AN8" s="365"/>
      <c r="AO8" s="365"/>
      <c r="AP8" s="365"/>
    </row>
    <row r="9" spans="1:42" ht="16.5">
      <c r="A9" s="988" t="s">
        <v>3186</v>
      </c>
      <c r="B9" s="988" t="s">
        <v>3187</v>
      </c>
      <c r="C9" s="968" t="s">
        <v>44</v>
      </c>
      <c r="K9" s="1050">
        <v>118571000000000</v>
      </c>
      <c r="L9" s="1050">
        <v>159382000000000</v>
      </c>
      <c r="M9" s="1050">
        <v>201228000000000</v>
      </c>
      <c r="N9" s="1050">
        <v>145470000000000</v>
      </c>
      <c r="O9" s="1048">
        <v>207505000000000</v>
      </c>
      <c r="P9" s="1048">
        <v>232385000000000</v>
      </c>
      <c r="Q9" s="1048">
        <v>256037000000000</v>
      </c>
      <c r="R9" s="1048">
        <v>334085000000000</v>
      </c>
      <c r="S9" s="1048">
        <v>405537000000000</v>
      </c>
      <c r="T9" s="1000">
        <v>467100000000000</v>
      </c>
      <c r="U9" s="1000">
        <v>482547000000000</v>
      </c>
      <c r="V9" s="1000">
        <v>556601000000000</v>
      </c>
      <c r="W9" s="1046">
        <v>642861000000000</v>
      </c>
      <c r="X9" s="1412">
        <v>748327000000000</v>
      </c>
      <c r="Y9" s="1008">
        <v>868168000000000</v>
      </c>
      <c r="Z9" s="1008">
        <v>1005104000000000</v>
      </c>
      <c r="AA9" s="1007"/>
      <c r="AB9" s="90"/>
      <c r="AC9" s="410"/>
      <c r="AD9" s="410"/>
      <c r="AE9" s="410"/>
      <c r="AF9" s="410"/>
      <c r="AG9" s="410"/>
      <c r="AH9" s="410"/>
      <c r="AI9" s="410"/>
      <c r="AJ9" s="410"/>
      <c r="AK9" s="365"/>
      <c r="AL9" s="365"/>
      <c r="AM9" s="365"/>
      <c r="AN9" s="365"/>
      <c r="AO9" s="365"/>
      <c r="AP9" s="365"/>
    </row>
    <row r="10" spans="1:42" ht="16.5">
      <c r="A10" s="988" t="s">
        <v>2229</v>
      </c>
      <c r="B10" s="988" t="s">
        <v>3188</v>
      </c>
      <c r="C10" s="968" t="s">
        <v>44</v>
      </c>
      <c r="K10" s="1050">
        <v>7762000000000</v>
      </c>
      <c r="L10" s="1050">
        <v>7771000000000</v>
      </c>
      <c r="M10" s="1050">
        <v>7802000000000</v>
      </c>
      <c r="N10" s="1050">
        <v>11132000000000</v>
      </c>
      <c r="O10" s="1048">
        <v>12913000000000</v>
      </c>
      <c r="P10" s="1048">
        <v>15894000000000</v>
      </c>
      <c r="Q10" s="1048">
        <v>21846000000000</v>
      </c>
      <c r="R10" s="1048">
        <v>25115000000000</v>
      </c>
      <c r="S10" s="1048">
        <v>24153000000000</v>
      </c>
      <c r="T10" s="1000">
        <v>26700000000000</v>
      </c>
      <c r="U10" s="1000">
        <v>29815000000000</v>
      </c>
      <c r="V10" s="1000">
        <v>34391000000000</v>
      </c>
      <c r="W10" s="1000">
        <v>39720000000000</v>
      </c>
      <c r="X10" s="1412">
        <v>46237000000000</v>
      </c>
      <c r="Y10" s="1008">
        <v>53642000000000</v>
      </c>
      <c r="Z10" s="1008">
        <v>62102000000000</v>
      </c>
      <c r="AA10" s="1007"/>
      <c r="AB10" s="90"/>
      <c r="AC10" s="410"/>
      <c r="AD10" s="410"/>
      <c r="AE10" s="410"/>
      <c r="AF10" s="410"/>
      <c r="AG10" s="410"/>
      <c r="AH10" s="410"/>
      <c r="AI10" s="410"/>
      <c r="AJ10" s="410"/>
      <c r="AK10" s="365"/>
      <c r="AL10" s="365"/>
      <c r="AM10" s="365"/>
      <c r="AN10" s="365"/>
      <c r="AO10" s="365"/>
      <c r="AP10" s="365"/>
    </row>
    <row r="11" spans="1:42" ht="16.5">
      <c r="A11" s="988" t="s">
        <v>47</v>
      </c>
      <c r="B11" s="988" t="s">
        <v>2880</v>
      </c>
      <c r="C11" s="968" t="s">
        <v>44</v>
      </c>
      <c r="K11" s="1050">
        <v>16663000000000</v>
      </c>
      <c r="L11" s="1050">
        <v>15900000000000</v>
      </c>
      <c r="M11" s="1050">
        <v>32077000000000</v>
      </c>
      <c r="N11" s="1050">
        <v>37894000000000</v>
      </c>
      <c r="O11" s="1048">
        <v>60104000000000</v>
      </c>
      <c r="P11" s="1048">
        <v>70487000000000</v>
      </c>
      <c r="Q11" s="1048">
        <v>135969000000000</v>
      </c>
      <c r="R11" s="1048">
        <v>217026000000000</v>
      </c>
      <c r="S11" s="1048">
        <v>246747000000000</v>
      </c>
      <c r="T11" s="1000">
        <v>337900000000000</v>
      </c>
      <c r="U11" s="1000">
        <v>345621000000000</v>
      </c>
      <c r="V11" s="1000">
        <v>405874000000000</v>
      </c>
      <c r="W11" s="1000">
        <v>469002000000000</v>
      </c>
      <c r="X11" s="1412">
        <v>543942000000000</v>
      </c>
      <c r="Y11" s="1008">
        <v>629500000000000</v>
      </c>
      <c r="Z11" s="1008">
        <v>727492000000000</v>
      </c>
      <c r="AA11" s="1007"/>
      <c r="AB11" s="90"/>
      <c r="AC11" s="410"/>
      <c r="AD11" s="410"/>
      <c r="AE11" s="410"/>
      <c r="AF11" s="410"/>
      <c r="AG11" s="410"/>
      <c r="AH11" s="410"/>
      <c r="AI11" s="410"/>
      <c r="AJ11" s="410"/>
      <c r="AK11" s="365"/>
      <c r="AL11" s="365"/>
      <c r="AM11" s="365"/>
      <c r="AN11" s="365"/>
      <c r="AO11" s="365"/>
      <c r="AP11" s="365"/>
    </row>
    <row r="12" spans="1:42" ht="16.5">
      <c r="A12" s="997" t="s">
        <v>3189</v>
      </c>
      <c r="B12" s="997" t="s">
        <v>3190</v>
      </c>
      <c r="C12" s="968" t="s">
        <v>2358</v>
      </c>
      <c r="K12" s="1050">
        <v>0</v>
      </c>
      <c r="L12" s="1050">
        <v>2449000000000</v>
      </c>
      <c r="M12" s="1050">
        <v>16154000000000</v>
      </c>
      <c r="N12" s="1050">
        <v>20898000000000</v>
      </c>
      <c r="O12" s="1048">
        <v>32702000000000</v>
      </c>
      <c r="P12" s="1048">
        <v>54129000000000</v>
      </c>
      <c r="Q12" s="1048">
        <v>103202000000000</v>
      </c>
      <c r="R12" s="1048">
        <v>167040000000000</v>
      </c>
      <c r="S12" s="1048">
        <v>197416000000000</v>
      </c>
      <c r="T12" s="1000">
        <v>224900000000000</v>
      </c>
      <c r="U12" s="1000">
        <v>257370000000000</v>
      </c>
      <c r="V12" s="1000">
        <v>298592000000000</v>
      </c>
      <c r="W12" s="1000">
        <v>344867000000000</v>
      </c>
      <c r="X12" s="1412">
        <v>401444000000000</v>
      </c>
      <c r="Y12" s="1008">
        <v>465734000000000</v>
      </c>
      <c r="Z12" s="1008">
        <v>539194000000000</v>
      </c>
      <c r="AA12" s="1007"/>
      <c r="AB12" s="90"/>
      <c r="AC12" s="410"/>
      <c r="AD12" s="410"/>
      <c r="AE12" s="410"/>
      <c r="AF12" s="410"/>
      <c r="AG12" s="410"/>
      <c r="AH12" s="410"/>
      <c r="AI12" s="410"/>
      <c r="AJ12" s="410"/>
      <c r="AK12" s="365"/>
      <c r="AL12" s="365"/>
      <c r="AM12" s="365"/>
      <c r="AN12" s="365"/>
      <c r="AO12" s="365"/>
      <c r="AP12" s="365"/>
    </row>
    <row r="13" spans="1:42">
      <c r="A13" s="1416" t="s">
        <v>1421</v>
      </c>
      <c r="B13" s="1416" t="s">
        <v>1421</v>
      </c>
      <c r="C13" s="1417" t="s">
        <v>2358</v>
      </c>
      <c r="K13" s="1050">
        <f>K11-K12</f>
        <v>16663000000000</v>
      </c>
      <c r="L13" s="1050">
        <f t="shared" ref="L13:R13" si="2">L11-L12</f>
        <v>13451000000000</v>
      </c>
      <c r="M13" s="1050">
        <f t="shared" si="2"/>
        <v>15923000000000</v>
      </c>
      <c r="N13" s="1050">
        <f t="shared" si="2"/>
        <v>16996000000000</v>
      </c>
      <c r="O13" s="1050">
        <f t="shared" si="2"/>
        <v>27402000000000</v>
      </c>
      <c r="P13" s="1050">
        <f t="shared" si="2"/>
        <v>16358000000000</v>
      </c>
      <c r="Q13" s="1050">
        <f t="shared" si="2"/>
        <v>32767000000000</v>
      </c>
      <c r="R13" s="1050">
        <f t="shared" si="2"/>
        <v>49986000000000</v>
      </c>
      <c r="S13" s="1050">
        <f>S11-S12</f>
        <v>49331000000000</v>
      </c>
      <c r="T13" s="1050">
        <f t="shared" ref="T13:Z13" si="3">T11-T12</f>
        <v>113000000000000</v>
      </c>
      <c r="U13" s="1050">
        <f t="shared" si="3"/>
        <v>88251000000000</v>
      </c>
      <c r="V13" s="1050">
        <f t="shared" si="3"/>
        <v>107282000000000</v>
      </c>
      <c r="W13" s="1050">
        <f t="shared" si="3"/>
        <v>124135000000000</v>
      </c>
      <c r="X13" s="1050">
        <f t="shared" si="3"/>
        <v>142498000000000</v>
      </c>
      <c r="Y13" s="1008">
        <f t="shared" si="3"/>
        <v>163766000000000</v>
      </c>
      <c r="Z13" s="1008">
        <f t="shared" si="3"/>
        <v>188298000000000</v>
      </c>
      <c r="AA13" s="1007"/>
      <c r="AK13" s="365"/>
      <c r="AL13" s="365"/>
      <c r="AM13" s="365"/>
      <c r="AN13" s="365"/>
      <c r="AO13" s="365"/>
      <c r="AP13" s="365"/>
    </row>
    <row r="14" spans="1:42" ht="16.5">
      <c r="A14" s="988" t="s">
        <v>2448</v>
      </c>
      <c r="B14" s="988" t="s">
        <v>3191</v>
      </c>
      <c r="C14" s="968" t="s">
        <v>44</v>
      </c>
      <c r="K14" s="1050">
        <v>48819000000000</v>
      </c>
      <c r="L14" s="1050">
        <v>56689000000000</v>
      </c>
      <c r="M14" s="1050">
        <v>62554000000000</v>
      </c>
      <c r="N14" s="1050">
        <v>77886000000000</v>
      </c>
      <c r="O14" s="1048">
        <v>78930000000000</v>
      </c>
      <c r="P14" s="1048">
        <v>76403000000000</v>
      </c>
      <c r="Q14" s="1048">
        <v>80398000000000</v>
      </c>
      <c r="R14" s="1048">
        <v>133426000000000</v>
      </c>
      <c r="S14" s="1048">
        <v>115542000000000</v>
      </c>
      <c r="T14" s="1000">
        <v>182900000000000</v>
      </c>
      <c r="U14" s="1000">
        <v>227135000000000</v>
      </c>
      <c r="V14" s="1000">
        <v>298934000000000</v>
      </c>
      <c r="W14" s="1000">
        <v>345893000000000</v>
      </c>
      <c r="X14" s="1412">
        <v>397059000000000</v>
      </c>
      <c r="Y14" s="1008">
        <v>456323000000000</v>
      </c>
      <c r="Z14" s="1008">
        <v>524679000000000</v>
      </c>
      <c r="AA14" s="1007"/>
      <c r="AB14" s="90"/>
      <c r="AC14" s="410"/>
      <c r="AD14" s="410"/>
      <c r="AE14" s="410"/>
      <c r="AF14" s="410"/>
      <c r="AG14" s="410"/>
      <c r="AH14" s="410"/>
      <c r="AI14" s="410"/>
      <c r="AJ14" s="410"/>
      <c r="AK14" s="365"/>
      <c r="AL14" s="365"/>
      <c r="AM14" s="365"/>
      <c r="AN14" s="365"/>
      <c r="AO14" s="365"/>
      <c r="AP14" s="365"/>
    </row>
    <row r="15" spans="1:42" ht="16.5">
      <c r="A15" s="981" t="s">
        <v>560</v>
      </c>
      <c r="B15" s="981" t="s">
        <v>1716</v>
      </c>
      <c r="C15" s="981" t="s">
        <v>41</v>
      </c>
      <c r="K15" s="1050">
        <v>636796000000000</v>
      </c>
      <c r="L15" s="1050">
        <v>611968000000000</v>
      </c>
      <c r="M15" s="1050">
        <v>542720000000000</v>
      </c>
      <c r="N15" s="1050">
        <v>714731000000000</v>
      </c>
      <c r="O15" s="1048">
        <v>844263000000000</v>
      </c>
      <c r="P15" s="1048">
        <v>620634000000000</v>
      </c>
      <c r="Q15" s="1048">
        <v>832535000000000</v>
      </c>
      <c r="R15" s="1048">
        <v>897148000000000</v>
      </c>
      <c r="S15" s="1048">
        <v>1002209000000000</v>
      </c>
      <c r="T15" s="1000">
        <v>1184000000000000</v>
      </c>
      <c r="U15" s="1000">
        <v>1226845000000000</v>
      </c>
      <c r="V15" s="1000">
        <v>2050437000000000</v>
      </c>
      <c r="W15" s="1000">
        <v>2549154000000000</v>
      </c>
      <c r="X15" s="1412">
        <v>2908369000000000</v>
      </c>
      <c r="Y15" s="1008">
        <v>3331106000000000</v>
      </c>
      <c r="Z15" s="1008">
        <v>3809415000000000</v>
      </c>
      <c r="AA15" s="1007"/>
      <c r="AB15" s="90"/>
      <c r="AC15" s="410"/>
      <c r="AD15" s="410"/>
      <c r="AE15" s="410"/>
      <c r="AF15" s="410"/>
      <c r="AG15" s="410"/>
      <c r="AH15" s="410"/>
      <c r="AI15" s="410"/>
      <c r="AJ15" s="410"/>
      <c r="AK15" s="365"/>
      <c r="AL15" s="365"/>
      <c r="AM15" s="365"/>
      <c r="AN15" s="365"/>
      <c r="AO15" s="365"/>
      <c r="AP15" s="365"/>
    </row>
    <row r="16" spans="1:42" ht="16.5">
      <c r="A16" s="988" t="s">
        <v>2231</v>
      </c>
      <c r="B16" s="988" t="s">
        <v>3192</v>
      </c>
      <c r="C16" s="981" t="s">
        <v>998</v>
      </c>
      <c r="K16" s="1050">
        <v>616545000000000</v>
      </c>
      <c r="L16" s="1050">
        <v>588217000000000</v>
      </c>
      <c r="M16" s="1050">
        <v>516740000000000</v>
      </c>
      <c r="N16" s="1050">
        <v>684464000000000</v>
      </c>
      <c r="O16" s="1048">
        <v>731636000000000</v>
      </c>
      <c r="P16" s="1048">
        <v>545284000000000</v>
      </c>
      <c r="Q16" s="1048">
        <v>708502000000000</v>
      </c>
      <c r="R16" s="1048">
        <v>748003000000000</v>
      </c>
      <c r="S16" s="1048">
        <v>817743000000000</v>
      </c>
      <c r="T16" s="1000">
        <v>936529000000000</v>
      </c>
      <c r="U16" s="1000">
        <v>950501000000000</v>
      </c>
      <c r="V16" s="1000">
        <v>1792977000000000</v>
      </c>
      <c r="W16" s="1000">
        <v>2181002000000000</v>
      </c>
      <c r="X16" s="1412">
        <v>2479819000000000</v>
      </c>
      <c r="Y16" s="1008">
        <v>2833926000000000</v>
      </c>
      <c r="Z16" s="1008">
        <v>3233815000000000</v>
      </c>
      <c r="AA16" s="1007"/>
      <c r="AB16" s="90"/>
      <c r="AC16" s="410"/>
      <c r="AD16" s="410"/>
      <c r="AE16" s="410"/>
      <c r="AF16" s="410"/>
      <c r="AG16" s="410"/>
      <c r="AH16" s="410"/>
      <c r="AI16" s="410"/>
      <c r="AJ16" s="410"/>
      <c r="AK16" s="365"/>
      <c r="AL16" s="365"/>
      <c r="AM16" s="365"/>
      <c r="AN16" s="365"/>
      <c r="AO16" s="365"/>
      <c r="AP16" s="365"/>
    </row>
    <row r="17" spans="1:42" ht="16.5">
      <c r="A17" s="972" t="s">
        <v>76</v>
      </c>
      <c r="B17" s="997" t="s">
        <v>3193</v>
      </c>
      <c r="K17" s="1050">
        <v>525857000000000</v>
      </c>
      <c r="L17" s="1050">
        <v>466584000000000</v>
      </c>
      <c r="M17" s="1050">
        <v>376277000000000</v>
      </c>
      <c r="N17" s="1050">
        <v>609196000000000</v>
      </c>
      <c r="O17" s="1048">
        <v>659244000000000</v>
      </c>
      <c r="P17" s="1048">
        <v>447597000000000</v>
      </c>
      <c r="Q17" s="1048">
        <v>609400000000000</v>
      </c>
      <c r="R17" s="1048">
        <v>628837000000000</v>
      </c>
      <c r="S17" s="1048">
        <v>670354000000000</v>
      </c>
      <c r="T17" s="1000">
        <v>738800000000000</v>
      </c>
      <c r="U17" s="1000">
        <v>802778000000000</v>
      </c>
      <c r="V17" s="1000">
        <v>1613714000000000</v>
      </c>
      <c r="W17" s="1000">
        <v>1973578000000000</v>
      </c>
      <c r="X17" s="1412">
        <v>2241713000000000</v>
      </c>
      <c r="Y17" s="1008">
        <v>2560281000000000</v>
      </c>
      <c r="Z17" s="1008">
        <v>2919179000000000</v>
      </c>
      <c r="AA17" s="1007"/>
      <c r="AB17" s="90"/>
      <c r="AC17" s="410"/>
      <c r="AD17" s="410"/>
      <c r="AE17" s="410"/>
      <c r="AF17" s="410"/>
      <c r="AG17" s="410"/>
      <c r="AH17" s="410"/>
      <c r="AI17" s="410"/>
      <c r="AJ17" s="410"/>
      <c r="AK17" s="365"/>
      <c r="AL17" s="365"/>
      <c r="AM17" s="365"/>
      <c r="AN17" s="365"/>
      <c r="AO17" s="365"/>
      <c r="AP17" s="365"/>
    </row>
    <row r="18" spans="1:42" ht="16.5">
      <c r="A18" s="988" t="s">
        <v>50</v>
      </c>
      <c r="B18" s="988" t="s">
        <v>3194</v>
      </c>
      <c r="C18" s="981" t="s">
        <v>998</v>
      </c>
      <c r="K18" s="1050">
        <f t="shared" ref="K18:P18" si="4">K15-K16</f>
        <v>20251000000000</v>
      </c>
      <c r="L18" s="1050">
        <f t="shared" si="4"/>
        <v>23751000000000</v>
      </c>
      <c r="M18" s="1050">
        <f t="shared" si="4"/>
        <v>25980000000000</v>
      </c>
      <c r="N18" s="1050">
        <f t="shared" si="4"/>
        <v>30267000000000</v>
      </c>
      <c r="O18" s="1050">
        <f t="shared" si="4"/>
        <v>112627000000000</v>
      </c>
      <c r="P18" s="1050">
        <f t="shared" si="4"/>
        <v>75350000000000</v>
      </c>
      <c r="Q18" s="1050">
        <v>124033000000000</v>
      </c>
      <c r="R18" s="1050">
        <v>149145000000000</v>
      </c>
      <c r="S18" s="1050">
        <v>184466000000000</v>
      </c>
      <c r="T18" s="1000">
        <v>247471000000000</v>
      </c>
      <c r="U18" s="1000">
        <v>276344000000000</v>
      </c>
      <c r="V18" s="1000">
        <v>257460000000000</v>
      </c>
      <c r="W18" s="1000">
        <v>368152000000000</v>
      </c>
      <c r="X18" s="1412">
        <v>428550000000000</v>
      </c>
      <c r="Y18" s="1008">
        <v>497180000000000</v>
      </c>
      <c r="Z18" s="1008">
        <v>575600000000000</v>
      </c>
      <c r="AA18" s="1007"/>
      <c r="AB18" s="139"/>
      <c r="AC18" s="410"/>
      <c r="AD18" s="410"/>
      <c r="AE18" s="410"/>
      <c r="AF18" s="410"/>
      <c r="AG18" s="410"/>
      <c r="AH18" s="410"/>
      <c r="AI18" s="410"/>
      <c r="AJ18" s="410"/>
      <c r="AK18" s="365"/>
      <c r="AL18" s="365"/>
      <c r="AM18" s="365"/>
      <c r="AN18" s="365"/>
      <c r="AO18" s="365"/>
      <c r="AP18" s="365"/>
    </row>
    <row r="19" spans="1:42">
      <c r="A19" s="981" t="s">
        <v>53</v>
      </c>
      <c r="B19" s="981" t="s">
        <v>53</v>
      </c>
      <c r="C19" s="982" t="s">
        <v>38</v>
      </c>
      <c r="K19" s="1412">
        <v>0</v>
      </c>
      <c r="L19" s="1412">
        <v>0</v>
      </c>
      <c r="M19" s="1412">
        <v>0</v>
      </c>
      <c r="N19" s="1412">
        <v>0</v>
      </c>
      <c r="O19" s="1412">
        <v>0</v>
      </c>
      <c r="P19" s="1412">
        <v>0</v>
      </c>
      <c r="Q19" s="1412">
        <v>0</v>
      </c>
      <c r="R19" s="1412">
        <v>0</v>
      </c>
      <c r="S19" s="1412">
        <v>0</v>
      </c>
      <c r="T19" s="1412">
        <v>0</v>
      </c>
      <c r="U19" s="1412">
        <v>0</v>
      </c>
      <c r="V19" s="1412">
        <v>0</v>
      </c>
      <c r="W19" s="1412">
        <v>0</v>
      </c>
      <c r="X19" s="1412">
        <v>0</v>
      </c>
      <c r="Y19" s="1412">
        <v>0</v>
      </c>
      <c r="Z19" s="1412">
        <v>0</v>
      </c>
      <c r="AA19" s="1007"/>
      <c r="AK19" s="365"/>
      <c r="AL19" s="365"/>
      <c r="AM19" s="365"/>
      <c r="AN19" s="365"/>
      <c r="AO19" s="365"/>
      <c r="AP19" s="365"/>
    </row>
    <row r="20" spans="1:42" s="848" customFormat="1" ht="16.5">
      <c r="A20" s="1013" t="s">
        <v>198</v>
      </c>
      <c r="B20" s="1012" t="s">
        <v>3195</v>
      </c>
      <c r="C20" s="1012" t="s">
        <v>35</v>
      </c>
      <c r="D20" s="1013"/>
      <c r="E20" s="1013"/>
      <c r="F20" s="1013"/>
      <c r="G20" s="1013"/>
      <c r="H20" s="1013"/>
      <c r="I20" s="1013"/>
      <c r="J20" s="1013"/>
      <c r="K20" s="1054">
        <v>617567000000000</v>
      </c>
      <c r="L20" s="1054">
        <v>828826000000000</v>
      </c>
      <c r="M20" s="1054">
        <v>808820000000000</v>
      </c>
      <c r="N20" s="1054">
        <v>916064000000000</v>
      </c>
      <c r="O20" s="1054">
        <v>1191784000000000</v>
      </c>
      <c r="P20" s="1054">
        <v>1039256000000000</v>
      </c>
      <c r="Q20" s="1054">
        <v>1415138000000000</v>
      </c>
      <c r="R20" s="1054">
        <v>1735115000000000</v>
      </c>
      <c r="S20" s="1054">
        <v>1990403000000000</v>
      </c>
      <c r="T20" s="1056">
        <v>2487200000000000</v>
      </c>
      <c r="U20" s="1056">
        <v>2656431000000000</v>
      </c>
      <c r="V20" s="1056">
        <v>3593786000000000</v>
      </c>
      <c r="W20" s="1056">
        <v>4608960000000000</v>
      </c>
      <c r="X20" s="1414">
        <v>5295053000000000</v>
      </c>
      <c r="Y20" s="1018">
        <v>6116146000000000</v>
      </c>
      <c r="Z20" s="1018">
        <v>7049970000000000</v>
      </c>
      <c r="AA20" s="1066"/>
      <c r="AB20" s="918"/>
      <c r="AC20" s="1057"/>
      <c r="AD20" s="1057"/>
      <c r="AE20" s="1057"/>
      <c r="AF20" s="1057"/>
      <c r="AG20" s="1057"/>
      <c r="AH20" s="1057"/>
      <c r="AI20" s="1057"/>
      <c r="AJ20" s="1057"/>
      <c r="AK20" s="916"/>
      <c r="AL20" s="916"/>
      <c r="AM20" s="916"/>
      <c r="AN20" s="916"/>
      <c r="AO20" s="916"/>
      <c r="AP20" s="916"/>
    </row>
    <row r="21" spans="1:42" ht="16.5">
      <c r="A21" s="972" t="s">
        <v>73</v>
      </c>
      <c r="B21" s="981" t="s">
        <v>3196</v>
      </c>
      <c r="C21" s="981" t="s">
        <v>201</v>
      </c>
      <c r="K21" s="1048">
        <v>461624000000000</v>
      </c>
      <c r="L21" s="1048">
        <v>583973000000000</v>
      </c>
      <c r="M21" s="1048">
        <v>611443000000000</v>
      </c>
      <c r="N21" s="1048">
        <v>710957000000000</v>
      </c>
      <c r="O21" s="1048">
        <v>904225000000000</v>
      </c>
      <c r="P21" s="1048">
        <v>889974000000000</v>
      </c>
      <c r="Q21" s="1048">
        <v>1197647000000000</v>
      </c>
      <c r="R21" s="1048">
        <v>1438316000000000</v>
      </c>
      <c r="S21" s="1048">
        <v>1716637000000000</v>
      </c>
      <c r="T21" s="1000">
        <v>2070200000000000</v>
      </c>
      <c r="U21" s="1000">
        <v>2320632000000000</v>
      </c>
      <c r="V21" s="1000">
        <v>2936308000000000</v>
      </c>
      <c r="W21" s="1000">
        <v>4096624000000000</v>
      </c>
      <c r="X21" s="1412">
        <v>4698597000000000</v>
      </c>
      <c r="Y21" s="1008">
        <v>5437505000000000</v>
      </c>
      <c r="Z21" s="1008">
        <v>6228769000000000</v>
      </c>
      <c r="AA21" s="1007"/>
      <c r="AB21" s="139"/>
      <c r="AC21" s="410"/>
      <c r="AD21" s="410"/>
      <c r="AE21" s="410"/>
      <c r="AF21" s="410"/>
      <c r="AG21" s="410"/>
      <c r="AH21" s="410"/>
      <c r="AI21" s="410"/>
      <c r="AJ21" s="410"/>
      <c r="AL21" s="365"/>
      <c r="AM21" s="365"/>
      <c r="AN21" s="365"/>
      <c r="AO21" s="365"/>
      <c r="AP21" s="365"/>
    </row>
    <row r="22" spans="1:42">
      <c r="A22" s="988" t="s">
        <v>797</v>
      </c>
      <c r="B22" s="988" t="s">
        <v>1383</v>
      </c>
      <c r="C22" s="981" t="s">
        <v>204</v>
      </c>
      <c r="K22" s="1048">
        <v>130614000000000</v>
      </c>
      <c r="L22" s="1048">
        <v>175096000000000</v>
      </c>
      <c r="M22" s="1048">
        <v>184073000000000</v>
      </c>
      <c r="N22" s="1048">
        <v>204463000000000</v>
      </c>
      <c r="O22" s="1048"/>
      <c r="P22" s="1048"/>
      <c r="Q22" s="1048"/>
      <c r="R22" s="1048"/>
      <c r="S22" s="1048"/>
      <c r="T22" s="1000"/>
      <c r="U22" s="1000"/>
      <c r="V22" s="1000"/>
      <c r="W22" s="1000"/>
      <c r="X22" s="1412"/>
      <c r="Y22" s="1008"/>
      <c r="Z22" s="1008"/>
      <c r="AA22" s="1007"/>
      <c r="AL22" s="365"/>
      <c r="AM22" s="365"/>
      <c r="AN22" s="365"/>
      <c r="AO22" s="365"/>
      <c r="AP22" s="365"/>
    </row>
    <row r="23" spans="1:42">
      <c r="A23" s="988" t="s">
        <v>83</v>
      </c>
      <c r="B23" s="988" t="s">
        <v>1433</v>
      </c>
      <c r="C23" s="981" t="s">
        <v>204</v>
      </c>
      <c r="K23" s="1048">
        <v>50560000000000</v>
      </c>
      <c r="L23" s="1048">
        <v>67779000000000</v>
      </c>
      <c r="M23" s="1048">
        <v>71254000000000</v>
      </c>
      <c r="N23" s="1048">
        <v>79147000000000</v>
      </c>
      <c r="O23" s="1048"/>
      <c r="P23" s="1048"/>
      <c r="Q23" s="1048"/>
      <c r="R23" s="1048"/>
      <c r="S23" s="1048"/>
      <c r="T23" s="1000"/>
      <c r="U23" s="1000"/>
      <c r="V23" s="1000"/>
      <c r="W23" s="1000"/>
      <c r="X23" s="1412"/>
      <c r="Y23" s="1008"/>
      <c r="Z23" s="1008"/>
      <c r="AA23" s="1007"/>
      <c r="AL23" s="365"/>
      <c r="AM23" s="365"/>
      <c r="AN23" s="365"/>
      <c r="AO23" s="365"/>
      <c r="AP23" s="365"/>
    </row>
    <row r="24" spans="1:42">
      <c r="A24" s="988" t="s">
        <v>90</v>
      </c>
      <c r="B24" s="988" t="s">
        <v>1729</v>
      </c>
      <c r="C24" s="981" t="s">
        <v>204</v>
      </c>
      <c r="K24" s="1048">
        <v>7737000000000</v>
      </c>
      <c r="L24" s="1048">
        <v>7974000000000</v>
      </c>
      <c r="M24" s="1048">
        <v>5897000000000</v>
      </c>
      <c r="N24" s="1048">
        <v>4563000000000</v>
      </c>
      <c r="O24" s="1048"/>
      <c r="P24" s="1048"/>
      <c r="Q24" s="1048"/>
      <c r="R24" s="1048"/>
      <c r="S24" s="1048">
        <v>11845000000000</v>
      </c>
      <c r="T24" s="1000">
        <v>14284000000000</v>
      </c>
      <c r="U24" s="1000">
        <v>22632000000000</v>
      </c>
      <c r="V24" s="1000">
        <v>70000000000000</v>
      </c>
      <c r="W24" s="1000">
        <v>988197000000000</v>
      </c>
      <c r="X24" s="1412">
        <v>1158208000000000</v>
      </c>
      <c r="Y24" s="1008">
        <v>1407879000000000</v>
      </c>
      <c r="Z24" s="1008">
        <v>1645315000000000</v>
      </c>
      <c r="AA24" s="1007"/>
      <c r="AL24" s="365"/>
      <c r="AM24" s="365"/>
      <c r="AN24" s="365"/>
      <c r="AO24" s="365"/>
      <c r="AP24" s="365"/>
    </row>
    <row r="25" spans="1:42">
      <c r="A25" s="988" t="s">
        <v>215</v>
      </c>
      <c r="B25" s="988" t="s">
        <v>215</v>
      </c>
      <c r="C25" s="981" t="s">
        <v>204</v>
      </c>
      <c r="K25" s="1048">
        <v>75840000000000</v>
      </c>
      <c r="L25" s="1048">
        <v>101669000000000</v>
      </c>
      <c r="M25" s="1048">
        <v>106881000000000</v>
      </c>
      <c r="N25" s="1048">
        <v>118720000000000</v>
      </c>
      <c r="O25" s="1048"/>
      <c r="P25" s="1048"/>
      <c r="Q25" s="1048"/>
      <c r="R25" s="1048"/>
      <c r="S25" s="1048"/>
      <c r="T25" s="1000"/>
      <c r="U25" s="1000"/>
      <c r="V25" s="1000"/>
      <c r="W25" s="1000"/>
      <c r="X25" s="1412"/>
      <c r="Y25" s="1008"/>
      <c r="Z25" s="1008"/>
      <c r="AA25" s="1007"/>
      <c r="AL25" s="365"/>
      <c r="AM25" s="365"/>
      <c r="AN25" s="365"/>
      <c r="AO25" s="365"/>
      <c r="AP25" s="365"/>
    </row>
    <row r="26" spans="1:42">
      <c r="A26" s="988" t="s">
        <v>53</v>
      </c>
      <c r="B26" s="988" t="s">
        <v>53</v>
      </c>
      <c r="C26" s="981" t="s">
        <v>204</v>
      </c>
      <c r="K26" s="1048">
        <v>25280000000000</v>
      </c>
      <c r="L26" s="1048">
        <v>33890000000000</v>
      </c>
      <c r="M26" s="1048">
        <v>35627000000000</v>
      </c>
      <c r="N26" s="1048">
        <v>39573000000000</v>
      </c>
      <c r="O26" s="1048"/>
      <c r="P26" s="1048"/>
      <c r="Q26" s="1048"/>
      <c r="R26" s="1048"/>
      <c r="S26" s="1048"/>
      <c r="T26" s="1233"/>
      <c r="U26" s="1233"/>
      <c r="V26" s="1233"/>
      <c r="W26" s="1233"/>
      <c r="X26" s="1412"/>
      <c r="Y26" s="1008"/>
      <c r="Z26" s="1008"/>
      <c r="AA26" s="1007"/>
      <c r="AL26" s="365"/>
      <c r="AM26" s="365"/>
      <c r="AN26" s="365"/>
      <c r="AO26" s="365"/>
      <c r="AP26" s="365"/>
    </row>
    <row r="27" spans="1:42">
      <c r="A27" s="988" t="s">
        <v>806</v>
      </c>
      <c r="B27" s="988" t="s">
        <v>1732</v>
      </c>
      <c r="C27" s="981" t="s">
        <v>204</v>
      </c>
      <c r="K27" s="1048">
        <v>122187000000000</v>
      </c>
      <c r="L27" s="1048">
        <v>163799000000000</v>
      </c>
      <c r="M27" s="1048">
        <v>172198000000000</v>
      </c>
      <c r="N27" s="1048">
        <v>191272000000000</v>
      </c>
      <c r="O27" s="1048"/>
      <c r="P27" s="1048"/>
      <c r="Q27" s="1048"/>
      <c r="R27" s="1048"/>
      <c r="S27" s="1048"/>
      <c r="T27" s="1233"/>
      <c r="U27" s="1233"/>
      <c r="V27" s="1233"/>
      <c r="W27" s="1233"/>
      <c r="X27" s="1412"/>
      <c r="Y27" s="1008"/>
      <c r="Z27" s="1008"/>
      <c r="AA27" s="1007"/>
      <c r="AL27" s="365"/>
      <c r="AM27" s="365"/>
      <c r="AN27" s="365"/>
      <c r="AO27" s="365"/>
      <c r="AP27" s="365"/>
    </row>
    <row r="28" spans="1:42">
      <c r="A28" s="988" t="s">
        <v>391</v>
      </c>
      <c r="B28" s="988" t="s">
        <v>3197</v>
      </c>
      <c r="C28" s="981" t="s">
        <v>204</v>
      </c>
      <c r="K28" s="1048">
        <v>49406000000000</v>
      </c>
      <c r="L28" s="1048">
        <v>33766000000000</v>
      </c>
      <c r="M28" s="1048">
        <v>35512000000000</v>
      </c>
      <c r="N28" s="1048">
        <v>73220000000000</v>
      </c>
      <c r="O28" s="1048"/>
      <c r="P28" s="1048"/>
      <c r="Q28" s="1048"/>
      <c r="R28" s="1048"/>
      <c r="S28" s="1048">
        <f>S21-S24</f>
        <v>1704792000000000</v>
      </c>
      <c r="T28" s="1233">
        <f t="shared" ref="T28:Z28" si="5">T21-T24</f>
        <v>2055916000000000</v>
      </c>
      <c r="U28" s="1233">
        <f t="shared" si="5"/>
        <v>2298000000000000</v>
      </c>
      <c r="V28" s="1233">
        <f t="shared" si="5"/>
        <v>2866308000000000</v>
      </c>
      <c r="W28" s="1233">
        <f t="shared" si="5"/>
        <v>3108427000000000</v>
      </c>
      <c r="X28" s="1412">
        <f t="shared" si="5"/>
        <v>3540389000000000</v>
      </c>
      <c r="Y28" s="1008">
        <f t="shared" si="5"/>
        <v>4029626000000000</v>
      </c>
      <c r="Z28" s="1008">
        <f t="shared" si="5"/>
        <v>4583454000000000</v>
      </c>
      <c r="AA28" s="1007"/>
      <c r="AB28" s="90"/>
      <c r="AC28" s="365"/>
      <c r="AD28" s="365"/>
      <c r="AE28" s="365"/>
      <c r="AF28" s="365"/>
      <c r="AG28" s="365"/>
      <c r="AH28" s="365"/>
      <c r="AI28" s="365"/>
      <c r="AJ28" s="365"/>
      <c r="AK28" s="365"/>
      <c r="AL28" s="365"/>
      <c r="AM28" s="365"/>
      <c r="AN28" s="365"/>
      <c r="AO28" s="365"/>
      <c r="AP28" s="365"/>
    </row>
    <row r="29" spans="1:42">
      <c r="A29" s="972" t="s">
        <v>76</v>
      </c>
      <c r="B29" s="997" t="s">
        <v>3198</v>
      </c>
      <c r="C29" s="981"/>
      <c r="K29" s="1048">
        <v>19148000000000</v>
      </c>
      <c r="L29" s="1048">
        <v>19148000000000</v>
      </c>
      <c r="M29" s="1048">
        <v>17658000000000</v>
      </c>
      <c r="N29" s="1048">
        <v>20000000000000</v>
      </c>
      <c r="O29" s="1048"/>
      <c r="P29" s="1048"/>
      <c r="Q29" s="1048"/>
      <c r="R29" s="1048"/>
      <c r="S29" s="1048"/>
      <c r="T29" s="1233"/>
      <c r="U29" s="1233"/>
      <c r="V29" s="1233"/>
      <c r="W29" s="1233"/>
      <c r="X29" s="1412"/>
      <c r="Y29" s="1008"/>
      <c r="Z29" s="1008"/>
      <c r="AA29" s="1007"/>
      <c r="AB29" s="90"/>
      <c r="AC29" s="365"/>
      <c r="AD29" s="365"/>
      <c r="AE29" s="365"/>
      <c r="AF29" s="365"/>
      <c r="AG29" s="365"/>
      <c r="AH29" s="365"/>
      <c r="AI29" s="365"/>
      <c r="AJ29" s="365"/>
      <c r="AK29" s="365"/>
      <c r="AL29" s="365"/>
      <c r="AM29" s="365"/>
      <c r="AN29" s="365"/>
      <c r="AO29" s="365"/>
      <c r="AP29" s="365"/>
    </row>
    <row r="30" spans="1:42" ht="16.5">
      <c r="A30" s="972" t="s">
        <v>237</v>
      </c>
      <c r="B30" s="981" t="s">
        <v>3199</v>
      </c>
      <c r="C30" s="981" t="s">
        <v>201</v>
      </c>
      <c r="K30" s="1048">
        <v>155943000000000</v>
      </c>
      <c r="L30" s="1048">
        <v>244853000000000</v>
      </c>
      <c r="M30" s="1048">
        <v>197377000000000</v>
      </c>
      <c r="N30" s="1048">
        <v>205107000000000</v>
      </c>
      <c r="O30" s="1048">
        <v>287560000000000</v>
      </c>
      <c r="P30" s="1048">
        <v>149282000000000</v>
      </c>
      <c r="Q30" s="1048">
        <v>217491000000000</v>
      </c>
      <c r="R30" s="1048">
        <v>296799000000000</v>
      </c>
      <c r="S30" s="1048">
        <v>273766000000000</v>
      </c>
      <c r="T30" s="1233">
        <v>417000000000000</v>
      </c>
      <c r="U30" s="1233">
        <v>335799000000000</v>
      </c>
      <c r="V30" s="1233">
        <v>657478000000000</v>
      </c>
      <c r="W30" s="1233">
        <v>512335000000000</v>
      </c>
      <c r="X30" s="1412">
        <v>596456000000000</v>
      </c>
      <c r="Y30" s="1008">
        <v>678641000000000</v>
      </c>
      <c r="Z30" s="1008">
        <v>821202000000000</v>
      </c>
      <c r="AA30" s="1007"/>
      <c r="AB30" s="90"/>
      <c r="AC30" s="410"/>
      <c r="AD30" s="410"/>
      <c r="AE30" s="410"/>
      <c r="AF30" s="410"/>
      <c r="AG30" s="410"/>
      <c r="AH30" s="410"/>
      <c r="AI30" s="410"/>
      <c r="AJ30" s="410"/>
      <c r="AK30" s="365"/>
      <c r="AL30" s="365"/>
      <c r="AM30" s="365"/>
      <c r="AN30" s="365"/>
      <c r="AO30" s="365"/>
      <c r="AP30" s="365"/>
    </row>
    <row r="31" spans="1:42">
      <c r="A31" s="972" t="s">
        <v>76</v>
      </c>
      <c r="B31" s="988" t="s">
        <v>3200</v>
      </c>
      <c r="C31" s="981"/>
      <c r="K31" s="1048">
        <v>157216000000000</v>
      </c>
      <c r="L31" s="1048">
        <v>245839000000000</v>
      </c>
      <c r="M31" s="1048">
        <v>198173000000000</v>
      </c>
      <c r="N31" s="1048">
        <v>206405000000000</v>
      </c>
      <c r="O31" s="1048"/>
      <c r="P31" s="1048"/>
      <c r="Q31" s="1048"/>
      <c r="R31" s="1048"/>
      <c r="S31" s="1048"/>
      <c r="T31" s="1233"/>
      <c r="U31" s="1233"/>
      <c r="V31" s="1233"/>
      <c r="W31" s="1233"/>
      <c r="X31" s="1000"/>
      <c r="Y31" s="1010"/>
      <c r="Z31" s="1010"/>
      <c r="AK31" s="365"/>
    </row>
    <row r="32" spans="1:42">
      <c r="A32" s="972" t="s">
        <v>76</v>
      </c>
      <c r="B32" s="988" t="s">
        <v>3201</v>
      </c>
      <c r="C32" s="981"/>
      <c r="K32" s="1048">
        <v>1273000000000</v>
      </c>
      <c r="L32" s="1048">
        <v>986000000000</v>
      </c>
      <c r="M32" s="1048">
        <v>796000000000</v>
      </c>
      <c r="N32" s="1048">
        <v>1298000000000</v>
      </c>
      <c r="O32" s="1048"/>
      <c r="P32" s="1048"/>
      <c r="Q32" s="1048"/>
      <c r="R32" s="1048"/>
      <c r="S32" s="1048"/>
      <c r="T32" s="1233"/>
      <c r="U32" s="1233"/>
      <c r="V32" s="1233"/>
      <c r="W32" s="1233"/>
      <c r="X32" s="1000"/>
      <c r="Y32" s="1010"/>
      <c r="Z32" s="1010"/>
      <c r="AK32" s="365"/>
    </row>
    <row r="33" spans="1:37" ht="16.5">
      <c r="A33" s="972" t="s">
        <v>76</v>
      </c>
      <c r="B33" s="981" t="s">
        <v>3202</v>
      </c>
      <c r="C33" s="981"/>
      <c r="K33" s="1048">
        <v>366987000000000</v>
      </c>
      <c r="L33" s="1048">
        <v>267738000000000</v>
      </c>
      <c r="M33" s="1048">
        <v>234939000000000</v>
      </c>
      <c r="N33" s="1048">
        <v>276156000000000</v>
      </c>
      <c r="O33" s="1048">
        <v>299490000000000</v>
      </c>
      <c r="P33" s="1048">
        <v>125829000000000</v>
      </c>
      <c r="Q33" s="1048">
        <v>129138000000000</v>
      </c>
      <c r="R33" s="1048">
        <v>168484000000000</v>
      </c>
      <c r="S33" s="1048">
        <v>77552000000000</v>
      </c>
      <c r="T33" s="1233">
        <v>128400000000000</v>
      </c>
      <c r="U33" s="1233">
        <v>-8670000000000</v>
      </c>
      <c r="V33" s="1233">
        <v>409928000000000</v>
      </c>
      <c r="W33" s="1233">
        <v>-49994000000000</v>
      </c>
      <c r="X33" s="1000">
        <v>-54663000000000</v>
      </c>
      <c r="Y33" s="1010">
        <v>-98765000000000</v>
      </c>
      <c r="Z33" s="1010">
        <v>-99976000000000</v>
      </c>
      <c r="AB33" s="90"/>
      <c r="AC33" s="410"/>
      <c r="AD33" s="410"/>
      <c r="AE33" s="410"/>
      <c r="AF33" s="410"/>
      <c r="AG33" s="410"/>
      <c r="AH33" s="410"/>
      <c r="AI33" s="410"/>
      <c r="AJ33" s="410"/>
      <c r="AK33" s="365"/>
    </row>
    <row r="34" spans="1:37" ht="16.5">
      <c r="A34" s="972" t="s">
        <v>76</v>
      </c>
      <c r="B34" s="981" t="s">
        <v>3203</v>
      </c>
      <c r="C34" s="981"/>
      <c r="K34" s="1048">
        <v>211044000000000</v>
      </c>
      <c r="L34" s="1048">
        <v>22885000000000</v>
      </c>
      <c r="M34" s="1048">
        <v>37561000000000</v>
      </c>
      <c r="N34" s="1048">
        <v>71049000000000</v>
      </c>
      <c r="O34" s="1048">
        <v>-85820000000000</v>
      </c>
      <c r="P34" s="1048">
        <v>-133830000000000</v>
      </c>
      <c r="Q34" s="1048">
        <v>-210271000000000</v>
      </c>
      <c r="R34" s="1048">
        <v>-128115000000000</v>
      </c>
      <c r="S34" s="1048">
        <v>-196171000000000</v>
      </c>
      <c r="T34" s="1233">
        <v>-290064000000000</v>
      </c>
      <c r="U34" s="1233">
        <v>-286432000000000</v>
      </c>
      <c r="V34" s="1233">
        <v>-247550000000000</v>
      </c>
      <c r="W34" s="1233">
        <v>-562329000000000</v>
      </c>
      <c r="X34" s="1000">
        <v>-651119000000000</v>
      </c>
      <c r="Y34" s="1010">
        <v>-777406000000000</v>
      </c>
      <c r="Z34" s="1010">
        <v>-921177000000000</v>
      </c>
      <c r="AB34" s="90"/>
      <c r="AC34" s="410"/>
      <c r="AD34" s="410"/>
      <c r="AE34" s="410"/>
      <c r="AF34" s="410"/>
      <c r="AG34" s="410"/>
      <c r="AH34" s="410"/>
      <c r="AI34" s="410"/>
      <c r="AJ34" s="410"/>
      <c r="AK34" s="365"/>
    </row>
    <row r="35" spans="1:37" ht="16.5">
      <c r="A35" s="972" t="s">
        <v>76</v>
      </c>
      <c r="B35" s="981" t="s">
        <v>3204</v>
      </c>
      <c r="C35" s="981"/>
      <c r="K35" s="1050"/>
      <c r="L35" s="1050"/>
      <c r="M35" s="1050"/>
      <c r="N35" s="1050"/>
      <c r="O35" s="1048">
        <v>11930000000000</v>
      </c>
      <c r="P35" s="1048">
        <v>-23453000000000</v>
      </c>
      <c r="Q35" s="1048">
        <v>-88353000000000</v>
      </c>
      <c r="R35" s="1048">
        <v>-128315000000000</v>
      </c>
      <c r="S35" s="1048">
        <v>-196214000000000</v>
      </c>
      <c r="T35" s="1233">
        <v>-288600000000000</v>
      </c>
      <c r="U35" s="1233">
        <v>-344469000000000</v>
      </c>
      <c r="V35" s="1233">
        <v>-247550000000000</v>
      </c>
      <c r="W35" s="1233">
        <v>-562329000000000</v>
      </c>
      <c r="X35" s="1000">
        <v>-651119000000000</v>
      </c>
      <c r="Y35" s="1010">
        <v>-777406000000000</v>
      </c>
      <c r="Z35" s="1010">
        <v>-921177000000000</v>
      </c>
      <c r="AB35" s="90"/>
      <c r="AC35" s="410"/>
      <c r="AD35" s="410"/>
      <c r="AE35" s="410"/>
      <c r="AF35" s="410"/>
      <c r="AG35" s="410"/>
      <c r="AH35" s="410"/>
      <c r="AI35" s="410"/>
      <c r="AJ35" s="410"/>
      <c r="AK35" s="365"/>
    </row>
    <row r="36" spans="1:37">
      <c r="A36" s="972" t="s">
        <v>76</v>
      </c>
      <c r="B36" s="972" t="s">
        <v>3205</v>
      </c>
      <c r="C36" s="981"/>
      <c r="K36" s="1050"/>
      <c r="L36" s="1050"/>
      <c r="M36" s="1050"/>
      <c r="N36" s="1050"/>
      <c r="O36" s="1050">
        <v>-97750000000000</v>
      </c>
      <c r="P36" s="1048">
        <v>-110377000000000</v>
      </c>
      <c r="Q36" s="1048">
        <v>-121918000000000</v>
      </c>
      <c r="R36" s="1048">
        <v>200000000000</v>
      </c>
      <c r="S36" s="1048">
        <v>43000000000</v>
      </c>
      <c r="T36" s="1233">
        <v>-1464000000000</v>
      </c>
      <c r="U36" s="1233">
        <v>58037000000000</v>
      </c>
      <c r="V36" s="1233">
        <v>0</v>
      </c>
      <c r="W36" s="1233">
        <v>0</v>
      </c>
      <c r="X36" s="1000">
        <v>0</v>
      </c>
      <c r="Y36" s="1010">
        <v>0</v>
      </c>
      <c r="Z36" s="1010">
        <v>0</v>
      </c>
      <c r="AB36" s="90"/>
      <c r="AC36" s="247"/>
      <c r="AD36" s="526"/>
      <c r="AE36" s="247"/>
      <c r="AF36" s="498"/>
      <c r="AG36" s="498"/>
      <c r="AH36" s="498"/>
      <c r="AI36" s="498"/>
      <c r="AJ36" s="90"/>
      <c r="AK36" s="365"/>
    </row>
    <row r="37" spans="1:37" s="848" customFormat="1">
      <c r="A37" s="1012" t="s">
        <v>115</v>
      </c>
      <c r="B37" s="1012" t="s">
        <v>592</v>
      </c>
      <c r="C37" s="1012" t="s">
        <v>35</v>
      </c>
      <c r="D37" s="1013"/>
      <c r="E37" s="1013"/>
      <c r="F37" s="1013"/>
      <c r="G37" s="1013"/>
      <c r="H37" s="1013"/>
      <c r="I37" s="1013"/>
      <c r="J37" s="1013"/>
      <c r="K37" s="1055">
        <f t="shared" ref="K37:R37" si="6">K40+K43</f>
        <v>-211044000000000</v>
      </c>
      <c r="L37" s="1055">
        <f t="shared" si="6"/>
        <v>-22884000000000</v>
      </c>
      <c r="M37" s="1055">
        <f t="shared" si="6"/>
        <v>-37561000000000</v>
      </c>
      <c r="N37" s="1055">
        <f t="shared" si="6"/>
        <v>-71048000000000</v>
      </c>
      <c r="O37" s="1055">
        <f t="shared" si="6"/>
        <v>85820000000000</v>
      </c>
      <c r="P37" s="1055">
        <f t="shared" si="6"/>
        <v>133830000000000</v>
      </c>
      <c r="Q37" s="1055">
        <f t="shared" si="6"/>
        <v>210271000000000</v>
      </c>
      <c r="R37" s="1055">
        <f t="shared" si="6"/>
        <v>128115000000000</v>
      </c>
      <c r="S37" s="1055">
        <f>S46+S47</f>
        <v>196171000000000</v>
      </c>
      <c r="T37" s="1055">
        <f t="shared" ref="T37:Z37" si="7">T46+T47</f>
        <v>290064000000000</v>
      </c>
      <c r="U37" s="1055">
        <f t="shared" si="7"/>
        <v>286432000000000</v>
      </c>
      <c r="V37" s="1055">
        <f t="shared" si="7"/>
        <v>247550000000000</v>
      </c>
      <c r="W37" s="1055">
        <f t="shared" si="7"/>
        <v>562329000000000</v>
      </c>
      <c r="X37" s="1055">
        <f t="shared" si="7"/>
        <v>651118000000000</v>
      </c>
      <c r="Y37" s="1055">
        <f t="shared" si="7"/>
        <v>777406000000000</v>
      </c>
      <c r="Z37" s="1055">
        <f t="shared" si="7"/>
        <v>921177000000000</v>
      </c>
      <c r="AA37" s="1013"/>
    </row>
    <row r="38" spans="1:37">
      <c r="A38" s="981" t="s">
        <v>120</v>
      </c>
      <c r="B38" s="981" t="s">
        <v>2643</v>
      </c>
      <c r="C38" s="981" t="s">
        <v>252</v>
      </c>
      <c r="K38" s="1050">
        <f>K41+K44</f>
        <v>-211044000000000</v>
      </c>
      <c r="L38" s="1050">
        <f>L41+L44</f>
        <v>-22884000000000</v>
      </c>
      <c r="M38" s="1050">
        <f>M41+M44</f>
        <v>-37561000000000</v>
      </c>
      <c r="N38" s="1050">
        <f>N41+N44</f>
        <v>-71048000000000</v>
      </c>
      <c r="O38" s="1050">
        <f t="shared" ref="O38:R38" si="8">O41+O44</f>
        <v>85820000000000</v>
      </c>
      <c r="P38" s="1050">
        <f t="shared" si="8"/>
        <v>133830000000000</v>
      </c>
      <c r="Q38" s="1050">
        <f t="shared" si="8"/>
        <v>210271000000000</v>
      </c>
      <c r="R38" s="1050">
        <f t="shared" si="8"/>
        <v>128115000000000</v>
      </c>
      <c r="S38" s="1050"/>
      <c r="T38" s="1050"/>
      <c r="U38" s="1050"/>
      <c r="V38" s="1050"/>
      <c r="W38" s="1050"/>
      <c r="X38" s="1050"/>
      <c r="Y38" s="1010"/>
      <c r="Z38" s="1010"/>
    </row>
    <row r="39" spans="1:37">
      <c r="A39" s="972" t="s">
        <v>117</v>
      </c>
      <c r="B39" s="981" t="s">
        <v>3206</v>
      </c>
      <c r="C39" s="981" t="s">
        <v>252</v>
      </c>
      <c r="K39" s="1050">
        <f>K42+K45</f>
        <v>0</v>
      </c>
      <c r="L39" s="1050">
        <f t="shared" ref="L39:R39" si="9">L42+L45</f>
        <v>0</v>
      </c>
      <c r="M39" s="1050">
        <f t="shared" si="9"/>
        <v>0</v>
      </c>
      <c r="N39" s="1050">
        <f t="shared" si="9"/>
        <v>0</v>
      </c>
      <c r="O39" s="1050">
        <f t="shared" si="9"/>
        <v>0</v>
      </c>
      <c r="P39" s="1050">
        <f t="shared" si="9"/>
        <v>0</v>
      </c>
      <c r="Q39" s="1050">
        <f t="shared" si="9"/>
        <v>0</v>
      </c>
      <c r="R39" s="1050">
        <f t="shared" si="9"/>
        <v>0</v>
      </c>
      <c r="S39" s="1050"/>
      <c r="T39" s="1050"/>
      <c r="U39" s="1050"/>
      <c r="V39" s="1050"/>
      <c r="W39" s="1050"/>
      <c r="X39" s="1050"/>
      <c r="Y39" s="1050"/>
      <c r="Z39" s="1050"/>
    </row>
    <row r="40" spans="1:37" ht="16.5">
      <c r="B40" s="972" t="s">
        <v>3207</v>
      </c>
      <c r="C40" s="981"/>
      <c r="K40" s="1050">
        <v>-111387000000000</v>
      </c>
      <c r="L40" s="1050">
        <v>14251000000000</v>
      </c>
      <c r="M40" s="1050">
        <v>206428000000000</v>
      </c>
      <c r="N40" s="1050">
        <v>-69261000000000</v>
      </c>
      <c r="O40" s="1048">
        <v>158806000000000</v>
      </c>
      <c r="P40" s="1048">
        <v>25893000000000</v>
      </c>
      <c r="Q40" s="1050">
        <v>50397000000000</v>
      </c>
      <c r="R40" s="1050">
        <v>105053000000000</v>
      </c>
      <c r="S40" s="1050"/>
      <c r="T40" s="1233"/>
      <c r="U40" s="1233"/>
      <c r="V40" s="1233"/>
      <c r="W40" s="1233"/>
      <c r="X40" s="1000"/>
      <c r="Y40" s="1010"/>
      <c r="Z40" s="1010"/>
      <c r="AB40" s="90"/>
      <c r="AC40" s="410"/>
      <c r="AD40" s="247"/>
      <c r="AE40" s="247"/>
      <c r="AF40" s="247"/>
      <c r="AG40" s="247"/>
      <c r="AH40" s="247"/>
      <c r="AI40" s="247"/>
      <c r="AJ40" s="247"/>
    </row>
    <row r="41" spans="1:37">
      <c r="B41" s="996" t="s">
        <v>209</v>
      </c>
      <c r="C41" s="981"/>
      <c r="K41" s="1050">
        <v>-111387000000000</v>
      </c>
      <c r="L41" s="1050">
        <v>14251000000000</v>
      </c>
      <c r="M41" s="1050">
        <v>206428000000000</v>
      </c>
      <c r="N41" s="1050">
        <v>-69261000000000</v>
      </c>
      <c r="O41" s="1048">
        <f>O40</f>
        <v>158806000000000</v>
      </c>
      <c r="P41" s="1048">
        <f t="shared" ref="P41:R41" si="10">P40</f>
        <v>25893000000000</v>
      </c>
      <c r="Q41" s="1048">
        <f t="shared" si="10"/>
        <v>50397000000000</v>
      </c>
      <c r="R41" s="1048">
        <f t="shared" si="10"/>
        <v>105053000000000</v>
      </c>
      <c r="S41" s="1048"/>
      <c r="T41" s="1048"/>
      <c r="U41" s="1048"/>
      <c r="V41" s="1048"/>
      <c r="W41" s="1048"/>
      <c r="X41" s="1048"/>
      <c r="Y41" s="1010"/>
      <c r="Z41" s="1010"/>
    </row>
    <row r="42" spans="1:37">
      <c r="B42" s="996" t="s">
        <v>212</v>
      </c>
      <c r="C42" s="981"/>
      <c r="K42" s="1050">
        <v>0</v>
      </c>
      <c r="L42" s="1050">
        <v>0</v>
      </c>
      <c r="M42" s="1050">
        <v>0</v>
      </c>
      <c r="N42" s="1050">
        <v>0</v>
      </c>
      <c r="O42" s="1050">
        <v>0</v>
      </c>
      <c r="P42" s="1050">
        <v>0</v>
      </c>
      <c r="Q42" s="1050">
        <v>0</v>
      </c>
      <c r="R42" s="1050">
        <v>0</v>
      </c>
      <c r="S42" s="1050"/>
      <c r="T42" s="1050"/>
      <c r="U42" s="1050"/>
      <c r="V42" s="1050"/>
      <c r="W42" s="1050"/>
      <c r="X42" s="1050"/>
      <c r="Y42" s="1010"/>
      <c r="Z42" s="1010"/>
    </row>
    <row r="43" spans="1:37" ht="16.5">
      <c r="B43" s="972" t="s">
        <v>3208</v>
      </c>
      <c r="C43" s="981"/>
      <c r="K43" s="1050">
        <v>-99657000000000</v>
      </c>
      <c r="L43" s="1050">
        <v>-37135000000000</v>
      </c>
      <c r="M43" s="1050">
        <v>-243989000000000</v>
      </c>
      <c r="N43" s="1050">
        <v>-1787000000000</v>
      </c>
      <c r="O43" s="1048">
        <v>-72986000000000</v>
      </c>
      <c r="P43" s="1048">
        <v>107937000000000</v>
      </c>
      <c r="Q43" s="1050">
        <v>159874000000000</v>
      </c>
      <c r="R43" s="1050">
        <v>23062000000000</v>
      </c>
      <c r="S43" s="1050"/>
      <c r="T43" s="1233"/>
      <c r="U43" s="1233"/>
      <c r="V43" s="1233"/>
      <c r="W43" s="1233"/>
      <c r="X43" s="1000"/>
      <c r="Y43" s="1010"/>
      <c r="Z43" s="1010"/>
      <c r="AB43" s="90"/>
      <c r="AC43" s="247"/>
      <c r="AD43" s="247"/>
      <c r="AE43" s="410"/>
      <c r="AF43" s="410"/>
      <c r="AG43" s="410"/>
      <c r="AH43" s="410"/>
      <c r="AI43" s="410"/>
      <c r="AJ43" s="410"/>
    </row>
    <row r="44" spans="1:37">
      <c r="B44" s="996" t="s">
        <v>209</v>
      </c>
      <c r="C44" s="981"/>
      <c r="K44" s="1050">
        <v>-99657000000000</v>
      </c>
      <c r="L44" s="1050">
        <v>-37135000000000</v>
      </c>
      <c r="M44" s="1050">
        <v>-243989000000000</v>
      </c>
      <c r="N44" s="1050">
        <v>-1787000000000</v>
      </c>
      <c r="O44" s="1048">
        <f>O43</f>
        <v>-72986000000000</v>
      </c>
      <c r="P44" s="1048">
        <f t="shared" ref="P44:R44" si="11">P43</f>
        <v>107937000000000</v>
      </c>
      <c r="Q44" s="1048">
        <f t="shared" si="11"/>
        <v>159874000000000</v>
      </c>
      <c r="R44" s="1048">
        <f t="shared" si="11"/>
        <v>23062000000000</v>
      </c>
      <c r="S44" s="1048"/>
      <c r="T44" s="1048"/>
      <c r="U44" s="1048"/>
      <c r="V44" s="1048"/>
      <c r="W44" s="1048"/>
      <c r="X44" s="1048"/>
    </row>
    <row r="45" spans="1:37">
      <c r="B45" s="996" t="s">
        <v>2265</v>
      </c>
      <c r="C45" s="981"/>
      <c r="K45" s="1050">
        <v>0</v>
      </c>
      <c r="L45" s="1050">
        <v>0</v>
      </c>
      <c r="M45" s="1050">
        <v>0</v>
      </c>
      <c r="N45" s="1050">
        <v>0</v>
      </c>
      <c r="O45" s="1050">
        <v>0</v>
      </c>
      <c r="P45" s="1050">
        <v>0</v>
      </c>
      <c r="Q45" s="1050">
        <v>0</v>
      </c>
      <c r="R45" s="1050">
        <v>0</v>
      </c>
      <c r="S45" s="1050"/>
      <c r="T45" s="1050"/>
      <c r="U45" s="1050"/>
      <c r="V45" s="1050"/>
      <c r="W45" s="1050"/>
      <c r="X45" s="1050"/>
    </row>
    <row r="46" spans="1:37">
      <c r="A46" s="996" t="s">
        <v>3207</v>
      </c>
      <c r="B46" s="996" t="s">
        <v>3207</v>
      </c>
      <c r="C46" s="981" t="s">
        <v>252</v>
      </c>
      <c r="K46" s="1050"/>
      <c r="L46" s="1050"/>
      <c r="M46" s="1050"/>
      <c r="N46" s="1050"/>
      <c r="O46" s="1050"/>
      <c r="P46" s="1050"/>
      <c r="Q46" s="1050"/>
      <c r="R46" s="1050"/>
      <c r="S46" s="1050">
        <v>221685000000000</v>
      </c>
      <c r="T46" s="1233">
        <v>180399000000000</v>
      </c>
      <c r="U46" s="1233">
        <v>122060000000000</v>
      </c>
      <c r="V46" s="1233">
        <v>-5025073000000000</v>
      </c>
      <c r="W46" s="1233">
        <v>81687000000000</v>
      </c>
      <c r="X46" s="1000">
        <v>19012000000000</v>
      </c>
      <c r="Y46" s="1010">
        <v>11407000000000</v>
      </c>
      <c r="Z46" s="1010">
        <v>11407000000000</v>
      </c>
    </row>
    <row r="47" spans="1:37">
      <c r="A47" s="996" t="s">
        <v>7146</v>
      </c>
      <c r="B47" s="996" t="s">
        <v>7146</v>
      </c>
      <c r="C47" s="981" t="s">
        <v>252</v>
      </c>
      <c r="K47" s="1050"/>
      <c r="L47" s="1050"/>
      <c r="M47" s="1050"/>
      <c r="N47" s="1050"/>
      <c r="O47" s="1050"/>
      <c r="P47" s="1050"/>
      <c r="Q47" s="1050"/>
      <c r="R47" s="1050"/>
      <c r="S47" s="1050">
        <v>-25514000000000</v>
      </c>
      <c r="T47" s="1233">
        <v>109665000000000</v>
      </c>
      <c r="U47" s="1233">
        <v>164372000000000</v>
      </c>
      <c r="V47" s="1233">
        <v>5272623000000000</v>
      </c>
      <c r="W47" s="1233">
        <v>480642000000000</v>
      </c>
      <c r="X47" s="1000">
        <v>632106000000000</v>
      </c>
      <c r="Y47" s="1010">
        <v>765999000000000</v>
      </c>
      <c r="Z47" s="1010">
        <v>909770000000000</v>
      </c>
    </row>
    <row r="48" spans="1:37">
      <c r="C48" s="981"/>
      <c r="O48" s="1233"/>
      <c r="P48" s="1233"/>
      <c r="Q48" s="995"/>
      <c r="R48" s="995"/>
      <c r="S48" s="995"/>
      <c r="T48" s="1233"/>
      <c r="U48" s="1233"/>
      <c r="V48" s="1233"/>
      <c r="W48" s="1233"/>
    </row>
    <row r="49" spans="2:26">
      <c r="C49" s="981"/>
      <c r="K49" s="972" t="s">
        <v>139</v>
      </c>
      <c r="L49" s="972" t="s">
        <v>139</v>
      </c>
      <c r="M49" s="972" t="s">
        <v>139</v>
      </c>
      <c r="N49" s="972" t="s">
        <v>139</v>
      </c>
      <c r="O49" s="972" t="s">
        <v>139</v>
      </c>
      <c r="P49" s="972" t="s">
        <v>139</v>
      </c>
      <c r="Q49" s="972" t="s">
        <v>139</v>
      </c>
      <c r="R49" s="972" t="s">
        <v>139</v>
      </c>
      <c r="S49" s="972" t="s">
        <v>139</v>
      </c>
      <c r="T49" s="972" t="s">
        <v>139</v>
      </c>
      <c r="U49" s="972" t="s">
        <v>139</v>
      </c>
      <c r="V49" s="972" t="s">
        <v>139</v>
      </c>
      <c r="W49" s="972" t="s">
        <v>139</v>
      </c>
      <c r="X49" s="972" t="s">
        <v>139</v>
      </c>
      <c r="Y49" s="972" t="s">
        <v>139</v>
      </c>
      <c r="Z49" s="972" t="s">
        <v>139</v>
      </c>
    </row>
    <row r="50" spans="2:26">
      <c r="C50" s="981"/>
      <c r="O50" s="1233"/>
      <c r="P50" s="1233"/>
      <c r="Q50" s="995"/>
      <c r="R50" s="995"/>
      <c r="S50" s="995"/>
      <c r="T50" s="995"/>
      <c r="U50" s="995"/>
      <c r="V50" s="995"/>
      <c r="W50" s="995"/>
      <c r="X50" s="995"/>
    </row>
    <row r="51" spans="2:26">
      <c r="B51" s="972" t="s">
        <v>284</v>
      </c>
      <c r="C51" s="981"/>
      <c r="K51" s="995">
        <f>K6-K7-K19</f>
        <v>0</v>
      </c>
      <c r="L51" s="995">
        <f t="shared" ref="L51:S51" si="12">L6-L7-L19</f>
        <v>0</v>
      </c>
      <c r="M51" s="995">
        <f t="shared" si="12"/>
        <v>0</v>
      </c>
      <c r="N51" s="995">
        <f t="shared" si="12"/>
        <v>0</v>
      </c>
      <c r="O51" s="995">
        <f t="shared" si="12"/>
        <v>0</v>
      </c>
      <c r="P51" s="995">
        <f t="shared" si="12"/>
        <v>0</v>
      </c>
      <c r="Q51" s="995">
        <f t="shared" si="12"/>
        <v>0</v>
      </c>
      <c r="R51" s="995">
        <f t="shared" si="12"/>
        <v>0</v>
      </c>
      <c r="S51" s="995">
        <f t="shared" si="12"/>
        <v>0</v>
      </c>
      <c r="T51" s="995">
        <f>T6-T7-T19</f>
        <v>0</v>
      </c>
      <c r="U51" s="995">
        <f>U6-U7-U19</f>
        <v>-1000000000</v>
      </c>
      <c r="V51" s="995">
        <f>V6-V7-V19</f>
        <v>0</v>
      </c>
      <c r="W51" s="995">
        <f>W6-W7-W19</f>
        <v>-1000000000</v>
      </c>
      <c r="X51" s="995">
        <f>X6-X7-X19</f>
        <v>0</v>
      </c>
      <c r="Y51" s="995">
        <f t="shared" ref="Y51:Z51" si="13">Y6-Y7-Y19</f>
        <v>1000000000</v>
      </c>
      <c r="Z51" s="995">
        <f t="shared" si="13"/>
        <v>0</v>
      </c>
    </row>
    <row r="52" spans="2:26">
      <c r="B52" s="972" t="s">
        <v>141</v>
      </c>
      <c r="K52" s="995">
        <f>K7-K8-K15</f>
        <v>0</v>
      </c>
      <c r="L52" s="995">
        <f t="shared" ref="L52:S52" si="14">L7-L8-L15</f>
        <v>0</v>
      </c>
      <c r="M52" s="995">
        <f t="shared" si="14"/>
        <v>0</v>
      </c>
      <c r="N52" s="995">
        <f t="shared" si="14"/>
        <v>0</v>
      </c>
      <c r="O52" s="995">
        <f t="shared" si="14"/>
        <v>0</v>
      </c>
      <c r="P52" s="995">
        <f t="shared" si="14"/>
        <v>0</v>
      </c>
      <c r="Q52" s="995">
        <f t="shared" si="14"/>
        <v>0</v>
      </c>
      <c r="R52" s="995">
        <f t="shared" si="14"/>
        <v>0</v>
      </c>
      <c r="S52" s="995">
        <f t="shared" si="14"/>
        <v>0</v>
      </c>
      <c r="T52" s="995">
        <f>T7-T8-T15</f>
        <v>0</v>
      </c>
      <c r="U52" s="995">
        <f>U7-U8-U15</f>
        <v>0</v>
      </c>
      <c r="V52" s="995">
        <f>V7-V8-V15</f>
        <v>0</v>
      </c>
      <c r="W52" s="995">
        <f>W7-W8-W15</f>
        <v>0</v>
      </c>
      <c r="X52" s="995">
        <f>X7-X8-X15</f>
        <v>0</v>
      </c>
      <c r="Y52" s="995">
        <f t="shared" ref="Y52:Z52" si="15">Y7-Y8-Y15</f>
        <v>0</v>
      </c>
      <c r="Z52" s="995">
        <f t="shared" si="15"/>
        <v>0</v>
      </c>
    </row>
    <row r="53" spans="2:26">
      <c r="B53" s="972" t="s">
        <v>142</v>
      </c>
      <c r="K53" s="995">
        <f>K8-K9-K10-K11-K14</f>
        <v>0</v>
      </c>
      <c r="L53" s="995">
        <f t="shared" ref="L53:S53" si="16">L8-L9-L10-L11-L14</f>
        <v>0</v>
      </c>
      <c r="M53" s="995">
        <f t="shared" si="16"/>
        <v>0</v>
      </c>
      <c r="N53" s="995">
        <f t="shared" si="16"/>
        <v>0</v>
      </c>
      <c r="O53" s="995">
        <f t="shared" si="16"/>
        <v>-1000000000</v>
      </c>
      <c r="P53" s="995">
        <f t="shared" si="16"/>
        <v>0</v>
      </c>
      <c r="Q53" s="995">
        <f t="shared" si="16"/>
        <v>0</v>
      </c>
      <c r="R53" s="995">
        <f t="shared" si="16"/>
        <v>0</v>
      </c>
      <c r="S53" s="995">
        <f t="shared" si="16"/>
        <v>1000000000</v>
      </c>
      <c r="T53" s="995">
        <f>T8-T9-T10-T11-T14</f>
        <v>0</v>
      </c>
      <c r="U53" s="995">
        <f>U8-U9-U10-U11-U14</f>
        <v>0</v>
      </c>
      <c r="V53" s="995">
        <f>V8-V9-V10-V11-V14</f>
        <v>-1000000000</v>
      </c>
      <c r="W53" s="995">
        <f>W8-W9-W10-W11-W14</f>
        <v>1000000000</v>
      </c>
      <c r="X53" s="995">
        <f>X8-X9-X10-X11-X14</f>
        <v>0</v>
      </c>
      <c r="Y53" s="995">
        <f t="shared" ref="Y53:Z53" si="17">Y8-Y9-Y10-Y11-Y14</f>
        <v>0</v>
      </c>
      <c r="Z53" s="995">
        <f t="shared" si="17"/>
        <v>1000000000</v>
      </c>
    </row>
    <row r="54" spans="2:26">
      <c r="B54" s="972" t="s">
        <v>3209</v>
      </c>
      <c r="K54" s="995">
        <f>K11-K12-K13</f>
        <v>0</v>
      </c>
      <c r="L54" s="995">
        <f t="shared" ref="L54:S54" si="18">L11-L12-L13</f>
        <v>0</v>
      </c>
      <c r="M54" s="995">
        <f t="shared" si="18"/>
        <v>0</v>
      </c>
      <c r="N54" s="995">
        <f t="shared" si="18"/>
        <v>0</v>
      </c>
      <c r="O54" s="995">
        <f t="shared" si="18"/>
        <v>0</v>
      </c>
      <c r="P54" s="995">
        <f t="shared" si="18"/>
        <v>0</v>
      </c>
      <c r="Q54" s="995">
        <f t="shared" si="18"/>
        <v>0</v>
      </c>
      <c r="R54" s="995">
        <f t="shared" si="18"/>
        <v>0</v>
      </c>
      <c r="S54" s="995">
        <f t="shared" si="18"/>
        <v>0</v>
      </c>
      <c r="T54" s="995">
        <f>T11-T12-T13</f>
        <v>0</v>
      </c>
      <c r="U54" s="995">
        <f>U11-U12-U13</f>
        <v>0</v>
      </c>
      <c r="V54" s="995">
        <f>V11-V12-V13</f>
        <v>0</v>
      </c>
      <c r="W54" s="995">
        <f>W11-W12-W13</f>
        <v>0</v>
      </c>
      <c r="X54" s="995">
        <f>X11-X12-X13</f>
        <v>0</v>
      </c>
      <c r="Y54" s="995">
        <f t="shared" ref="Y54:Z54" si="19">Y11-Y12-Y13</f>
        <v>0</v>
      </c>
      <c r="Z54" s="995">
        <f t="shared" si="19"/>
        <v>0</v>
      </c>
    </row>
    <row r="55" spans="2:26">
      <c r="B55" s="972" t="s">
        <v>3210</v>
      </c>
      <c r="K55" s="995">
        <f>K15-K16-K18</f>
        <v>0</v>
      </c>
      <c r="L55" s="995">
        <f t="shared" ref="L55:S55" si="20">L15-L16-L18</f>
        <v>0</v>
      </c>
      <c r="M55" s="995">
        <f t="shared" si="20"/>
        <v>0</v>
      </c>
      <c r="N55" s="995">
        <f t="shared" si="20"/>
        <v>0</v>
      </c>
      <c r="O55" s="995">
        <f t="shared" si="20"/>
        <v>0</v>
      </c>
      <c r="P55" s="995">
        <f t="shared" si="20"/>
        <v>0</v>
      </c>
      <c r="Q55" s="995">
        <f t="shared" si="20"/>
        <v>0</v>
      </c>
      <c r="R55" s="995">
        <f t="shared" si="20"/>
        <v>0</v>
      </c>
      <c r="S55" s="995">
        <f t="shared" si="20"/>
        <v>0</v>
      </c>
      <c r="T55" s="995">
        <f>T15-T16-T18</f>
        <v>0</v>
      </c>
      <c r="U55" s="995">
        <f>U15-U16-U18</f>
        <v>0</v>
      </c>
      <c r="V55" s="995">
        <f>V15-V16-V18</f>
        <v>0</v>
      </c>
      <c r="W55" s="995">
        <f>W15-W16-W18</f>
        <v>0</v>
      </c>
      <c r="X55" s="995">
        <f>X15-X16-X18</f>
        <v>0</v>
      </c>
      <c r="Y55" s="995">
        <f t="shared" ref="Y55:Z55" si="21">Y15-Y16-Y18</f>
        <v>0</v>
      </c>
      <c r="Z55" s="995">
        <f t="shared" si="21"/>
        <v>0</v>
      </c>
    </row>
    <row r="56" spans="2:26">
      <c r="B56" s="972" t="s">
        <v>1207</v>
      </c>
      <c r="K56" s="995">
        <f>K20-K21-K30</f>
        <v>0</v>
      </c>
      <c r="L56" s="995">
        <f t="shared" ref="L56:S56" si="22">L20-L21-L30</f>
        <v>0</v>
      </c>
      <c r="M56" s="995">
        <f t="shared" si="22"/>
        <v>0</v>
      </c>
      <c r="N56" s="995">
        <f t="shared" si="22"/>
        <v>0</v>
      </c>
      <c r="O56" s="995">
        <f t="shared" si="22"/>
        <v>-1000000000</v>
      </c>
      <c r="P56" s="995">
        <f t="shared" si="22"/>
        <v>0</v>
      </c>
      <c r="Q56" s="995">
        <f t="shared" si="22"/>
        <v>0</v>
      </c>
      <c r="R56" s="995">
        <f t="shared" si="22"/>
        <v>0</v>
      </c>
      <c r="S56" s="995">
        <f t="shared" si="22"/>
        <v>0</v>
      </c>
      <c r="T56" s="995">
        <f>T20-T21-T30</f>
        <v>0</v>
      </c>
      <c r="U56" s="995">
        <f>U20-U21-U30</f>
        <v>0</v>
      </c>
      <c r="V56" s="995">
        <f>V20-V21-V30</f>
        <v>0</v>
      </c>
      <c r="W56" s="995">
        <f>W20-W21-W30</f>
        <v>1000000000</v>
      </c>
      <c r="X56" s="995">
        <f>X20-X21-X30</f>
        <v>0</v>
      </c>
      <c r="Y56" s="995">
        <f t="shared" ref="Y56:Z56" si="23">Y20-Y21-Y30</f>
        <v>0</v>
      </c>
      <c r="Z56" s="995">
        <f t="shared" si="23"/>
        <v>-1000000000</v>
      </c>
    </row>
    <row r="57" spans="2:26">
      <c r="B57" s="972" t="s">
        <v>826</v>
      </c>
      <c r="K57" s="995">
        <f>K21-K22-K23-K24-K25-K26-K27-K28</f>
        <v>0</v>
      </c>
      <c r="L57" s="995">
        <f t="shared" ref="L57:S57" si="24">L21-L22-L23-L24-L25-L26-L27-L28</f>
        <v>0</v>
      </c>
      <c r="M57" s="995">
        <f t="shared" si="24"/>
        <v>1000000000</v>
      </c>
      <c r="N57" s="995">
        <f t="shared" si="24"/>
        <v>-1000000000</v>
      </c>
      <c r="O57" s="1003">
        <f t="shared" si="24"/>
        <v>904225000000000</v>
      </c>
      <c r="P57" s="1003">
        <f t="shared" si="24"/>
        <v>889974000000000</v>
      </c>
      <c r="Q57" s="1003">
        <f t="shared" si="24"/>
        <v>1197647000000000</v>
      </c>
      <c r="R57" s="1003">
        <f t="shared" si="24"/>
        <v>1438316000000000</v>
      </c>
      <c r="S57" s="1003">
        <f t="shared" si="24"/>
        <v>0</v>
      </c>
      <c r="T57" s="1003">
        <f>T21-T22-T23-T24-T25-T26-T27-T28</f>
        <v>0</v>
      </c>
      <c r="U57" s="1003">
        <f>U21-U22-U23-U24-U25-U26-U27-U28</f>
        <v>0</v>
      </c>
      <c r="V57" s="1003">
        <f>V21-V22-V23-V24-V25-V26-V27-V28</f>
        <v>0</v>
      </c>
      <c r="W57" s="1003">
        <f>W21-W22-W23-W24-W25-W26-W27-W28</f>
        <v>0</v>
      </c>
      <c r="X57" s="1003">
        <f>X21-X22-X23-X24-X25-X26-X27-X28</f>
        <v>0</v>
      </c>
      <c r="Y57" s="1003">
        <f t="shared" ref="Y57:Z57" si="25">Y21-Y22-Y23-Y24-Y25-Y26-Y27-Y28</f>
        <v>0</v>
      </c>
      <c r="Z57" s="1003">
        <f t="shared" si="25"/>
        <v>0</v>
      </c>
    </row>
    <row r="58" spans="2:26">
      <c r="B58" s="972" t="s">
        <v>3211</v>
      </c>
      <c r="I58" s="995"/>
      <c r="K58" s="995">
        <f>K37-K38</f>
        <v>0</v>
      </c>
      <c r="L58" s="995">
        <f t="shared" ref="L58:S58" si="26">L37-L38</f>
        <v>0</v>
      </c>
      <c r="M58" s="995">
        <f t="shared" si="26"/>
        <v>0</v>
      </c>
      <c r="N58" s="995">
        <f t="shared" si="26"/>
        <v>0</v>
      </c>
      <c r="O58" s="1003">
        <f t="shared" si="26"/>
        <v>0</v>
      </c>
      <c r="P58" s="1003">
        <f t="shared" si="26"/>
        <v>0</v>
      </c>
      <c r="Q58" s="1003">
        <f t="shared" si="26"/>
        <v>0</v>
      </c>
      <c r="R58" s="1003">
        <f t="shared" si="26"/>
        <v>0</v>
      </c>
      <c r="S58" s="1003">
        <f t="shared" si="26"/>
        <v>196171000000000</v>
      </c>
      <c r="T58" s="1003">
        <f>T37-T38</f>
        <v>290064000000000</v>
      </c>
      <c r="U58" s="1003">
        <f>U37-U38</f>
        <v>286432000000000</v>
      </c>
      <c r="V58" s="1003">
        <f>V37-V38</f>
        <v>247550000000000</v>
      </c>
      <c r="W58" s="1003">
        <f>W37-W38</f>
        <v>562329000000000</v>
      </c>
      <c r="X58" s="1003">
        <f>X37-X38</f>
        <v>651118000000000</v>
      </c>
      <c r="Y58" s="1003">
        <f t="shared" ref="Y58:Z58" si="27">Y37-Y38</f>
        <v>777406000000000</v>
      </c>
      <c r="Z58" s="1003">
        <f t="shared" si="27"/>
        <v>921177000000000</v>
      </c>
    </row>
    <row r="59" spans="2:26">
      <c r="B59" s="972" t="s">
        <v>457</v>
      </c>
    </row>
    <row r="61" spans="2:26" ht="16.5" thickBot="1"/>
    <row r="62" spans="2:26" ht="16.5" thickBot="1">
      <c r="B62" s="972" t="s">
        <v>150</v>
      </c>
      <c r="K62" s="1135">
        <v>3132151925000000</v>
      </c>
      <c r="L62" s="1136">
        <v>3744913057000000</v>
      </c>
      <c r="M62" s="1136">
        <v>3935640714000000</v>
      </c>
      <c r="N62" s="1136">
        <v>4796803439000000</v>
      </c>
      <c r="O62" s="1136">
        <v>6285254806000000</v>
      </c>
      <c r="P62" s="1136">
        <v>7149595397000000</v>
      </c>
      <c r="Q62" s="1136">
        <v>9421216000000000</v>
      </c>
      <c r="R62" s="1137">
        <v>1.0706260385E+16</v>
      </c>
      <c r="S62" s="1137">
        <v>1.2080141319E+16</v>
      </c>
      <c r="T62" s="995">
        <v>1.4042908E+16</v>
      </c>
      <c r="U62" s="995">
        <v>1.5934661E+16</v>
      </c>
      <c r="V62" s="995">
        <v>1.7694609E+16</v>
      </c>
      <c r="W62" s="995">
        <v>1.9371763E+16</v>
      </c>
      <c r="X62" s="995">
        <v>2.115034E+16</v>
      </c>
    </row>
    <row r="63" spans="2:26">
      <c r="B63" s="972" t="s">
        <v>151</v>
      </c>
      <c r="K63" s="972">
        <f t="shared" ref="K63:S63" si="28">(K6/K62)*100</f>
        <v>26.455006648504124</v>
      </c>
      <c r="L63" s="972">
        <f t="shared" si="28"/>
        <v>22.743118118803366</v>
      </c>
      <c r="M63" s="972">
        <f t="shared" si="28"/>
        <v>21.505545386529406</v>
      </c>
      <c r="N63" s="972">
        <f t="shared" si="28"/>
        <v>20.57855846196161</v>
      </c>
      <c r="O63" s="972">
        <f t="shared" si="28"/>
        <v>19.151395403268555</v>
      </c>
      <c r="P63" s="972">
        <f t="shared" si="28"/>
        <v>14.207838955841265</v>
      </c>
      <c r="Q63" s="972">
        <f t="shared" si="28"/>
        <v>14.082948528088094</v>
      </c>
      <c r="R63" s="972">
        <f t="shared" si="28"/>
        <v>15.008041484318897</v>
      </c>
      <c r="S63" s="972">
        <f t="shared" si="28"/>
        <v>14.852384195026319</v>
      </c>
      <c r="T63" s="972">
        <f>(T6/T62)*100</f>
        <v>15.656301387148588</v>
      </c>
      <c r="U63" s="972">
        <f>(U6/U62)*100</f>
        <v>14.509012774102944</v>
      </c>
      <c r="V63" s="972">
        <f>(V6/V62)*100</f>
        <v>18.911047992074874</v>
      </c>
      <c r="W63" s="972">
        <f>(W6/W62)*100</f>
        <v>20.889322257349523</v>
      </c>
      <c r="X63" s="972">
        <f>(X6/X62)*100</f>
        <v>21.956781782231396</v>
      </c>
    </row>
    <row r="64" spans="2:26">
      <c r="B64" s="972" t="s">
        <v>152</v>
      </c>
      <c r="K64" s="972">
        <f t="shared" ref="K64:S64" si="29">(K20/K62)*100</f>
        <v>19.717019314125384</v>
      </c>
      <c r="L64" s="972">
        <f t="shared" si="29"/>
        <v>22.132049192724423</v>
      </c>
      <c r="M64" s="972">
        <f t="shared" si="29"/>
        <v>20.55116456954104</v>
      </c>
      <c r="N64" s="972">
        <f t="shared" si="29"/>
        <v>19.097384573902279</v>
      </c>
      <c r="O64" s="972">
        <f t="shared" si="29"/>
        <v>18.961586073842302</v>
      </c>
      <c r="P64" s="972">
        <f t="shared" si="29"/>
        <v>14.535871504506062</v>
      </c>
      <c r="Q64" s="972">
        <f t="shared" si="29"/>
        <v>15.020757405413484</v>
      </c>
      <c r="R64" s="972">
        <f t="shared" si="29"/>
        <v>16.206545867602678</v>
      </c>
      <c r="S64" s="972">
        <f t="shared" si="29"/>
        <v>16.47665327283412</v>
      </c>
      <c r="T64" s="972">
        <f>(T20/T62)*100</f>
        <v>17.711431279048469</v>
      </c>
      <c r="U64" s="972">
        <f>(U20/U62)*100</f>
        <v>16.67077197312199</v>
      </c>
      <c r="V64" s="972">
        <f>(V20/V62)*100</f>
        <v>20.310061669065423</v>
      </c>
      <c r="W64" s="972">
        <f>(W20/W62)*100</f>
        <v>23.792155623625995</v>
      </c>
      <c r="X64" s="972">
        <f>(X20/X62)*100</f>
        <v>25.035309125054255</v>
      </c>
    </row>
    <row r="65" spans="2:19">
      <c r="B65" s="972" t="s">
        <v>3212</v>
      </c>
    </row>
    <row r="67" spans="2:19">
      <c r="S67" s="995"/>
    </row>
    <row r="68" spans="2:19">
      <c r="Q68" s="995"/>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B161"/>
  <sheetViews>
    <sheetView zoomScale="60" zoomScaleNormal="60" workbookViewId="0">
      <pane xSplit="3" ySplit="5" topLeftCell="I21" activePane="bottomRight" state="frozen"/>
      <selection pane="topRight" activeCell="D1" sqref="D1"/>
      <selection pane="bottomLeft" activeCell="A6" sqref="A6"/>
      <selection pane="bottomRight" activeCell="M23" sqref="M23"/>
    </sheetView>
  </sheetViews>
  <sheetFormatPr defaultRowHeight="15"/>
  <cols>
    <col min="1" max="1" width="33.140625" customWidth="1"/>
    <col min="2" max="2" width="52.42578125" customWidth="1"/>
    <col min="3" max="3" width="27" customWidth="1"/>
    <col min="7" max="7" width="13.7109375" bestFit="1" customWidth="1"/>
    <col min="8" max="8" width="21.5703125" bestFit="1" customWidth="1"/>
    <col min="9" max="11" width="20.42578125" bestFit="1" customWidth="1"/>
    <col min="12" max="12" width="21.5703125" bestFit="1" customWidth="1"/>
    <col min="13" max="13" width="22.28515625" bestFit="1" customWidth="1"/>
    <col min="14" max="15" width="21.28515625" bestFit="1" customWidth="1"/>
    <col min="16" max="26" width="22.7109375" bestFit="1" customWidth="1"/>
    <col min="28" max="28" width="18.7109375" bestFit="1" customWidth="1"/>
    <col min="29" max="29" width="16.140625" bestFit="1" customWidth="1"/>
  </cols>
  <sheetData>
    <row r="1" spans="1:54">
      <c r="A1" s="26" t="s">
        <v>3213</v>
      </c>
      <c r="B1" s="82" t="s">
        <v>3214</v>
      </c>
      <c r="C1" s="82"/>
      <c r="D1" s="27"/>
      <c r="E1" s="27"/>
      <c r="F1" s="27"/>
      <c r="G1" s="27"/>
      <c r="H1" s="27"/>
      <c r="I1" s="27"/>
      <c r="J1" s="27"/>
      <c r="K1" s="27"/>
      <c r="L1" s="27"/>
      <c r="M1" s="27"/>
      <c r="N1" s="27"/>
      <c r="O1" s="28"/>
      <c r="P1" s="28"/>
      <c r="Q1" s="28"/>
      <c r="R1" s="29"/>
      <c r="S1" s="28"/>
      <c r="T1" s="28"/>
      <c r="U1" s="28"/>
      <c r="V1" s="28"/>
      <c r="W1" s="28"/>
      <c r="X1" s="2"/>
      <c r="Y1" s="2"/>
      <c r="Z1" s="2"/>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3215</v>
      </c>
      <c r="C2" s="30"/>
      <c r="D2" s="28"/>
      <c r="E2" s="28"/>
      <c r="F2" s="28"/>
      <c r="G2" s="28"/>
      <c r="H2" s="28"/>
      <c r="I2" s="28"/>
      <c r="J2" s="28"/>
      <c r="K2" s="28"/>
      <c r="L2" s="28"/>
      <c r="M2" s="28"/>
      <c r="N2" s="28"/>
      <c r="O2" s="28"/>
      <c r="P2" s="28"/>
      <c r="Q2" s="28"/>
      <c r="R2" s="31"/>
      <c r="S2" s="32"/>
      <c r="T2" s="33"/>
      <c r="U2" s="28"/>
      <c r="V2" s="28"/>
      <c r="W2" s="28"/>
      <c r="X2" s="2"/>
      <c r="Y2" s="2"/>
      <c r="Z2" s="2"/>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1"/>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28</v>
      </c>
      <c r="B5" s="34" t="s">
        <v>29</v>
      </c>
      <c r="C5" s="768"/>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3216</v>
      </c>
      <c r="V5" s="28" t="s">
        <v>1211</v>
      </c>
      <c r="W5" s="28" t="s">
        <v>3217</v>
      </c>
      <c r="X5" s="2" t="s">
        <v>3217</v>
      </c>
      <c r="Y5" s="2" t="s">
        <v>3217</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ht="16.5">
      <c r="A6" s="55" t="s">
        <v>33</v>
      </c>
      <c r="B6" s="55" t="s">
        <v>3218</v>
      </c>
      <c r="C6" s="55" t="s">
        <v>35</v>
      </c>
      <c r="D6" s="55"/>
      <c r="E6" s="55"/>
      <c r="H6" s="178">
        <v>29784000000000</v>
      </c>
      <c r="I6" s="295">
        <v>49469000000000</v>
      </c>
      <c r="J6" s="295">
        <v>58347000000000</v>
      </c>
      <c r="K6" s="295">
        <v>60300000000000</v>
      </c>
      <c r="L6" s="178">
        <v>82000000000000</v>
      </c>
      <c r="M6" s="178">
        <v>54700000000000</v>
      </c>
      <c r="N6" s="324">
        <v>73600000000000</v>
      </c>
      <c r="O6" s="324">
        <v>104600000000000</v>
      </c>
      <c r="P6" s="142">
        <v>119400000000000</v>
      </c>
      <c r="Q6" s="142">
        <v>115400000000000</v>
      </c>
      <c r="R6" s="142">
        <v>104400000000000</v>
      </c>
      <c r="S6" s="142">
        <v>63500000000000</v>
      </c>
      <c r="T6" s="142">
        <v>55500000000000</v>
      </c>
      <c r="U6" s="142">
        <v>82000000000000</v>
      </c>
      <c r="V6" s="142">
        <v>87500000000000</v>
      </c>
      <c r="W6" s="142">
        <v>89500000000000</v>
      </c>
      <c r="X6" s="142">
        <v>91900000000000</v>
      </c>
      <c r="Y6" s="142">
        <v>95600000000000</v>
      </c>
      <c r="Z6" s="142">
        <v>100300000000000</v>
      </c>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58" t="s">
        <v>36</v>
      </c>
      <c r="B7" s="58" t="s">
        <v>533</v>
      </c>
      <c r="C7" s="767" t="s">
        <v>38</v>
      </c>
      <c r="D7" s="58"/>
      <c r="E7" s="58"/>
      <c r="F7" s="28"/>
      <c r="G7" s="28"/>
      <c r="H7" s="178">
        <v>26376000000000</v>
      </c>
      <c r="I7" s="125">
        <v>36619000000000</v>
      </c>
      <c r="J7" s="125">
        <v>49282000000000</v>
      </c>
      <c r="K7" s="125">
        <v>56400000000000</v>
      </c>
      <c r="L7" s="178">
        <v>79100000000000</v>
      </c>
      <c r="M7" s="178">
        <v>52400000000000</v>
      </c>
      <c r="N7" s="273">
        <v>68900000000000.008</v>
      </c>
      <c r="O7" s="273">
        <v>102400000000000</v>
      </c>
      <c r="P7" s="142">
        <v>119400000000000</v>
      </c>
      <c r="Q7" s="142">
        <v>115400000000000</v>
      </c>
      <c r="R7" s="142">
        <v>104400000000000</v>
      </c>
      <c r="S7" s="142">
        <v>63500000000000</v>
      </c>
      <c r="T7" s="142">
        <v>55500000000000</v>
      </c>
      <c r="U7" s="142">
        <v>81900000000000</v>
      </c>
      <c r="V7" s="142">
        <v>87500000000000</v>
      </c>
      <c r="W7" s="142">
        <v>89500000000000</v>
      </c>
      <c r="X7" s="142">
        <v>91900000000000</v>
      </c>
      <c r="Y7" s="142">
        <v>95600000000000</v>
      </c>
      <c r="Z7" s="142">
        <v>100300000000000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633" t="s">
        <v>372</v>
      </c>
      <c r="B8" s="633" t="s">
        <v>372</v>
      </c>
      <c r="C8" s="767" t="s">
        <v>3219</v>
      </c>
      <c r="D8" s="58"/>
      <c r="E8" s="58"/>
      <c r="F8" s="28"/>
      <c r="G8" s="28"/>
      <c r="H8" s="178"/>
      <c r="I8" s="125"/>
      <c r="J8" s="125"/>
      <c r="K8" s="125"/>
      <c r="L8" s="178"/>
      <c r="M8" s="178"/>
      <c r="N8" s="273"/>
      <c r="O8" s="273"/>
      <c r="P8" s="142"/>
      <c r="Q8" s="142">
        <v>105700000000000</v>
      </c>
      <c r="R8" s="142">
        <v>98500000000000</v>
      </c>
      <c r="S8" s="142">
        <v>57700000000000</v>
      </c>
      <c r="T8" s="142">
        <v>47200000000000</v>
      </c>
      <c r="U8" s="142">
        <v>72900000000000</v>
      </c>
      <c r="V8" s="142">
        <v>76500000000000</v>
      </c>
      <c r="W8" s="142">
        <v>77400000000000</v>
      </c>
      <c r="X8" s="142">
        <v>78500000000000</v>
      </c>
      <c r="Y8" s="142">
        <v>80700000000000</v>
      </c>
      <c r="Z8" s="142">
        <v>83200000000000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3220</v>
      </c>
      <c r="B9" s="64" t="s">
        <v>3221</v>
      </c>
      <c r="C9" s="769" t="s">
        <v>3222</v>
      </c>
      <c r="D9" s="58"/>
      <c r="E9" s="58"/>
      <c r="F9" s="28"/>
      <c r="G9" s="28"/>
      <c r="H9" s="178"/>
      <c r="I9" s="125"/>
      <c r="J9" s="125"/>
      <c r="K9" s="125"/>
      <c r="L9" s="178"/>
      <c r="M9" s="178"/>
      <c r="N9" s="273"/>
      <c r="O9" s="273"/>
      <c r="P9" s="142"/>
      <c r="Q9" s="142">
        <v>104100000000000</v>
      </c>
      <c r="R9" s="142">
        <v>97100000000000</v>
      </c>
      <c r="S9" s="142">
        <v>57200000000000</v>
      </c>
      <c r="T9" s="142">
        <v>46600000000000</v>
      </c>
      <c r="U9" s="142">
        <v>71800000000000</v>
      </c>
      <c r="V9" s="142">
        <v>75400000000000</v>
      </c>
      <c r="W9" s="142">
        <v>76300000000000</v>
      </c>
      <c r="X9" s="142">
        <v>77400000000000</v>
      </c>
      <c r="Y9" s="142">
        <v>79600000000000</v>
      </c>
      <c r="Z9" s="142">
        <v>82500000000000</v>
      </c>
      <c r="AA9" s="365"/>
      <c r="AB9" s="474"/>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95" t="s">
        <v>3223</v>
      </c>
      <c r="B10" s="695" t="s">
        <v>3224</v>
      </c>
      <c r="C10" s="633"/>
      <c r="D10" s="58"/>
      <c r="E10" s="58"/>
      <c r="F10" s="28"/>
      <c r="G10" s="28"/>
      <c r="H10" s="178"/>
      <c r="I10" s="125"/>
      <c r="J10" s="125"/>
      <c r="K10" s="125"/>
      <c r="L10" s="178"/>
      <c r="M10" s="178"/>
      <c r="N10" s="273"/>
      <c r="O10" s="273"/>
      <c r="P10" s="142"/>
      <c r="Q10" s="142">
        <v>11600000000000</v>
      </c>
      <c r="R10" s="142">
        <v>2500000000000</v>
      </c>
      <c r="S10" s="142">
        <v>3100000000000</v>
      </c>
      <c r="T10" s="142"/>
      <c r="U10" s="142">
        <v>10100000000000</v>
      </c>
      <c r="V10" s="142">
        <v>10100000000000</v>
      </c>
      <c r="W10" s="142">
        <v>10000000000000</v>
      </c>
      <c r="X10" s="142">
        <v>10100000000000</v>
      </c>
      <c r="Y10" s="142">
        <v>10300000000000</v>
      </c>
      <c r="Z10" s="142">
        <v>10800000000000</v>
      </c>
      <c r="AA10" s="365"/>
      <c r="AB10" s="474"/>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95" t="s">
        <v>3225</v>
      </c>
      <c r="B11" s="695" t="s">
        <v>3226</v>
      </c>
      <c r="C11" s="633"/>
      <c r="D11" s="58"/>
      <c r="E11" s="58"/>
      <c r="F11" s="28"/>
      <c r="G11" s="28"/>
      <c r="H11" s="178"/>
      <c r="I11" s="125"/>
      <c r="J11" s="125"/>
      <c r="K11" s="125"/>
      <c r="L11" s="178"/>
      <c r="M11" s="178"/>
      <c r="N11" s="273"/>
      <c r="O11" s="273"/>
      <c r="P11" s="142"/>
      <c r="Q11" s="142">
        <v>92500000000000</v>
      </c>
      <c r="R11" s="142">
        <v>94500000000000</v>
      </c>
      <c r="S11" s="142">
        <v>54100000000000</v>
      </c>
      <c r="T11" s="142">
        <v>46600000000000</v>
      </c>
      <c r="U11" s="142">
        <v>61700000000000</v>
      </c>
      <c r="V11" s="142">
        <v>65200000000000</v>
      </c>
      <c r="W11" s="142">
        <v>66200000000000</v>
      </c>
      <c r="X11" s="142">
        <v>67300000000000</v>
      </c>
      <c r="Y11" s="142">
        <v>69300000000000</v>
      </c>
      <c r="Z11" s="142">
        <v>71700000000000</v>
      </c>
      <c r="AA11" s="365"/>
      <c r="AB11" s="474"/>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99" t="s">
        <v>3227</v>
      </c>
      <c r="B12" s="99" t="s">
        <v>3228</v>
      </c>
      <c r="C12" s="769" t="s">
        <v>3229</v>
      </c>
      <c r="D12" s="58"/>
      <c r="E12" s="58"/>
      <c r="F12" s="28"/>
      <c r="G12" s="28"/>
      <c r="H12" s="178"/>
      <c r="I12" s="125"/>
      <c r="J12" s="125"/>
      <c r="K12" s="125"/>
      <c r="L12" s="178"/>
      <c r="M12" s="178"/>
      <c r="N12" s="273"/>
      <c r="O12" s="273"/>
      <c r="P12" s="210"/>
      <c r="Q12" s="210">
        <v>1600000000000</v>
      </c>
      <c r="R12" s="210">
        <v>1400000000000</v>
      </c>
      <c r="S12" s="210">
        <v>500000000000</v>
      </c>
      <c r="T12" s="210">
        <v>400000000000</v>
      </c>
      <c r="U12" s="210">
        <v>600000000000</v>
      </c>
      <c r="V12" s="210">
        <v>600000000000</v>
      </c>
      <c r="W12" s="298">
        <v>600000000000</v>
      </c>
      <c r="X12" s="389">
        <v>600000000000</v>
      </c>
      <c r="Y12" s="389">
        <v>600000000000</v>
      </c>
      <c r="Z12" s="389">
        <v>700000000000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648" t="s">
        <v>3230</v>
      </c>
      <c r="B13" s="648" t="s">
        <v>3230</v>
      </c>
      <c r="C13" s="633"/>
      <c r="D13" s="58"/>
      <c r="E13" s="58"/>
      <c r="F13" s="28"/>
      <c r="G13" s="28"/>
      <c r="H13" s="178"/>
      <c r="I13" s="125"/>
      <c r="J13" s="125"/>
      <c r="K13" s="125"/>
      <c r="L13" s="178"/>
      <c r="M13" s="178"/>
      <c r="N13" s="273"/>
      <c r="O13" s="273"/>
      <c r="P13" s="210"/>
      <c r="Q13" s="210"/>
      <c r="R13" s="210"/>
      <c r="S13" s="210"/>
      <c r="T13" s="210">
        <v>300000000000</v>
      </c>
      <c r="U13" s="210">
        <v>500000000000</v>
      </c>
      <c r="V13" s="210">
        <v>500000000000</v>
      </c>
      <c r="W13" s="298">
        <v>500000000000</v>
      </c>
      <c r="X13" s="389">
        <v>500000000000</v>
      </c>
      <c r="Y13" s="389">
        <v>500000000000</v>
      </c>
      <c r="Z13" s="389">
        <v>500000000000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648" t="s">
        <v>374</v>
      </c>
      <c r="B14" s="648" t="s">
        <v>374</v>
      </c>
      <c r="C14" s="769" t="s">
        <v>3231</v>
      </c>
      <c r="D14" s="58"/>
      <c r="E14" s="58"/>
      <c r="F14" s="28"/>
      <c r="G14" s="28"/>
      <c r="H14" s="178"/>
      <c r="I14" s="125"/>
      <c r="J14" s="125"/>
      <c r="K14" s="125"/>
      <c r="L14" s="178"/>
      <c r="M14" s="178"/>
      <c r="N14" s="273"/>
      <c r="O14" s="273"/>
      <c r="P14" s="210"/>
      <c r="Q14" s="210">
        <v>9700000000000</v>
      </c>
      <c r="R14" s="210">
        <v>5900000000000</v>
      </c>
      <c r="S14" s="210">
        <v>5800000000000</v>
      </c>
      <c r="T14" s="210">
        <v>8300000000000</v>
      </c>
      <c r="U14" s="210">
        <v>8900000000000</v>
      </c>
      <c r="V14" s="210">
        <v>11000000000000</v>
      </c>
      <c r="W14" s="298">
        <v>12100000000000</v>
      </c>
      <c r="X14" s="389">
        <v>13300000000000</v>
      </c>
      <c r="Y14" s="389">
        <v>14800000000000</v>
      </c>
      <c r="Z14" s="389">
        <v>16500000000000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99" t="s">
        <v>2273</v>
      </c>
      <c r="B15" s="99" t="s">
        <v>3232</v>
      </c>
      <c r="C15" s="769" t="s">
        <v>44</v>
      </c>
      <c r="D15" s="58"/>
      <c r="E15" s="58"/>
      <c r="F15" s="28"/>
      <c r="G15" s="28"/>
      <c r="H15" s="178"/>
      <c r="I15" s="125"/>
      <c r="J15" s="125"/>
      <c r="K15" s="125"/>
      <c r="L15" s="178"/>
      <c r="M15" s="178"/>
      <c r="N15" s="273"/>
      <c r="O15" s="273"/>
      <c r="P15" s="210"/>
      <c r="Q15" s="210">
        <v>2900000000000</v>
      </c>
      <c r="R15" s="210">
        <v>2500000000000</v>
      </c>
      <c r="S15" s="210">
        <v>1400000000000</v>
      </c>
      <c r="T15" s="210">
        <v>5200000000000</v>
      </c>
      <c r="U15" s="210">
        <v>6500000000000</v>
      </c>
      <c r="V15" s="210">
        <v>8300000000000</v>
      </c>
      <c r="W15" s="298">
        <v>9000000000000</v>
      </c>
      <c r="X15" s="389">
        <v>9900000000000</v>
      </c>
      <c r="Y15" s="389">
        <v>10900000000000</v>
      </c>
      <c r="Z15" s="389">
        <v>12000000000000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00" t="s">
        <v>989</v>
      </c>
      <c r="B16" s="100" t="s">
        <v>1967</v>
      </c>
      <c r="C16" s="768" t="s">
        <v>3233</v>
      </c>
      <c r="D16" s="58"/>
      <c r="E16" s="58"/>
      <c r="F16" s="28"/>
      <c r="G16" s="28"/>
      <c r="H16" s="178"/>
      <c r="I16" s="125"/>
      <c r="J16" s="125"/>
      <c r="K16" s="125"/>
      <c r="L16" s="178"/>
      <c r="M16" s="178"/>
      <c r="N16" s="273"/>
      <c r="O16" s="273"/>
      <c r="P16" s="210"/>
      <c r="Q16" s="210">
        <v>1300000000000</v>
      </c>
      <c r="R16" s="210">
        <v>700000000000</v>
      </c>
      <c r="S16" s="210">
        <v>1100000000000</v>
      </c>
      <c r="T16" s="210">
        <v>3900000000000</v>
      </c>
      <c r="U16" s="210">
        <v>4600000000000</v>
      </c>
      <c r="V16" s="210">
        <v>4700000000000</v>
      </c>
      <c r="W16" s="298">
        <v>5000000000000</v>
      </c>
      <c r="X16" s="389">
        <v>5300000000000</v>
      </c>
      <c r="Y16" s="389">
        <v>5600000000000</v>
      </c>
      <c r="Z16" s="389">
        <v>6100000000000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00" t="s">
        <v>992</v>
      </c>
      <c r="B17" s="100" t="s">
        <v>1129</v>
      </c>
      <c r="C17" s="768" t="s">
        <v>3234</v>
      </c>
      <c r="D17" s="58"/>
      <c r="E17" s="58"/>
      <c r="F17" s="28"/>
      <c r="G17" s="28"/>
      <c r="H17" s="178"/>
      <c r="I17" s="125"/>
      <c r="J17" s="125"/>
      <c r="K17" s="125"/>
      <c r="L17" s="178"/>
      <c r="M17" s="178"/>
      <c r="N17" s="273"/>
      <c r="O17" s="273"/>
      <c r="P17" s="210"/>
      <c r="Q17" s="210">
        <v>1600000000000</v>
      </c>
      <c r="R17" s="210">
        <v>1800000000000</v>
      </c>
      <c r="S17" s="210">
        <v>400000000000</v>
      </c>
      <c r="T17" s="210">
        <v>1300000000000</v>
      </c>
      <c r="U17" s="210">
        <v>1900000000000</v>
      </c>
      <c r="V17" s="210">
        <v>3600000000000</v>
      </c>
      <c r="W17" s="298">
        <v>4000000000000</v>
      </c>
      <c r="X17" s="389">
        <v>4600000000000</v>
      </c>
      <c r="Y17" s="389">
        <v>5200000000000</v>
      </c>
      <c r="Z17" s="389">
        <v>6000000000000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s="695" t="s">
        <v>3223</v>
      </c>
      <c r="B18" s="695" t="s">
        <v>3224</v>
      </c>
      <c r="C18" s="633"/>
      <c r="D18" s="58"/>
      <c r="E18" s="58"/>
      <c r="F18" s="28"/>
      <c r="G18" s="28"/>
      <c r="H18" s="178"/>
      <c r="I18" s="125"/>
      <c r="J18" s="125"/>
      <c r="K18" s="125"/>
      <c r="L18" s="178"/>
      <c r="M18" s="178"/>
      <c r="N18" s="273"/>
      <c r="O18" s="273"/>
      <c r="P18" s="210"/>
      <c r="Q18" s="210"/>
      <c r="R18" s="210"/>
      <c r="S18" s="210"/>
      <c r="T18" s="210"/>
      <c r="U18" s="210">
        <v>700000000000</v>
      </c>
      <c r="V18" s="210">
        <v>900000000000</v>
      </c>
      <c r="W18" s="298">
        <v>1000000000000</v>
      </c>
      <c r="X18" s="389">
        <v>1100000000000</v>
      </c>
      <c r="Y18" s="389">
        <v>1200000000000</v>
      </c>
      <c r="Z18" s="389">
        <v>1300000000000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s="695" t="s">
        <v>3225</v>
      </c>
      <c r="B19" s="695" t="s">
        <v>3226</v>
      </c>
      <c r="C19" s="633"/>
      <c r="D19" s="58"/>
      <c r="E19" s="58"/>
      <c r="F19" s="28"/>
      <c r="G19" s="28"/>
      <c r="H19" s="178"/>
      <c r="I19" s="125"/>
      <c r="J19" s="125"/>
      <c r="K19" s="125"/>
      <c r="L19" s="178"/>
      <c r="M19" s="178"/>
      <c r="N19" s="273"/>
      <c r="O19" s="273"/>
      <c r="P19" s="210"/>
      <c r="Q19" s="210"/>
      <c r="R19" s="210"/>
      <c r="S19" s="210">
        <v>1400000000000</v>
      </c>
      <c r="T19" s="210">
        <v>5200000000000</v>
      </c>
      <c r="U19" s="210">
        <v>5800000000000</v>
      </c>
      <c r="V19" s="210">
        <v>7400000000000</v>
      </c>
      <c r="W19" s="298">
        <v>8000000000000</v>
      </c>
      <c r="X19" s="389">
        <v>8800000000000</v>
      </c>
      <c r="Y19" s="389">
        <v>9700000000000</v>
      </c>
      <c r="Z19" s="389">
        <v>10700000000000</v>
      </c>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342" t="s">
        <v>3235</v>
      </c>
      <c r="B20" s="342" t="s">
        <v>3235</v>
      </c>
      <c r="C20" s="769" t="s">
        <v>998</v>
      </c>
      <c r="D20" s="58"/>
      <c r="E20" s="58"/>
      <c r="F20" s="28"/>
      <c r="G20" s="28"/>
      <c r="H20" s="178"/>
      <c r="I20" s="2479"/>
      <c r="J20" s="2479"/>
      <c r="K20" s="2479"/>
      <c r="L20" s="2690"/>
      <c r="M20" s="2690"/>
      <c r="N20" s="2691"/>
      <c r="O20" s="2691"/>
      <c r="P20" s="2516"/>
      <c r="Q20" s="300">
        <f t="shared" ref="Q20:Z20" si="0">Q7-Q9-Q12-Q15</f>
        <v>6800000000000</v>
      </c>
      <c r="R20" s="300">
        <f t="shared" si="0"/>
        <v>3400000000000</v>
      </c>
      <c r="S20" s="300">
        <f t="shared" si="0"/>
        <v>4400000000000</v>
      </c>
      <c r="T20" s="300">
        <f t="shared" si="0"/>
        <v>3300000000000</v>
      </c>
      <c r="U20" s="300">
        <f t="shared" si="0"/>
        <v>3000000000000</v>
      </c>
      <c r="V20" s="300">
        <f t="shared" si="0"/>
        <v>3200000000000</v>
      </c>
      <c r="W20" s="300">
        <f t="shared" si="0"/>
        <v>3600000000000</v>
      </c>
      <c r="X20" s="300">
        <f t="shared" si="0"/>
        <v>4000000000000</v>
      </c>
      <c r="Y20" s="300">
        <f t="shared" si="0"/>
        <v>4500000000000</v>
      </c>
      <c r="Z20" s="300">
        <f t="shared" si="0"/>
        <v>5100000000000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696" t="s">
        <v>3236</v>
      </c>
      <c r="B21" s="696" t="s">
        <v>3236</v>
      </c>
      <c r="C21" s="769" t="s">
        <v>3237</v>
      </c>
      <c r="D21" s="58"/>
      <c r="E21" s="58"/>
      <c r="F21" s="28"/>
      <c r="G21" s="28"/>
      <c r="H21" s="178"/>
      <c r="I21" s="2479"/>
      <c r="J21" s="2479"/>
      <c r="K21" s="2479"/>
      <c r="L21" s="2690"/>
      <c r="M21" s="2690"/>
      <c r="N21" s="2691"/>
      <c r="O21" s="2691"/>
      <c r="P21" s="2516"/>
      <c r="Q21" s="300">
        <v>6800000000000</v>
      </c>
      <c r="R21" s="300">
        <v>3300000000000</v>
      </c>
      <c r="S21" s="300">
        <v>4400000000000</v>
      </c>
      <c r="T21" s="300">
        <v>3000000000000</v>
      </c>
      <c r="U21" s="300">
        <v>2400000000000</v>
      </c>
      <c r="V21" s="300">
        <v>2700000000000</v>
      </c>
      <c r="W21" s="300">
        <v>3000000000000</v>
      </c>
      <c r="X21" s="300">
        <v>3500000000000</v>
      </c>
      <c r="Y21" s="300">
        <v>3900000000000</v>
      </c>
      <c r="Z21" s="300">
        <v>4500000000000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ht="16.5">
      <c r="A22" s="58" t="s">
        <v>53</v>
      </c>
      <c r="B22" s="58" t="s">
        <v>53</v>
      </c>
      <c r="C22" s="767" t="s">
        <v>38</v>
      </c>
      <c r="D22" s="58"/>
      <c r="E22" s="58"/>
      <c r="F22" s="28"/>
      <c r="G22" s="28"/>
      <c r="H22" s="178">
        <v>3408000000000</v>
      </c>
      <c r="I22" s="125">
        <v>12850000000000</v>
      </c>
      <c r="J22" s="125">
        <v>9065000000000</v>
      </c>
      <c r="K22" s="125">
        <v>3800000000000</v>
      </c>
      <c r="L22" s="178">
        <v>2800000000000</v>
      </c>
      <c r="M22" s="178">
        <v>2300000000000</v>
      </c>
      <c r="N22" s="273">
        <v>4700000000000</v>
      </c>
      <c r="O22" s="273">
        <v>2100000000000</v>
      </c>
      <c r="P22" s="142">
        <v>0</v>
      </c>
      <c r="Q22" s="142">
        <v>100000000000</v>
      </c>
      <c r="R22" s="142">
        <v>0</v>
      </c>
      <c r="S22" s="142">
        <v>0</v>
      </c>
      <c r="T22" s="142">
        <v>0</v>
      </c>
      <c r="U22" s="142">
        <v>100000000000</v>
      </c>
      <c r="V22" s="142">
        <v>0</v>
      </c>
      <c r="W22" s="142">
        <v>0</v>
      </c>
      <c r="X22" s="142">
        <v>0</v>
      </c>
      <c r="Y22" s="142">
        <v>0</v>
      </c>
      <c r="Z22" s="142">
        <v>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s="9" customFormat="1" ht="16.5">
      <c r="A23" s="55" t="s">
        <v>198</v>
      </c>
      <c r="B23" s="55" t="s">
        <v>1725</v>
      </c>
      <c r="C23" s="55" t="s">
        <v>35</v>
      </c>
      <c r="D23" s="55"/>
      <c r="E23" s="55"/>
      <c r="H23" s="178">
        <v>45202000000000</v>
      </c>
      <c r="I23" s="295">
        <v>46477000000000</v>
      </c>
      <c r="J23" s="295">
        <v>50353000000000</v>
      </c>
      <c r="K23" s="295">
        <v>51400000000000</v>
      </c>
      <c r="L23" s="178">
        <v>83200000000000</v>
      </c>
      <c r="M23" s="178">
        <f>M26+M64</f>
        <v>74200000000000</v>
      </c>
      <c r="N23" s="324">
        <v>80300000000000</v>
      </c>
      <c r="O23" s="324">
        <v>94300000000000</v>
      </c>
      <c r="P23" s="142">
        <v>109000000000000</v>
      </c>
      <c r="Q23" s="142">
        <v>131200000000000</v>
      </c>
      <c r="R23" s="142">
        <v>119000000000000</v>
      </c>
      <c r="S23" s="142">
        <v>89300000000000</v>
      </c>
      <c r="T23" s="142">
        <v>84100000000000</v>
      </c>
      <c r="U23" s="142">
        <v>93400000000000</v>
      </c>
      <c r="V23" s="142">
        <v>98800000000000</v>
      </c>
      <c r="W23" s="142">
        <v>93500000000000</v>
      </c>
      <c r="X23" s="142">
        <v>93100000000000</v>
      </c>
      <c r="Y23" s="142">
        <v>93700000000000</v>
      </c>
      <c r="Z23" s="142">
        <v>94300000000000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695" t="s">
        <v>3223</v>
      </c>
      <c r="B24" s="633" t="s">
        <v>3224</v>
      </c>
      <c r="C24" s="633"/>
      <c r="D24" s="58"/>
      <c r="E24" s="58"/>
      <c r="H24" s="178"/>
      <c r="I24" s="125"/>
      <c r="J24" s="125"/>
      <c r="K24" s="125"/>
      <c r="L24" s="178"/>
      <c r="M24" s="178"/>
      <c r="N24" s="273"/>
      <c r="O24" s="273"/>
      <c r="P24" s="142"/>
      <c r="Q24" s="142"/>
      <c r="R24" s="142"/>
      <c r="S24" s="142">
        <v>2500000000000</v>
      </c>
      <c r="T24" s="142"/>
      <c r="U24" s="142">
        <v>12000000000000</v>
      </c>
      <c r="V24" s="142">
        <v>11900000000000</v>
      </c>
      <c r="W24" s="142">
        <v>11700000000000</v>
      </c>
      <c r="X24" s="142">
        <v>11600000000000</v>
      </c>
      <c r="Y24" s="142">
        <v>11900000000000</v>
      </c>
      <c r="Z24" s="142">
        <v>12200000000000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695" t="s">
        <v>3225</v>
      </c>
      <c r="B25" s="633" t="s">
        <v>3226</v>
      </c>
      <c r="C25" s="633"/>
      <c r="D25" s="58"/>
      <c r="E25" s="58"/>
      <c r="H25" s="178"/>
      <c r="I25" s="125"/>
      <c r="J25" s="125"/>
      <c r="K25" s="125"/>
      <c r="L25" s="178"/>
      <c r="M25" s="178"/>
      <c r="N25" s="273"/>
      <c r="O25" s="273"/>
      <c r="P25" s="142"/>
      <c r="Q25" s="142"/>
      <c r="R25" s="142"/>
      <c r="S25" s="142">
        <v>86700000000000</v>
      </c>
      <c r="T25" s="142">
        <v>84100000000000</v>
      </c>
      <c r="U25" s="142">
        <v>81400000000000</v>
      </c>
      <c r="V25" s="142">
        <v>86900000000000</v>
      </c>
      <c r="W25" s="142">
        <v>81800000000000</v>
      </c>
      <c r="X25" s="142">
        <v>81500000000000</v>
      </c>
      <c r="Y25" s="142">
        <v>81700000000000</v>
      </c>
      <c r="Z25" s="142">
        <v>82100000000000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58" t="s">
        <v>73</v>
      </c>
      <c r="B26" s="58" t="s">
        <v>3238</v>
      </c>
      <c r="C26" s="58" t="s">
        <v>201</v>
      </c>
      <c r="D26" s="58"/>
      <c r="E26" s="58"/>
      <c r="F26" s="28"/>
      <c r="G26" s="28"/>
      <c r="H26" s="178">
        <v>36887000000000</v>
      </c>
      <c r="I26" s="125">
        <v>37332000000000</v>
      </c>
      <c r="J26" s="125">
        <v>38026000000000</v>
      </c>
      <c r="K26" s="125">
        <v>39800000000000</v>
      </c>
      <c r="L26" s="178">
        <v>55900000000000</v>
      </c>
      <c r="M26" s="178">
        <v>57500000000000</v>
      </c>
      <c r="N26" s="273">
        <v>56200000000000</v>
      </c>
      <c r="O26" s="273">
        <v>66800000000000</v>
      </c>
      <c r="P26" s="142">
        <v>75500000000000</v>
      </c>
      <c r="Q26" s="142">
        <v>83700000000000</v>
      </c>
      <c r="R26" s="142">
        <v>69900000000000</v>
      </c>
      <c r="S26" s="142">
        <v>57600000000000</v>
      </c>
      <c r="T26" s="142">
        <v>61100000000000</v>
      </c>
      <c r="U26" s="142">
        <v>69500000000000</v>
      </c>
      <c r="V26" s="142">
        <v>74500000000000</v>
      </c>
      <c r="W26" s="142">
        <v>69800000000000</v>
      </c>
      <c r="X26" s="142">
        <v>69400000000000</v>
      </c>
      <c r="Y26" s="142">
        <v>68700000000000</v>
      </c>
      <c r="Z26" s="142">
        <v>68300000000000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64" t="s">
        <v>3239</v>
      </c>
      <c r="B27" s="64" t="s">
        <v>3240</v>
      </c>
      <c r="C27" s="58" t="s">
        <v>204</v>
      </c>
      <c r="D27" s="58"/>
      <c r="E27" s="58"/>
      <c r="F27" s="28"/>
      <c r="G27" s="28"/>
      <c r="H27" s="178">
        <v>4532000000000</v>
      </c>
      <c r="I27" s="125">
        <v>9389000000000</v>
      </c>
      <c r="J27" s="125">
        <v>11034000000000</v>
      </c>
      <c r="K27" s="125">
        <v>13800000000000</v>
      </c>
      <c r="L27" s="178">
        <v>21100000000000</v>
      </c>
      <c r="M27" s="178">
        <v>27800000000000</v>
      </c>
      <c r="N27" s="273">
        <v>28900000000000</v>
      </c>
      <c r="O27" s="273">
        <v>33900000000000</v>
      </c>
      <c r="P27" s="210">
        <v>34900000000000</v>
      </c>
      <c r="Q27" s="210">
        <v>41100000000000</v>
      </c>
      <c r="R27" s="210">
        <v>40300000000000</v>
      </c>
      <c r="S27" s="210">
        <v>42200000000000</v>
      </c>
      <c r="T27" s="210">
        <v>41600000000000</v>
      </c>
      <c r="U27" s="210">
        <v>47600000000000</v>
      </c>
      <c r="V27" s="210">
        <v>46400000000000</v>
      </c>
      <c r="W27" s="298">
        <v>45800000000000</v>
      </c>
      <c r="X27" s="389">
        <v>45100000000000</v>
      </c>
      <c r="Y27" s="389">
        <v>44500000000000</v>
      </c>
      <c r="Z27" s="389">
        <v>43900000000000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3241</v>
      </c>
      <c r="B28" s="65" t="s">
        <v>3241</v>
      </c>
      <c r="C28" s="58" t="s">
        <v>3242</v>
      </c>
      <c r="D28" s="58"/>
      <c r="E28" s="58"/>
      <c r="F28" s="28"/>
      <c r="G28" s="28"/>
      <c r="H28" s="125"/>
      <c r="I28" s="125">
        <v>6625000000000</v>
      </c>
      <c r="J28" s="125">
        <v>8427000000000</v>
      </c>
      <c r="K28" s="125">
        <v>11200000000000</v>
      </c>
      <c r="L28" s="125"/>
      <c r="M28" s="125"/>
      <c r="N28" s="273">
        <v>22600000000000</v>
      </c>
      <c r="O28" s="273">
        <v>27000000000000</v>
      </c>
      <c r="P28" s="210">
        <v>28500000000000</v>
      </c>
      <c r="Q28" s="210">
        <v>32500000000000</v>
      </c>
      <c r="R28" s="210">
        <v>31800000000000</v>
      </c>
      <c r="S28" s="210">
        <v>33100000000000</v>
      </c>
      <c r="T28" s="210">
        <v>32300000000000</v>
      </c>
      <c r="U28" s="210">
        <v>36300000000000</v>
      </c>
      <c r="V28" s="210">
        <v>35100000000000</v>
      </c>
      <c r="W28" s="298">
        <v>34500000000000</v>
      </c>
      <c r="X28" s="389">
        <v>33900000000000</v>
      </c>
      <c r="Y28" s="389">
        <v>33200000000000</v>
      </c>
      <c r="Z28" s="389">
        <v>32600000000000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c r="B29" s="65" t="s">
        <v>3243</v>
      </c>
      <c r="C29" s="58" t="s">
        <v>3244</v>
      </c>
      <c r="D29" s="58"/>
      <c r="E29" s="58"/>
      <c r="F29" s="28"/>
      <c r="G29" s="28"/>
      <c r="H29" s="125"/>
      <c r="I29" s="125">
        <v>2233000000000</v>
      </c>
      <c r="J29" s="125">
        <v>3177000000000</v>
      </c>
      <c r="K29" s="125">
        <v>4900000000000</v>
      </c>
      <c r="L29" s="125"/>
      <c r="M29" s="125"/>
      <c r="N29" s="273"/>
      <c r="O29" s="273"/>
      <c r="P29" s="210"/>
      <c r="Q29" s="210">
        <v>8100000000000</v>
      </c>
      <c r="R29" s="210">
        <v>14200000000000</v>
      </c>
      <c r="S29" s="210">
        <v>14400000000000</v>
      </c>
      <c r="T29" s="210">
        <v>15200000000000</v>
      </c>
      <c r="U29" s="210">
        <v>17100000000000</v>
      </c>
      <c r="V29" s="210">
        <v>16600000000000</v>
      </c>
      <c r="W29" s="298">
        <v>16300000000000</v>
      </c>
      <c r="X29" s="389">
        <v>16000000000000</v>
      </c>
      <c r="Y29" s="389">
        <v>15700000000000</v>
      </c>
      <c r="Z29" s="389">
        <v>15400000000000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c r="B30" s="65" t="s">
        <v>3245</v>
      </c>
      <c r="C30" s="58" t="s">
        <v>3244</v>
      </c>
      <c r="D30" s="58"/>
      <c r="E30" s="58"/>
      <c r="F30" s="28"/>
      <c r="G30" s="28"/>
      <c r="H30" s="125"/>
      <c r="I30" s="125">
        <v>4392000000000</v>
      </c>
      <c r="J30" s="125">
        <v>5249000000000</v>
      </c>
      <c r="K30" s="125">
        <v>6300000000000</v>
      </c>
      <c r="L30" s="125"/>
      <c r="M30" s="125"/>
      <c r="N30" s="273"/>
      <c r="O30" s="273"/>
      <c r="P30" s="210"/>
      <c r="Q30" s="210">
        <v>24500000000000</v>
      </c>
      <c r="R30" s="210">
        <v>17600000000000</v>
      </c>
      <c r="S30" s="210">
        <v>18700000000000</v>
      </c>
      <c r="T30" s="210">
        <v>17200000000000</v>
      </c>
      <c r="U30" s="210">
        <v>19200000000000</v>
      </c>
      <c r="V30" s="210">
        <v>18600000000000</v>
      </c>
      <c r="W30" s="298">
        <v>18200000000000</v>
      </c>
      <c r="X30" s="389">
        <v>17900000000000</v>
      </c>
      <c r="Y30" s="389">
        <v>17600000000000</v>
      </c>
      <c r="Z30" s="389">
        <v>17300000000000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95" t="s">
        <v>3223</v>
      </c>
      <c r="B31" s="633" t="s">
        <v>3224</v>
      </c>
      <c r="C31" s="633"/>
      <c r="D31" s="58"/>
      <c r="E31" s="58"/>
      <c r="F31" s="28"/>
      <c r="G31" s="28"/>
      <c r="H31" s="125"/>
      <c r="I31" s="125"/>
      <c r="J31" s="125"/>
      <c r="K31" s="125"/>
      <c r="L31" s="125"/>
      <c r="M31" s="125"/>
      <c r="N31" s="273"/>
      <c r="O31" s="273"/>
      <c r="P31" s="210"/>
      <c r="Q31" s="210"/>
      <c r="R31" s="210"/>
      <c r="S31" s="210">
        <v>2000000000000</v>
      </c>
      <c r="T31" s="210"/>
      <c r="U31" s="210">
        <v>3800000000000</v>
      </c>
      <c r="V31" s="210">
        <v>3700000000000</v>
      </c>
      <c r="W31" s="298">
        <v>3600000000000</v>
      </c>
      <c r="X31" s="389">
        <v>3500000000000</v>
      </c>
      <c r="Y31" s="389">
        <v>3500000000000</v>
      </c>
      <c r="Z31" s="389">
        <v>3400000000000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95" t="s">
        <v>3225</v>
      </c>
      <c r="B32" s="633" t="s">
        <v>3226</v>
      </c>
      <c r="C32" s="633"/>
      <c r="D32" s="58"/>
      <c r="E32" s="58"/>
      <c r="F32" s="28"/>
      <c r="G32" s="28"/>
      <c r="H32" s="125"/>
      <c r="I32" s="125"/>
      <c r="J32" s="125"/>
      <c r="K32" s="125"/>
      <c r="L32" s="125"/>
      <c r="M32" s="125"/>
      <c r="N32" s="273"/>
      <c r="O32" s="273"/>
      <c r="P32" s="210"/>
      <c r="Q32" s="210"/>
      <c r="R32" s="210"/>
      <c r="S32" s="210">
        <v>31100000000000</v>
      </c>
      <c r="T32" s="210">
        <v>32300000000000</v>
      </c>
      <c r="U32" s="210">
        <v>32500000000000</v>
      </c>
      <c r="V32" s="210">
        <v>31500000000000</v>
      </c>
      <c r="W32" s="298">
        <v>30900000000000</v>
      </c>
      <c r="X32" s="389">
        <v>30300000000000</v>
      </c>
      <c r="Y32" s="389">
        <v>29800000000000</v>
      </c>
      <c r="Z32" s="389">
        <v>29200000000000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65" t="s">
        <v>3246</v>
      </c>
      <c r="B33" s="65" t="s">
        <v>3246</v>
      </c>
      <c r="C33" s="58" t="s">
        <v>3242</v>
      </c>
      <c r="D33" s="58"/>
      <c r="E33" s="58"/>
      <c r="F33" s="28"/>
      <c r="G33" s="28"/>
      <c r="H33" s="125"/>
      <c r="I33" s="125">
        <v>2765000000000</v>
      </c>
      <c r="J33" s="125">
        <v>2608000000000</v>
      </c>
      <c r="K33" s="125">
        <v>2600000000000</v>
      </c>
      <c r="L33" s="125"/>
      <c r="M33" s="125"/>
      <c r="N33" s="273">
        <v>6300000000000</v>
      </c>
      <c r="O33" s="273">
        <v>6900000000000</v>
      </c>
      <c r="P33" s="210">
        <v>6400000000000</v>
      </c>
      <c r="Q33" s="210">
        <v>8600000000000</v>
      </c>
      <c r="R33" s="210">
        <v>8400000000000</v>
      </c>
      <c r="S33" s="210">
        <v>9000000000000</v>
      </c>
      <c r="T33" s="210">
        <v>9300000000000</v>
      </c>
      <c r="U33" s="210">
        <v>11300000000000</v>
      </c>
      <c r="V33" s="210">
        <v>11300000000000</v>
      </c>
      <c r="W33" s="298">
        <v>11300000000000</v>
      </c>
      <c r="X33" s="389">
        <v>11300000000000</v>
      </c>
      <c r="Y33" s="389">
        <v>11300000000000</v>
      </c>
      <c r="Z33" s="389">
        <v>11300000000000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695" t="s">
        <v>3223</v>
      </c>
      <c r="B34" s="633" t="s">
        <v>3224</v>
      </c>
      <c r="C34" s="633"/>
      <c r="D34" s="58"/>
      <c r="E34" s="58"/>
      <c r="F34" s="28"/>
      <c r="G34" s="28"/>
      <c r="H34" s="125"/>
      <c r="I34" s="125"/>
      <c r="J34" s="125"/>
      <c r="K34" s="125"/>
      <c r="L34" s="125"/>
      <c r="M34" s="125"/>
      <c r="N34" s="273"/>
      <c r="O34" s="273"/>
      <c r="P34" s="210"/>
      <c r="Q34" s="210"/>
      <c r="R34" s="210"/>
      <c r="S34" s="210">
        <v>400000000000</v>
      </c>
      <c r="T34" s="210"/>
      <c r="U34" s="210">
        <v>1600000000000</v>
      </c>
      <c r="V34" s="210">
        <v>1600000000000</v>
      </c>
      <c r="W34" s="298">
        <v>1600000000000</v>
      </c>
      <c r="X34" s="389">
        <v>1600000000000</v>
      </c>
      <c r="Y34" s="389">
        <v>1600000000000</v>
      </c>
      <c r="Z34" s="389">
        <v>1600000000000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695" t="s">
        <v>3225</v>
      </c>
      <c r="B35" s="633" t="s">
        <v>3226</v>
      </c>
      <c r="C35" s="633"/>
      <c r="D35" s="58"/>
      <c r="E35" s="58"/>
      <c r="F35" s="28"/>
      <c r="G35" s="28"/>
      <c r="H35" s="125"/>
      <c r="I35" s="125"/>
      <c r="J35" s="125"/>
      <c r="K35" s="125"/>
      <c r="L35" s="125"/>
      <c r="M35" s="125"/>
      <c r="N35" s="273"/>
      <c r="O35" s="273"/>
      <c r="P35" s="210"/>
      <c r="Q35" s="210"/>
      <c r="R35" s="210"/>
      <c r="S35" s="210">
        <v>8600000000000</v>
      </c>
      <c r="T35" s="210">
        <v>9300000000000</v>
      </c>
      <c r="U35" s="210">
        <v>9600000000000</v>
      </c>
      <c r="V35" s="210">
        <v>9600000000000</v>
      </c>
      <c r="W35" s="298">
        <v>9600000000000</v>
      </c>
      <c r="X35" s="389">
        <v>9600000000000</v>
      </c>
      <c r="Y35" s="389">
        <v>9600000000000</v>
      </c>
      <c r="Z35" s="389">
        <v>9600000000000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64" t="s">
        <v>3247</v>
      </c>
      <c r="B36" s="64" t="s">
        <v>3248</v>
      </c>
      <c r="C36" s="58" t="s">
        <v>204</v>
      </c>
      <c r="D36" s="58"/>
      <c r="E36" s="58"/>
      <c r="F36" s="28"/>
      <c r="G36" s="28"/>
      <c r="H36" s="178">
        <v>10998000000000</v>
      </c>
      <c r="I36" s="125">
        <v>13074000000000</v>
      </c>
      <c r="J36" s="125">
        <v>10226000000000</v>
      </c>
      <c r="K36" s="125">
        <v>7600000000000</v>
      </c>
      <c r="L36" s="178">
        <v>13900000000000</v>
      </c>
      <c r="M36" s="178">
        <v>14300000000000</v>
      </c>
      <c r="N36" s="273">
        <v>11000000000000</v>
      </c>
      <c r="O36" s="273">
        <v>12000000000000</v>
      </c>
      <c r="P36" s="142">
        <v>17500000000000</v>
      </c>
      <c r="Q36" s="142"/>
      <c r="R36" s="142"/>
      <c r="S36" s="142"/>
      <c r="T36" s="142"/>
      <c r="U36" s="142"/>
      <c r="V36" s="142"/>
      <c r="W36" s="142"/>
      <c r="X36" s="142"/>
      <c r="Y36" s="142"/>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695" t="s">
        <v>537</v>
      </c>
      <c r="B37" s="695" t="s">
        <v>537</v>
      </c>
      <c r="C37" s="769" t="s">
        <v>204</v>
      </c>
      <c r="D37" s="58"/>
      <c r="E37" s="58"/>
      <c r="F37" s="28"/>
      <c r="G37" s="28"/>
      <c r="H37" s="178"/>
      <c r="I37" s="125"/>
      <c r="J37" s="125"/>
      <c r="K37" s="125"/>
      <c r="L37" s="178"/>
      <c r="M37" s="178"/>
      <c r="N37" s="273"/>
      <c r="O37" s="273"/>
      <c r="P37" s="142"/>
      <c r="Q37" s="142">
        <v>16300000000000</v>
      </c>
      <c r="R37" s="142">
        <v>9700000000000</v>
      </c>
      <c r="S37" s="142">
        <v>4700000000000</v>
      </c>
      <c r="T37" s="142">
        <v>4800000000000</v>
      </c>
      <c r="U37" s="142">
        <v>6400000000000</v>
      </c>
      <c r="V37" s="142">
        <v>6700000000000</v>
      </c>
      <c r="W37" s="142">
        <v>7300000000000</v>
      </c>
      <c r="X37" s="142">
        <v>7300000000000</v>
      </c>
      <c r="Y37" s="142">
        <v>7200000000000</v>
      </c>
      <c r="Z37" s="142">
        <v>7300000000000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695" t="s">
        <v>3223</v>
      </c>
      <c r="B38" s="633" t="s">
        <v>3224</v>
      </c>
      <c r="C38" s="633"/>
      <c r="D38" s="58"/>
      <c r="E38" s="58"/>
      <c r="F38" s="28"/>
      <c r="G38" s="28"/>
      <c r="H38" s="178"/>
      <c r="I38" s="125"/>
      <c r="J38" s="125"/>
      <c r="K38" s="125"/>
      <c r="L38" s="178"/>
      <c r="M38" s="178"/>
      <c r="N38" s="273"/>
      <c r="O38" s="273"/>
      <c r="P38" s="142"/>
      <c r="Q38" s="142"/>
      <c r="R38" s="142"/>
      <c r="S38" s="142"/>
      <c r="T38" s="142"/>
      <c r="U38" s="142">
        <v>900000000000</v>
      </c>
      <c r="V38" s="142">
        <v>1000000000000</v>
      </c>
      <c r="W38" s="142">
        <v>1000000000000</v>
      </c>
      <c r="X38" s="142">
        <v>1000000000000</v>
      </c>
      <c r="Y38" s="142">
        <v>1000000000000</v>
      </c>
      <c r="Z38" s="142">
        <v>1100000000000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s="695" t="s">
        <v>3225</v>
      </c>
      <c r="B39" s="633" t="s">
        <v>3226</v>
      </c>
      <c r="C39" s="633"/>
      <c r="D39" s="58"/>
      <c r="E39" s="58"/>
      <c r="F39" s="28"/>
      <c r="G39" s="28"/>
      <c r="H39" s="178"/>
      <c r="I39" s="125"/>
      <c r="J39" s="125"/>
      <c r="K39" s="125"/>
      <c r="L39" s="178"/>
      <c r="M39" s="178"/>
      <c r="N39" s="273"/>
      <c r="O39" s="273"/>
      <c r="P39" s="142"/>
      <c r="Q39" s="142"/>
      <c r="R39" s="142"/>
      <c r="S39" s="142">
        <v>4700000000000</v>
      </c>
      <c r="T39" s="142">
        <v>4800000000000</v>
      </c>
      <c r="U39" s="142">
        <v>5500000000000</v>
      </c>
      <c r="V39" s="142">
        <v>5800000000000</v>
      </c>
      <c r="W39" s="142">
        <v>6200000000000</v>
      </c>
      <c r="X39" s="142">
        <v>6300000000000</v>
      </c>
      <c r="Y39" s="142">
        <v>6200000000000</v>
      </c>
      <c r="Z39" s="142">
        <v>6300000000000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65" t="s">
        <v>3249</v>
      </c>
      <c r="B40" s="65" t="s">
        <v>3250</v>
      </c>
      <c r="C40" s="58" t="s">
        <v>3251</v>
      </c>
      <c r="D40" s="58"/>
      <c r="E40" s="58"/>
      <c r="F40" s="28"/>
      <c r="G40" s="28"/>
      <c r="H40" s="178">
        <v>6985000000000</v>
      </c>
      <c r="I40" s="125">
        <v>3190000000000</v>
      </c>
      <c r="J40" s="125">
        <v>3853000000000</v>
      </c>
      <c r="K40" s="125">
        <v>5000000000000</v>
      </c>
      <c r="L40" s="178"/>
      <c r="M40" s="178"/>
      <c r="N40" s="273"/>
      <c r="O40" s="273"/>
      <c r="P40" s="210"/>
      <c r="Q40" s="210"/>
      <c r="R40" s="210"/>
      <c r="S40" s="210"/>
      <c r="T40" s="210"/>
      <c r="U40" s="210"/>
      <c r="V40" s="210"/>
      <c r="W40" s="298"/>
      <c r="X40" s="389"/>
      <c r="Y40" s="389"/>
      <c r="Z40" s="389"/>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65" t="s">
        <v>3252</v>
      </c>
      <c r="B41" s="65" t="s">
        <v>3253</v>
      </c>
      <c r="C41" s="58" t="s">
        <v>3251</v>
      </c>
      <c r="D41" s="58"/>
      <c r="E41" s="58"/>
      <c r="F41" s="28"/>
      <c r="G41" s="28"/>
      <c r="H41" s="178">
        <v>1616000000000</v>
      </c>
      <c r="I41" s="319">
        <f>I36-I40-I42-I43</f>
        <v>760000000000</v>
      </c>
      <c r="J41" s="319">
        <f>J36-J40-J42-J43</f>
        <v>219000000000</v>
      </c>
      <c r="K41" s="125"/>
      <c r="L41" s="178"/>
      <c r="M41" s="178"/>
      <c r="N41" s="273"/>
      <c r="O41" s="273"/>
      <c r="P41" s="210"/>
      <c r="Q41" s="210"/>
      <c r="R41" s="210"/>
      <c r="S41" s="210"/>
      <c r="T41" s="210"/>
      <c r="U41" s="210"/>
      <c r="V41" s="210"/>
      <c r="W41" s="298"/>
      <c r="X41" s="389"/>
      <c r="Y41" s="389"/>
      <c r="Z41" s="389"/>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65" t="s">
        <v>3254</v>
      </c>
      <c r="B42" s="65" t="s">
        <v>3255</v>
      </c>
      <c r="C42" s="58" t="s">
        <v>3251</v>
      </c>
      <c r="D42" s="58"/>
      <c r="E42" s="58"/>
      <c r="F42" s="28"/>
      <c r="G42" s="28"/>
      <c r="H42" s="178">
        <v>860000000000</v>
      </c>
      <c r="I42" s="125">
        <v>3512000000000</v>
      </c>
      <c r="J42" s="125">
        <v>2588000000000</v>
      </c>
      <c r="K42" s="125"/>
      <c r="L42" s="178"/>
      <c r="M42" s="178"/>
      <c r="N42" s="273"/>
      <c r="O42" s="273"/>
      <c r="P42" s="210"/>
      <c r="Q42" s="210"/>
      <c r="R42" s="210"/>
      <c r="S42" s="210"/>
      <c r="T42" s="210"/>
      <c r="U42" s="210"/>
      <c r="V42" s="210"/>
      <c r="W42" s="298"/>
      <c r="X42" s="389"/>
      <c r="Y42" s="389"/>
      <c r="Z42" s="389"/>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65" t="s">
        <v>3256</v>
      </c>
      <c r="B43" s="65" t="s">
        <v>3257</v>
      </c>
      <c r="C43" s="58" t="s">
        <v>3251</v>
      </c>
      <c r="D43" s="58"/>
      <c r="E43" s="58"/>
      <c r="F43" s="28"/>
      <c r="G43" s="28"/>
      <c r="H43" s="178">
        <v>1538000000000</v>
      </c>
      <c r="I43" s="125">
        <v>5612000000000</v>
      </c>
      <c r="J43" s="125">
        <v>3566000000000</v>
      </c>
      <c r="K43" s="319">
        <f>K36-K40</f>
        <v>2600000000000</v>
      </c>
      <c r="L43" s="178"/>
      <c r="M43" s="178"/>
      <c r="N43" s="273"/>
      <c r="O43" s="273"/>
      <c r="P43" s="210"/>
      <c r="Q43" s="210"/>
      <c r="R43" s="210"/>
      <c r="S43" s="210"/>
      <c r="T43" s="210"/>
      <c r="U43" s="210"/>
      <c r="V43" s="210"/>
      <c r="W43" s="298"/>
      <c r="X43" s="389"/>
      <c r="Y43" s="389"/>
      <c r="Z43" s="389"/>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64" t="s">
        <v>3258</v>
      </c>
      <c r="B44" s="64" t="s">
        <v>3259</v>
      </c>
      <c r="C44" s="58" t="s">
        <v>204</v>
      </c>
      <c r="D44" s="58"/>
      <c r="E44" s="58"/>
      <c r="F44" s="28"/>
      <c r="G44" s="28"/>
      <c r="H44" s="178">
        <v>5609000000000</v>
      </c>
      <c r="I44" s="125">
        <v>5229000000000</v>
      </c>
      <c r="J44" s="125">
        <v>6610000000000</v>
      </c>
      <c r="K44" s="125">
        <v>5800000000000</v>
      </c>
      <c r="L44" s="178"/>
      <c r="M44" s="178"/>
      <c r="N44" s="273"/>
      <c r="O44" s="273"/>
      <c r="P44" s="210"/>
      <c r="Q44" s="210"/>
      <c r="R44" s="210"/>
      <c r="S44" s="210"/>
      <c r="T44" s="210"/>
      <c r="U44" s="210"/>
      <c r="V44" s="210"/>
      <c r="W44" s="298"/>
      <c r="X44" s="389"/>
      <c r="Y44" s="389"/>
      <c r="Z44" s="389"/>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5" t="s">
        <v>3260</v>
      </c>
      <c r="B45" s="65" t="s">
        <v>3261</v>
      </c>
      <c r="C45" s="58" t="s">
        <v>3262</v>
      </c>
      <c r="D45" s="58"/>
      <c r="E45" s="58"/>
      <c r="F45" s="28"/>
      <c r="G45" s="28"/>
      <c r="H45" s="178">
        <v>4823000000000</v>
      </c>
      <c r="I45" s="125">
        <v>4144000000000</v>
      </c>
      <c r="J45" s="125">
        <v>4133000000000</v>
      </c>
      <c r="K45" s="125"/>
      <c r="L45" s="178"/>
      <c r="M45" s="178"/>
      <c r="N45" s="273"/>
      <c r="O45" s="273"/>
      <c r="P45" s="210"/>
      <c r="Q45" s="210"/>
      <c r="R45" s="210"/>
      <c r="S45" s="210"/>
      <c r="T45" s="210"/>
      <c r="U45" s="210"/>
      <c r="V45" s="210"/>
      <c r="W45" s="298"/>
      <c r="X45" s="389"/>
      <c r="Y45" s="389"/>
      <c r="Z45" s="389"/>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65" t="s">
        <v>3263</v>
      </c>
      <c r="B46" s="65" t="s">
        <v>3264</v>
      </c>
      <c r="C46" s="58" t="s">
        <v>3262</v>
      </c>
      <c r="D46" s="58"/>
      <c r="E46" s="58"/>
      <c r="F46" s="28"/>
      <c r="G46" s="28"/>
      <c r="H46" s="178">
        <v>786000000000</v>
      </c>
      <c r="I46" s="125">
        <v>1085000000000</v>
      </c>
      <c r="J46" s="125">
        <v>2477000000000</v>
      </c>
      <c r="K46" s="125"/>
      <c r="L46" s="178"/>
      <c r="M46" s="178"/>
      <c r="N46" s="273"/>
      <c r="O46" s="273"/>
      <c r="P46" s="210"/>
      <c r="Q46" s="210"/>
      <c r="R46" s="210"/>
      <c r="S46" s="210"/>
      <c r="T46" s="210"/>
      <c r="U46" s="210"/>
      <c r="V46" s="210"/>
      <c r="W46" s="298"/>
      <c r="X46" s="389"/>
      <c r="Y46" s="389"/>
      <c r="Z46" s="389"/>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ht="16.5">
      <c r="A47" s="64" t="s">
        <v>389</v>
      </c>
      <c r="B47" s="64" t="s">
        <v>389</v>
      </c>
      <c r="C47" s="58" t="s">
        <v>204</v>
      </c>
      <c r="D47" s="58"/>
      <c r="E47" s="58"/>
      <c r="F47" s="28"/>
      <c r="G47" s="28"/>
      <c r="H47" s="178">
        <v>14075000000000</v>
      </c>
      <c r="I47" s="125">
        <v>7824000000000</v>
      </c>
      <c r="J47" s="125">
        <v>7482000000000</v>
      </c>
      <c r="K47" s="125">
        <v>9100000000000</v>
      </c>
      <c r="L47" s="178">
        <v>16000000000000</v>
      </c>
      <c r="M47" s="178">
        <v>12700000000000</v>
      </c>
      <c r="N47" s="273">
        <v>12500000000000</v>
      </c>
      <c r="O47" s="273">
        <v>14700000000000</v>
      </c>
      <c r="P47" s="142">
        <v>16300000000000</v>
      </c>
      <c r="Q47" s="142">
        <v>20000000000000</v>
      </c>
      <c r="R47" s="142">
        <v>14300000000000</v>
      </c>
      <c r="S47" s="142">
        <v>9500000000000</v>
      </c>
      <c r="T47" s="142">
        <v>13200000000000</v>
      </c>
      <c r="U47" s="142">
        <v>12800000000000</v>
      </c>
      <c r="V47" s="142">
        <v>13300000000000</v>
      </c>
      <c r="W47" s="142">
        <v>13700000000000</v>
      </c>
      <c r="X47" s="142">
        <v>13700000000000</v>
      </c>
      <c r="Y47" s="142">
        <v>13700000000000</v>
      </c>
      <c r="Z47" s="142">
        <v>13700000000000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695" t="s">
        <v>3223</v>
      </c>
      <c r="B48" s="633" t="s">
        <v>3224</v>
      </c>
      <c r="C48" s="633"/>
      <c r="D48" s="58"/>
      <c r="E48" s="58"/>
      <c r="F48" s="28"/>
      <c r="G48" s="28"/>
      <c r="H48" s="178"/>
      <c r="I48" s="125"/>
      <c r="J48" s="125"/>
      <c r="K48" s="125"/>
      <c r="L48" s="178"/>
      <c r="M48" s="178"/>
      <c r="N48" s="273"/>
      <c r="O48" s="273"/>
      <c r="P48" s="142"/>
      <c r="Q48" s="142"/>
      <c r="R48" s="142"/>
      <c r="S48" s="142"/>
      <c r="T48" s="142"/>
      <c r="U48" s="142">
        <v>1700000000000</v>
      </c>
      <c r="V48" s="142">
        <v>1700000000000</v>
      </c>
      <c r="W48" s="142">
        <v>1700000000000</v>
      </c>
      <c r="X48" s="142">
        <v>1700000000000</v>
      </c>
      <c r="Y48" s="142">
        <v>1700000000000</v>
      </c>
      <c r="Z48" s="142">
        <v>1700000000000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95" t="s">
        <v>3225</v>
      </c>
      <c r="B49" s="633" t="s">
        <v>3226</v>
      </c>
      <c r="C49" s="633"/>
      <c r="D49" s="58"/>
      <c r="E49" s="58"/>
      <c r="F49" s="28"/>
      <c r="G49" s="28"/>
      <c r="H49" s="178"/>
      <c r="I49" s="125"/>
      <c r="J49" s="125"/>
      <c r="K49" s="125"/>
      <c r="L49" s="178"/>
      <c r="M49" s="178"/>
      <c r="N49" s="273"/>
      <c r="O49" s="273"/>
      <c r="P49" s="142"/>
      <c r="Q49" s="142"/>
      <c r="R49" s="142"/>
      <c r="S49" s="142">
        <v>9400000000000</v>
      </c>
      <c r="T49" s="142">
        <v>13200000000000</v>
      </c>
      <c r="U49" s="142">
        <v>11100000000000</v>
      </c>
      <c r="V49" s="142">
        <v>11600000000000</v>
      </c>
      <c r="W49" s="142">
        <v>11900000000000</v>
      </c>
      <c r="X49" s="142">
        <v>11900000000000</v>
      </c>
      <c r="Y49" s="142">
        <v>11900000000000</v>
      </c>
      <c r="Z49" s="142">
        <v>11900000000000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3265</v>
      </c>
      <c r="B50" s="65" t="s">
        <v>3266</v>
      </c>
      <c r="C50" s="58" t="s">
        <v>486</v>
      </c>
      <c r="D50" s="58"/>
      <c r="E50" s="58"/>
      <c r="F50" s="28"/>
      <c r="G50" s="28"/>
      <c r="H50" s="178">
        <v>3829000000000</v>
      </c>
      <c r="I50" s="125">
        <v>5299000000000</v>
      </c>
      <c r="J50" s="125">
        <v>5019000000000</v>
      </c>
      <c r="K50" s="125">
        <v>5100000000000</v>
      </c>
      <c r="L50" s="178">
        <v>8400000000000</v>
      </c>
      <c r="M50" s="178">
        <v>5600000000000</v>
      </c>
      <c r="N50" s="273">
        <v>6300000000000</v>
      </c>
      <c r="O50" s="273">
        <v>8000000000000</v>
      </c>
      <c r="P50" s="142">
        <v>6700000000000</v>
      </c>
      <c r="Q50" s="142">
        <v>7600000000000</v>
      </c>
      <c r="R50" s="142">
        <v>7600000000000</v>
      </c>
      <c r="S50" s="142">
        <v>4500000000000</v>
      </c>
      <c r="T50" s="142">
        <v>6100000000000</v>
      </c>
      <c r="U50" s="142">
        <v>6300000000000</v>
      </c>
      <c r="V50" s="142">
        <v>6800000000000</v>
      </c>
      <c r="W50" s="142">
        <v>7200000000000</v>
      </c>
      <c r="X50" s="142">
        <v>7200000000000</v>
      </c>
      <c r="Y50" s="142">
        <v>7200000000000</v>
      </c>
      <c r="Z50" s="142">
        <v>7200000000000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95" t="s">
        <v>3223</v>
      </c>
      <c r="B51" s="633" t="s">
        <v>3224</v>
      </c>
      <c r="C51" s="633"/>
      <c r="D51" s="58"/>
      <c r="E51" s="58"/>
      <c r="F51" s="28"/>
      <c r="G51" s="28"/>
      <c r="H51" s="178"/>
      <c r="I51" s="125"/>
      <c r="J51" s="125"/>
      <c r="K51" s="125"/>
      <c r="L51" s="178"/>
      <c r="M51" s="178"/>
      <c r="N51" s="273"/>
      <c r="O51" s="273"/>
      <c r="P51" s="142"/>
      <c r="Q51" s="142"/>
      <c r="R51" s="142"/>
      <c r="S51" s="142"/>
      <c r="T51" s="142"/>
      <c r="U51" s="142">
        <v>500000000000</v>
      </c>
      <c r="V51" s="142">
        <v>600000000000</v>
      </c>
      <c r="W51" s="142">
        <v>600000000000</v>
      </c>
      <c r="X51" s="142">
        <v>600000000000</v>
      </c>
      <c r="Y51" s="142">
        <v>600000000000</v>
      </c>
      <c r="Z51" s="142">
        <v>600000000000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95" t="s">
        <v>3225</v>
      </c>
      <c r="B52" s="633" t="s">
        <v>3226</v>
      </c>
      <c r="C52" s="633"/>
      <c r="D52" s="58"/>
      <c r="E52" s="58"/>
      <c r="F52" s="28"/>
      <c r="G52" s="28"/>
      <c r="H52" s="178"/>
      <c r="I52" s="125"/>
      <c r="J52" s="125"/>
      <c r="K52" s="125"/>
      <c r="L52" s="178"/>
      <c r="M52" s="178"/>
      <c r="N52" s="273"/>
      <c r="O52" s="273"/>
      <c r="P52" s="142"/>
      <c r="Q52" s="142"/>
      <c r="R52" s="142"/>
      <c r="S52" s="142">
        <v>4400000000000</v>
      </c>
      <c r="T52" s="142">
        <v>6100000000000</v>
      </c>
      <c r="U52" s="142">
        <v>5800000000000</v>
      </c>
      <c r="V52" s="142">
        <v>6200000000000</v>
      </c>
      <c r="W52" s="142">
        <v>6600000000000</v>
      </c>
      <c r="X52" s="142">
        <v>6600000000000</v>
      </c>
      <c r="Y52" s="142">
        <v>6600000000000</v>
      </c>
      <c r="Z52" s="142">
        <v>6600000000000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3267</v>
      </c>
      <c r="B53" s="65" t="s">
        <v>3268</v>
      </c>
      <c r="C53" s="58" t="s">
        <v>486</v>
      </c>
      <c r="D53" s="58"/>
      <c r="E53" s="277"/>
      <c r="F53" s="28"/>
      <c r="G53" s="28"/>
      <c r="H53" s="178">
        <v>1237000000000</v>
      </c>
      <c r="I53" s="125">
        <v>973000000000</v>
      </c>
      <c r="J53" s="125">
        <v>1300000000000</v>
      </c>
      <c r="K53" s="125">
        <v>1100000000000</v>
      </c>
      <c r="L53" s="178">
        <v>3000000000000</v>
      </c>
      <c r="M53" s="178">
        <v>3400000000000</v>
      </c>
      <c r="N53" s="273">
        <v>3300000000000</v>
      </c>
      <c r="O53" s="273">
        <v>3800000000000</v>
      </c>
      <c r="P53" s="142">
        <v>2900000000000</v>
      </c>
      <c r="Q53" s="142">
        <v>1900000000000</v>
      </c>
      <c r="R53" s="142">
        <v>1500000000000</v>
      </c>
      <c r="S53" s="142">
        <v>2400000000000</v>
      </c>
      <c r="T53" s="142">
        <v>2700000000000</v>
      </c>
      <c r="U53" s="142">
        <v>2200000000000</v>
      </c>
      <c r="V53" s="142">
        <v>2200000000000</v>
      </c>
      <c r="W53" s="142">
        <v>2200000000000</v>
      </c>
      <c r="X53" s="142">
        <v>2200000000000</v>
      </c>
      <c r="Y53" s="142">
        <v>2200000000000</v>
      </c>
      <c r="Z53" s="142">
        <v>2200000000000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95" t="s">
        <v>3223</v>
      </c>
      <c r="B54" s="633" t="s">
        <v>3224</v>
      </c>
      <c r="C54" s="633"/>
      <c r="D54" s="58"/>
      <c r="E54" s="277"/>
      <c r="F54" s="28"/>
      <c r="G54" s="28"/>
      <c r="H54" s="178"/>
      <c r="I54" s="125"/>
      <c r="J54" s="125"/>
      <c r="K54" s="125"/>
      <c r="L54" s="178"/>
      <c r="M54" s="178"/>
      <c r="N54" s="273"/>
      <c r="O54" s="273"/>
      <c r="P54" s="142"/>
      <c r="Q54" s="142"/>
      <c r="R54" s="142"/>
      <c r="S54" s="142"/>
      <c r="T54" s="142"/>
      <c r="U54" s="142">
        <v>100000000000</v>
      </c>
      <c r="V54" s="142">
        <v>100000000000</v>
      </c>
      <c r="W54" s="142">
        <v>100000000000</v>
      </c>
      <c r="X54" s="142">
        <v>100000000000</v>
      </c>
      <c r="Y54" s="142">
        <v>100000000000</v>
      </c>
      <c r="Z54" s="142">
        <v>100000000000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95" t="s">
        <v>3225</v>
      </c>
      <c r="B55" s="633" t="s">
        <v>3226</v>
      </c>
      <c r="C55" s="633"/>
      <c r="D55" s="58"/>
      <c r="E55" s="277"/>
      <c r="F55" s="28"/>
      <c r="G55" s="28"/>
      <c r="H55" s="178"/>
      <c r="I55" s="125"/>
      <c r="J55" s="125"/>
      <c r="K55" s="125"/>
      <c r="L55" s="178"/>
      <c r="M55" s="178"/>
      <c r="N55" s="273"/>
      <c r="O55" s="273"/>
      <c r="P55" s="142"/>
      <c r="Q55" s="142"/>
      <c r="R55" s="142"/>
      <c r="S55" s="142">
        <v>2400000000000</v>
      </c>
      <c r="T55" s="142">
        <v>2700000000000</v>
      </c>
      <c r="U55" s="142">
        <v>2100000000000</v>
      </c>
      <c r="V55" s="142">
        <v>2100000000000</v>
      </c>
      <c r="W55" s="142">
        <v>2100000000000</v>
      </c>
      <c r="X55" s="142">
        <v>2100000000000</v>
      </c>
      <c r="Y55" s="142">
        <v>2100000000000</v>
      </c>
      <c r="Z55" s="142">
        <v>2100000000000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ht="16.5">
      <c r="A56" s="65" t="s">
        <v>487</v>
      </c>
      <c r="B56" s="65" t="s">
        <v>3269</v>
      </c>
      <c r="C56" s="58" t="s">
        <v>486</v>
      </c>
      <c r="D56" s="58"/>
      <c r="E56" s="58"/>
      <c r="F56" s="28"/>
      <c r="G56" s="28"/>
      <c r="H56" s="328">
        <f>H47-H50-H53</f>
        <v>9009000000000</v>
      </c>
      <c r="I56" s="125">
        <v>1552000000000</v>
      </c>
      <c r="J56" s="125">
        <v>1163000000000</v>
      </c>
      <c r="K56" s="125">
        <v>2900000000000</v>
      </c>
      <c r="L56" s="178">
        <v>4600000000000</v>
      </c>
      <c r="M56" s="178">
        <v>3600000000000</v>
      </c>
      <c r="N56" s="273">
        <v>2900000000000</v>
      </c>
      <c r="O56" s="273">
        <v>2900000000000</v>
      </c>
      <c r="P56" s="142">
        <v>6700000000000</v>
      </c>
      <c r="Q56" s="142">
        <v>10500000000000</v>
      </c>
      <c r="R56" s="142">
        <v>5200000000000</v>
      </c>
      <c r="S56" s="142">
        <v>2600000000000</v>
      </c>
      <c r="T56" s="142">
        <v>4400000000000</v>
      </c>
      <c r="U56" s="142">
        <v>4300000000000</v>
      </c>
      <c r="V56" s="142">
        <v>4300000000000</v>
      </c>
      <c r="W56" s="142">
        <v>4300000000000</v>
      </c>
      <c r="X56" s="142">
        <v>4300000000000</v>
      </c>
      <c r="Y56" s="142">
        <v>4300000000000</v>
      </c>
      <c r="Z56" s="142">
        <v>4300000000000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695" t="s">
        <v>3223</v>
      </c>
      <c r="B57" s="633" t="s">
        <v>3224</v>
      </c>
      <c r="C57" s="633"/>
      <c r="D57" s="58"/>
      <c r="E57" s="58"/>
      <c r="F57" s="28"/>
      <c r="G57" s="28"/>
      <c r="H57" s="328"/>
      <c r="I57" s="125"/>
      <c r="J57" s="125"/>
      <c r="K57" s="125"/>
      <c r="L57" s="178"/>
      <c r="M57" s="178"/>
      <c r="N57" s="273"/>
      <c r="O57" s="273"/>
      <c r="P57" s="142"/>
      <c r="Q57" s="142"/>
      <c r="R57" s="142"/>
      <c r="S57" s="142"/>
      <c r="T57" s="142"/>
      <c r="U57" s="142">
        <v>1000000000000</v>
      </c>
      <c r="V57" s="142">
        <v>1000000000000</v>
      </c>
      <c r="W57" s="142">
        <v>1000000000000</v>
      </c>
      <c r="X57" s="142">
        <v>1000000000000</v>
      </c>
      <c r="Y57" s="142">
        <v>1000000000000</v>
      </c>
      <c r="Z57" s="142">
        <v>1000000000000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A58" s="695" t="s">
        <v>3225</v>
      </c>
      <c r="B58" s="633" t="s">
        <v>3226</v>
      </c>
      <c r="C58" s="633"/>
      <c r="D58" s="58"/>
      <c r="E58" s="58"/>
      <c r="F58" s="28"/>
      <c r="G58" s="28"/>
      <c r="H58" s="328"/>
      <c r="I58" s="125"/>
      <c r="J58" s="125"/>
      <c r="K58" s="125"/>
      <c r="L58" s="178"/>
      <c r="M58" s="178"/>
      <c r="N58" s="273"/>
      <c r="O58" s="273"/>
      <c r="P58" s="142"/>
      <c r="Q58" s="142"/>
      <c r="R58" s="142"/>
      <c r="S58" s="142">
        <v>2600000000000</v>
      </c>
      <c r="T58" s="142">
        <v>4400000000000</v>
      </c>
      <c r="U58" s="142">
        <v>3300000000000</v>
      </c>
      <c r="V58" s="142">
        <v>3300000000000</v>
      </c>
      <c r="W58" s="142">
        <v>3300000000000</v>
      </c>
      <c r="X58" s="142">
        <v>3300000000000</v>
      </c>
      <c r="Y58" s="142">
        <v>3300000000000</v>
      </c>
      <c r="Z58" s="142">
        <v>3300000000000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64" t="s">
        <v>90</v>
      </c>
      <c r="B59" s="64" t="s">
        <v>751</v>
      </c>
      <c r="C59" s="58" t="s">
        <v>204</v>
      </c>
      <c r="D59" s="58"/>
      <c r="E59" s="58"/>
      <c r="F59" s="28"/>
      <c r="G59" s="28"/>
      <c r="H59" s="178">
        <v>369000000000</v>
      </c>
      <c r="I59" s="125">
        <v>86000000000</v>
      </c>
      <c r="J59" s="125">
        <v>438000000000</v>
      </c>
      <c r="K59" s="125">
        <v>600000000000</v>
      </c>
      <c r="L59" s="178">
        <v>500000000000</v>
      </c>
      <c r="M59" s="178">
        <v>400000000000</v>
      </c>
      <c r="N59" s="273">
        <v>800000000000</v>
      </c>
      <c r="O59" s="273">
        <v>1600000000000</v>
      </c>
      <c r="P59" s="142">
        <v>1000000000000</v>
      </c>
      <c r="Q59" s="142">
        <v>1000000000000</v>
      </c>
      <c r="R59" s="142">
        <v>700000000000</v>
      </c>
      <c r="S59" s="142">
        <v>1300000000000</v>
      </c>
      <c r="T59" s="142">
        <v>1400000000000</v>
      </c>
      <c r="U59" s="142">
        <v>2800000000000</v>
      </c>
      <c r="V59" s="142">
        <v>2700000000000</v>
      </c>
      <c r="W59" s="142">
        <v>3100000000000</v>
      </c>
      <c r="X59" s="142">
        <v>3300000000000</v>
      </c>
      <c r="Y59" s="142">
        <v>3300000000000</v>
      </c>
      <c r="Z59" s="142">
        <v>3400000000000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5" t="s">
        <v>3270</v>
      </c>
      <c r="B60" s="65" t="s">
        <v>3271</v>
      </c>
      <c r="C60" s="58" t="s">
        <v>211</v>
      </c>
      <c r="D60" s="58"/>
      <c r="E60" s="58"/>
      <c r="F60" s="28"/>
      <c r="G60" s="28"/>
      <c r="H60" s="178">
        <v>369000000000</v>
      </c>
      <c r="I60" s="125">
        <v>86000000000</v>
      </c>
      <c r="J60" s="125"/>
      <c r="K60" s="125"/>
      <c r="L60" s="178"/>
      <c r="M60" s="178"/>
      <c r="N60" s="273"/>
      <c r="O60" s="273"/>
      <c r="P60" s="210"/>
      <c r="Q60" s="210"/>
      <c r="R60" s="210"/>
      <c r="S60" s="210"/>
      <c r="T60" s="210"/>
      <c r="U60" s="210"/>
      <c r="V60" s="210"/>
      <c r="W60" s="298"/>
      <c r="X60" s="389"/>
      <c r="Y60" s="389"/>
      <c r="Z60" s="389"/>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65" t="s">
        <v>3272</v>
      </c>
      <c r="B61" s="65" t="s">
        <v>3273</v>
      </c>
      <c r="C61" s="58" t="s">
        <v>211</v>
      </c>
      <c r="D61" s="58"/>
      <c r="E61" s="58"/>
      <c r="F61" s="28"/>
      <c r="G61" s="28"/>
      <c r="H61" s="178">
        <v>0</v>
      </c>
      <c r="I61" s="125">
        <v>0</v>
      </c>
      <c r="J61" s="125"/>
      <c r="K61" s="125"/>
      <c r="L61" s="178"/>
      <c r="M61" s="178"/>
      <c r="N61" s="273"/>
      <c r="O61" s="273"/>
      <c r="P61" s="210"/>
      <c r="Q61" s="210"/>
      <c r="R61" s="210"/>
      <c r="S61" s="210"/>
      <c r="T61" s="210"/>
      <c r="U61" s="210"/>
      <c r="V61" s="210"/>
      <c r="W61" s="298"/>
      <c r="X61" s="389"/>
      <c r="Y61" s="389"/>
      <c r="Z61" s="389"/>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64" t="s">
        <v>3274</v>
      </c>
      <c r="B62" s="64" t="s">
        <v>3275</v>
      </c>
      <c r="C62" s="58" t="s">
        <v>204</v>
      </c>
      <c r="D62" s="277"/>
      <c r="E62" s="58"/>
      <c r="F62" s="28"/>
      <c r="G62" s="28"/>
      <c r="H62" s="178">
        <v>1304000000000</v>
      </c>
      <c r="I62" s="125">
        <v>1730000000000</v>
      </c>
      <c r="J62" s="125">
        <v>2235000000000</v>
      </c>
      <c r="K62" s="125">
        <v>2400000000000</v>
      </c>
      <c r="L62" s="178">
        <v>3700000000000</v>
      </c>
      <c r="M62" s="178">
        <v>2300000000000</v>
      </c>
      <c r="N62" s="273">
        <v>3000000000000</v>
      </c>
      <c r="O62" s="273">
        <v>4600000000000</v>
      </c>
      <c r="P62" s="210">
        <v>5500000000000</v>
      </c>
      <c r="Q62" s="210">
        <v>5200000000000</v>
      </c>
      <c r="R62" s="210">
        <v>4900000000000</v>
      </c>
      <c r="S62" s="210"/>
      <c r="T62" s="210"/>
      <c r="U62" s="210"/>
      <c r="V62" s="210">
        <v>5400000000000</v>
      </c>
      <c r="W62" s="298"/>
      <c r="X62" s="389"/>
      <c r="Y62" s="389"/>
      <c r="Z62" s="389"/>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64" t="s">
        <v>3276</v>
      </c>
      <c r="B63" s="64" t="s">
        <v>3276</v>
      </c>
      <c r="C63" s="58" t="s">
        <v>204</v>
      </c>
      <c r="D63" s="58"/>
      <c r="E63" s="58"/>
      <c r="F63" s="28"/>
      <c r="G63" s="28"/>
      <c r="H63" s="178">
        <v>0</v>
      </c>
      <c r="I63" s="125">
        <v>0</v>
      </c>
      <c r="J63" s="319"/>
      <c r="K63" s="125">
        <v>500000000000</v>
      </c>
      <c r="L63" s="178">
        <v>700000000000</v>
      </c>
      <c r="M63" s="178">
        <v>0</v>
      </c>
      <c r="N63" s="273">
        <v>100000000000</v>
      </c>
      <c r="O63" s="273">
        <v>0</v>
      </c>
      <c r="P63" s="210">
        <v>300000000000</v>
      </c>
      <c r="Q63" s="210"/>
      <c r="R63" s="210"/>
      <c r="S63" s="210"/>
      <c r="T63" s="210"/>
      <c r="U63" s="210"/>
      <c r="V63" s="210"/>
      <c r="W63" s="298"/>
      <c r="X63" s="389"/>
      <c r="Y63" s="389"/>
      <c r="Z63" s="389"/>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ht="16.5">
      <c r="A64" s="58" t="s">
        <v>3277</v>
      </c>
      <c r="B64" s="58" t="s">
        <v>3278</v>
      </c>
      <c r="C64" s="58" t="s">
        <v>201</v>
      </c>
      <c r="D64" s="58"/>
      <c r="E64" s="58"/>
      <c r="F64" s="28"/>
      <c r="G64" s="28"/>
      <c r="H64" s="178">
        <v>8314000000000</v>
      </c>
      <c r="I64" s="125">
        <v>9145000000000</v>
      </c>
      <c r="J64" s="125">
        <v>12317000000000</v>
      </c>
      <c r="K64" s="125">
        <v>9700000000000</v>
      </c>
      <c r="L64" s="178">
        <v>27300000000000</v>
      </c>
      <c r="M64" s="178">
        <v>16700000000000</v>
      </c>
      <c r="N64" s="273">
        <v>24100000000000</v>
      </c>
      <c r="O64" s="273">
        <v>27400000000000</v>
      </c>
      <c r="P64" s="142">
        <v>33600000000000</v>
      </c>
      <c r="Q64" s="142">
        <v>47600000000000</v>
      </c>
      <c r="R64" s="142">
        <v>49200000000000</v>
      </c>
      <c r="S64" s="142">
        <v>31600000000000</v>
      </c>
      <c r="T64" s="142">
        <v>23100000000000</v>
      </c>
      <c r="U64" s="142">
        <v>23900000000000</v>
      </c>
      <c r="V64" s="142">
        <v>24300000000000</v>
      </c>
      <c r="W64" s="142">
        <v>23700000000000</v>
      </c>
      <c r="X64" s="142">
        <v>23800000000000</v>
      </c>
      <c r="Y64" s="142">
        <v>25000000000000</v>
      </c>
      <c r="Z64" s="142">
        <v>26000000000000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99" t="s">
        <v>3279</v>
      </c>
      <c r="B65" s="99" t="s">
        <v>3280</v>
      </c>
      <c r="C65" s="58" t="s">
        <v>241</v>
      </c>
      <c r="D65" s="58"/>
      <c r="E65" s="58"/>
      <c r="F65" s="28"/>
      <c r="G65" s="28"/>
      <c r="H65" s="178">
        <v>6126000000000</v>
      </c>
      <c r="I65" s="125">
        <v>6996000000000</v>
      </c>
      <c r="J65" s="125">
        <v>8989000000000</v>
      </c>
      <c r="K65" s="125">
        <v>8199999999999.999</v>
      </c>
      <c r="L65" s="178">
        <v>23400000000000</v>
      </c>
      <c r="M65" s="178">
        <v>14100000000000</v>
      </c>
      <c r="N65" s="273"/>
      <c r="O65" s="273"/>
      <c r="P65" s="210"/>
      <c r="Q65" s="210">
        <v>32300000000000</v>
      </c>
      <c r="R65" s="210">
        <v>25400000000000</v>
      </c>
      <c r="S65" s="210">
        <v>12600000000000</v>
      </c>
      <c r="T65" s="210">
        <v>8400000000000</v>
      </c>
      <c r="U65" s="210">
        <v>10200000000000</v>
      </c>
      <c r="V65" s="210">
        <v>10100000000000</v>
      </c>
      <c r="W65" s="298">
        <v>9400000000000</v>
      </c>
      <c r="X65" s="389">
        <v>9300000000000</v>
      </c>
      <c r="Y65" s="389">
        <v>10400000000000</v>
      </c>
      <c r="Z65" s="389">
        <v>11300000000000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695" t="s">
        <v>3223</v>
      </c>
      <c r="B66" s="633" t="s">
        <v>3224</v>
      </c>
      <c r="C66" s="633"/>
      <c r="D66" s="58"/>
      <c r="E66" s="58"/>
      <c r="F66" s="28"/>
      <c r="G66" s="28"/>
      <c r="H66" s="178"/>
      <c r="I66" s="125"/>
      <c r="J66" s="125"/>
      <c r="K66" s="125"/>
      <c r="L66" s="178"/>
      <c r="M66" s="178"/>
      <c r="N66" s="273"/>
      <c r="O66" s="273"/>
      <c r="P66" s="210"/>
      <c r="Q66" s="210"/>
      <c r="R66" s="210"/>
      <c r="S66" s="210"/>
      <c r="T66" s="210"/>
      <c r="U66" s="210">
        <v>4000000000000</v>
      </c>
      <c r="V66" s="210">
        <v>4000000000000</v>
      </c>
      <c r="W66" s="298">
        <v>3700000000000</v>
      </c>
      <c r="X66" s="389">
        <v>3600000000000</v>
      </c>
      <c r="Y66" s="389">
        <v>4000000000000</v>
      </c>
      <c r="Z66" s="389">
        <v>4400000000000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695" t="s">
        <v>3225</v>
      </c>
      <c r="B67" s="633" t="s">
        <v>3226</v>
      </c>
      <c r="C67" s="633"/>
      <c r="D67" s="58"/>
      <c r="E67" s="58"/>
      <c r="F67" s="28"/>
      <c r="G67" s="28"/>
      <c r="H67" s="178"/>
      <c r="I67" s="125"/>
      <c r="J67" s="125"/>
      <c r="K67" s="125"/>
      <c r="L67" s="178"/>
      <c r="M67" s="178"/>
      <c r="N67" s="273"/>
      <c r="O67" s="273"/>
      <c r="P67" s="210"/>
      <c r="Q67" s="210"/>
      <c r="R67" s="210"/>
      <c r="S67" s="210">
        <v>12500000000000</v>
      </c>
      <c r="T67" s="210">
        <v>8400000000000</v>
      </c>
      <c r="U67" s="210">
        <v>6200000000000</v>
      </c>
      <c r="V67" s="210">
        <v>6200000000000</v>
      </c>
      <c r="W67" s="298">
        <v>5700000000000</v>
      </c>
      <c r="X67" s="389">
        <v>5700000000000</v>
      </c>
      <c r="Y67" s="389">
        <v>6300000000000</v>
      </c>
      <c r="Z67" s="389">
        <v>6900000000000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695"/>
      <c r="B68" s="633" t="s">
        <v>3281</v>
      </c>
      <c r="C68" s="769" t="s">
        <v>3282</v>
      </c>
      <c r="D68" s="58"/>
      <c r="E68" s="58"/>
      <c r="F68" s="28"/>
      <c r="G68" s="28"/>
      <c r="H68" s="178"/>
      <c r="I68" s="125"/>
      <c r="J68" s="125"/>
      <c r="K68" s="125"/>
      <c r="L68" s="178"/>
      <c r="M68" s="178"/>
      <c r="N68" s="273"/>
      <c r="O68" s="273"/>
      <c r="P68" s="210"/>
      <c r="Q68" s="210"/>
      <c r="R68" s="210"/>
      <c r="S68" s="210">
        <v>300000000000</v>
      </c>
      <c r="T68" s="210">
        <v>2300000000000</v>
      </c>
      <c r="U68" s="210">
        <v>4500000000000</v>
      </c>
      <c r="V68" s="210">
        <v>4800000000000</v>
      </c>
      <c r="W68" s="298">
        <v>2700000000000</v>
      </c>
      <c r="X68" s="389">
        <v>1200000000000</v>
      </c>
      <c r="Y68" s="389">
        <v>1100000000000</v>
      </c>
      <c r="Z68" s="389">
        <v>1000000000000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695"/>
      <c r="B69" s="633" t="s">
        <v>922</v>
      </c>
      <c r="C69" s="769" t="s">
        <v>3282</v>
      </c>
      <c r="D69" s="58"/>
      <c r="E69" s="58"/>
      <c r="F69" s="28"/>
      <c r="G69" s="28"/>
      <c r="H69" s="178"/>
      <c r="I69" s="125"/>
      <c r="J69" s="125"/>
      <c r="K69" s="125"/>
      <c r="L69" s="178"/>
      <c r="M69" s="178"/>
      <c r="N69" s="273"/>
      <c r="O69" s="273"/>
      <c r="P69" s="210"/>
      <c r="Q69" s="210">
        <v>32300000000000</v>
      </c>
      <c r="R69" s="210">
        <v>25400000000000</v>
      </c>
      <c r="S69" s="210">
        <v>12300000000000</v>
      </c>
      <c r="T69" s="210">
        <v>6000000000000</v>
      </c>
      <c r="U69" s="210">
        <v>5700000000000</v>
      </c>
      <c r="V69" s="210">
        <v>5300000000000</v>
      </c>
      <c r="W69" s="298">
        <v>6800000000000</v>
      </c>
      <c r="X69" s="389">
        <v>8100000000000</v>
      </c>
      <c r="Y69" s="389">
        <v>9300000000000</v>
      </c>
      <c r="Z69" s="389">
        <v>10300000000000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695" t="s">
        <v>3223</v>
      </c>
      <c r="B70" s="633" t="s">
        <v>3224</v>
      </c>
      <c r="C70" s="633"/>
      <c r="D70" s="58"/>
      <c r="E70" s="58"/>
      <c r="F70" s="28"/>
      <c r="G70" s="28"/>
      <c r="H70" s="178"/>
      <c r="I70" s="125"/>
      <c r="J70" s="125"/>
      <c r="K70" s="125"/>
      <c r="L70" s="178"/>
      <c r="M70" s="178"/>
      <c r="N70" s="273"/>
      <c r="O70" s="273"/>
      <c r="P70" s="210"/>
      <c r="Q70" s="210"/>
      <c r="R70" s="210"/>
      <c r="S70" s="210"/>
      <c r="T70" s="210"/>
      <c r="U70" s="210">
        <v>4000000000000</v>
      </c>
      <c r="V70" s="210">
        <v>4000000000000</v>
      </c>
      <c r="W70" s="298">
        <v>3700000000000</v>
      </c>
      <c r="X70" s="389">
        <v>3600000000000</v>
      </c>
      <c r="Y70" s="389">
        <v>4000000000000</v>
      </c>
      <c r="Z70" s="389">
        <v>4400000000000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695" t="s">
        <v>3225</v>
      </c>
      <c r="B71" s="633" t="s">
        <v>3226</v>
      </c>
      <c r="C71" s="633"/>
      <c r="D71" s="58"/>
      <c r="E71" s="58"/>
      <c r="F71" s="28"/>
      <c r="G71" s="28"/>
      <c r="H71" s="178"/>
      <c r="I71" s="125"/>
      <c r="J71" s="125"/>
      <c r="K71" s="125"/>
      <c r="L71" s="178"/>
      <c r="M71" s="178"/>
      <c r="N71" s="273"/>
      <c r="O71" s="273"/>
      <c r="P71" s="210"/>
      <c r="Q71" s="210"/>
      <c r="R71" s="210"/>
      <c r="S71" s="210"/>
      <c r="T71" s="210"/>
      <c r="U71" s="210">
        <v>1700000000000</v>
      </c>
      <c r="V71" s="210">
        <v>1400000000000</v>
      </c>
      <c r="W71" s="298">
        <v>3100000000000</v>
      </c>
      <c r="X71" s="389">
        <v>4500000000000</v>
      </c>
      <c r="Y71" s="389">
        <v>5300000000000</v>
      </c>
      <c r="Z71" s="389">
        <v>5900000000000</v>
      </c>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00" t="s">
        <v>3283</v>
      </c>
      <c r="B72" s="100" t="s">
        <v>3284</v>
      </c>
      <c r="C72" s="58" t="s">
        <v>3282</v>
      </c>
      <c r="D72" s="58"/>
      <c r="E72" s="58"/>
      <c r="F72" s="28"/>
      <c r="G72" s="28"/>
      <c r="H72" s="178">
        <v>4087000000000</v>
      </c>
      <c r="I72" s="125">
        <v>2598000000000</v>
      </c>
      <c r="J72" s="125">
        <v>5980000000000</v>
      </c>
      <c r="K72" s="125"/>
      <c r="L72" s="178"/>
      <c r="M72" s="178"/>
      <c r="N72" s="273"/>
      <c r="O72" s="273"/>
      <c r="P72" s="210"/>
      <c r="Q72" s="210"/>
      <c r="R72" s="210"/>
      <c r="S72" s="210"/>
      <c r="T72" s="210"/>
      <c r="U72" s="210"/>
      <c r="V72" s="210"/>
      <c r="W72" s="298"/>
      <c r="X72" s="389"/>
      <c r="Y72" s="389"/>
      <c r="Z72" s="389"/>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A73" s="100" t="s">
        <v>3285</v>
      </c>
      <c r="B73" s="100" t="s">
        <v>3286</v>
      </c>
      <c r="C73" s="58" t="s">
        <v>3282</v>
      </c>
      <c r="D73" s="58"/>
      <c r="E73" s="58"/>
      <c r="F73" s="28"/>
      <c r="G73" s="28"/>
      <c r="H73" s="178">
        <v>1079000000000</v>
      </c>
      <c r="I73" s="319">
        <f>I65-I72-I74</f>
        <v>950000000000</v>
      </c>
      <c r="J73" s="319">
        <f>J65-J72-J74</f>
        <v>447000000000</v>
      </c>
      <c r="K73" s="125"/>
      <c r="L73" s="178"/>
      <c r="M73" s="178"/>
      <c r="N73" s="273"/>
      <c r="O73" s="273"/>
      <c r="P73" s="210"/>
      <c r="Q73" s="210"/>
      <c r="R73" s="210"/>
      <c r="S73" s="210"/>
      <c r="T73" s="210"/>
      <c r="U73" s="210"/>
      <c r="V73" s="210"/>
      <c r="W73" s="298"/>
      <c r="X73" s="389"/>
      <c r="Y73" s="389"/>
      <c r="Z73" s="389"/>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A74" s="100" t="s">
        <v>3287</v>
      </c>
      <c r="B74" s="100" t="s">
        <v>3288</v>
      </c>
      <c r="C74" s="58" t="s">
        <v>3282</v>
      </c>
      <c r="D74" s="58"/>
      <c r="E74" s="58"/>
      <c r="F74" s="28"/>
      <c r="G74" s="28"/>
      <c r="H74" s="178">
        <v>961000000000</v>
      </c>
      <c r="I74" s="125">
        <v>3448000000000</v>
      </c>
      <c r="J74" s="125">
        <v>2562000000000</v>
      </c>
      <c r="K74" s="125"/>
      <c r="L74" s="178"/>
      <c r="M74" s="178"/>
      <c r="N74" s="273"/>
      <c r="O74" s="273"/>
      <c r="P74" s="210"/>
      <c r="Q74" s="210"/>
      <c r="R74" s="210"/>
      <c r="S74" s="210"/>
      <c r="T74" s="210"/>
      <c r="U74" s="210"/>
      <c r="V74" s="210"/>
      <c r="W74" s="298"/>
      <c r="X74" s="389"/>
      <c r="Y74" s="389"/>
      <c r="Z74" s="389"/>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A75" s="100" t="s">
        <v>3289</v>
      </c>
      <c r="B75" s="100" t="s">
        <v>3290</v>
      </c>
      <c r="C75" s="58" t="s">
        <v>3282</v>
      </c>
      <c r="D75" s="58"/>
      <c r="E75" s="58"/>
      <c r="F75" s="28"/>
      <c r="G75" s="28"/>
      <c r="H75" s="178">
        <v>0</v>
      </c>
      <c r="I75" s="125">
        <v>0</v>
      </c>
      <c r="J75" s="125">
        <v>0</v>
      </c>
      <c r="K75" s="125"/>
      <c r="L75" s="178"/>
      <c r="M75" s="178"/>
      <c r="N75" s="273"/>
      <c r="O75" s="273"/>
      <c r="P75" s="210"/>
      <c r="Q75" s="210"/>
      <c r="R75" s="210"/>
      <c r="S75" s="210"/>
      <c r="T75" s="210"/>
      <c r="U75" s="210"/>
      <c r="V75" s="210"/>
      <c r="W75" s="298"/>
      <c r="X75" s="389"/>
      <c r="Y75" s="389"/>
      <c r="Z75" s="389"/>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A76" s="99" t="s">
        <v>3291</v>
      </c>
      <c r="B76" s="99" t="s">
        <v>3292</v>
      </c>
      <c r="C76" s="58" t="s">
        <v>241</v>
      </c>
      <c r="D76" s="58"/>
      <c r="E76" s="58"/>
      <c r="F76" s="28"/>
      <c r="G76" s="28"/>
      <c r="H76" s="178">
        <v>2188000000000</v>
      </c>
      <c r="I76" s="125">
        <v>2150000000000</v>
      </c>
      <c r="J76" s="125">
        <v>3328000000000</v>
      </c>
      <c r="K76" s="125">
        <v>1500000000000</v>
      </c>
      <c r="L76" s="178">
        <v>3800000000000</v>
      </c>
      <c r="M76" s="178">
        <v>2700000000000</v>
      </c>
      <c r="N76" s="273"/>
      <c r="O76" s="273"/>
      <c r="P76" s="210"/>
      <c r="Q76" s="210">
        <v>15300000000000</v>
      </c>
      <c r="R76" s="210">
        <v>23800000000000</v>
      </c>
      <c r="S76" s="210">
        <v>19100000000000</v>
      </c>
      <c r="T76" s="210">
        <v>14700000000000</v>
      </c>
      <c r="U76" s="210">
        <v>13700000000000</v>
      </c>
      <c r="V76" s="210">
        <v>14200000000000</v>
      </c>
      <c r="W76" s="298">
        <v>14300000000000</v>
      </c>
      <c r="X76" s="389">
        <v>14500000000000</v>
      </c>
      <c r="Y76" s="389">
        <v>14600000000000</v>
      </c>
      <c r="Z76" s="389">
        <v>14700000000000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A77" s="648"/>
      <c r="B77" s="648" t="s">
        <v>3293</v>
      </c>
      <c r="C77" s="769"/>
      <c r="D77" s="58"/>
      <c r="E77" s="58"/>
      <c r="F77" s="28"/>
      <c r="G77" s="28"/>
      <c r="H77" s="178"/>
      <c r="I77" s="125"/>
      <c r="J77" s="125"/>
      <c r="K77" s="125"/>
      <c r="L77" s="178"/>
      <c r="M77" s="178"/>
      <c r="N77" s="273"/>
      <c r="O77" s="273"/>
      <c r="P77" s="210"/>
      <c r="Q77" s="210"/>
      <c r="R77" s="210"/>
      <c r="S77" s="210"/>
      <c r="T77" s="210">
        <v>11200000000000</v>
      </c>
      <c r="U77" s="210">
        <v>11600000000000</v>
      </c>
      <c r="V77" s="210">
        <v>12000000000000</v>
      </c>
      <c r="W77" s="298">
        <v>12100000000000</v>
      </c>
      <c r="X77" s="389">
        <v>12200000000000</v>
      </c>
      <c r="Y77" s="389">
        <v>12400000000000</v>
      </c>
      <c r="Z77" s="389">
        <v>12500000000000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A78" s="90" t="s">
        <v>3294</v>
      </c>
      <c r="B78" s="90" t="s">
        <v>3295</v>
      </c>
      <c r="C78" s="58" t="s">
        <v>201</v>
      </c>
      <c r="D78" s="58"/>
      <c r="E78" s="58"/>
      <c r="F78" s="28"/>
      <c r="G78" s="28"/>
      <c r="H78" s="210"/>
      <c r="I78" s="210"/>
      <c r="J78" s="125">
        <v>9000000000</v>
      </c>
      <c r="K78" s="125">
        <v>1900000000000</v>
      </c>
      <c r="L78" s="178"/>
      <c r="M78" s="178"/>
      <c r="N78" s="273"/>
      <c r="O78" s="273"/>
      <c r="P78" s="210"/>
      <c r="Q78" s="210"/>
      <c r="R78" s="210"/>
      <c r="S78" s="210"/>
      <c r="T78" s="210"/>
      <c r="U78" s="210"/>
      <c r="V78" s="210"/>
      <c r="W78" s="298"/>
      <c r="X78" s="389"/>
      <c r="Y78" s="389"/>
      <c r="Z78" s="389"/>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A79" s="90"/>
      <c r="B79" s="90" t="s">
        <v>3296</v>
      </c>
      <c r="C79" s="58"/>
      <c r="D79" s="58"/>
      <c r="E79" s="58"/>
      <c r="F79" s="28"/>
      <c r="G79" s="28"/>
      <c r="H79" s="210"/>
      <c r="I79" s="210"/>
      <c r="J79" s="210"/>
      <c r="K79" s="210"/>
      <c r="L79" s="178"/>
      <c r="M79" s="319">
        <v>0</v>
      </c>
      <c r="N79" s="273"/>
      <c r="O79" s="273"/>
      <c r="P79" s="210"/>
      <c r="Q79" s="210"/>
      <c r="R79" s="210"/>
      <c r="S79" s="210"/>
      <c r="T79" s="210"/>
      <c r="U79" s="210"/>
      <c r="V79" s="210"/>
      <c r="W79" s="298"/>
      <c r="X79" s="389"/>
      <c r="Y79" s="389"/>
      <c r="Z79" s="389"/>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ht="16.5">
      <c r="A80" s="607" t="s">
        <v>3297</v>
      </c>
      <c r="B80" s="58" t="s">
        <v>3298</v>
      </c>
      <c r="C80" s="58"/>
      <c r="D80" s="58"/>
      <c r="E80" s="58"/>
      <c r="F80" s="28"/>
      <c r="G80" s="28"/>
      <c r="H80" s="125">
        <v>-15417000000</v>
      </c>
      <c r="I80" s="125">
        <v>2992000000000</v>
      </c>
      <c r="J80" s="125">
        <v>7994000000000</v>
      </c>
      <c r="K80" s="125">
        <v>8900000000000</v>
      </c>
      <c r="L80" s="178">
        <v>-1200000000000</v>
      </c>
      <c r="M80" s="178">
        <v>-16700000000000</v>
      </c>
      <c r="N80" s="273">
        <v>-6800000000000</v>
      </c>
      <c r="O80" s="273">
        <v>10300000000000</v>
      </c>
      <c r="P80" s="142">
        <v>10400000000000</v>
      </c>
      <c r="Q80" s="142">
        <v>-15800000000000</v>
      </c>
      <c r="R80" s="142">
        <v>-14600000000000</v>
      </c>
      <c r="S80" s="142">
        <v>-25800000000000</v>
      </c>
      <c r="T80" s="142">
        <v>-28600000000000</v>
      </c>
      <c r="U80" s="142">
        <v>-11400000000000</v>
      </c>
      <c r="V80" s="142">
        <v>-11300000000000</v>
      </c>
      <c r="W80" s="142">
        <v>-4100000000000</v>
      </c>
      <c r="X80" s="142">
        <v>-1300000000000</v>
      </c>
      <c r="Y80" s="142">
        <v>1900000000000</v>
      </c>
      <c r="Z80" s="142">
        <v>6000000000000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1:54" ht="16.5">
      <c r="A81" t="s">
        <v>76</v>
      </c>
      <c r="B81" s="58" t="s">
        <v>3299</v>
      </c>
      <c r="C81" s="58"/>
      <c r="D81" s="58"/>
      <c r="E81" s="58"/>
      <c r="F81" s="28"/>
      <c r="G81" s="28"/>
      <c r="H81" s="125">
        <v>-18826000000</v>
      </c>
      <c r="I81" s="125">
        <v>-9858000000000</v>
      </c>
      <c r="J81" s="125">
        <v>-1071000000000</v>
      </c>
      <c r="K81" s="125">
        <v>5000000000000</v>
      </c>
      <c r="L81" s="178">
        <v>-4000000000000</v>
      </c>
      <c r="M81" s="178">
        <v>-19000000000000</v>
      </c>
      <c r="N81" s="273">
        <v>-11400000000000</v>
      </c>
      <c r="O81" s="273">
        <v>8199999999999.999</v>
      </c>
      <c r="P81" s="142">
        <v>10400000000000</v>
      </c>
      <c r="Q81" s="142"/>
      <c r="R81" s="142"/>
      <c r="S81" s="142"/>
      <c r="T81" s="142"/>
      <c r="U81" s="142"/>
      <c r="V81" s="142"/>
      <c r="W81" s="142"/>
      <c r="X81" s="142"/>
      <c r="Y81" s="142"/>
      <c r="Z81" s="142"/>
      <c r="AA81" s="365"/>
      <c r="AB81" s="365"/>
      <c r="AC81" s="365"/>
      <c r="AD81" s="365"/>
      <c r="AE81" s="365"/>
      <c r="AF81" s="2520"/>
      <c r="AG81" s="2520"/>
      <c r="AH81" s="2520"/>
      <c r="AI81" s="2520"/>
      <c r="AJ81" s="2520"/>
      <c r="AK81" s="2520"/>
      <c r="AL81" s="2520"/>
      <c r="AM81" s="2520"/>
      <c r="AN81" s="2520"/>
      <c r="AO81" s="2520"/>
      <c r="AP81" s="2520"/>
      <c r="AQ81" s="2520"/>
      <c r="AR81" s="2520"/>
      <c r="AS81" s="2520"/>
      <c r="AT81" s="2520"/>
      <c r="AU81" s="365"/>
      <c r="AV81" s="365"/>
      <c r="AW81" s="365"/>
      <c r="AX81" s="365"/>
      <c r="AY81" s="365"/>
      <c r="AZ81" s="365"/>
      <c r="BA81" s="365"/>
      <c r="BB81" s="365"/>
    </row>
    <row r="82" spans="1:54" ht="16.5">
      <c r="A82" t="s">
        <v>76</v>
      </c>
      <c r="B82" s="58" t="s">
        <v>1815</v>
      </c>
      <c r="C82" s="58"/>
      <c r="D82" s="58"/>
      <c r="E82" s="58"/>
      <c r="F82" s="28"/>
      <c r="G82" s="28"/>
      <c r="H82" s="210"/>
      <c r="I82" s="210"/>
      <c r="J82" s="210"/>
      <c r="K82" s="125">
        <v>-600000000000</v>
      </c>
      <c r="L82" s="178">
        <v>500000000000</v>
      </c>
      <c r="M82" s="178">
        <v>2500000000000</v>
      </c>
      <c r="N82" s="273">
        <v>-800000000000</v>
      </c>
      <c r="O82" s="273">
        <v>-3300000000000</v>
      </c>
      <c r="P82" s="142">
        <v>-1100000000000</v>
      </c>
      <c r="Q82" s="142">
        <v>-1300000000000</v>
      </c>
      <c r="R82" s="142">
        <v>-4400000000000</v>
      </c>
      <c r="S82" s="142"/>
      <c r="T82" s="142"/>
      <c r="U82" s="142"/>
      <c r="V82" s="142"/>
      <c r="W82" s="142"/>
      <c r="X82" s="142"/>
      <c r="Y82" s="142"/>
      <c r="Z82" s="142"/>
      <c r="AA82" s="365"/>
      <c r="AB82" s="365"/>
      <c r="AC82" s="365"/>
      <c r="AD82" s="365"/>
      <c r="AE82" s="365"/>
      <c r="AF82" s="2520"/>
      <c r="AG82" s="2520"/>
      <c r="AH82" s="2520"/>
      <c r="AI82" s="2520"/>
      <c r="AJ82" s="2520"/>
      <c r="AK82" s="2520"/>
      <c r="AL82" s="2520"/>
      <c r="AM82" s="2520"/>
      <c r="AN82" s="2520"/>
      <c r="AO82" s="2520"/>
      <c r="AP82" s="2520"/>
      <c r="AQ82" s="2520"/>
      <c r="AR82" s="2520"/>
      <c r="AS82" s="2520"/>
      <c r="AT82" s="2520"/>
      <c r="AU82" s="365"/>
      <c r="AV82" s="365"/>
      <c r="AW82" s="365"/>
      <c r="AX82" s="365"/>
      <c r="AY82" s="365"/>
      <c r="AZ82" s="365"/>
      <c r="BA82" s="365"/>
      <c r="BB82" s="365"/>
    </row>
    <row r="83" spans="1:54" s="9" customFormat="1" ht="16.5">
      <c r="A83" s="9" t="s">
        <v>115</v>
      </c>
      <c r="B83" s="55" t="s">
        <v>3300</v>
      </c>
      <c r="C83" s="55" t="s">
        <v>35</v>
      </c>
      <c r="D83" s="55"/>
      <c r="E83" s="55"/>
      <c r="H83" s="295">
        <v>14893000000000</v>
      </c>
      <c r="I83" s="319">
        <f>I84+I96</f>
        <v>-2125000000000</v>
      </c>
      <c r="J83" s="319">
        <f>J84+J96</f>
        <v>-6741000000000</v>
      </c>
      <c r="K83" s="295">
        <v>-8000000000000</v>
      </c>
      <c r="L83" s="178">
        <v>-1700000000000</v>
      </c>
      <c r="M83" s="178">
        <v>14200000000000</v>
      </c>
      <c r="N83" s="324">
        <v>7600000000000</v>
      </c>
      <c r="O83" s="324">
        <v>-7000000000000</v>
      </c>
      <c r="P83" s="304">
        <v>-9300000000000</v>
      </c>
      <c r="Q83" s="304">
        <f>Q84+Q96</f>
        <v>17300000000000</v>
      </c>
      <c r="R83" s="304">
        <f t="shared" ref="R83:Z83" si="1">R84+R96</f>
        <v>13000000000000</v>
      </c>
      <c r="S83" s="304">
        <f t="shared" si="1"/>
        <v>25800000000000</v>
      </c>
      <c r="T83" s="304">
        <f t="shared" si="1"/>
        <v>28700000000000</v>
      </c>
      <c r="U83" s="304">
        <f t="shared" si="1"/>
        <v>11400000000000</v>
      </c>
      <c r="V83" s="304">
        <f>V84+V96+V111</f>
        <v>11300000000000</v>
      </c>
      <c r="W83" s="304">
        <f>W84+W96+W111</f>
        <v>4100000000000</v>
      </c>
      <c r="X83" s="304">
        <f t="shared" si="1"/>
        <v>1300000000000</v>
      </c>
      <c r="Y83" s="304">
        <f t="shared" si="1"/>
        <v>-1900000000000</v>
      </c>
      <c r="Z83" s="304">
        <f t="shared" si="1"/>
        <v>-6000000000000</v>
      </c>
      <c r="AA83" s="2452"/>
      <c r="AB83" s="365"/>
      <c r="AC83" s="365"/>
      <c r="AD83" s="365"/>
      <c r="AE83" s="365"/>
      <c r="AF83" s="2520"/>
      <c r="AG83" s="2520"/>
      <c r="AH83" s="2520"/>
      <c r="AI83" s="2520"/>
      <c r="AJ83" s="2520"/>
      <c r="AK83" s="2520"/>
      <c r="AL83" s="2520"/>
      <c r="AM83" s="2520"/>
      <c r="AN83" s="2520"/>
      <c r="AO83" s="2520"/>
      <c r="AP83" s="2520"/>
      <c r="AQ83" s="2520"/>
      <c r="AR83" s="2520"/>
      <c r="AS83" s="2520"/>
      <c r="AT83" s="2520"/>
      <c r="AU83" s="365"/>
      <c r="AV83" s="365"/>
      <c r="AW83" s="365"/>
      <c r="AX83" s="365"/>
      <c r="AY83" s="365"/>
      <c r="AZ83" s="365"/>
      <c r="BA83" s="365"/>
      <c r="BB83" s="365"/>
    </row>
    <row r="84" spans="1:54" ht="16.5">
      <c r="A84" t="s">
        <v>117</v>
      </c>
      <c r="B84" s="58" t="s">
        <v>3301</v>
      </c>
      <c r="C84" s="58" t="s">
        <v>252</v>
      </c>
      <c r="D84" s="58"/>
      <c r="E84" s="58"/>
      <c r="F84" s="28"/>
      <c r="G84" s="28"/>
      <c r="H84" s="125">
        <v>15426000000000</v>
      </c>
      <c r="I84" s="319">
        <f>I91+I89+I94+I90</f>
        <v>2723000000000</v>
      </c>
      <c r="J84" s="125">
        <v>-3923000000000</v>
      </c>
      <c r="K84" s="125">
        <v>-2500000000000</v>
      </c>
      <c r="L84" s="178">
        <v>-500000000000</v>
      </c>
      <c r="M84" s="178">
        <v>400000000000</v>
      </c>
      <c r="N84" s="273">
        <v>4600000000000</v>
      </c>
      <c r="O84" s="273">
        <v>-11200000000000</v>
      </c>
      <c r="P84" s="142">
        <v>-3600000000000</v>
      </c>
      <c r="Q84" s="142">
        <v>12700000000000</v>
      </c>
      <c r="R84" s="142">
        <v>6500000000000</v>
      </c>
      <c r="S84" s="142">
        <v>4200000000000</v>
      </c>
      <c r="T84" s="142">
        <v>2100000000000</v>
      </c>
      <c r="U84" s="142">
        <v>7200000000000</v>
      </c>
      <c r="V84" s="142">
        <v>4900000000000</v>
      </c>
      <c r="W84" s="142">
        <v>500000000000</v>
      </c>
      <c r="X84" s="142">
        <v>-3200000000000</v>
      </c>
      <c r="Y84" s="142">
        <v>-5200000000000</v>
      </c>
      <c r="Z84" s="142">
        <v>-8000000000000</v>
      </c>
      <c r="AA84" s="365"/>
      <c r="AB84" s="365"/>
      <c r="AC84" s="365"/>
      <c r="AD84" s="365"/>
      <c r="AE84" s="365"/>
      <c r="AF84" s="2520"/>
      <c r="AG84" s="2520"/>
      <c r="AH84" s="2520"/>
      <c r="AI84" s="2520"/>
      <c r="AJ84" s="2520"/>
      <c r="AK84" s="2520"/>
      <c r="AL84" s="2520"/>
      <c r="AM84" s="2520"/>
      <c r="AN84" s="2520"/>
      <c r="AO84" s="2520"/>
      <c r="AP84" s="2520"/>
      <c r="AQ84" s="2520"/>
      <c r="AR84" s="2520"/>
      <c r="AS84" s="2520"/>
      <c r="AT84" s="2520"/>
      <c r="AU84" s="365"/>
      <c r="AV84" s="365"/>
      <c r="AW84" s="365"/>
      <c r="AX84" s="365"/>
      <c r="AY84" s="365"/>
      <c r="AZ84" s="365"/>
      <c r="BA84" s="365"/>
      <c r="BB84" s="365"/>
    </row>
    <row r="85" spans="1:54" ht="16.5">
      <c r="A85" s="695" t="s">
        <v>3302</v>
      </c>
      <c r="B85" s="695" t="s">
        <v>3302</v>
      </c>
      <c r="C85" s="770" t="s">
        <v>264</v>
      </c>
      <c r="D85" s="58"/>
      <c r="E85" s="58"/>
      <c r="F85" s="28"/>
      <c r="G85" s="28"/>
      <c r="H85" s="125"/>
      <c r="I85" s="319"/>
      <c r="J85" s="125"/>
      <c r="K85" s="125"/>
      <c r="L85" s="178"/>
      <c r="M85" s="178"/>
      <c r="N85" s="273"/>
      <c r="O85" s="273"/>
      <c r="P85" s="142"/>
      <c r="Q85" s="142"/>
      <c r="R85" s="142"/>
      <c r="S85" s="142">
        <v>2800000000000</v>
      </c>
      <c r="T85" s="142">
        <v>3500000000000</v>
      </c>
      <c r="U85" s="142">
        <v>6300000000000</v>
      </c>
      <c r="V85" s="142">
        <v>2200000000000</v>
      </c>
      <c r="W85" s="142">
        <v>900000000000</v>
      </c>
      <c r="X85" s="142"/>
      <c r="Y85" s="142"/>
      <c r="Z85" s="142"/>
      <c r="AA85" s="365"/>
      <c r="AB85" s="365"/>
      <c r="AC85" s="365"/>
      <c r="AD85" s="365"/>
      <c r="AE85" s="365"/>
      <c r="AF85" s="2520"/>
      <c r="AG85" s="2520"/>
      <c r="AH85" s="2520"/>
      <c r="AI85" s="2520"/>
      <c r="AJ85" s="2520"/>
      <c r="AK85" s="2520"/>
      <c r="AL85" s="2520"/>
      <c r="AM85" s="2520"/>
      <c r="AN85" s="2520"/>
      <c r="AO85" s="2520"/>
      <c r="AP85" s="2520"/>
      <c r="AQ85" s="2520"/>
      <c r="AR85" s="2520"/>
      <c r="AS85" s="2520"/>
      <c r="AT85" s="2520"/>
      <c r="AU85" s="365"/>
      <c r="AV85" s="365"/>
      <c r="AW85" s="365"/>
      <c r="AX85" s="365"/>
      <c r="AY85" s="365"/>
      <c r="AZ85" s="365"/>
      <c r="BA85" s="365"/>
      <c r="BB85" s="365"/>
    </row>
    <row r="86" spans="1:54" ht="16.5">
      <c r="A86" s="695" t="s">
        <v>3303</v>
      </c>
      <c r="B86" s="695" t="s">
        <v>3303</v>
      </c>
      <c r="C86" s="770" t="s">
        <v>3304</v>
      </c>
      <c r="D86" s="58"/>
      <c r="E86" s="58"/>
      <c r="F86" s="28"/>
      <c r="G86" s="28"/>
      <c r="H86" s="125"/>
      <c r="I86" s="319"/>
      <c r="J86" s="125"/>
      <c r="K86" s="125"/>
      <c r="L86" s="178"/>
      <c r="M86" s="178"/>
      <c r="N86" s="273"/>
      <c r="O86" s="273"/>
      <c r="P86" s="142"/>
      <c r="Q86" s="142"/>
      <c r="R86" s="142"/>
      <c r="S86" s="142">
        <v>2800000000000</v>
      </c>
      <c r="T86" s="142">
        <v>3200000000000</v>
      </c>
      <c r="U86" s="142">
        <v>3100000000000</v>
      </c>
      <c r="V86" s="142">
        <v>1900000000000</v>
      </c>
      <c r="W86" s="142">
        <v>900000000000</v>
      </c>
      <c r="X86" s="142"/>
      <c r="Y86" s="142"/>
      <c r="Z86" s="142"/>
      <c r="AA86" s="365"/>
      <c r="AB86" s="365"/>
      <c r="AC86" s="365"/>
      <c r="AD86" s="365"/>
      <c r="AE86" s="365"/>
      <c r="AF86" s="2520"/>
      <c r="AG86" s="2520"/>
      <c r="AH86" s="2520"/>
      <c r="AI86" s="2520"/>
      <c r="AJ86" s="2520"/>
      <c r="AK86" s="2520"/>
      <c r="AL86" s="2520"/>
      <c r="AM86" s="2520"/>
      <c r="AN86" s="2520"/>
      <c r="AO86" s="2520"/>
      <c r="AP86" s="2520"/>
      <c r="AQ86" s="2520"/>
      <c r="AR86" s="2520"/>
      <c r="AS86" s="2520"/>
      <c r="AT86" s="2520"/>
      <c r="AU86" s="365"/>
      <c r="AV86" s="365"/>
      <c r="AW86" s="365"/>
      <c r="AX86" s="365"/>
      <c r="AY86" s="365"/>
      <c r="AZ86" s="365"/>
      <c r="BA86" s="365"/>
      <c r="BB86" s="365"/>
    </row>
    <row r="87" spans="1:54" ht="16.5">
      <c r="A87" s="695" t="s">
        <v>3305</v>
      </c>
      <c r="B87" s="695" t="s">
        <v>3305</v>
      </c>
      <c r="C87" s="770" t="s">
        <v>3304</v>
      </c>
      <c r="D87" s="58"/>
      <c r="E87" s="58"/>
      <c r="F87" s="28"/>
      <c r="G87" s="28"/>
      <c r="H87" s="125"/>
      <c r="I87" s="319"/>
      <c r="J87" s="125"/>
      <c r="K87" s="125"/>
      <c r="L87" s="178"/>
      <c r="M87" s="178"/>
      <c r="N87" s="273"/>
      <c r="O87" s="273"/>
      <c r="P87" s="142"/>
      <c r="Q87" s="142"/>
      <c r="R87" s="142"/>
      <c r="S87" s="142"/>
      <c r="T87" s="142">
        <v>300000000000</v>
      </c>
      <c r="U87" s="142">
        <v>800000000000</v>
      </c>
      <c r="V87" s="142">
        <v>300000000000</v>
      </c>
      <c r="W87" s="142"/>
      <c r="X87" s="142"/>
      <c r="Y87" s="142"/>
      <c r="Z87" s="142"/>
      <c r="AA87" s="365"/>
      <c r="AB87" s="365"/>
      <c r="AC87" s="365"/>
      <c r="AD87" s="365"/>
      <c r="AE87" s="365"/>
      <c r="AF87" s="2520"/>
      <c r="AG87" s="2520"/>
      <c r="AH87" s="2520"/>
      <c r="AI87" s="2520"/>
      <c r="AJ87" s="2520"/>
      <c r="AK87" s="2520"/>
      <c r="AL87" s="2520"/>
      <c r="AM87" s="2520"/>
      <c r="AN87" s="2520"/>
      <c r="AO87" s="2520"/>
      <c r="AP87" s="2520"/>
      <c r="AQ87" s="2520"/>
      <c r="AR87" s="2520"/>
      <c r="AS87" s="2520"/>
      <c r="AT87" s="2520"/>
      <c r="AU87" s="365"/>
      <c r="AV87" s="365"/>
      <c r="AW87" s="365"/>
      <c r="AX87" s="365"/>
      <c r="AY87" s="365"/>
      <c r="AZ87" s="365"/>
      <c r="BA87" s="365"/>
      <c r="BB87" s="365"/>
    </row>
    <row r="88" spans="1:54" ht="16.5">
      <c r="A88" s="695" t="s">
        <v>3306</v>
      </c>
      <c r="B88" s="695" t="s">
        <v>3306</v>
      </c>
      <c r="C88" s="770" t="s">
        <v>3304</v>
      </c>
      <c r="D88" s="58"/>
      <c r="E88" s="58"/>
      <c r="F88" s="28"/>
      <c r="G88" s="28"/>
      <c r="H88" s="125"/>
      <c r="I88" s="319"/>
      <c r="J88" s="125"/>
      <c r="K88" s="125"/>
      <c r="L88" s="178"/>
      <c r="M88" s="178"/>
      <c r="N88" s="273"/>
      <c r="O88" s="273"/>
      <c r="P88" s="142"/>
      <c r="Q88" s="142"/>
      <c r="R88" s="142"/>
      <c r="S88" s="142"/>
      <c r="T88" s="142"/>
      <c r="U88" s="142">
        <v>2400000000000</v>
      </c>
      <c r="V88" s="142"/>
      <c r="W88" s="142"/>
      <c r="X88" s="142"/>
      <c r="Y88" s="142"/>
      <c r="Z88" s="142"/>
      <c r="AA88" s="365"/>
      <c r="AB88" s="365"/>
      <c r="AC88" s="365"/>
      <c r="AD88" s="365"/>
      <c r="AE88" s="365"/>
      <c r="AF88" s="2520"/>
      <c r="AG88" s="2520"/>
      <c r="AH88" s="2520"/>
      <c r="AI88" s="2520"/>
      <c r="AJ88" s="2520"/>
      <c r="AK88" s="2520"/>
      <c r="AL88" s="2520"/>
      <c r="AM88" s="2520"/>
      <c r="AN88" s="2520"/>
      <c r="AO88" s="2520"/>
      <c r="AP88" s="2520"/>
      <c r="AQ88" s="2520"/>
      <c r="AR88" s="2520"/>
      <c r="AS88" s="2520"/>
      <c r="AT88" s="2520"/>
      <c r="AU88" s="365"/>
      <c r="AV88" s="365"/>
      <c r="AW88" s="365"/>
      <c r="AX88" s="365"/>
      <c r="AY88" s="365"/>
      <c r="AZ88" s="365"/>
      <c r="BA88" s="365"/>
      <c r="BB88" s="365"/>
    </row>
    <row r="89" spans="1:54" ht="16.5">
      <c r="A89" s="695" t="s">
        <v>3307</v>
      </c>
      <c r="B89" s="64" t="s">
        <v>3308</v>
      </c>
      <c r="C89" s="90" t="s">
        <v>264</v>
      </c>
      <c r="D89" s="58"/>
      <c r="E89" s="58"/>
      <c r="F89" s="28"/>
      <c r="G89" s="28"/>
      <c r="H89" s="125">
        <v>0</v>
      </c>
      <c r="I89" s="125">
        <v>0</v>
      </c>
      <c r="J89" s="125">
        <v>0</v>
      </c>
      <c r="K89" s="125">
        <v>0</v>
      </c>
      <c r="L89" s="178">
        <v>100000000000</v>
      </c>
      <c r="M89" s="178">
        <v>1100000000000</v>
      </c>
      <c r="N89" s="273">
        <v>200000000000</v>
      </c>
      <c r="O89" s="273">
        <v>300000000000</v>
      </c>
      <c r="P89" s="142">
        <v>0</v>
      </c>
      <c r="Q89" s="142"/>
      <c r="R89" s="142"/>
      <c r="S89" s="142">
        <v>300000000000</v>
      </c>
      <c r="T89" s="142">
        <v>2300000000000</v>
      </c>
      <c r="U89" s="142">
        <v>4500000000000</v>
      </c>
      <c r="V89" s="142">
        <v>4800000000000</v>
      </c>
      <c r="W89" s="142">
        <v>2700000000000</v>
      </c>
      <c r="X89" s="142">
        <v>1200000000000</v>
      </c>
      <c r="Y89" s="142">
        <v>1100000000000</v>
      </c>
      <c r="Z89" s="142">
        <v>1000000000000</v>
      </c>
      <c r="AA89" s="365"/>
      <c r="AB89" s="365"/>
      <c r="AC89" s="365"/>
      <c r="AD89" s="365"/>
      <c r="AE89" s="365"/>
      <c r="AF89" s="2520"/>
      <c r="AG89" s="2520"/>
      <c r="AH89" s="2520"/>
      <c r="AI89" s="2520"/>
      <c r="AJ89" s="2520"/>
      <c r="AK89" s="2520"/>
      <c r="AL89" s="2520"/>
      <c r="AM89" s="2520"/>
      <c r="AN89" s="2520"/>
      <c r="AO89" s="2520"/>
      <c r="AP89" s="2520"/>
      <c r="AQ89" s="2520"/>
      <c r="AR89" s="2520"/>
      <c r="AS89" s="2520"/>
      <c r="AT89" s="2520"/>
      <c r="AU89" s="365"/>
      <c r="AV89" s="365"/>
      <c r="AW89" s="365"/>
      <c r="AX89" s="365"/>
      <c r="AY89" s="365"/>
      <c r="AZ89" s="365"/>
      <c r="BA89" s="365"/>
      <c r="BB89" s="365"/>
    </row>
    <row r="90" spans="1:54">
      <c r="A90" s="64" t="s">
        <v>258</v>
      </c>
      <c r="B90" s="64" t="s">
        <v>258</v>
      </c>
      <c r="C90" s="90" t="s">
        <v>264</v>
      </c>
      <c r="D90" s="58"/>
      <c r="E90" s="58"/>
      <c r="F90" s="28"/>
      <c r="G90" s="28"/>
      <c r="H90" s="125">
        <v>-670000000000</v>
      </c>
      <c r="I90" s="125">
        <v>-227000000000</v>
      </c>
      <c r="J90" s="125">
        <v>-2235000000000</v>
      </c>
      <c r="K90" s="125">
        <v>-100000000000</v>
      </c>
      <c r="L90" s="178">
        <v>-800000000000</v>
      </c>
      <c r="M90" s="178">
        <v>-1100000000000</v>
      </c>
      <c r="N90" s="273">
        <v>-700000000000</v>
      </c>
      <c r="O90" s="273">
        <v>-1500000000000</v>
      </c>
      <c r="P90" s="210">
        <v>-1800000000000</v>
      </c>
      <c r="Q90" s="210">
        <v>-1100000000000</v>
      </c>
      <c r="R90" s="210">
        <v>-1800000000000</v>
      </c>
      <c r="S90" s="210">
        <v>-1600000000000</v>
      </c>
      <c r="T90" s="210">
        <v>-1100000000000</v>
      </c>
      <c r="U90" s="210">
        <v>-1200000000000</v>
      </c>
      <c r="V90" s="210">
        <v>-1900000000000</v>
      </c>
      <c r="W90" s="298">
        <v>-2900000000000</v>
      </c>
      <c r="X90" s="389">
        <v>-4500000000000</v>
      </c>
      <c r="Y90" s="389">
        <v>-6300000000000</v>
      </c>
      <c r="Z90" s="389">
        <v>-9000000000000</v>
      </c>
      <c r="AA90" s="365"/>
      <c r="AB90" s="365"/>
      <c r="AC90" s="365"/>
      <c r="AD90" s="365"/>
      <c r="AE90" s="365"/>
      <c r="AF90" s="2520"/>
      <c r="AG90" s="2520"/>
      <c r="AH90" s="2520"/>
      <c r="AI90" s="2520"/>
      <c r="AJ90" s="2520"/>
      <c r="AK90" s="2520"/>
      <c r="AL90" s="2520"/>
      <c r="AM90" s="2520"/>
      <c r="AN90" s="2520"/>
      <c r="AO90" s="2520"/>
      <c r="AP90" s="2520"/>
      <c r="AQ90" s="2520"/>
      <c r="AR90" s="2520"/>
      <c r="AS90" s="2520"/>
      <c r="AT90" s="2520"/>
      <c r="AU90" s="365"/>
      <c r="AV90" s="365"/>
      <c r="AW90" s="365"/>
      <c r="AX90" s="365"/>
      <c r="AY90" s="365"/>
      <c r="AZ90" s="365"/>
      <c r="BA90" s="365"/>
      <c r="BB90" s="365"/>
    </row>
    <row r="91" spans="1:54" ht="16.5">
      <c r="A91" s="64" t="s">
        <v>3309</v>
      </c>
      <c r="B91" s="64" t="s">
        <v>3310</v>
      </c>
      <c r="C91" s="90" t="s">
        <v>264</v>
      </c>
      <c r="D91" s="58"/>
      <c r="E91" s="58"/>
      <c r="F91" s="28"/>
      <c r="G91" s="28"/>
      <c r="H91" s="125">
        <v>10127000000000</v>
      </c>
      <c r="I91" s="125">
        <v>1462000000000</v>
      </c>
      <c r="J91" s="125">
        <v>-2147000000000</v>
      </c>
      <c r="K91" s="125">
        <v>-2400000000000</v>
      </c>
      <c r="L91" s="178">
        <v>300000000000</v>
      </c>
      <c r="M91" s="178">
        <v>400000000000</v>
      </c>
      <c r="N91" s="273">
        <v>2800000000000</v>
      </c>
      <c r="O91" s="273">
        <v>-10600000000000</v>
      </c>
      <c r="P91" s="142">
        <v>-1800000000000</v>
      </c>
      <c r="Q91" s="142">
        <v>13800000000000</v>
      </c>
      <c r="R91" s="142">
        <v>-100000000000</v>
      </c>
      <c r="S91" s="142"/>
      <c r="T91" s="142"/>
      <c r="U91" s="142"/>
      <c r="V91" s="142"/>
      <c r="W91" s="142"/>
      <c r="X91" s="142"/>
      <c r="Y91" s="142"/>
      <c r="Z91" s="142"/>
      <c r="AA91" s="365"/>
      <c r="AB91" s="365"/>
      <c r="AC91" s="365"/>
      <c r="AD91" s="365"/>
      <c r="AE91" s="365"/>
      <c r="AF91" s="2520"/>
      <c r="AG91" s="2520"/>
      <c r="AH91" s="2520"/>
      <c r="AI91" s="2520"/>
      <c r="AJ91" s="2520"/>
      <c r="AK91" s="2520"/>
      <c r="AL91" s="2520"/>
      <c r="AM91" s="2520"/>
      <c r="AN91" s="2520"/>
      <c r="AO91" s="2520"/>
      <c r="AP91" s="2520"/>
      <c r="AQ91" s="2520"/>
      <c r="AR91" s="2520"/>
      <c r="AS91" s="2520"/>
      <c r="AT91" s="2520"/>
      <c r="AU91" s="365"/>
      <c r="AV91" s="365"/>
      <c r="AW91" s="365"/>
      <c r="AX91" s="365"/>
      <c r="AY91" s="365"/>
      <c r="AZ91" s="365"/>
      <c r="BA91" s="365"/>
      <c r="BB91" s="365"/>
    </row>
    <row r="92" spans="1:54" ht="16.5">
      <c r="A92" s="695" t="s">
        <v>3311</v>
      </c>
      <c r="B92" s="695" t="s">
        <v>3311</v>
      </c>
      <c r="C92" s="771" t="s">
        <v>264</v>
      </c>
      <c r="D92" s="58"/>
      <c r="E92" s="58"/>
      <c r="F92" s="28"/>
      <c r="G92" s="28"/>
      <c r="H92" s="125"/>
      <c r="I92" s="125"/>
      <c r="J92" s="125"/>
      <c r="K92" s="125"/>
      <c r="L92" s="178"/>
      <c r="M92" s="178"/>
      <c r="N92" s="273"/>
      <c r="O92" s="273"/>
      <c r="P92" s="142"/>
      <c r="Q92" s="142"/>
      <c r="R92" s="142"/>
      <c r="S92" s="142">
        <v>2200000000000</v>
      </c>
      <c r="T92" s="142"/>
      <c r="U92" s="142"/>
      <c r="V92" s="142"/>
      <c r="W92" s="142"/>
      <c r="X92" s="142"/>
      <c r="Y92" s="142"/>
      <c r="Z92" s="142"/>
      <c r="AA92" s="365"/>
      <c r="AB92" s="365"/>
      <c r="AC92" s="365"/>
      <c r="AD92" s="365"/>
      <c r="AE92" s="365"/>
      <c r="AF92" s="2520"/>
      <c r="AG92" s="2520"/>
      <c r="AH92" s="2520"/>
      <c r="AI92" s="2520"/>
      <c r="AJ92" s="2520"/>
      <c r="AK92" s="2520"/>
      <c r="AL92" s="2520"/>
      <c r="AM92" s="2520"/>
      <c r="AN92" s="2520"/>
      <c r="AO92" s="2520"/>
      <c r="AP92" s="2520"/>
      <c r="AQ92" s="2520"/>
      <c r="AR92" s="2520"/>
      <c r="AS92" s="2520"/>
      <c r="AT92" s="2520"/>
      <c r="AU92" s="365"/>
      <c r="AV92" s="365"/>
      <c r="AW92" s="365"/>
      <c r="AX92" s="365"/>
      <c r="AY92" s="365"/>
      <c r="AZ92" s="365"/>
      <c r="BA92" s="365"/>
      <c r="BB92" s="365"/>
    </row>
    <row r="93" spans="1:54" ht="16.5">
      <c r="A93" s="695" t="s">
        <v>3312</v>
      </c>
      <c r="B93" s="695" t="s">
        <v>3312</v>
      </c>
      <c r="C93" s="771" t="s">
        <v>264</v>
      </c>
      <c r="D93" s="58"/>
      <c r="E93" s="58"/>
      <c r="F93" s="28"/>
      <c r="G93" s="28"/>
      <c r="H93" s="125"/>
      <c r="I93" s="125"/>
      <c r="J93" s="125"/>
      <c r="K93" s="125"/>
      <c r="L93" s="178"/>
      <c r="M93" s="178"/>
      <c r="N93" s="273"/>
      <c r="O93" s="273"/>
      <c r="P93" s="142"/>
      <c r="Q93" s="142"/>
      <c r="R93" s="142">
        <v>7900000000000</v>
      </c>
      <c r="S93" s="142">
        <v>-4800000000000</v>
      </c>
      <c r="T93" s="142">
        <v>-300000000000</v>
      </c>
      <c r="U93" s="142">
        <v>200000000000</v>
      </c>
      <c r="V93" s="142">
        <v>100000000000</v>
      </c>
      <c r="W93" s="142"/>
      <c r="X93" s="142"/>
      <c r="Y93" s="142"/>
      <c r="Z93" s="142"/>
      <c r="AA93" s="365"/>
      <c r="AB93" s="365"/>
      <c r="AC93" s="365"/>
      <c r="AD93" s="365"/>
      <c r="AE93" s="365"/>
      <c r="AF93" s="2520"/>
      <c r="AG93" s="2520"/>
      <c r="AH93" s="2520"/>
      <c r="AI93" s="2520"/>
      <c r="AJ93" s="2520"/>
      <c r="AK93" s="2520"/>
      <c r="AL93" s="2520"/>
      <c r="AM93" s="2520"/>
      <c r="AN93" s="2520"/>
      <c r="AO93" s="2520"/>
      <c r="AP93" s="2520"/>
      <c r="AQ93" s="2520"/>
      <c r="AR93" s="2520"/>
      <c r="AS93" s="2520"/>
      <c r="AT93" s="2520"/>
      <c r="AU93" s="365"/>
      <c r="AV93" s="365"/>
      <c r="AW93" s="365"/>
      <c r="AX93" s="365"/>
      <c r="AY93" s="365"/>
      <c r="AZ93" s="365"/>
      <c r="BA93" s="365"/>
      <c r="BB93" s="365"/>
    </row>
    <row r="94" spans="1:54">
      <c r="A94" s="64" t="s">
        <v>3313</v>
      </c>
      <c r="B94" s="64" t="s">
        <v>3314</v>
      </c>
      <c r="C94" s="90" t="s">
        <v>264</v>
      </c>
      <c r="D94" s="58"/>
      <c r="E94" s="58"/>
      <c r="F94" s="28"/>
      <c r="G94" s="28"/>
      <c r="H94" s="125">
        <v>5969000000000</v>
      </c>
      <c r="I94" s="125">
        <v>1488000000000</v>
      </c>
      <c r="J94" s="125">
        <v>458000000000</v>
      </c>
      <c r="K94" s="125">
        <v>0</v>
      </c>
      <c r="L94" s="178">
        <v>0</v>
      </c>
      <c r="M94" s="178">
        <v>0</v>
      </c>
      <c r="N94" s="273">
        <v>2300000000000</v>
      </c>
      <c r="O94" s="273">
        <v>500000000000</v>
      </c>
      <c r="P94" s="210">
        <v>0</v>
      </c>
      <c r="Q94" s="210"/>
      <c r="R94" s="210"/>
      <c r="S94" s="210"/>
      <c r="T94" s="210"/>
      <c r="U94" s="210"/>
      <c r="V94" s="210"/>
      <c r="W94" s="298"/>
      <c r="X94" s="389"/>
      <c r="Y94" s="389"/>
      <c r="Z94" s="389"/>
      <c r="AA94" s="365"/>
      <c r="AB94" s="365"/>
      <c r="AC94" s="365"/>
      <c r="AD94" s="365"/>
      <c r="AE94" s="365"/>
      <c r="AF94" s="2520"/>
      <c r="AG94" s="2520"/>
      <c r="AH94" s="2520"/>
      <c r="AI94" s="2520"/>
      <c r="AJ94" s="2520"/>
      <c r="AK94" s="2520"/>
      <c r="AL94" s="2520"/>
      <c r="AM94" s="2520"/>
      <c r="AN94" s="2520"/>
      <c r="AO94" s="2520"/>
      <c r="AP94" s="2520"/>
      <c r="AQ94" s="2520"/>
      <c r="AR94" s="2520"/>
      <c r="AS94" s="2520"/>
      <c r="AT94" s="2520"/>
      <c r="AU94" s="365"/>
      <c r="AV94" s="365"/>
      <c r="AW94" s="365"/>
      <c r="AX94" s="365"/>
      <c r="AY94" s="365"/>
      <c r="AZ94" s="365"/>
      <c r="BA94" s="365"/>
      <c r="BB94" s="365"/>
    </row>
    <row r="95" spans="1:54" ht="16.5">
      <c r="A95" s="152" t="s">
        <v>3315</v>
      </c>
      <c r="B95" s="152" t="s">
        <v>3315</v>
      </c>
      <c r="C95" s="90" t="s">
        <v>264</v>
      </c>
      <c r="D95" s="58"/>
      <c r="E95" s="58"/>
      <c r="F95" s="28"/>
      <c r="G95" s="28"/>
      <c r="H95" s="125"/>
      <c r="I95" s="125"/>
      <c r="J95" s="125"/>
      <c r="K95" s="125"/>
      <c r="L95" s="178"/>
      <c r="M95" s="178"/>
      <c r="N95" s="273"/>
      <c r="O95" s="273"/>
      <c r="P95" s="210">
        <v>0</v>
      </c>
      <c r="Q95" s="210"/>
      <c r="R95" s="210">
        <v>600000000000</v>
      </c>
      <c r="S95" s="210">
        <v>5300000000000</v>
      </c>
      <c r="T95" s="210">
        <v>-2300000000000</v>
      </c>
      <c r="U95" s="210">
        <v>-2600000000000</v>
      </c>
      <c r="V95" s="210">
        <v>-200000000000</v>
      </c>
      <c r="W95" s="298">
        <v>-200000000000</v>
      </c>
      <c r="X95" s="389"/>
      <c r="Y95" s="389"/>
      <c r="Z95" s="389"/>
      <c r="AA95" s="365"/>
      <c r="AB95" s="365"/>
      <c r="AC95" s="365"/>
      <c r="AD95" s="365"/>
      <c r="AE95" s="365"/>
      <c r="AF95" s="2520"/>
      <c r="AG95" s="2520"/>
      <c r="AH95" s="2520"/>
      <c r="AI95" s="2520"/>
      <c r="AJ95" s="2520"/>
      <c r="AK95" s="2520"/>
      <c r="AL95" s="2520"/>
      <c r="AM95" s="2520"/>
      <c r="AN95" s="2520"/>
      <c r="AO95" s="2520"/>
      <c r="AP95" s="2520"/>
      <c r="AQ95" s="2520"/>
      <c r="AR95" s="2520"/>
      <c r="AS95" s="2520"/>
      <c r="AT95" s="2520"/>
      <c r="AU95" s="365"/>
      <c r="AV95" s="365"/>
      <c r="AW95" s="365"/>
      <c r="AX95" s="365"/>
      <c r="AY95" s="365"/>
      <c r="AZ95" s="365"/>
      <c r="BA95" s="365"/>
      <c r="BB95" s="365"/>
    </row>
    <row r="96" spans="1:54" ht="16.5">
      <c r="A96" s="58" t="s">
        <v>3122</v>
      </c>
      <c r="B96" s="58" t="s">
        <v>3316</v>
      </c>
      <c r="C96" s="58" t="s">
        <v>252</v>
      </c>
      <c r="D96" s="58"/>
      <c r="E96" s="58"/>
      <c r="F96" s="28"/>
      <c r="G96" s="28"/>
      <c r="H96" s="125">
        <v>-533000000000</v>
      </c>
      <c r="I96" s="125">
        <v>-4848000000000</v>
      </c>
      <c r="J96" s="125">
        <v>-2818000000000</v>
      </c>
      <c r="K96" s="125">
        <v>-5500000000000</v>
      </c>
      <c r="L96" s="178">
        <v>-1200000000000</v>
      </c>
      <c r="M96" s="178">
        <v>13800000000000</v>
      </c>
      <c r="N96" s="273">
        <v>3000000000000</v>
      </c>
      <c r="O96" s="273">
        <v>4200000000000</v>
      </c>
      <c r="P96" s="142">
        <v>-5800000000000</v>
      </c>
      <c r="Q96" s="142">
        <f t="shared" ref="Q96:R96" si="2">Q97+Q105+Q106+Q104</f>
        <v>4600000000000</v>
      </c>
      <c r="R96" s="142">
        <f t="shared" si="2"/>
        <v>6500000000000</v>
      </c>
      <c r="S96" s="142">
        <f>S97+S105+S106+S104</f>
        <v>21600000000000</v>
      </c>
      <c r="T96" s="142">
        <f>T97+T105+T106+T104</f>
        <v>26600000000000</v>
      </c>
      <c r="U96" s="142">
        <f>U97+U105+U106+U104</f>
        <v>4200000000000</v>
      </c>
      <c r="V96" s="142">
        <f t="shared" ref="V96:Z96" si="3">V97+V105+V106+V104</f>
        <v>500000000000</v>
      </c>
      <c r="W96" s="142">
        <f t="shared" si="3"/>
        <v>1100000000000</v>
      </c>
      <c r="X96" s="142">
        <f t="shared" si="3"/>
        <v>4500000000000</v>
      </c>
      <c r="Y96" s="142">
        <f t="shared" si="3"/>
        <v>3300000000000</v>
      </c>
      <c r="Z96" s="142">
        <f t="shared" si="3"/>
        <v>2000000000000</v>
      </c>
      <c r="AA96" s="365"/>
      <c r="AB96" s="365"/>
      <c r="AC96" s="365"/>
      <c r="AD96" s="365"/>
      <c r="AE96" s="365"/>
      <c r="AF96" s="2520"/>
      <c r="AG96" s="2520"/>
      <c r="AH96" s="2520"/>
      <c r="AI96" s="2520"/>
      <c r="AJ96" s="2520"/>
      <c r="AK96" s="2520"/>
      <c r="AL96" s="2520"/>
      <c r="AM96" s="2520"/>
      <c r="AN96" s="2520"/>
      <c r="AO96" s="2520"/>
      <c r="AP96" s="2520"/>
      <c r="AQ96" s="2520"/>
      <c r="AR96" s="2520"/>
      <c r="AS96" s="2520"/>
      <c r="AT96" s="2520"/>
      <c r="AU96" s="365"/>
      <c r="AV96" s="365"/>
      <c r="AW96" s="365"/>
      <c r="AX96" s="365"/>
      <c r="AY96" s="365"/>
      <c r="AZ96" s="365"/>
      <c r="BA96" s="365"/>
      <c r="BB96" s="365"/>
    </row>
    <row r="97" spans="1:54" s="607" customFormat="1">
      <c r="A97" s="648" t="s">
        <v>1265</v>
      </c>
      <c r="B97" s="648" t="s">
        <v>425</v>
      </c>
      <c r="C97" s="771" t="s">
        <v>124</v>
      </c>
      <c r="D97" s="633"/>
      <c r="E97" s="633"/>
      <c r="F97" s="685"/>
      <c r="G97" s="685"/>
      <c r="H97" s="641">
        <v>-333000000000</v>
      </c>
      <c r="I97" s="641">
        <v>-5156000000000</v>
      </c>
      <c r="J97" s="641">
        <v>-1869000000000</v>
      </c>
      <c r="K97" s="641">
        <v>-5300000000000</v>
      </c>
      <c r="L97" s="698">
        <v>-1200000000000</v>
      </c>
      <c r="M97" s="698">
        <v>9100000000000</v>
      </c>
      <c r="N97" s="654"/>
      <c r="O97" s="654"/>
      <c r="P97" s="2516"/>
      <c r="Q97" s="2516">
        <v>4600000000000</v>
      </c>
      <c r="R97" s="2516">
        <v>4700000000000</v>
      </c>
      <c r="S97" s="2516">
        <v>18000000000000</v>
      </c>
      <c r="T97" s="2516">
        <v>21300000000000</v>
      </c>
      <c r="U97" s="2516">
        <v>5800000000000</v>
      </c>
      <c r="V97" s="2516">
        <v>500000000000</v>
      </c>
      <c r="W97" s="2632">
        <v>1100000000000</v>
      </c>
      <c r="X97" s="2628">
        <v>4500000000000</v>
      </c>
      <c r="Y97" s="2628">
        <v>3300000000000</v>
      </c>
      <c r="Z97" s="2628">
        <v>2000000000000</v>
      </c>
      <c r="AA97" s="2520"/>
      <c r="AB97" s="2520"/>
      <c r="AC97" s="2520"/>
      <c r="AD97" s="2520"/>
      <c r="AE97" s="2520"/>
      <c r="AF97" s="2520"/>
      <c r="AG97" s="2520"/>
      <c r="AH97" s="2520"/>
      <c r="AI97" s="2520"/>
      <c r="AJ97" s="2520"/>
      <c r="AK97" s="2520"/>
      <c r="AL97" s="2520"/>
      <c r="AM97" s="2520"/>
      <c r="AN97" s="2520"/>
      <c r="AO97" s="2520"/>
      <c r="AP97" s="2520"/>
      <c r="AQ97" s="2520"/>
      <c r="AR97" s="2520"/>
      <c r="AS97" s="2520"/>
      <c r="AT97" s="2520"/>
      <c r="AU97" s="699"/>
      <c r="AV97" s="699"/>
      <c r="AW97" s="699"/>
      <c r="AX97" s="699"/>
      <c r="AY97" s="699"/>
      <c r="AZ97" s="699"/>
      <c r="BA97" s="699"/>
      <c r="BB97" s="699"/>
    </row>
    <row r="98" spans="1:54">
      <c r="A98" s="648" t="s">
        <v>3317</v>
      </c>
      <c r="B98" s="648" t="s">
        <v>3318</v>
      </c>
      <c r="C98" s="771" t="s">
        <v>3078</v>
      </c>
      <c r="D98" s="58"/>
      <c r="E98" s="58"/>
      <c r="F98" s="28"/>
      <c r="G98" s="28"/>
      <c r="H98" s="125"/>
      <c r="I98" s="125"/>
      <c r="J98" s="125"/>
      <c r="K98" s="125"/>
      <c r="L98" s="178"/>
      <c r="M98" s="178"/>
      <c r="N98" s="273"/>
      <c r="O98" s="273"/>
      <c r="P98" s="210"/>
      <c r="Q98" s="210">
        <v>4200000000000</v>
      </c>
      <c r="R98" s="210">
        <v>3500000000000</v>
      </c>
      <c r="S98" s="210">
        <v>10100000000000</v>
      </c>
      <c r="T98" s="210">
        <v>16700000000000</v>
      </c>
      <c r="U98" s="210">
        <v>4500000000000</v>
      </c>
      <c r="V98" s="210">
        <v>400000000000</v>
      </c>
      <c r="W98" s="298">
        <v>1100000000000</v>
      </c>
      <c r="X98" s="389">
        <v>2400000000000</v>
      </c>
      <c r="Y98" s="389">
        <v>800000000000</v>
      </c>
      <c r="Z98" s="389"/>
      <c r="AA98" s="365"/>
      <c r="AB98" s="365"/>
      <c r="AC98" s="365"/>
      <c r="AD98" s="365"/>
      <c r="AE98" s="365"/>
      <c r="AF98" s="2520"/>
      <c r="AG98" s="2520"/>
      <c r="AH98" s="2520"/>
      <c r="AI98" s="2520"/>
      <c r="AJ98" s="2520"/>
      <c r="AK98" s="2520"/>
      <c r="AL98" s="2520"/>
      <c r="AM98" s="2520"/>
      <c r="AN98" s="2520"/>
      <c r="AO98" s="2520"/>
      <c r="AP98" s="2520"/>
      <c r="AQ98" s="2520"/>
      <c r="AR98" s="2520"/>
      <c r="AS98" s="2520"/>
      <c r="AT98" s="2520"/>
      <c r="AU98" s="365"/>
      <c r="AV98" s="365"/>
      <c r="AW98" s="365"/>
      <c r="AX98" s="365"/>
      <c r="AY98" s="365"/>
      <c r="AZ98" s="365"/>
      <c r="BA98" s="365"/>
      <c r="BB98" s="365"/>
    </row>
    <row r="99" spans="1:54">
      <c r="A99" s="648" t="s">
        <v>444</v>
      </c>
      <c r="B99" s="648" t="s">
        <v>444</v>
      </c>
      <c r="C99" s="619"/>
      <c r="D99" s="58"/>
      <c r="E99" s="58"/>
      <c r="F99" s="28"/>
      <c r="G99" s="28"/>
      <c r="H99" s="125"/>
      <c r="I99" s="125"/>
      <c r="J99" s="125"/>
      <c r="K99" s="125"/>
      <c r="L99" s="178"/>
      <c r="M99" s="178"/>
      <c r="N99" s="273"/>
      <c r="O99" s="273"/>
      <c r="P99" s="210"/>
      <c r="Q99" s="210"/>
      <c r="R99" s="210"/>
      <c r="S99" s="210">
        <v>6400000000000</v>
      </c>
      <c r="T99" s="210">
        <v>14300000000000</v>
      </c>
      <c r="U99" s="210">
        <v>4500000000000</v>
      </c>
      <c r="V99" s="210">
        <v>400000000000</v>
      </c>
      <c r="W99" s="298">
        <v>1100000000000</v>
      </c>
      <c r="X99" s="389">
        <v>2400000000000</v>
      </c>
      <c r="Y99" s="389">
        <v>800000000000</v>
      </c>
      <c r="Z99" s="389"/>
      <c r="AA99" s="365"/>
      <c r="AB99" s="365"/>
      <c r="AC99" s="365"/>
      <c r="AD99" s="365"/>
      <c r="AE99" s="365"/>
      <c r="AF99" s="2520"/>
      <c r="AG99" s="2520"/>
      <c r="AH99" s="2520"/>
      <c r="AI99" s="2520"/>
      <c r="AJ99" s="2520"/>
      <c r="AK99" s="2520"/>
      <c r="AL99" s="2520"/>
      <c r="AM99" s="2520"/>
      <c r="AN99" s="2520"/>
      <c r="AO99" s="2520"/>
      <c r="AP99" s="2520"/>
      <c r="AQ99" s="2520"/>
      <c r="AR99" s="2520"/>
      <c r="AS99" s="2520"/>
      <c r="AT99" s="2520"/>
      <c r="AU99" s="365"/>
      <c r="AV99" s="365"/>
      <c r="AW99" s="365"/>
      <c r="AX99" s="365"/>
      <c r="AY99" s="365"/>
      <c r="AZ99" s="365"/>
      <c r="BA99" s="365"/>
      <c r="BB99" s="365"/>
    </row>
    <row r="100" spans="1:54">
      <c r="A100" s="648" t="s">
        <v>1355</v>
      </c>
      <c r="B100" s="648" t="s">
        <v>1355</v>
      </c>
      <c r="C100" s="607"/>
      <c r="Q100" s="21">
        <v>4200000000000</v>
      </c>
      <c r="R100" s="21">
        <v>3500000000000</v>
      </c>
      <c r="S100" s="21">
        <v>3700000000000</v>
      </c>
      <c r="T100" s="21">
        <v>2400000000000</v>
      </c>
      <c r="AF100" s="2463"/>
      <c r="AG100" s="2463"/>
      <c r="AH100" s="2463"/>
      <c r="AI100" s="2463"/>
      <c r="AJ100" s="2463"/>
      <c r="AK100" s="2463"/>
      <c r="AL100" s="2463"/>
      <c r="AM100" s="2463"/>
      <c r="AN100" s="2463"/>
      <c r="AO100" s="2463"/>
      <c r="AP100" s="2463"/>
      <c r="AQ100" s="2463"/>
      <c r="AR100" s="2463"/>
      <c r="AS100" s="2463"/>
      <c r="AT100" s="2463"/>
    </row>
    <row r="101" spans="1:54" ht="16.5">
      <c r="A101" s="99" t="s">
        <v>3319</v>
      </c>
      <c r="B101" s="99" t="s">
        <v>3319</v>
      </c>
      <c r="C101" s="771" t="s">
        <v>3078</v>
      </c>
      <c r="D101" s="58"/>
      <c r="E101" s="58"/>
      <c r="F101" s="28"/>
      <c r="G101" s="28"/>
      <c r="H101" s="125"/>
      <c r="I101" s="125"/>
      <c r="J101" s="125"/>
      <c r="K101" s="125"/>
      <c r="L101" s="178"/>
      <c r="M101" s="178"/>
      <c r="N101" s="273"/>
      <c r="O101" s="273"/>
      <c r="P101" s="142">
        <v>-4800000000000</v>
      </c>
      <c r="Q101" s="142">
        <v>300000000000</v>
      </c>
      <c r="R101" s="142">
        <v>1200000000000</v>
      </c>
      <c r="S101" s="142">
        <v>7900000000000</v>
      </c>
      <c r="T101" s="142">
        <v>4600000000000</v>
      </c>
      <c r="U101" s="142">
        <v>1300000000000</v>
      </c>
      <c r="V101" s="142">
        <v>100000000000</v>
      </c>
      <c r="W101" s="142"/>
      <c r="X101" s="142">
        <v>2100000000000</v>
      </c>
      <c r="Y101" s="142">
        <v>2500000000000</v>
      </c>
      <c r="Z101" s="142">
        <v>2000000000000</v>
      </c>
      <c r="AA101" s="365"/>
      <c r="AB101" s="365"/>
      <c r="AC101" s="365"/>
      <c r="AD101" s="365"/>
      <c r="AE101" s="365"/>
      <c r="AF101" s="2520"/>
      <c r="AG101" s="2520"/>
      <c r="AH101" s="2520"/>
      <c r="AI101" s="2520"/>
      <c r="AJ101" s="2520"/>
      <c r="AK101" s="2520"/>
      <c r="AL101" s="2520"/>
      <c r="AM101" s="2520"/>
      <c r="AN101" s="2520"/>
      <c r="AO101" s="2520"/>
      <c r="AP101" s="2520"/>
      <c r="AQ101" s="2520"/>
      <c r="AR101" s="2520"/>
      <c r="AS101" s="2520"/>
      <c r="AT101" s="2520"/>
      <c r="AU101" s="365"/>
      <c r="AV101" s="365"/>
      <c r="AW101" s="365"/>
      <c r="AX101" s="365"/>
      <c r="AY101" s="365"/>
      <c r="AZ101" s="365"/>
      <c r="BA101" s="365"/>
      <c r="BB101" s="365"/>
    </row>
    <row r="102" spans="1:54" ht="16.5">
      <c r="A102" s="648" t="s">
        <v>444</v>
      </c>
      <c r="B102" s="648" t="s">
        <v>444</v>
      </c>
      <c r="C102" s="619"/>
      <c r="D102" s="58"/>
      <c r="E102" s="58"/>
      <c r="F102" s="28"/>
      <c r="G102" s="28"/>
      <c r="H102" s="125"/>
      <c r="I102" s="125"/>
      <c r="J102" s="125"/>
      <c r="K102" s="125"/>
      <c r="L102" s="178"/>
      <c r="M102" s="178"/>
      <c r="N102" s="273"/>
      <c r="O102" s="273"/>
      <c r="P102" s="142"/>
      <c r="Q102" s="142">
        <v>300000000000</v>
      </c>
      <c r="R102" s="142">
        <v>1200000000000</v>
      </c>
      <c r="S102" s="142">
        <v>7900000000000</v>
      </c>
      <c r="T102" s="142"/>
      <c r="U102" s="142">
        <v>900000000000</v>
      </c>
      <c r="V102" s="142">
        <v>100000000000</v>
      </c>
      <c r="W102" s="142"/>
      <c r="X102" s="142">
        <v>2100000000000</v>
      </c>
      <c r="Y102" s="142">
        <v>2500000000000</v>
      </c>
      <c r="Z102" s="142">
        <v>2000000000000</v>
      </c>
      <c r="AA102" s="365"/>
      <c r="AB102" s="365"/>
      <c r="AC102" s="365"/>
      <c r="AD102" s="365"/>
      <c r="AE102" s="365"/>
      <c r="AF102" s="2520"/>
      <c r="AG102" s="2520"/>
      <c r="AH102" s="2520"/>
      <c r="AI102" s="2520"/>
      <c r="AJ102" s="2520"/>
      <c r="AK102" s="2520"/>
      <c r="AL102" s="2520"/>
      <c r="AM102" s="2520"/>
      <c r="AN102" s="2520"/>
      <c r="AO102" s="2520"/>
      <c r="AP102" s="2520"/>
      <c r="AQ102" s="2520"/>
      <c r="AR102" s="2520"/>
      <c r="AS102" s="2520"/>
      <c r="AT102" s="2520"/>
      <c r="AU102" s="365"/>
      <c r="AV102" s="365"/>
      <c r="AW102" s="365"/>
      <c r="AX102" s="365"/>
      <c r="AY102" s="365"/>
      <c r="AZ102" s="365"/>
      <c r="BA102" s="365"/>
      <c r="BB102" s="365"/>
    </row>
    <row r="103" spans="1:54" ht="16.5">
      <c r="A103" s="648" t="s">
        <v>1355</v>
      </c>
      <c r="B103" s="648" t="s">
        <v>1355</v>
      </c>
      <c r="C103" s="607"/>
      <c r="D103" s="58"/>
      <c r="E103" s="58"/>
      <c r="F103" s="28"/>
      <c r="G103" s="28"/>
      <c r="H103" s="125"/>
      <c r="I103" s="125"/>
      <c r="J103" s="125"/>
      <c r="K103" s="125"/>
      <c r="L103" s="178"/>
      <c r="M103" s="178"/>
      <c r="N103" s="273"/>
      <c r="O103" s="273"/>
      <c r="P103" s="142"/>
      <c r="Q103" s="142"/>
      <c r="R103" s="142"/>
      <c r="S103" s="142"/>
      <c r="T103" s="142">
        <v>4600000000000</v>
      </c>
      <c r="U103" s="142">
        <v>400000000000</v>
      </c>
      <c r="V103" s="142"/>
      <c r="W103" s="142"/>
      <c r="X103" s="142"/>
      <c r="Y103" s="142"/>
      <c r="Z103" s="142"/>
      <c r="AA103" s="365"/>
      <c r="AB103" s="365"/>
      <c r="AC103" s="365"/>
      <c r="AD103" s="365"/>
      <c r="AE103" s="365"/>
      <c r="AF103" s="2520"/>
      <c r="AG103" s="2520"/>
      <c r="AH103" s="2520"/>
      <c r="AI103" s="2520"/>
      <c r="AJ103" s="2520"/>
      <c r="AK103" s="2520"/>
      <c r="AL103" s="2520"/>
      <c r="AM103" s="2520"/>
      <c r="AN103" s="2520"/>
      <c r="AO103" s="2520"/>
      <c r="AP103" s="2520"/>
      <c r="AQ103" s="2520"/>
      <c r="AR103" s="2520"/>
      <c r="AS103" s="2520"/>
      <c r="AT103" s="2520"/>
      <c r="AU103" s="365"/>
      <c r="AV103" s="365"/>
      <c r="AW103" s="365"/>
      <c r="AX103" s="365"/>
      <c r="AY103" s="365"/>
      <c r="AZ103" s="365"/>
      <c r="BA103" s="365"/>
      <c r="BB103" s="365"/>
    </row>
    <row r="104" spans="1:54" ht="16.5" customHeight="1">
      <c r="A104" s="103" t="s">
        <v>3320</v>
      </c>
      <c r="B104" s="103" t="s">
        <v>3321</v>
      </c>
      <c r="C104" s="90" t="s">
        <v>124</v>
      </c>
      <c r="D104" s="58"/>
      <c r="E104" s="58"/>
      <c r="F104" s="28"/>
      <c r="G104" s="28"/>
      <c r="H104" s="125">
        <v>-200000000000</v>
      </c>
      <c r="I104" s="125"/>
      <c r="J104" s="125"/>
      <c r="K104" s="125"/>
      <c r="L104" s="178"/>
      <c r="M104" s="178"/>
      <c r="N104" s="273"/>
      <c r="O104" s="273"/>
      <c r="P104" s="210"/>
      <c r="Q104" s="210"/>
      <c r="R104" s="210"/>
      <c r="S104" s="210"/>
      <c r="T104" s="210">
        <v>2000000000000</v>
      </c>
      <c r="U104" s="210">
        <v>4400000000000</v>
      </c>
      <c r="V104" s="210">
        <v>1400000000000</v>
      </c>
      <c r="W104" s="298"/>
      <c r="X104" s="389"/>
      <c r="Y104" s="389"/>
      <c r="Z104" s="389"/>
      <c r="AA104" s="365"/>
      <c r="AB104" s="365"/>
      <c r="AC104" s="365"/>
      <c r="AD104" s="365"/>
      <c r="AE104" s="365"/>
      <c r="AF104" s="2520"/>
      <c r="AG104" s="2520"/>
      <c r="AH104" s="2520"/>
      <c r="AI104" s="2520"/>
      <c r="AJ104" s="2520"/>
      <c r="AK104" s="2520"/>
      <c r="AL104" s="2520"/>
      <c r="AM104" s="2520"/>
      <c r="AN104" s="2520"/>
      <c r="AO104" s="2520"/>
      <c r="AP104" s="2520"/>
      <c r="AQ104" s="2520"/>
      <c r="AR104" s="2520"/>
      <c r="AS104" s="2520"/>
      <c r="AT104" s="2520"/>
      <c r="AU104" s="365"/>
      <c r="AV104" s="365"/>
      <c r="AW104" s="365"/>
      <c r="AX104" s="365"/>
      <c r="AY104" s="365"/>
      <c r="AZ104" s="365"/>
      <c r="BA104" s="365"/>
      <c r="BB104" s="365"/>
    </row>
    <row r="105" spans="1:54" ht="16.5" customHeight="1">
      <c r="A105" s="648" t="s">
        <v>3312</v>
      </c>
      <c r="B105" s="648" t="s">
        <v>3312</v>
      </c>
      <c r="C105" s="772" t="s">
        <v>124</v>
      </c>
      <c r="D105" s="58"/>
      <c r="E105" s="58"/>
      <c r="F105" s="28"/>
      <c r="G105" s="28"/>
      <c r="H105" s="125"/>
      <c r="I105" s="125"/>
      <c r="J105" s="125"/>
      <c r="K105" s="125"/>
      <c r="L105" s="178"/>
      <c r="M105" s="178"/>
      <c r="N105" s="273"/>
      <c r="O105" s="273"/>
      <c r="P105" s="210"/>
      <c r="Q105" s="210"/>
      <c r="R105" s="210"/>
      <c r="S105" s="210">
        <v>-100000000000</v>
      </c>
      <c r="T105" s="210">
        <v>1800000000000</v>
      </c>
      <c r="U105" s="210">
        <v>-1800000000000</v>
      </c>
      <c r="V105" s="210"/>
      <c r="W105" s="298"/>
      <c r="X105" s="389"/>
      <c r="Y105" s="389"/>
      <c r="Z105" s="389"/>
      <c r="AA105" s="365"/>
      <c r="AB105" s="365"/>
      <c r="AC105" s="365"/>
      <c r="AD105" s="365"/>
      <c r="AE105" s="365"/>
      <c r="AF105" s="2520"/>
      <c r="AG105" s="2520"/>
      <c r="AH105" s="2520"/>
      <c r="AI105" s="2520"/>
      <c r="AJ105" s="2520"/>
      <c r="AK105" s="2520"/>
      <c r="AL105" s="2520"/>
      <c r="AM105" s="2520"/>
      <c r="AN105" s="2520"/>
      <c r="AO105" s="2520"/>
      <c r="AP105" s="2520"/>
      <c r="AQ105" s="2520"/>
      <c r="AR105" s="2520"/>
      <c r="AS105" s="2520"/>
      <c r="AT105" s="2520"/>
      <c r="AU105" s="365"/>
      <c r="AV105" s="365"/>
      <c r="AW105" s="365"/>
      <c r="AX105" s="365"/>
      <c r="AY105" s="365"/>
      <c r="AZ105" s="365"/>
      <c r="BA105" s="365"/>
      <c r="BB105" s="365"/>
    </row>
    <row r="106" spans="1:54" ht="16.5" customHeight="1">
      <c r="A106" s="152" t="s">
        <v>3315</v>
      </c>
      <c r="B106" s="152" t="s">
        <v>3315</v>
      </c>
      <c r="C106" s="90" t="s">
        <v>124</v>
      </c>
      <c r="D106" s="58"/>
      <c r="E106" s="58"/>
      <c r="F106" s="28"/>
      <c r="G106" s="28"/>
      <c r="H106" s="125"/>
      <c r="I106" s="125"/>
      <c r="J106" s="125"/>
      <c r="K106" s="125"/>
      <c r="L106" s="178"/>
      <c r="M106" s="178"/>
      <c r="N106" s="273"/>
      <c r="O106" s="273"/>
      <c r="P106" s="142">
        <v>0</v>
      </c>
      <c r="Q106" s="142"/>
      <c r="R106" s="142">
        <v>1800000000000</v>
      </c>
      <c r="S106" s="142">
        <v>3700000000000</v>
      </c>
      <c r="T106" s="142">
        <v>1500000000000</v>
      </c>
      <c r="U106" s="142">
        <v>-4200000000000</v>
      </c>
      <c r="V106" s="142">
        <v>-1400000000000</v>
      </c>
      <c r="W106" s="142"/>
      <c r="X106" s="142"/>
      <c r="Y106" s="142"/>
      <c r="Z106" s="142"/>
      <c r="AA106" s="365"/>
      <c r="AB106" s="365"/>
      <c r="AC106" s="365"/>
      <c r="AD106" s="365"/>
      <c r="AE106" s="365"/>
      <c r="AF106" s="2520"/>
      <c r="AG106" s="2520"/>
      <c r="AH106" s="2520"/>
      <c r="AI106" s="2520"/>
      <c r="AJ106" s="2520"/>
      <c r="AK106" s="2520"/>
      <c r="AL106" s="2520"/>
      <c r="AM106" s="2520"/>
      <c r="AN106" s="2520"/>
      <c r="AO106" s="2520"/>
      <c r="AP106" s="2520"/>
      <c r="AQ106" s="2520"/>
      <c r="AR106" s="2520"/>
      <c r="AS106" s="2520"/>
      <c r="AT106" s="2520"/>
      <c r="AU106" s="365"/>
      <c r="AV106" s="365"/>
      <c r="AW106" s="365"/>
      <c r="AX106" s="365"/>
      <c r="AY106" s="365"/>
      <c r="AZ106" s="365"/>
      <c r="BA106" s="365"/>
      <c r="BB106" s="365"/>
    </row>
    <row r="107" spans="1:54" ht="16.5">
      <c r="A107" s="697" t="s">
        <v>3322</v>
      </c>
      <c r="B107" s="697" t="s">
        <v>3322</v>
      </c>
      <c r="C107" s="90" t="s">
        <v>124</v>
      </c>
      <c r="D107" s="58"/>
      <c r="E107" s="58"/>
      <c r="F107" s="28"/>
      <c r="G107" s="28"/>
      <c r="H107" s="125"/>
      <c r="I107" s="125"/>
      <c r="J107" s="125"/>
      <c r="K107" s="125"/>
      <c r="L107" s="178"/>
      <c r="M107" s="178"/>
      <c r="N107" s="273"/>
      <c r="O107" s="273"/>
      <c r="P107" s="142">
        <v>0</v>
      </c>
      <c r="Q107" s="142"/>
      <c r="R107" s="142"/>
      <c r="S107" s="142"/>
      <c r="T107" s="142"/>
      <c r="U107" s="142"/>
      <c r="V107" s="142"/>
      <c r="W107" s="142"/>
      <c r="X107" s="142"/>
      <c r="Y107" s="142"/>
      <c r="Z107" s="142"/>
      <c r="AA107" s="365"/>
      <c r="AB107" s="365"/>
      <c r="AC107" s="365"/>
      <c r="AD107" s="365"/>
      <c r="AE107" s="365"/>
      <c r="AF107" s="2520"/>
      <c r="AG107" s="2520"/>
      <c r="AH107" s="2520"/>
      <c r="AI107" s="2520"/>
      <c r="AJ107" s="2520"/>
      <c r="AK107" s="2520"/>
      <c r="AL107" s="2520"/>
      <c r="AM107" s="2520"/>
      <c r="AN107" s="2520"/>
      <c r="AO107" s="2520"/>
      <c r="AP107" s="2520"/>
      <c r="AQ107" s="2520"/>
      <c r="AR107" s="2520"/>
      <c r="AS107" s="2520"/>
      <c r="AT107" s="2520"/>
      <c r="AU107" s="365"/>
      <c r="AV107" s="365"/>
      <c r="AW107" s="365"/>
      <c r="AX107" s="365"/>
      <c r="AY107" s="365"/>
      <c r="AZ107" s="365"/>
      <c r="BA107" s="365"/>
      <c r="BB107" s="365"/>
    </row>
    <row r="108" spans="1:54">
      <c r="A108" s="99" t="s">
        <v>3323</v>
      </c>
      <c r="B108" s="99" t="s">
        <v>3324</v>
      </c>
      <c r="C108" s="90" t="s">
        <v>124</v>
      </c>
      <c r="D108" s="58"/>
      <c r="E108" s="58"/>
      <c r="F108" s="28"/>
      <c r="G108" s="28"/>
      <c r="H108" s="210"/>
      <c r="I108" s="210"/>
      <c r="J108" s="210"/>
      <c r="K108" s="210"/>
      <c r="L108" s="178"/>
      <c r="M108" s="178">
        <v>700000000000</v>
      </c>
      <c r="N108" s="273"/>
      <c r="O108" s="273"/>
      <c r="P108" s="210"/>
      <c r="Q108" s="210"/>
      <c r="R108" s="210"/>
      <c r="S108" s="210"/>
      <c r="T108" s="210"/>
      <c r="U108" s="210"/>
      <c r="V108" s="210"/>
      <c r="W108" s="298"/>
      <c r="X108" s="389"/>
      <c r="Y108" s="389"/>
      <c r="Z108" s="389"/>
      <c r="AA108" s="365"/>
      <c r="AB108" s="365"/>
      <c r="AC108" s="365"/>
      <c r="AD108" s="365"/>
      <c r="AE108" s="365"/>
      <c r="AF108" s="2520"/>
      <c r="AG108" s="2520"/>
      <c r="AH108" s="2520"/>
      <c r="AI108" s="2520"/>
      <c r="AJ108" s="2520"/>
      <c r="AK108" s="2520"/>
      <c r="AL108" s="2520"/>
      <c r="AM108" s="2520"/>
      <c r="AN108" s="2520"/>
      <c r="AO108" s="2520"/>
      <c r="AP108" s="2520"/>
      <c r="AQ108" s="2520"/>
      <c r="AR108" s="2520"/>
      <c r="AS108" s="2520"/>
      <c r="AT108" s="2520"/>
      <c r="AU108" s="365"/>
      <c r="AV108" s="365"/>
      <c r="AW108" s="365"/>
      <c r="AX108" s="365"/>
      <c r="AY108" s="365"/>
      <c r="AZ108" s="365"/>
      <c r="BA108" s="365"/>
      <c r="BB108" s="365"/>
    </row>
    <row r="109" spans="1:54" ht="16.5">
      <c r="A109" s="103" t="s">
        <v>600</v>
      </c>
      <c r="B109" s="103" t="s">
        <v>3325</v>
      </c>
      <c r="C109" s="90" t="s">
        <v>124</v>
      </c>
      <c r="D109" s="58"/>
      <c r="E109" s="58"/>
      <c r="F109" s="28"/>
      <c r="G109" s="28"/>
      <c r="H109" s="210"/>
      <c r="I109" s="125">
        <v>308000000000</v>
      </c>
      <c r="J109" s="125">
        <v>-949000000000</v>
      </c>
      <c r="K109" s="125">
        <v>-200000000000</v>
      </c>
      <c r="L109" s="178">
        <v>0</v>
      </c>
      <c r="M109" s="178">
        <v>4000000000000</v>
      </c>
      <c r="N109" s="273"/>
      <c r="O109" s="273"/>
      <c r="P109" s="142">
        <v>-1000000000000</v>
      </c>
      <c r="Q109" s="142"/>
      <c r="R109" s="142"/>
      <c r="S109" s="142"/>
      <c r="T109" s="142"/>
      <c r="U109" s="142"/>
      <c r="V109" s="142"/>
      <c r="W109" s="142"/>
      <c r="X109" s="142"/>
      <c r="Y109" s="142"/>
      <c r="Z109" s="142"/>
      <c r="AA109" s="365"/>
      <c r="AB109" s="365"/>
      <c r="AC109" s="365"/>
      <c r="AD109" s="365"/>
      <c r="AE109" s="365"/>
      <c r="AF109" s="2520"/>
      <c r="AG109" s="2520"/>
      <c r="AH109" s="2520"/>
      <c r="AI109" s="2520"/>
      <c r="AJ109" s="2520"/>
      <c r="AK109" s="2520"/>
      <c r="AL109" s="2520"/>
      <c r="AM109" s="2520"/>
      <c r="AN109" s="2520"/>
      <c r="AO109" s="2520"/>
      <c r="AP109" s="2520"/>
      <c r="AQ109" s="2520"/>
      <c r="AR109" s="2520"/>
      <c r="AS109" s="2520"/>
      <c r="AT109" s="2520"/>
      <c r="AU109" s="365"/>
      <c r="AV109" s="365"/>
      <c r="AW109" s="365"/>
      <c r="AX109" s="365"/>
      <c r="AY109" s="365"/>
      <c r="AZ109" s="365"/>
      <c r="BA109" s="365"/>
      <c r="BB109" s="365"/>
    </row>
    <row r="110" spans="1:54" ht="16.5" customHeight="1">
      <c r="A110" s="700" t="s">
        <v>258</v>
      </c>
      <c r="B110" s="700" t="s">
        <v>258</v>
      </c>
      <c r="C110" s="90" t="s">
        <v>124</v>
      </c>
      <c r="D110" s="58"/>
      <c r="E110" s="58"/>
      <c r="F110" s="28"/>
      <c r="G110" s="28"/>
      <c r="H110" s="125"/>
      <c r="I110" s="125"/>
      <c r="J110" s="125"/>
      <c r="K110" s="125"/>
      <c r="L110" s="178"/>
      <c r="M110" s="178"/>
      <c r="N110" s="273"/>
      <c r="O110" s="273"/>
      <c r="P110" s="142">
        <v>0</v>
      </c>
      <c r="Q110" s="142"/>
      <c r="R110" s="142"/>
      <c r="S110" s="142"/>
      <c r="T110" s="142"/>
      <c r="U110" s="142"/>
      <c r="V110" s="142"/>
      <c r="W110" s="142"/>
      <c r="X110" s="142"/>
      <c r="Y110" s="142"/>
      <c r="Z110" s="142"/>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row>
    <row r="111" spans="1:54">
      <c r="A111" s="117" t="s">
        <v>3326</v>
      </c>
      <c r="B111" s="117" t="s">
        <v>3326</v>
      </c>
      <c r="C111" s="58" t="s">
        <v>252</v>
      </c>
      <c r="D111" s="58"/>
      <c r="E111" s="58"/>
      <c r="F111" s="28"/>
      <c r="G111" s="28"/>
      <c r="H111" s="210"/>
      <c r="I111" s="125"/>
      <c r="J111" s="125"/>
      <c r="K111" s="125"/>
      <c r="L111" s="178"/>
      <c r="M111" s="178"/>
      <c r="N111" s="273"/>
      <c r="O111" s="273"/>
      <c r="P111" s="273"/>
      <c r="Q111" s="273"/>
      <c r="R111" s="273"/>
      <c r="S111" s="273"/>
      <c r="T111" s="273"/>
      <c r="U111" s="273"/>
      <c r="V111" s="273">
        <v>5900000000000</v>
      </c>
      <c r="W111" s="298">
        <v>2500000000000</v>
      </c>
      <c r="X111" s="2"/>
      <c r="Y111" s="2"/>
      <c r="Z111" s="2"/>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row>
    <row r="112" spans="1:54">
      <c r="B112" s="58" t="s">
        <v>614</v>
      </c>
      <c r="C112" s="58"/>
      <c r="D112" s="58"/>
      <c r="E112" s="58"/>
      <c r="F112" s="28"/>
      <c r="G112" s="28"/>
      <c r="H112" s="210"/>
      <c r="I112" s="210"/>
      <c r="J112" s="210"/>
      <c r="K112" s="210"/>
      <c r="L112" s="178"/>
      <c r="M112" s="178"/>
      <c r="W112" s="28"/>
      <c r="X112" s="2"/>
      <c r="Y112" s="2"/>
      <c r="Z112" s="2"/>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row>
    <row r="113" spans="2:54">
      <c r="B113" s="58"/>
      <c r="C113" s="58"/>
      <c r="D113" s="58"/>
      <c r="E113" s="58"/>
      <c r="F113" s="28"/>
      <c r="G113" s="28"/>
      <c r="H113" s="58"/>
      <c r="I113" s="58"/>
      <c r="J113" s="58"/>
      <c r="K113" s="58"/>
      <c r="L113" s="101"/>
      <c r="M113" s="101"/>
      <c r="N113" s="273"/>
      <c r="O113" s="273"/>
      <c r="P113" s="273"/>
      <c r="Q113" s="273"/>
      <c r="R113" s="273"/>
      <c r="S113" s="273"/>
      <c r="T113" s="273"/>
      <c r="U113" s="273"/>
      <c r="V113" s="273"/>
      <c r="W113" s="28"/>
      <c r="X113" s="2"/>
      <c r="Y113" s="2"/>
      <c r="Z113" s="2"/>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row>
    <row r="114" spans="2:54">
      <c r="B114" s="644" t="s">
        <v>135</v>
      </c>
      <c r="C114" s="58"/>
      <c r="D114" s="58"/>
      <c r="E114" s="58"/>
      <c r="F114" s="28"/>
      <c r="G114" s="28"/>
      <c r="H114" s="58"/>
      <c r="I114" s="58"/>
      <c r="J114" s="58"/>
      <c r="K114" s="58"/>
      <c r="L114" s="101"/>
      <c r="M114" s="101"/>
      <c r="N114" s="273"/>
      <c r="O114" s="273"/>
      <c r="P114" s="273"/>
      <c r="Q114" s="273"/>
      <c r="R114" s="273"/>
      <c r="S114" s="273"/>
      <c r="T114" s="273"/>
      <c r="U114" s="273"/>
      <c r="V114" s="273"/>
      <c r="W114" s="28"/>
      <c r="X114" s="2"/>
      <c r="Y114" s="2"/>
      <c r="Z114" s="2"/>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row>
    <row r="115" spans="2:54">
      <c r="B115" s="644" t="s">
        <v>3327</v>
      </c>
      <c r="C115" s="58"/>
      <c r="D115" s="58"/>
      <c r="E115" s="58"/>
      <c r="F115" s="28"/>
      <c r="G115" s="28"/>
      <c r="H115" s="58"/>
      <c r="I115" s="58"/>
      <c r="J115" s="58"/>
      <c r="K115" s="58"/>
      <c r="L115" s="101"/>
      <c r="M115" s="101"/>
      <c r="N115" s="273"/>
      <c r="O115" s="273"/>
      <c r="P115" s="273"/>
      <c r="Q115" s="273">
        <v>16400000000000</v>
      </c>
      <c r="R115" s="273">
        <v>16600000000000</v>
      </c>
      <c r="S115" s="273">
        <v>15000000000000</v>
      </c>
      <c r="T115" s="273">
        <v>15700000000000</v>
      </c>
      <c r="U115" s="273">
        <v>17600000000000</v>
      </c>
      <c r="V115" s="273">
        <v>17100000000000</v>
      </c>
      <c r="W115" s="298">
        <v>16800000000000</v>
      </c>
      <c r="X115" s="389">
        <v>16500000000000</v>
      </c>
      <c r="Y115" s="389">
        <v>16200000000000</v>
      </c>
      <c r="Z115" s="389">
        <v>15000000000000</v>
      </c>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row>
    <row r="116" spans="2:54">
      <c r="B116" s="644" t="s">
        <v>3328</v>
      </c>
      <c r="C116" s="58"/>
      <c r="D116" s="58"/>
      <c r="E116" s="58"/>
      <c r="F116" s="28"/>
      <c r="G116" s="28"/>
      <c r="H116" s="58"/>
      <c r="I116" s="58"/>
      <c r="J116" s="58"/>
      <c r="K116" s="58"/>
      <c r="L116" s="101"/>
      <c r="M116" s="101"/>
      <c r="N116" s="273"/>
      <c r="O116" s="273"/>
      <c r="P116" s="273"/>
      <c r="Q116" s="273"/>
      <c r="R116" s="273"/>
      <c r="S116" s="273"/>
      <c r="T116" s="273"/>
      <c r="U116" s="273">
        <v>10900000000000</v>
      </c>
      <c r="V116" s="273">
        <v>11100000000000</v>
      </c>
      <c r="W116" s="298">
        <v>11000000000000</v>
      </c>
      <c r="X116" s="389">
        <v>11200000000000</v>
      </c>
      <c r="Y116" s="389">
        <v>11500000000000</v>
      </c>
      <c r="Z116" s="389">
        <v>12000000000000</v>
      </c>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row>
    <row r="117" spans="2:54">
      <c r="B117" s="644" t="s">
        <v>3329</v>
      </c>
      <c r="C117" s="58"/>
      <c r="D117" s="58"/>
      <c r="E117" s="58"/>
      <c r="F117" s="28"/>
      <c r="G117" s="28"/>
      <c r="H117" s="58"/>
      <c r="I117" s="58"/>
      <c r="J117" s="58"/>
      <c r="K117" s="58"/>
      <c r="L117" s="101"/>
      <c r="M117" s="101"/>
      <c r="N117" s="273"/>
      <c r="O117" s="273"/>
      <c r="P117" s="273"/>
      <c r="Q117" s="273">
        <v>11600000000000</v>
      </c>
      <c r="R117" s="273">
        <v>2500000000000</v>
      </c>
      <c r="S117" s="273">
        <v>3100000000000</v>
      </c>
      <c r="T117" s="273"/>
      <c r="U117" s="273">
        <v>10100000000000</v>
      </c>
      <c r="V117" s="273">
        <v>10100000000000</v>
      </c>
      <c r="W117" s="298">
        <v>10000000000000</v>
      </c>
      <c r="X117" s="389">
        <v>10100000000000</v>
      </c>
      <c r="Y117" s="389">
        <v>10300000000000</v>
      </c>
      <c r="Z117" s="389">
        <v>10000000000000</v>
      </c>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row>
    <row r="118" spans="2:54">
      <c r="B118" s="644" t="s">
        <v>3330</v>
      </c>
      <c r="C118" s="58"/>
      <c r="D118" s="58"/>
      <c r="E118" s="58"/>
      <c r="F118" s="28"/>
      <c r="G118" s="28"/>
      <c r="H118" s="58"/>
      <c r="I118" s="58"/>
      <c r="J118" s="58"/>
      <c r="K118" s="58"/>
      <c r="L118" s="101"/>
      <c r="M118" s="101"/>
      <c r="N118" s="273"/>
      <c r="O118" s="273"/>
      <c r="P118" s="273"/>
      <c r="Q118" s="273"/>
      <c r="R118" s="273"/>
      <c r="S118" s="273"/>
      <c r="T118" s="273"/>
      <c r="U118" s="273">
        <v>700000000000</v>
      </c>
      <c r="V118" s="273">
        <v>900000000000</v>
      </c>
      <c r="W118" s="298">
        <v>1000000000000</v>
      </c>
      <c r="X118" s="389">
        <v>1100000000000</v>
      </c>
      <c r="Y118" s="389">
        <v>1200000000000</v>
      </c>
      <c r="Z118" s="389">
        <v>1000000000000</v>
      </c>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row>
    <row r="119" spans="2:54">
      <c r="B119" s="644" t="s">
        <v>3331</v>
      </c>
      <c r="C119" s="58"/>
      <c r="D119" s="58"/>
      <c r="E119" s="58"/>
      <c r="F119" s="28"/>
      <c r="G119" s="28"/>
      <c r="H119" s="58"/>
      <c r="I119" s="58"/>
      <c r="J119" s="58"/>
      <c r="K119" s="58"/>
      <c r="L119" s="101"/>
      <c r="M119" s="101"/>
      <c r="N119" s="273"/>
      <c r="O119" s="273"/>
      <c r="P119" s="273"/>
      <c r="Q119" s="273">
        <v>15900000000000</v>
      </c>
      <c r="R119" s="273">
        <v>2500000000000</v>
      </c>
      <c r="S119" s="273">
        <v>2500000000000</v>
      </c>
      <c r="T119" s="273"/>
      <c r="U119" s="273">
        <v>12000000000000</v>
      </c>
      <c r="V119" s="273">
        <v>11900000000000</v>
      </c>
      <c r="W119" s="298">
        <v>11700000000000</v>
      </c>
      <c r="X119" s="389">
        <v>11600000000000</v>
      </c>
      <c r="Y119" s="389">
        <v>11900000000000</v>
      </c>
      <c r="Z119" s="389">
        <v>12000000000000</v>
      </c>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row>
    <row r="120" spans="2:54">
      <c r="B120" s="644" t="s">
        <v>3332</v>
      </c>
      <c r="C120" s="58"/>
      <c r="D120" s="58"/>
      <c r="E120" s="58"/>
      <c r="F120" s="28"/>
      <c r="G120" s="28"/>
      <c r="H120" s="58"/>
      <c r="I120" s="58"/>
      <c r="J120" s="58"/>
      <c r="K120" s="58"/>
      <c r="L120" s="101"/>
      <c r="M120" s="101"/>
      <c r="N120" s="273"/>
      <c r="O120" s="273"/>
      <c r="P120" s="273"/>
      <c r="Q120" s="273">
        <v>109700000000000</v>
      </c>
      <c r="R120" s="273">
        <v>89700000000000</v>
      </c>
      <c r="S120" s="273">
        <v>68900000000000</v>
      </c>
      <c r="T120" s="273">
        <v>68000000000000</v>
      </c>
      <c r="U120" s="273">
        <v>76900000000000</v>
      </c>
      <c r="V120" s="273">
        <v>76500000000000</v>
      </c>
      <c r="W120" s="298">
        <v>76100000000000</v>
      </c>
      <c r="X120" s="389">
        <v>75400000000000</v>
      </c>
      <c r="Y120" s="389">
        <v>75700000000000</v>
      </c>
      <c r="Z120" s="389">
        <v>76000000000000</v>
      </c>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row>
    <row r="121" spans="2:54">
      <c r="B121" s="644" t="s">
        <v>3333</v>
      </c>
      <c r="C121" s="58"/>
      <c r="D121" s="58"/>
      <c r="E121" s="58"/>
      <c r="F121" s="28"/>
      <c r="G121" s="28"/>
      <c r="H121" s="58"/>
      <c r="I121" s="58"/>
      <c r="J121" s="58"/>
      <c r="K121" s="58"/>
      <c r="L121" s="101"/>
      <c r="M121" s="101"/>
      <c r="N121" s="273"/>
      <c r="O121" s="273"/>
      <c r="P121" s="273"/>
      <c r="Q121" s="273">
        <v>93800000000000</v>
      </c>
      <c r="R121" s="273">
        <v>87100000000000</v>
      </c>
      <c r="S121" s="273">
        <v>66400000000000</v>
      </c>
      <c r="T121" s="273">
        <v>68000000000000</v>
      </c>
      <c r="U121" s="273">
        <v>64900000000000</v>
      </c>
      <c r="V121" s="273">
        <v>64600000000000</v>
      </c>
      <c r="W121" s="298">
        <v>64400000000000</v>
      </c>
      <c r="X121" s="389">
        <v>63800000000000</v>
      </c>
      <c r="Y121" s="389">
        <v>63800000000000</v>
      </c>
      <c r="Z121" s="389">
        <v>63000000000000</v>
      </c>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row>
    <row r="122" spans="2:54">
      <c r="B122" s="644" t="s">
        <v>3334</v>
      </c>
      <c r="C122" s="58"/>
      <c r="D122" s="58"/>
      <c r="E122" s="58"/>
      <c r="F122" s="28"/>
      <c r="G122" s="28"/>
      <c r="H122" s="58"/>
      <c r="I122" s="58"/>
      <c r="J122" s="58"/>
      <c r="K122" s="58"/>
      <c r="L122" s="101"/>
      <c r="M122" s="101"/>
      <c r="N122" s="273"/>
      <c r="O122" s="273"/>
      <c r="P122" s="273"/>
      <c r="Q122" s="273"/>
      <c r="R122" s="273"/>
      <c r="S122" s="273"/>
      <c r="T122" s="273"/>
      <c r="U122" s="273"/>
      <c r="V122" s="273"/>
      <c r="W122" s="28"/>
      <c r="X122" s="2"/>
      <c r="Y122" s="2"/>
      <c r="Z122" s="2"/>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row>
    <row r="123" spans="2:54">
      <c r="B123" s="644" t="s">
        <v>3335</v>
      </c>
      <c r="C123" s="58"/>
      <c r="D123" s="58"/>
      <c r="E123" s="58"/>
      <c r="F123" s="28"/>
      <c r="G123" s="28"/>
      <c r="H123" s="58"/>
      <c r="I123" s="58"/>
      <c r="J123" s="58"/>
      <c r="K123" s="58"/>
      <c r="L123" s="101"/>
      <c r="M123" s="101"/>
      <c r="N123" s="273"/>
      <c r="O123" s="273"/>
      <c r="P123" s="273"/>
      <c r="Q123" s="273">
        <v>200000000000</v>
      </c>
      <c r="R123" s="273">
        <v>-9200000000000</v>
      </c>
      <c r="S123" s="273">
        <v>-24900000000000</v>
      </c>
      <c r="T123" s="273">
        <v>2000000000000</v>
      </c>
      <c r="U123" s="273">
        <v>-6400000000000</v>
      </c>
      <c r="V123" s="273">
        <v>-2500000000000</v>
      </c>
      <c r="W123" s="298">
        <v>-2200000000000</v>
      </c>
      <c r="X123" s="389">
        <v>-2900000000000</v>
      </c>
      <c r="Y123" s="389">
        <v>-2000000000000</v>
      </c>
      <c r="Z123" s="389">
        <v>-1000000000000</v>
      </c>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row>
    <row r="124" spans="2:54">
      <c r="B124" s="644" t="s">
        <v>3336</v>
      </c>
      <c r="C124" s="58"/>
      <c r="D124" s="58"/>
      <c r="E124" s="58"/>
      <c r="F124" s="28"/>
      <c r="G124" s="28"/>
      <c r="H124" s="58"/>
      <c r="I124" s="58"/>
      <c r="J124" s="58"/>
      <c r="K124" s="58"/>
      <c r="L124" s="101"/>
      <c r="M124" s="101"/>
      <c r="N124" s="273"/>
      <c r="O124" s="273"/>
      <c r="P124" s="273"/>
      <c r="Q124" s="273">
        <v>-100000000000000</v>
      </c>
      <c r="R124" s="273">
        <v>-83800000000000</v>
      </c>
      <c r="S124" s="273">
        <v>-63100000000000</v>
      </c>
      <c r="T124" s="273">
        <v>-59800000000000</v>
      </c>
      <c r="U124" s="273">
        <v>-67800000000000</v>
      </c>
      <c r="V124" s="273">
        <v>-65500000000000</v>
      </c>
      <c r="W124" s="298">
        <v>-64100000000000</v>
      </c>
      <c r="X124" s="389">
        <v>-62100000000000</v>
      </c>
      <c r="Y124" s="389">
        <v>-60900000000000</v>
      </c>
      <c r="Z124" s="389">
        <v>-59000000000000</v>
      </c>
      <c r="AA124" s="365"/>
      <c r="AB124" s="365"/>
      <c r="AC124" s="365"/>
      <c r="AD124" s="365"/>
      <c r="AE124" s="365"/>
      <c r="AF124" s="365"/>
      <c r="AG124" s="365"/>
      <c r="AH124" s="365"/>
      <c r="AI124" s="365"/>
      <c r="AJ124" s="365"/>
      <c r="AK124" s="365"/>
      <c r="AL124" s="365"/>
      <c r="AM124" s="365"/>
      <c r="AN124" s="365"/>
      <c r="AO124" s="365"/>
      <c r="AP124" s="365"/>
      <c r="AQ124" s="365"/>
      <c r="AR124" s="365"/>
      <c r="AS124" s="365"/>
      <c r="AT124" s="365"/>
      <c r="AU124" s="365"/>
      <c r="AV124" s="365"/>
      <c r="AW124" s="365"/>
      <c r="AX124" s="365"/>
      <c r="AY124" s="365"/>
      <c r="AZ124" s="365"/>
      <c r="BA124" s="365"/>
      <c r="BB124" s="365"/>
    </row>
    <row r="125" spans="2:54">
      <c r="B125" s="644" t="s">
        <v>3337</v>
      </c>
      <c r="C125" s="58"/>
      <c r="D125" s="58"/>
      <c r="E125" s="58"/>
      <c r="F125" s="28"/>
      <c r="G125" s="28"/>
      <c r="H125" s="58"/>
      <c r="I125" s="58"/>
      <c r="J125" s="58"/>
      <c r="K125" s="58"/>
      <c r="L125" s="101"/>
      <c r="M125" s="101"/>
      <c r="N125" s="273"/>
      <c r="O125" s="273"/>
      <c r="P125" s="273"/>
      <c r="Q125" s="273">
        <v>-84100000000000</v>
      </c>
      <c r="R125" s="273">
        <v>-81300000000000</v>
      </c>
      <c r="S125" s="273">
        <v>-60600000000000</v>
      </c>
      <c r="T125" s="273">
        <v>-59800000000000</v>
      </c>
      <c r="U125" s="273">
        <v>-56600000000000</v>
      </c>
      <c r="V125" s="273">
        <v>-54500000000000</v>
      </c>
      <c r="W125" s="298">
        <v>-53300000000000</v>
      </c>
      <c r="X125" s="389">
        <v>-51600000000000</v>
      </c>
      <c r="Y125" s="389">
        <v>-50200000000000</v>
      </c>
      <c r="Z125" s="389">
        <v>-48000000000000</v>
      </c>
      <c r="AA125" s="365"/>
      <c r="AB125" s="365"/>
      <c r="AC125" s="365"/>
      <c r="AD125" s="365"/>
      <c r="AE125" s="365"/>
      <c r="AF125" s="365"/>
      <c r="AG125" s="365"/>
      <c r="AH125" s="365"/>
      <c r="AI125" s="365"/>
      <c r="AJ125" s="365"/>
      <c r="AK125" s="365"/>
      <c r="AL125" s="365"/>
      <c r="AM125" s="365"/>
      <c r="AN125" s="365"/>
      <c r="AO125" s="365"/>
      <c r="AP125" s="365"/>
      <c r="AQ125" s="365"/>
      <c r="AR125" s="365"/>
      <c r="AS125" s="365"/>
      <c r="AT125" s="365"/>
      <c r="AU125" s="365"/>
      <c r="AV125" s="365"/>
      <c r="AW125" s="365"/>
      <c r="AX125" s="365"/>
      <c r="AY125" s="365"/>
      <c r="AZ125" s="365"/>
      <c r="BA125" s="365"/>
      <c r="BB125" s="365"/>
    </row>
    <row r="126" spans="2:54">
      <c r="B126" s="644" t="s">
        <v>3338</v>
      </c>
      <c r="C126" s="58"/>
      <c r="D126" s="58"/>
      <c r="E126" s="58"/>
      <c r="F126" s="28"/>
      <c r="G126" s="28"/>
      <c r="H126" s="58"/>
      <c r="I126" s="58"/>
      <c r="J126" s="58"/>
      <c r="K126" s="58"/>
      <c r="L126" s="101"/>
      <c r="M126" s="101"/>
      <c r="N126" s="273"/>
      <c r="O126" s="273"/>
      <c r="P126" s="273"/>
      <c r="Q126" s="273">
        <v>-100000000000000</v>
      </c>
      <c r="R126" s="273">
        <v>-82000000000000</v>
      </c>
      <c r="S126" s="273">
        <v>-58500000000000</v>
      </c>
      <c r="T126" s="273">
        <v>-58100000000000</v>
      </c>
      <c r="U126" s="273">
        <v>-73800000000000</v>
      </c>
      <c r="V126" s="273">
        <v>-67200000000000</v>
      </c>
      <c r="W126" s="298">
        <v>-64300000000000</v>
      </c>
      <c r="X126" s="389">
        <v>-62100000000000</v>
      </c>
      <c r="Y126" s="389">
        <v>-60900000000000</v>
      </c>
      <c r="Z126" s="389">
        <v>-59000000000000</v>
      </c>
      <c r="AA126" s="365"/>
      <c r="AB126" s="365"/>
      <c r="AC126" s="365"/>
      <c r="AD126" s="365"/>
      <c r="AE126" s="365"/>
      <c r="AF126" s="365"/>
      <c r="AG126" s="365"/>
      <c r="AH126" s="365"/>
      <c r="AI126" s="365"/>
      <c r="AJ126" s="365"/>
      <c r="AK126" s="365"/>
      <c r="AL126" s="365"/>
      <c r="AM126" s="365"/>
      <c r="AN126" s="365"/>
      <c r="AO126" s="365"/>
      <c r="AP126" s="365"/>
      <c r="AQ126" s="365"/>
      <c r="AR126" s="365"/>
      <c r="AS126" s="365"/>
      <c r="AT126" s="365"/>
      <c r="AU126" s="365"/>
      <c r="AV126" s="365"/>
      <c r="AW126" s="365"/>
      <c r="AX126" s="365"/>
      <c r="AY126" s="365"/>
      <c r="AZ126" s="365"/>
      <c r="BA126" s="365"/>
      <c r="BB126" s="365"/>
    </row>
    <row r="127" spans="2:54">
      <c r="B127" s="644" t="s">
        <v>3339</v>
      </c>
      <c r="C127" s="58"/>
      <c r="D127" s="58"/>
      <c r="E127" s="58"/>
      <c r="F127" s="28"/>
      <c r="G127" s="28"/>
      <c r="H127" s="58"/>
      <c r="I127" s="58"/>
      <c r="J127" s="58"/>
      <c r="K127" s="58"/>
      <c r="L127" s="101"/>
      <c r="M127" s="101"/>
      <c r="N127" s="273"/>
      <c r="O127" s="273"/>
      <c r="P127" s="273"/>
      <c r="Q127" s="273">
        <v>-84100000000000</v>
      </c>
      <c r="R127" s="273">
        <v>-79500000000000</v>
      </c>
      <c r="S127" s="273">
        <v>-56000000000000</v>
      </c>
      <c r="T127" s="273">
        <v>-58100000000000</v>
      </c>
      <c r="U127" s="273">
        <v>-62500000000000</v>
      </c>
      <c r="V127" s="273">
        <v>-56100000000000</v>
      </c>
      <c r="W127" s="298">
        <v>-53500000000000</v>
      </c>
      <c r="X127" s="389">
        <v>-51600000000000</v>
      </c>
      <c r="Y127" s="389">
        <v>-50200000000000</v>
      </c>
      <c r="Z127" s="389">
        <v>-48000000000000</v>
      </c>
      <c r="AA127" s="365"/>
      <c r="AB127" s="365"/>
      <c r="AC127" s="365"/>
      <c r="AD127" s="365"/>
      <c r="AE127" s="365"/>
      <c r="AF127" s="365"/>
      <c r="AG127" s="365"/>
      <c r="AH127" s="365"/>
      <c r="AI127" s="365"/>
      <c r="AJ127" s="365"/>
      <c r="AK127" s="365"/>
      <c r="AL127" s="365"/>
      <c r="AM127" s="365"/>
      <c r="AN127" s="365"/>
      <c r="AO127" s="365"/>
      <c r="AP127" s="365"/>
      <c r="AQ127" s="365"/>
      <c r="AR127" s="365"/>
      <c r="AS127" s="365"/>
      <c r="AT127" s="365"/>
      <c r="AU127" s="365"/>
      <c r="AV127" s="365"/>
      <c r="AW127" s="365"/>
      <c r="AX127" s="365"/>
      <c r="AY127" s="365"/>
      <c r="AZ127" s="365"/>
      <c r="BA127" s="365"/>
      <c r="BB127" s="365"/>
    </row>
    <row r="128" spans="2:54">
      <c r="B128" s="644" t="s">
        <v>3340</v>
      </c>
      <c r="C128" s="58"/>
      <c r="D128" s="58"/>
      <c r="E128" s="58"/>
      <c r="F128" s="28"/>
      <c r="G128" s="28"/>
      <c r="H128" s="58"/>
      <c r="I128" s="58"/>
      <c r="J128" s="58"/>
      <c r="K128" s="58"/>
      <c r="L128" s="101"/>
      <c r="M128" s="101"/>
      <c r="N128" s="273"/>
      <c r="O128" s="273"/>
      <c r="P128" s="273"/>
      <c r="Q128" s="273">
        <v>85200000000000</v>
      </c>
      <c r="R128" s="273">
        <v>87600000000000</v>
      </c>
      <c r="S128" s="273">
        <v>115600000000000</v>
      </c>
      <c r="T128" s="273">
        <v>135500000000000</v>
      </c>
      <c r="U128" s="273">
        <v>145200000000000</v>
      </c>
      <c r="V128" s="273">
        <v>156500000000000</v>
      </c>
      <c r="W128" s="298">
        <v>161000000000000</v>
      </c>
      <c r="X128" s="389">
        <v>163100000000000</v>
      </c>
      <c r="Y128" s="389">
        <v>162100000000000</v>
      </c>
      <c r="Z128" s="389">
        <v>157000000000000</v>
      </c>
      <c r="AA128" s="365"/>
      <c r="AB128" s="365"/>
      <c r="AC128" s="365"/>
      <c r="AD128" s="365"/>
      <c r="AE128" s="365"/>
      <c r="AF128" s="365"/>
      <c r="AG128" s="365"/>
      <c r="AH128" s="365"/>
      <c r="AI128" s="365"/>
      <c r="AJ128" s="365"/>
      <c r="AK128" s="365"/>
      <c r="AL128" s="365"/>
      <c r="AM128" s="365"/>
      <c r="AN128" s="365"/>
      <c r="AO128" s="365"/>
      <c r="AP128" s="365"/>
      <c r="AQ128" s="365"/>
      <c r="AR128" s="365"/>
      <c r="AS128" s="365"/>
      <c r="AT128" s="365"/>
      <c r="AU128" s="365"/>
      <c r="AV128" s="365"/>
      <c r="AW128" s="365"/>
      <c r="AX128" s="365"/>
      <c r="AY128" s="365"/>
      <c r="AZ128" s="365"/>
      <c r="BA128" s="365"/>
      <c r="BB128" s="365"/>
    </row>
    <row r="129" spans="2:54">
      <c r="B129" s="644" t="s">
        <v>3341</v>
      </c>
      <c r="C129" s="58"/>
      <c r="D129" s="58"/>
      <c r="E129" s="58"/>
      <c r="F129" s="28"/>
      <c r="G129" s="28"/>
      <c r="H129" s="58"/>
      <c r="I129" s="58"/>
      <c r="J129" s="58"/>
      <c r="K129" s="58"/>
      <c r="L129" s="101"/>
      <c r="M129" s="101"/>
      <c r="N129" s="273"/>
      <c r="O129" s="273"/>
      <c r="P129" s="273"/>
      <c r="Q129" s="273">
        <v>102900000000000</v>
      </c>
      <c r="R129" s="273">
        <v>96500000000000</v>
      </c>
      <c r="S129" s="273">
        <v>45900000000000</v>
      </c>
      <c r="T129" s="273">
        <v>35600000000000</v>
      </c>
      <c r="U129" s="273">
        <v>45300000000000</v>
      </c>
      <c r="V129" s="273">
        <v>45400000000000</v>
      </c>
      <c r="W129" s="298">
        <v>44900000000000</v>
      </c>
      <c r="X129" s="389">
        <v>45200000000000</v>
      </c>
      <c r="Y129" s="389">
        <v>45900000000000</v>
      </c>
      <c r="Z129" s="389">
        <v>47000000000000</v>
      </c>
      <c r="AA129" s="365"/>
      <c r="AB129" s="365"/>
      <c r="AC129" s="365"/>
      <c r="AD129" s="365"/>
      <c r="AE129" s="365"/>
      <c r="AF129" s="365"/>
      <c r="AG129" s="365"/>
      <c r="AH129" s="365"/>
      <c r="AI129" s="365"/>
      <c r="AJ129" s="365"/>
      <c r="AK129" s="365"/>
      <c r="AL129" s="365"/>
      <c r="AM129" s="365"/>
      <c r="AN129" s="365"/>
      <c r="AO129" s="365"/>
      <c r="AP129" s="365"/>
      <c r="AQ129" s="365"/>
      <c r="AR129" s="365"/>
      <c r="AS129" s="365"/>
      <c r="AT129" s="365"/>
      <c r="AU129" s="365"/>
      <c r="AV129" s="365"/>
      <c r="AW129" s="365"/>
      <c r="AX129" s="365"/>
      <c r="AY129" s="365"/>
      <c r="AZ129" s="365"/>
      <c r="BA129" s="365"/>
      <c r="BB129" s="365"/>
    </row>
    <row r="130" spans="2:54">
      <c r="B130" s="644" t="s">
        <v>3342</v>
      </c>
      <c r="C130" s="58"/>
      <c r="D130" s="58"/>
      <c r="E130" s="58"/>
      <c r="F130" s="28"/>
      <c r="G130" s="28"/>
      <c r="H130" s="58"/>
      <c r="I130" s="58"/>
      <c r="J130" s="58"/>
      <c r="K130" s="58"/>
      <c r="L130" s="101"/>
      <c r="M130" s="101"/>
      <c r="N130" s="273"/>
      <c r="O130" s="273"/>
      <c r="P130" s="273"/>
      <c r="Q130" s="273">
        <v>2400000000000</v>
      </c>
      <c r="R130" s="273">
        <v>2600000000000</v>
      </c>
      <c r="S130" s="273">
        <v>3400000000000</v>
      </c>
      <c r="T130" s="273">
        <v>3800000000000</v>
      </c>
      <c r="U130" s="273">
        <v>3800000000000</v>
      </c>
      <c r="V130" s="273">
        <v>3900000000000</v>
      </c>
      <c r="W130" s="298">
        <v>3900000000000</v>
      </c>
      <c r="X130" s="389">
        <v>4000000000000</v>
      </c>
      <c r="Y130" s="389">
        <v>4000000000000</v>
      </c>
      <c r="Z130" s="389">
        <v>4000000000000</v>
      </c>
      <c r="AA130" s="365"/>
      <c r="AB130" s="365"/>
      <c r="AC130" s="365"/>
      <c r="AD130" s="365"/>
      <c r="AE130" s="365"/>
      <c r="AF130" s="365"/>
      <c r="AG130" s="365"/>
      <c r="AH130" s="365"/>
      <c r="AI130" s="365"/>
      <c r="AJ130" s="365"/>
      <c r="AK130" s="365"/>
      <c r="AL130" s="365"/>
      <c r="AM130" s="365"/>
      <c r="AN130" s="365"/>
      <c r="AO130" s="365"/>
      <c r="AP130" s="365"/>
      <c r="AQ130" s="365"/>
      <c r="AR130" s="365"/>
      <c r="AS130" s="365"/>
      <c r="AT130" s="365"/>
      <c r="AU130" s="365"/>
      <c r="AV130" s="365"/>
      <c r="AW130" s="365"/>
      <c r="AX130" s="365"/>
      <c r="AY130" s="365"/>
      <c r="AZ130" s="365"/>
      <c r="BA130" s="365"/>
      <c r="BB130" s="365"/>
    </row>
    <row r="131" spans="2:54">
      <c r="B131" s="644" t="s">
        <v>3343</v>
      </c>
      <c r="C131" s="58"/>
      <c r="D131" s="58"/>
      <c r="E131" s="58"/>
      <c r="F131" s="28"/>
      <c r="G131" s="28"/>
      <c r="H131" s="58"/>
      <c r="I131" s="58"/>
      <c r="J131" s="58"/>
      <c r="K131" s="58"/>
      <c r="L131" s="101"/>
      <c r="M131" s="101"/>
      <c r="N131" s="273"/>
      <c r="O131" s="273"/>
      <c r="P131" s="273"/>
      <c r="Q131" s="273">
        <v>4200000000000</v>
      </c>
      <c r="R131" s="273">
        <v>3500000000000</v>
      </c>
      <c r="S131" s="273">
        <v>10100000000000</v>
      </c>
      <c r="T131" s="273">
        <v>16700000000000</v>
      </c>
      <c r="U131" s="273">
        <v>4500000000000</v>
      </c>
      <c r="V131" s="273">
        <v>400000000000</v>
      </c>
      <c r="W131" s="298">
        <v>1100000000000</v>
      </c>
      <c r="X131" s="389">
        <v>2400000000000</v>
      </c>
      <c r="Y131" s="389">
        <v>800000000000</v>
      </c>
      <c r="Z131" s="2"/>
      <c r="AA131" s="365"/>
      <c r="AB131" s="365"/>
      <c r="AC131" s="365"/>
      <c r="AD131" s="365"/>
      <c r="AE131" s="365"/>
      <c r="AF131" s="365"/>
      <c r="AG131" s="365"/>
      <c r="AH131" s="365"/>
      <c r="AI131" s="365"/>
      <c r="AJ131" s="365"/>
      <c r="AK131" s="365"/>
      <c r="AL131" s="365"/>
      <c r="AM131" s="365"/>
      <c r="AN131" s="365"/>
      <c r="AO131" s="365"/>
      <c r="AP131" s="365"/>
      <c r="AQ131" s="365"/>
      <c r="AR131" s="365"/>
      <c r="AS131" s="365"/>
      <c r="AT131" s="365"/>
      <c r="AU131" s="365"/>
      <c r="AV131" s="365"/>
      <c r="AW131" s="365"/>
      <c r="AX131" s="365"/>
      <c r="AY131" s="365"/>
      <c r="AZ131" s="365"/>
      <c r="BA131" s="365"/>
      <c r="BB131" s="365"/>
    </row>
    <row r="132" spans="2:54">
      <c r="B132" s="58"/>
      <c r="C132" s="58"/>
      <c r="D132" s="58"/>
      <c r="E132" s="58"/>
      <c r="F132" s="28"/>
      <c r="G132" s="28"/>
      <c r="H132" s="58"/>
      <c r="I132" s="58"/>
      <c r="J132" s="58"/>
      <c r="K132" s="58"/>
      <c r="L132" s="101"/>
      <c r="M132" s="101"/>
      <c r="N132" s="273"/>
      <c r="O132" s="273"/>
      <c r="P132" s="273"/>
      <c r="Q132" s="273"/>
      <c r="R132" s="273"/>
      <c r="S132" s="273"/>
      <c r="T132" s="273"/>
      <c r="U132" s="273"/>
      <c r="V132" s="273"/>
      <c r="W132" s="28"/>
      <c r="X132" s="2"/>
      <c r="Y132" s="2"/>
      <c r="Z132" s="2"/>
      <c r="AA132" s="365"/>
      <c r="AB132" s="365"/>
      <c r="AC132" s="365"/>
      <c r="AD132" s="365"/>
      <c r="AE132" s="365"/>
      <c r="AF132" s="365"/>
      <c r="AG132" s="365"/>
      <c r="AH132" s="365"/>
      <c r="AI132" s="365"/>
      <c r="AJ132" s="365"/>
      <c r="AK132" s="365"/>
      <c r="AL132" s="365"/>
      <c r="AM132" s="365"/>
      <c r="AN132" s="365"/>
      <c r="AO132" s="365"/>
      <c r="AP132" s="365"/>
      <c r="AQ132" s="365"/>
      <c r="AR132" s="365"/>
      <c r="AS132" s="365"/>
      <c r="AT132" s="365"/>
      <c r="AU132" s="365"/>
      <c r="AV132" s="365"/>
      <c r="AW132" s="365"/>
      <c r="AX132" s="365"/>
      <c r="AY132" s="365"/>
      <c r="AZ132" s="365"/>
      <c r="BA132" s="365"/>
      <c r="BB132" s="365"/>
    </row>
    <row r="133" spans="2:54">
      <c r="B133" s="58"/>
      <c r="C133" s="58"/>
      <c r="D133" s="58"/>
      <c r="E133" s="58"/>
      <c r="F133" s="28"/>
      <c r="G133" s="28"/>
      <c r="H133" s="58"/>
      <c r="I133" s="58"/>
      <c r="J133" s="58"/>
      <c r="K133" s="58"/>
      <c r="L133" s="101"/>
      <c r="M133" s="101"/>
      <c r="N133" s="273"/>
      <c r="O133" s="273"/>
      <c r="P133" s="273"/>
      <c r="Q133" s="273"/>
      <c r="R133" s="273"/>
      <c r="S133" s="273"/>
      <c r="T133" s="273"/>
      <c r="U133" s="273"/>
      <c r="V133" s="273"/>
      <c r="W133" s="28"/>
      <c r="X133" s="2"/>
      <c r="Y133" s="2"/>
      <c r="Z133" s="2"/>
      <c r="AA133" s="365"/>
      <c r="AB133" s="365"/>
      <c r="AC133" s="365"/>
      <c r="AD133" s="365"/>
      <c r="AE133" s="365"/>
      <c r="AF133" s="365"/>
      <c r="AG133" s="365"/>
      <c r="AH133" s="365"/>
      <c r="AI133" s="365"/>
      <c r="AJ133" s="365"/>
      <c r="AK133" s="365"/>
      <c r="AL133" s="365"/>
      <c r="AM133" s="365"/>
      <c r="AN133" s="365"/>
      <c r="AO133" s="365"/>
      <c r="AP133" s="365"/>
      <c r="AQ133" s="365"/>
      <c r="AR133" s="365"/>
      <c r="AS133" s="365"/>
      <c r="AT133" s="365"/>
      <c r="AU133" s="365"/>
      <c r="AV133" s="365"/>
      <c r="AW133" s="365"/>
      <c r="AX133" s="365"/>
      <c r="AY133" s="365"/>
      <c r="AZ133" s="365"/>
      <c r="BA133" s="365"/>
      <c r="BB133" s="365"/>
    </row>
    <row r="134" spans="2:54">
      <c r="B134" s="58"/>
      <c r="C134" s="58"/>
      <c r="D134" s="58"/>
      <c r="E134" s="58"/>
      <c r="F134" s="28"/>
      <c r="G134" s="28"/>
      <c r="H134" s="58"/>
      <c r="I134" s="58"/>
      <c r="J134" s="58"/>
      <c r="K134" s="58"/>
      <c r="L134" s="101"/>
      <c r="M134" s="101"/>
      <c r="N134" s="273"/>
      <c r="O134" s="273"/>
      <c r="P134" s="273"/>
      <c r="Q134" s="273"/>
      <c r="R134" s="273"/>
      <c r="S134" s="273"/>
      <c r="T134" s="273"/>
      <c r="U134" s="273"/>
      <c r="V134" s="273"/>
      <c r="W134" s="28"/>
      <c r="X134" s="2"/>
      <c r="Y134" s="2"/>
      <c r="Z134" s="2"/>
      <c r="AA134" s="365"/>
      <c r="AB134" s="365"/>
      <c r="AC134" s="365"/>
      <c r="AD134" s="365"/>
      <c r="AE134" s="365"/>
      <c r="AF134" s="365"/>
      <c r="AG134" s="365"/>
      <c r="AH134" s="365"/>
      <c r="AI134" s="365"/>
      <c r="AJ134" s="365"/>
      <c r="AK134" s="365"/>
      <c r="AL134" s="365"/>
      <c r="AM134" s="365"/>
      <c r="AN134" s="365"/>
      <c r="AO134" s="365"/>
      <c r="AP134" s="365"/>
      <c r="AQ134" s="365"/>
      <c r="AR134" s="365"/>
      <c r="AS134" s="365"/>
      <c r="AT134" s="365"/>
      <c r="AU134" s="365"/>
      <c r="AV134" s="365"/>
      <c r="AW134" s="365"/>
      <c r="AX134" s="365"/>
      <c r="AY134" s="365"/>
      <c r="AZ134" s="365"/>
      <c r="BA134" s="365"/>
      <c r="BB134" s="365"/>
    </row>
    <row r="135" spans="2:54">
      <c r="C135" s="58"/>
      <c r="D135" s="58"/>
      <c r="E135" s="58"/>
      <c r="F135" s="28"/>
      <c r="G135" s="28"/>
      <c r="H135" t="s">
        <v>139</v>
      </c>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s="365"/>
      <c r="AB135" s="365"/>
      <c r="AC135" s="365"/>
      <c r="AD135" s="365"/>
      <c r="AE135" s="365"/>
      <c r="AF135" s="365"/>
      <c r="AG135" s="365"/>
      <c r="AH135" s="365"/>
      <c r="AI135" s="365"/>
      <c r="AJ135" s="365"/>
      <c r="AK135" s="365"/>
      <c r="AL135" s="365"/>
      <c r="AM135" s="365"/>
      <c r="AN135" s="365"/>
      <c r="AO135" s="365"/>
      <c r="AP135" s="365"/>
      <c r="AQ135" s="365"/>
      <c r="AR135" s="365"/>
      <c r="AS135" s="365"/>
      <c r="AT135" s="365"/>
      <c r="AU135" s="365"/>
      <c r="AV135" s="365"/>
      <c r="AW135" s="365"/>
      <c r="AX135" s="365"/>
      <c r="AY135" s="365"/>
      <c r="AZ135" s="365"/>
      <c r="BA135" s="365"/>
      <c r="BB135" s="365"/>
    </row>
    <row r="136" spans="2:54">
      <c r="C136" s="58"/>
      <c r="D136" s="58"/>
      <c r="E136" s="58"/>
      <c r="F136" s="28"/>
      <c r="G136" s="28"/>
      <c r="H136" s="58"/>
      <c r="I136" s="58"/>
      <c r="J136" s="58"/>
      <c r="K136" s="58"/>
      <c r="L136" s="101"/>
      <c r="M136" s="101"/>
      <c r="N136" s="273"/>
      <c r="O136" s="273"/>
      <c r="P136" s="273"/>
      <c r="Q136" s="273"/>
      <c r="R136" s="273"/>
      <c r="S136" s="273"/>
      <c r="T136" s="273"/>
      <c r="U136" s="273"/>
      <c r="V136" s="273"/>
      <c r="W136" s="28"/>
      <c r="X136" s="2"/>
      <c r="Y136" s="2"/>
      <c r="Z136" s="2"/>
      <c r="AA136" s="365"/>
      <c r="AB136" s="365"/>
      <c r="AC136" s="365"/>
      <c r="AD136" s="365"/>
      <c r="AE136" s="365"/>
      <c r="AF136" s="365"/>
      <c r="AG136" s="365"/>
      <c r="AH136" s="365"/>
      <c r="AI136" s="365"/>
      <c r="AJ136" s="365"/>
      <c r="AK136" s="365"/>
      <c r="AL136" s="365"/>
      <c r="AM136" s="365"/>
      <c r="AN136" s="365"/>
      <c r="AO136" s="365"/>
      <c r="AP136" s="365"/>
      <c r="AQ136" s="365"/>
      <c r="AR136" s="365"/>
      <c r="AS136" s="365"/>
      <c r="AT136" s="365"/>
      <c r="AU136" s="365"/>
      <c r="AV136" s="365"/>
      <c r="AW136" s="365"/>
      <c r="AX136" s="365"/>
      <c r="AY136" s="365"/>
      <c r="AZ136" s="365"/>
      <c r="BA136" s="365"/>
      <c r="BB136" s="365"/>
    </row>
    <row r="137" spans="2:54">
      <c r="B137" t="s">
        <v>450</v>
      </c>
      <c r="C137" s="58"/>
      <c r="D137" s="58"/>
      <c r="E137" s="58"/>
      <c r="F137" s="243"/>
      <c r="G137" s="243"/>
      <c r="H137" s="21">
        <f>H6-H7-H22</f>
        <v>0</v>
      </c>
      <c r="I137" s="21">
        <f>I6-I7-I22</f>
        <v>0</v>
      </c>
      <c r="J137" s="21">
        <f>J6-J7-J22</f>
        <v>0</v>
      </c>
      <c r="K137" s="21">
        <f>K6-K7-K22</f>
        <v>100000000000</v>
      </c>
      <c r="L137" s="21">
        <f t="shared" ref="L137:Q137" si="4">L6-L7-L22</f>
        <v>100000000000</v>
      </c>
      <c r="M137" s="21">
        <f t="shared" si="4"/>
        <v>0</v>
      </c>
      <c r="N137" s="21">
        <f t="shared" si="4"/>
        <v>-7.8125E-3</v>
      </c>
      <c r="O137" s="21">
        <f t="shared" si="4"/>
        <v>100000000000</v>
      </c>
      <c r="P137" s="21">
        <f t="shared" si="4"/>
        <v>0</v>
      </c>
      <c r="Q137" s="21">
        <f t="shared" si="4"/>
        <v>-100000000000</v>
      </c>
      <c r="R137" s="21">
        <f t="shared" ref="R137:X137" si="5">R6-R7-R22</f>
        <v>0</v>
      </c>
      <c r="S137" s="21">
        <f t="shared" si="5"/>
        <v>0</v>
      </c>
      <c r="T137" s="21">
        <f t="shared" si="5"/>
        <v>0</v>
      </c>
      <c r="U137" s="21">
        <f t="shared" si="5"/>
        <v>0</v>
      </c>
      <c r="V137" s="21">
        <f t="shared" si="5"/>
        <v>0</v>
      </c>
      <c r="W137" s="21">
        <f t="shared" si="5"/>
        <v>0</v>
      </c>
      <c r="X137" s="21">
        <f t="shared" si="5"/>
        <v>0</v>
      </c>
      <c r="Y137" s="21">
        <f t="shared" ref="Y137:Z137" si="6">Y6-Y7-Y22</f>
        <v>0</v>
      </c>
      <c r="Z137" s="21">
        <f t="shared" si="6"/>
        <v>0</v>
      </c>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row>
    <row r="138" spans="2:54">
      <c r="B138" t="s">
        <v>141</v>
      </c>
      <c r="C138" s="58"/>
      <c r="D138" s="58"/>
      <c r="E138" s="58"/>
      <c r="F138" s="243"/>
      <c r="G138" s="243"/>
      <c r="H138" s="21">
        <f>H7-H9-H12-H15-H20</f>
        <v>26376000000000</v>
      </c>
      <c r="I138" s="21">
        <f>I7-I9-I12-I15-I20</f>
        <v>36619000000000</v>
      </c>
      <c r="J138" s="21">
        <f>J7-J9-J12-J15-J20</f>
        <v>49282000000000</v>
      </c>
      <c r="K138" s="21">
        <f>K7-K9-K12-K15-K20</f>
        <v>56400000000000</v>
      </c>
      <c r="L138" s="21">
        <f>L7-L9-L12-L15-L20</f>
        <v>79100000000000</v>
      </c>
      <c r="M138" s="21">
        <f t="shared" ref="M138:Q138" si="7">M7-M9-M12-M15-M20</f>
        <v>52400000000000</v>
      </c>
      <c r="N138" s="21">
        <f>N7-N9-N12-N15-N20</f>
        <v>68900000000000.008</v>
      </c>
      <c r="O138" s="21">
        <f t="shared" si="7"/>
        <v>102400000000000</v>
      </c>
      <c r="P138" s="21">
        <f t="shared" si="7"/>
        <v>119400000000000</v>
      </c>
      <c r="Q138" s="21">
        <f t="shared" si="7"/>
        <v>0</v>
      </c>
      <c r="R138" s="21">
        <f t="shared" ref="R138:X138" si="8">R7-R9-R12-R15-R20</f>
        <v>0</v>
      </c>
      <c r="S138" s="21">
        <f t="shared" si="8"/>
        <v>0</v>
      </c>
      <c r="T138" s="21">
        <f t="shared" si="8"/>
        <v>0</v>
      </c>
      <c r="U138" s="21">
        <f t="shared" si="8"/>
        <v>0</v>
      </c>
      <c r="V138" s="21">
        <f t="shared" si="8"/>
        <v>0</v>
      </c>
      <c r="W138" s="21">
        <f t="shared" si="8"/>
        <v>0</v>
      </c>
      <c r="X138" s="21">
        <f t="shared" si="8"/>
        <v>0</v>
      </c>
      <c r="Y138" s="21">
        <f t="shared" ref="Y138:Z138" si="9">Y7-Y9-Y12-Y15-Y20</f>
        <v>0</v>
      </c>
      <c r="Z138" s="21">
        <f t="shared" si="9"/>
        <v>0</v>
      </c>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row>
    <row r="139" spans="2:54">
      <c r="B139" t="s">
        <v>145</v>
      </c>
      <c r="C139" s="58"/>
      <c r="D139" s="58"/>
      <c r="E139" s="58"/>
      <c r="F139" s="243"/>
      <c r="G139" s="243"/>
      <c r="H139" s="21">
        <f>H23-H26-H64-H79-H78</f>
        <v>1000000000</v>
      </c>
      <c r="I139" s="21">
        <f>I23-I26-I64-I79-I78</f>
        <v>0</v>
      </c>
      <c r="J139" s="21">
        <f>J23-J26-J64-J79-J78</f>
        <v>1000000000</v>
      </c>
      <c r="K139" s="21">
        <f>K23-K26-K64-K79-K78</f>
        <v>0</v>
      </c>
      <c r="L139" s="21">
        <f t="shared" ref="L139:Q139" si="10">L23-L26-L64-L79-L78</f>
        <v>0</v>
      </c>
      <c r="M139" s="21">
        <f t="shared" si="10"/>
        <v>0</v>
      </c>
      <c r="N139" s="21">
        <f t="shared" si="10"/>
        <v>0</v>
      </c>
      <c r="O139" s="21">
        <f t="shared" si="10"/>
        <v>100000000000</v>
      </c>
      <c r="P139" s="21">
        <f t="shared" si="10"/>
        <v>-100000000000</v>
      </c>
      <c r="Q139" s="21">
        <f t="shared" si="10"/>
        <v>-100000000000</v>
      </c>
      <c r="R139" s="21">
        <f t="shared" ref="R139:X139" si="11">R23-R26-R64-R79-R78</f>
        <v>-100000000000</v>
      </c>
      <c r="S139" s="21">
        <f t="shared" si="11"/>
        <v>100000000000</v>
      </c>
      <c r="T139" s="21">
        <f t="shared" si="11"/>
        <v>-100000000000</v>
      </c>
      <c r="U139" s="21">
        <f t="shared" si="11"/>
        <v>0</v>
      </c>
      <c r="V139" s="21">
        <f t="shared" si="11"/>
        <v>0</v>
      </c>
      <c r="W139" s="21">
        <f t="shared" si="11"/>
        <v>0</v>
      </c>
      <c r="X139" s="21">
        <f t="shared" si="11"/>
        <v>-100000000000</v>
      </c>
      <c r="Y139" s="21">
        <f t="shared" ref="Y139:Z139" si="12">Y23-Y26-Y64-Y79-Y78</f>
        <v>0</v>
      </c>
      <c r="Z139" s="21">
        <f t="shared" si="12"/>
        <v>0</v>
      </c>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row>
    <row r="140" spans="2:54">
      <c r="B140" t="s">
        <v>361</v>
      </c>
      <c r="C140" s="58"/>
      <c r="D140" s="58"/>
      <c r="E140" s="58"/>
      <c r="F140" s="243"/>
      <c r="G140" s="243"/>
      <c r="H140" s="21">
        <f>H26-H27-H36-H47-H62-H63-H59-H44</f>
        <v>0</v>
      </c>
      <c r="I140" s="21">
        <f t="shared" ref="I140:P140" si="13">I26-I27-I36-I47-I62-I63-I59-I44</f>
        <v>0</v>
      </c>
      <c r="J140" s="21">
        <f>J26-J27-J36-J47-J62-J63-J59-J44</f>
        <v>1000000000</v>
      </c>
      <c r="K140" s="21">
        <f t="shared" si="13"/>
        <v>0</v>
      </c>
      <c r="L140" s="21">
        <f t="shared" si="13"/>
        <v>0</v>
      </c>
      <c r="M140" s="21">
        <f t="shared" si="13"/>
        <v>0</v>
      </c>
      <c r="N140" s="21">
        <f t="shared" si="13"/>
        <v>-100000000000</v>
      </c>
      <c r="O140" s="21">
        <f t="shared" si="13"/>
        <v>0</v>
      </c>
      <c r="P140" s="21">
        <f t="shared" si="13"/>
        <v>0</v>
      </c>
      <c r="Q140" s="21">
        <f>Q26-Q27-Q36-Q37-Q47-Q62-Q63-Q59-Q44</f>
        <v>100000000000</v>
      </c>
      <c r="R140" s="21">
        <f t="shared" ref="R140:Z140" si="14">R26-R27-R36-R37-R47-R62-R63-R59-R44</f>
        <v>0</v>
      </c>
      <c r="S140" s="21">
        <f t="shared" si="14"/>
        <v>-100000000000</v>
      </c>
      <c r="T140" s="21">
        <f t="shared" si="14"/>
        <v>100000000000</v>
      </c>
      <c r="U140" s="21">
        <f t="shared" si="14"/>
        <v>-100000000000</v>
      </c>
      <c r="V140" s="21">
        <f t="shared" si="14"/>
        <v>0</v>
      </c>
      <c r="W140" s="21">
        <f t="shared" si="14"/>
        <v>-100000000000</v>
      </c>
      <c r="X140" s="21">
        <f t="shared" si="14"/>
        <v>0</v>
      </c>
      <c r="Y140" s="21">
        <f t="shared" si="14"/>
        <v>0</v>
      </c>
      <c r="Z140" s="21">
        <f t="shared" si="14"/>
        <v>0</v>
      </c>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row>
    <row r="141" spans="2:54">
      <c r="B141" t="s">
        <v>3344</v>
      </c>
      <c r="C141" s="58"/>
      <c r="D141" s="58"/>
      <c r="E141" s="58"/>
      <c r="F141" s="243"/>
      <c r="G141" s="243"/>
      <c r="H141" s="131">
        <f t="shared" ref="H141:Q141" si="15">H27-H28-H33</f>
        <v>4532000000000</v>
      </c>
      <c r="I141" s="21">
        <f t="shared" si="15"/>
        <v>-1000000000</v>
      </c>
      <c r="J141" s="21">
        <f t="shared" si="15"/>
        <v>-1000000000</v>
      </c>
      <c r="K141" s="21">
        <f t="shared" si="15"/>
        <v>0</v>
      </c>
      <c r="L141" s="131">
        <f t="shared" si="15"/>
        <v>21100000000000</v>
      </c>
      <c r="M141" s="131">
        <f t="shared" si="15"/>
        <v>27800000000000</v>
      </c>
      <c r="N141" s="21">
        <f t="shared" si="15"/>
        <v>0</v>
      </c>
      <c r="O141" s="21">
        <f t="shared" si="15"/>
        <v>0</v>
      </c>
      <c r="P141" s="21">
        <f t="shared" si="15"/>
        <v>0</v>
      </c>
      <c r="Q141" s="21">
        <f t="shared" si="15"/>
        <v>0</v>
      </c>
      <c r="R141" s="21">
        <f t="shared" ref="R141:X141" si="16">R27-R28-R33</f>
        <v>100000000000</v>
      </c>
      <c r="S141" s="21">
        <f t="shared" si="16"/>
        <v>100000000000</v>
      </c>
      <c r="T141" s="21">
        <f t="shared" si="16"/>
        <v>0</v>
      </c>
      <c r="U141" s="21">
        <f t="shared" si="16"/>
        <v>0</v>
      </c>
      <c r="V141" s="21">
        <f t="shared" si="16"/>
        <v>0</v>
      </c>
      <c r="W141" s="21">
        <f t="shared" si="16"/>
        <v>0</v>
      </c>
      <c r="X141" s="21">
        <f t="shared" si="16"/>
        <v>-100000000000</v>
      </c>
      <c r="Y141" s="21">
        <f t="shared" ref="Y141:Z141" si="17">Y27-Y28-Y33</f>
        <v>0</v>
      </c>
      <c r="Z141" s="21">
        <f t="shared" si="17"/>
        <v>0</v>
      </c>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row>
    <row r="142" spans="2:54">
      <c r="B142" t="s">
        <v>3345</v>
      </c>
      <c r="C142" s="58"/>
      <c r="D142" s="58"/>
      <c r="E142" s="58"/>
      <c r="F142" s="243"/>
      <c r="G142" s="243"/>
      <c r="H142" s="21">
        <f>H28-H29-H30</f>
        <v>0</v>
      </c>
      <c r="I142" s="21">
        <f t="shared" ref="I142:V142" si="18">I28-I29-I30</f>
        <v>0</v>
      </c>
      <c r="J142" s="21">
        <f t="shared" si="18"/>
        <v>1000000000</v>
      </c>
      <c r="K142" s="21">
        <f t="shared" si="18"/>
        <v>0</v>
      </c>
      <c r="L142" s="21">
        <f t="shared" si="18"/>
        <v>0</v>
      </c>
      <c r="M142" s="21">
        <f t="shared" si="18"/>
        <v>0</v>
      </c>
      <c r="N142" s="131">
        <f>N28-N29-N30</f>
        <v>22600000000000</v>
      </c>
      <c r="O142" s="131">
        <f t="shared" si="18"/>
        <v>27000000000000</v>
      </c>
      <c r="P142" s="131">
        <f t="shared" si="18"/>
        <v>28500000000000</v>
      </c>
      <c r="Q142" s="131">
        <f t="shared" si="18"/>
        <v>-100000000000</v>
      </c>
      <c r="R142" s="131">
        <f t="shared" si="18"/>
        <v>0</v>
      </c>
      <c r="S142" s="131">
        <f t="shared" si="18"/>
        <v>0</v>
      </c>
      <c r="T142" s="131">
        <f t="shared" si="18"/>
        <v>-100000000000</v>
      </c>
      <c r="U142" s="131">
        <f t="shared" si="18"/>
        <v>0</v>
      </c>
      <c r="V142" s="131">
        <f t="shared" si="18"/>
        <v>-100000000000</v>
      </c>
      <c r="W142" s="131">
        <f>W28-W29-W30</f>
        <v>0</v>
      </c>
      <c r="X142" s="131">
        <f>X28-X29-X30</f>
        <v>0</v>
      </c>
      <c r="Y142" s="131">
        <f t="shared" ref="Y142:Z142" si="19">Y28-Y29-Y30</f>
        <v>-100000000000</v>
      </c>
      <c r="Z142" s="131">
        <f t="shared" si="19"/>
        <v>-100000000000</v>
      </c>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c r="AY142" s="365"/>
      <c r="AZ142" s="365"/>
      <c r="BA142" s="365"/>
      <c r="BB142" s="365"/>
    </row>
    <row r="143" spans="2:54">
      <c r="B143" t="s">
        <v>3346</v>
      </c>
      <c r="C143" s="58"/>
      <c r="D143" s="58"/>
      <c r="E143" s="58"/>
      <c r="F143" s="243"/>
      <c r="G143" s="243"/>
      <c r="H143" s="21">
        <f>H36-H40-H41-H42-H43</f>
        <v>-1000000000</v>
      </c>
      <c r="I143" s="21">
        <f>I36-I40-I41-I42-I43</f>
        <v>0</v>
      </c>
      <c r="J143" s="21">
        <f t="shared" ref="J143:V143" si="20">J36-J40-J41-J42-J43</f>
        <v>0</v>
      </c>
      <c r="K143" s="21">
        <f>K36-K40-K41-K42-K43</f>
        <v>0</v>
      </c>
      <c r="L143" s="131">
        <f>L36-L40-L41-L42-L43</f>
        <v>13900000000000</v>
      </c>
      <c r="M143" s="131">
        <f t="shared" si="20"/>
        <v>14300000000000</v>
      </c>
      <c r="N143" s="131">
        <f t="shared" si="20"/>
        <v>11000000000000</v>
      </c>
      <c r="O143" s="131">
        <f t="shared" si="20"/>
        <v>12000000000000</v>
      </c>
      <c r="P143" s="131">
        <f t="shared" si="20"/>
        <v>17500000000000</v>
      </c>
      <c r="Q143" s="131">
        <f t="shared" si="20"/>
        <v>0</v>
      </c>
      <c r="R143" s="131">
        <f t="shared" si="20"/>
        <v>0</v>
      </c>
      <c r="S143" s="131">
        <f t="shared" si="20"/>
        <v>0</v>
      </c>
      <c r="T143" s="131">
        <f t="shared" si="20"/>
        <v>0</v>
      </c>
      <c r="U143" s="131">
        <f t="shared" si="20"/>
        <v>0</v>
      </c>
      <c r="V143" s="131">
        <f t="shared" si="20"/>
        <v>0</v>
      </c>
      <c r="W143" s="131">
        <f>W36-W40-W41-W42-W43</f>
        <v>0</v>
      </c>
      <c r="X143" s="131">
        <f>X36-X40-X41-X42-X43</f>
        <v>0</v>
      </c>
      <c r="Y143" s="131">
        <f t="shared" ref="Y143:Z143" si="21">Y36-Y40-Y41-Y42-Y43</f>
        <v>0</v>
      </c>
      <c r="Z143" s="131">
        <f t="shared" si="21"/>
        <v>0</v>
      </c>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c r="AY143" s="365"/>
      <c r="AZ143" s="365"/>
      <c r="BA143" s="365"/>
      <c r="BB143" s="365"/>
    </row>
    <row r="144" spans="2:54">
      <c r="B144" t="s">
        <v>3347</v>
      </c>
      <c r="C144" s="58"/>
      <c r="D144" s="58"/>
      <c r="E144" s="58"/>
      <c r="F144" s="243"/>
      <c r="G144" s="243"/>
      <c r="H144" s="21">
        <f>H44-H45-H46</f>
        <v>0</v>
      </c>
      <c r="I144" s="21">
        <f t="shared" ref="I144:V144" si="22">I44-I45-I46</f>
        <v>0</v>
      </c>
      <c r="J144" s="21">
        <f t="shared" si="22"/>
        <v>0</v>
      </c>
      <c r="K144" s="131">
        <f>K44-K45-K46</f>
        <v>5800000000000</v>
      </c>
      <c r="L144" s="21">
        <f t="shared" si="22"/>
        <v>0</v>
      </c>
      <c r="M144" s="21">
        <f t="shared" si="22"/>
        <v>0</v>
      </c>
      <c r="N144" s="21">
        <f t="shared" si="22"/>
        <v>0</v>
      </c>
      <c r="O144" s="21">
        <f t="shared" si="22"/>
        <v>0</v>
      </c>
      <c r="P144" s="21">
        <f t="shared" si="22"/>
        <v>0</v>
      </c>
      <c r="Q144" s="21">
        <f t="shared" si="22"/>
        <v>0</v>
      </c>
      <c r="R144" s="21">
        <f t="shared" si="22"/>
        <v>0</v>
      </c>
      <c r="S144" s="21">
        <f t="shared" si="22"/>
        <v>0</v>
      </c>
      <c r="T144" s="21">
        <f t="shared" si="22"/>
        <v>0</v>
      </c>
      <c r="U144" s="21">
        <f t="shared" si="22"/>
        <v>0</v>
      </c>
      <c r="V144" s="21">
        <f t="shared" si="22"/>
        <v>0</v>
      </c>
      <c r="W144" s="21">
        <f>W44-W45-W46</f>
        <v>0</v>
      </c>
      <c r="X144" s="21">
        <f>X44-X45-X46</f>
        <v>0</v>
      </c>
      <c r="Y144" s="21">
        <f t="shared" ref="Y144:Z144" si="23">Y44-Y45-Y46</f>
        <v>0</v>
      </c>
      <c r="Z144" s="21">
        <f t="shared" si="23"/>
        <v>0</v>
      </c>
      <c r="AA144" s="365"/>
      <c r="AB144" s="365"/>
      <c r="AC144" s="365"/>
      <c r="AD144" s="365"/>
      <c r="AE144" s="365"/>
      <c r="AF144" s="365"/>
      <c r="AG144" s="365"/>
      <c r="AH144" s="365"/>
      <c r="AI144" s="365"/>
      <c r="AJ144" s="365"/>
      <c r="AK144" s="365"/>
      <c r="AL144" s="365"/>
      <c r="AM144" s="365"/>
      <c r="AN144" s="365"/>
      <c r="AO144" s="365"/>
      <c r="AP144" s="365"/>
      <c r="AQ144" s="365"/>
      <c r="AR144" s="365"/>
      <c r="AS144" s="365"/>
      <c r="AT144" s="365"/>
      <c r="AU144" s="365"/>
      <c r="AV144" s="365"/>
      <c r="AW144" s="365"/>
      <c r="AX144" s="365"/>
      <c r="AY144" s="365"/>
      <c r="AZ144" s="365"/>
      <c r="BA144" s="365"/>
      <c r="BB144" s="365"/>
    </row>
    <row r="145" spans="2:54">
      <c r="B145" t="s">
        <v>1961</v>
      </c>
      <c r="C145" s="58"/>
      <c r="D145" s="58"/>
      <c r="E145" s="58"/>
      <c r="F145" s="243"/>
      <c r="G145" s="243"/>
      <c r="H145" s="21">
        <f>H47-H50-H53-H56</f>
        <v>0</v>
      </c>
      <c r="I145" s="21">
        <f>I47-I50-I53-I56</f>
        <v>0</v>
      </c>
      <c r="J145" s="21">
        <f>J47-J50-J53-J56</f>
        <v>0</v>
      </c>
      <c r="K145" s="21">
        <f>K47-K50-K53-K56</f>
        <v>0</v>
      </c>
      <c r="L145" s="21">
        <f>L47-L50-L53-L56</f>
        <v>0</v>
      </c>
      <c r="M145" s="21">
        <f t="shared" ref="M145:V145" si="24">M47-M50-M53-M56</f>
        <v>100000000000</v>
      </c>
      <c r="N145" s="21">
        <f t="shared" si="24"/>
        <v>0</v>
      </c>
      <c r="O145" s="21">
        <f t="shared" si="24"/>
        <v>0</v>
      </c>
      <c r="P145" s="21">
        <f t="shared" si="24"/>
        <v>0</v>
      </c>
      <c r="Q145" s="21">
        <f t="shared" si="24"/>
        <v>0</v>
      </c>
      <c r="R145" s="21">
        <f t="shared" si="24"/>
        <v>0</v>
      </c>
      <c r="S145" s="21">
        <f t="shared" si="24"/>
        <v>0</v>
      </c>
      <c r="T145" s="21">
        <f t="shared" si="24"/>
        <v>0</v>
      </c>
      <c r="U145" s="21">
        <f t="shared" si="24"/>
        <v>0</v>
      </c>
      <c r="V145" s="21">
        <f t="shared" si="24"/>
        <v>0</v>
      </c>
      <c r="W145" s="21">
        <f>W47-W50-W53-W56</f>
        <v>0</v>
      </c>
      <c r="X145" s="21">
        <f>X47-X50-X53-X56</f>
        <v>0</v>
      </c>
      <c r="Y145" s="21">
        <f t="shared" ref="Y145:Z145" si="25">Y47-Y50-Y53-Y56</f>
        <v>0</v>
      </c>
      <c r="Z145" s="21">
        <f t="shared" si="25"/>
        <v>0</v>
      </c>
      <c r="AA145" s="365"/>
      <c r="AB145" s="365"/>
      <c r="AC145" s="365"/>
      <c r="AD145" s="365"/>
      <c r="AE145" s="365"/>
      <c r="AF145" s="365"/>
      <c r="AG145" s="365"/>
      <c r="AH145" s="365"/>
      <c r="AI145" s="365"/>
      <c r="AJ145" s="365"/>
      <c r="AK145" s="365"/>
      <c r="AL145" s="365"/>
      <c r="AM145" s="365"/>
      <c r="AN145" s="365"/>
      <c r="AO145" s="365"/>
      <c r="AP145" s="365"/>
      <c r="AQ145" s="365"/>
      <c r="AR145" s="365"/>
      <c r="AS145" s="365"/>
      <c r="AT145" s="365"/>
      <c r="AU145" s="365"/>
      <c r="AV145" s="365"/>
      <c r="AW145" s="365"/>
      <c r="AX145" s="365"/>
      <c r="AY145" s="365"/>
      <c r="AZ145" s="365"/>
      <c r="BA145" s="365"/>
      <c r="BB145" s="365"/>
    </row>
    <row r="146" spans="2:54">
      <c r="B146" t="s">
        <v>936</v>
      </c>
      <c r="C146" s="58"/>
      <c r="D146" s="58"/>
      <c r="E146" s="58"/>
      <c r="F146" s="243"/>
      <c r="G146" s="243"/>
      <c r="H146" s="21">
        <f>H59-H60-H61</f>
        <v>0</v>
      </c>
      <c r="I146" s="21">
        <f t="shared" ref="I146:V146" si="26">I59-I60-I61</f>
        <v>0</v>
      </c>
      <c r="J146" s="131">
        <f>J59-J60-J61</f>
        <v>438000000000</v>
      </c>
      <c r="K146" s="131">
        <f t="shared" si="26"/>
        <v>600000000000</v>
      </c>
      <c r="L146" s="131">
        <f t="shared" si="26"/>
        <v>500000000000</v>
      </c>
      <c r="M146" s="131">
        <f t="shared" si="26"/>
        <v>400000000000</v>
      </c>
      <c r="N146" s="131">
        <f t="shared" si="26"/>
        <v>800000000000</v>
      </c>
      <c r="O146" s="131">
        <f t="shared" si="26"/>
        <v>1600000000000</v>
      </c>
      <c r="P146" s="131">
        <f t="shared" si="26"/>
        <v>1000000000000</v>
      </c>
      <c r="Q146" s="131">
        <f t="shared" si="26"/>
        <v>1000000000000</v>
      </c>
      <c r="R146" s="131">
        <f t="shared" si="26"/>
        <v>700000000000</v>
      </c>
      <c r="S146" s="131">
        <f t="shared" si="26"/>
        <v>1300000000000</v>
      </c>
      <c r="T146" s="131">
        <f t="shared" si="26"/>
        <v>1400000000000</v>
      </c>
      <c r="U146" s="131">
        <f t="shared" si="26"/>
        <v>2800000000000</v>
      </c>
      <c r="V146" s="131">
        <f t="shared" si="26"/>
        <v>2700000000000</v>
      </c>
      <c r="W146" s="131">
        <f>W59-W60-W61</f>
        <v>3100000000000</v>
      </c>
      <c r="X146" s="131">
        <f>X59-X60-X61</f>
        <v>3300000000000</v>
      </c>
      <c r="Y146" s="131">
        <f t="shared" ref="Y146:Z146" si="27">Y59-Y60-Y61</f>
        <v>3300000000000</v>
      </c>
      <c r="Z146" s="131">
        <f t="shared" si="27"/>
        <v>3400000000000</v>
      </c>
      <c r="AA146" s="365"/>
      <c r="AB146" s="365"/>
      <c r="AC146" s="365"/>
      <c r="AD146" s="365"/>
      <c r="AE146" s="365"/>
      <c r="AF146" s="365"/>
      <c r="AG146" s="365"/>
      <c r="AH146" s="365"/>
      <c r="AI146" s="365"/>
      <c r="AJ146" s="365"/>
      <c r="AK146" s="365"/>
      <c r="AL146" s="365"/>
      <c r="AM146" s="365"/>
      <c r="AN146" s="365"/>
      <c r="AO146" s="365"/>
      <c r="AP146" s="365"/>
      <c r="AQ146" s="365"/>
      <c r="AR146" s="365"/>
      <c r="AS146" s="365"/>
      <c r="AT146" s="365"/>
      <c r="AU146" s="365"/>
      <c r="AV146" s="365"/>
      <c r="AW146" s="365"/>
      <c r="AX146" s="365"/>
      <c r="AY146" s="365"/>
      <c r="AZ146" s="365"/>
      <c r="BA146" s="365"/>
      <c r="BB146" s="365"/>
    </row>
    <row r="147" spans="2:54">
      <c r="B147" t="s">
        <v>3348</v>
      </c>
      <c r="C147" s="58"/>
      <c r="D147" s="58"/>
      <c r="E147" s="58"/>
      <c r="F147" s="243"/>
      <c r="G147" s="243"/>
      <c r="H147" s="21">
        <f>H64-H65-H76</f>
        <v>0</v>
      </c>
      <c r="I147" s="21">
        <f t="shared" ref="I147:V147" si="28">I64-I65-I76</f>
        <v>-1000000000</v>
      </c>
      <c r="J147" s="21">
        <f t="shared" si="28"/>
        <v>0</v>
      </c>
      <c r="K147" s="21">
        <f t="shared" si="28"/>
        <v>0</v>
      </c>
      <c r="L147" s="21">
        <f t="shared" si="28"/>
        <v>100000000000</v>
      </c>
      <c r="M147" s="21">
        <f t="shared" si="28"/>
        <v>-100000000000</v>
      </c>
      <c r="N147" s="131">
        <f>N64-N65-N76</f>
        <v>24100000000000</v>
      </c>
      <c r="O147" s="131">
        <f t="shared" si="28"/>
        <v>27400000000000</v>
      </c>
      <c r="P147" s="131">
        <f t="shared" si="28"/>
        <v>33600000000000</v>
      </c>
      <c r="Q147" s="131">
        <f t="shared" si="28"/>
        <v>0</v>
      </c>
      <c r="R147" s="131">
        <f t="shared" si="28"/>
        <v>0</v>
      </c>
      <c r="S147" s="131">
        <f t="shared" si="28"/>
        <v>-100000000000</v>
      </c>
      <c r="T147" s="131">
        <f t="shared" si="28"/>
        <v>0</v>
      </c>
      <c r="U147" s="131">
        <f t="shared" si="28"/>
        <v>0</v>
      </c>
      <c r="V147" s="131">
        <f t="shared" si="28"/>
        <v>0</v>
      </c>
      <c r="W147" s="131">
        <f>W64-W65-W76</f>
        <v>0</v>
      </c>
      <c r="X147" s="131">
        <f>X64-X65-X76</f>
        <v>0</v>
      </c>
      <c r="Y147" s="131">
        <f t="shared" ref="Y147:Z147" si="29">Y64-Y65-Y76</f>
        <v>0</v>
      </c>
      <c r="Z147" s="131">
        <f t="shared" si="29"/>
        <v>0</v>
      </c>
      <c r="AA147" s="365"/>
      <c r="AB147" s="365"/>
      <c r="AC147" s="365"/>
      <c r="AD147" s="365"/>
      <c r="AE147" s="365"/>
      <c r="AF147" s="365"/>
      <c r="AG147" s="365"/>
      <c r="AH147" s="365"/>
      <c r="AI147" s="365"/>
      <c r="AJ147" s="365"/>
      <c r="AK147" s="365"/>
      <c r="AL147" s="365"/>
      <c r="AM147" s="365"/>
      <c r="AN147" s="365"/>
      <c r="AO147" s="365"/>
      <c r="AP147" s="365"/>
      <c r="AQ147" s="365"/>
      <c r="AR147" s="365"/>
      <c r="AS147" s="365"/>
      <c r="AT147" s="365"/>
      <c r="AU147" s="365"/>
      <c r="AV147" s="365"/>
      <c r="AW147" s="365"/>
      <c r="AX147" s="365"/>
      <c r="AY147" s="365"/>
      <c r="AZ147" s="365"/>
      <c r="BA147" s="365"/>
      <c r="BB147" s="365"/>
    </row>
    <row r="148" spans="2:54">
      <c r="B148" t="s">
        <v>1702</v>
      </c>
      <c r="C148" s="58"/>
      <c r="D148" s="58"/>
      <c r="E148" s="58"/>
      <c r="F148" s="243"/>
      <c r="G148" s="243"/>
      <c r="H148" s="21">
        <f>H65-H72-H73-H74-H75</f>
        <v>-1000000000</v>
      </c>
      <c r="I148" s="21">
        <f>I65-I72-I73-I74-I75</f>
        <v>0</v>
      </c>
      <c r="J148" s="21">
        <f t="shared" ref="J148:P148" si="30">J65-J72-J73-J74-J75</f>
        <v>0</v>
      </c>
      <c r="K148" s="131">
        <f>K65-K72-K73-K74-K75</f>
        <v>8199999999999.999</v>
      </c>
      <c r="L148" s="131">
        <f t="shared" si="30"/>
        <v>23400000000000</v>
      </c>
      <c r="M148" s="131">
        <f>M65-M72-M73-M74-M75</f>
        <v>14100000000000</v>
      </c>
      <c r="N148" s="21">
        <f t="shared" si="30"/>
        <v>0</v>
      </c>
      <c r="O148" s="21">
        <f t="shared" si="30"/>
        <v>0</v>
      </c>
      <c r="P148" s="21">
        <f t="shared" si="30"/>
        <v>0</v>
      </c>
      <c r="Q148" s="21">
        <f>Q65-Q68-Q69-Q72-Q73-Q74-Q75</f>
        <v>0</v>
      </c>
      <c r="R148" s="21">
        <f t="shared" ref="R148:Z148" si="31">R65-R68-R69-R72-R73-R74-R75</f>
        <v>0</v>
      </c>
      <c r="S148" s="21">
        <f t="shared" si="31"/>
        <v>0</v>
      </c>
      <c r="T148" s="21">
        <f t="shared" si="31"/>
        <v>100000000000</v>
      </c>
      <c r="U148" s="21">
        <f t="shared" si="31"/>
        <v>0</v>
      </c>
      <c r="V148" s="21">
        <f t="shared" si="31"/>
        <v>0</v>
      </c>
      <c r="W148" s="21">
        <f t="shared" si="31"/>
        <v>-100000000000</v>
      </c>
      <c r="X148" s="21">
        <f t="shared" si="31"/>
        <v>0</v>
      </c>
      <c r="Y148" s="21">
        <f t="shared" si="31"/>
        <v>0</v>
      </c>
      <c r="Z148" s="21">
        <f t="shared" si="31"/>
        <v>0</v>
      </c>
      <c r="AA148" s="365"/>
      <c r="AB148" s="365"/>
      <c r="AC148" s="365"/>
      <c r="AD148" s="365"/>
      <c r="AE148" s="365"/>
      <c r="AF148" s="365"/>
      <c r="AG148" s="365"/>
      <c r="AH148" s="365"/>
      <c r="AI148" s="365"/>
      <c r="AJ148" s="365"/>
      <c r="AK148" s="365"/>
      <c r="AL148" s="365"/>
      <c r="AM148" s="365"/>
      <c r="AN148" s="365"/>
      <c r="AO148" s="365"/>
      <c r="AP148" s="365"/>
      <c r="AQ148" s="365"/>
      <c r="AR148" s="365"/>
      <c r="AS148" s="365"/>
      <c r="AT148" s="365"/>
      <c r="AU148" s="365"/>
      <c r="AV148" s="365"/>
      <c r="AW148" s="365"/>
      <c r="AX148" s="365"/>
      <c r="AY148" s="365"/>
      <c r="AZ148" s="365"/>
      <c r="BA148" s="365"/>
      <c r="BB148" s="365"/>
    </row>
    <row r="149" spans="2:54">
      <c r="B149" t="s">
        <v>148</v>
      </c>
      <c r="C149" s="58"/>
      <c r="D149" s="58"/>
      <c r="E149" s="58"/>
      <c r="F149" s="243"/>
      <c r="G149" s="243"/>
      <c r="H149" s="21">
        <f t="shared" ref="H149:X149" si="32">H83-H84-H96-H111</f>
        <v>0</v>
      </c>
      <c r="I149" s="21">
        <f t="shared" si="32"/>
        <v>0</v>
      </c>
      <c r="J149" s="21">
        <f t="shared" si="32"/>
        <v>0</v>
      </c>
      <c r="K149" s="21">
        <f t="shared" si="32"/>
        <v>0</v>
      </c>
      <c r="L149" s="21">
        <f t="shared" si="32"/>
        <v>0</v>
      </c>
      <c r="M149" s="21">
        <f t="shared" si="32"/>
        <v>0</v>
      </c>
      <c r="N149" s="21">
        <f t="shared" si="32"/>
        <v>0</v>
      </c>
      <c r="O149" s="21">
        <f t="shared" si="32"/>
        <v>0</v>
      </c>
      <c r="P149" s="21">
        <f t="shared" si="32"/>
        <v>100000000000</v>
      </c>
      <c r="Q149" s="21">
        <f t="shared" si="32"/>
        <v>0</v>
      </c>
      <c r="R149" s="21">
        <f t="shared" si="32"/>
        <v>0</v>
      </c>
      <c r="S149" s="21">
        <f t="shared" si="32"/>
        <v>0</v>
      </c>
      <c r="T149" s="21">
        <f t="shared" si="32"/>
        <v>0</v>
      </c>
      <c r="U149" s="21">
        <f t="shared" si="32"/>
        <v>0</v>
      </c>
      <c r="V149" s="21">
        <f t="shared" si="32"/>
        <v>0</v>
      </c>
      <c r="W149" s="21">
        <f t="shared" si="32"/>
        <v>0</v>
      </c>
      <c r="X149" s="21">
        <f t="shared" si="32"/>
        <v>0</v>
      </c>
      <c r="Y149" s="21">
        <f t="shared" ref="Y149:Z149" si="33">Y83-Y84-Y96-Y111</f>
        <v>0</v>
      </c>
      <c r="Z149" s="21">
        <f t="shared" si="33"/>
        <v>0</v>
      </c>
      <c r="AA149" s="365"/>
      <c r="AB149" s="365"/>
      <c r="AC149" s="365"/>
      <c r="AD149" s="365"/>
      <c r="AE149" s="365"/>
      <c r="AF149" s="365"/>
      <c r="AG149" s="365"/>
      <c r="AH149" s="365"/>
      <c r="AI149" s="365"/>
      <c r="AJ149" s="365"/>
      <c r="AK149" s="365"/>
      <c r="AL149" s="365"/>
      <c r="AM149" s="365"/>
      <c r="AN149" s="365"/>
      <c r="AO149" s="365"/>
      <c r="AP149" s="365"/>
      <c r="AQ149" s="365"/>
      <c r="AR149" s="365"/>
      <c r="AS149" s="365"/>
      <c r="AT149" s="365"/>
      <c r="AU149" s="365"/>
      <c r="AV149" s="365"/>
      <c r="AW149" s="365"/>
      <c r="AX149" s="365"/>
      <c r="AY149" s="365"/>
      <c r="AZ149" s="365"/>
      <c r="BA149" s="365"/>
      <c r="BB149" s="365"/>
    </row>
    <row r="150" spans="2:54">
      <c r="B150" t="s">
        <v>528</v>
      </c>
      <c r="C150" s="58"/>
      <c r="D150" s="58"/>
      <c r="E150" s="58"/>
      <c r="F150" s="243"/>
      <c r="G150" s="243"/>
      <c r="H150" s="21">
        <f t="shared" ref="H150:P150" si="34">H84-H91-H89-H94-H90-H95</f>
        <v>0</v>
      </c>
      <c r="I150" s="21">
        <f t="shared" si="34"/>
        <v>0</v>
      </c>
      <c r="J150" s="21">
        <f t="shared" si="34"/>
        <v>1000000000</v>
      </c>
      <c r="K150" s="21">
        <f t="shared" si="34"/>
        <v>0</v>
      </c>
      <c r="L150" s="21">
        <f t="shared" si="34"/>
        <v>-100000000000</v>
      </c>
      <c r="M150" s="21">
        <f t="shared" si="34"/>
        <v>0</v>
      </c>
      <c r="N150" s="21">
        <f t="shared" si="34"/>
        <v>0</v>
      </c>
      <c r="O150" s="21">
        <f t="shared" si="34"/>
        <v>100000000000</v>
      </c>
      <c r="P150" s="21">
        <f t="shared" si="34"/>
        <v>0</v>
      </c>
      <c r="Q150" s="21">
        <f>Q84-Q91-Q89-Q94-Q90-Q95-Q92-Q93</f>
        <v>0</v>
      </c>
      <c r="R150" s="21">
        <f t="shared" ref="R150:Z150" si="35">R84-R91-R89-R94-R90-R95-R92-R93</f>
        <v>-100000000000</v>
      </c>
      <c r="S150" s="21">
        <f t="shared" si="35"/>
        <v>2800000000000</v>
      </c>
      <c r="T150" s="21">
        <f t="shared" si="35"/>
        <v>3500000000000</v>
      </c>
      <c r="U150" s="21">
        <f t="shared" si="35"/>
        <v>6300000000000</v>
      </c>
      <c r="V150" s="21">
        <f t="shared" si="35"/>
        <v>2100000000000</v>
      </c>
      <c r="W150" s="21">
        <f t="shared" si="35"/>
        <v>900000000000</v>
      </c>
      <c r="X150" s="21">
        <f t="shared" si="35"/>
        <v>100000000000</v>
      </c>
      <c r="Y150" s="21">
        <f t="shared" si="35"/>
        <v>0</v>
      </c>
      <c r="Z150" s="21">
        <f t="shared" si="35"/>
        <v>0</v>
      </c>
      <c r="AA150" s="365"/>
      <c r="AB150" s="365"/>
      <c r="AC150" s="365"/>
      <c r="AD150" s="365"/>
      <c r="AE150" s="365"/>
      <c r="AF150" s="365"/>
      <c r="AG150" s="365"/>
      <c r="AH150" s="365"/>
      <c r="AI150" s="365"/>
      <c r="AJ150" s="365"/>
      <c r="AK150" s="365"/>
      <c r="AL150" s="365"/>
      <c r="AM150" s="365"/>
      <c r="AN150" s="365"/>
      <c r="AO150" s="365"/>
      <c r="AP150" s="365"/>
      <c r="AQ150" s="365"/>
      <c r="AR150" s="365"/>
      <c r="AS150" s="365"/>
      <c r="AT150" s="365"/>
      <c r="AU150" s="365"/>
      <c r="AV150" s="365"/>
      <c r="AW150" s="365"/>
      <c r="AX150" s="365"/>
      <c r="AY150" s="365"/>
      <c r="AZ150" s="365"/>
      <c r="BA150" s="365"/>
      <c r="BB150" s="365"/>
    </row>
    <row r="151" spans="2:54">
      <c r="B151" t="s">
        <v>362</v>
      </c>
      <c r="C151" s="58"/>
      <c r="D151" s="58"/>
      <c r="E151" s="58"/>
      <c r="F151" s="243"/>
      <c r="G151" s="243"/>
      <c r="H151" s="21">
        <f t="shared" ref="H151:X151" si="36">H96-H107-H101-H97-H108-H109-H104-H106-H110</f>
        <v>0</v>
      </c>
      <c r="I151" s="21">
        <f t="shared" si="36"/>
        <v>0</v>
      </c>
      <c r="J151" s="21">
        <f t="shared" si="36"/>
        <v>0</v>
      </c>
      <c r="K151" s="21">
        <f t="shared" si="36"/>
        <v>0</v>
      </c>
      <c r="L151" s="21">
        <f t="shared" si="36"/>
        <v>0</v>
      </c>
      <c r="M151" s="21">
        <f t="shared" si="36"/>
        <v>0</v>
      </c>
      <c r="N151" s="472">
        <f t="shared" si="36"/>
        <v>3000000000000</v>
      </c>
      <c r="O151" s="472">
        <f t="shared" si="36"/>
        <v>4200000000000</v>
      </c>
      <c r="P151" s="21">
        <f t="shared" si="36"/>
        <v>0</v>
      </c>
      <c r="Q151" s="21">
        <f>Q96-Q107-Q101-Q97-Q108-Q109-Q104-Q106-Q110</f>
        <v>-300000000000</v>
      </c>
      <c r="R151" s="21">
        <f t="shared" si="36"/>
        <v>-1200000000000</v>
      </c>
      <c r="S151" s="21">
        <f t="shared" si="36"/>
        <v>-8000000000000</v>
      </c>
      <c r="T151" s="21">
        <f t="shared" si="36"/>
        <v>-2800000000000</v>
      </c>
      <c r="U151" s="21">
        <f t="shared" si="36"/>
        <v>-3100000000000</v>
      </c>
      <c r="V151" s="21">
        <f t="shared" si="36"/>
        <v>-100000000000</v>
      </c>
      <c r="W151" s="21">
        <f t="shared" si="36"/>
        <v>0</v>
      </c>
      <c r="X151" s="21">
        <f t="shared" si="36"/>
        <v>-2100000000000</v>
      </c>
      <c r="Y151" s="21">
        <f t="shared" ref="Y151:Z151" si="37">Y96-Y107-Y101-Y97-Y108-Y109-Y104-Y106-Y110</f>
        <v>-2500000000000</v>
      </c>
      <c r="Z151" s="21">
        <f t="shared" si="37"/>
        <v>-2000000000000</v>
      </c>
      <c r="AA151" s="365"/>
      <c r="AB151" s="365"/>
      <c r="AC151" s="365"/>
      <c r="AD151" s="365"/>
      <c r="AE151" s="365"/>
      <c r="AF151" s="365"/>
      <c r="AG151" s="365"/>
      <c r="AH151" s="365"/>
      <c r="AI151" s="365"/>
      <c r="AJ151" s="365"/>
      <c r="AK151" s="365"/>
      <c r="AL151" s="365"/>
      <c r="AM151" s="365"/>
      <c r="AN151" s="365"/>
      <c r="AO151" s="365"/>
      <c r="AP151" s="365"/>
      <c r="AQ151" s="365"/>
      <c r="AR151" s="365"/>
      <c r="AS151" s="365"/>
      <c r="AT151" s="365"/>
      <c r="AU151" s="365"/>
      <c r="AV151" s="365"/>
      <c r="AW151" s="365"/>
      <c r="AX151" s="365"/>
      <c r="AY151" s="365"/>
      <c r="AZ151" s="365"/>
      <c r="BA151" s="365"/>
      <c r="BB151" s="365"/>
    </row>
    <row r="152" spans="2:54">
      <c r="C152" s="58"/>
      <c r="D152" s="58"/>
      <c r="E152" s="58"/>
      <c r="F152" s="58"/>
      <c r="G152" s="58"/>
      <c r="H152" s="58"/>
      <c r="I152" s="58"/>
      <c r="J152" s="58"/>
      <c r="K152" s="58"/>
      <c r="L152" s="58"/>
      <c r="M152" s="58"/>
      <c r="N152" s="58"/>
      <c r="O152" s="58"/>
      <c r="P152" s="58"/>
      <c r="Q152" s="58"/>
      <c r="R152" s="58"/>
      <c r="S152" s="58"/>
      <c r="T152" s="58"/>
      <c r="U152" s="58"/>
      <c r="V152" s="58"/>
      <c r="W152" s="28"/>
      <c r="X152" s="2"/>
      <c r="Y152" s="2"/>
      <c r="Z152" s="2"/>
      <c r="AA152" s="365"/>
      <c r="AB152" s="365"/>
      <c r="AC152" s="365"/>
      <c r="AD152" s="365"/>
      <c r="AE152" s="365"/>
      <c r="AF152" s="365"/>
      <c r="AG152" s="365"/>
      <c r="AH152" s="365"/>
      <c r="AI152" s="365"/>
      <c r="AJ152" s="365"/>
      <c r="AK152" s="365"/>
      <c r="AL152" s="365"/>
      <c r="AM152" s="365"/>
      <c r="AN152" s="365"/>
      <c r="AO152" s="365"/>
      <c r="AP152" s="365"/>
      <c r="AQ152" s="365"/>
      <c r="AR152" s="365"/>
      <c r="AS152" s="365"/>
      <c r="AT152" s="365"/>
      <c r="AU152" s="365"/>
      <c r="AV152" s="365"/>
      <c r="AW152" s="365"/>
      <c r="AX152" s="365"/>
      <c r="AY152" s="365"/>
      <c r="AZ152" s="365"/>
      <c r="BA152" s="365"/>
      <c r="BB152" s="365"/>
    </row>
    <row r="153" spans="2:54">
      <c r="C153" s="58"/>
      <c r="D153" s="58"/>
      <c r="E153" s="58"/>
      <c r="F153" s="58"/>
      <c r="G153" s="58"/>
      <c r="H153" s="58"/>
      <c r="I153" s="58"/>
      <c r="J153" s="58"/>
      <c r="K153" s="58"/>
      <c r="L153" s="58"/>
      <c r="M153" s="58"/>
      <c r="N153" s="58"/>
      <c r="O153" s="58"/>
      <c r="P153" s="58"/>
      <c r="Q153" s="58"/>
      <c r="R153" s="58"/>
      <c r="S153" s="58"/>
      <c r="T153" s="58"/>
      <c r="U153" s="58"/>
      <c r="V153" s="58"/>
      <c r="W153" s="28"/>
      <c r="X153" s="2"/>
      <c r="Y153" s="2"/>
      <c r="Z153" s="2"/>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c r="AY153" s="365"/>
      <c r="AZ153" s="365"/>
      <c r="BA153" s="365"/>
      <c r="BB153" s="365"/>
    </row>
    <row r="154" spans="2:54">
      <c r="C154" s="58"/>
      <c r="D154" s="58"/>
      <c r="E154" s="58"/>
      <c r="F154" s="58"/>
      <c r="G154" s="273"/>
      <c r="H154" s="273"/>
      <c r="I154" s="58"/>
      <c r="J154" s="58"/>
      <c r="K154" s="58"/>
      <c r="L154" s="58"/>
      <c r="M154" s="58"/>
      <c r="N154" s="58"/>
      <c r="O154" s="58"/>
      <c r="P154" s="58"/>
      <c r="Q154" s="58"/>
      <c r="R154" s="58"/>
      <c r="S154" s="58"/>
      <c r="T154" s="58"/>
      <c r="U154" s="58"/>
      <c r="V154" s="58"/>
      <c r="W154" s="28"/>
      <c r="X154" s="2"/>
      <c r="Y154" s="2"/>
      <c r="Z154" s="2"/>
    </row>
    <row r="155" spans="2:54">
      <c r="B155" t="s">
        <v>1040</v>
      </c>
      <c r="C155" s="58"/>
      <c r="D155" s="58"/>
      <c r="E155" s="58"/>
      <c r="F155" s="58"/>
      <c r="G155" s="58"/>
      <c r="H155" s="21">
        <v>53235359000000</v>
      </c>
      <c r="I155" s="21">
        <v>73533599000000</v>
      </c>
      <c r="J155" s="21">
        <v>95587955000000</v>
      </c>
      <c r="K155" s="21">
        <v>111455813000000</v>
      </c>
      <c r="L155" s="21">
        <v>157026062000000</v>
      </c>
      <c r="M155" s="21">
        <v>130642187000000</v>
      </c>
      <c r="N155" s="21">
        <v>162064566000000</v>
      </c>
      <c r="O155" s="21">
        <v>217327107000000</v>
      </c>
      <c r="P155" s="21">
        <v>251907662000000</v>
      </c>
      <c r="Q155" s="21">
        <v>267395614000000</v>
      </c>
      <c r="R155" s="21">
        <v>270766021000000</v>
      </c>
      <c r="S155" s="21">
        <v>279846869000000</v>
      </c>
      <c r="T155" s="21">
        <v>303945514000000</v>
      </c>
      <c r="U155" s="21">
        <v>326534293000000</v>
      </c>
      <c r="V155" s="21">
        <v>355425430000000</v>
      </c>
      <c r="W155" s="154">
        <v>392003288000000</v>
      </c>
      <c r="X155" s="2"/>
      <c r="Y155" s="2"/>
      <c r="Z155" s="2"/>
      <c r="AC155" s="21"/>
    </row>
    <row r="156" spans="2:54">
      <c r="B156" t="s">
        <v>3349</v>
      </c>
      <c r="H156" s="364">
        <f t="shared" ref="H156:W156" si="38">(H6/H155)*100</f>
        <v>55.947777115582142</v>
      </c>
      <c r="I156" s="364">
        <f t="shared" si="38"/>
        <v>67.2740089873746</v>
      </c>
      <c r="J156" s="364">
        <f t="shared" si="38"/>
        <v>61.040117449944397</v>
      </c>
      <c r="K156" s="364">
        <f t="shared" si="38"/>
        <v>54.102157955637544</v>
      </c>
      <c r="L156" s="364">
        <f t="shared" si="38"/>
        <v>52.220630738354757</v>
      </c>
      <c r="M156" s="364">
        <f t="shared" si="38"/>
        <v>41.870089024152662</v>
      </c>
      <c r="N156" s="364">
        <f t="shared" si="38"/>
        <v>45.413998763924745</v>
      </c>
      <c r="O156" s="364">
        <f t="shared" si="38"/>
        <v>48.130213227381709</v>
      </c>
      <c r="P156" s="364">
        <f t="shared" si="38"/>
        <v>47.398320103498875</v>
      </c>
      <c r="Q156" s="364">
        <f t="shared" si="38"/>
        <v>43.157027998222887</v>
      </c>
      <c r="R156" s="364">
        <f t="shared" si="38"/>
        <v>38.557275249836465</v>
      </c>
      <c r="S156" s="364">
        <f t="shared" si="38"/>
        <v>22.690981045065755</v>
      </c>
      <c r="T156" s="364">
        <f t="shared" si="38"/>
        <v>18.259851665387632</v>
      </c>
      <c r="U156" s="364">
        <f t="shared" si="38"/>
        <v>25.112216927243232</v>
      </c>
      <c r="V156" s="364">
        <f t="shared" si="38"/>
        <v>24.618384790306084</v>
      </c>
      <c r="W156" s="364">
        <f t="shared" si="38"/>
        <v>22.831441148524245</v>
      </c>
    </row>
    <row r="157" spans="2:54">
      <c r="B157" t="s">
        <v>3350</v>
      </c>
      <c r="H157" s="364">
        <f t="shared" ref="H157:W157" si="39">(H23/H155)*100</f>
        <v>84.909730767477313</v>
      </c>
      <c r="I157" s="364">
        <f t="shared" si="39"/>
        <v>63.205120695914808</v>
      </c>
      <c r="J157" s="364">
        <f t="shared" si="39"/>
        <v>52.67713908096475</v>
      </c>
      <c r="K157" s="364">
        <f t="shared" si="39"/>
        <v>46.116930662019392</v>
      </c>
      <c r="L157" s="364">
        <f t="shared" si="39"/>
        <v>52.984835090623363</v>
      </c>
      <c r="M157" s="364">
        <f t="shared" si="39"/>
        <v>56.796354764024272</v>
      </c>
      <c r="N157" s="364">
        <f t="shared" si="39"/>
        <v>49.548153542705933</v>
      </c>
      <c r="O157" s="364">
        <f t="shared" si="39"/>
        <v>43.390813645717927</v>
      </c>
      <c r="P157" s="364">
        <f t="shared" si="39"/>
        <v>43.269823210061787</v>
      </c>
      <c r="Q157" s="364">
        <f t="shared" si="39"/>
        <v>49.065875852398982</v>
      </c>
      <c r="R157" s="364">
        <f t="shared" si="39"/>
        <v>43.949384623855735</v>
      </c>
      <c r="S157" s="364">
        <f t="shared" si="39"/>
        <v>31.910308776761763</v>
      </c>
      <c r="T157" s="364">
        <f t="shared" si="39"/>
        <v>27.669432883947749</v>
      </c>
      <c r="U157" s="364">
        <f t="shared" si="39"/>
        <v>28.603427573225826</v>
      </c>
      <c r="V157" s="364">
        <f t="shared" si="39"/>
        <v>27.797673340368473</v>
      </c>
      <c r="W157" s="364">
        <f t="shared" si="39"/>
        <v>23.851840752927561</v>
      </c>
    </row>
    <row r="161" spans="22:22">
      <c r="V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P15" activePane="bottomRight" state="frozen"/>
      <selection pane="topRight" activeCell="R7" sqref="R7"/>
      <selection pane="bottomLeft" activeCell="R7" sqref="R7"/>
      <selection pane="bottomRight" activeCell="Q27" sqref="Q27"/>
    </sheetView>
  </sheetViews>
  <sheetFormatPr defaultRowHeight="15.75"/>
  <cols>
    <col min="1" max="1" width="43" style="972" customWidth="1"/>
    <col min="2" max="2" width="45.5703125" style="972" bestFit="1" customWidth="1"/>
    <col min="3" max="3" width="29.85546875" style="972" bestFit="1" customWidth="1"/>
    <col min="4" max="12" width="21.5703125" style="972" bestFit="1" customWidth="1"/>
    <col min="13" max="17" width="27.7109375" style="972" bestFit="1" customWidth="1"/>
    <col min="18" max="18" width="24" style="972" bestFit="1" customWidth="1"/>
    <col min="19" max="26" width="21.7109375" style="972" bestFit="1" customWidth="1"/>
    <col min="27" max="27" width="26.140625" style="972" bestFit="1" customWidth="1"/>
    <col min="28" max="31" width="8.85546875" style="972"/>
  </cols>
  <sheetData>
    <row r="1" spans="1:31">
      <c r="A1" s="1128" t="s">
        <v>7205</v>
      </c>
      <c r="B1" s="1086" t="s">
        <v>3351</v>
      </c>
      <c r="C1" s="967"/>
      <c r="D1" s="968"/>
      <c r="E1" s="968"/>
      <c r="F1" s="968"/>
      <c r="G1" s="968"/>
      <c r="H1" s="968"/>
      <c r="I1" s="968"/>
      <c r="J1" s="968"/>
      <c r="K1" s="968"/>
      <c r="L1" s="968"/>
      <c r="M1" s="968"/>
      <c r="N1" s="968"/>
      <c r="O1" s="969"/>
      <c r="P1" s="969"/>
      <c r="Q1" s="969"/>
      <c r="R1" s="970"/>
      <c r="S1" s="969"/>
      <c r="T1" s="969"/>
      <c r="U1" s="969"/>
      <c r="V1" s="969"/>
      <c r="W1" s="969"/>
      <c r="X1" s="969"/>
      <c r="Y1" s="969"/>
    </row>
    <row r="2" spans="1:31">
      <c r="B2" s="1087" t="s">
        <v>3352</v>
      </c>
      <c r="C2" s="973"/>
      <c r="D2" s="969"/>
      <c r="E2" s="969"/>
      <c r="F2" s="969"/>
      <c r="G2" s="969"/>
      <c r="H2" s="969"/>
      <c r="I2" s="969"/>
      <c r="J2" s="969"/>
      <c r="K2" s="969"/>
      <c r="L2" s="969"/>
      <c r="M2" s="969"/>
      <c r="N2" s="969"/>
      <c r="O2" s="969"/>
      <c r="P2" s="969"/>
      <c r="Q2" s="969"/>
      <c r="R2" s="974"/>
      <c r="S2" s="1046"/>
      <c r="T2" s="1047"/>
      <c r="U2" s="969"/>
      <c r="V2" s="969"/>
      <c r="W2" s="969"/>
      <c r="X2" s="969"/>
      <c r="Y2" s="969"/>
    </row>
    <row r="3" spans="1:31">
      <c r="B3" s="975" t="s">
        <v>3</v>
      </c>
      <c r="C3" s="975"/>
      <c r="D3" s="996">
        <v>1999</v>
      </c>
      <c r="E3" s="969">
        <v>2000</v>
      </c>
      <c r="F3" s="969">
        <v>2001</v>
      </c>
      <c r="G3" s="969">
        <v>2002</v>
      </c>
      <c r="H3" s="969">
        <v>2003</v>
      </c>
      <c r="I3" s="969">
        <v>2004</v>
      </c>
      <c r="J3" s="969">
        <v>2005</v>
      </c>
      <c r="K3" s="969">
        <v>2006</v>
      </c>
      <c r="L3" s="969">
        <v>2007</v>
      </c>
      <c r="M3" s="969">
        <v>2008</v>
      </c>
      <c r="N3" s="969">
        <v>2009</v>
      </c>
      <c r="O3" s="969">
        <v>2010</v>
      </c>
      <c r="P3" s="969">
        <v>2011</v>
      </c>
      <c r="Q3" s="969">
        <v>2012</v>
      </c>
      <c r="R3" s="969">
        <v>2013</v>
      </c>
      <c r="S3" s="969">
        <v>2014</v>
      </c>
      <c r="T3" s="969">
        <v>2015</v>
      </c>
      <c r="U3" s="969">
        <v>2016</v>
      </c>
      <c r="V3" s="969">
        <v>2017</v>
      </c>
      <c r="W3" s="969">
        <v>2018</v>
      </c>
      <c r="X3" s="969">
        <v>2019</v>
      </c>
      <c r="Y3" s="969">
        <v>2020</v>
      </c>
      <c r="Z3" s="969">
        <v>2021</v>
      </c>
      <c r="AA3" s="969">
        <v>2022</v>
      </c>
    </row>
    <row r="4" spans="1:31">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969" t="s">
        <v>27</v>
      </c>
    </row>
    <row r="5" spans="1:31">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368</v>
      </c>
      <c r="U5" s="969" t="s">
        <v>32</v>
      </c>
      <c r="V5" s="969" t="s">
        <v>32</v>
      </c>
      <c r="W5" s="969" t="s">
        <v>32</v>
      </c>
      <c r="X5" s="969" t="s">
        <v>32</v>
      </c>
      <c r="Y5" s="969" t="s">
        <v>32</v>
      </c>
      <c r="Z5" s="969" t="s">
        <v>32</v>
      </c>
      <c r="AA5" s="969" t="s">
        <v>32</v>
      </c>
    </row>
    <row r="6" spans="1:31" s="848" customFormat="1">
      <c r="A6" s="1012" t="s">
        <v>1412</v>
      </c>
      <c r="B6" s="1424" t="s">
        <v>3353</v>
      </c>
      <c r="C6" s="1012" t="s">
        <v>35</v>
      </c>
      <c r="D6" s="1055">
        <v>90373000000</v>
      </c>
      <c r="E6" s="1055">
        <v>101021000000</v>
      </c>
      <c r="F6" s="1055">
        <v>102600000000</v>
      </c>
      <c r="G6" s="1055">
        <v>117200000000</v>
      </c>
      <c r="H6" s="1055">
        <v>145500000000</v>
      </c>
      <c r="I6" s="1055">
        <v>171500000000</v>
      </c>
      <c r="J6" s="1055">
        <v>186700000000</v>
      </c>
      <c r="K6" s="1055">
        <v>211300000000</v>
      </c>
      <c r="L6" s="1055">
        <v>252000000000</v>
      </c>
      <c r="M6" s="1055">
        <v>276200000000</v>
      </c>
      <c r="N6" s="1055">
        <v>300200000000</v>
      </c>
      <c r="O6" s="1055">
        <v>314558000000</v>
      </c>
      <c r="P6" s="1055">
        <v>322457000000</v>
      </c>
      <c r="Q6" s="1055">
        <v>344668000000</v>
      </c>
      <c r="R6" s="1055">
        <v>396982000000</v>
      </c>
      <c r="S6" s="1055">
        <v>411716000000</v>
      </c>
      <c r="T6" s="1055">
        <v>455836000000</v>
      </c>
      <c r="U6" s="1055">
        <v>499880000000</v>
      </c>
      <c r="V6" s="1055">
        <v>552059000000</v>
      </c>
      <c r="W6" s="1055">
        <v>590451000000</v>
      </c>
      <c r="X6" s="1055">
        <v>630088000000</v>
      </c>
      <c r="Y6" s="1055">
        <v>668783000000</v>
      </c>
      <c r="Z6" s="1234">
        <v>714119000000</v>
      </c>
      <c r="AA6" s="1069">
        <v>762060000000</v>
      </c>
      <c r="AB6" s="1013"/>
      <c r="AC6" s="1013"/>
      <c r="AD6" s="1013"/>
      <c r="AE6" s="1013"/>
    </row>
    <row r="7" spans="1:31">
      <c r="A7" s="1235" t="s">
        <v>824</v>
      </c>
      <c r="B7" s="1427" t="s">
        <v>159</v>
      </c>
      <c r="C7" s="1236" t="s">
        <v>38</v>
      </c>
      <c r="D7" s="1050">
        <f t="shared" ref="D7:R7" si="0">D8+D20</f>
        <v>89438000000</v>
      </c>
      <c r="E7" s="1050">
        <f t="shared" si="0"/>
        <v>99284000000</v>
      </c>
      <c r="F7" s="1050">
        <f t="shared" si="0"/>
        <v>100600000000</v>
      </c>
      <c r="G7" s="1050">
        <f t="shared" si="0"/>
        <v>116300000000</v>
      </c>
      <c r="H7" s="1050">
        <f t="shared" si="0"/>
        <v>144900000000</v>
      </c>
      <c r="I7" s="1050">
        <f t="shared" si="0"/>
        <v>167400000000</v>
      </c>
      <c r="J7" s="1050">
        <f t="shared" si="0"/>
        <v>186000000000</v>
      </c>
      <c r="K7" s="1050">
        <f t="shared" si="0"/>
        <v>209800000000</v>
      </c>
      <c r="L7" s="1050">
        <f t="shared" si="0"/>
        <v>247500000000</v>
      </c>
      <c r="M7" s="1050">
        <f t="shared" si="0"/>
        <v>268700000000</v>
      </c>
      <c r="N7" s="1050">
        <f t="shared" si="0"/>
        <v>293900000000</v>
      </c>
      <c r="O7" s="1050">
        <f t="shared" si="0"/>
        <v>304433000000</v>
      </c>
      <c r="P7" s="1050">
        <f t="shared" si="0"/>
        <v>319009000000</v>
      </c>
      <c r="Q7" s="1050">
        <f t="shared" si="0"/>
        <v>340728000000</v>
      </c>
      <c r="R7" s="1050">
        <f t="shared" si="0"/>
        <v>386553000000</v>
      </c>
      <c r="S7" s="1050">
        <f>S6-S21</f>
        <v>406698000000</v>
      </c>
      <c r="T7" s="1050">
        <f t="shared" ref="T7:AA7" si="1">T6-T21</f>
        <v>450373000000</v>
      </c>
      <c r="U7" s="1050">
        <f t="shared" si="1"/>
        <v>494587000000</v>
      </c>
      <c r="V7" s="1050">
        <f t="shared" si="1"/>
        <v>547545000000</v>
      </c>
      <c r="W7" s="1050">
        <f t="shared" si="1"/>
        <v>581392000000</v>
      </c>
      <c r="X7" s="1050">
        <f t="shared" si="1"/>
        <v>620618000000</v>
      </c>
      <c r="Y7" s="1050">
        <f t="shared" si="1"/>
        <v>658635000000</v>
      </c>
      <c r="Z7" s="1050">
        <f t="shared" si="1"/>
        <v>703235000000</v>
      </c>
      <c r="AA7" s="1050">
        <f t="shared" si="1"/>
        <v>750375000000</v>
      </c>
    </row>
    <row r="8" spans="1:31">
      <c r="A8" s="966" t="s">
        <v>1372</v>
      </c>
      <c r="B8" s="966" t="s">
        <v>1372</v>
      </c>
      <c r="C8" s="981" t="s">
        <v>41</v>
      </c>
      <c r="D8" s="1050">
        <v>81370000000</v>
      </c>
      <c r="E8" s="1050">
        <v>89827000000</v>
      </c>
      <c r="F8" s="1050">
        <v>92800000000</v>
      </c>
      <c r="G8" s="1050">
        <v>104700000000</v>
      </c>
      <c r="H8" s="1050">
        <v>133199999999.99998</v>
      </c>
      <c r="I8" s="1050">
        <v>153000000000</v>
      </c>
      <c r="J8" s="1050">
        <v>165700000000</v>
      </c>
      <c r="K8" s="1050">
        <v>192500000000</v>
      </c>
      <c r="L8" s="1050">
        <v>224500000000</v>
      </c>
      <c r="M8" s="1050">
        <v>250700000000</v>
      </c>
      <c r="N8" s="1050">
        <v>267399999999.99997</v>
      </c>
      <c r="O8" s="1050">
        <v>280295000000</v>
      </c>
      <c r="P8" s="1050">
        <v>291407000000</v>
      </c>
      <c r="Q8" s="1050">
        <v>320929000000</v>
      </c>
      <c r="R8" s="1050">
        <v>344848000000</v>
      </c>
      <c r="S8" s="1050">
        <v>370878000000</v>
      </c>
      <c r="T8" s="1050">
        <v>413971000000</v>
      </c>
      <c r="U8" s="1050">
        <v>460264000000</v>
      </c>
      <c r="V8" s="1050">
        <v>491129000000</v>
      </c>
      <c r="W8" s="1050">
        <v>518424000000</v>
      </c>
      <c r="X8" s="1050">
        <v>553926000000</v>
      </c>
      <c r="Y8" s="1050">
        <v>592471000000</v>
      </c>
      <c r="Z8" s="1050">
        <v>633806000000</v>
      </c>
      <c r="AA8" s="1010">
        <v>680288000000</v>
      </c>
    </row>
    <row r="9" spans="1:31" ht="20.25" customHeight="1">
      <c r="A9" s="980" t="s">
        <v>839</v>
      </c>
      <c r="B9" s="980" t="s">
        <v>839</v>
      </c>
      <c r="C9" s="972" t="s">
        <v>44</v>
      </c>
      <c r="D9" s="1050"/>
      <c r="E9" s="1050"/>
      <c r="F9" s="1050"/>
      <c r="G9" s="1050"/>
      <c r="H9" s="1050"/>
      <c r="I9" s="1050"/>
      <c r="J9" s="1050"/>
      <c r="K9" s="1050"/>
      <c r="L9" s="1050"/>
      <c r="M9" s="1050"/>
      <c r="N9" s="1051"/>
      <c r="O9" s="1050">
        <v>105119000000</v>
      </c>
      <c r="P9" s="1051">
        <v>106423000000</v>
      </c>
      <c r="Q9" s="1051">
        <v>115877000000</v>
      </c>
      <c r="R9" s="1050">
        <v>112648000000</v>
      </c>
      <c r="S9" s="1051">
        <v>120854000000</v>
      </c>
      <c r="T9" s="1051">
        <v>130760000000</v>
      </c>
      <c r="U9" s="1051">
        <v>136025000000</v>
      </c>
      <c r="V9" s="1051">
        <v>125204000000</v>
      </c>
      <c r="W9" s="1051">
        <v>137446000000</v>
      </c>
      <c r="X9" s="1051">
        <v>144965000000</v>
      </c>
      <c r="Y9" s="1050">
        <v>154589000000</v>
      </c>
      <c r="Z9" s="995">
        <v>167746000000</v>
      </c>
      <c r="AA9" s="1010">
        <v>180711000000</v>
      </c>
    </row>
    <row r="10" spans="1:31">
      <c r="A10" s="1395" t="s">
        <v>3354</v>
      </c>
      <c r="B10" s="1395" t="s">
        <v>3354</v>
      </c>
      <c r="C10" s="975" t="s">
        <v>3355</v>
      </c>
      <c r="D10" s="1050"/>
      <c r="E10" s="1050"/>
      <c r="F10" s="1050"/>
      <c r="G10" s="1050"/>
      <c r="H10" s="1050"/>
      <c r="I10" s="1050"/>
      <c r="J10" s="1050"/>
      <c r="K10" s="1050"/>
      <c r="L10" s="1050"/>
      <c r="M10" s="1050"/>
      <c r="N10" s="1051"/>
      <c r="O10" s="1050">
        <v>32481000000</v>
      </c>
      <c r="P10" s="1051">
        <v>29035000000</v>
      </c>
      <c r="Q10" s="1051">
        <v>35798000000</v>
      </c>
      <c r="R10" s="1050">
        <v>35155000000</v>
      </c>
      <c r="S10" s="1051">
        <v>35903000000</v>
      </c>
      <c r="T10" s="1051">
        <v>42282000000</v>
      </c>
      <c r="U10" s="1051">
        <v>51791000000</v>
      </c>
      <c r="V10" s="1051">
        <v>59638000000</v>
      </c>
      <c r="W10" s="1051">
        <v>63716000000</v>
      </c>
      <c r="X10" s="1051">
        <v>68139000000</v>
      </c>
      <c r="Y10" s="1050">
        <v>73013000000</v>
      </c>
      <c r="Z10" s="995">
        <v>80661000000</v>
      </c>
      <c r="AA10" s="1010">
        <v>87466000000</v>
      </c>
    </row>
    <row r="11" spans="1:31">
      <c r="A11" s="972" t="s">
        <v>3356</v>
      </c>
      <c r="B11" s="1395" t="s">
        <v>3357</v>
      </c>
      <c r="C11" s="975" t="s">
        <v>3355</v>
      </c>
      <c r="D11" s="1050"/>
      <c r="E11" s="1050"/>
      <c r="F11" s="1050"/>
      <c r="G11" s="1050"/>
      <c r="H11" s="1050"/>
      <c r="I11" s="1050"/>
      <c r="J11" s="1050"/>
      <c r="K11" s="1050"/>
      <c r="L11" s="1050"/>
      <c r="M11" s="1050"/>
      <c r="N11" s="1051"/>
      <c r="O11" s="1050">
        <v>51553000000</v>
      </c>
      <c r="P11" s="1051">
        <v>60165000000</v>
      </c>
      <c r="Q11" s="1051">
        <v>60876000000</v>
      </c>
      <c r="R11" s="1050">
        <v>62811000000</v>
      </c>
      <c r="S11" s="1051">
        <v>67818000000</v>
      </c>
      <c r="T11" s="1051">
        <v>71966000000</v>
      </c>
      <c r="U11" s="1051">
        <v>64955000000</v>
      </c>
      <c r="V11" s="1051">
        <v>50704000000</v>
      </c>
      <c r="W11" s="1051">
        <v>54170000000</v>
      </c>
      <c r="X11" s="1051">
        <v>57931000000</v>
      </c>
      <c r="Y11" s="1050">
        <v>62075000000</v>
      </c>
      <c r="Z11" s="995">
        <v>66580000000</v>
      </c>
      <c r="AA11" s="1010">
        <v>71482000000</v>
      </c>
    </row>
    <row r="12" spans="1:31">
      <c r="A12" s="1395" t="s">
        <v>3358</v>
      </c>
      <c r="B12" s="1395" t="s">
        <v>3358</v>
      </c>
      <c r="C12" s="975" t="s">
        <v>3355</v>
      </c>
      <c r="D12" s="1050"/>
      <c r="E12" s="1050"/>
      <c r="F12" s="1050"/>
      <c r="G12" s="1050"/>
      <c r="H12" s="1050"/>
      <c r="I12" s="1050"/>
      <c r="J12" s="1050"/>
      <c r="K12" s="1050"/>
      <c r="L12" s="1050"/>
      <c r="M12" s="1050"/>
      <c r="N12" s="1051"/>
      <c r="O12" s="1050">
        <f>O9-O10-O11</f>
        <v>21085000000</v>
      </c>
      <c r="P12" s="1050">
        <f>P9-P10-P11</f>
        <v>17223000000</v>
      </c>
      <c r="Q12" s="1050">
        <f>(Q9-Q10-Q11)</f>
        <v>19203000000</v>
      </c>
      <c r="R12" s="1050">
        <f t="shared" ref="R12" si="2">(R9-R10-R11)</f>
        <v>14682000000</v>
      </c>
      <c r="S12" s="1050">
        <f>S9-S10-S11</f>
        <v>17133000000</v>
      </c>
      <c r="T12" s="1050">
        <f t="shared" ref="T12:AA12" si="3">T9-T10-T11</f>
        <v>16512000000</v>
      </c>
      <c r="U12" s="1050">
        <f t="shared" si="3"/>
        <v>19279000000</v>
      </c>
      <c r="V12" s="1050">
        <f t="shared" si="3"/>
        <v>14862000000</v>
      </c>
      <c r="W12" s="1050">
        <f t="shared" si="3"/>
        <v>19560000000</v>
      </c>
      <c r="X12" s="1050">
        <f t="shared" si="3"/>
        <v>18895000000</v>
      </c>
      <c r="Y12" s="1050">
        <f t="shared" si="3"/>
        <v>19501000000</v>
      </c>
      <c r="Z12" s="1050">
        <f t="shared" si="3"/>
        <v>20505000000</v>
      </c>
      <c r="AA12" s="1010">
        <f t="shared" si="3"/>
        <v>21763000000</v>
      </c>
    </row>
    <row r="13" spans="1:31">
      <c r="A13" s="980" t="s">
        <v>3359</v>
      </c>
      <c r="B13" s="980" t="s">
        <v>3359</v>
      </c>
      <c r="C13" s="972" t="s">
        <v>44</v>
      </c>
      <c r="D13" s="1050"/>
      <c r="E13" s="1050"/>
      <c r="F13" s="1050"/>
      <c r="G13" s="1050"/>
      <c r="H13" s="1050"/>
      <c r="I13" s="1050"/>
      <c r="J13" s="1050"/>
      <c r="K13" s="1050"/>
      <c r="L13" s="1050"/>
      <c r="M13" s="1050"/>
      <c r="N13" s="1051"/>
      <c r="O13" s="1050">
        <v>78571000000</v>
      </c>
      <c r="P13" s="1051">
        <v>84629000000</v>
      </c>
      <c r="Q13" s="1051">
        <v>96460000000</v>
      </c>
      <c r="R13" s="1050">
        <v>115214000000</v>
      </c>
      <c r="S13" s="1051">
        <v>120421000000</v>
      </c>
      <c r="T13" s="1051">
        <v>133557000000</v>
      </c>
      <c r="U13" s="1051">
        <v>147937000000</v>
      </c>
      <c r="V13" s="1051">
        <v>172442000000</v>
      </c>
      <c r="W13" s="1051">
        <v>182999000000</v>
      </c>
      <c r="X13" s="1051">
        <v>195889000000</v>
      </c>
      <c r="Y13" s="1050">
        <v>209509000000</v>
      </c>
      <c r="Z13" s="995">
        <v>222801000000</v>
      </c>
      <c r="AA13" s="1010">
        <v>239024000000</v>
      </c>
    </row>
    <row r="14" spans="1:31">
      <c r="A14" s="972" t="s">
        <v>3360</v>
      </c>
      <c r="B14" s="1395" t="s">
        <v>3361</v>
      </c>
      <c r="C14" s="975" t="s">
        <v>3362</v>
      </c>
      <c r="D14" s="1050"/>
      <c r="E14" s="1050"/>
      <c r="F14" s="1050"/>
      <c r="G14" s="1050"/>
      <c r="H14" s="1050"/>
      <c r="I14" s="1050"/>
      <c r="J14" s="1050"/>
      <c r="K14" s="1050"/>
      <c r="L14" s="1050"/>
      <c r="M14" s="1050"/>
      <c r="N14" s="1051"/>
      <c r="O14" s="1050">
        <v>46390000000</v>
      </c>
      <c r="P14" s="1051">
        <v>47973000000</v>
      </c>
      <c r="Q14" s="1051">
        <v>50897000000</v>
      </c>
      <c r="R14" s="1050">
        <v>61265000000</v>
      </c>
      <c r="S14" s="1051">
        <v>63995000000</v>
      </c>
      <c r="T14" s="1051">
        <v>72745000000</v>
      </c>
      <c r="U14" s="1051">
        <v>78175000000</v>
      </c>
      <c r="V14" s="1051">
        <v>90086000000</v>
      </c>
      <c r="W14" s="1051">
        <v>96245000000</v>
      </c>
      <c r="X14" s="1051">
        <v>102927000000</v>
      </c>
      <c r="Y14" s="1050">
        <v>111391000000</v>
      </c>
      <c r="Z14" s="995">
        <v>119476000000</v>
      </c>
      <c r="AA14" s="1010">
        <v>128272000000</v>
      </c>
    </row>
    <row r="15" spans="1:31">
      <c r="A15" s="1395" t="s">
        <v>3363</v>
      </c>
      <c r="B15" s="1395" t="s">
        <v>3363</v>
      </c>
      <c r="C15" s="975" t="s">
        <v>3362</v>
      </c>
      <c r="D15" s="1050"/>
      <c r="E15" s="1050"/>
      <c r="F15" s="1050"/>
      <c r="G15" s="1050"/>
      <c r="H15" s="1050"/>
      <c r="I15" s="1050"/>
      <c r="J15" s="1050"/>
      <c r="K15" s="1050"/>
      <c r="L15" s="1050"/>
      <c r="M15" s="1050"/>
      <c r="N15" s="1051"/>
      <c r="O15" s="1050">
        <f>O13-O14</f>
        <v>32181000000</v>
      </c>
      <c r="P15" s="1050">
        <f>P13-P14</f>
        <v>36656000000</v>
      </c>
      <c r="Q15" s="1050">
        <f>(Q13-Q14)</f>
        <v>45563000000</v>
      </c>
      <c r="R15" s="1050">
        <f t="shared" ref="R15:AA15" si="4">(R13-R14)</f>
        <v>53949000000</v>
      </c>
      <c r="S15" s="1050">
        <f t="shared" si="4"/>
        <v>56426000000</v>
      </c>
      <c r="T15" s="1050">
        <f t="shared" si="4"/>
        <v>60812000000</v>
      </c>
      <c r="U15" s="1050">
        <f t="shared" si="4"/>
        <v>69762000000</v>
      </c>
      <c r="V15" s="1050">
        <f t="shared" si="4"/>
        <v>82356000000</v>
      </c>
      <c r="W15" s="1050">
        <f t="shared" si="4"/>
        <v>86754000000</v>
      </c>
      <c r="X15" s="1050">
        <f t="shared" si="4"/>
        <v>92962000000</v>
      </c>
      <c r="Y15" s="1050">
        <f t="shared" si="4"/>
        <v>98118000000</v>
      </c>
      <c r="Z15" s="1050">
        <f t="shared" si="4"/>
        <v>103325000000</v>
      </c>
      <c r="AA15" s="1050">
        <f t="shared" si="4"/>
        <v>110752000000</v>
      </c>
    </row>
    <row r="16" spans="1:31">
      <c r="A16" s="980" t="s">
        <v>790</v>
      </c>
      <c r="B16" s="980" t="s">
        <v>790</v>
      </c>
      <c r="C16" s="972" t="s">
        <v>44</v>
      </c>
      <c r="D16" s="1050"/>
      <c r="E16" s="1050"/>
      <c r="F16" s="1050"/>
      <c r="G16" s="1050"/>
      <c r="H16" s="1050"/>
      <c r="I16" s="1050"/>
      <c r="J16" s="1050"/>
      <c r="K16" s="1050"/>
      <c r="L16" s="1050"/>
      <c r="M16" s="1050"/>
      <c r="N16" s="1051"/>
      <c r="O16" s="1050">
        <v>94144000000</v>
      </c>
      <c r="P16" s="1051">
        <v>96512000000</v>
      </c>
      <c r="Q16" s="1051">
        <v>105306000000</v>
      </c>
      <c r="R16" s="1050">
        <v>113892000000</v>
      </c>
      <c r="S16" s="1051">
        <v>127238000000</v>
      </c>
      <c r="T16" s="1051">
        <v>144706000000</v>
      </c>
      <c r="U16" s="1051">
        <v>171189000000</v>
      </c>
      <c r="V16" s="1051">
        <v>189998000000</v>
      </c>
      <c r="W16" s="1051">
        <v>194266000000</v>
      </c>
      <c r="X16" s="1051">
        <v>209104000000</v>
      </c>
      <c r="Y16" s="1050">
        <v>224122000000</v>
      </c>
      <c r="Z16" s="995">
        <v>238701000000</v>
      </c>
      <c r="AA16" s="1010">
        <v>255661000000</v>
      </c>
    </row>
    <row r="17" spans="1:31">
      <c r="A17" s="1395" t="s">
        <v>3364</v>
      </c>
      <c r="B17" s="1395" t="s">
        <v>3365</v>
      </c>
      <c r="C17" s="975" t="s">
        <v>3366</v>
      </c>
      <c r="D17" s="1050"/>
      <c r="E17" s="1050"/>
      <c r="F17" s="1050"/>
      <c r="G17" s="1050"/>
      <c r="H17" s="1050"/>
      <c r="I17" s="1050"/>
      <c r="J17" s="1050"/>
      <c r="K17" s="1050"/>
      <c r="L17" s="1050"/>
      <c r="M17" s="1050"/>
      <c r="N17" s="1051"/>
      <c r="O17" s="1050">
        <v>38521000000</v>
      </c>
      <c r="P17" s="1051">
        <v>41685000000</v>
      </c>
      <c r="Q17" s="1051">
        <v>45501000000</v>
      </c>
      <c r="R17" s="1050">
        <v>51238000000</v>
      </c>
      <c r="S17" s="1051">
        <v>58471000000</v>
      </c>
      <c r="T17" s="1051">
        <v>65806000000</v>
      </c>
      <c r="U17" s="1051">
        <v>73735000000</v>
      </c>
      <c r="V17" s="1051">
        <v>79608000000</v>
      </c>
      <c r="W17" s="1051">
        <v>80799000000</v>
      </c>
      <c r="X17" s="1051">
        <v>87272000000</v>
      </c>
      <c r="Y17" s="1050">
        <v>94449000000</v>
      </c>
      <c r="Z17" s="995">
        <v>102317000000</v>
      </c>
      <c r="AA17" s="1010">
        <v>110949000000</v>
      </c>
    </row>
    <row r="18" spans="1:31">
      <c r="A18" s="1395" t="s">
        <v>3367</v>
      </c>
      <c r="B18" s="1395" t="s">
        <v>3367</v>
      </c>
      <c r="C18" s="975" t="s">
        <v>3366</v>
      </c>
      <c r="D18" s="1050"/>
      <c r="E18" s="1050"/>
      <c r="F18" s="1050"/>
      <c r="G18" s="1050"/>
      <c r="H18" s="1050"/>
      <c r="I18" s="1050"/>
      <c r="J18" s="1050"/>
      <c r="K18" s="1050"/>
      <c r="L18" s="1050"/>
      <c r="M18" s="1050"/>
      <c r="N18" s="1051"/>
      <c r="O18" s="1050">
        <f>O16-O17</f>
        <v>55623000000</v>
      </c>
      <c r="P18" s="1050">
        <f>P16-P17</f>
        <v>54827000000</v>
      </c>
      <c r="Q18" s="1050">
        <f>(Q16-Q17)</f>
        <v>59805000000</v>
      </c>
      <c r="R18" s="1050">
        <f t="shared" ref="R18" si="5">(R16-R17)</f>
        <v>62654000000</v>
      </c>
      <c r="S18" s="1050">
        <f>S16-S17</f>
        <v>68767000000</v>
      </c>
      <c r="T18" s="1050">
        <f t="shared" ref="T18:AA18" si="6">T16-T17</f>
        <v>78900000000</v>
      </c>
      <c r="U18" s="1050">
        <f t="shared" si="6"/>
        <v>97454000000</v>
      </c>
      <c r="V18" s="1050">
        <f t="shared" si="6"/>
        <v>110390000000</v>
      </c>
      <c r="W18" s="1050">
        <f t="shared" si="6"/>
        <v>113467000000</v>
      </c>
      <c r="X18" s="1050">
        <f t="shared" si="6"/>
        <v>121832000000</v>
      </c>
      <c r="Y18" s="1050">
        <f t="shared" si="6"/>
        <v>129673000000</v>
      </c>
      <c r="Z18" s="1050">
        <f t="shared" si="6"/>
        <v>136384000000</v>
      </c>
      <c r="AA18" s="1010">
        <f t="shared" si="6"/>
        <v>144712000000</v>
      </c>
    </row>
    <row r="19" spans="1:31">
      <c r="A19" s="1425" t="s">
        <v>1772</v>
      </c>
      <c r="B19" s="1425" t="s">
        <v>1772</v>
      </c>
      <c r="C19" s="1426" t="s">
        <v>44</v>
      </c>
      <c r="D19" s="1050"/>
      <c r="E19" s="1050"/>
      <c r="F19" s="1050"/>
      <c r="G19" s="1050"/>
      <c r="H19" s="1050"/>
      <c r="I19" s="1050"/>
      <c r="J19" s="1050"/>
      <c r="K19" s="1050"/>
      <c r="L19" s="1050"/>
      <c r="M19" s="1050"/>
      <c r="N19" s="1051"/>
      <c r="O19" s="1050">
        <f>O8-O9-O13-O16</f>
        <v>2461000000</v>
      </c>
      <c r="P19" s="1050">
        <f>P8-P9-P13-P16</f>
        <v>3843000000</v>
      </c>
      <c r="Q19" s="1050">
        <f>(Q8-Q9-Q13-Q16)</f>
        <v>3286000000</v>
      </c>
      <c r="R19" s="1050">
        <f t="shared" ref="R19" si="7">(R8-R9-R13-R16)</f>
        <v>3094000000</v>
      </c>
      <c r="S19" s="1050">
        <f>S8-S9-S13-S16</f>
        <v>2365000000</v>
      </c>
      <c r="T19" s="1050">
        <f t="shared" ref="T19:AA19" si="8">T8-T9-T13-T16</f>
        <v>4948000000</v>
      </c>
      <c r="U19" s="1050">
        <f t="shared" si="8"/>
        <v>5113000000</v>
      </c>
      <c r="V19" s="1050">
        <f t="shared" si="8"/>
        <v>3485000000</v>
      </c>
      <c r="W19" s="1050">
        <f t="shared" si="8"/>
        <v>3713000000</v>
      </c>
      <c r="X19" s="1050">
        <f t="shared" si="8"/>
        <v>3968000000</v>
      </c>
      <c r="Y19" s="1050">
        <f t="shared" si="8"/>
        <v>4251000000</v>
      </c>
      <c r="Z19" s="1050">
        <f t="shared" si="8"/>
        <v>4558000000</v>
      </c>
      <c r="AA19" s="1010">
        <f t="shared" si="8"/>
        <v>4892000000</v>
      </c>
    </row>
    <row r="20" spans="1:31">
      <c r="A20" s="966" t="s">
        <v>376</v>
      </c>
      <c r="B20" s="966" t="s">
        <v>376</v>
      </c>
      <c r="C20" s="981" t="s">
        <v>41</v>
      </c>
      <c r="D20" s="1050">
        <v>8068000000</v>
      </c>
      <c r="E20" s="1050">
        <v>9457000000</v>
      </c>
      <c r="F20" s="1050">
        <v>7800000000</v>
      </c>
      <c r="G20" s="1050">
        <v>11600000000</v>
      </c>
      <c r="H20" s="1050">
        <v>11700000000</v>
      </c>
      <c r="I20" s="1050">
        <v>14400000000</v>
      </c>
      <c r="J20" s="1050">
        <v>20300000000</v>
      </c>
      <c r="K20" s="1050">
        <v>17300000000</v>
      </c>
      <c r="L20" s="1050">
        <v>23000000000</v>
      </c>
      <c r="M20" s="1050">
        <v>18000000000</v>
      </c>
      <c r="N20" s="1050">
        <v>26500000000</v>
      </c>
      <c r="O20" s="1050">
        <v>24138000000</v>
      </c>
      <c r="P20" s="1051">
        <v>27602000000</v>
      </c>
      <c r="Q20" s="1051">
        <v>19799000000</v>
      </c>
      <c r="R20" s="1050">
        <v>41705000000</v>
      </c>
      <c r="S20" s="1051">
        <v>35821000000</v>
      </c>
      <c r="T20" s="1051">
        <v>36401000000</v>
      </c>
      <c r="U20" s="1051">
        <v>34323000000</v>
      </c>
      <c r="V20" s="1051">
        <v>56417000000</v>
      </c>
      <c r="W20" s="1051">
        <v>62968000000</v>
      </c>
      <c r="X20" s="1051">
        <v>66691000000</v>
      </c>
      <c r="Y20" s="1050">
        <v>66164000000</v>
      </c>
      <c r="Z20" s="995">
        <v>69430000000</v>
      </c>
      <c r="AA20" s="1010">
        <v>70087000000</v>
      </c>
    </row>
    <row r="21" spans="1:31">
      <c r="A21" s="966" t="s">
        <v>53</v>
      </c>
      <c r="B21" s="966" t="s">
        <v>53</v>
      </c>
      <c r="C21" s="982" t="s">
        <v>38</v>
      </c>
      <c r="D21" s="1050">
        <v>935000000</v>
      </c>
      <c r="E21" s="1050">
        <v>1737000000</v>
      </c>
      <c r="F21" s="1050">
        <v>2000000000</v>
      </c>
      <c r="G21" s="1050">
        <v>900000000</v>
      </c>
      <c r="H21" s="1050">
        <v>500000000</v>
      </c>
      <c r="I21" s="1050">
        <v>4200000000</v>
      </c>
      <c r="J21" s="1050">
        <v>700000000</v>
      </c>
      <c r="K21" s="1050">
        <v>1500000000</v>
      </c>
      <c r="L21" s="1050">
        <v>4500000000</v>
      </c>
      <c r="M21" s="1050">
        <v>7600000000</v>
      </c>
      <c r="N21" s="1050">
        <v>6300000000</v>
      </c>
      <c r="O21" s="1050">
        <v>10125000000</v>
      </c>
      <c r="P21" s="1051">
        <v>3449000000</v>
      </c>
      <c r="Q21" s="1051">
        <v>3940000000</v>
      </c>
      <c r="R21" s="1050">
        <v>10429000000</v>
      </c>
      <c r="S21" s="1051">
        <v>5018000000</v>
      </c>
      <c r="T21" s="1051">
        <v>5463000000</v>
      </c>
      <c r="U21" s="1051">
        <v>5293000000</v>
      </c>
      <c r="V21" s="1051">
        <v>4514000000</v>
      </c>
      <c r="W21" s="1051">
        <v>9059000000</v>
      </c>
      <c r="X21" s="1051">
        <v>9470000000</v>
      </c>
      <c r="Y21" s="1050">
        <v>10148000000</v>
      </c>
      <c r="Z21" s="995">
        <v>10884000000</v>
      </c>
      <c r="AA21" s="1010">
        <v>11685000000</v>
      </c>
    </row>
    <row r="22" spans="1:31" s="848" customFormat="1">
      <c r="A22" s="1012" t="s">
        <v>71</v>
      </c>
      <c r="B22" s="1424" t="s">
        <v>3368</v>
      </c>
      <c r="C22" s="1012" t="s">
        <v>35</v>
      </c>
      <c r="D22" s="1055">
        <v>102948000000</v>
      </c>
      <c r="E22" s="1055">
        <v>104193000000</v>
      </c>
      <c r="F22" s="1055">
        <v>123800000000</v>
      </c>
      <c r="G22" s="1055">
        <v>149000000000</v>
      </c>
      <c r="H22" s="1055">
        <v>179600000000</v>
      </c>
      <c r="I22" s="1055">
        <v>201400000000</v>
      </c>
      <c r="J22" s="1055">
        <v>210400000000</v>
      </c>
      <c r="K22" s="1055">
        <v>250800000000</v>
      </c>
      <c r="L22" s="1055">
        <v>286800000000</v>
      </c>
      <c r="M22" s="1055">
        <v>352200000000</v>
      </c>
      <c r="N22" s="1055">
        <v>421500000000</v>
      </c>
      <c r="O22" s="1055">
        <v>388768000000</v>
      </c>
      <c r="P22" s="1059">
        <v>403192000000</v>
      </c>
      <c r="Q22" s="1059">
        <v>399279000000</v>
      </c>
      <c r="R22" s="1055">
        <v>395242000000</v>
      </c>
      <c r="S22" s="1059">
        <f t="shared" ref="S22:AA22" si="9">S23+S29</f>
        <v>422860000000</v>
      </c>
      <c r="T22" s="1059">
        <f t="shared" si="9"/>
        <v>464561000000</v>
      </c>
      <c r="U22" s="1059">
        <f t="shared" si="9"/>
        <v>505884000000</v>
      </c>
      <c r="V22" s="1059">
        <f t="shared" si="9"/>
        <v>551036000000</v>
      </c>
      <c r="W22" s="1059">
        <f t="shared" si="9"/>
        <v>593848000000</v>
      </c>
      <c r="X22" s="1059">
        <f t="shared" si="9"/>
        <v>621813000000</v>
      </c>
      <c r="Y22" s="1059">
        <f t="shared" si="9"/>
        <v>664813000000</v>
      </c>
      <c r="Z22" s="1059">
        <f t="shared" si="9"/>
        <v>701003000000</v>
      </c>
      <c r="AA22" s="1059">
        <f t="shared" si="9"/>
        <v>739699000000</v>
      </c>
      <c r="AB22" s="1013"/>
      <c r="AC22" s="1013"/>
      <c r="AD22" s="1013"/>
      <c r="AE22" s="1013"/>
    </row>
    <row r="23" spans="1:31">
      <c r="A23" s="1427" t="s">
        <v>476</v>
      </c>
      <c r="B23" s="1427" t="s">
        <v>476</v>
      </c>
      <c r="C23" s="1235" t="s">
        <v>201</v>
      </c>
      <c r="D23" s="1050">
        <f t="shared" ref="D23:R23" si="10">D25+D26+D28+D30</f>
        <v>93801000000</v>
      </c>
      <c r="E23" s="1050">
        <f t="shared" si="10"/>
        <v>94848000000</v>
      </c>
      <c r="F23" s="1050">
        <f t="shared" si="10"/>
        <v>113700000000</v>
      </c>
      <c r="G23" s="1050">
        <f t="shared" si="10"/>
        <v>141100000000</v>
      </c>
      <c r="H23" s="1050">
        <f t="shared" si="10"/>
        <v>174000000000</v>
      </c>
      <c r="I23" s="1050">
        <f t="shared" si="10"/>
        <v>191000000000</v>
      </c>
      <c r="J23" s="1050">
        <f t="shared" si="10"/>
        <v>198300000000</v>
      </c>
      <c r="K23" s="1050">
        <f t="shared" si="10"/>
        <v>223600000000</v>
      </c>
      <c r="L23" s="1050">
        <f t="shared" si="10"/>
        <v>257900000000</v>
      </c>
      <c r="M23" s="1050">
        <f t="shared" si="10"/>
        <v>310800000000</v>
      </c>
      <c r="N23" s="1050">
        <f t="shared" si="10"/>
        <v>387000000000</v>
      </c>
      <c r="O23" s="1050">
        <f t="shared" si="10"/>
        <v>333174000000</v>
      </c>
      <c r="P23" s="1050">
        <f t="shared" si="10"/>
        <v>349960000000</v>
      </c>
      <c r="Q23" s="1050">
        <f t="shared" si="10"/>
        <v>361522000000</v>
      </c>
      <c r="R23" s="1050">
        <f t="shared" si="10"/>
        <v>358253000000</v>
      </c>
      <c r="S23" s="1050">
        <f t="shared" ref="S23:AA23" si="11">S25+S26+S30</f>
        <v>399841000000</v>
      </c>
      <c r="T23" s="1050">
        <f t="shared" si="11"/>
        <v>431814000000</v>
      </c>
      <c r="U23" s="1050">
        <f t="shared" si="11"/>
        <v>463929000000</v>
      </c>
      <c r="V23" s="1050">
        <f t="shared" si="11"/>
        <v>505866000000</v>
      </c>
      <c r="W23" s="1050">
        <f t="shared" si="11"/>
        <v>534023000000</v>
      </c>
      <c r="X23" s="1050">
        <f t="shared" si="11"/>
        <v>554975000000</v>
      </c>
      <c r="Y23" s="1050">
        <f t="shared" si="11"/>
        <v>583953000000</v>
      </c>
      <c r="Z23" s="1050">
        <f t="shared" si="11"/>
        <v>614274000000</v>
      </c>
      <c r="AA23" s="1050">
        <f t="shared" si="11"/>
        <v>638604000000</v>
      </c>
    </row>
    <row r="24" spans="1:31">
      <c r="A24" s="1426"/>
      <c r="B24" s="1427" t="s">
        <v>3369</v>
      </c>
      <c r="C24" s="1428"/>
      <c r="D24" s="1050"/>
      <c r="E24" s="1050"/>
      <c r="F24" s="1050">
        <v>72800000000</v>
      </c>
      <c r="G24" s="1050">
        <v>86900000000</v>
      </c>
      <c r="H24" s="1050">
        <v>91400000000</v>
      </c>
      <c r="I24" s="1050">
        <v>106000000000</v>
      </c>
      <c r="J24" s="1050">
        <v>116000000000</v>
      </c>
      <c r="K24" s="1050">
        <v>153900000000</v>
      </c>
      <c r="L24" s="1050">
        <v>180000000000</v>
      </c>
      <c r="M24" s="1050">
        <v>226200000000</v>
      </c>
      <c r="N24" s="1050">
        <v>232700000000</v>
      </c>
      <c r="O24" s="1050">
        <v>260413000000</v>
      </c>
      <c r="P24" s="1051">
        <v>282487000000</v>
      </c>
      <c r="Q24" s="1051">
        <v>272341000000</v>
      </c>
      <c r="R24" s="1050">
        <v>285322000000</v>
      </c>
      <c r="S24" s="1051">
        <v>294474000000</v>
      </c>
      <c r="T24" s="1051">
        <v>335040000000</v>
      </c>
      <c r="U24" s="1051">
        <v>364000000000</v>
      </c>
      <c r="V24" s="1051">
        <v>419586000000</v>
      </c>
      <c r="W24" s="1051">
        <v>449726000000</v>
      </c>
      <c r="X24" s="1051">
        <v>479594000000</v>
      </c>
      <c r="Y24" s="1050">
        <v>518615000000</v>
      </c>
      <c r="Z24" s="995">
        <v>553052000000</v>
      </c>
      <c r="AA24" s="1010">
        <v>589134000000</v>
      </c>
    </row>
    <row r="25" spans="1:31">
      <c r="A25" s="980" t="s">
        <v>3370</v>
      </c>
      <c r="B25" s="980" t="s">
        <v>3370</v>
      </c>
      <c r="C25" s="981" t="s">
        <v>204</v>
      </c>
      <c r="D25" s="1050">
        <v>31895000000</v>
      </c>
      <c r="E25" s="1050">
        <v>35164000000</v>
      </c>
      <c r="F25" s="1050">
        <v>42600000000</v>
      </c>
      <c r="G25" s="1050">
        <v>51500000000</v>
      </c>
      <c r="H25" s="1050">
        <v>60500000000</v>
      </c>
      <c r="I25" s="1050">
        <v>63500000000</v>
      </c>
      <c r="J25" s="1050">
        <v>63100000000</v>
      </c>
      <c r="K25" s="1050">
        <v>78700000000</v>
      </c>
      <c r="L25" s="1050">
        <v>86200000000</v>
      </c>
      <c r="M25" s="1050">
        <v>111500000000</v>
      </c>
      <c r="N25" s="1050">
        <v>126300000000</v>
      </c>
      <c r="O25" s="1050">
        <v>127957000000</v>
      </c>
      <c r="P25" s="1051">
        <v>139557000000</v>
      </c>
      <c r="Q25" s="1051">
        <v>147382000000</v>
      </c>
      <c r="R25" s="1050">
        <v>156362000000</v>
      </c>
      <c r="S25" s="1051">
        <v>162128000000</v>
      </c>
      <c r="T25" s="1051">
        <v>172628000000</v>
      </c>
      <c r="U25" s="1051">
        <v>179068000000</v>
      </c>
      <c r="V25" s="1051">
        <v>196336000000</v>
      </c>
      <c r="W25" s="1051">
        <v>201112000000</v>
      </c>
      <c r="X25" s="1051">
        <v>210975000000</v>
      </c>
      <c r="Y25" s="1050">
        <v>223580000000</v>
      </c>
      <c r="Z25" s="995">
        <v>232928000000</v>
      </c>
      <c r="AA25" s="1010">
        <v>250077000000</v>
      </c>
    </row>
    <row r="26" spans="1:31">
      <c r="A26" s="980" t="s">
        <v>3371</v>
      </c>
      <c r="B26" s="980" t="s">
        <v>3371</v>
      </c>
      <c r="C26" s="981" t="s">
        <v>204</v>
      </c>
      <c r="D26" s="1050"/>
      <c r="E26" s="1050"/>
      <c r="F26" s="1050"/>
      <c r="G26" s="1050"/>
      <c r="H26" s="1050"/>
      <c r="I26" s="1050"/>
      <c r="J26" s="1050"/>
      <c r="K26" s="1050"/>
      <c r="L26" s="1050"/>
      <c r="M26" s="1050"/>
      <c r="N26" s="1050"/>
      <c r="O26" s="1050">
        <v>76862000000</v>
      </c>
      <c r="P26" s="1051">
        <v>89699000000</v>
      </c>
      <c r="Q26" s="1051">
        <v>87202000000</v>
      </c>
      <c r="R26" s="1050">
        <v>91972000000</v>
      </c>
      <c r="S26" s="1051">
        <v>112697000000</v>
      </c>
      <c r="T26" s="1051">
        <v>133506000000</v>
      </c>
      <c r="U26" s="1051">
        <v>142976000000</v>
      </c>
      <c r="V26" s="1051">
        <v>178081000000</v>
      </c>
      <c r="W26" s="1051">
        <v>188790000000</v>
      </c>
      <c r="X26" s="1051">
        <v>201781000000</v>
      </c>
      <c r="Y26" s="1050">
        <v>214174000000</v>
      </c>
      <c r="Z26" s="995">
        <v>233395000000</v>
      </c>
      <c r="AA26" s="1010">
        <v>237961000000</v>
      </c>
    </row>
    <row r="27" spans="1:31">
      <c r="A27" s="980"/>
      <c r="B27" s="1419" t="s">
        <v>3372</v>
      </c>
      <c r="C27" s="981"/>
      <c r="D27" s="1050"/>
      <c r="E27" s="1050"/>
      <c r="F27" s="1050"/>
      <c r="G27" s="1050"/>
      <c r="H27" s="1050"/>
      <c r="I27" s="1050"/>
      <c r="J27" s="1050"/>
      <c r="K27" s="1050"/>
      <c r="L27" s="1050"/>
      <c r="M27" s="1050"/>
      <c r="N27" s="1050"/>
      <c r="O27" s="1050"/>
      <c r="P27" s="1051"/>
      <c r="Q27" s="1051"/>
      <c r="R27" s="1050" t="s">
        <v>3373</v>
      </c>
      <c r="S27" s="1051"/>
      <c r="T27" s="1051"/>
      <c r="U27" s="1051"/>
      <c r="V27" s="1051"/>
      <c r="W27" s="1051"/>
      <c r="X27" s="1051"/>
      <c r="Y27" s="1050"/>
      <c r="Z27" s="995"/>
      <c r="AA27" s="1010"/>
    </row>
    <row r="28" spans="1:31">
      <c r="A28" s="980" t="s">
        <v>398</v>
      </c>
      <c r="B28" s="980" t="s">
        <v>398</v>
      </c>
      <c r="C28" s="981" t="s">
        <v>204</v>
      </c>
      <c r="D28" s="1050">
        <v>20122000000</v>
      </c>
      <c r="E28" s="1050">
        <v>16764000000</v>
      </c>
      <c r="F28" s="1050">
        <v>20100000000</v>
      </c>
      <c r="G28" s="1050">
        <v>27500000000</v>
      </c>
      <c r="H28" s="1050">
        <v>25300000000</v>
      </c>
      <c r="I28" s="1050">
        <v>32100000000</v>
      </c>
      <c r="J28" s="1050">
        <v>40800000000</v>
      </c>
      <c r="K28" s="1050">
        <v>48000000000</v>
      </c>
      <c r="L28" s="1050">
        <v>64900000000.000008</v>
      </c>
      <c r="M28" s="1050">
        <v>73300000000</v>
      </c>
      <c r="N28" s="1050">
        <v>72000000000</v>
      </c>
      <c r="O28" s="1050"/>
      <c r="P28" s="1051"/>
      <c r="Q28" s="1051"/>
      <c r="R28" s="1050"/>
      <c r="S28" s="1051"/>
      <c r="T28" s="1051"/>
      <c r="U28" s="1051"/>
      <c r="V28" s="1051"/>
      <c r="W28" s="1051"/>
      <c r="X28" s="1051"/>
      <c r="Y28" s="1050"/>
      <c r="Z28" s="995"/>
      <c r="AA28" s="1010"/>
    </row>
    <row r="29" spans="1:31">
      <c r="A29" s="1389" t="s">
        <v>904</v>
      </c>
      <c r="B29" s="1389" t="s">
        <v>904</v>
      </c>
      <c r="C29" s="981" t="s">
        <v>201</v>
      </c>
      <c r="D29" s="1050">
        <v>9147000000</v>
      </c>
      <c r="E29" s="1050">
        <v>9345000000</v>
      </c>
      <c r="F29" s="1050">
        <v>10100000000</v>
      </c>
      <c r="G29" s="1050">
        <v>7900000000</v>
      </c>
      <c r="H29" s="1050">
        <v>5700000000</v>
      </c>
      <c r="I29" s="1050">
        <v>10400000000</v>
      </c>
      <c r="J29" s="1050">
        <v>12000000000</v>
      </c>
      <c r="K29" s="1050">
        <v>27200000000</v>
      </c>
      <c r="L29" s="1050">
        <v>28900000000</v>
      </c>
      <c r="M29" s="1050">
        <v>41400000000</v>
      </c>
      <c r="N29" s="1050">
        <v>34400000000</v>
      </c>
      <c r="O29" s="1050">
        <v>55594000000</v>
      </c>
      <c r="P29" s="1051">
        <v>53231000000</v>
      </c>
      <c r="Q29" s="1051">
        <v>37758000000</v>
      </c>
      <c r="R29" s="1050">
        <v>36989000000</v>
      </c>
      <c r="S29" s="1051">
        <v>23019000000</v>
      </c>
      <c r="T29" s="1051">
        <v>32747000000</v>
      </c>
      <c r="U29" s="1051">
        <v>41955000000</v>
      </c>
      <c r="V29" s="1051">
        <v>45170000000</v>
      </c>
      <c r="W29" s="1051">
        <v>59825000000</v>
      </c>
      <c r="X29" s="1051">
        <v>66838000000</v>
      </c>
      <c r="Y29" s="1050">
        <v>80860000000</v>
      </c>
      <c r="Z29" s="995">
        <v>86729000000</v>
      </c>
      <c r="AA29" s="1010">
        <v>101095000000</v>
      </c>
    </row>
    <row r="30" spans="1:31">
      <c r="A30" s="980" t="s">
        <v>91</v>
      </c>
      <c r="B30" s="980" t="s">
        <v>91</v>
      </c>
      <c r="C30" s="981" t="s">
        <v>204</v>
      </c>
      <c r="D30" s="1050">
        <v>41784000000</v>
      </c>
      <c r="E30" s="1050">
        <v>42920000000</v>
      </c>
      <c r="F30" s="1050">
        <v>51000000000</v>
      </c>
      <c r="G30" s="1050">
        <v>62100000000</v>
      </c>
      <c r="H30" s="1050">
        <v>88200000000</v>
      </c>
      <c r="I30" s="1050">
        <v>95400000000</v>
      </c>
      <c r="J30" s="1050">
        <v>94400000000</v>
      </c>
      <c r="K30" s="1050">
        <v>96900000000</v>
      </c>
      <c r="L30" s="1050">
        <v>106800000000</v>
      </c>
      <c r="M30" s="1050">
        <v>126000000000</v>
      </c>
      <c r="N30" s="1050">
        <v>188700000000</v>
      </c>
      <c r="O30" s="1050">
        <v>128355000000</v>
      </c>
      <c r="P30" s="1051">
        <v>120704000000</v>
      </c>
      <c r="Q30" s="1051">
        <v>126938000000</v>
      </c>
      <c r="R30" s="1050">
        <v>109919000000</v>
      </c>
      <c r="S30" s="1051">
        <v>125016000000</v>
      </c>
      <c r="T30" s="1051">
        <v>125680000000</v>
      </c>
      <c r="U30" s="1051">
        <v>141885000000</v>
      </c>
      <c r="V30" s="1051">
        <v>131449000000</v>
      </c>
      <c r="W30" s="1051">
        <v>144121000000</v>
      </c>
      <c r="X30" s="1051">
        <v>142219000000</v>
      </c>
      <c r="Y30" s="1050">
        <v>146199000000</v>
      </c>
      <c r="Z30" s="995">
        <v>147951000000</v>
      </c>
      <c r="AA30" s="1010">
        <v>150566000000</v>
      </c>
    </row>
    <row r="31" spans="1:31">
      <c r="A31" s="1395" t="s">
        <v>2137</v>
      </c>
      <c r="B31" s="1395" t="s">
        <v>2137</v>
      </c>
      <c r="C31" s="975" t="s">
        <v>3374</v>
      </c>
      <c r="D31" s="1050">
        <v>34980000000</v>
      </c>
      <c r="E31" s="1050">
        <v>34306000000</v>
      </c>
      <c r="F31" s="1050">
        <v>40400000000</v>
      </c>
      <c r="G31" s="1050">
        <v>46900000000</v>
      </c>
      <c r="H31" s="1050">
        <v>71500000000</v>
      </c>
      <c r="I31" s="1050"/>
      <c r="J31" s="1050">
        <v>71500000000</v>
      </c>
      <c r="K31" s="1050">
        <v>70300000000</v>
      </c>
      <c r="L31" s="1050">
        <v>75100000000</v>
      </c>
      <c r="M31" s="1050">
        <v>90200000000</v>
      </c>
      <c r="N31" s="1050">
        <v>144900000000</v>
      </c>
      <c r="O31" s="1050">
        <v>88049000000</v>
      </c>
      <c r="P31" s="1051">
        <v>81617000000</v>
      </c>
      <c r="Q31" s="1051">
        <v>87729000000</v>
      </c>
      <c r="R31" s="1050">
        <v>68729000000</v>
      </c>
      <c r="S31" s="1051">
        <v>75756000000</v>
      </c>
      <c r="T31" s="1051">
        <v>71391000000</v>
      </c>
      <c r="U31" s="1051">
        <v>64700000000</v>
      </c>
      <c r="V31" s="1051">
        <v>58424000000</v>
      </c>
      <c r="W31" s="1051">
        <v>63470000000</v>
      </c>
      <c r="X31" s="1051">
        <v>62427000000</v>
      </c>
      <c r="Y31" s="1050">
        <v>62160000000</v>
      </c>
      <c r="Z31" s="995">
        <v>64370000000</v>
      </c>
      <c r="AA31" s="1010">
        <v>67732000000</v>
      </c>
    </row>
    <row r="32" spans="1:31">
      <c r="B32" s="1395" t="s">
        <v>541</v>
      </c>
      <c r="C32" s="975"/>
      <c r="D32" s="1050"/>
      <c r="E32" s="1050"/>
      <c r="F32" s="1050"/>
      <c r="G32" s="1050"/>
      <c r="H32" s="1050"/>
      <c r="I32" s="1050"/>
      <c r="J32" s="1050">
        <v>65400000000.000008</v>
      </c>
      <c r="K32" s="1050">
        <v>65500000000</v>
      </c>
      <c r="L32" s="1050">
        <v>69300000000</v>
      </c>
      <c r="M32" s="1050">
        <v>89500000000</v>
      </c>
      <c r="N32" s="1050">
        <v>144900000000</v>
      </c>
      <c r="O32" s="1050"/>
      <c r="P32" s="1051"/>
      <c r="Q32" s="1051"/>
      <c r="R32" s="1050"/>
      <c r="S32" s="1051"/>
      <c r="T32" s="1051"/>
      <c r="U32" s="1051"/>
      <c r="V32" s="1051"/>
      <c r="W32" s="1051"/>
      <c r="X32" s="1051"/>
      <c r="Y32" s="1050"/>
      <c r="Z32" s="995"/>
      <c r="AA32" s="1010"/>
    </row>
    <row r="33" spans="1:31">
      <c r="B33" s="1395" t="s">
        <v>3375</v>
      </c>
      <c r="C33" s="975"/>
      <c r="D33" s="1050"/>
      <c r="E33" s="1050"/>
      <c r="F33" s="1050"/>
      <c r="G33" s="1050"/>
      <c r="H33" s="1050"/>
      <c r="I33" s="1050"/>
      <c r="J33" s="1050">
        <v>6100000000</v>
      </c>
      <c r="K33" s="1050">
        <v>4800000000</v>
      </c>
      <c r="L33" s="1050">
        <v>5700000000</v>
      </c>
      <c r="M33" s="1050">
        <v>700000000</v>
      </c>
      <c r="N33" s="1050">
        <v>0</v>
      </c>
      <c r="O33" s="1050"/>
      <c r="P33" s="1051"/>
      <c r="Q33" s="1051"/>
      <c r="R33" s="1050"/>
      <c r="S33" s="1051"/>
      <c r="T33" s="1051"/>
      <c r="U33" s="1051"/>
      <c r="V33" s="1051"/>
      <c r="W33" s="1051"/>
      <c r="X33" s="1051"/>
      <c r="Y33" s="1050"/>
      <c r="Z33" s="995"/>
      <c r="AA33" s="1010"/>
    </row>
    <row r="34" spans="1:31">
      <c r="A34" s="1395" t="s">
        <v>280</v>
      </c>
      <c r="B34" s="1395" t="s">
        <v>280</v>
      </c>
      <c r="C34" s="975" t="s">
        <v>3374</v>
      </c>
      <c r="D34" s="1050">
        <v>6804000000</v>
      </c>
      <c r="E34" s="1050">
        <v>8614000000</v>
      </c>
      <c r="F34" s="1050">
        <v>10700000000</v>
      </c>
      <c r="G34" s="1050">
        <v>15200000000</v>
      </c>
      <c r="H34" s="1050">
        <v>16700000000</v>
      </c>
      <c r="I34" s="1050"/>
      <c r="J34" s="1050">
        <v>22900000000</v>
      </c>
      <c r="K34" s="1050">
        <v>26500000000</v>
      </c>
      <c r="L34" s="1050">
        <v>31700000000</v>
      </c>
      <c r="M34" s="1050">
        <v>35800000000</v>
      </c>
      <c r="N34" s="1050">
        <v>43800000000</v>
      </c>
      <c r="O34" s="1050">
        <v>40305000000</v>
      </c>
      <c r="P34" s="1051">
        <v>39087000000</v>
      </c>
      <c r="Q34" s="1051">
        <v>39209000000</v>
      </c>
      <c r="R34" s="1050">
        <v>41191000000</v>
      </c>
      <c r="S34" s="1051">
        <v>49260000000</v>
      </c>
      <c r="T34" s="1051">
        <v>54288000000</v>
      </c>
      <c r="U34" s="1051">
        <v>77184000000</v>
      </c>
      <c r="V34" s="1051">
        <v>73025000000</v>
      </c>
      <c r="W34" s="1051">
        <v>80651000000</v>
      </c>
      <c r="X34" s="1051">
        <v>79792000000</v>
      </c>
      <c r="Y34" s="1050">
        <v>84039000000</v>
      </c>
      <c r="Z34" s="995">
        <v>83582000000</v>
      </c>
      <c r="AA34" s="1010">
        <v>82834000000</v>
      </c>
    </row>
    <row r="35" spans="1:31">
      <c r="B35" s="966" t="s">
        <v>3376</v>
      </c>
      <c r="C35" s="975"/>
      <c r="D35" s="1050"/>
      <c r="E35" s="1050"/>
      <c r="F35" s="1050">
        <v>-21200000000</v>
      </c>
      <c r="G35" s="1050">
        <v>-31800000000</v>
      </c>
      <c r="H35" s="1050">
        <v>-34100000000</v>
      </c>
      <c r="I35" s="1050">
        <v>-29900000000</v>
      </c>
      <c r="J35" s="1050">
        <v>-23700000000</v>
      </c>
      <c r="K35" s="1050">
        <v>-39400000000</v>
      </c>
      <c r="L35" s="1050">
        <v>-34800000000</v>
      </c>
      <c r="M35" s="1050">
        <v>-76000000000</v>
      </c>
      <c r="N35" s="1050">
        <v>-121300000000</v>
      </c>
      <c r="O35" s="1050">
        <v>-47210000000</v>
      </c>
      <c r="P35" s="1051">
        <v>-80734000000</v>
      </c>
      <c r="Q35" s="1051">
        <v>-54610000000</v>
      </c>
      <c r="R35" s="1050">
        <v>1740000000</v>
      </c>
      <c r="S35" s="1051">
        <v>-7775000000</v>
      </c>
      <c r="T35" s="1051">
        <v>-4884000000</v>
      </c>
      <c r="U35" s="1051">
        <v>-6005000000</v>
      </c>
      <c r="V35" s="1051">
        <v>1024000000</v>
      </c>
      <c r="W35" s="1051">
        <v>-3397000000</v>
      </c>
      <c r="X35" s="1051">
        <v>8276000000</v>
      </c>
      <c r="Y35" s="1050">
        <v>3969000000</v>
      </c>
      <c r="Z35" s="995">
        <v>13116000000</v>
      </c>
      <c r="AA35" s="1010">
        <v>22360000000</v>
      </c>
    </row>
    <row r="36" spans="1:31">
      <c r="B36" s="966" t="s">
        <v>3377</v>
      </c>
      <c r="C36" s="975"/>
      <c r="D36" s="1050"/>
      <c r="E36" s="1050"/>
      <c r="F36" s="1050">
        <v>29800000000</v>
      </c>
      <c r="G36" s="1050">
        <v>30300000000</v>
      </c>
      <c r="H36" s="1050">
        <v>54100000000</v>
      </c>
      <c r="I36" s="1050">
        <v>65500000000</v>
      </c>
      <c r="J36" s="1050">
        <v>70700000000</v>
      </c>
      <c r="K36" s="1050">
        <v>57400000000</v>
      </c>
      <c r="L36" s="1050">
        <v>72000000000</v>
      </c>
      <c r="M36" s="1050">
        <v>50000000000</v>
      </c>
      <c r="N36" s="1050">
        <v>67500000000</v>
      </c>
      <c r="O36" s="1050">
        <v>54145000000</v>
      </c>
      <c r="P36" s="1051">
        <v>39970000000</v>
      </c>
      <c r="Q36" s="1051">
        <v>72327000000</v>
      </c>
      <c r="R36" s="1050">
        <v>111659000000</v>
      </c>
      <c r="S36" s="1051"/>
      <c r="T36" s="1051"/>
      <c r="U36" s="1051"/>
      <c r="V36" s="1051"/>
      <c r="W36" s="1051"/>
      <c r="X36" s="1051"/>
      <c r="Y36" s="1050"/>
      <c r="Z36" s="995"/>
      <c r="AA36" s="1010"/>
    </row>
    <row r="37" spans="1:31">
      <c r="B37" s="966" t="s">
        <v>3378</v>
      </c>
      <c r="C37" s="975"/>
      <c r="D37" s="1050"/>
      <c r="E37" s="1050"/>
      <c r="F37" s="1050"/>
      <c r="G37" s="1050"/>
      <c r="H37" s="1050"/>
      <c r="I37" s="1050"/>
      <c r="J37" s="1050"/>
      <c r="K37" s="1050"/>
      <c r="L37" s="1050">
        <v>-31500000000</v>
      </c>
      <c r="M37" s="1050">
        <v>-26300000000</v>
      </c>
      <c r="N37" s="1050"/>
      <c r="O37" s="1050">
        <v>-5755000000</v>
      </c>
      <c r="P37" s="1051">
        <v>-195000000</v>
      </c>
      <c r="Q37" s="1051">
        <v>1905000000</v>
      </c>
      <c r="R37" s="1050">
        <v>106000000</v>
      </c>
      <c r="S37" s="1051">
        <v>13749000000</v>
      </c>
      <c r="T37" s="1051">
        <v>31199000000</v>
      </c>
      <c r="U37" s="1051">
        <v>36263000000</v>
      </c>
      <c r="V37" s="1051">
        <v>11400000000</v>
      </c>
      <c r="W37" s="1051">
        <v>0</v>
      </c>
      <c r="X37" s="1051">
        <v>0</v>
      </c>
      <c r="Y37" s="1050">
        <v>0</v>
      </c>
      <c r="Z37" s="995">
        <v>0</v>
      </c>
      <c r="AA37" s="1010">
        <v>0</v>
      </c>
    </row>
    <row r="38" spans="1:31">
      <c r="B38" s="966" t="s">
        <v>3379</v>
      </c>
      <c r="C38" s="975"/>
      <c r="D38" s="1050"/>
      <c r="E38" s="1050"/>
      <c r="F38" s="1050"/>
      <c r="G38" s="1050"/>
      <c r="H38" s="1050"/>
      <c r="I38" s="1050"/>
      <c r="J38" s="1050"/>
      <c r="K38" s="1050"/>
      <c r="L38" s="1050"/>
      <c r="M38" s="1050">
        <v>-94900000000</v>
      </c>
      <c r="N38" s="1050"/>
      <c r="O38" s="1050">
        <v>-80658000000</v>
      </c>
      <c r="P38" s="1051">
        <v>-81243000000</v>
      </c>
      <c r="Q38" s="1051">
        <v>-55661000000</v>
      </c>
      <c r="R38" s="1050">
        <v>1846000000</v>
      </c>
      <c r="S38" s="1051">
        <v>5975000000</v>
      </c>
      <c r="T38" s="1051">
        <v>26315000000</v>
      </c>
      <c r="U38" s="1051">
        <v>30259000000</v>
      </c>
      <c r="V38" s="1051">
        <v>12424000000</v>
      </c>
      <c r="W38" s="1051">
        <v>-3397000000</v>
      </c>
      <c r="X38" s="1051">
        <v>8276000000</v>
      </c>
      <c r="Y38" s="1050">
        <v>3969000000</v>
      </c>
      <c r="Z38" s="995">
        <v>13116000000</v>
      </c>
      <c r="AA38" s="1010">
        <v>22360000000</v>
      </c>
    </row>
    <row r="39" spans="1:31">
      <c r="B39" s="966" t="s">
        <v>3380</v>
      </c>
      <c r="C39" s="975"/>
      <c r="D39" s="1050"/>
      <c r="E39" s="1050"/>
      <c r="F39" s="1050"/>
      <c r="G39" s="1050"/>
      <c r="H39" s="1050"/>
      <c r="I39" s="1050"/>
      <c r="J39" s="1050">
        <v>140000000000</v>
      </c>
      <c r="K39" s="1050">
        <v>164700000000</v>
      </c>
      <c r="L39" s="1050">
        <v>99100000000</v>
      </c>
      <c r="M39" s="1050">
        <v>112100000000</v>
      </c>
      <c r="N39" s="1050">
        <v>169400000000</v>
      </c>
      <c r="O39" s="1050">
        <v>102432000000</v>
      </c>
      <c r="P39" s="1051">
        <v>128455000000</v>
      </c>
      <c r="Q39" s="1051">
        <v>88681000000</v>
      </c>
      <c r="R39" s="1050">
        <v>104122000000</v>
      </c>
      <c r="S39" s="1051">
        <v>85283000000</v>
      </c>
      <c r="T39" s="1051">
        <v>312923000000</v>
      </c>
      <c r="U39" s="1051">
        <v>211227000000</v>
      </c>
      <c r="V39" s="1051">
        <v>243998000000</v>
      </c>
      <c r="W39" s="1051">
        <v>182313000000</v>
      </c>
      <c r="X39" s="1051">
        <v>131918000000</v>
      </c>
      <c r="Y39" s="1050">
        <v>177655000000</v>
      </c>
      <c r="Z39" s="995">
        <v>156117000000</v>
      </c>
      <c r="AA39" s="1010">
        <v>135835000000</v>
      </c>
    </row>
    <row r="40" spans="1:31">
      <c r="B40" s="966" t="s">
        <v>3381</v>
      </c>
      <c r="C40" s="975"/>
      <c r="D40" s="1050"/>
      <c r="E40" s="1050"/>
      <c r="F40" s="1050"/>
      <c r="G40" s="1050"/>
      <c r="H40" s="1050"/>
      <c r="I40" s="1050"/>
      <c r="J40" s="1050">
        <v>106900000000</v>
      </c>
      <c r="K40" s="1050">
        <v>105100000000</v>
      </c>
      <c r="L40" s="1050">
        <v>68800000000</v>
      </c>
      <c r="M40" s="1050">
        <v>74300000000</v>
      </c>
      <c r="N40" s="1050">
        <v>25400000000</v>
      </c>
      <c r="O40" s="1050">
        <v>79394000000</v>
      </c>
      <c r="P40" s="1051">
        <v>67820000000</v>
      </c>
      <c r="Q40" s="1051">
        <v>36976000000</v>
      </c>
      <c r="R40" s="1050">
        <v>75695000000</v>
      </c>
      <c r="S40" s="1051">
        <v>25285000000</v>
      </c>
      <c r="T40" s="1051">
        <v>216043000000</v>
      </c>
      <c r="U40" s="1051">
        <v>64161000000</v>
      </c>
      <c r="V40" s="1051">
        <v>176974000000</v>
      </c>
      <c r="W40" s="1051">
        <v>107015000000</v>
      </c>
      <c r="X40" s="1051">
        <v>76244000000</v>
      </c>
      <c r="Y40" s="1050">
        <v>132727000000</v>
      </c>
      <c r="Z40" s="995">
        <v>71313000000</v>
      </c>
      <c r="AA40" s="1010">
        <v>88272000000</v>
      </c>
    </row>
    <row r="41" spans="1:31">
      <c r="B41" s="966" t="s">
        <v>2326</v>
      </c>
      <c r="C41" s="975"/>
      <c r="D41" s="1050"/>
      <c r="E41" s="1050"/>
      <c r="F41" s="1050"/>
      <c r="G41" s="1050"/>
      <c r="H41" s="1050"/>
      <c r="I41" s="1050"/>
      <c r="J41" s="1050">
        <v>33100000000</v>
      </c>
      <c r="K41" s="1050">
        <v>59600000000</v>
      </c>
      <c r="L41" s="1050">
        <v>30300000000</v>
      </c>
      <c r="M41" s="1050">
        <v>37800000000</v>
      </c>
      <c r="N41" s="1050">
        <v>144000000000</v>
      </c>
      <c r="O41" s="1050">
        <v>23038000000</v>
      </c>
      <c r="P41" s="1051">
        <v>60635000000</v>
      </c>
      <c r="Q41" s="1051">
        <v>51705000000</v>
      </c>
      <c r="R41" s="1050">
        <v>28427000000</v>
      </c>
      <c r="S41" s="1051">
        <v>59999000000</v>
      </c>
      <c r="T41" s="1051">
        <v>96881000000</v>
      </c>
      <c r="U41" s="1051">
        <v>147066000000</v>
      </c>
      <c r="V41" s="1051">
        <v>67024000000</v>
      </c>
      <c r="W41" s="1051">
        <v>75298000000</v>
      </c>
      <c r="X41" s="1051">
        <v>55674000000</v>
      </c>
      <c r="Y41" s="1050">
        <v>44928000000</v>
      </c>
      <c r="Z41" s="995">
        <v>84804000000</v>
      </c>
      <c r="AA41" s="1010">
        <v>47563000000</v>
      </c>
    </row>
    <row r="42" spans="1:31">
      <c r="B42" s="966" t="s">
        <v>3382</v>
      </c>
      <c r="C42" s="975"/>
      <c r="D42" s="1050"/>
      <c r="E42" s="1050"/>
      <c r="F42" s="1050"/>
      <c r="G42" s="1050"/>
      <c r="H42" s="1050"/>
      <c r="I42" s="1050"/>
      <c r="J42" s="1050">
        <v>210800000000</v>
      </c>
      <c r="K42" s="1050">
        <v>233000000000</v>
      </c>
      <c r="L42" s="1050">
        <v>136199999999.99998</v>
      </c>
      <c r="M42" s="1050">
        <v>180700000000</v>
      </c>
      <c r="N42" s="1050">
        <v>290600000000</v>
      </c>
      <c r="O42" s="1050">
        <v>177334000000</v>
      </c>
      <c r="P42" s="1051">
        <v>209753000000</v>
      </c>
      <c r="Q42" s="1051">
        <v>146248000000</v>
      </c>
      <c r="R42" s="1050">
        <v>102382000000</v>
      </c>
      <c r="S42" s="1051">
        <v>93058000000</v>
      </c>
      <c r="T42" s="1051">
        <v>317807000000</v>
      </c>
      <c r="U42" s="1051">
        <v>217232000000</v>
      </c>
      <c r="V42" s="1051">
        <v>242974000000</v>
      </c>
      <c r="W42" s="1051">
        <v>185710000000</v>
      </c>
      <c r="X42" s="1051">
        <v>123643000000</v>
      </c>
      <c r="Y42" s="1050">
        <v>173686000000</v>
      </c>
      <c r="Z42" s="995">
        <v>143001000000</v>
      </c>
      <c r="AA42" s="1010">
        <v>113475000000</v>
      </c>
    </row>
    <row r="43" spans="1:31" s="848" customFormat="1">
      <c r="A43" s="1012" t="s">
        <v>115</v>
      </c>
      <c r="B43" s="1424" t="s">
        <v>3383</v>
      </c>
      <c r="C43" s="1012" t="s">
        <v>35</v>
      </c>
      <c r="D43" s="1055">
        <f>D44+D48</f>
        <v>-7228000000</v>
      </c>
      <c r="E43" s="1055">
        <f>E44+E48</f>
        <v>18829000000</v>
      </c>
      <c r="F43" s="1055">
        <v>23000000000</v>
      </c>
      <c r="G43" s="1055">
        <v>45100000000</v>
      </c>
      <c r="H43" s="1055">
        <v>43300000000</v>
      </c>
      <c r="I43" s="1055">
        <v>47200000000</v>
      </c>
      <c r="J43" s="1055">
        <v>210800000000</v>
      </c>
      <c r="K43" s="1055">
        <v>233000000000</v>
      </c>
      <c r="L43" s="1055">
        <v>143400000000</v>
      </c>
      <c r="M43" s="1055">
        <v>180700000000</v>
      </c>
      <c r="N43" s="1055">
        <v>290600000000</v>
      </c>
      <c r="O43" s="1055">
        <v>177334000000</v>
      </c>
      <c r="P43" s="1059">
        <f>P44+P48+P51</f>
        <v>204942000000</v>
      </c>
      <c r="Q43" s="1059">
        <v>146248000000</v>
      </c>
      <c r="R43" s="1055">
        <v>102382000000</v>
      </c>
      <c r="S43" s="1059">
        <f>S44+S48+S51</f>
        <v>93057000000</v>
      </c>
      <c r="T43" s="1059">
        <f t="shared" ref="T43:AA43" si="12">T44+T48+T51</f>
        <v>317807000000</v>
      </c>
      <c r="U43" s="1059">
        <f t="shared" si="12"/>
        <v>217232000000</v>
      </c>
      <c r="V43" s="1059">
        <f t="shared" si="12"/>
        <v>242974000000</v>
      </c>
      <c r="W43" s="1059">
        <f t="shared" si="12"/>
        <v>185710000000</v>
      </c>
      <c r="X43" s="1059">
        <f t="shared" si="12"/>
        <v>123643000000</v>
      </c>
      <c r="Y43" s="1059">
        <f t="shared" si="12"/>
        <v>173686000000</v>
      </c>
      <c r="Z43" s="1059">
        <f t="shared" si="12"/>
        <v>143000000000</v>
      </c>
      <c r="AA43" s="1059">
        <f t="shared" si="12"/>
        <v>113475000000</v>
      </c>
      <c r="AB43" s="1013"/>
      <c r="AC43" s="1013"/>
      <c r="AD43" s="1013"/>
      <c r="AE43" s="1013"/>
    </row>
    <row r="44" spans="1:31" ht="16.5" customHeight="1">
      <c r="A44" s="981" t="s">
        <v>3384</v>
      </c>
      <c r="B44" s="966" t="s">
        <v>209</v>
      </c>
      <c r="C44" s="981" t="s">
        <v>252</v>
      </c>
      <c r="D44" s="1050">
        <v>25295000000</v>
      </c>
      <c r="E44" s="1050">
        <v>6790000000</v>
      </c>
      <c r="F44" s="1050">
        <v>-2900000000</v>
      </c>
      <c r="G44" s="1050">
        <v>58100000000</v>
      </c>
      <c r="H44" s="1050">
        <v>31700000000</v>
      </c>
      <c r="I44" s="1050">
        <v>37100000000</v>
      </c>
      <c r="J44" s="1050">
        <v>155600000000</v>
      </c>
      <c r="K44" s="1050">
        <v>179100000000</v>
      </c>
      <c r="L44" s="1050">
        <v>90500000000</v>
      </c>
      <c r="M44" s="1050">
        <v>115800000000</v>
      </c>
      <c r="N44" s="1050">
        <v>248800000000</v>
      </c>
      <c r="O44" s="1050">
        <v>59920000000</v>
      </c>
      <c r="P44" s="1051">
        <v>142750000000</v>
      </c>
      <c r="Q44" s="1051">
        <v>137073000000</v>
      </c>
      <c r="R44" s="1050">
        <v>52211000000</v>
      </c>
      <c r="S44" s="1051">
        <v>42306000000</v>
      </c>
      <c r="T44" s="1051">
        <v>21011000000</v>
      </c>
      <c r="U44" s="1051">
        <v>82048000000</v>
      </c>
      <c r="V44" s="1051">
        <v>126733000000</v>
      </c>
      <c r="W44" s="1051">
        <v>120529000000</v>
      </c>
      <c r="X44" s="1051">
        <v>77246000000</v>
      </c>
      <c r="Y44" s="1050">
        <v>114824000000</v>
      </c>
      <c r="Z44" s="995">
        <v>117464000000</v>
      </c>
      <c r="AA44" s="1010">
        <v>95401000000</v>
      </c>
    </row>
    <row r="45" spans="1:31" ht="16.5" customHeight="1">
      <c r="A45" s="1418" t="s">
        <v>3385</v>
      </c>
      <c r="B45" s="1418" t="s">
        <v>3386</v>
      </c>
      <c r="C45" s="975" t="s">
        <v>124</v>
      </c>
      <c r="D45" s="1050"/>
      <c r="E45" s="1050"/>
      <c r="F45" s="1050"/>
      <c r="G45" s="1050"/>
      <c r="H45" s="1050"/>
      <c r="I45" s="1050"/>
      <c r="J45" s="1050"/>
      <c r="K45" s="1050"/>
      <c r="L45" s="1050"/>
      <c r="M45" s="1050"/>
      <c r="N45" s="1050"/>
      <c r="O45" s="1050"/>
      <c r="P45" s="1051"/>
      <c r="Q45" s="1051"/>
      <c r="R45" s="1050"/>
      <c r="S45" s="1051"/>
      <c r="T45" s="1051">
        <v>5938000000</v>
      </c>
      <c r="U45" s="1051">
        <v>14741000000</v>
      </c>
      <c r="V45" s="1051">
        <v>11439000000</v>
      </c>
      <c r="W45" s="1051">
        <v>15126000000</v>
      </c>
      <c r="X45" s="1051">
        <v>15484000000</v>
      </c>
      <c r="Y45" s="1050">
        <v>15852000000</v>
      </c>
      <c r="Z45" s="995">
        <v>16278000000</v>
      </c>
      <c r="AA45" s="1010">
        <v>16744000000</v>
      </c>
    </row>
    <row r="46" spans="1:31">
      <c r="A46" s="980" t="s">
        <v>862</v>
      </c>
      <c r="B46" s="980" t="s">
        <v>862</v>
      </c>
      <c r="C46" s="975" t="s">
        <v>124</v>
      </c>
      <c r="D46" s="1050">
        <v>8236000000</v>
      </c>
      <c r="E46" s="1050">
        <v>14189000000</v>
      </c>
      <c r="F46" s="1050">
        <v>28900000000</v>
      </c>
      <c r="G46" s="1050">
        <v>12100000000</v>
      </c>
      <c r="H46" s="1050">
        <v>14200000000</v>
      </c>
      <c r="I46" s="1050">
        <v>1000000000</v>
      </c>
      <c r="J46" s="1050"/>
      <c r="K46" s="1050"/>
      <c r="L46" s="1050"/>
      <c r="M46" s="1050"/>
      <c r="N46" s="1050"/>
      <c r="O46" s="1050"/>
      <c r="P46" s="1051"/>
      <c r="Q46" s="1051"/>
      <c r="R46" s="1050"/>
      <c r="S46" s="1051"/>
      <c r="T46" s="1051"/>
      <c r="U46" s="1051"/>
      <c r="V46" s="1051"/>
      <c r="W46" s="1051"/>
      <c r="X46" s="1051"/>
      <c r="Y46" s="1050"/>
      <c r="Z46" s="995"/>
      <c r="AA46" s="1010"/>
    </row>
    <row r="47" spans="1:31">
      <c r="A47" s="980" t="s">
        <v>50</v>
      </c>
      <c r="B47" s="980" t="s">
        <v>50</v>
      </c>
      <c r="C47" s="975" t="s">
        <v>124</v>
      </c>
      <c r="D47" s="1050">
        <v>17059000000</v>
      </c>
      <c r="E47" s="1050">
        <v>-7399000000</v>
      </c>
      <c r="F47" s="1050">
        <v>-31800000000</v>
      </c>
      <c r="G47" s="1050">
        <v>45900000000</v>
      </c>
      <c r="H47" s="1050">
        <v>17500000000</v>
      </c>
      <c r="I47" s="1050">
        <v>36100000000</v>
      </c>
      <c r="J47" s="1050"/>
      <c r="K47" s="1050"/>
      <c r="L47" s="1050"/>
      <c r="M47" s="1050"/>
      <c r="N47" s="1050"/>
      <c r="O47" s="1050"/>
      <c r="P47" s="1051"/>
      <c r="Q47" s="1051"/>
      <c r="R47" s="1050"/>
      <c r="S47" s="1051"/>
      <c r="T47" s="1051">
        <f>T44-T45</f>
        <v>15073000000</v>
      </c>
      <c r="U47" s="1051">
        <f t="shared" ref="U47:AA47" si="13">U44-U45</f>
        <v>67307000000</v>
      </c>
      <c r="V47" s="1051">
        <f t="shared" si="13"/>
        <v>115294000000</v>
      </c>
      <c r="W47" s="1051">
        <f t="shared" si="13"/>
        <v>105403000000</v>
      </c>
      <c r="X47" s="1051">
        <f t="shared" si="13"/>
        <v>61762000000</v>
      </c>
      <c r="Y47" s="1051">
        <f t="shared" si="13"/>
        <v>98972000000</v>
      </c>
      <c r="Z47" s="1051">
        <f t="shared" si="13"/>
        <v>101186000000</v>
      </c>
      <c r="AA47" s="1051">
        <f t="shared" si="13"/>
        <v>78657000000</v>
      </c>
    </row>
    <row r="48" spans="1:31">
      <c r="A48" s="981" t="s">
        <v>117</v>
      </c>
      <c r="B48" s="966" t="s">
        <v>280</v>
      </c>
      <c r="C48" s="981" t="s">
        <v>252</v>
      </c>
      <c r="D48" s="1050">
        <v>-32523000000</v>
      </c>
      <c r="E48" s="1050">
        <v>12039000000</v>
      </c>
      <c r="F48" s="1050">
        <v>25900000000</v>
      </c>
      <c r="G48" s="1050">
        <v>-12900000000</v>
      </c>
      <c r="H48" s="1050">
        <v>11600000000</v>
      </c>
      <c r="I48" s="1050">
        <v>8900000000</v>
      </c>
      <c r="J48" s="1050">
        <v>55200000000</v>
      </c>
      <c r="K48" s="1050">
        <v>37400000000</v>
      </c>
      <c r="L48" s="1050">
        <v>24000000000</v>
      </c>
      <c r="M48" s="1050">
        <v>58900000000</v>
      </c>
      <c r="N48" s="1050">
        <v>50800000000</v>
      </c>
      <c r="O48" s="1050">
        <v>90490000000</v>
      </c>
      <c r="P48" s="1051">
        <v>20768000000</v>
      </c>
      <c r="Q48" s="1051">
        <v>9175000000</v>
      </c>
      <c r="R48" s="1050">
        <v>57619000000</v>
      </c>
      <c r="S48" s="1051">
        <v>143628000000</v>
      </c>
      <c r="T48" s="1051">
        <v>267766000000</v>
      </c>
      <c r="U48" s="1051">
        <v>139003000000</v>
      </c>
      <c r="V48" s="1051">
        <v>99495000000</v>
      </c>
      <c r="W48" s="1051">
        <v>36444000000</v>
      </c>
      <c r="X48" s="1051">
        <v>39712000000</v>
      </c>
      <c r="Y48" s="1050">
        <v>38329000000</v>
      </c>
      <c r="Z48" s="995">
        <v>42172000000</v>
      </c>
      <c r="AA48" s="1010">
        <v>25304000000</v>
      </c>
    </row>
    <row r="49" spans="1:27">
      <c r="A49" s="980" t="s">
        <v>3387</v>
      </c>
      <c r="B49" s="980" t="s">
        <v>3387</v>
      </c>
      <c r="C49" s="975" t="s">
        <v>264</v>
      </c>
      <c r="D49" s="1050"/>
      <c r="E49" s="1050"/>
      <c r="F49" s="1050"/>
      <c r="G49" s="1050"/>
      <c r="H49" s="1050"/>
      <c r="I49" s="1050"/>
      <c r="J49" s="1050">
        <v>3200000000</v>
      </c>
      <c r="K49" s="1050">
        <v>16600000000.000002</v>
      </c>
      <c r="L49" s="1050">
        <v>9600000000</v>
      </c>
      <c r="M49" s="1050">
        <v>30800000000</v>
      </c>
      <c r="N49" s="1050">
        <v>50400000000</v>
      </c>
      <c r="O49" s="1050">
        <v>51262000000</v>
      </c>
      <c r="P49" s="1051">
        <v>30032000000</v>
      </c>
      <c r="Q49" s="1051">
        <v>9175000000</v>
      </c>
      <c r="R49" s="1050">
        <v>57619000000</v>
      </c>
      <c r="S49" s="1051">
        <v>66743000000</v>
      </c>
      <c r="T49" s="1051">
        <v>30231000000</v>
      </c>
      <c r="U49" s="1051">
        <v>35660000000</v>
      </c>
      <c r="V49" s="1051">
        <v>28416000000</v>
      </c>
      <c r="W49" s="1051">
        <v>32525000000</v>
      </c>
      <c r="X49" s="1051">
        <v>23667000000</v>
      </c>
      <c r="Y49" s="1050">
        <v>17796000000</v>
      </c>
      <c r="Z49" s="995">
        <v>14057000000</v>
      </c>
      <c r="AA49" s="1010">
        <v>10845000000</v>
      </c>
    </row>
    <row r="50" spans="1:27">
      <c r="A50" s="1425" t="s">
        <v>2599</v>
      </c>
      <c r="B50" s="1425" t="s">
        <v>2599</v>
      </c>
      <c r="C50" s="1428" t="s">
        <v>264</v>
      </c>
      <c r="D50" s="1050"/>
      <c r="E50" s="1050"/>
      <c r="F50" s="1050"/>
      <c r="G50" s="1050"/>
      <c r="H50" s="1050"/>
      <c r="I50" s="1050"/>
      <c r="J50" s="1050">
        <f>J48-J49</f>
        <v>52000000000</v>
      </c>
      <c r="K50" s="1050">
        <f t="shared" ref="K50:P50" si="14">K48-K49</f>
        <v>20800000000</v>
      </c>
      <c r="L50" s="1050">
        <f t="shared" si="14"/>
        <v>14400000000</v>
      </c>
      <c r="M50" s="1050">
        <f t="shared" si="14"/>
        <v>28100000000</v>
      </c>
      <c r="N50" s="1050">
        <f t="shared" si="14"/>
        <v>400000000</v>
      </c>
      <c r="O50" s="1050">
        <f t="shared" si="14"/>
        <v>39228000000</v>
      </c>
      <c r="P50" s="1050">
        <f t="shared" si="14"/>
        <v>-9264000000</v>
      </c>
      <c r="Q50" s="1050">
        <f t="shared" ref="Q50:AA50" si="15">(Q48-Q49)</f>
        <v>0</v>
      </c>
      <c r="R50" s="1050">
        <f t="shared" si="15"/>
        <v>0</v>
      </c>
      <c r="S50" s="1050">
        <f t="shared" si="15"/>
        <v>76885000000</v>
      </c>
      <c r="T50" s="1050">
        <f t="shared" si="15"/>
        <v>237535000000</v>
      </c>
      <c r="U50" s="1050">
        <f t="shared" si="15"/>
        <v>103343000000</v>
      </c>
      <c r="V50" s="1050">
        <f t="shared" si="15"/>
        <v>71079000000</v>
      </c>
      <c r="W50" s="1050">
        <f t="shared" si="15"/>
        <v>3919000000</v>
      </c>
      <c r="X50" s="1050">
        <f t="shared" si="15"/>
        <v>16045000000</v>
      </c>
      <c r="Y50" s="1050">
        <f t="shared" si="15"/>
        <v>20533000000</v>
      </c>
      <c r="Z50" s="1050">
        <f t="shared" si="15"/>
        <v>28115000000</v>
      </c>
      <c r="AA50" s="1050">
        <f t="shared" si="15"/>
        <v>14459000000</v>
      </c>
    </row>
    <row r="51" spans="1:27">
      <c r="A51" s="1389" t="s">
        <v>3388</v>
      </c>
      <c r="B51" s="1389" t="s">
        <v>3388</v>
      </c>
      <c r="C51" s="981" t="s">
        <v>252</v>
      </c>
      <c r="D51" s="1050"/>
      <c r="E51" s="1050"/>
      <c r="F51" s="1050"/>
      <c r="G51" s="1050"/>
      <c r="H51" s="1050"/>
      <c r="I51" s="1050">
        <v>1300000000</v>
      </c>
      <c r="J51" s="1050">
        <v>0</v>
      </c>
      <c r="K51" s="1050">
        <v>16600000000.000002</v>
      </c>
      <c r="L51" s="1050">
        <v>28900000000</v>
      </c>
      <c r="M51" s="1050">
        <v>6000000000</v>
      </c>
      <c r="N51" s="1050">
        <v>-9000000000</v>
      </c>
      <c r="O51" s="1050">
        <v>26924000000</v>
      </c>
      <c r="P51" s="1051">
        <v>41424000000</v>
      </c>
      <c r="Q51" s="1051">
        <v>0</v>
      </c>
      <c r="R51" s="1050">
        <v>-7448000000</v>
      </c>
      <c r="S51" s="1051">
        <v>-92877000000</v>
      </c>
      <c r="T51" s="1051">
        <v>29030000000</v>
      </c>
      <c r="U51" s="1051">
        <v>-3819000000</v>
      </c>
      <c r="V51" s="1051">
        <v>16746000000</v>
      </c>
      <c r="W51" s="1051">
        <v>28737000000</v>
      </c>
      <c r="X51" s="1051">
        <v>6685000000</v>
      </c>
      <c r="Y51" s="1050">
        <v>20533000000</v>
      </c>
      <c r="Z51" s="995">
        <v>-16636000000</v>
      </c>
      <c r="AA51" s="1010">
        <v>-7230000000</v>
      </c>
    </row>
    <row r="52" spans="1:27">
      <c r="B52" s="966"/>
      <c r="C52" s="975"/>
      <c r="AA52" s="1010"/>
    </row>
    <row r="53" spans="1:27">
      <c r="B53" s="966"/>
      <c r="C53" s="975"/>
      <c r="D53" s="972" t="s">
        <v>139</v>
      </c>
      <c r="E53" s="972" t="s">
        <v>139</v>
      </c>
      <c r="F53" s="972" t="s">
        <v>139</v>
      </c>
      <c r="G53" s="972" t="s">
        <v>139</v>
      </c>
      <c r="H53" s="972" t="s">
        <v>139</v>
      </c>
      <c r="I53" s="972" t="s">
        <v>139</v>
      </c>
      <c r="J53" s="972" t="s">
        <v>139</v>
      </c>
      <c r="K53" s="972" t="s">
        <v>139</v>
      </c>
      <c r="L53" s="972" t="s">
        <v>139</v>
      </c>
      <c r="M53" s="972" t="s">
        <v>139</v>
      </c>
      <c r="N53" s="972" t="s">
        <v>139</v>
      </c>
      <c r="O53" s="972" t="s">
        <v>139</v>
      </c>
      <c r="P53" s="972" t="s">
        <v>139</v>
      </c>
      <c r="Q53" s="972" t="s">
        <v>139</v>
      </c>
      <c r="R53" s="972" t="s">
        <v>139</v>
      </c>
      <c r="S53" s="972" t="s">
        <v>139</v>
      </c>
      <c r="T53" s="972" t="s">
        <v>139</v>
      </c>
      <c r="U53" s="972" t="s">
        <v>139</v>
      </c>
      <c r="V53" s="972" t="s">
        <v>139</v>
      </c>
      <c r="W53" s="972" t="s">
        <v>139</v>
      </c>
      <c r="X53" s="972" t="s">
        <v>139</v>
      </c>
      <c r="Y53" s="972" t="s">
        <v>139</v>
      </c>
      <c r="Z53" s="972" t="s">
        <v>139</v>
      </c>
      <c r="AA53" s="972" t="s">
        <v>139</v>
      </c>
    </row>
    <row r="55" spans="1:27">
      <c r="B55" s="972" t="s">
        <v>1700</v>
      </c>
      <c r="D55" s="995">
        <f t="shared" ref="D55:AA55" si="16">D6-D8-D20-D21</f>
        <v>0</v>
      </c>
      <c r="E55" s="972">
        <f t="shared" si="16"/>
        <v>0</v>
      </c>
      <c r="F55" s="972">
        <f t="shared" si="16"/>
        <v>0</v>
      </c>
      <c r="G55" s="972">
        <f t="shared" si="16"/>
        <v>0</v>
      </c>
      <c r="H55" s="972">
        <f t="shared" si="16"/>
        <v>100000000.00001526</v>
      </c>
      <c r="I55" s="972">
        <f t="shared" si="16"/>
        <v>-100000000</v>
      </c>
      <c r="J55" s="972">
        <f t="shared" si="16"/>
        <v>0</v>
      </c>
      <c r="K55" s="972">
        <f t="shared" si="16"/>
        <v>0</v>
      </c>
      <c r="L55" s="972">
        <f t="shared" si="16"/>
        <v>0</v>
      </c>
      <c r="M55" s="972">
        <f t="shared" si="16"/>
        <v>-100000000</v>
      </c>
      <c r="N55" s="995">
        <f t="shared" si="16"/>
        <v>3.0517578125E-5</v>
      </c>
      <c r="O55" s="972">
        <f t="shared" si="16"/>
        <v>0</v>
      </c>
      <c r="P55" s="972">
        <f t="shared" si="16"/>
        <v>-1000000</v>
      </c>
      <c r="Q55" s="972">
        <f t="shared" si="16"/>
        <v>0</v>
      </c>
      <c r="R55" s="972">
        <f t="shared" si="16"/>
        <v>0</v>
      </c>
      <c r="S55" s="1010">
        <f t="shared" si="16"/>
        <v>-1000000</v>
      </c>
      <c r="T55" s="1010">
        <f t="shared" si="16"/>
        <v>1000000</v>
      </c>
      <c r="U55" s="1010">
        <f t="shared" si="16"/>
        <v>0</v>
      </c>
      <c r="V55" s="1010">
        <f t="shared" si="16"/>
        <v>-1000000</v>
      </c>
      <c r="W55" s="1010">
        <f t="shared" si="16"/>
        <v>0</v>
      </c>
      <c r="X55" s="1010">
        <f t="shared" si="16"/>
        <v>1000000</v>
      </c>
      <c r="Y55" s="1010">
        <f t="shared" si="16"/>
        <v>0</v>
      </c>
      <c r="Z55" s="1010">
        <f t="shared" si="16"/>
        <v>-1000000</v>
      </c>
      <c r="AA55" s="1010">
        <f t="shared" si="16"/>
        <v>0</v>
      </c>
    </row>
    <row r="56" spans="1:27">
      <c r="B56" s="972" t="s">
        <v>450</v>
      </c>
      <c r="C56" s="995"/>
      <c r="D56" s="995">
        <f t="shared" ref="D56:AA56" si="17">D7-D8-D20</f>
        <v>0</v>
      </c>
      <c r="E56" s="995">
        <f t="shared" si="17"/>
        <v>0</v>
      </c>
      <c r="F56" s="995">
        <f t="shared" si="17"/>
        <v>0</v>
      </c>
      <c r="G56" s="995">
        <f t="shared" si="17"/>
        <v>0</v>
      </c>
      <c r="H56" s="995">
        <f t="shared" si="17"/>
        <v>1.52587890625E-5</v>
      </c>
      <c r="I56" s="995">
        <f t="shared" si="17"/>
        <v>0</v>
      </c>
      <c r="J56" s="995">
        <f t="shared" si="17"/>
        <v>0</v>
      </c>
      <c r="K56" s="995">
        <f t="shared" si="17"/>
        <v>0</v>
      </c>
      <c r="L56" s="995">
        <f t="shared" si="17"/>
        <v>0</v>
      </c>
      <c r="M56" s="995">
        <f t="shared" si="17"/>
        <v>0</v>
      </c>
      <c r="N56" s="995">
        <f t="shared" si="17"/>
        <v>3.0517578125E-5</v>
      </c>
      <c r="O56" s="995">
        <f t="shared" si="17"/>
        <v>0</v>
      </c>
      <c r="P56" s="995">
        <f t="shared" si="17"/>
        <v>0</v>
      </c>
      <c r="Q56" s="995">
        <f t="shared" si="17"/>
        <v>0</v>
      </c>
      <c r="R56" s="995">
        <f t="shared" si="17"/>
        <v>0</v>
      </c>
      <c r="S56" s="995">
        <f t="shared" si="17"/>
        <v>-1000000</v>
      </c>
      <c r="T56" s="995">
        <f t="shared" si="17"/>
        <v>1000000</v>
      </c>
      <c r="U56" s="995">
        <f t="shared" si="17"/>
        <v>0</v>
      </c>
      <c r="V56" s="995">
        <f t="shared" si="17"/>
        <v>-1000000</v>
      </c>
      <c r="W56" s="995">
        <f t="shared" si="17"/>
        <v>0</v>
      </c>
      <c r="X56" s="995">
        <f t="shared" si="17"/>
        <v>1000000</v>
      </c>
      <c r="Y56" s="995">
        <f t="shared" si="17"/>
        <v>0</v>
      </c>
      <c r="Z56" s="995">
        <f t="shared" si="17"/>
        <v>-1000000</v>
      </c>
      <c r="AA56" s="995">
        <f t="shared" si="17"/>
        <v>0</v>
      </c>
    </row>
    <row r="57" spans="1:27">
      <c r="B57" s="972" t="s">
        <v>451</v>
      </c>
      <c r="C57" s="995"/>
      <c r="D57" s="1003">
        <f t="shared" ref="D57:M57" si="18">D8-D9-D13-D16</f>
        <v>81370000000</v>
      </c>
      <c r="E57" s="1003">
        <f t="shared" si="18"/>
        <v>89827000000</v>
      </c>
      <c r="F57" s="1003">
        <f t="shared" si="18"/>
        <v>92800000000</v>
      </c>
      <c r="G57" s="1003">
        <f t="shared" si="18"/>
        <v>104700000000</v>
      </c>
      <c r="H57" s="1003">
        <f t="shared" si="18"/>
        <v>133199999999.99998</v>
      </c>
      <c r="I57" s="1003">
        <f t="shared" si="18"/>
        <v>153000000000</v>
      </c>
      <c r="J57" s="1003">
        <f t="shared" si="18"/>
        <v>165700000000</v>
      </c>
      <c r="K57" s="1003">
        <f t="shared" si="18"/>
        <v>192500000000</v>
      </c>
      <c r="L57" s="1003">
        <f t="shared" si="18"/>
        <v>224500000000</v>
      </c>
      <c r="M57" s="1003">
        <f t="shared" si="18"/>
        <v>250700000000</v>
      </c>
      <c r="N57" s="1003">
        <f t="shared" ref="N57:AA57" si="19">N8-N9-N13-N16-N19</f>
        <v>267399999999.99997</v>
      </c>
      <c r="O57" s="995">
        <f t="shared" si="19"/>
        <v>0</v>
      </c>
      <c r="P57" s="995">
        <f t="shared" si="19"/>
        <v>0</v>
      </c>
      <c r="Q57" s="995">
        <f t="shared" si="19"/>
        <v>0</v>
      </c>
      <c r="R57" s="995">
        <f t="shared" si="19"/>
        <v>0</v>
      </c>
      <c r="S57" s="995">
        <f t="shared" si="19"/>
        <v>0</v>
      </c>
      <c r="T57" s="995">
        <f t="shared" si="19"/>
        <v>0</v>
      </c>
      <c r="U57" s="995">
        <f t="shared" si="19"/>
        <v>0</v>
      </c>
      <c r="V57" s="995">
        <f t="shared" si="19"/>
        <v>0</v>
      </c>
      <c r="W57" s="995">
        <f t="shared" si="19"/>
        <v>0</v>
      </c>
      <c r="X57" s="995">
        <f t="shared" si="19"/>
        <v>0</v>
      </c>
      <c r="Y57" s="995">
        <f t="shared" si="19"/>
        <v>0</v>
      </c>
      <c r="Z57" s="995">
        <f t="shared" si="19"/>
        <v>0</v>
      </c>
      <c r="AA57" s="995">
        <f t="shared" si="19"/>
        <v>0</v>
      </c>
    </row>
    <row r="58" spans="1:27">
      <c r="B58" s="972" t="s">
        <v>3389</v>
      </c>
      <c r="C58" s="995"/>
      <c r="D58" s="995">
        <f t="shared" ref="D58:AA58" si="20">D9-D10-D11-D12</f>
        <v>0</v>
      </c>
      <c r="E58" s="995">
        <f t="shared" si="20"/>
        <v>0</v>
      </c>
      <c r="F58" s="995">
        <f t="shared" si="20"/>
        <v>0</v>
      </c>
      <c r="G58" s="995">
        <f t="shared" si="20"/>
        <v>0</v>
      </c>
      <c r="H58" s="995">
        <f t="shared" si="20"/>
        <v>0</v>
      </c>
      <c r="I58" s="995">
        <f t="shared" si="20"/>
        <v>0</v>
      </c>
      <c r="J58" s="995">
        <f t="shared" si="20"/>
        <v>0</v>
      </c>
      <c r="K58" s="995">
        <f t="shared" si="20"/>
        <v>0</v>
      </c>
      <c r="L58" s="995">
        <f t="shared" si="20"/>
        <v>0</v>
      </c>
      <c r="M58" s="995">
        <f t="shared" si="20"/>
        <v>0</v>
      </c>
      <c r="N58" s="995">
        <f t="shared" si="20"/>
        <v>0</v>
      </c>
      <c r="O58" s="995">
        <f t="shared" si="20"/>
        <v>0</v>
      </c>
      <c r="P58" s="995">
        <f t="shared" si="20"/>
        <v>0</v>
      </c>
      <c r="Q58" s="995">
        <f t="shared" si="20"/>
        <v>0</v>
      </c>
      <c r="R58" s="995">
        <f t="shared" si="20"/>
        <v>0</v>
      </c>
      <c r="S58" s="995">
        <f t="shared" si="20"/>
        <v>0</v>
      </c>
      <c r="T58" s="995">
        <f t="shared" si="20"/>
        <v>0</v>
      </c>
      <c r="U58" s="995">
        <f t="shared" si="20"/>
        <v>0</v>
      </c>
      <c r="V58" s="995">
        <f t="shared" si="20"/>
        <v>0</v>
      </c>
      <c r="W58" s="995">
        <f t="shared" si="20"/>
        <v>0</v>
      </c>
      <c r="X58" s="995">
        <f t="shared" si="20"/>
        <v>0</v>
      </c>
      <c r="Y58" s="995">
        <f t="shared" si="20"/>
        <v>0</v>
      </c>
      <c r="Z58" s="995">
        <f t="shared" si="20"/>
        <v>0</v>
      </c>
      <c r="AA58" s="995">
        <f t="shared" si="20"/>
        <v>0</v>
      </c>
    </row>
    <row r="59" spans="1:27">
      <c r="B59" s="972" t="s">
        <v>3390</v>
      </c>
      <c r="C59" s="995"/>
      <c r="D59" s="995">
        <f t="shared" ref="D59:AA59" si="21">D16-D17-D18</f>
        <v>0</v>
      </c>
      <c r="E59" s="995">
        <f t="shared" si="21"/>
        <v>0</v>
      </c>
      <c r="F59" s="995">
        <f t="shared" si="21"/>
        <v>0</v>
      </c>
      <c r="G59" s="995">
        <f t="shared" si="21"/>
        <v>0</v>
      </c>
      <c r="H59" s="995">
        <f t="shared" si="21"/>
        <v>0</v>
      </c>
      <c r="I59" s="995">
        <f t="shared" si="21"/>
        <v>0</v>
      </c>
      <c r="J59" s="995">
        <f t="shared" si="21"/>
        <v>0</v>
      </c>
      <c r="K59" s="995">
        <f t="shared" si="21"/>
        <v>0</v>
      </c>
      <c r="L59" s="995">
        <f t="shared" si="21"/>
        <v>0</v>
      </c>
      <c r="M59" s="995">
        <f t="shared" si="21"/>
        <v>0</v>
      </c>
      <c r="N59" s="995">
        <f t="shared" si="21"/>
        <v>0</v>
      </c>
      <c r="O59" s="995">
        <f t="shared" si="21"/>
        <v>0</v>
      </c>
      <c r="P59" s="995">
        <f t="shared" si="21"/>
        <v>0</v>
      </c>
      <c r="Q59" s="995">
        <f t="shared" si="21"/>
        <v>0</v>
      </c>
      <c r="R59" s="995">
        <f t="shared" si="21"/>
        <v>0</v>
      </c>
      <c r="S59" s="995">
        <f t="shared" si="21"/>
        <v>0</v>
      </c>
      <c r="T59" s="995">
        <f t="shared" si="21"/>
        <v>0</v>
      </c>
      <c r="U59" s="995">
        <f t="shared" si="21"/>
        <v>0</v>
      </c>
      <c r="V59" s="995">
        <f t="shared" si="21"/>
        <v>0</v>
      </c>
      <c r="W59" s="995">
        <f t="shared" si="21"/>
        <v>0</v>
      </c>
      <c r="X59" s="995">
        <f t="shared" si="21"/>
        <v>0</v>
      </c>
      <c r="Y59" s="995">
        <f t="shared" si="21"/>
        <v>0</v>
      </c>
      <c r="Z59" s="995">
        <f t="shared" si="21"/>
        <v>0</v>
      </c>
      <c r="AA59" s="995">
        <f t="shared" si="21"/>
        <v>0</v>
      </c>
    </row>
    <row r="60" spans="1:27">
      <c r="B60" s="972" t="s">
        <v>1207</v>
      </c>
      <c r="C60" s="995"/>
      <c r="D60" s="995">
        <f t="shared" ref="D60:R60" si="22">D22-D23-D29</f>
        <v>0</v>
      </c>
      <c r="E60" s="995">
        <f t="shared" si="22"/>
        <v>0</v>
      </c>
      <c r="F60" s="995">
        <f t="shared" si="22"/>
        <v>0</v>
      </c>
      <c r="G60" s="995">
        <f t="shared" si="22"/>
        <v>0</v>
      </c>
      <c r="H60" s="995">
        <f t="shared" si="22"/>
        <v>-100000000</v>
      </c>
      <c r="I60" s="995">
        <f t="shared" si="22"/>
        <v>0</v>
      </c>
      <c r="J60" s="995">
        <f t="shared" si="22"/>
        <v>100000000</v>
      </c>
      <c r="K60" s="995">
        <f t="shared" si="22"/>
        <v>0</v>
      </c>
      <c r="L60" s="995">
        <f t="shared" si="22"/>
        <v>0</v>
      </c>
      <c r="M60" s="995">
        <f t="shared" si="22"/>
        <v>0</v>
      </c>
      <c r="N60" s="995">
        <f t="shared" si="22"/>
        <v>100000000</v>
      </c>
      <c r="O60" s="995">
        <f t="shared" si="22"/>
        <v>0</v>
      </c>
      <c r="P60" s="995">
        <f t="shared" si="22"/>
        <v>1000000</v>
      </c>
      <c r="Q60" s="995">
        <f t="shared" si="22"/>
        <v>-1000000</v>
      </c>
      <c r="R60" s="995">
        <f t="shared" si="22"/>
        <v>0</v>
      </c>
      <c r="S60" s="995" t="e">
        <f>S22-S23-S29-#REF!</f>
        <v>#REF!</v>
      </c>
      <c r="T60" s="995" t="e">
        <f>T22-T23-T29-#REF!</f>
        <v>#REF!</v>
      </c>
      <c r="U60" s="995" t="e">
        <f>U22-U23-U29-#REF!</f>
        <v>#REF!</v>
      </c>
      <c r="V60" s="995" t="e">
        <f>V22-V23-V29-#REF!</f>
        <v>#REF!</v>
      </c>
      <c r="W60" s="995" t="e">
        <f>W22-W23-W29-#REF!</f>
        <v>#REF!</v>
      </c>
      <c r="X60" s="995" t="e">
        <f>X22-X23-X29-#REF!</f>
        <v>#REF!</v>
      </c>
      <c r="Y60" s="995" t="e">
        <f>Y22-Y23-Y29-#REF!</f>
        <v>#REF!</v>
      </c>
      <c r="Z60" s="995" t="e">
        <f>Z22-Z23-Z29-#REF!</f>
        <v>#REF!</v>
      </c>
      <c r="AA60" s="995" t="e">
        <f>AA22-AA23-AA29-#REF!</f>
        <v>#REF!</v>
      </c>
    </row>
    <row r="61" spans="1:27">
      <c r="B61" s="972" t="s">
        <v>291</v>
      </c>
      <c r="C61" s="995"/>
      <c r="D61" s="995">
        <f t="shared" ref="D61:AA61" si="23">D30-D31-D34</f>
        <v>0</v>
      </c>
      <c r="E61" s="995">
        <f t="shared" si="23"/>
        <v>0</v>
      </c>
      <c r="F61" s="995">
        <f t="shared" si="23"/>
        <v>-100000000</v>
      </c>
      <c r="G61" s="995">
        <f t="shared" si="23"/>
        <v>0</v>
      </c>
      <c r="H61" s="995">
        <f t="shared" si="23"/>
        <v>0</v>
      </c>
      <c r="I61" s="1003">
        <f t="shared" si="23"/>
        <v>95400000000</v>
      </c>
      <c r="J61" s="995">
        <f t="shared" si="23"/>
        <v>0</v>
      </c>
      <c r="K61" s="995">
        <f t="shared" si="23"/>
        <v>100000000</v>
      </c>
      <c r="L61" s="995">
        <f t="shared" si="23"/>
        <v>0</v>
      </c>
      <c r="M61" s="995">
        <f t="shared" si="23"/>
        <v>0</v>
      </c>
      <c r="N61" s="995">
        <f t="shared" si="23"/>
        <v>0</v>
      </c>
      <c r="O61" s="995">
        <f t="shared" si="23"/>
        <v>1000000</v>
      </c>
      <c r="P61" s="995">
        <f t="shared" si="23"/>
        <v>0</v>
      </c>
      <c r="Q61" s="995">
        <f t="shared" si="23"/>
        <v>0</v>
      </c>
      <c r="R61" s="995">
        <f t="shared" si="23"/>
        <v>-1000000</v>
      </c>
      <c r="S61" s="995">
        <f t="shared" si="23"/>
        <v>0</v>
      </c>
      <c r="T61" s="995">
        <f t="shared" si="23"/>
        <v>1000000</v>
      </c>
      <c r="U61" s="995">
        <f t="shared" si="23"/>
        <v>1000000</v>
      </c>
      <c r="V61" s="995">
        <f t="shared" si="23"/>
        <v>0</v>
      </c>
      <c r="W61" s="995">
        <f t="shared" si="23"/>
        <v>0</v>
      </c>
      <c r="X61" s="995">
        <f t="shared" si="23"/>
        <v>0</v>
      </c>
      <c r="Y61" s="995">
        <f t="shared" si="23"/>
        <v>0</v>
      </c>
      <c r="Z61" s="995">
        <f t="shared" si="23"/>
        <v>-1000000</v>
      </c>
      <c r="AA61" s="995">
        <f t="shared" si="23"/>
        <v>0</v>
      </c>
    </row>
    <row r="62" spans="1:27">
      <c r="B62" s="972" t="s">
        <v>3391</v>
      </c>
      <c r="C62" s="995"/>
      <c r="D62" s="1003">
        <f t="shared" ref="D62:AA62" si="24">D31-D32-D33</f>
        <v>34980000000</v>
      </c>
      <c r="E62" s="1003">
        <f t="shared" si="24"/>
        <v>34306000000</v>
      </c>
      <c r="F62" s="1003">
        <f t="shared" si="24"/>
        <v>40400000000</v>
      </c>
      <c r="G62" s="1003">
        <f t="shared" si="24"/>
        <v>46900000000</v>
      </c>
      <c r="H62" s="1003">
        <f t="shared" si="24"/>
        <v>71500000000</v>
      </c>
      <c r="I62" s="995">
        <f t="shared" si="24"/>
        <v>0</v>
      </c>
      <c r="J62" s="995">
        <f t="shared" si="24"/>
        <v>-7.62939453125E-6</v>
      </c>
      <c r="K62" s="995">
        <f t="shared" si="24"/>
        <v>0</v>
      </c>
      <c r="L62" s="995">
        <f t="shared" si="24"/>
        <v>100000000</v>
      </c>
      <c r="M62" s="995">
        <f t="shared" si="24"/>
        <v>0</v>
      </c>
      <c r="N62" s="995">
        <f t="shared" si="24"/>
        <v>0</v>
      </c>
      <c r="O62" s="1003">
        <f t="shared" si="24"/>
        <v>88049000000</v>
      </c>
      <c r="P62" s="1003">
        <f t="shared" si="24"/>
        <v>81617000000</v>
      </c>
      <c r="Q62" s="1003">
        <f t="shared" si="24"/>
        <v>87729000000</v>
      </c>
      <c r="R62" s="1003">
        <f t="shared" si="24"/>
        <v>68729000000</v>
      </c>
      <c r="S62" s="1003">
        <f t="shared" si="24"/>
        <v>75756000000</v>
      </c>
      <c r="T62" s="1003">
        <f t="shared" si="24"/>
        <v>71391000000</v>
      </c>
      <c r="U62" s="1003">
        <f t="shared" si="24"/>
        <v>64700000000</v>
      </c>
      <c r="V62" s="1003">
        <f t="shared" si="24"/>
        <v>58424000000</v>
      </c>
      <c r="W62" s="1003">
        <f t="shared" si="24"/>
        <v>63470000000</v>
      </c>
      <c r="X62" s="1003">
        <f t="shared" si="24"/>
        <v>62427000000</v>
      </c>
      <c r="Y62" s="1003">
        <f t="shared" si="24"/>
        <v>62160000000</v>
      </c>
      <c r="Z62" s="1003">
        <f t="shared" si="24"/>
        <v>64370000000</v>
      </c>
      <c r="AA62" s="1003">
        <f t="shared" si="24"/>
        <v>67732000000</v>
      </c>
    </row>
    <row r="63" spans="1:27">
      <c r="B63" s="972" t="s">
        <v>723</v>
      </c>
      <c r="C63" s="995"/>
      <c r="D63" s="995">
        <f>D43-D44-D48-D51</f>
        <v>0</v>
      </c>
      <c r="E63" s="995">
        <f t="shared" ref="E63:U63" si="25">E43-E44-E48-E51</f>
        <v>0</v>
      </c>
      <c r="F63" s="995">
        <f t="shared" si="25"/>
        <v>0</v>
      </c>
      <c r="G63" s="995">
        <f t="shared" si="25"/>
        <v>-100000000</v>
      </c>
      <c r="H63" s="995">
        <f t="shared" si="25"/>
        <v>0</v>
      </c>
      <c r="I63" s="995">
        <f t="shared" si="25"/>
        <v>-100000000</v>
      </c>
      <c r="J63" s="995">
        <f t="shared" si="25"/>
        <v>0</v>
      </c>
      <c r="K63" s="995">
        <f t="shared" si="25"/>
        <v>-100000000.00000191</v>
      </c>
      <c r="L63" s="995">
        <f t="shared" si="25"/>
        <v>0</v>
      </c>
      <c r="M63" s="995">
        <f t="shared" si="25"/>
        <v>0</v>
      </c>
      <c r="N63" s="995">
        <f t="shared" si="25"/>
        <v>0</v>
      </c>
      <c r="O63" s="995">
        <f>O43-O44-O48-O51</f>
        <v>0</v>
      </c>
      <c r="P63" s="995">
        <f>P43-P44-P48-P51</f>
        <v>0</v>
      </c>
      <c r="Q63" s="995">
        <f t="shared" si="25"/>
        <v>0</v>
      </c>
      <c r="R63" s="995">
        <f t="shared" si="25"/>
        <v>0</v>
      </c>
      <c r="S63" s="995">
        <f t="shared" si="25"/>
        <v>0</v>
      </c>
      <c r="T63" s="995">
        <f>T43-T44-T48-T51</f>
        <v>0</v>
      </c>
      <c r="U63" s="995">
        <f t="shared" si="25"/>
        <v>0</v>
      </c>
      <c r="V63" s="995">
        <f t="shared" ref="V63:AA63" si="26">V43-V44-V48-V51</f>
        <v>0</v>
      </c>
      <c r="W63" s="995">
        <f t="shared" si="26"/>
        <v>0</v>
      </c>
      <c r="X63" s="995">
        <f t="shared" si="26"/>
        <v>0</v>
      </c>
      <c r="Y63" s="995">
        <f t="shared" si="26"/>
        <v>0</v>
      </c>
      <c r="Z63" s="995">
        <f t="shared" si="26"/>
        <v>0</v>
      </c>
      <c r="AA63" s="995">
        <f t="shared" si="26"/>
        <v>0</v>
      </c>
    </row>
    <row r="64" spans="1:27">
      <c r="B64" s="972" t="s">
        <v>362</v>
      </c>
      <c r="C64" s="995"/>
      <c r="D64" s="995">
        <f>D44-D46-D47</f>
        <v>0</v>
      </c>
      <c r="E64" s="995">
        <f t="shared" ref="E64:U64" si="27">E44-E46-E47</f>
        <v>0</v>
      </c>
      <c r="F64" s="995">
        <f t="shared" si="27"/>
        <v>0</v>
      </c>
      <c r="G64" s="995">
        <f t="shared" si="27"/>
        <v>100000000</v>
      </c>
      <c r="H64" s="995">
        <f t="shared" si="27"/>
        <v>0</v>
      </c>
      <c r="I64" s="995">
        <f t="shared" si="27"/>
        <v>0</v>
      </c>
      <c r="J64" s="1003">
        <f t="shared" si="27"/>
        <v>155600000000</v>
      </c>
      <c r="K64" s="1003">
        <f t="shared" si="27"/>
        <v>179100000000</v>
      </c>
      <c r="L64" s="1003">
        <f t="shared" si="27"/>
        <v>90500000000</v>
      </c>
      <c r="M64" s="1003">
        <f t="shared" si="27"/>
        <v>115800000000</v>
      </c>
      <c r="N64" s="1003">
        <f t="shared" si="27"/>
        <v>248800000000</v>
      </c>
      <c r="O64" s="1003">
        <f t="shared" si="27"/>
        <v>59920000000</v>
      </c>
      <c r="P64" s="1003">
        <f t="shared" si="27"/>
        <v>142750000000</v>
      </c>
      <c r="Q64" s="1003">
        <f t="shared" si="27"/>
        <v>137073000000</v>
      </c>
      <c r="R64" s="1003">
        <f t="shared" si="27"/>
        <v>52211000000</v>
      </c>
      <c r="S64" s="1003">
        <f t="shared" si="27"/>
        <v>42306000000</v>
      </c>
      <c r="T64" s="1003">
        <f t="shared" si="27"/>
        <v>5938000000</v>
      </c>
      <c r="U64" s="1003">
        <f t="shared" si="27"/>
        <v>14741000000</v>
      </c>
      <c r="V64" s="1003">
        <f t="shared" ref="V64:AA64" si="28">V44-V46-V47</f>
        <v>11439000000</v>
      </c>
      <c r="W64" s="1003">
        <f t="shared" si="28"/>
        <v>15126000000</v>
      </c>
      <c r="X64" s="1003">
        <f t="shared" si="28"/>
        <v>15484000000</v>
      </c>
      <c r="Y64" s="1003">
        <f t="shared" si="28"/>
        <v>15852000000</v>
      </c>
      <c r="Z64" s="1003">
        <f t="shared" si="28"/>
        <v>16278000000</v>
      </c>
      <c r="AA64" s="1003">
        <f t="shared" si="28"/>
        <v>16744000000</v>
      </c>
    </row>
    <row r="65" spans="2:27">
      <c r="B65" s="972" t="s">
        <v>1363</v>
      </c>
      <c r="C65" s="995"/>
      <c r="D65" s="1003">
        <f>D48-D49-D50</f>
        <v>-32523000000</v>
      </c>
      <c r="E65" s="1003">
        <f t="shared" ref="E65:U65" si="29">E48-E49-E50</f>
        <v>12039000000</v>
      </c>
      <c r="F65" s="1003">
        <f t="shared" si="29"/>
        <v>25900000000</v>
      </c>
      <c r="G65" s="1003">
        <f t="shared" si="29"/>
        <v>-12900000000</v>
      </c>
      <c r="H65" s="1003">
        <f t="shared" si="29"/>
        <v>11600000000</v>
      </c>
      <c r="I65" s="1003">
        <f t="shared" si="29"/>
        <v>8900000000</v>
      </c>
      <c r="J65" s="995">
        <f t="shared" si="29"/>
        <v>0</v>
      </c>
      <c r="K65" s="995">
        <f t="shared" si="29"/>
        <v>0</v>
      </c>
      <c r="L65" s="995">
        <f t="shared" si="29"/>
        <v>0</v>
      </c>
      <c r="M65" s="995">
        <f t="shared" si="29"/>
        <v>0</v>
      </c>
      <c r="N65" s="995">
        <f t="shared" si="29"/>
        <v>0</v>
      </c>
      <c r="O65" s="995">
        <f t="shared" si="29"/>
        <v>0</v>
      </c>
      <c r="P65" s="995">
        <f t="shared" si="29"/>
        <v>0</v>
      </c>
      <c r="Q65" s="995">
        <f t="shared" si="29"/>
        <v>0</v>
      </c>
      <c r="R65" s="995">
        <f t="shared" si="29"/>
        <v>0</v>
      </c>
      <c r="S65" s="995">
        <f>S48-S49-S50</f>
        <v>0</v>
      </c>
      <c r="T65" s="995">
        <f t="shared" si="29"/>
        <v>0</v>
      </c>
      <c r="U65" s="995">
        <f t="shared" si="29"/>
        <v>0</v>
      </c>
      <c r="V65" s="995">
        <f t="shared" ref="V65:AA65" si="30">V48-V49-V50</f>
        <v>0</v>
      </c>
      <c r="W65" s="995">
        <f t="shared" si="30"/>
        <v>0</v>
      </c>
      <c r="X65" s="995">
        <f t="shared" si="30"/>
        <v>0</v>
      </c>
      <c r="Y65" s="995">
        <f t="shared" si="30"/>
        <v>0</v>
      </c>
      <c r="Z65" s="995">
        <f t="shared" si="30"/>
        <v>0</v>
      </c>
      <c r="AA65" s="995">
        <f t="shared" si="30"/>
        <v>0</v>
      </c>
    </row>
    <row r="66" spans="2:27">
      <c r="B66" s="972" t="s">
        <v>2643</v>
      </c>
      <c r="C66" s="995"/>
      <c r="D66" s="995">
        <f t="shared" ref="D66:U66" si="31">D44-D46-D47</f>
        <v>0</v>
      </c>
      <c r="E66" s="995">
        <f t="shared" si="31"/>
        <v>0</v>
      </c>
      <c r="F66" s="995">
        <f t="shared" si="31"/>
        <v>0</v>
      </c>
      <c r="G66" s="995">
        <f t="shared" si="31"/>
        <v>100000000</v>
      </c>
      <c r="H66" s="995">
        <f t="shared" si="31"/>
        <v>0</v>
      </c>
      <c r="I66" s="995">
        <f t="shared" si="31"/>
        <v>0</v>
      </c>
      <c r="J66" s="1003">
        <f t="shared" si="31"/>
        <v>155600000000</v>
      </c>
      <c r="K66" s="1003">
        <f t="shared" si="31"/>
        <v>179100000000</v>
      </c>
      <c r="L66" s="1003">
        <f t="shared" si="31"/>
        <v>90500000000</v>
      </c>
      <c r="M66" s="1003">
        <f t="shared" si="31"/>
        <v>115800000000</v>
      </c>
      <c r="N66" s="1003">
        <f t="shared" si="31"/>
        <v>248800000000</v>
      </c>
      <c r="O66" s="1003">
        <f t="shared" si="31"/>
        <v>59920000000</v>
      </c>
      <c r="P66" s="1003">
        <f t="shared" si="31"/>
        <v>142750000000</v>
      </c>
      <c r="Q66" s="1003">
        <f t="shared" si="31"/>
        <v>137073000000</v>
      </c>
      <c r="R66" s="1003">
        <f t="shared" si="31"/>
        <v>52211000000</v>
      </c>
      <c r="S66" s="1003">
        <f t="shared" si="31"/>
        <v>42306000000</v>
      </c>
      <c r="T66" s="1003">
        <f t="shared" si="31"/>
        <v>5938000000</v>
      </c>
      <c r="U66" s="1003">
        <f t="shared" si="31"/>
        <v>14741000000</v>
      </c>
      <c r="V66" s="1003">
        <f t="shared" ref="V66:AA66" si="32">V44-V46-V47</f>
        <v>11439000000</v>
      </c>
      <c r="W66" s="1003">
        <f t="shared" si="32"/>
        <v>15126000000</v>
      </c>
      <c r="X66" s="1003">
        <f t="shared" si="32"/>
        <v>15484000000</v>
      </c>
      <c r="Y66" s="1003">
        <f t="shared" si="32"/>
        <v>15852000000</v>
      </c>
      <c r="Z66" s="1003">
        <f t="shared" si="32"/>
        <v>16278000000</v>
      </c>
      <c r="AA66" s="1003">
        <f t="shared" si="32"/>
        <v>16744000000</v>
      </c>
    </row>
    <row r="67" spans="2:27" ht="16.5" thickBot="1">
      <c r="C67" s="995"/>
      <c r="D67" s="995"/>
      <c r="E67" s="995"/>
      <c r="F67" s="995"/>
      <c r="G67" s="995"/>
      <c r="H67" s="995"/>
      <c r="I67" s="995"/>
      <c r="J67" s="995"/>
      <c r="K67" s="995"/>
      <c r="L67" s="995"/>
      <c r="M67" s="995"/>
      <c r="N67" s="995"/>
      <c r="O67" s="995"/>
      <c r="P67" s="995"/>
      <c r="Q67" s="995"/>
      <c r="R67" s="995"/>
      <c r="S67" s="995"/>
      <c r="T67" s="995"/>
      <c r="U67" s="995"/>
      <c r="V67" s="995"/>
      <c r="W67" s="995"/>
      <c r="X67" s="995"/>
      <c r="Y67" s="995"/>
      <c r="Z67" s="995"/>
    </row>
    <row r="68" spans="2:27" ht="16.5" thickBot="1">
      <c r="B68" s="972" t="s">
        <v>543</v>
      </c>
      <c r="D68" s="1420">
        <v>387089000000</v>
      </c>
      <c r="E68" s="1421">
        <v>422923000000</v>
      </c>
      <c r="F68" s="1421">
        <v>470555000000</v>
      </c>
      <c r="G68" s="1421">
        <v>544510000000</v>
      </c>
      <c r="H68" s="1421">
        <v>622574000000</v>
      </c>
      <c r="I68" s="1421">
        <v>699989000000</v>
      </c>
      <c r="J68" s="1421">
        <v>784171000000</v>
      </c>
      <c r="K68" s="1421">
        <v>885353000000</v>
      </c>
      <c r="L68" s="1421">
        <v>997315000000</v>
      </c>
      <c r="M68" s="1136">
        <v>1065627000000</v>
      </c>
      <c r="N68" s="1136">
        <v>1153981000000</v>
      </c>
      <c r="O68" s="1136">
        <v>1241072000000</v>
      </c>
      <c r="P68" s="1136">
        <v>1315754000000</v>
      </c>
      <c r="Q68" s="1136">
        <v>1430423000000</v>
      </c>
      <c r="R68" s="1422">
        <v>1463000000000</v>
      </c>
      <c r="S68" s="1429">
        <v>1568000000000</v>
      </c>
      <c r="T68" s="1429">
        <v>1687000000000</v>
      </c>
      <c r="U68" s="1429">
        <v>1784000000000</v>
      </c>
      <c r="V68" s="1429">
        <v>1887000000000</v>
      </c>
      <c r="W68" s="1429">
        <v>2016000000000</v>
      </c>
      <c r="X68" s="1429">
        <v>2156000000000</v>
      </c>
      <c r="Y68" s="1429">
        <v>2310000000000</v>
      </c>
      <c r="Z68" s="1429">
        <v>2478000000000</v>
      </c>
      <c r="AA68" s="1010">
        <v>2660000000000</v>
      </c>
    </row>
    <row r="69" spans="2:27">
      <c r="B69" s="972" t="s">
        <v>151</v>
      </c>
      <c r="D69" s="1376">
        <f t="shared" ref="D69:AA69" si="33">(D6/D68)*100</f>
        <v>23.346827215446577</v>
      </c>
      <c r="E69" s="1376">
        <f t="shared" si="33"/>
        <v>23.886381208872535</v>
      </c>
      <c r="F69" s="1376">
        <f t="shared" si="33"/>
        <v>21.804039910318664</v>
      </c>
      <c r="G69" s="1376">
        <f t="shared" si="33"/>
        <v>21.523938954289175</v>
      </c>
      <c r="H69" s="1376">
        <f t="shared" si="33"/>
        <v>23.37071577033413</v>
      </c>
      <c r="I69" s="1376">
        <f t="shared" si="33"/>
        <v>24.500385006050095</v>
      </c>
      <c r="J69" s="1376">
        <f t="shared" si="33"/>
        <v>23.808582566812593</v>
      </c>
      <c r="K69" s="1376">
        <f t="shared" si="33"/>
        <v>23.866186707448893</v>
      </c>
      <c r="L69" s="1376">
        <f t="shared" si="33"/>
        <v>25.267844161573827</v>
      </c>
      <c r="M69" s="1376">
        <f t="shared" si="33"/>
        <v>25.919012937922929</v>
      </c>
      <c r="N69" s="1376">
        <f t="shared" si="33"/>
        <v>26.014293129609584</v>
      </c>
      <c r="O69" s="1376">
        <f t="shared" si="33"/>
        <v>25.345668905591296</v>
      </c>
      <c r="P69" s="1376">
        <f t="shared" si="33"/>
        <v>24.507392719307713</v>
      </c>
      <c r="Q69" s="1376">
        <f t="shared" si="33"/>
        <v>24.095529783847155</v>
      </c>
      <c r="R69" s="1376">
        <f t="shared" si="33"/>
        <v>27.134791524265207</v>
      </c>
      <c r="S69" s="1376">
        <f t="shared" si="33"/>
        <v>26.257397959183677</v>
      </c>
      <c r="T69" s="1376">
        <f t="shared" si="33"/>
        <v>27.020509780675756</v>
      </c>
      <c r="U69" s="1376">
        <f t="shared" si="33"/>
        <v>28.020179372197308</v>
      </c>
      <c r="V69" s="1376">
        <f t="shared" si="33"/>
        <v>29.255908850026497</v>
      </c>
      <c r="W69" s="1376">
        <f t="shared" si="33"/>
        <v>29.288244047619049</v>
      </c>
      <c r="X69" s="1376">
        <f t="shared" si="33"/>
        <v>29.224860853432283</v>
      </c>
      <c r="Y69" s="1376">
        <f t="shared" si="33"/>
        <v>28.951645021645021</v>
      </c>
      <c r="Z69" s="1376">
        <f t="shared" si="33"/>
        <v>28.818361581920904</v>
      </c>
      <c r="AA69" s="1376">
        <f t="shared" si="33"/>
        <v>28.648872180451129</v>
      </c>
    </row>
    <row r="70" spans="2:27">
      <c r="B70" s="972" t="s">
        <v>1132</v>
      </c>
      <c r="D70" s="1376">
        <f t="shared" ref="D70:AA70" si="34">(D22/D68)*100</f>
        <v>26.595434124968676</v>
      </c>
      <c r="E70" s="1376">
        <f t="shared" si="34"/>
        <v>24.636399533721267</v>
      </c>
      <c r="F70" s="1376">
        <f t="shared" si="34"/>
        <v>26.309358098415704</v>
      </c>
      <c r="G70" s="1376">
        <f t="shared" si="34"/>
        <v>27.364052083524637</v>
      </c>
      <c r="H70" s="1376">
        <f t="shared" si="34"/>
        <v>28.847976304824808</v>
      </c>
      <c r="I70" s="1376">
        <f t="shared" si="34"/>
        <v>28.771880700982443</v>
      </c>
      <c r="J70" s="1376">
        <f t="shared" si="34"/>
        <v>26.83088254985201</v>
      </c>
      <c r="K70" s="1376">
        <f t="shared" si="34"/>
        <v>28.327683985935554</v>
      </c>
      <c r="L70" s="1376">
        <f t="shared" si="34"/>
        <v>28.757213117219738</v>
      </c>
      <c r="M70" s="1376">
        <f t="shared" si="34"/>
        <v>33.050964361826416</v>
      </c>
      <c r="N70" s="1376">
        <f t="shared" si="34"/>
        <v>36.52573135952845</v>
      </c>
      <c r="O70" s="1376">
        <f t="shared" si="34"/>
        <v>31.325176943803424</v>
      </c>
      <c r="P70" s="1376">
        <f t="shared" si="34"/>
        <v>30.64341814655323</v>
      </c>
      <c r="Q70" s="1376">
        <f t="shared" si="34"/>
        <v>27.913351505114221</v>
      </c>
      <c r="R70" s="1376">
        <f t="shared" si="34"/>
        <v>27.015857826384142</v>
      </c>
      <c r="S70" s="1376">
        <f t="shared" si="34"/>
        <v>26.968112244897956</v>
      </c>
      <c r="T70" s="1376">
        <f t="shared" si="34"/>
        <v>27.537700059276819</v>
      </c>
      <c r="U70" s="1376">
        <f t="shared" si="34"/>
        <v>28.356726457399102</v>
      </c>
      <c r="V70" s="1376">
        <f t="shared" si="34"/>
        <v>29.201695813460521</v>
      </c>
      <c r="W70" s="1376">
        <f t="shared" si="34"/>
        <v>29.456746031746032</v>
      </c>
      <c r="X70" s="1376">
        <f t="shared" si="34"/>
        <v>28.841048237476809</v>
      </c>
      <c r="Y70" s="1376">
        <f t="shared" si="34"/>
        <v>28.779783549783549</v>
      </c>
      <c r="Z70" s="1376">
        <f t="shared" si="34"/>
        <v>28.289063761097662</v>
      </c>
      <c r="AA70" s="1376">
        <f t="shared" si="34"/>
        <v>27.808233082706767</v>
      </c>
    </row>
    <row r="71" spans="2:27">
      <c r="L71" s="995"/>
      <c r="Q71" s="1139"/>
    </row>
    <row r="76" spans="2:27">
      <c r="R76" s="1422"/>
      <c r="S76" s="1423"/>
      <c r="T76" s="1422"/>
      <c r="U76" s="1422"/>
      <c r="V76" s="1422"/>
      <c r="W76" s="1422"/>
      <c r="X76" s="1422"/>
      <c r="Y76" s="1423"/>
      <c r="Z76" s="1422"/>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6" activePane="bottomRight" state="frozen"/>
      <selection pane="topRight" activeCell="R7" sqref="R7"/>
      <selection pane="bottomLeft" activeCell="R7" sqref="R7"/>
      <selection pane="bottomRight" activeCell="H39" sqref="H39"/>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20.710937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69" t="s">
        <v>3392</v>
      </c>
      <c r="B1" s="82" t="s">
        <v>3393</v>
      </c>
      <c r="C1" s="82"/>
      <c r="D1" s="27"/>
      <c r="E1" s="27"/>
      <c r="F1" s="27"/>
      <c r="G1" s="27"/>
      <c r="H1" s="27"/>
      <c r="I1" s="27"/>
      <c r="J1" s="27"/>
      <c r="K1" s="27"/>
      <c r="L1" s="27"/>
      <c r="M1" s="27"/>
      <c r="N1" s="27"/>
      <c r="O1" s="28"/>
      <c r="P1" s="28"/>
      <c r="Q1" s="28"/>
      <c r="R1" s="29"/>
      <c r="S1" s="28"/>
      <c r="T1" s="28"/>
      <c r="U1" s="28"/>
      <c r="V1" s="28"/>
      <c r="W1" s="28"/>
      <c r="X1" s="2"/>
    </row>
    <row r="2" spans="1:26">
      <c r="B2" s="30" t="s">
        <v>3394</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1138</v>
      </c>
      <c r="C6" s="55" t="s">
        <v>35</v>
      </c>
      <c r="D6" s="293">
        <v>1802000000</v>
      </c>
      <c r="E6" s="293">
        <v>1926000000</v>
      </c>
      <c r="F6" s="293">
        <v>2010000000</v>
      </c>
      <c r="G6" s="295">
        <v>2511000000</v>
      </c>
      <c r="H6" s="178">
        <v>2962000000</v>
      </c>
      <c r="I6" s="178">
        <v>2971000000</v>
      </c>
      <c r="J6" s="178">
        <v>3454000000</v>
      </c>
      <c r="K6" s="178">
        <v>3920000000</v>
      </c>
      <c r="L6" s="178">
        <v>4690000000</v>
      </c>
      <c r="M6" s="178">
        <v>4476000000</v>
      </c>
      <c r="N6" s="178">
        <v>4663000000</v>
      </c>
      <c r="O6" s="295">
        <v>5414000000</v>
      </c>
      <c r="P6" s="142">
        <v>5054000000</v>
      </c>
      <c r="Q6" s="296">
        <v>5758000000</v>
      </c>
      <c r="R6" s="296">
        <v>7091000000</v>
      </c>
      <c r="S6" s="296">
        <v>6658000000</v>
      </c>
      <c r="T6" s="296">
        <v>7013000000</v>
      </c>
      <c r="U6" s="296">
        <v>8003000000</v>
      </c>
      <c r="V6" s="296">
        <v>8685000000</v>
      </c>
      <c r="W6" s="296">
        <v>8789000000</v>
      </c>
      <c r="X6" s="296">
        <v>9285000000</v>
      </c>
      <c r="Y6" s="296">
        <v>9834000000</v>
      </c>
      <c r="Z6" s="296">
        <v>10389000000</v>
      </c>
    </row>
    <row r="7" spans="1:26" ht="16.5">
      <c r="A7" s="139" t="s">
        <v>36</v>
      </c>
      <c r="B7" s="90" t="s">
        <v>3395</v>
      </c>
      <c r="C7" s="345" t="s">
        <v>38</v>
      </c>
      <c r="D7" s="293">
        <v>1551000000</v>
      </c>
      <c r="E7" s="293">
        <v>1653000000</v>
      </c>
      <c r="F7" s="293">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74">
        <v>5854000000</v>
      </c>
      <c r="S7" s="674">
        <v>5772000000</v>
      </c>
      <c r="T7" s="674">
        <v>6176000000</v>
      </c>
      <c r="U7" s="674">
        <v>7169000000</v>
      </c>
      <c r="V7" s="674">
        <v>7534000000</v>
      </c>
      <c r="W7" s="674">
        <v>7931000000</v>
      </c>
      <c r="X7" s="674">
        <v>8381000000</v>
      </c>
      <c r="Y7" s="674">
        <v>8879000000</v>
      </c>
      <c r="Z7" s="674">
        <v>9381000000</v>
      </c>
    </row>
    <row r="8" spans="1:26" ht="16.5">
      <c r="A8" s="99" t="s">
        <v>39</v>
      </c>
      <c r="B8" s="99" t="s">
        <v>3396</v>
      </c>
      <c r="C8" s="58" t="s">
        <v>41</v>
      </c>
      <c r="D8" s="293">
        <v>962000000</v>
      </c>
      <c r="E8" s="293">
        <v>1020000000</v>
      </c>
      <c r="F8" s="293">
        <v>1000000000</v>
      </c>
      <c r="G8" s="298">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74">
        <v>4192000000</v>
      </c>
      <c r="S8" s="674">
        <v>4242000000</v>
      </c>
      <c r="T8" s="674">
        <v>4567000000</v>
      </c>
      <c r="U8" s="674">
        <v>5388000000</v>
      </c>
      <c r="V8" s="674">
        <v>5663000000</v>
      </c>
      <c r="W8" s="674">
        <v>5961000000</v>
      </c>
      <c r="X8" s="674">
        <v>6303000000</v>
      </c>
      <c r="Y8" s="674">
        <v>6686000000</v>
      </c>
      <c r="Z8" s="674">
        <v>7065000000</v>
      </c>
    </row>
    <row r="9" spans="1:26" ht="16.5">
      <c r="A9" s="100" t="s">
        <v>317</v>
      </c>
      <c r="B9" s="100" t="s">
        <v>318</v>
      </c>
      <c r="C9" s="27" t="s">
        <v>44</v>
      </c>
      <c r="D9" s="293">
        <v>161000000</v>
      </c>
      <c r="E9" s="293">
        <v>195000000</v>
      </c>
      <c r="F9" s="293">
        <v>196000000</v>
      </c>
      <c r="G9" s="298">
        <v>195000000</v>
      </c>
      <c r="H9" s="178">
        <v>218000000</v>
      </c>
      <c r="I9" s="178">
        <v>284000000</v>
      </c>
      <c r="J9" s="178">
        <v>411000000</v>
      </c>
      <c r="K9" s="178">
        <v>495000000</v>
      </c>
      <c r="L9" s="178">
        <v>603000000</v>
      </c>
      <c r="M9" s="178">
        <v>765000000</v>
      </c>
      <c r="N9" s="178">
        <v>625000000</v>
      </c>
      <c r="O9" s="125">
        <v>667000000</v>
      </c>
      <c r="P9" s="142">
        <v>688000000</v>
      </c>
      <c r="Q9" s="74">
        <v>682000000</v>
      </c>
      <c r="R9" s="674">
        <v>766000000</v>
      </c>
      <c r="S9" s="674">
        <v>858000000</v>
      </c>
      <c r="T9" s="674">
        <v>945000000</v>
      </c>
      <c r="U9" s="674">
        <v>988000000</v>
      </c>
      <c r="V9" s="674">
        <v>1018000000</v>
      </c>
      <c r="W9" s="674">
        <v>1072000000</v>
      </c>
      <c r="X9" s="674">
        <v>1131000000</v>
      </c>
      <c r="Y9" s="674">
        <v>1194000000</v>
      </c>
      <c r="Z9" s="674">
        <v>1260000000</v>
      </c>
    </row>
    <row r="10" spans="1:26" ht="16.5">
      <c r="A10" s="100" t="s">
        <v>3397</v>
      </c>
      <c r="B10" s="100" t="s">
        <v>3398</v>
      </c>
      <c r="C10" s="27" t="s">
        <v>44</v>
      </c>
      <c r="D10" s="293">
        <v>465000000</v>
      </c>
      <c r="E10" s="293">
        <v>515000000</v>
      </c>
      <c r="F10" s="293">
        <v>511000000</v>
      </c>
      <c r="G10" s="298">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74">
        <v>2811000000</v>
      </c>
      <c r="S10" s="674">
        <v>2763000000</v>
      </c>
      <c r="T10" s="674">
        <v>2884000000</v>
      </c>
      <c r="U10" s="674">
        <v>3186000000</v>
      </c>
      <c r="V10" s="674">
        <v>3368000000</v>
      </c>
      <c r="W10" s="674">
        <v>3546000000</v>
      </c>
      <c r="X10" s="674">
        <v>3755000000</v>
      </c>
      <c r="Y10" s="674">
        <v>3995000000</v>
      </c>
      <c r="Z10" s="674">
        <v>4225000000</v>
      </c>
    </row>
    <row r="11" spans="1:26" ht="16.5">
      <c r="A11" s="100" t="s">
        <v>3399</v>
      </c>
      <c r="B11" s="100" t="s">
        <v>3400</v>
      </c>
      <c r="C11" s="27" t="s">
        <v>44</v>
      </c>
      <c r="D11" s="293">
        <v>265000000</v>
      </c>
      <c r="E11" s="293">
        <v>240000000</v>
      </c>
      <c r="F11" s="293">
        <v>220000000</v>
      </c>
      <c r="G11" s="298">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74">
        <v>327000000</v>
      </c>
      <c r="S11" s="674">
        <v>333000000</v>
      </c>
      <c r="T11" s="674">
        <v>311000000</v>
      </c>
      <c r="U11" s="674">
        <v>430000000</v>
      </c>
      <c r="V11" s="674">
        <v>452000000</v>
      </c>
      <c r="W11" s="674">
        <v>476000000</v>
      </c>
      <c r="X11" s="674">
        <v>502000000</v>
      </c>
      <c r="Y11" s="674">
        <v>530000000</v>
      </c>
      <c r="Z11" s="674">
        <v>559000000</v>
      </c>
    </row>
    <row r="12" spans="1:26" ht="16.5">
      <c r="A12" s="100" t="s">
        <v>49</v>
      </c>
      <c r="B12" s="100" t="s">
        <v>1054</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74">
        <v>287000000</v>
      </c>
      <c r="S12" s="674">
        <v>288000000</v>
      </c>
      <c r="T12" s="674">
        <v>427000000</v>
      </c>
      <c r="U12" s="674">
        <v>785000000</v>
      </c>
      <c r="V12" s="674">
        <v>825000000</v>
      </c>
      <c r="W12" s="674">
        <v>868000000</v>
      </c>
      <c r="X12" s="674">
        <v>916000000</v>
      </c>
      <c r="Y12" s="674">
        <v>967000000</v>
      </c>
      <c r="Z12" s="674">
        <v>1021000000</v>
      </c>
    </row>
    <row r="13" spans="1:26" ht="16.5">
      <c r="A13" s="99" t="s">
        <v>51</v>
      </c>
      <c r="B13" s="99" t="s">
        <v>1145</v>
      </c>
      <c r="C13" s="58" t="s">
        <v>41</v>
      </c>
      <c r="D13" s="293">
        <v>589000000</v>
      </c>
      <c r="E13" s="293">
        <v>633000000</v>
      </c>
      <c r="F13" s="293">
        <v>667000000</v>
      </c>
      <c r="G13" s="298">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74">
        <v>1662000000</v>
      </c>
      <c r="S13" s="674">
        <v>1529000000</v>
      </c>
      <c r="T13" s="674">
        <v>1609000000</v>
      </c>
      <c r="U13" s="674">
        <v>1780000000</v>
      </c>
      <c r="V13" s="674">
        <v>1871000000</v>
      </c>
      <c r="W13" s="674">
        <v>1970000000</v>
      </c>
      <c r="X13" s="674">
        <v>2077000000</v>
      </c>
      <c r="Y13" s="674">
        <v>2193000000</v>
      </c>
      <c r="Z13" s="674">
        <v>2315000000</v>
      </c>
    </row>
    <row r="14" spans="1:26" ht="16.5">
      <c r="A14" s="100" t="s">
        <v>325</v>
      </c>
      <c r="B14" s="100" t="s">
        <v>325</v>
      </c>
      <c r="C14" s="345" t="s">
        <v>192</v>
      </c>
      <c r="D14" s="293">
        <v>200000000</v>
      </c>
      <c r="E14" s="293">
        <v>215000000</v>
      </c>
      <c r="F14" s="293">
        <v>225000000</v>
      </c>
      <c r="G14" s="298">
        <v>249000000</v>
      </c>
      <c r="H14" s="178">
        <v>324000000</v>
      </c>
      <c r="I14" s="178">
        <v>424000000</v>
      </c>
      <c r="J14" s="178">
        <v>503000000</v>
      </c>
      <c r="K14" s="178">
        <v>550000000</v>
      </c>
      <c r="L14" s="178"/>
      <c r="M14" s="178"/>
      <c r="N14" s="178"/>
      <c r="O14" s="178"/>
      <c r="P14" s="142"/>
      <c r="Q14" s="74"/>
      <c r="R14" s="674"/>
      <c r="S14" s="674"/>
      <c r="T14" s="674"/>
      <c r="U14" s="674"/>
      <c r="V14" s="674"/>
      <c r="W14" s="674"/>
      <c r="X14" s="674"/>
      <c r="Y14" s="674"/>
      <c r="Z14" s="674"/>
    </row>
    <row r="15" spans="1:26" ht="16.5">
      <c r="A15" s="100" t="s">
        <v>3401</v>
      </c>
      <c r="B15" s="100" t="s">
        <v>3402</v>
      </c>
      <c r="C15" s="345" t="s">
        <v>192</v>
      </c>
      <c r="D15" s="293">
        <v>50000000</v>
      </c>
      <c r="E15" s="293">
        <v>98000000</v>
      </c>
      <c r="F15" s="293">
        <v>110000000</v>
      </c>
      <c r="G15" s="298">
        <v>23000000</v>
      </c>
      <c r="H15" s="178"/>
      <c r="I15" s="178"/>
      <c r="J15" s="178"/>
      <c r="K15" s="178"/>
      <c r="L15" s="178"/>
      <c r="M15" s="178"/>
      <c r="N15" s="178"/>
      <c r="O15" s="178"/>
      <c r="P15" s="142"/>
      <c r="Q15" s="74"/>
      <c r="R15" s="674"/>
      <c r="S15" s="674"/>
      <c r="T15" s="674"/>
      <c r="U15" s="674"/>
      <c r="V15" s="674"/>
      <c r="W15" s="674"/>
      <c r="X15" s="674"/>
      <c r="Y15" s="674"/>
      <c r="Z15" s="674"/>
    </row>
    <row r="16" spans="1:26" ht="16.5">
      <c r="A16" s="100" t="s">
        <v>50</v>
      </c>
      <c r="B16" s="100" t="s">
        <v>50</v>
      </c>
      <c r="C16" s="345" t="s">
        <v>192</v>
      </c>
      <c r="D16" s="293">
        <f>D13-D14-D15</f>
        <v>339000000</v>
      </c>
      <c r="E16" s="293">
        <f t="shared" ref="E16:K16" si="1">E13-E14-E15</f>
        <v>320000000</v>
      </c>
      <c r="F16" s="293">
        <f t="shared" si="1"/>
        <v>332000000</v>
      </c>
      <c r="G16" s="293">
        <f t="shared" si="1"/>
        <v>310000000</v>
      </c>
      <c r="H16" s="293">
        <f t="shared" si="1"/>
        <v>326000000</v>
      </c>
      <c r="I16" s="293">
        <f t="shared" si="1"/>
        <v>332000000</v>
      </c>
      <c r="J16" s="293">
        <f t="shared" si="1"/>
        <v>484000000</v>
      </c>
      <c r="K16" s="293">
        <f t="shared" si="1"/>
        <v>555000000</v>
      </c>
      <c r="L16" s="178"/>
      <c r="M16" s="178"/>
      <c r="N16" s="178"/>
      <c r="O16" s="178"/>
      <c r="P16" s="142"/>
      <c r="Q16" s="74"/>
      <c r="R16" s="674"/>
      <c r="S16" s="674"/>
      <c r="T16" s="674"/>
      <c r="U16" s="674"/>
      <c r="V16" s="674"/>
      <c r="W16" s="674"/>
      <c r="X16" s="674"/>
      <c r="Y16" s="674"/>
      <c r="Z16" s="674"/>
    </row>
    <row r="17" spans="1:30" ht="16.5">
      <c r="A17" s="139" t="s">
        <v>53</v>
      </c>
      <c r="B17" s="139" t="s">
        <v>53</v>
      </c>
      <c r="C17" s="345" t="s">
        <v>38</v>
      </c>
      <c r="D17" s="293">
        <v>251000000</v>
      </c>
      <c r="E17" s="293">
        <v>273000000</v>
      </c>
      <c r="F17" s="293">
        <v>343000000</v>
      </c>
      <c r="G17" s="298">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75">
        <v>1237000000</v>
      </c>
      <c r="S17" s="675">
        <v>886000000</v>
      </c>
      <c r="T17" s="675">
        <v>837000000</v>
      </c>
      <c r="U17" s="675">
        <v>835000000</v>
      </c>
      <c r="V17" s="675">
        <v>1151000000</v>
      </c>
      <c r="W17" s="675">
        <v>857000000</v>
      </c>
      <c r="X17" s="675">
        <v>904000000</v>
      </c>
      <c r="Y17" s="675">
        <v>955000000</v>
      </c>
      <c r="Z17" s="675">
        <v>1008000000</v>
      </c>
    </row>
    <row r="18" spans="1:30" ht="16.5">
      <c r="A18" t="s">
        <v>76</v>
      </c>
      <c r="B18" s="90" t="s">
        <v>3403</v>
      </c>
      <c r="C18" s="34"/>
      <c r="D18" s="125"/>
      <c r="E18" s="125"/>
      <c r="F18" s="125"/>
      <c r="G18" s="125"/>
      <c r="H18" s="125"/>
      <c r="I18" s="125"/>
      <c r="J18" s="125"/>
      <c r="K18" s="125"/>
      <c r="L18" s="178"/>
      <c r="M18" s="178"/>
      <c r="N18" s="178"/>
      <c r="O18" s="178"/>
      <c r="P18" s="178"/>
      <c r="Q18" s="74"/>
      <c r="R18" s="674"/>
      <c r="S18" s="674"/>
      <c r="T18" s="674"/>
      <c r="U18" s="674"/>
      <c r="V18" s="674"/>
      <c r="W18" s="674"/>
      <c r="X18" s="674"/>
      <c r="Y18" s="674"/>
      <c r="Z18" s="674"/>
    </row>
    <row r="19" spans="1:30" s="9" customFormat="1" ht="16.5">
      <c r="A19" s="9" t="s">
        <v>198</v>
      </c>
      <c r="B19" s="18" t="s">
        <v>3404</v>
      </c>
      <c r="C19" s="55" t="s">
        <v>35</v>
      </c>
      <c r="D19" s="55">
        <f>D20+D35+D36+D37+D38+D39</f>
        <v>1989000000</v>
      </c>
      <c r="E19" s="55">
        <f>E20+E35+E36+E37+E38+E39</f>
        <v>2057000000</v>
      </c>
      <c r="F19" s="55">
        <f>F20+F35+F36+F37+F38+F39</f>
        <v>2254000000</v>
      </c>
      <c r="G19" s="324">
        <f>G20+G35+G36+G37+G38+G39</f>
        <v>2595000000</v>
      </c>
      <c r="H19" s="55">
        <v>3100000000</v>
      </c>
      <c r="I19" s="324">
        <f>I20+I35+I36+I37+I38+I39</f>
        <v>3467000000</v>
      </c>
      <c r="J19" s="324">
        <f>J20+J35+J36+J37+J38+J39</f>
        <v>3882000000</v>
      </c>
      <c r="K19" s="55">
        <v>4531000000</v>
      </c>
      <c r="L19" s="55">
        <v>5383000000</v>
      </c>
      <c r="M19" s="55">
        <v>5984000000</v>
      </c>
      <c r="N19" s="55">
        <v>5708000000</v>
      </c>
      <c r="O19" s="55">
        <v>6802000000</v>
      </c>
      <c r="P19" s="55">
        <v>7008000000</v>
      </c>
      <c r="Q19" s="2745">
        <f>Q20+Q35+Q36+Q37+Q38+Q39</f>
        <v>8489000000</v>
      </c>
      <c r="R19" s="296">
        <v>9658000000</v>
      </c>
      <c r="S19" s="296">
        <v>8005000000</v>
      </c>
      <c r="T19" s="2745">
        <f>T20+T35+T36+T37+T38+T39</f>
        <v>7948000000</v>
      </c>
      <c r="U19" s="296">
        <v>8718000000</v>
      </c>
      <c r="V19" s="296">
        <v>9248000000</v>
      </c>
      <c r="W19" s="296">
        <v>9808000000</v>
      </c>
      <c r="X19" s="296">
        <v>10179000000</v>
      </c>
      <c r="Y19" s="296">
        <v>10731000000</v>
      </c>
      <c r="Z19" s="296">
        <v>11240000000</v>
      </c>
    </row>
    <row r="20" spans="1:30" ht="16.5">
      <c r="A20" s="58" t="s">
        <v>655</v>
      </c>
      <c r="B20" s="90" t="s">
        <v>332</v>
      </c>
      <c r="C20" s="58" t="s">
        <v>201</v>
      </c>
      <c r="D20" s="293">
        <f>D21+D22+D25+D26+D27+D28+D34</f>
        <v>1693000000</v>
      </c>
      <c r="E20" s="293">
        <f>E21+E22+E25+E26+E27+E28+E34</f>
        <v>1731000000</v>
      </c>
      <c r="F20" s="293">
        <f>F21+F22+F25+F26+F27+F28+F34</f>
        <v>1796000000</v>
      </c>
      <c r="G20" s="293">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75">
        <v>6717000000</v>
      </c>
      <c r="S20" s="675">
        <v>6616000000</v>
      </c>
      <c r="T20" s="675">
        <v>6923000000</v>
      </c>
      <c r="U20" s="675">
        <v>7557000000</v>
      </c>
      <c r="V20" s="675">
        <v>7890000000</v>
      </c>
      <c r="W20" s="675">
        <v>8220000000</v>
      </c>
      <c r="X20" s="675">
        <v>8505000000</v>
      </c>
      <c r="Y20" s="675">
        <v>8963000000</v>
      </c>
      <c r="Z20" s="675">
        <v>9373000000</v>
      </c>
    </row>
    <row r="21" spans="1:30" ht="16.5">
      <c r="A21" s="99" t="s">
        <v>79</v>
      </c>
      <c r="B21" s="99" t="s">
        <v>80</v>
      </c>
      <c r="C21" s="58" t="s">
        <v>204</v>
      </c>
      <c r="D21" s="293">
        <v>367000000</v>
      </c>
      <c r="E21" s="293">
        <v>380000000</v>
      </c>
      <c r="F21" s="293">
        <v>407000000</v>
      </c>
      <c r="G21" s="298">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75">
        <v>1320000000</v>
      </c>
      <c r="S21" s="675">
        <v>1345000000</v>
      </c>
      <c r="T21" s="675">
        <v>1368000000</v>
      </c>
      <c r="U21" s="675">
        <v>1395000000</v>
      </c>
      <c r="V21" s="675">
        <v>1430000000</v>
      </c>
      <c r="W21" s="675">
        <v>1473000000</v>
      </c>
      <c r="X21" s="675">
        <v>1532000000</v>
      </c>
      <c r="Y21" s="675">
        <v>1605000000</v>
      </c>
      <c r="Z21" s="675">
        <v>1694000000</v>
      </c>
    </row>
    <row r="22" spans="1:30" ht="16.5">
      <c r="A22" s="99" t="s">
        <v>90</v>
      </c>
      <c r="B22" s="99" t="s">
        <v>341</v>
      </c>
      <c r="C22" s="58" t="s">
        <v>204</v>
      </c>
      <c r="D22" s="293">
        <v>315000000</v>
      </c>
      <c r="E22" s="293">
        <v>279000000</v>
      </c>
      <c r="F22" s="293">
        <v>252000000</v>
      </c>
      <c r="G22" s="298">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75">
        <v>926000000</v>
      </c>
      <c r="S22" s="675">
        <v>914000000</v>
      </c>
      <c r="T22" s="675">
        <v>835000000</v>
      </c>
      <c r="U22" s="675">
        <v>963000000</v>
      </c>
      <c r="V22" s="675">
        <v>1076000000</v>
      </c>
      <c r="W22" s="675">
        <v>1134000000</v>
      </c>
      <c r="X22" s="675">
        <v>1263000000</v>
      </c>
      <c r="Y22" s="675">
        <v>1330000000</v>
      </c>
      <c r="Z22" s="675">
        <v>1315000000</v>
      </c>
    </row>
    <row r="23" spans="1:30" ht="16.5">
      <c r="A23" s="138" t="s">
        <v>209</v>
      </c>
      <c r="B23" s="138" t="s">
        <v>209</v>
      </c>
      <c r="C23" s="27" t="s">
        <v>3405</v>
      </c>
      <c r="D23" s="293">
        <v>65000000</v>
      </c>
      <c r="E23" s="293">
        <v>56000000</v>
      </c>
      <c r="F23" s="293">
        <v>59000000</v>
      </c>
      <c r="G23" s="298">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75">
        <v>750000000</v>
      </c>
      <c r="S23" s="675">
        <v>710000000</v>
      </c>
      <c r="T23" s="675">
        <v>622000000</v>
      </c>
      <c r="U23" s="675">
        <v>759000000</v>
      </c>
      <c r="V23" s="675">
        <v>790000000</v>
      </c>
      <c r="W23" s="675">
        <v>779000000</v>
      </c>
      <c r="X23" s="675">
        <v>889000000</v>
      </c>
      <c r="Y23" s="675">
        <v>973000000</v>
      </c>
      <c r="Z23" s="675">
        <v>1050000000</v>
      </c>
    </row>
    <row r="24" spans="1:30" ht="16.5">
      <c r="A24" s="138" t="s">
        <v>280</v>
      </c>
      <c r="B24" s="138" t="s">
        <v>280</v>
      </c>
      <c r="C24" s="27" t="s">
        <v>3405</v>
      </c>
      <c r="D24" s="293">
        <v>250000000</v>
      </c>
      <c r="E24" s="293">
        <v>223000000</v>
      </c>
      <c r="F24" s="293">
        <v>192000000</v>
      </c>
      <c r="G24" s="298">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75">
        <v>176000000</v>
      </c>
      <c r="S24" s="675">
        <v>204000000</v>
      </c>
      <c r="T24" s="675">
        <v>213000000</v>
      </c>
      <c r="U24" s="675">
        <v>203000000</v>
      </c>
      <c r="V24" s="675">
        <v>286000000</v>
      </c>
      <c r="W24" s="675">
        <v>355000000</v>
      </c>
      <c r="X24" s="675">
        <v>374000000</v>
      </c>
      <c r="Y24" s="675">
        <v>357000000</v>
      </c>
      <c r="Z24" s="675">
        <v>265000000</v>
      </c>
    </row>
    <row r="25" spans="1:30" ht="16.5">
      <c r="A25" s="99" t="s">
        <v>3406</v>
      </c>
      <c r="B25" s="99" t="s">
        <v>3407</v>
      </c>
      <c r="C25" s="58" t="s">
        <v>204</v>
      </c>
      <c r="D25" s="293">
        <v>531000000</v>
      </c>
      <c r="E25" s="293">
        <v>537000000</v>
      </c>
      <c r="F25" s="293">
        <v>551000000</v>
      </c>
      <c r="G25" s="298">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75">
        <v>1918000000</v>
      </c>
      <c r="S25" s="675">
        <v>1986000000</v>
      </c>
      <c r="T25" s="675">
        <v>2215000000</v>
      </c>
      <c r="U25" s="675">
        <v>2326000000</v>
      </c>
      <c r="V25" s="675">
        <v>2445000000</v>
      </c>
      <c r="W25" s="675">
        <v>2573000000</v>
      </c>
      <c r="X25" s="675">
        <v>2714000000</v>
      </c>
      <c r="Y25" s="675">
        <v>2865000000</v>
      </c>
      <c r="Z25" s="675">
        <v>3025000000</v>
      </c>
      <c r="AD25" s="21"/>
    </row>
    <row r="26" spans="1:30" ht="16.5">
      <c r="A26" s="99" t="s">
        <v>1439</v>
      </c>
      <c r="B26" s="99" t="s">
        <v>3408</v>
      </c>
      <c r="C26" s="58" t="s">
        <v>204</v>
      </c>
      <c r="D26" s="125"/>
      <c r="E26" s="125"/>
      <c r="F26" s="125"/>
      <c r="G26" s="298">
        <v>0</v>
      </c>
      <c r="H26" s="178">
        <v>260000000</v>
      </c>
      <c r="I26" s="178">
        <v>501000000</v>
      </c>
      <c r="J26" s="178">
        <v>279000000</v>
      </c>
      <c r="K26" s="178">
        <v>306000000</v>
      </c>
      <c r="L26" s="178">
        <v>197000000</v>
      </c>
      <c r="M26" s="178">
        <v>43000000</v>
      </c>
      <c r="N26" s="178">
        <v>67000000</v>
      </c>
      <c r="O26" s="125">
        <v>567000000</v>
      </c>
      <c r="P26" s="142">
        <v>674000000</v>
      </c>
      <c r="Q26" s="74">
        <v>0</v>
      </c>
      <c r="R26" s="675">
        <v>0</v>
      </c>
      <c r="S26" s="675">
        <v>0</v>
      </c>
      <c r="T26" s="675">
        <v>0</v>
      </c>
      <c r="U26" s="675">
        <v>0</v>
      </c>
      <c r="V26" s="675">
        <v>0</v>
      </c>
      <c r="W26" s="675">
        <v>0</v>
      </c>
      <c r="X26" s="675">
        <v>0</v>
      </c>
      <c r="Y26" s="675">
        <v>0</v>
      </c>
      <c r="Z26" s="675">
        <v>0</v>
      </c>
    </row>
    <row r="27" spans="1:30" ht="16.5">
      <c r="A27" s="99" t="s">
        <v>3409</v>
      </c>
      <c r="B27" s="99" t="s">
        <v>3410</v>
      </c>
      <c r="C27" s="58" t="s">
        <v>204</v>
      </c>
      <c r="D27" s="125"/>
      <c r="E27" s="125"/>
      <c r="F27" s="125"/>
      <c r="G27" s="298">
        <v>0</v>
      </c>
      <c r="H27" s="178">
        <v>0</v>
      </c>
      <c r="I27" s="178">
        <v>55000000</v>
      </c>
      <c r="J27" s="178">
        <v>85000000</v>
      </c>
      <c r="K27" s="178">
        <v>200000000</v>
      </c>
      <c r="L27" s="178">
        <v>229000000</v>
      </c>
      <c r="M27" s="178">
        <v>143000000</v>
      </c>
      <c r="N27" s="178">
        <v>124000000</v>
      </c>
      <c r="O27" s="125">
        <v>217000000</v>
      </c>
      <c r="P27" s="142">
        <v>210000000</v>
      </c>
      <c r="Q27" s="74">
        <v>255000000</v>
      </c>
      <c r="R27" s="675">
        <v>225000000</v>
      </c>
      <c r="S27" s="675">
        <v>199000000</v>
      </c>
      <c r="T27" s="675">
        <v>138000000</v>
      </c>
      <c r="U27" s="675">
        <v>180000000</v>
      </c>
      <c r="V27" s="675">
        <v>194000000</v>
      </c>
      <c r="W27" s="675">
        <v>204000000</v>
      </c>
      <c r="X27" s="675">
        <v>216000000</v>
      </c>
      <c r="Y27" s="675">
        <v>228000000</v>
      </c>
      <c r="Z27" s="675">
        <v>240000000</v>
      </c>
    </row>
    <row r="28" spans="1:30" ht="16.5">
      <c r="A28" s="152" t="s">
        <v>389</v>
      </c>
      <c r="B28" s="99" t="s">
        <v>3411</v>
      </c>
      <c r="C28" s="58" t="s">
        <v>204</v>
      </c>
      <c r="D28" s="293">
        <v>408000000</v>
      </c>
      <c r="E28" s="293">
        <v>453000000</v>
      </c>
      <c r="F28" s="293">
        <v>505000000</v>
      </c>
      <c r="G28" s="298">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75">
        <v>1899000000</v>
      </c>
      <c r="S28" s="675">
        <v>1770000000</v>
      </c>
      <c r="T28" s="675">
        <v>1925000000</v>
      </c>
      <c r="U28" s="675">
        <v>2295000000</v>
      </c>
      <c r="V28" s="675">
        <v>2366000000</v>
      </c>
      <c r="W28" s="675">
        <v>2475000000</v>
      </c>
      <c r="X28" s="675">
        <v>2400000000</v>
      </c>
      <c r="Y28" s="675">
        <v>2533000000</v>
      </c>
      <c r="Z28" s="675">
        <v>2675000000</v>
      </c>
    </row>
    <row r="29" spans="1:30" ht="16.5">
      <c r="A29" s="138" t="s">
        <v>87</v>
      </c>
      <c r="B29" s="138" t="s">
        <v>87</v>
      </c>
      <c r="C29" s="27" t="s">
        <v>486</v>
      </c>
      <c r="D29" s="293">
        <v>269000000</v>
      </c>
      <c r="E29" s="293">
        <v>293000000</v>
      </c>
      <c r="F29" s="293">
        <v>320000000</v>
      </c>
      <c r="G29" s="298">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75">
        <v>1116000000</v>
      </c>
      <c r="S29" s="675">
        <v>1163000000</v>
      </c>
      <c r="T29" s="675">
        <v>1213000000</v>
      </c>
      <c r="U29" s="675">
        <v>1268000000</v>
      </c>
      <c r="V29" s="675">
        <v>1333000000</v>
      </c>
      <c r="W29" s="675">
        <v>1403000000</v>
      </c>
      <c r="X29" s="675">
        <v>1480000000</v>
      </c>
      <c r="Y29" s="675">
        <v>1563000000</v>
      </c>
      <c r="Z29" s="675">
        <v>1650000000</v>
      </c>
    </row>
    <row r="30" spans="1:30" ht="16.5">
      <c r="A30" s="100" t="s">
        <v>3412</v>
      </c>
      <c r="B30" s="100" t="s">
        <v>3413</v>
      </c>
      <c r="C30" s="27" t="s">
        <v>486</v>
      </c>
      <c r="D30" s="125"/>
      <c r="E30" s="125"/>
      <c r="F30" s="125"/>
      <c r="G30" s="125"/>
      <c r="H30" s="125"/>
      <c r="I30" s="125"/>
      <c r="J30" s="125"/>
      <c r="K30" s="125"/>
      <c r="L30" s="125"/>
      <c r="M30" s="125"/>
      <c r="N30" s="125"/>
      <c r="O30" s="125"/>
      <c r="P30" s="142">
        <v>107000000</v>
      </c>
      <c r="Q30" s="74">
        <v>193000000</v>
      </c>
      <c r="R30" s="675">
        <v>177000000</v>
      </c>
      <c r="S30" s="675">
        <v>0</v>
      </c>
      <c r="T30" s="675">
        <v>0</v>
      </c>
      <c r="U30" s="675">
        <v>0</v>
      </c>
      <c r="V30" s="675">
        <v>0</v>
      </c>
      <c r="W30" s="675">
        <v>0</v>
      </c>
      <c r="X30" s="675">
        <v>0</v>
      </c>
      <c r="Y30" s="675">
        <v>0</v>
      </c>
      <c r="Z30" s="675">
        <v>0</v>
      </c>
    </row>
    <row r="31" spans="1:30" ht="16.5">
      <c r="A31" s="100" t="s">
        <v>3414</v>
      </c>
      <c r="B31" s="100" t="s">
        <v>3415</v>
      </c>
      <c r="C31" s="27" t="s">
        <v>486</v>
      </c>
      <c r="D31" s="125"/>
      <c r="E31" s="125"/>
      <c r="F31" s="125"/>
      <c r="G31" s="125"/>
      <c r="H31" s="125"/>
      <c r="I31" s="125"/>
      <c r="J31" s="125"/>
      <c r="K31" s="125"/>
      <c r="L31" s="125"/>
      <c r="M31" s="125"/>
      <c r="N31" s="125"/>
      <c r="O31" s="125"/>
      <c r="P31" s="142">
        <v>118000000</v>
      </c>
      <c r="Q31" s="74">
        <v>118000000</v>
      </c>
      <c r="R31" s="675">
        <v>201000000</v>
      </c>
      <c r="S31" s="675">
        <v>155000000</v>
      </c>
      <c r="T31" s="675">
        <v>145000000</v>
      </c>
      <c r="U31" s="675">
        <v>360000000</v>
      </c>
      <c r="V31" s="675">
        <v>373000000</v>
      </c>
      <c r="W31" s="675">
        <v>383000000</v>
      </c>
      <c r="X31" s="675">
        <v>298000000</v>
      </c>
      <c r="Y31" s="675">
        <v>315000000</v>
      </c>
      <c r="Z31" s="675">
        <v>332000000</v>
      </c>
    </row>
    <row r="32" spans="1:30" ht="16.5">
      <c r="A32" s="100" t="s">
        <v>3416</v>
      </c>
      <c r="B32" s="100" t="s">
        <v>3416</v>
      </c>
      <c r="C32" s="27" t="s">
        <v>486</v>
      </c>
      <c r="D32" s="125"/>
      <c r="E32" s="125"/>
      <c r="F32" s="125"/>
      <c r="G32" s="125"/>
      <c r="H32" s="125"/>
      <c r="I32" s="125"/>
      <c r="J32" s="125"/>
      <c r="K32" s="125"/>
      <c r="L32" s="125"/>
      <c r="M32" s="125"/>
      <c r="N32" s="125"/>
      <c r="O32" s="125"/>
      <c r="P32" s="142"/>
      <c r="Q32" s="74"/>
      <c r="R32" s="675">
        <v>0</v>
      </c>
      <c r="S32" s="675">
        <v>0</v>
      </c>
      <c r="T32" s="675">
        <v>0</v>
      </c>
      <c r="U32" s="675">
        <v>100000000</v>
      </c>
      <c r="V32" s="675">
        <v>100000000</v>
      </c>
      <c r="W32" s="675">
        <v>100000000</v>
      </c>
      <c r="X32" s="675">
        <v>0</v>
      </c>
      <c r="Y32" s="675">
        <v>0</v>
      </c>
      <c r="Z32" s="675">
        <v>0</v>
      </c>
    </row>
    <row r="33" spans="1:26" ht="16.5">
      <c r="A33" s="100" t="s">
        <v>487</v>
      </c>
      <c r="B33" s="100" t="s">
        <v>3417</v>
      </c>
      <c r="C33" s="27" t="s">
        <v>486</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75">
        <v>405000000</v>
      </c>
      <c r="S33" s="675">
        <v>452000000</v>
      </c>
      <c r="T33" s="675">
        <v>567000000</v>
      </c>
      <c r="U33" s="675">
        <v>567000000</v>
      </c>
      <c r="V33" s="675">
        <v>560000000</v>
      </c>
      <c r="W33" s="675">
        <v>589000000</v>
      </c>
      <c r="X33" s="675">
        <v>621000000</v>
      </c>
      <c r="Y33" s="675">
        <v>656000000</v>
      </c>
      <c r="Z33" s="675">
        <v>693000000</v>
      </c>
    </row>
    <row r="34" spans="1:26" ht="16.5">
      <c r="A34" s="99" t="s">
        <v>1006</v>
      </c>
      <c r="B34" s="99" t="s">
        <v>3418</v>
      </c>
      <c r="C34" s="58" t="s">
        <v>204</v>
      </c>
      <c r="D34" s="293">
        <v>72000000</v>
      </c>
      <c r="E34" s="293">
        <v>82000000</v>
      </c>
      <c r="F34" s="293">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75">
        <v>428000000</v>
      </c>
      <c r="S34" s="675">
        <v>403000000</v>
      </c>
      <c r="T34" s="675">
        <v>442000000</v>
      </c>
      <c r="U34" s="675">
        <v>398000000</v>
      </c>
      <c r="V34" s="675">
        <v>379000000</v>
      </c>
      <c r="W34" s="675">
        <v>361000000</v>
      </c>
      <c r="X34" s="675">
        <v>380000000</v>
      </c>
      <c r="Y34" s="675">
        <v>402000000</v>
      </c>
      <c r="Z34" s="675">
        <v>424000000</v>
      </c>
    </row>
    <row r="35" spans="1:26" ht="16.5">
      <c r="A35" s="90" t="s">
        <v>237</v>
      </c>
      <c r="B35" s="90" t="s">
        <v>342</v>
      </c>
      <c r="C35" s="58" t="s">
        <v>201</v>
      </c>
      <c r="D35" s="293">
        <v>289000000</v>
      </c>
      <c r="E35" s="293">
        <v>326000000</v>
      </c>
      <c r="F35" s="293">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75">
        <v>1134000000</v>
      </c>
      <c r="S35" s="675">
        <v>1109000000</v>
      </c>
      <c r="T35" s="675">
        <v>1025000000</v>
      </c>
      <c r="U35" s="675">
        <v>1161000000</v>
      </c>
      <c r="V35" s="675">
        <v>1358000000</v>
      </c>
      <c r="W35" s="675">
        <v>1588000000</v>
      </c>
      <c r="X35" s="675">
        <v>1675000000</v>
      </c>
      <c r="Y35" s="675">
        <v>1768000000</v>
      </c>
      <c r="Z35" s="675">
        <v>1867000000</v>
      </c>
    </row>
    <row r="36" spans="1:26" ht="16.5">
      <c r="A36" s="90" t="s">
        <v>612</v>
      </c>
      <c r="B36" s="90" t="s">
        <v>1159</v>
      </c>
      <c r="C36" s="58" t="s">
        <v>201</v>
      </c>
      <c r="D36" s="125">
        <v>7000000</v>
      </c>
      <c r="E36" s="125">
        <v>0</v>
      </c>
      <c r="F36" s="125">
        <v>25000000</v>
      </c>
      <c r="G36" s="395">
        <v>0</v>
      </c>
      <c r="H36" s="125">
        <v>49000000</v>
      </c>
      <c r="I36" s="2738">
        <v>0</v>
      </c>
      <c r="J36" s="2738">
        <v>0</v>
      </c>
      <c r="K36" s="178">
        <v>46000000</v>
      </c>
      <c r="L36" s="178">
        <v>26000000</v>
      </c>
      <c r="M36" s="178">
        <v>70000000</v>
      </c>
      <c r="N36" s="178">
        <v>0</v>
      </c>
      <c r="O36" s="125">
        <v>0</v>
      </c>
      <c r="P36" s="142">
        <v>2000000</v>
      </c>
      <c r="Q36" s="74">
        <v>0</v>
      </c>
      <c r="R36" s="675">
        <v>0</v>
      </c>
      <c r="S36" s="675">
        <v>0</v>
      </c>
      <c r="T36" s="675">
        <v>0</v>
      </c>
      <c r="U36" s="675">
        <v>0</v>
      </c>
      <c r="V36" s="675">
        <v>0</v>
      </c>
      <c r="W36" s="675">
        <v>0</v>
      </c>
      <c r="X36" s="675">
        <v>0</v>
      </c>
      <c r="Y36" s="675">
        <v>0</v>
      </c>
      <c r="Z36" s="675">
        <v>0</v>
      </c>
    </row>
    <row r="37" spans="1:26" ht="16.5">
      <c r="A37" s="90" t="s">
        <v>3419</v>
      </c>
      <c r="B37" s="90" t="s">
        <v>3420</v>
      </c>
      <c r="C37" s="58" t="s">
        <v>201</v>
      </c>
      <c r="D37" s="125"/>
      <c r="E37" s="125"/>
      <c r="F37" s="125"/>
      <c r="G37" s="125"/>
      <c r="H37" s="125"/>
      <c r="I37" s="125"/>
      <c r="J37" s="125"/>
      <c r="K37" s="125"/>
      <c r="L37" s="125"/>
      <c r="M37" s="125"/>
      <c r="N37" s="125"/>
      <c r="O37" s="125"/>
      <c r="P37" s="142">
        <v>67000000</v>
      </c>
      <c r="Q37" s="74">
        <v>1221000000</v>
      </c>
      <c r="R37" s="675">
        <v>1572000000</v>
      </c>
      <c r="S37" s="675">
        <v>0</v>
      </c>
      <c r="T37" s="675">
        <v>0</v>
      </c>
      <c r="U37" s="675">
        <v>0</v>
      </c>
      <c r="V37" s="675">
        <v>0</v>
      </c>
      <c r="W37" s="675">
        <v>0</v>
      </c>
      <c r="X37" s="675">
        <v>0</v>
      </c>
      <c r="Y37" s="675">
        <v>0</v>
      </c>
      <c r="Z37" s="675">
        <v>0</v>
      </c>
    </row>
    <row r="38" spans="1:26" ht="16.5">
      <c r="A38" s="90" t="s">
        <v>3421</v>
      </c>
      <c r="B38" s="90" t="s">
        <v>3422</v>
      </c>
      <c r="C38" s="58" t="s">
        <v>201</v>
      </c>
      <c r="D38" s="125"/>
      <c r="E38" s="125"/>
      <c r="F38" s="125"/>
      <c r="G38" s="125"/>
      <c r="H38" s="125"/>
      <c r="I38" s="125"/>
      <c r="J38" s="125"/>
      <c r="K38" s="125"/>
      <c r="L38" s="125"/>
      <c r="M38" s="125"/>
      <c r="N38" s="125"/>
      <c r="O38" s="125"/>
      <c r="P38" s="142">
        <v>0</v>
      </c>
      <c r="Q38" s="74">
        <v>203000000</v>
      </c>
      <c r="R38" s="675">
        <v>206000000</v>
      </c>
      <c r="S38" s="675">
        <v>20000000</v>
      </c>
      <c r="T38" s="675">
        <v>0</v>
      </c>
      <c r="U38" s="675">
        <v>0</v>
      </c>
      <c r="V38" s="675">
        <v>0</v>
      </c>
      <c r="W38" s="675">
        <v>0</v>
      </c>
      <c r="X38" s="675">
        <v>0</v>
      </c>
      <c r="Y38" s="675">
        <v>0</v>
      </c>
      <c r="Z38" s="675">
        <v>0</v>
      </c>
    </row>
    <row r="39" spans="1:26" ht="16.5">
      <c r="A39" s="90" t="s">
        <v>3423</v>
      </c>
      <c r="B39" s="90" t="s">
        <v>3424</v>
      </c>
      <c r="C39" s="58" t="s">
        <v>201</v>
      </c>
      <c r="D39" s="125"/>
      <c r="E39" s="125"/>
      <c r="F39" s="125"/>
      <c r="G39" s="125"/>
      <c r="H39" s="125"/>
      <c r="I39" s="125"/>
      <c r="J39" s="125"/>
      <c r="K39" s="125"/>
      <c r="L39" s="125"/>
      <c r="M39" s="125"/>
      <c r="N39" s="125"/>
      <c r="O39" s="125"/>
      <c r="P39" s="142">
        <v>77000000</v>
      </c>
      <c r="Q39" s="2743">
        <v>0</v>
      </c>
      <c r="R39" s="675">
        <v>29000000</v>
      </c>
      <c r="S39" s="675">
        <v>259000000</v>
      </c>
      <c r="T39" s="2744">
        <v>0</v>
      </c>
      <c r="U39" s="675">
        <v>0</v>
      </c>
      <c r="V39" s="675">
        <v>0</v>
      </c>
      <c r="W39" s="675">
        <v>0</v>
      </c>
      <c r="X39" s="675">
        <v>0</v>
      </c>
      <c r="Y39" s="675">
        <v>0</v>
      </c>
      <c r="Z39" s="675">
        <v>0</v>
      </c>
    </row>
    <row r="40" spans="1:26" ht="16.5">
      <c r="A40" t="s">
        <v>76</v>
      </c>
      <c r="B40" s="90" t="s">
        <v>3425</v>
      </c>
      <c r="C40" s="34"/>
      <c r="D40" s="125"/>
      <c r="E40" s="125"/>
      <c r="F40" s="125"/>
      <c r="G40" s="125"/>
      <c r="H40" s="125"/>
      <c r="I40" s="125"/>
      <c r="J40" s="125"/>
      <c r="K40" s="125"/>
      <c r="L40" s="125"/>
      <c r="M40" s="125"/>
      <c r="N40" s="125"/>
      <c r="O40" s="125">
        <v>-1388000000</v>
      </c>
      <c r="P40" s="142">
        <v>-1954000000</v>
      </c>
      <c r="Q40" s="74">
        <v>-2671000000</v>
      </c>
      <c r="R40" s="675">
        <v>-2567000000</v>
      </c>
      <c r="S40" s="675">
        <v>-1347000000</v>
      </c>
      <c r="T40" s="675">
        <v>-924000000</v>
      </c>
      <c r="U40" s="675">
        <v>-715000000</v>
      </c>
      <c r="V40" s="675">
        <v>-563000000</v>
      </c>
      <c r="W40" s="675">
        <v>-1020000000</v>
      </c>
      <c r="X40" s="675">
        <v>-894000000</v>
      </c>
      <c r="Y40" s="675">
        <v>-897000000</v>
      </c>
      <c r="Z40" s="675">
        <v>-851000000</v>
      </c>
    </row>
    <row r="41" spans="1:26" ht="16.5">
      <c r="A41" t="s">
        <v>76</v>
      </c>
      <c r="B41" s="90" t="s">
        <v>3426</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75">
        <v>-59000000</v>
      </c>
      <c r="S41" s="675">
        <v>-59000000</v>
      </c>
      <c r="T41" s="675">
        <v>40000000</v>
      </c>
      <c r="U41" s="675">
        <v>0</v>
      </c>
      <c r="V41" s="675">
        <v>0</v>
      </c>
      <c r="W41" s="675">
        <v>0</v>
      </c>
      <c r="X41" s="675">
        <v>0</v>
      </c>
      <c r="Y41" s="675">
        <v>0</v>
      </c>
      <c r="Z41" s="675">
        <v>0</v>
      </c>
    </row>
    <row r="42" spans="1:26" ht="16.5">
      <c r="A42" t="s">
        <v>76</v>
      </c>
      <c r="B42" s="90" t="s">
        <v>3427</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75">
        <v>-2626000000</v>
      </c>
      <c r="S42" s="675">
        <v>-1407000000</v>
      </c>
      <c r="T42" s="675">
        <v>-884000000</v>
      </c>
      <c r="U42" s="675">
        <v>-715000000</v>
      </c>
      <c r="V42" s="675">
        <v>-563000000</v>
      </c>
      <c r="W42" s="675">
        <v>-1020000000</v>
      </c>
      <c r="X42" s="675">
        <v>-894000000</v>
      </c>
      <c r="Y42" s="675">
        <v>-897000000</v>
      </c>
      <c r="Z42" s="675">
        <v>-851000000</v>
      </c>
    </row>
    <row r="43" spans="1:26" ht="16.5">
      <c r="A43" t="s">
        <v>76</v>
      </c>
      <c r="B43" s="90" t="s">
        <v>3428</v>
      </c>
      <c r="C43" s="34"/>
      <c r="D43" s="125"/>
      <c r="E43" s="125"/>
      <c r="F43" s="125"/>
      <c r="G43" s="125"/>
      <c r="H43" s="125"/>
      <c r="I43" s="125"/>
      <c r="J43" s="125"/>
      <c r="K43" s="125"/>
      <c r="L43" s="125"/>
      <c r="M43" s="125"/>
      <c r="N43" s="125"/>
      <c r="O43" s="125"/>
      <c r="P43" s="142" t="s">
        <v>78</v>
      </c>
      <c r="Q43" s="74">
        <v>0</v>
      </c>
      <c r="R43" s="675">
        <v>0</v>
      </c>
      <c r="S43" s="675">
        <v>0</v>
      </c>
      <c r="T43" s="675">
        <v>0</v>
      </c>
      <c r="U43" s="675">
        <v>0</v>
      </c>
      <c r="V43" s="675">
        <v>450000000</v>
      </c>
      <c r="W43" s="675">
        <v>950000000</v>
      </c>
      <c r="X43" s="675">
        <v>1323000000</v>
      </c>
      <c r="Y43" s="675">
        <v>1388000000</v>
      </c>
      <c r="Z43" s="675">
        <v>1458000000</v>
      </c>
    </row>
    <row r="44" spans="1:26" ht="16.5">
      <c r="A44" t="s">
        <v>76</v>
      </c>
      <c r="B44" s="90" t="s">
        <v>3429</v>
      </c>
      <c r="C44" s="34"/>
      <c r="D44" s="125"/>
      <c r="E44" s="125"/>
      <c r="F44" s="125"/>
      <c r="G44" s="125"/>
      <c r="H44" s="125"/>
      <c r="I44" s="125"/>
      <c r="J44" s="125"/>
      <c r="K44" s="125"/>
      <c r="L44" s="125"/>
      <c r="M44" s="125"/>
      <c r="N44" s="125"/>
      <c r="O44" s="125">
        <v>-1175000000</v>
      </c>
      <c r="P44" s="142">
        <v>-1952000000</v>
      </c>
      <c r="Q44" s="74">
        <v>-2653000000</v>
      </c>
      <c r="R44" s="675">
        <v>-2626000000</v>
      </c>
      <c r="S44" s="675">
        <v>-1407000000</v>
      </c>
      <c r="T44" s="675">
        <v>-884000000</v>
      </c>
      <c r="U44" s="675">
        <v>-715000000</v>
      </c>
      <c r="V44" s="675">
        <v>-113000000</v>
      </c>
      <c r="W44" s="675">
        <v>-70000000</v>
      </c>
      <c r="X44" s="675">
        <v>429000000</v>
      </c>
      <c r="Y44" s="675">
        <v>490000000</v>
      </c>
      <c r="Z44" s="675">
        <v>607000000</v>
      </c>
    </row>
    <row r="45" spans="1:26" s="9" customFormat="1" ht="16.5">
      <c r="A45" s="55" t="s">
        <v>115</v>
      </c>
      <c r="B45" s="148" t="s">
        <v>115</v>
      </c>
      <c r="C45" s="55" t="s">
        <v>35</v>
      </c>
      <c r="D45" s="295">
        <v>283000000</v>
      </c>
      <c r="E45" s="295">
        <v>231000000</v>
      </c>
      <c r="F45" s="295">
        <v>331000000</v>
      </c>
      <c r="G45" s="295">
        <v>74000000</v>
      </c>
      <c r="H45" s="295">
        <v>139000000</v>
      </c>
      <c r="I45" s="263">
        <v>450000000</v>
      </c>
      <c r="J45" s="263">
        <v>375000000</v>
      </c>
      <c r="K45" s="263">
        <f>K46+K47+K51</f>
        <v>628000000</v>
      </c>
      <c r="L45" s="263">
        <v>5500000</v>
      </c>
      <c r="M45" s="263">
        <v>8900000</v>
      </c>
      <c r="N45" s="263">
        <v>5600000</v>
      </c>
      <c r="O45" s="295">
        <v>1175000000</v>
      </c>
      <c r="P45" s="304">
        <v>1952000000</v>
      </c>
      <c r="Q45" s="414">
        <f>Q46+Q47+Q51</f>
        <v>2596000000</v>
      </c>
      <c r="R45" s="676">
        <f>R46+R47+R51+R52</f>
        <v>2804000000</v>
      </c>
      <c r="S45" s="676">
        <f t="shared" ref="S45:Z45" si="3">S46+S47+S51+S52</f>
        <v>1407000000</v>
      </c>
      <c r="T45" s="676">
        <f t="shared" si="3"/>
        <v>884000000</v>
      </c>
      <c r="U45" s="676">
        <f t="shared" si="3"/>
        <v>716000000</v>
      </c>
      <c r="V45" s="676">
        <f t="shared" si="3"/>
        <v>113000000</v>
      </c>
      <c r="W45" s="676">
        <f t="shared" si="3"/>
        <v>70000000</v>
      </c>
      <c r="X45" s="676">
        <f t="shared" si="3"/>
        <v>-428000000</v>
      </c>
      <c r="Y45" s="676">
        <f t="shared" si="3"/>
        <v>-490000000</v>
      </c>
      <c r="Z45" s="676">
        <f t="shared" si="3"/>
        <v>-607000000</v>
      </c>
    </row>
    <row r="46" spans="1:26" ht="16.5">
      <c r="A46" s="58" t="s">
        <v>261</v>
      </c>
      <c r="B46" s="90" t="s">
        <v>3430</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75">
        <v>1471000000</v>
      </c>
      <c r="S46" s="675">
        <v>1030000000</v>
      </c>
      <c r="T46" s="675">
        <v>571000000</v>
      </c>
      <c r="U46" s="675">
        <v>1131000000</v>
      </c>
      <c r="V46" s="675">
        <v>998000000</v>
      </c>
      <c r="W46" s="675">
        <v>1203000000</v>
      </c>
      <c r="X46" s="675">
        <v>725000000</v>
      </c>
      <c r="Y46" s="675">
        <v>425000000</v>
      </c>
      <c r="Z46" s="675">
        <v>466000000</v>
      </c>
    </row>
    <row r="47" spans="1:26" ht="16.5">
      <c r="A47" s="58" t="s">
        <v>120</v>
      </c>
      <c r="B47" s="90" t="s">
        <v>3431</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74">
        <f>R48+R49+R50</f>
        <v>1156000000</v>
      </c>
      <c r="S47" s="674">
        <v>239000000</v>
      </c>
      <c r="T47" s="674">
        <v>226000000</v>
      </c>
      <c r="U47" s="674">
        <v>-415000000</v>
      </c>
      <c r="V47" s="674">
        <v>-885000000</v>
      </c>
      <c r="W47" s="674">
        <v>-1133000000</v>
      </c>
      <c r="X47" s="674">
        <v>-1153000000</v>
      </c>
      <c r="Y47" s="674">
        <v>-915000000</v>
      </c>
      <c r="Z47" s="674">
        <v>-1073000000</v>
      </c>
    </row>
    <row r="48" spans="1:26" ht="16.5">
      <c r="A48" s="99" t="s">
        <v>3432</v>
      </c>
      <c r="B48" s="99" t="s">
        <v>3433</v>
      </c>
      <c r="C48" s="58" t="s">
        <v>124</v>
      </c>
      <c r="D48" s="125"/>
      <c r="E48" s="125"/>
      <c r="F48" s="125"/>
      <c r="G48" s="125"/>
      <c r="H48" s="125"/>
      <c r="I48" s="125"/>
      <c r="J48" s="125"/>
      <c r="K48" s="125"/>
      <c r="L48" s="125"/>
      <c r="M48" s="125"/>
      <c r="N48" s="125"/>
      <c r="O48" s="125">
        <v>0</v>
      </c>
      <c r="P48" s="142">
        <v>269000000</v>
      </c>
      <c r="Q48" s="74">
        <v>457000000</v>
      </c>
      <c r="R48" s="674">
        <v>277000000</v>
      </c>
      <c r="S48" s="674">
        <v>394000000</v>
      </c>
      <c r="T48" s="674">
        <v>-190000000</v>
      </c>
      <c r="U48" s="674">
        <v>-335000000</v>
      </c>
      <c r="V48" s="674">
        <v>-331000000</v>
      </c>
      <c r="W48" s="674">
        <v>-284000000</v>
      </c>
      <c r="X48" s="674">
        <v>-135000000</v>
      </c>
      <c r="Y48" s="674">
        <v>-12000000</v>
      </c>
      <c r="Z48" s="674">
        <v>-44000000</v>
      </c>
    </row>
    <row r="49" spans="1:26" ht="16.5">
      <c r="A49" s="99" t="s">
        <v>3323</v>
      </c>
      <c r="B49" s="99" t="s">
        <v>3434</v>
      </c>
      <c r="C49" s="58" t="s">
        <v>124</v>
      </c>
      <c r="D49" s="125"/>
      <c r="E49" s="125"/>
      <c r="F49" s="125"/>
      <c r="G49" s="125"/>
      <c r="H49" s="125"/>
      <c r="I49" s="125"/>
      <c r="J49" s="125"/>
      <c r="K49" s="125"/>
      <c r="L49" s="125"/>
      <c r="M49" s="125"/>
      <c r="N49" s="125"/>
      <c r="O49" s="125">
        <v>1113000000</v>
      </c>
      <c r="P49" s="142">
        <v>1635000000</v>
      </c>
      <c r="Q49" s="74">
        <v>742000000</v>
      </c>
      <c r="R49" s="674">
        <v>-13000000</v>
      </c>
      <c r="S49" s="674">
        <v>-633000000</v>
      </c>
      <c r="T49" s="674">
        <v>-458000000</v>
      </c>
      <c r="U49" s="674">
        <v>-553000000</v>
      </c>
      <c r="V49" s="674">
        <v>-856000000</v>
      </c>
      <c r="W49" s="674">
        <v>-1008000000</v>
      </c>
      <c r="X49" s="674">
        <v>-1186000000</v>
      </c>
      <c r="Y49" s="674">
        <v>-1080000000</v>
      </c>
      <c r="Z49" s="674">
        <v>-1216000000</v>
      </c>
    </row>
    <row r="50" spans="1:26" ht="16.5">
      <c r="A50" s="99" t="s">
        <v>3435</v>
      </c>
      <c r="B50" s="99" t="s">
        <v>3436</v>
      </c>
      <c r="C50" s="58" t="s">
        <v>124</v>
      </c>
      <c r="D50" s="125"/>
      <c r="E50" s="125"/>
      <c r="F50" s="125"/>
      <c r="G50" s="125"/>
      <c r="H50" s="125"/>
      <c r="I50" s="125"/>
      <c r="J50" s="125"/>
      <c r="K50" s="125"/>
      <c r="L50" s="125"/>
      <c r="M50" s="125"/>
      <c r="N50" s="125"/>
      <c r="O50" s="125">
        <v>193000000</v>
      </c>
      <c r="P50" s="142">
        <v>38000000</v>
      </c>
      <c r="Q50" s="74">
        <v>648000000</v>
      </c>
      <c r="R50" s="674">
        <v>892000000</v>
      </c>
      <c r="S50" s="674">
        <v>478000000</v>
      </c>
      <c r="T50" s="674">
        <v>874000000</v>
      </c>
      <c r="U50" s="674">
        <v>473000000</v>
      </c>
      <c r="V50" s="674">
        <v>302000000</v>
      </c>
      <c r="W50" s="674">
        <v>159000000</v>
      </c>
      <c r="X50" s="674">
        <v>167000000</v>
      </c>
      <c r="Y50" s="674">
        <v>177000000</v>
      </c>
      <c r="Z50" s="674">
        <v>187000000</v>
      </c>
    </row>
    <row r="51" spans="1:26" ht="16.5">
      <c r="A51" s="90" t="s">
        <v>1096</v>
      </c>
      <c r="B51" s="90" t="s">
        <v>3437</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74">
        <v>177000000</v>
      </c>
      <c r="S51" s="674">
        <v>138000000</v>
      </c>
      <c r="T51" s="674">
        <v>0</v>
      </c>
      <c r="U51" s="674">
        <v>0</v>
      </c>
      <c r="V51" s="674">
        <v>0</v>
      </c>
      <c r="W51" s="674">
        <v>0</v>
      </c>
      <c r="X51" s="674">
        <v>0</v>
      </c>
      <c r="Y51" s="674">
        <v>0</v>
      </c>
      <c r="Z51" s="674">
        <v>0</v>
      </c>
    </row>
    <row r="52" spans="1:26" ht="16.5">
      <c r="A52" s="657" t="s">
        <v>3438</v>
      </c>
      <c r="B52" s="657" t="s">
        <v>3438</v>
      </c>
      <c r="C52" s="658" t="s">
        <v>252</v>
      </c>
      <c r="D52" s="659"/>
      <c r="E52" s="659"/>
      <c r="F52" s="659"/>
      <c r="G52" s="659"/>
      <c r="H52" s="659"/>
      <c r="I52" s="660"/>
      <c r="J52" s="660"/>
      <c r="K52" s="660"/>
      <c r="L52" s="660"/>
      <c r="M52" s="660"/>
      <c r="N52" s="660"/>
      <c r="O52" s="659"/>
      <c r="P52" s="659"/>
      <c r="Q52" s="661"/>
      <c r="R52" s="677">
        <v>0</v>
      </c>
      <c r="S52" s="677">
        <v>0</v>
      </c>
      <c r="T52" s="677">
        <v>87000000</v>
      </c>
      <c r="U52" s="677">
        <v>0</v>
      </c>
      <c r="V52" s="677">
        <v>0</v>
      </c>
      <c r="W52" s="677">
        <v>0</v>
      </c>
      <c r="X52" s="677">
        <v>0</v>
      </c>
      <c r="Y52" s="677">
        <v>0</v>
      </c>
      <c r="Z52" s="677">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1700</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0</v>
      </c>
      <c r="K59" s="130">
        <f t="shared" si="12"/>
        <v>0</v>
      </c>
      <c r="L59" s="130">
        <f t="shared" si="12"/>
        <v>1000000</v>
      </c>
      <c r="M59" s="130">
        <f t="shared" si="12"/>
        <v>0</v>
      </c>
      <c r="N59" s="130">
        <f t="shared" si="12"/>
        <v>0</v>
      </c>
      <c r="O59" s="130">
        <f t="shared" si="12"/>
        <v>0</v>
      </c>
      <c r="P59" s="130">
        <f t="shared" si="12"/>
        <v>0</v>
      </c>
      <c r="Q59" s="130">
        <f t="shared" si="12"/>
        <v>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2343</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936</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1961</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0">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0">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4">
        <f t="shared" ref="D68:X68" si="27">(D6/D67)*100</f>
        <v>30.038339723287216</v>
      </c>
      <c r="E68" s="364">
        <f t="shared" si="27"/>
        <v>30.26874115983027</v>
      </c>
      <c r="F68" s="364">
        <f t="shared" si="27"/>
        <v>29.584927877539002</v>
      </c>
      <c r="G68" s="364">
        <f t="shared" si="27"/>
        <v>34.735094757227827</v>
      </c>
      <c r="H68" s="364">
        <f t="shared" si="27"/>
        <v>36.608577431714259</v>
      </c>
      <c r="I68" s="364">
        <f t="shared" si="27"/>
        <v>33.288515406162468</v>
      </c>
      <c r="J68" s="364">
        <f t="shared" si="27"/>
        <v>32.355971896955502</v>
      </c>
      <c r="K68" s="364">
        <f t="shared" si="27"/>
        <v>32.313906520484707</v>
      </c>
      <c r="L68" s="364">
        <f t="shared" si="27"/>
        <v>30.077598922593474</v>
      </c>
      <c r="M68" s="364">
        <f t="shared" si="27"/>
        <v>26.466414380321666</v>
      </c>
      <c r="N68" s="364">
        <f t="shared" si="27"/>
        <v>24.853427139963756</v>
      </c>
      <c r="O68" s="364">
        <f t="shared" si="27"/>
        <v>26.439419836890171</v>
      </c>
      <c r="P68" s="364">
        <f t="shared" si="27"/>
        <v>23.009333029820169</v>
      </c>
      <c r="Q68" s="364">
        <f t="shared" si="27"/>
        <v>24.140533288613113</v>
      </c>
      <c r="R68" s="364">
        <f t="shared" si="27"/>
        <v>27.964664589659659</v>
      </c>
      <c r="S68" s="364">
        <f t="shared" si="27"/>
        <v>24.618228877796266</v>
      </c>
      <c r="T68" s="364">
        <f t="shared" si="27"/>
        <v>24.174422612892108</v>
      </c>
      <c r="U68" s="364">
        <f t="shared" si="27"/>
        <v>25.742223937727172</v>
      </c>
      <c r="V68" s="364">
        <f t="shared" si="27"/>
        <v>26.081081081081088</v>
      </c>
      <c r="W68" s="364">
        <f t="shared" si="27"/>
        <v>24.640444083097368</v>
      </c>
      <c r="X68" s="364">
        <f t="shared" si="27"/>
        <v>24.302465581322306</v>
      </c>
    </row>
    <row r="69" spans="2:24">
      <c r="B69" t="s">
        <v>152</v>
      </c>
      <c r="C69" s="34"/>
      <c r="D69" s="364">
        <f t="shared" ref="D69:X69" si="28">(D19/D67)*100</f>
        <v>33.155525920986832</v>
      </c>
      <c r="E69" s="364">
        <f t="shared" si="28"/>
        <v>32.327518466132325</v>
      </c>
      <c r="F69" s="364">
        <f t="shared" si="28"/>
        <v>33.176332057697969</v>
      </c>
      <c r="G69" s="364">
        <f t="shared" si="28"/>
        <v>35.897081200719327</v>
      </c>
      <c r="H69" s="364">
        <f t="shared" si="28"/>
        <v>38.314176245210732</v>
      </c>
      <c r="I69" s="364">
        <f t="shared" si="28"/>
        <v>38.845938375350144</v>
      </c>
      <c r="J69" s="364">
        <f t="shared" si="28"/>
        <v>36.365339578454332</v>
      </c>
      <c r="K69" s="364">
        <f t="shared" si="28"/>
        <v>37.350589399060254</v>
      </c>
      <c r="L69" s="364">
        <f t="shared" si="28"/>
        <v>34.521900852946835</v>
      </c>
      <c r="M69" s="364">
        <f t="shared" si="28"/>
        <v>35.383159886471148</v>
      </c>
      <c r="N69" s="364">
        <f t="shared" si="28"/>
        <v>30.423195821341011</v>
      </c>
      <c r="O69" s="364">
        <f t="shared" si="28"/>
        <v>33.217756507300869</v>
      </c>
      <c r="P69" s="364">
        <f t="shared" si="28"/>
        <v>31.90530389255634</v>
      </c>
      <c r="Q69" s="364">
        <f t="shared" si="28"/>
        <v>35.590306892503776</v>
      </c>
      <c r="R69" s="364">
        <f t="shared" si="28"/>
        <v>38.088101904799466</v>
      </c>
      <c r="S69" s="364">
        <f t="shared" si="28"/>
        <v>29.59881678683675</v>
      </c>
      <c r="T69" s="364">
        <f t="shared" si="28"/>
        <v>27.397449155463633</v>
      </c>
      <c r="U69" s="364">
        <f t="shared" si="28"/>
        <v>28.042072758853614</v>
      </c>
      <c r="V69" s="364">
        <f t="shared" si="28"/>
        <v>27.771771771771775</v>
      </c>
      <c r="W69" s="364">
        <f t="shared" si="28"/>
        <v>27.497266533965071</v>
      </c>
      <c r="X69" s="364">
        <f t="shared" si="28"/>
        <v>26.642412186567554</v>
      </c>
    </row>
    <row r="70" spans="2:24">
      <c r="B70" t="s">
        <v>3439</v>
      </c>
      <c r="D70" t="b">
        <f>IF(D36&lt;0,(D36/D19)*100)</f>
        <v>0</v>
      </c>
      <c r="E70" t="b">
        <f t="shared" ref="E70:X70" si="29">IF(E36&lt;0,(E36/E19)*100)</f>
        <v>0</v>
      </c>
      <c r="F70" t="b">
        <f t="shared" si="29"/>
        <v>0</v>
      </c>
      <c r="G70" t="b">
        <f t="shared" si="29"/>
        <v>0</v>
      </c>
      <c r="H70" t="b">
        <f t="shared" si="29"/>
        <v>0</v>
      </c>
      <c r="I70" t="b">
        <f t="shared" si="29"/>
        <v>0</v>
      </c>
      <c r="J70" t="b">
        <f t="shared" si="29"/>
        <v>0</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N6" activePane="bottomRight" state="frozen"/>
      <selection pane="topRight" activeCell="R7" sqref="R7"/>
      <selection pane="bottomLeft" activeCell="R7" sqref="R7"/>
      <selection pane="bottomRight" activeCell="O36" sqref="O36:O39"/>
    </sheetView>
  </sheetViews>
  <sheetFormatPr defaultRowHeight="15.75"/>
  <cols>
    <col min="1" max="1" width="48.7109375" style="1435" customWidth="1"/>
    <col min="2" max="2" width="57.5703125" style="1435" bestFit="1" customWidth="1"/>
    <col min="3" max="3" width="24.5703125" style="1435" bestFit="1" customWidth="1"/>
    <col min="4" max="4" width="9" style="1435" bestFit="1" customWidth="1"/>
    <col min="5" max="5" width="15" style="1435" bestFit="1" customWidth="1"/>
    <col min="6" max="6" width="21.5703125" style="1435" bestFit="1" customWidth="1"/>
    <col min="7" max="7" width="20.28515625" style="1435" bestFit="1" customWidth="1"/>
    <col min="8" max="8" width="20.42578125" style="1435" bestFit="1" customWidth="1"/>
    <col min="9" max="9" width="21.7109375" style="1435" bestFit="1" customWidth="1"/>
    <col min="10" max="10" width="22.140625" style="1435" bestFit="1" customWidth="1"/>
    <col min="11" max="11" width="23" style="1435" bestFit="1" customWidth="1"/>
    <col min="12" max="12" width="22.5703125" style="1435" bestFit="1" customWidth="1"/>
    <col min="13" max="13" width="20.28515625" style="1435" bestFit="1" customWidth="1"/>
    <col min="14" max="14" width="20.140625" style="1435" bestFit="1" customWidth="1"/>
    <col min="15" max="15" width="22.5703125" style="1435" bestFit="1" customWidth="1"/>
    <col min="16" max="17" width="21.5703125" style="1435" bestFit="1" customWidth="1"/>
    <col min="18" max="18" width="21.7109375" style="1435" bestFit="1" customWidth="1"/>
    <col min="19" max="20" width="21.5703125" style="1435" bestFit="1" customWidth="1"/>
    <col min="21" max="23" width="22.140625" style="1435" bestFit="1" customWidth="1"/>
    <col min="24" max="24" width="23" style="1435" bestFit="1" customWidth="1"/>
    <col min="25" max="26" width="26.42578125" style="972" bestFit="1" customWidth="1"/>
    <col min="27" max="28" width="8.85546875" style="972"/>
    <col min="30" max="30" width="16.140625" bestFit="1" customWidth="1"/>
  </cols>
  <sheetData>
    <row r="1" spans="1:28">
      <c r="A1" s="1430" t="s">
        <v>3440</v>
      </c>
      <c r="B1" s="1431" t="s">
        <v>3441</v>
      </c>
      <c r="C1" s="1431"/>
      <c r="D1" s="1432"/>
      <c r="E1" s="1432"/>
      <c r="F1" s="1432"/>
      <c r="G1" s="1432"/>
      <c r="H1" s="1432"/>
      <c r="I1" s="1432"/>
      <c r="J1" s="1432"/>
      <c r="K1" s="1432"/>
      <c r="L1" s="1432"/>
      <c r="M1" s="1432"/>
      <c r="N1" s="1432"/>
      <c r="O1" s="1433"/>
      <c r="P1" s="1433"/>
      <c r="Q1" s="1433"/>
      <c r="R1" s="1434"/>
      <c r="S1" s="1433"/>
      <c r="T1" s="1433"/>
      <c r="U1" s="1433"/>
      <c r="V1" s="1433"/>
      <c r="W1" s="1433"/>
      <c r="X1" s="1433"/>
    </row>
    <row r="2" spans="1:28">
      <c r="B2" s="1436" t="s">
        <v>3442</v>
      </c>
      <c r="C2" s="1436"/>
      <c r="D2" s="1433"/>
      <c r="E2" s="1433"/>
      <c r="F2" s="1433"/>
      <c r="G2" s="1433"/>
      <c r="H2" s="1433"/>
      <c r="I2" s="1433"/>
      <c r="J2" s="1433"/>
      <c r="K2" s="1433"/>
      <c r="L2" s="1433"/>
      <c r="M2" s="1433"/>
      <c r="N2" s="1433"/>
      <c r="O2" s="1433"/>
      <c r="P2" s="1433"/>
      <c r="Q2" s="1433"/>
      <c r="R2" s="1437"/>
      <c r="S2" s="1438"/>
      <c r="T2" s="1439"/>
      <c r="U2" s="1433"/>
      <c r="V2" s="1433"/>
      <c r="W2" s="1433"/>
      <c r="X2" s="1433"/>
    </row>
    <row r="3" spans="1:28">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row>
    <row r="4" spans="1:28">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972" t="s">
        <v>26</v>
      </c>
      <c r="Z4" s="972" t="s">
        <v>27</v>
      </c>
    </row>
    <row r="5" spans="1:28">
      <c r="A5" s="1435" t="s">
        <v>157</v>
      </c>
      <c r="B5" s="1440" t="s">
        <v>29</v>
      </c>
      <c r="C5" s="1440"/>
      <c r="D5" s="1433" t="s">
        <v>30</v>
      </c>
      <c r="E5" s="1433" t="s">
        <v>30</v>
      </c>
      <c r="F5" s="1433" t="s">
        <v>30</v>
      </c>
      <c r="G5" s="1433" t="s">
        <v>30</v>
      </c>
      <c r="H5" s="1433" t="s">
        <v>30</v>
      </c>
      <c r="I5" s="1432" t="s">
        <v>31</v>
      </c>
      <c r="J5" s="1432" t="s">
        <v>30</v>
      </c>
      <c r="K5" s="1432" t="s">
        <v>30</v>
      </c>
      <c r="L5" s="1432" t="s">
        <v>30</v>
      </c>
      <c r="M5" s="1432" t="s">
        <v>30</v>
      </c>
      <c r="N5" s="1432" t="s">
        <v>30</v>
      </c>
      <c r="O5" s="1432" t="s">
        <v>30</v>
      </c>
      <c r="P5" s="1432" t="s">
        <v>30</v>
      </c>
      <c r="Q5" s="1432" t="s">
        <v>30</v>
      </c>
      <c r="R5" s="1432" t="s">
        <v>30</v>
      </c>
      <c r="S5" s="1433" t="s">
        <v>32</v>
      </c>
      <c r="T5" s="1433" t="s">
        <v>32</v>
      </c>
      <c r="U5" s="1433" t="s">
        <v>32</v>
      </c>
      <c r="V5" s="1433" t="s">
        <v>32</v>
      </c>
      <c r="W5" s="1433" t="s">
        <v>32</v>
      </c>
      <c r="X5" s="1433" t="s">
        <v>32</v>
      </c>
      <c r="Y5" s="1433" t="s">
        <v>32</v>
      </c>
      <c r="Z5" s="1433" t="s">
        <v>32</v>
      </c>
    </row>
    <row r="6" spans="1:28" s="848" customFormat="1">
      <c r="A6" s="1457" t="s">
        <v>3443</v>
      </c>
      <c r="B6" s="1457" t="s">
        <v>3443</v>
      </c>
      <c r="C6" s="1457" t="s">
        <v>35</v>
      </c>
      <c r="D6" s="1458"/>
      <c r="E6" s="1458"/>
      <c r="F6" s="1459">
        <v>849662325000.00012</v>
      </c>
      <c r="G6" s="1460">
        <v>1169200000000</v>
      </c>
      <c r="H6" s="1460">
        <f>H7+H19</f>
        <v>1387000000000</v>
      </c>
      <c r="I6" s="1460">
        <f>I7+I19</f>
        <v>2122000000000</v>
      </c>
      <c r="J6" s="1460">
        <f>J7+J19</f>
        <v>2815000000000</v>
      </c>
      <c r="K6" s="1460">
        <f>K7+K19</f>
        <v>3767000000000</v>
      </c>
      <c r="L6" s="1460">
        <f>L7+L19</f>
        <v>4712000000000</v>
      </c>
      <c r="M6" s="1459">
        <v>3766000000000</v>
      </c>
      <c r="N6" s="1459">
        <f>N7+N19+N20</f>
        <v>5234000000000</v>
      </c>
      <c r="O6" s="1460">
        <v>7638000000000</v>
      </c>
      <c r="P6" s="1460">
        <v>8170000000000</v>
      </c>
      <c r="Q6" s="1460">
        <v>8911000000000</v>
      </c>
      <c r="R6" s="1460">
        <v>9420000000000</v>
      </c>
      <c r="S6" s="1460">
        <v>6791000000000</v>
      </c>
      <c r="T6" s="1460">
        <v>8233000000000</v>
      </c>
      <c r="U6" s="1460">
        <v>10242000000000</v>
      </c>
      <c r="V6" s="1460">
        <v>11382000000000</v>
      </c>
      <c r="W6" s="1460">
        <v>12456000000000</v>
      </c>
      <c r="X6" s="1460">
        <v>14043000000000</v>
      </c>
      <c r="Y6" s="1069">
        <v>14769000000000</v>
      </c>
      <c r="Z6" s="1069">
        <v>16485000000000</v>
      </c>
      <c r="AA6" s="1013"/>
      <c r="AB6" s="1013"/>
    </row>
    <row r="7" spans="1:28">
      <c r="A7" s="1442" t="s">
        <v>370</v>
      </c>
      <c r="B7" s="1442" t="s">
        <v>3444</v>
      </c>
      <c r="C7" s="1443" t="s">
        <v>38</v>
      </c>
      <c r="D7" s="1433"/>
      <c r="E7" s="1433"/>
      <c r="F7" s="1444">
        <v>849662325000.00012</v>
      </c>
      <c r="G7" s="1441">
        <v>1169200000000</v>
      </c>
      <c r="H7" s="1466">
        <f t="shared" ref="H7:M7" si="0">H12+H17+H18</f>
        <v>1387000000000</v>
      </c>
      <c r="I7" s="1466">
        <f t="shared" si="0"/>
        <v>2122000000000</v>
      </c>
      <c r="J7" s="1466">
        <f t="shared" si="0"/>
        <v>2815000000000</v>
      </c>
      <c r="K7" s="1466">
        <f t="shared" si="0"/>
        <v>3767000000000</v>
      </c>
      <c r="L7" s="1466">
        <f t="shared" si="0"/>
        <v>4712000000000</v>
      </c>
      <c r="M7" s="1467">
        <f t="shared" si="0"/>
        <v>3766000000000</v>
      </c>
      <c r="N7" s="1467">
        <f>N12+N17+N18</f>
        <v>5234000000000</v>
      </c>
      <c r="O7" s="1467">
        <f>O12+O17+O18</f>
        <v>7638000000000</v>
      </c>
      <c r="P7" s="1467">
        <f>P12+P17+P18</f>
        <v>8170000000000</v>
      </c>
      <c r="Q7" s="1467">
        <f t="shared" ref="Q7:Z7" si="1">Q12+Q17+Q18</f>
        <v>8874000000000</v>
      </c>
      <c r="R7" s="1467">
        <f t="shared" si="1"/>
        <v>9369000000000</v>
      </c>
      <c r="S7" s="1467">
        <f t="shared" si="1"/>
        <v>6739000000000</v>
      </c>
      <c r="T7" s="1467">
        <f t="shared" si="1"/>
        <v>8181000000000</v>
      </c>
      <c r="U7" s="1467">
        <f>U12+U17+U18</f>
        <v>10190000000000</v>
      </c>
      <c r="V7" s="1467">
        <f t="shared" si="1"/>
        <v>11330000000000</v>
      </c>
      <c r="W7" s="1467">
        <f t="shared" si="1"/>
        <v>12403000000000</v>
      </c>
      <c r="X7" s="1467">
        <f t="shared" si="1"/>
        <v>13991000000000</v>
      </c>
      <c r="Y7" s="1009">
        <f t="shared" si="1"/>
        <v>14716000000000</v>
      </c>
      <c r="Z7" s="1009">
        <f t="shared" si="1"/>
        <v>16433000000000</v>
      </c>
    </row>
    <row r="8" spans="1:28">
      <c r="A8" s="1463"/>
      <c r="B8" s="1464" t="s">
        <v>3445</v>
      </c>
      <c r="C8" s="1463"/>
      <c r="D8" s="1433"/>
      <c r="E8" s="1433"/>
      <c r="F8" s="1444">
        <v>166156188000</v>
      </c>
      <c r="G8" s="1441">
        <v>274800000000</v>
      </c>
      <c r="H8" s="1441">
        <v>412700000000</v>
      </c>
      <c r="I8" s="1444">
        <v>803000000000</v>
      </c>
      <c r="J8" s="1444"/>
      <c r="K8" s="1444"/>
      <c r="L8" s="1444"/>
      <c r="M8" s="1445"/>
      <c r="N8" s="1445"/>
      <c r="O8" s="1441"/>
      <c r="P8" s="1441"/>
      <c r="Q8" s="1441"/>
      <c r="R8" s="1441"/>
      <c r="S8" s="1441"/>
      <c r="T8" s="1441"/>
      <c r="U8" s="1441"/>
      <c r="V8" s="1441"/>
      <c r="W8" s="1441"/>
      <c r="X8" s="1445"/>
      <c r="Y8" s="1010"/>
      <c r="Z8" s="1010"/>
    </row>
    <row r="9" spans="1:28">
      <c r="A9" s="1463"/>
      <c r="B9" s="1464" t="s">
        <v>2561</v>
      </c>
      <c r="C9" s="1465"/>
      <c r="D9" s="1433"/>
      <c r="E9" s="1433"/>
      <c r="F9" s="1444">
        <v>683506137000.00012</v>
      </c>
      <c r="G9" s="1441">
        <v>894400000000</v>
      </c>
      <c r="H9" s="1441">
        <v>1028400000000.0001</v>
      </c>
      <c r="I9" s="1444">
        <v>1329000000000</v>
      </c>
      <c r="J9" s="1444"/>
      <c r="K9" s="1444"/>
      <c r="L9" s="1444"/>
      <c r="M9" s="1445"/>
      <c r="N9" s="1445"/>
      <c r="O9" s="1441"/>
      <c r="P9" s="1441"/>
      <c r="Q9" s="1441"/>
      <c r="R9" s="1441"/>
      <c r="S9" s="1441"/>
      <c r="T9" s="1441"/>
      <c r="U9" s="1441"/>
      <c r="V9" s="1441"/>
      <c r="W9" s="1441"/>
      <c r="X9" s="1445"/>
      <c r="Y9" s="1010"/>
      <c r="Z9" s="1010"/>
    </row>
    <row r="10" spans="1:28">
      <c r="A10" s="1468"/>
      <c r="B10" s="1446" t="s">
        <v>834</v>
      </c>
      <c r="C10" s="1469"/>
      <c r="D10" s="1433"/>
      <c r="E10" s="1433"/>
      <c r="F10" s="1444">
        <v>838333494000.00012</v>
      </c>
      <c r="G10" s="1441">
        <v>1156700000000</v>
      </c>
      <c r="H10" s="1441">
        <v>1420600000000</v>
      </c>
      <c r="I10" s="1444"/>
      <c r="J10" s="1444"/>
      <c r="K10" s="1444"/>
      <c r="L10" s="1444"/>
      <c r="M10" s="1445"/>
      <c r="N10" s="1445"/>
      <c r="O10" s="1441"/>
      <c r="P10" s="1441"/>
      <c r="Q10" s="1441"/>
      <c r="R10" s="1441"/>
      <c r="S10" s="1441"/>
      <c r="T10" s="1441"/>
      <c r="U10" s="1441"/>
      <c r="V10" s="1441"/>
      <c r="W10" s="1441"/>
      <c r="X10" s="1445"/>
      <c r="Y10" s="1010"/>
      <c r="Z10" s="1010"/>
    </row>
    <row r="11" spans="1:28">
      <c r="A11" s="1468"/>
      <c r="B11" s="1446" t="s">
        <v>3446</v>
      </c>
      <c r="C11" s="1469"/>
      <c r="D11" s="1433"/>
      <c r="E11" s="1433"/>
      <c r="F11" s="1444">
        <v>11328831000.000002</v>
      </c>
      <c r="G11" s="1441">
        <v>12500000000</v>
      </c>
      <c r="H11" s="1441">
        <v>20500000000</v>
      </c>
      <c r="I11" s="1444"/>
      <c r="J11" s="1444"/>
      <c r="K11" s="1444"/>
      <c r="L11" s="1444"/>
      <c r="M11" s="1445"/>
      <c r="N11" s="1445"/>
      <c r="O11" s="1441"/>
      <c r="P11" s="1441"/>
      <c r="Q11" s="1441"/>
      <c r="R11" s="1441"/>
      <c r="S11" s="1441"/>
      <c r="T11" s="1441"/>
      <c r="U11" s="1441"/>
      <c r="V11" s="1441"/>
      <c r="W11" s="1441"/>
      <c r="X11" s="1445"/>
      <c r="Y11" s="1010"/>
      <c r="Z11" s="1010"/>
    </row>
    <row r="12" spans="1:28">
      <c r="A12" s="1442" t="s">
        <v>3447</v>
      </c>
      <c r="B12" s="1442" t="s">
        <v>3447</v>
      </c>
      <c r="C12" s="1442" t="s">
        <v>41</v>
      </c>
      <c r="D12" s="1433"/>
      <c r="E12" s="1433"/>
      <c r="F12" s="1444">
        <v>793018170000</v>
      </c>
      <c r="G12" s="1441">
        <v>1070900000000.0001</v>
      </c>
      <c r="H12" s="1441">
        <v>1306900000000</v>
      </c>
      <c r="I12" s="1444">
        <v>1989000000000</v>
      </c>
      <c r="J12" s="1444">
        <v>2709000000000</v>
      </c>
      <c r="K12" s="1444">
        <v>3393000000000</v>
      </c>
      <c r="L12" s="1444">
        <v>4520000000000</v>
      </c>
      <c r="M12" s="1444">
        <v>3598000000000</v>
      </c>
      <c r="N12" s="1444">
        <v>5185000000000</v>
      </c>
      <c r="O12" s="1441">
        <v>7337000000000</v>
      </c>
      <c r="P12" s="1441">
        <v>7507000000000</v>
      </c>
      <c r="Q12" s="1441">
        <v>8176000000000</v>
      </c>
      <c r="R12" s="1441">
        <v>8583000000000</v>
      </c>
      <c r="S12" s="1441">
        <v>6497000000000</v>
      </c>
      <c r="T12" s="1441">
        <v>7153000000000</v>
      </c>
      <c r="U12" s="1441">
        <v>9218000000000</v>
      </c>
      <c r="V12" s="1441">
        <v>10288000000000</v>
      </c>
      <c r="W12" s="1441">
        <v>11310000000000</v>
      </c>
      <c r="X12" s="1441">
        <v>12835000000000</v>
      </c>
      <c r="Y12" s="1010">
        <v>13501000000000</v>
      </c>
      <c r="Z12" s="1010">
        <v>15174000000000</v>
      </c>
    </row>
    <row r="13" spans="1:28">
      <c r="A13" s="1447" t="s">
        <v>372</v>
      </c>
      <c r="B13" s="1447" t="s">
        <v>372</v>
      </c>
      <c r="C13" s="1432" t="s">
        <v>44</v>
      </c>
      <c r="D13" s="1433"/>
      <c r="E13" s="1433"/>
      <c r="F13" s="1448">
        <f>F12-F14</f>
        <v>166156187999.99988</v>
      </c>
      <c r="G13" s="1448">
        <f>G12-G14</f>
        <v>274800000000.00012</v>
      </c>
      <c r="H13" s="1448">
        <f>H12-H14</f>
        <v>412700000000</v>
      </c>
      <c r="I13" s="1448">
        <f>I12-I14</f>
        <v>794000000000</v>
      </c>
      <c r="J13" s="1444">
        <v>1039000000000</v>
      </c>
      <c r="K13" s="1444">
        <v>1208000000000</v>
      </c>
      <c r="L13" s="1444">
        <v>2024000000000</v>
      </c>
      <c r="M13" s="1444">
        <v>1563000000000</v>
      </c>
      <c r="N13" s="1444">
        <v>2555000000000</v>
      </c>
      <c r="O13" s="1441">
        <v>4042000000000</v>
      </c>
      <c r="P13" s="1441">
        <v>4076000000000</v>
      </c>
      <c r="Q13" s="1441">
        <v>4150000000000</v>
      </c>
      <c r="R13" s="1441">
        <v>4486000000000</v>
      </c>
      <c r="S13" s="1441">
        <v>2683000000000</v>
      </c>
      <c r="T13" s="1441">
        <v>1934000000000</v>
      </c>
      <c r="U13" s="1441">
        <v>3352000000000</v>
      </c>
      <c r="V13" s="1441">
        <v>3802000000000</v>
      </c>
      <c r="W13" s="1441">
        <v>4077000000000</v>
      </c>
      <c r="X13" s="1441">
        <v>4663000000000</v>
      </c>
      <c r="Y13" s="1010">
        <v>4853000000000</v>
      </c>
      <c r="Z13" s="1010">
        <v>5812000000000</v>
      </c>
    </row>
    <row r="14" spans="1:28">
      <c r="A14" s="1447" t="s">
        <v>374</v>
      </c>
      <c r="B14" s="1447" t="s">
        <v>374</v>
      </c>
      <c r="C14" s="1432" t="s">
        <v>44</v>
      </c>
      <c r="D14" s="1433"/>
      <c r="E14" s="1433"/>
      <c r="F14" s="1444">
        <v>626861982000.00012</v>
      </c>
      <c r="G14" s="1444">
        <v>796100000000</v>
      </c>
      <c r="H14" s="1441">
        <v>894200000000</v>
      </c>
      <c r="I14" s="1444">
        <v>1195000000000</v>
      </c>
      <c r="J14" s="1444">
        <v>1670000000000</v>
      </c>
      <c r="K14" s="1444">
        <v>2185000000000</v>
      </c>
      <c r="L14" s="1444">
        <v>2496000000000</v>
      </c>
      <c r="M14" s="1444">
        <v>2035000000000</v>
      </c>
      <c r="N14" s="1444">
        <v>2630000000000</v>
      </c>
      <c r="O14" s="1441">
        <v>3295000000000</v>
      </c>
      <c r="P14" s="1441">
        <v>3431000000000</v>
      </c>
      <c r="Q14" s="1441">
        <v>4025000000000</v>
      </c>
      <c r="R14" s="1441">
        <v>4097000000000</v>
      </c>
      <c r="S14" s="1441">
        <v>3814000000000</v>
      </c>
      <c r="T14" s="1441">
        <v>5220000000000</v>
      </c>
      <c r="U14" s="1441">
        <v>5866000000000</v>
      </c>
      <c r="V14" s="1441">
        <v>6485000000000</v>
      </c>
      <c r="W14" s="1441">
        <v>7233000000000</v>
      </c>
      <c r="X14" s="1441">
        <v>8172000000000</v>
      </c>
      <c r="Y14" s="1010">
        <v>8648000000000</v>
      </c>
      <c r="Z14" s="1010">
        <v>9362000000000</v>
      </c>
    </row>
    <row r="15" spans="1:28">
      <c r="A15" s="1447"/>
      <c r="B15" s="1461" t="s">
        <v>3448</v>
      </c>
      <c r="C15" s="1432"/>
      <c r="D15" s="1433"/>
      <c r="E15" s="1433"/>
      <c r="F15" s="1444"/>
      <c r="G15" s="1444"/>
      <c r="H15" s="1441"/>
      <c r="I15" s="1444"/>
      <c r="J15" s="1444"/>
      <c r="K15" s="1444"/>
      <c r="L15" s="1444"/>
      <c r="M15" s="1444"/>
      <c r="N15" s="1444"/>
      <c r="O15" s="1441"/>
      <c r="P15" s="1441"/>
      <c r="Q15" s="1441">
        <v>2763000000000</v>
      </c>
      <c r="R15" s="1441">
        <v>3030000000000</v>
      </c>
      <c r="S15" s="1441">
        <v>2391000000000</v>
      </c>
      <c r="T15" s="1441">
        <v>2567000000000</v>
      </c>
      <c r="U15" s="1441">
        <v>2913000000000</v>
      </c>
      <c r="V15" s="1441">
        <v>3191000000000</v>
      </c>
      <c r="W15" s="1441">
        <v>3459000000000</v>
      </c>
      <c r="X15" s="1441">
        <v>3858000000000</v>
      </c>
      <c r="Y15" s="1010">
        <v>4034000000000</v>
      </c>
      <c r="Z15" s="1010">
        <v>4358000000000</v>
      </c>
    </row>
    <row r="16" spans="1:28">
      <c r="A16" s="1447"/>
      <c r="B16" s="1461" t="s">
        <v>3449</v>
      </c>
      <c r="C16" s="1432"/>
      <c r="D16" s="1433"/>
      <c r="E16" s="1433"/>
      <c r="F16" s="1444"/>
      <c r="G16" s="1444"/>
      <c r="H16" s="1441"/>
      <c r="I16" s="1444"/>
      <c r="J16" s="1444"/>
      <c r="K16" s="1444"/>
      <c r="L16" s="1444"/>
      <c r="M16" s="1444"/>
      <c r="N16" s="1444"/>
      <c r="O16" s="1441"/>
      <c r="P16" s="1441"/>
      <c r="Q16" s="1441">
        <v>1328000000000</v>
      </c>
      <c r="R16" s="1441">
        <v>1198000000000</v>
      </c>
      <c r="S16" s="1441">
        <v>94424000000000</v>
      </c>
      <c r="T16" s="1441">
        <v>1496000000000</v>
      </c>
      <c r="U16" s="1441">
        <v>1675000000000</v>
      </c>
      <c r="V16" s="1441">
        <v>1876000000000</v>
      </c>
      <c r="W16" s="1441">
        <v>2176000000000</v>
      </c>
      <c r="X16" s="1441">
        <v>2525000000000</v>
      </c>
      <c r="Y16" s="1010">
        <v>2727000000000</v>
      </c>
      <c r="Z16" s="1010">
        <v>3054000000000</v>
      </c>
    </row>
    <row r="17" spans="1:28">
      <c r="A17" s="1442" t="s">
        <v>3450</v>
      </c>
      <c r="B17" s="1442" t="s">
        <v>3450</v>
      </c>
      <c r="C17" s="1442" t="s">
        <v>41</v>
      </c>
      <c r="D17" s="1433"/>
      <c r="E17" s="1433"/>
      <c r="F17" s="1444">
        <v>11328831000.000002</v>
      </c>
      <c r="G17" s="1441">
        <v>12500000000</v>
      </c>
      <c r="H17" s="1441">
        <v>20500000000</v>
      </c>
      <c r="I17" s="1444">
        <v>32000000000</v>
      </c>
      <c r="J17" s="1444">
        <v>42000000000</v>
      </c>
      <c r="K17" s="1444">
        <v>36000000000</v>
      </c>
      <c r="L17" s="1444">
        <v>35000000000</v>
      </c>
      <c r="M17" s="1444">
        <v>26000000000</v>
      </c>
      <c r="N17" s="1444">
        <v>49000000000</v>
      </c>
      <c r="O17" s="1441">
        <v>36000000000</v>
      </c>
      <c r="P17" s="1441">
        <v>39000000000</v>
      </c>
      <c r="Q17" s="1441"/>
      <c r="R17" s="1441"/>
      <c r="S17" s="1441"/>
      <c r="T17" s="1441"/>
      <c r="U17" s="1441"/>
      <c r="V17" s="1441"/>
      <c r="W17" s="1441"/>
      <c r="X17" s="1441"/>
      <c r="Y17" s="1010"/>
      <c r="Z17" s="1010"/>
    </row>
    <row r="18" spans="1:28">
      <c r="A18" s="1442" t="s">
        <v>3451</v>
      </c>
      <c r="B18" s="1442" t="s">
        <v>3451</v>
      </c>
      <c r="C18" s="1442" t="s">
        <v>41</v>
      </c>
      <c r="D18" s="1433"/>
      <c r="E18" s="1433"/>
      <c r="F18" s="1444">
        <v>45315324000.000008</v>
      </c>
      <c r="G18" s="1441">
        <v>85800000000</v>
      </c>
      <c r="H18" s="1441">
        <v>59600000000</v>
      </c>
      <c r="I18" s="1444">
        <v>101000000000</v>
      </c>
      <c r="J18" s="1444">
        <v>64000000000</v>
      </c>
      <c r="K18" s="1444">
        <v>338000000000</v>
      </c>
      <c r="L18" s="1444">
        <v>157000000000</v>
      </c>
      <c r="M18" s="1444">
        <v>142000000000</v>
      </c>
      <c r="N18" s="2752">
        <v>0</v>
      </c>
      <c r="O18" s="1441">
        <v>265000000000</v>
      </c>
      <c r="P18" s="1441">
        <v>624000000000</v>
      </c>
      <c r="Q18" s="1441">
        <v>698000000000</v>
      </c>
      <c r="R18" s="1441">
        <v>786000000000</v>
      </c>
      <c r="S18" s="1441">
        <v>242000000000</v>
      </c>
      <c r="T18" s="1441">
        <v>1028000000000</v>
      </c>
      <c r="U18" s="1441">
        <v>972000000000</v>
      </c>
      <c r="V18" s="1441">
        <v>1042000000000</v>
      </c>
      <c r="W18" s="1441">
        <v>1093000000000</v>
      </c>
      <c r="X18" s="1441">
        <v>1156000000000</v>
      </c>
      <c r="Y18" s="1010">
        <v>1215000000000</v>
      </c>
      <c r="Z18" s="1010">
        <v>1259000000000</v>
      </c>
    </row>
    <row r="19" spans="1:28">
      <c r="A19" s="1442" t="s">
        <v>53</v>
      </c>
      <c r="B19" s="1442" t="s">
        <v>53</v>
      </c>
      <c r="C19" s="1443" t="s">
        <v>38</v>
      </c>
      <c r="D19" s="1433"/>
      <c r="E19" s="1433"/>
      <c r="F19" s="1444">
        <v>0</v>
      </c>
      <c r="G19" s="1444">
        <v>0</v>
      </c>
      <c r="H19" s="1444">
        <v>0</v>
      </c>
      <c r="I19" s="1444">
        <v>0</v>
      </c>
      <c r="J19" s="1444">
        <v>0</v>
      </c>
      <c r="K19" s="1444">
        <v>0</v>
      </c>
      <c r="L19" s="1444">
        <v>0</v>
      </c>
      <c r="M19" s="1444">
        <v>0</v>
      </c>
      <c r="N19" s="1444">
        <v>0</v>
      </c>
      <c r="O19" s="1441">
        <v>0</v>
      </c>
      <c r="P19" s="1441">
        <v>0</v>
      </c>
      <c r="Q19" s="1441"/>
      <c r="R19" s="1441"/>
      <c r="S19" s="1441"/>
      <c r="T19" s="1441"/>
      <c r="U19" s="1441"/>
      <c r="V19" s="1441"/>
      <c r="W19" s="1441"/>
      <c r="X19" s="1441"/>
      <c r="Y19" s="1010"/>
      <c r="Z19" s="1010"/>
    </row>
    <row r="20" spans="1:28">
      <c r="A20" s="1464"/>
      <c r="B20" s="1462" t="s">
        <v>1560</v>
      </c>
      <c r="C20" s="1470" t="s">
        <v>38</v>
      </c>
      <c r="D20" s="1433"/>
      <c r="E20" s="1433"/>
      <c r="F20" s="1444"/>
      <c r="G20" s="1444"/>
      <c r="H20" s="1444"/>
      <c r="I20" s="1444"/>
      <c r="J20" s="1444"/>
      <c r="K20" s="1444"/>
      <c r="L20" s="1444"/>
      <c r="M20" s="1444"/>
      <c r="N20" s="1444"/>
      <c r="O20" s="1441"/>
      <c r="P20" s="1441"/>
      <c r="Q20" s="1441">
        <f>Q6-Q7-Q19</f>
        <v>37000000000</v>
      </c>
      <c r="R20" s="1441">
        <f t="shared" ref="R20:Z20" si="2">R6-R7-R19</f>
        <v>51000000000</v>
      </c>
      <c r="S20" s="1441">
        <f t="shared" si="2"/>
        <v>52000000000</v>
      </c>
      <c r="T20" s="1441">
        <f t="shared" si="2"/>
        <v>52000000000</v>
      </c>
      <c r="U20" s="1441">
        <f t="shared" si="2"/>
        <v>52000000000</v>
      </c>
      <c r="V20" s="1441">
        <f t="shared" si="2"/>
        <v>52000000000</v>
      </c>
      <c r="W20" s="1441">
        <f t="shared" si="2"/>
        <v>53000000000</v>
      </c>
      <c r="X20" s="1441">
        <f t="shared" si="2"/>
        <v>52000000000</v>
      </c>
      <c r="Y20" s="1076">
        <f t="shared" si="2"/>
        <v>53000000000</v>
      </c>
      <c r="Z20" s="1076">
        <f t="shared" si="2"/>
        <v>52000000000</v>
      </c>
    </row>
    <row r="21" spans="1:28" s="848" customFormat="1">
      <c r="A21" s="1457" t="s">
        <v>3452</v>
      </c>
      <c r="B21" s="1457" t="s">
        <v>3453</v>
      </c>
      <c r="C21" s="1457" t="s">
        <v>35</v>
      </c>
      <c r="D21" s="1458"/>
      <c r="E21" s="1458"/>
      <c r="F21" s="1459">
        <v>793018170000</v>
      </c>
      <c r="G21" s="1460">
        <v>1044000000000</v>
      </c>
      <c r="H21" s="1460">
        <v>1296900000000</v>
      </c>
      <c r="I21" s="1459">
        <v>1695000000000</v>
      </c>
      <c r="J21" s="1459">
        <f>J23+J30</f>
        <v>2067000000000</v>
      </c>
      <c r="K21" s="1459">
        <v>3106000000000</v>
      </c>
      <c r="L21" s="1459">
        <v>4369000000000</v>
      </c>
      <c r="M21" s="1459">
        <v>4002000000000</v>
      </c>
      <c r="N21" s="1459">
        <v>4915000000000</v>
      </c>
      <c r="O21" s="1460">
        <v>6012000000000</v>
      </c>
      <c r="P21" s="1460">
        <v>6810000000000</v>
      </c>
      <c r="Q21" s="1460">
        <v>7151000000000</v>
      </c>
      <c r="R21" s="1460">
        <v>8457000000000</v>
      </c>
      <c r="S21" s="1460">
        <v>9367000000000</v>
      </c>
      <c r="T21" s="1460">
        <v>10102000000000</v>
      </c>
      <c r="U21" s="1460">
        <v>13528000000000</v>
      </c>
      <c r="V21" s="1460">
        <v>12573000000000</v>
      </c>
      <c r="W21" s="1460">
        <v>13581000000000</v>
      </c>
      <c r="X21" s="1460">
        <v>14618000000000</v>
      </c>
      <c r="Y21" s="1069">
        <v>15484000000000</v>
      </c>
      <c r="Z21" s="1069">
        <v>16574000000000</v>
      </c>
      <c r="AA21" s="1013"/>
      <c r="AB21" s="1013"/>
    </row>
    <row r="22" spans="1:28">
      <c r="B22" s="1442" t="s">
        <v>379</v>
      </c>
      <c r="C22" s="1440"/>
      <c r="D22" s="1433"/>
      <c r="E22" s="1433"/>
      <c r="F22" s="1444">
        <v>793018170000</v>
      </c>
      <c r="G22" s="1441">
        <v>1044000000000</v>
      </c>
      <c r="H22" s="1441">
        <v>1296900000000</v>
      </c>
      <c r="I22" s="1444">
        <v>1695000000000</v>
      </c>
      <c r="J22" s="1444">
        <v>2067000000000</v>
      </c>
      <c r="K22" s="1444">
        <v>3106000000000</v>
      </c>
      <c r="L22" s="1444">
        <v>4369000000000</v>
      </c>
      <c r="M22" s="1444"/>
      <c r="N22" s="1444"/>
      <c r="O22" s="1441"/>
      <c r="P22" s="1441"/>
      <c r="Q22" s="1441"/>
      <c r="R22" s="1441"/>
      <c r="S22" s="1441"/>
      <c r="T22" s="1441"/>
      <c r="U22" s="1441"/>
      <c r="V22" s="1441"/>
      <c r="W22" s="1441"/>
      <c r="X22" s="1445"/>
      <c r="Y22" s="1010"/>
      <c r="Z22" s="1010"/>
    </row>
    <row r="23" spans="1:28">
      <c r="B23" s="1442" t="s">
        <v>3454</v>
      </c>
      <c r="C23" s="1440"/>
      <c r="D23" s="1433"/>
      <c r="E23" s="1433"/>
      <c r="F23" s="1444">
        <v>774136785000</v>
      </c>
      <c r="G23" s="1441">
        <v>993400000000</v>
      </c>
      <c r="H23" s="1441">
        <v>1273600000000</v>
      </c>
      <c r="I23" s="1444">
        <v>1687000000000</v>
      </c>
      <c r="J23" s="1444">
        <v>2060000000000</v>
      </c>
      <c r="K23" s="1444">
        <v>3098000000000</v>
      </c>
      <c r="L23" s="1444">
        <v>4326000000000</v>
      </c>
      <c r="M23" s="1444">
        <v>3971000000000</v>
      </c>
      <c r="N23" s="1444">
        <v>4805000000000</v>
      </c>
      <c r="O23" s="1441">
        <v>5872000000000</v>
      </c>
      <c r="P23" s="1441">
        <v>6676000000000</v>
      </c>
      <c r="Q23" s="1441">
        <v>7067000000000</v>
      </c>
      <c r="R23" s="1441">
        <v>8367000000000</v>
      </c>
      <c r="S23" s="1441">
        <v>9223000000000</v>
      </c>
      <c r="T23" s="1441">
        <v>9789000000000</v>
      </c>
      <c r="U23" s="1441">
        <v>13370000000000</v>
      </c>
      <c r="V23" s="1441">
        <v>12498000000000</v>
      </c>
      <c r="W23" s="1441">
        <v>13501000000000</v>
      </c>
      <c r="X23" s="1441">
        <v>14531000000000</v>
      </c>
      <c r="Y23" s="1010">
        <v>15391000000000</v>
      </c>
      <c r="Z23" s="1010">
        <v>16474000000000</v>
      </c>
    </row>
    <row r="24" spans="1:28">
      <c r="A24" s="1447" t="s">
        <v>3455</v>
      </c>
      <c r="B24" s="1447" t="s">
        <v>3455</v>
      </c>
      <c r="C24" s="1442" t="s">
        <v>201</v>
      </c>
      <c r="D24" s="1433"/>
      <c r="E24" s="1433"/>
      <c r="F24" s="1444">
        <v>649519644000.00012</v>
      </c>
      <c r="G24" s="1441">
        <v>763600000000</v>
      </c>
      <c r="H24" s="1441">
        <v>954500000000</v>
      </c>
      <c r="I24" s="1444">
        <v>1319000000000</v>
      </c>
      <c r="J24" s="1444">
        <v>1562000000000</v>
      </c>
      <c r="K24" s="1444">
        <v>2318000000000</v>
      </c>
      <c r="L24" s="1444">
        <v>3336000000000</v>
      </c>
      <c r="M24" s="1444">
        <v>2975000000000</v>
      </c>
      <c r="N24" s="1444">
        <v>3625000000000</v>
      </c>
      <c r="O24" s="1441">
        <v>4554000000000</v>
      </c>
      <c r="P24" s="1441">
        <v>5291000000000</v>
      </c>
      <c r="Q24" s="1441">
        <v>5668000000000</v>
      </c>
      <c r="R24" s="1441">
        <v>6701000000000</v>
      </c>
      <c r="S24" s="1441">
        <v>7901000000000</v>
      </c>
      <c r="T24" s="1441">
        <v>8463000000000</v>
      </c>
      <c r="U24" s="1441">
        <v>11865000000000</v>
      </c>
      <c r="V24" s="1441">
        <v>10778000000000</v>
      </c>
      <c r="W24" s="1441">
        <v>11635000000000</v>
      </c>
      <c r="X24" s="1441">
        <v>12506000000000</v>
      </c>
      <c r="Y24" s="1010">
        <v>13244000000000</v>
      </c>
      <c r="Z24" s="1010">
        <v>14170000000000</v>
      </c>
    </row>
    <row r="25" spans="1:28">
      <c r="A25" s="1461" t="s">
        <v>536</v>
      </c>
      <c r="B25" s="1461" t="s">
        <v>3456</v>
      </c>
      <c r="C25" s="1462" t="s">
        <v>3457</v>
      </c>
      <c r="D25" s="1433"/>
      <c r="E25" s="1433"/>
      <c r="F25" s="1444"/>
      <c r="G25" s="1441"/>
      <c r="H25" s="1441"/>
      <c r="I25" s="1444"/>
      <c r="J25" s="1444"/>
      <c r="K25" s="1444"/>
      <c r="L25" s="1444"/>
      <c r="M25" s="1444"/>
      <c r="N25" s="1444"/>
      <c r="O25" s="1441"/>
      <c r="P25" s="1441"/>
      <c r="Q25" s="1441">
        <v>1045000000000</v>
      </c>
      <c r="R25" s="1441">
        <v>1113000000000</v>
      </c>
      <c r="S25" s="1441">
        <v>1153000000000</v>
      </c>
      <c r="T25" s="1441">
        <v>1360000000000</v>
      </c>
      <c r="U25" s="1441">
        <v>1551000000000</v>
      </c>
      <c r="V25" s="1441">
        <v>1675000000000</v>
      </c>
      <c r="W25" s="1441">
        <v>1809000000000</v>
      </c>
      <c r="X25" s="1441">
        <v>1953000000000</v>
      </c>
      <c r="Y25" s="1010">
        <v>2110000000000</v>
      </c>
      <c r="Z25" s="1010">
        <v>2278000000000</v>
      </c>
    </row>
    <row r="26" spans="1:28">
      <c r="A26" s="1461" t="s">
        <v>83</v>
      </c>
      <c r="B26" s="1461" t="s">
        <v>3458</v>
      </c>
      <c r="C26" s="1462" t="s">
        <v>3457</v>
      </c>
      <c r="D26" s="1433"/>
      <c r="E26" s="1433"/>
      <c r="F26" s="1444"/>
      <c r="G26" s="1441"/>
      <c r="H26" s="1441"/>
      <c r="I26" s="1444"/>
      <c r="J26" s="1444"/>
      <c r="K26" s="1444"/>
      <c r="L26" s="1444"/>
      <c r="M26" s="1444"/>
      <c r="N26" s="1444"/>
      <c r="O26" s="1441"/>
      <c r="P26" s="1441"/>
      <c r="Q26" s="1441">
        <v>1920000000000</v>
      </c>
      <c r="R26" s="1441">
        <v>2357000000000</v>
      </c>
      <c r="S26" s="1441">
        <v>2529000000000</v>
      </c>
      <c r="T26" s="1441">
        <v>2873000000000</v>
      </c>
      <c r="U26" s="1441">
        <v>3658000000000</v>
      </c>
      <c r="V26" s="1441">
        <v>4028000000000</v>
      </c>
      <c r="W26" s="1441">
        <v>4367000000000</v>
      </c>
      <c r="X26" s="1441">
        <v>4740000000000</v>
      </c>
      <c r="Y26" s="1010">
        <v>5027000000000</v>
      </c>
      <c r="Z26" s="1010">
        <v>5396000000000</v>
      </c>
    </row>
    <row r="27" spans="1:28">
      <c r="A27" s="1461" t="s">
        <v>899</v>
      </c>
      <c r="B27" s="1461" t="s">
        <v>922</v>
      </c>
      <c r="C27" s="1462" t="s">
        <v>3457</v>
      </c>
      <c r="D27" s="1433"/>
      <c r="E27" s="1433"/>
      <c r="F27" s="1444"/>
      <c r="G27" s="1441"/>
      <c r="H27" s="1441"/>
      <c r="I27" s="1444"/>
      <c r="J27" s="1444"/>
      <c r="K27" s="1444"/>
      <c r="L27" s="1444"/>
      <c r="M27" s="1444"/>
      <c r="N27" s="1444"/>
      <c r="O27" s="1441"/>
      <c r="P27" s="1441"/>
      <c r="Q27" s="1441">
        <f>Q24-Q25-Q26</f>
        <v>2703000000000</v>
      </c>
      <c r="R27" s="1441">
        <f t="shared" ref="R27:Z27" si="3">R24-R25-R26</f>
        <v>3231000000000</v>
      </c>
      <c r="S27" s="1441">
        <f t="shared" si="3"/>
        <v>4219000000000</v>
      </c>
      <c r="T27" s="1441">
        <f t="shared" si="3"/>
        <v>4230000000000</v>
      </c>
      <c r="U27" s="1441">
        <f t="shared" si="3"/>
        <v>6656000000000</v>
      </c>
      <c r="V27" s="1441">
        <f t="shared" si="3"/>
        <v>5075000000000</v>
      </c>
      <c r="W27" s="1441">
        <f t="shared" si="3"/>
        <v>5459000000000</v>
      </c>
      <c r="X27" s="1441">
        <f t="shared" si="3"/>
        <v>5813000000000</v>
      </c>
      <c r="Y27" s="1010">
        <f t="shared" si="3"/>
        <v>6107000000000</v>
      </c>
      <c r="Z27" s="1010">
        <f t="shared" si="3"/>
        <v>6496000000000</v>
      </c>
    </row>
    <row r="28" spans="1:28">
      <c r="A28" s="1447" t="s">
        <v>3459</v>
      </c>
      <c r="B28" s="1447" t="s">
        <v>3459</v>
      </c>
      <c r="C28" s="1442" t="s">
        <v>201</v>
      </c>
      <c r="D28" s="1433"/>
      <c r="E28" s="1433"/>
      <c r="F28" s="1444">
        <v>124617141000</v>
      </c>
      <c r="G28" s="1441">
        <v>229700000000</v>
      </c>
      <c r="H28" s="1441">
        <v>319200000000</v>
      </c>
      <c r="I28" s="1444">
        <v>368000000000</v>
      </c>
      <c r="J28" s="1444">
        <v>498000000000</v>
      </c>
      <c r="K28" s="1444">
        <v>779000000000</v>
      </c>
      <c r="L28" s="1444">
        <v>991000000000</v>
      </c>
      <c r="M28" s="1444">
        <v>997000000000</v>
      </c>
      <c r="N28" s="1444">
        <v>1180000000000</v>
      </c>
      <c r="O28" s="1441">
        <v>1318000000000</v>
      </c>
      <c r="P28" s="1441">
        <v>1385000000000</v>
      </c>
      <c r="Q28" s="1441">
        <v>1399000000000</v>
      </c>
      <c r="R28" s="1441">
        <v>1666000000000</v>
      </c>
      <c r="S28" s="1441">
        <v>1321000000000</v>
      </c>
      <c r="T28" s="1441">
        <v>1326000000000</v>
      </c>
      <c r="U28" s="1441">
        <v>1505000000000</v>
      </c>
      <c r="V28" s="1441">
        <v>1721000000000</v>
      </c>
      <c r="W28" s="1441">
        <v>1865000000000</v>
      </c>
      <c r="X28" s="1441">
        <v>2025000000000</v>
      </c>
      <c r="Y28" s="1010">
        <v>2147000000000</v>
      </c>
      <c r="Z28" s="1010">
        <v>2305000000000</v>
      </c>
    </row>
    <row r="29" spans="1:28">
      <c r="A29" s="1442" t="s">
        <v>3460</v>
      </c>
      <c r="B29" s="1442" t="s">
        <v>3461</v>
      </c>
      <c r="C29" s="1442" t="s">
        <v>201</v>
      </c>
      <c r="D29" s="1433"/>
      <c r="E29" s="1433"/>
      <c r="F29" s="1444">
        <v>18881385000</v>
      </c>
      <c r="G29" s="1441">
        <v>50700000000</v>
      </c>
      <c r="H29" s="1441">
        <v>23300000000</v>
      </c>
      <c r="I29" s="1444">
        <v>7000000000</v>
      </c>
      <c r="J29" s="1444">
        <v>8000000000</v>
      </c>
      <c r="K29" s="1444">
        <v>8000000000</v>
      </c>
      <c r="L29" s="1444">
        <v>42000000000</v>
      </c>
      <c r="M29" s="1444">
        <v>31000000000</v>
      </c>
      <c r="N29" s="1444">
        <v>110000000000</v>
      </c>
      <c r="O29" s="1441">
        <v>140000000000</v>
      </c>
      <c r="P29" s="1441">
        <v>134000000000</v>
      </c>
      <c r="Q29" s="1441">
        <v>83000000000</v>
      </c>
      <c r="R29" s="1441">
        <v>90000000000</v>
      </c>
      <c r="S29" s="1441">
        <v>145000000000</v>
      </c>
      <c r="T29" s="1441">
        <v>313000000000</v>
      </c>
      <c r="U29" s="1441">
        <v>158000000000</v>
      </c>
      <c r="V29" s="1441">
        <v>74000000000</v>
      </c>
      <c r="W29" s="1441">
        <v>80000000000</v>
      </c>
      <c r="X29" s="1441">
        <v>87000000000</v>
      </c>
      <c r="Y29" s="1010">
        <v>92000000000</v>
      </c>
      <c r="Z29" s="1010">
        <v>99000000000</v>
      </c>
    </row>
    <row r="30" spans="1:28">
      <c r="B30" s="1447" t="s">
        <v>3462</v>
      </c>
      <c r="C30" s="1440"/>
      <c r="D30" s="1433"/>
      <c r="E30" s="1433"/>
      <c r="F30" s="1444">
        <v>30210216000.000004</v>
      </c>
      <c r="G30" s="1441"/>
      <c r="H30" s="1441"/>
      <c r="I30" s="1444"/>
      <c r="J30" s="1444">
        <f>J22-J23</f>
        <v>7000000000</v>
      </c>
      <c r="K30" s="1444"/>
      <c r="L30" s="1444"/>
      <c r="M30" s="1444"/>
      <c r="N30" s="1444"/>
      <c r="O30" s="1441"/>
      <c r="P30" s="1441"/>
      <c r="Q30" s="1441"/>
      <c r="R30" s="1441"/>
      <c r="S30" s="1441"/>
      <c r="T30" s="1441"/>
      <c r="U30" s="1441"/>
      <c r="V30" s="1441"/>
      <c r="W30" s="1441"/>
      <c r="X30" s="1445"/>
      <c r="Y30" s="1010"/>
      <c r="Z30" s="1010"/>
    </row>
    <row r="31" spans="1:28">
      <c r="B31" s="1447" t="s">
        <v>3463</v>
      </c>
      <c r="C31" s="1440"/>
      <c r="D31" s="1433"/>
      <c r="E31" s="1433"/>
      <c r="F31" s="1444">
        <v>15105108000.000002</v>
      </c>
      <c r="G31" s="1441"/>
      <c r="H31" s="1441"/>
      <c r="I31" s="1444"/>
      <c r="J31" s="1444"/>
      <c r="K31" s="1444"/>
      <c r="L31" s="1444"/>
      <c r="M31" s="1444"/>
      <c r="N31" s="1444"/>
      <c r="O31" s="1441"/>
      <c r="P31" s="1441"/>
      <c r="Q31" s="1441"/>
      <c r="R31" s="1441"/>
      <c r="S31" s="1441"/>
      <c r="T31" s="1441"/>
      <c r="U31" s="1441"/>
      <c r="V31" s="1441"/>
      <c r="W31" s="1441"/>
      <c r="X31" s="1445"/>
      <c r="Y31" s="1010"/>
      <c r="Z31" s="1010"/>
    </row>
    <row r="32" spans="1:28">
      <c r="B32" s="1442" t="s">
        <v>3464</v>
      </c>
      <c r="C32" s="1440"/>
      <c r="D32" s="1433"/>
      <c r="E32" s="1433"/>
      <c r="F32" s="1449">
        <v>52867878000.000008</v>
      </c>
      <c r="G32" s="1441">
        <v>125200000000</v>
      </c>
      <c r="H32" s="1441">
        <v>144200000000</v>
      </c>
      <c r="I32" s="1444">
        <v>437000000000</v>
      </c>
      <c r="J32" s="1444">
        <v>736000000000</v>
      </c>
      <c r="K32" s="1444">
        <v>600000000000</v>
      </c>
      <c r="L32" s="1444">
        <v>173000000000</v>
      </c>
      <c r="M32" s="1444">
        <v>-236000000000</v>
      </c>
      <c r="N32" s="1444">
        <v>308000000000</v>
      </c>
      <c r="O32" s="1441">
        <v>1627000000000</v>
      </c>
      <c r="P32" s="1441">
        <v>1360000000000</v>
      </c>
      <c r="Q32" s="1441">
        <v>1761000000000</v>
      </c>
      <c r="R32" s="1441">
        <v>963000000000</v>
      </c>
      <c r="S32" s="1441">
        <v>-2576000000000</v>
      </c>
      <c r="T32" s="1441">
        <v>-1869000000000</v>
      </c>
      <c r="U32" s="1441">
        <v>-3286000000000</v>
      </c>
      <c r="V32" s="1441">
        <v>-1190000000000</v>
      </c>
      <c r="W32" s="1441">
        <v>-1126000000000</v>
      </c>
      <c r="X32" s="1441">
        <v>-575000000000</v>
      </c>
      <c r="Y32" s="1010">
        <v>-716000000000</v>
      </c>
      <c r="Z32" s="1010">
        <v>-90000000000</v>
      </c>
    </row>
    <row r="33" spans="1:30">
      <c r="B33" s="1442" t="s">
        <v>3465</v>
      </c>
      <c r="C33" s="1440"/>
      <c r="D33" s="1433"/>
      <c r="E33" s="1433"/>
      <c r="F33" s="1444"/>
      <c r="G33" s="1444"/>
      <c r="H33" s="1444"/>
      <c r="I33" s="1444"/>
      <c r="J33" s="1444"/>
      <c r="K33" s="1444"/>
      <c r="L33" s="1444"/>
      <c r="M33" s="1444">
        <v>-1799000000000</v>
      </c>
      <c r="N33" s="1444">
        <v>-2247000000000</v>
      </c>
      <c r="O33" s="1441">
        <v>-2415000000000</v>
      </c>
      <c r="P33" s="1441">
        <v>-2716000000000</v>
      </c>
      <c r="Q33" s="1441">
        <v>-2390000000000</v>
      </c>
      <c r="R33" s="1441">
        <v>-3523000000000</v>
      </c>
      <c r="S33" s="1441">
        <v>-5259000000000</v>
      </c>
      <c r="T33" s="1441">
        <v>-3803000000000</v>
      </c>
      <c r="U33" s="1441">
        <v>-6637000000000</v>
      </c>
      <c r="V33" s="1441">
        <v>-4992000000000</v>
      </c>
      <c r="W33" s="1441">
        <v>-5203000000000</v>
      </c>
      <c r="X33" s="1441">
        <v>-5238000000000</v>
      </c>
      <c r="Y33" s="1010">
        <v>-5568000000000</v>
      </c>
      <c r="Z33" s="1010">
        <v>-5901000000000</v>
      </c>
    </row>
    <row r="34" spans="1:30">
      <c r="B34" s="1442" t="s">
        <v>3466</v>
      </c>
      <c r="C34" s="1440"/>
      <c r="D34" s="1433"/>
      <c r="E34" s="1433"/>
      <c r="F34" s="1449">
        <v>-15105108000.000002</v>
      </c>
      <c r="G34" s="1441">
        <v>15700000000</v>
      </c>
      <c r="H34" s="1441">
        <v>-9200000000</v>
      </c>
      <c r="I34" s="1444">
        <v>-63000000000</v>
      </c>
      <c r="J34" s="1444">
        <v>-1000000000</v>
      </c>
      <c r="K34" s="1444">
        <v>53000000000</v>
      </c>
      <c r="L34" s="1444">
        <v>-55000000000</v>
      </c>
      <c r="M34" s="1444">
        <v>29000000000</v>
      </c>
      <c r="N34" s="1444">
        <v>-126000000000</v>
      </c>
      <c r="O34" s="1441">
        <v>307000000000</v>
      </c>
      <c r="P34" s="1441">
        <v>127000000000</v>
      </c>
      <c r="Q34" s="1441">
        <v>595000000000</v>
      </c>
      <c r="R34" s="1441">
        <v>1614000000000</v>
      </c>
      <c r="S34" s="1441">
        <v>826000000000</v>
      </c>
      <c r="T34" s="1441">
        <v>30000000000</v>
      </c>
      <c r="U34" s="1441">
        <v>0</v>
      </c>
      <c r="V34" s="1441">
        <v>0</v>
      </c>
      <c r="W34" s="1441">
        <v>0</v>
      </c>
      <c r="X34" s="1441">
        <v>0</v>
      </c>
      <c r="Y34" s="1010">
        <v>0</v>
      </c>
      <c r="Z34" s="1010">
        <v>0</v>
      </c>
    </row>
    <row r="35" spans="1:30" s="848" customFormat="1">
      <c r="A35" s="1457" t="s">
        <v>115</v>
      </c>
      <c r="B35" s="1457" t="s">
        <v>115</v>
      </c>
      <c r="C35" s="1457" t="s">
        <v>35</v>
      </c>
      <c r="D35" s="1458"/>
      <c r="E35" s="1458"/>
      <c r="F35" s="1459">
        <v>-67972986000.000008</v>
      </c>
      <c r="G35" s="1460">
        <v>-121200000000</v>
      </c>
      <c r="H35" s="1460">
        <v>-153400000000</v>
      </c>
      <c r="I35" s="1459">
        <v>-499000000000</v>
      </c>
      <c r="J35" s="1459">
        <v>-738000000000</v>
      </c>
      <c r="K35" s="1459">
        <v>-546000000000</v>
      </c>
      <c r="L35" s="1459">
        <v>-228000000000</v>
      </c>
      <c r="M35" s="1459">
        <v>265000000000</v>
      </c>
      <c r="N35" s="1459">
        <v>-434000000000</v>
      </c>
      <c r="O35" s="1460">
        <v>-1320000000000</v>
      </c>
      <c r="P35" s="1460">
        <v>-1234000000000</v>
      </c>
      <c r="Q35" s="1460">
        <v>-1166000000000</v>
      </c>
      <c r="R35" s="1460">
        <v>650000000000</v>
      </c>
      <c r="S35" s="1460">
        <v>3402000000000</v>
      </c>
      <c r="T35" s="1460">
        <v>1899000000000</v>
      </c>
      <c r="U35" s="1460">
        <v>3286000000000</v>
      </c>
      <c r="V35" s="1460">
        <v>1190000000000</v>
      </c>
      <c r="W35" s="1460">
        <v>1126000000000</v>
      </c>
      <c r="X35" s="1460">
        <v>575000000000</v>
      </c>
      <c r="Y35" s="1069">
        <v>716000000000</v>
      </c>
      <c r="Z35" s="1069">
        <v>90000000000</v>
      </c>
      <c r="AA35" s="1013"/>
      <c r="AB35" s="1013"/>
    </row>
    <row r="36" spans="1:30">
      <c r="A36" s="1442" t="s">
        <v>120</v>
      </c>
      <c r="B36" s="1447" t="s">
        <v>3467</v>
      </c>
      <c r="C36" s="1442" t="s">
        <v>252</v>
      </c>
      <c r="D36" s="1433"/>
      <c r="E36" s="1433"/>
      <c r="F36" s="1444">
        <v>64196709000</v>
      </c>
      <c r="G36" s="1441">
        <v>74100000000</v>
      </c>
      <c r="H36" s="1441">
        <v>40000000000</v>
      </c>
      <c r="I36" s="1444">
        <v>18000000000</v>
      </c>
      <c r="J36" s="1444">
        <v>-85000000000</v>
      </c>
      <c r="K36" s="1444">
        <v>274000000000</v>
      </c>
      <c r="L36" s="1444">
        <v>277000000000</v>
      </c>
      <c r="M36" s="1444">
        <v>469000000000</v>
      </c>
      <c r="N36" s="1444">
        <v>380000000000</v>
      </c>
      <c r="O36" s="1441">
        <v>411000000000</v>
      </c>
      <c r="P36" s="1441">
        <v>817000000000</v>
      </c>
      <c r="Q36" s="1441">
        <v>718000000000</v>
      </c>
      <c r="R36" s="1441">
        <v>563000000000</v>
      </c>
      <c r="S36" s="1441">
        <v>171000000000</v>
      </c>
      <c r="T36" s="1441">
        <v>-93000000000</v>
      </c>
      <c r="U36" s="1441">
        <v>1548000000000</v>
      </c>
      <c r="V36" s="1441">
        <v>1163000000000</v>
      </c>
      <c r="W36" s="1441">
        <v>1385000000000</v>
      </c>
      <c r="X36" s="1441">
        <v>1227000000000</v>
      </c>
      <c r="Y36" s="1010">
        <v>1470000000000</v>
      </c>
      <c r="Z36" s="1010">
        <v>1118000000000</v>
      </c>
    </row>
    <row r="37" spans="1:30">
      <c r="A37" s="1442" t="s">
        <v>261</v>
      </c>
      <c r="B37" s="1447" t="s">
        <v>3468</v>
      </c>
      <c r="C37" s="1442" t="s">
        <v>252</v>
      </c>
      <c r="D37" s="1433"/>
      <c r="E37" s="1433"/>
      <c r="F37" s="1444">
        <v>-56644155000.000008</v>
      </c>
      <c r="G37" s="1441">
        <v>8500000000</v>
      </c>
      <c r="H37" s="1441">
        <v>-46300000000</v>
      </c>
      <c r="I37" s="1444">
        <v>-127000000000</v>
      </c>
      <c r="J37" s="1444">
        <v>2000000000</v>
      </c>
      <c r="K37" s="1444">
        <v>0</v>
      </c>
      <c r="L37" s="1444">
        <v>0</v>
      </c>
      <c r="M37" s="1444">
        <v>76000000000</v>
      </c>
      <c r="N37" s="1444">
        <v>148000000000</v>
      </c>
      <c r="O37" s="1441">
        <v>108000000000</v>
      </c>
      <c r="P37" s="1441">
        <v>68000000000</v>
      </c>
      <c r="Q37" s="1441">
        <v>54000000000</v>
      </c>
      <c r="R37" s="1441">
        <v>505000000000</v>
      </c>
      <c r="S37" s="1441">
        <v>1054000000000</v>
      </c>
      <c r="T37" s="1441">
        <v>787000000000</v>
      </c>
      <c r="U37" s="1441">
        <v>203000000000</v>
      </c>
      <c r="V37" s="1441">
        <v>111000000000</v>
      </c>
      <c r="W37" s="1441">
        <v>111000000000</v>
      </c>
      <c r="X37" s="1441">
        <v>111000000000</v>
      </c>
      <c r="Y37" s="1010">
        <v>111000000000</v>
      </c>
      <c r="Z37" s="1010">
        <v>111000000000</v>
      </c>
    </row>
    <row r="38" spans="1:30">
      <c r="A38" s="1447" t="s">
        <v>3469</v>
      </c>
      <c r="B38" s="1447" t="s">
        <v>3469</v>
      </c>
      <c r="C38" s="1442" t="s">
        <v>252</v>
      </c>
      <c r="D38" s="1433"/>
      <c r="E38" s="1433"/>
      <c r="F38" s="1444">
        <v>18881385000</v>
      </c>
      <c r="G38" s="1441">
        <v>59100000000</v>
      </c>
      <c r="H38" s="1441">
        <v>7100000000</v>
      </c>
      <c r="I38" s="1444">
        <v>15000000000</v>
      </c>
      <c r="J38" s="1444">
        <v>48000000000</v>
      </c>
      <c r="K38" s="1444">
        <v>60000000000</v>
      </c>
      <c r="L38" s="1444">
        <v>24000000000</v>
      </c>
      <c r="M38" s="1444">
        <v>10000000000</v>
      </c>
      <c r="N38" s="1444">
        <v>12000000000</v>
      </c>
      <c r="O38" s="1441">
        <v>14000000000</v>
      </c>
      <c r="P38" s="1441">
        <v>14000000000</v>
      </c>
      <c r="Q38" s="1441"/>
      <c r="R38" s="1441"/>
      <c r="S38" s="1441"/>
      <c r="T38" s="1441"/>
      <c r="U38" s="1441"/>
      <c r="V38" s="1441"/>
      <c r="W38" s="1441"/>
      <c r="X38" s="1441"/>
      <c r="Y38" s="1010"/>
      <c r="Z38" s="1010"/>
    </row>
    <row r="39" spans="1:30">
      <c r="A39" s="1447" t="s">
        <v>3470</v>
      </c>
      <c r="B39" s="1447" t="s">
        <v>3471</v>
      </c>
      <c r="C39" s="1442" t="s">
        <v>252</v>
      </c>
      <c r="D39" s="1433"/>
      <c r="E39" s="1433"/>
      <c r="F39" s="1444">
        <v>-94406925000</v>
      </c>
      <c r="G39" s="1441">
        <v>-255100000000</v>
      </c>
      <c r="H39" s="1441">
        <v>-154200000000</v>
      </c>
      <c r="I39" s="1444">
        <v>-405000000000</v>
      </c>
      <c r="J39" s="1444">
        <v>-703000000000</v>
      </c>
      <c r="K39" s="1444">
        <v>-880000000000</v>
      </c>
      <c r="L39" s="1444">
        <v>-529000000000</v>
      </c>
      <c r="M39" s="1444">
        <v>-290000000000</v>
      </c>
      <c r="N39" s="1444">
        <v>-974000000000</v>
      </c>
      <c r="O39" s="1441">
        <v>-1854000000000</v>
      </c>
      <c r="P39" s="1441">
        <v>-2133000000000</v>
      </c>
      <c r="Q39" s="1441">
        <v>-1957000000000</v>
      </c>
      <c r="R39" s="1441">
        <v>-439000000000</v>
      </c>
      <c r="S39" s="1441">
        <v>2159000000000</v>
      </c>
      <c r="T39" s="1441">
        <v>1189000000000</v>
      </c>
      <c r="U39" s="1441">
        <v>1518000000000</v>
      </c>
      <c r="V39" s="1441">
        <v>-101000000000</v>
      </c>
      <c r="W39" s="1441">
        <v>-386000000000</v>
      </c>
      <c r="X39" s="1441">
        <v>-778000000000</v>
      </c>
      <c r="Y39" s="1010">
        <v>-882000000000</v>
      </c>
      <c r="Z39" s="1010">
        <v>-1155000000000</v>
      </c>
    </row>
    <row r="40" spans="1:30">
      <c r="A40" s="1461" t="s">
        <v>3472</v>
      </c>
      <c r="B40" s="1461" t="s">
        <v>3472</v>
      </c>
      <c r="C40" s="1471" t="s">
        <v>252</v>
      </c>
      <c r="D40" s="1433"/>
      <c r="E40" s="1433"/>
      <c r="Q40" s="1450">
        <f t="shared" ref="Q40:R40" si="4">Q35-Q36-Q37-Q38-Q39</f>
        <v>19000000000</v>
      </c>
      <c r="R40" s="1450">
        <f t="shared" si="4"/>
        <v>21000000000</v>
      </c>
      <c r="S40" s="1450">
        <f>S35-S36-S37-S38-S39</f>
        <v>18000000000</v>
      </c>
      <c r="T40" s="1450">
        <f t="shared" ref="T40:Z40" si="5">T35-T36-T37-T38-T39</f>
        <v>16000000000</v>
      </c>
      <c r="U40" s="1450">
        <f t="shared" si="5"/>
        <v>17000000000</v>
      </c>
      <c r="V40" s="1450">
        <f t="shared" si="5"/>
        <v>17000000000</v>
      </c>
      <c r="W40" s="1450">
        <f t="shared" si="5"/>
        <v>16000000000</v>
      </c>
      <c r="X40" s="1450">
        <f t="shared" si="5"/>
        <v>15000000000</v>
      </c>
      <c r="Y40" s="1450">
        <f t="shared" si="5"/>
        <v>17000000000</v>
      </c>
      <c r="Z40" s="1450">
        <f t="shared" si="5"/>
        <v>16000000000</v>
      </c>
      <c r="AD40" s="21"/>
    </row>
    <row r="41" spans="1:30">
      <c r="B41" s="1447"/>
      <c r="C41" s="1440"/>
      <c r="D41" s="1433"/>
      <c r="E41" s="1433"/>
      <c r="F41" s="1435" t="s">
        <v>139</v>
      </c>
      <c r="G41" s="1435" t="s">
        <v>139</v>
      </c>
      <c r="H41" s="1435" t="s">
        <v>139</v>
      </c>
      <c r="I41" s="1435" t="s">
        <v>139</v>
      </c>
      <c r="J41" s="1435" t="s">
        <v>139</v>
      </c>
      <c r="K41" s="1435" t="s">
        <v>139</v>
      </c>
      <c r="L41" s="1435" t="s">
        <v>139</v>
      </c>
      <c r="M41" s="1435" t="s">
        <v>139</v>
      </c>
      <c r="N41" s="1435" t="s">
        <v>139</v>
      </c>
      <c r="O41" s="1435" t="s">
        <v>139</v>
      </c>
      <c r="P41" s="1435" t="s">
        <v>139</v>
      </c>
    </row>
    <row r="43" spans="1:30">
      <c r="B43" s="1435" t="s">
        <v>3473</v>
      </c>
      <c r="F43" s="1450">
        <f t="shared" ref="F43:P43" si="6">F6-F7-F19</f>
        <v>0</v>
      </c>
      <c r="G43" s="1450">
        <f t="shared" si="6"/>
        <v>0</v>
      </c>
      <c r="H43" s="1450">
        <f t="shared" si="6"/>
        <v>0</v>
      </c>
      <c r="I43" s="1450">
        <f t="shared" si="6"/>
        <v>0</v>
      </c>
      <c r="J43" s="1450">
        <f t="shared" si="6"/>
        <v>0</v>
      </c>
      <c r="K43" s="1450">
        <f t="shared" si="6"/>
        <v>0</v>
      </c>
      <c r="L43" s="1450">
        <f t="shared" si="6"/>
        <v>0</v>
      </c>
      <c r="M43" s="1450">
        <f t="shared" si="6"/>
        <v>0</v>
      </c>
      <c r="N43" s="1450">
        <f t="shared" si="6"/>
        <v>0</v>
      </c>
      <c r="O43" s="1450">
        <f t="shared" si="6"/>
        <v>0</v>
      </c>
      <c r="P43" s="1450">
        <f t="shared" si="6"/>
        <v>0</v>
      </c>
      <c r="Q43" s="1450">
        <f>Q6-Q7-Q19-Q20</f>
        <v>0</v>
      </c>
      <c r="R43" s="1450">
        <f t="shared" ref="R43:X43" si="7">R6-R7-R19-R20</f>
        <v>0</v>
      </c>
      <c r="S43" s="1450">
        <f t="shared" si="7"/>
        <v>0</v>
      </c>
      <c r="T43" s="1450">
        <f t="shared" si="7"/>
        <v>0</v>
      </c>
      <c r="U43" s="1450">
        <f t="shared" si="7"/>
        <v>0</v>
      </c>
      <c r="V43" s="1450">
        <f t="shared" si="7"/>
        <v>0</v>
      </c>
      <c r="W43" s="1450">
        <f t="shared" si="7"/>
        <v>0</v>
      </c>
      <c r="X43" s="1450">
        <f t="shared" si="7"/>
        <v>0</v>
      </c>
    </row>
    <row r="44" spans="1:30">
      <c r="B44" s="1435" t="s">
        <v>450</v>
      </c>
      <c r="F44" s="1450">
        <f>F7-F12-F17-F18</f>
        <v>1.1444091796875E-4</v>
      </c>
      <c r="G44" s="1450">
        <f t="shared" ref="G44:W44" si="8">G7-G12-G17-G18</f>
        <v>-1.220703125E-4</v>
      </c>
      <c r="H44" s="1451">
        <f>H7-H12-H17-H18</f>
        <v>0</v>
      </c>
      <c r="I44" s="1451">
        <f>I7-I12-I17-I18</f>
        <v>0</v>
      </c>
      <c r="J44" s="1451">
        <f>J7-J12-J17-J18</f>
        <v>0</v>
      </c>
      <c r="K44" s="1451">
        <f>K7-K12-K17-K18</f>
        <v>0</v>
      </c>
      <c r="L44" s="1451">
        <f>L7-L12-L17-L18</f>
        <v>0</v>
      </c>
      <c r="M44" s="1450">
        <f t="shared" si="8"/>
        <v>0</v>
      </c>
      <c r="N44" s="1450">
        <f t="shared" si="8"/>
        <v>0</v>
      </c>
      <c r="O44" s="1450">
        <f t="shared" si="8"/>
        <v>0</v>
      </c>
      <c r="P44" s="1450">
        <f t="shared" si="8"/>
        <v>0</v>
      </c>
      <c r="Q44" s="1450">
        <f t="shared" si="8"/>
        <v>0</v>
      </c>
      <c r="R44" s="1450">
        <f t="shared" si="8"/>
        <v>0</v>
      </c>
      <c r="S44" s="1450">
        <f t="shared" si="8"/>
        <v>0</v>
      </c>
      <c r="T44" s="1450">
        <f t="shared" si="8"/>
        <v>0</v>
      </c>
      <c r="U44" s="1450">
        <f t="shared" si="8"/>
        <v>0</v>
      </c>
      <c r="V44" s="1450">
        <f t="shared" si="8"/>
        <v>0</v>
      </c>
      <c r="W44" s="1450">
        <f t="shared" si="8"/>
        <v>0</v>
      </c>
      <c r="X44" s="1450">
        <f>X7-X12-X17-X18</f>
        <v>0</v>
      </c>
    </row>
    <row r="45" spans="1:30">
      <c r="B45" s="1435" t="s">
        <v>617</v>
      </c>
      <c r="F45" s="1450">
        <f>F12-F13-F14</f>
        <v>0</v>
      </c>
      <c r="G45" s="1450">
        <f t="shared" ref="G45:W45" si="9">G12-G13-G14</f>
        <v>0</v>
      </c>
      <c r="H45" s="1450">
        <f t="shared" si="9"/>
        <v>0</v>
      </c>
      <c r="I45" s="1450">
        <f t="shared" si="9"/>
        <v>0</v>
      </c>
      <c r="J45" s="1450">
        <f t="shared" si="9"/>
        <v>0</v>
      </c>
      <c r="K45" s="1450">
        <f t="shared" si="9"/>
        <v>0</v>
      </c>
      <c r="L45" s="1450">
        <f t="shared" si="9"/>
        <v>0</v>
      </c>
      <c r="M45" s="1450">
        <f t="shared" si="9"/>
        <v>0</v>
      </c>
      <c r="N45" s="1450">
        <f t="shared" si="9"/>
        <v>0</v>
      </c>
      <c r="O45" s="1450">
        <f t="shared" si="9"/>
        <v>0</v>
      </c>
      <c r="P45" s="1450">
        <f t="shared" si="9"/>
        <v>0</v>
      </c>
      <c r="Q45" s="1450">
        <f t="shared" si="9"/>
        <v>1000000000</v>
      </c>
      <c r="R45" s="1450">
        <f t="shared" si="9"/>
        <v>0</v>
      </c>
      <c r="S45" s="1450">
        <f t="shared" si="9"/>
        <v>0</v>
      </c>
      <c r="T45" s="1450">
        <f t="shared" si="9"/>
        <v>-1000000000</v>
      </c>
      <c r="U45" s="1450">
        <f t="shared" si="9"/>
        <v>0</v>
      </c>
      <c r="V45" s="1450">
        <f t="shared" si="9"/>
        <v>1000000000</v>
      </c>
      <c r="W45" s="1450">
        <f t="shared" si="9"/>
        <v>0</v>
      </c>
      <c r="X45" s="1450">
        <f>X12-X13-X14</f>
        <v>0</v>
      </c>
    </row>
    <row r="46" spans="1:30">
      <c r="B46" s="1435" t="s">
        <v>2342</v>
      </c>
      <c r="F46" s="1450">
        <f>F21-F24-F28-F29</f>
        <v>-1.220703125E-4</v>
      </c>
      <c r="G46" s="1450">
        <f t="shared" ref="G46:W46" si="10">G21-G24-G28-G29</f>
        <v>0</v>
      </c>
      <c r="H46" s="1450">
        <f t="shared" si="10"/>
        <v>-100000000</v>
      </c>
      <c r="I46" s="1450">
        <f t="shared" si="10"/>
        <v>1000000000</v>
      </c>
      <c r="J46" s="1450">
        <f t="shared" si="10"/>
        <v>-1000000000</v>
      </c>
      <c r="K46" s="1450">
        <f t="shared" si="10"/>
        <v>1000000000</v>
      </c>
      <c r="L46" s="1450">
        <f t="shared" si="10"/>
        <v>0</v>
      </c>
      <c r="M46" s="1450">
        <f t="shared" si="10"/>
        <v>-1000000000</v>
      </c>
      <c r="N46" s="1450">
        <f t="shared" si="10"/>
        <v>0</v>
      </c>
      <c r="O46" s="1450">
        <f t="shared" si="10"/>
        <v>0</v>
      </c>
      <c r="P46" s="1450">
        <f t="shared" si="10"/>
        <v>0</v>
      </c>
      <c r="Q46" s="1450">
        <f t="shared" si="10"/>
        <v>1000000000</v>
      </c>
      <c r="R46" s="1450">
        <f t="shared" si="10"/>
        <v>0</v>
      </c>
      <c r="S46" s="1450">
        <f t="shared" si="10"/>
        <v>0</v>
      </c>
      <c r="T46" s="1450">
        <f t="shared" si="10"/>
        <v>0</v>
      </c>
      <c r="U46" s="1450">
        <f t="shared" si="10"/>
        <v>0</v>
      </c>
      <c r="V46" s="1450">
        <f t="shared" si="10"/>
        <v>0</v>
      </c>
      <c r="W46" s="1450">
        <f t="shared" si="10"/>
        <v>1000000000</v>
      </c>
      <c r="X46" s="1450">
        <f>X21-X24-X28-X29</f>
        <v>0</v>
      </c>
    </row>
    <row r="47" spans="1:30">
      <c r="B47" s="1435" t="s">
        <v>2656</v>
      </c>
      <c r="F47" s="1450">
        <f>F35-F36-F37-F38-F39</f>
        <v>0</v>
      </c>
      <c r="G47" s="1451">
        <f>G35-G36-G37-G38-G39</f>
        <v>-7800000000</v>
      </c>
      <c r="H47" s="1450">
        <f t="shared" ref="H47:P47" si="11">H35-H36-H37-H38-H39</f>
        <v>0</v>
      </c>
      <c r="I47" s="1450">
        <f t="shared" si="11"/>
        <v>0</v>
      </c>
      <c r="J47" s="1450">
        <f t="shared" si="11"/>
        <v>0</v>
      </c>
      <c r="K47" s="1450">
        <f t="shared" si="11"/>
        <v>0</v>
      </c>
      <c r="L47" s="1450">
        <f t="shared" si="11"/>
        <v>0</v>
      </c>
      <c r="M47" s="1450">
        <f t="shared" si="11"/>
        <v>0</v>
      </c>
      <c r="N47" s="1450">
        <f t="shared" si="11"/>
        <v>0</v>
      </c>
      <c r="O47" s="1450">
        <f t="shared" si="11"/>
        <v>1000000000</v>
      </c>
      <c r="P47" s="1450">
        <f t="shared" si="11"/>
        <v>0</v>
      </c>
      <c r="Q47" s="1450">
        <f>Q35-Q36-Q37-Q38-Q39-Q40</f>
        <v>0</v>
      </c>
      <c r="R47" s="1450">
        <f t="shared" ref="R47:X47" si="12">R35-R36-R37-R38-R39-R40</f>
        <v>0</v>
      </c>
      <c r="S47" s="1450">
        <f t="shared" si="12"/>
        <v>0</v>
      </c>
      <c r="T47" s="1450">
        <f t="shared" si="12"/>
        <v>0</v>
      </c>
      <c r="U47" s="1450">
        <f t="shared" si="12"/>
        <v>0</v>
      </c>
      <c r="V47" s="1450">
        <f t="shared" si="12"/>
        <v>0</v>
      </c>
      <c r="W47" s="1450">
        <f t="shared" si="12"/>
        <v>0</v>
      </c>
      <c r="X47" s="1450">
        <f t="shared" si="12"/>
        <v>0</v>
      </c>
    </row>
    <row r="49" spans="2:24" ht="16.5" thickBot="1">
      <c r="E49" s="1450"/>
    </row>
    <row r="50" spans="2:24" ht="16.5" thickBot="1">
      <c r="B50" s="1435" t="s">
        <v>623</v>
      </c>
      <c r="F50" s="1452">
        <v>3776277000000</v>
      </c>
      <c r="G50" s="1453">
        <v>4611975000000</v>
      </c>
      <c r="H50" s="1453">
        <v>5870134000000</v>
      </c>
      <c r="I50" s="1453">
        <v>7590594000000</v>
      </c>
      <c r="J50" s="1453">
        <v>10213731000000</v>
      </c>
      <c r="K50" s="1453">
        <v>12849794000000</v>
      </c>
      <c r="L50" s="1453">
        <v>16052919000000</v>
      </c>
      <c r="M50" s="1453">
        <v>17007647000000</v>
      </c>
      <c r="N50" s="1453">
        <v>21815517000000</v>
      </c>
      <c r="O50" s="1453">
        <v>27571889000000</v>
      </c>
      <c r="P50" s="1453">
        <v>30346958000000</v>
      </c>
      <c r="Q50" s="1453">
        <v>35275153000000</v>
      </c>
      <c r="R50" s="1454">
        <v>38033064000000</v>
      </c>
      <c r="S50" s="1454">
        <v>37750253000000</v>
      </c>
      <c r="T50" s="1454">
        <v>41942112000000</v>
      </c>
      <c r="U50" s="1454">
        <v>46821938000000</v>
      </c>
      <c r="V50" s="1454">
        <v>51976722000000</v>
      </c>
      <c r="W50" s="1454">
        <v>57478233000000</v>
      </c>
      <c r="X50" s="1455">
        <v>63342113000000</v>
      </c>
    </row>
    <row r="51" spans="2:24">
      <c r="B51" s="1435" t="s">
        <v>151</v>
      </c>
      <c r="F51" s="1456">
        <f t="shared" ref="F51:X51" si="13">(F6/F50)*100</f>
        <v>22.500000000000004</v>
      </c>
      <c r="G51" s="1456">
        <f t="shared" si="13"/>
        <v>25.351395009730105</v>
      </c>
      <c r="H51" s="1456">
        <f t="shared" si="13"/>
        <v>23.628080721837012</v>
      </c>
      <c r="I51" s="1456">
        <f t="shared" si="13"/>
        <v>27.955651428597022</v>
      </c>
      <c r="J51" s="1456">
        <f t="shared" si="13"/>
        <v>27.56093733034481</v>
      </c>
      <c r="K51" s="1456">
        <f t="shared" si="13"/>
        <v>29.31564506014649</v>
      </c>
      <c r="L51" s="1456">
        <f t="shared" si="13"/>
        <v>29.352917061376811</v>
      </c>
      <c r="M51" s="1456">
        <f t="shared" si="13"/>
        <v>22.1429807427212</v>
      </c>
      <c r="N51" s="1456">
        <f t="shared" si="13"/>
        <v>23.992097001414177</v>
      </c>
      <c r="O51" s="1456">
        <f t="shared" si="13"/>
        <v>27.702128062389917</v>
      </c>
      <c r="P51" s="1456">
        <f t="shared" si="13"/>
        <v>26.9219735302629</v>
      </c>
      <c r="Q51" s="1456">
        <f t="shared" si="13"/>
        <v>25.261407087305898</v>
      </c>
      <c r="R51" s="1456">
        <f t="shared" si="13"/>
        <v>24.767922984064601</v>
      </c>
      <c r="S51" s="1456">
        <f t="shared" si="13"/>
        <v>17.989283409570792</v>
      </c>
      <c r="T51" s="1456">
        <f t="shared" si="13"/>
        <v>19.629435923493791</v>
      </c>
      <c r="U51" s="1456">
        <f t="shared" si="13"/>
        <v>21.874361543941216</v>
      </c>
      <c r="V51" s="1456">
        <f t="shared" si="13"/>
        <v>21.898264380735668</v>
      </c>
      <c r="W51" s="1456">
        <f t="shared" si="13"/>
        <v>21.670812322988425</v>
      </c>
      <c r="X51" s="1456">
        <f t="shared" si="13"/>
        <v>22.170084537596654</v>
      </c>
    </row>
    <row r="52" spans="2:24">
      <c r="B52" s="1435" t="s">
        <v>152</v>
      </c>
      <c r="F52" s="1456">
        <f>(F21/F50)*100</f>
        <v>21</v>
      </c>
      <c r="G52" s="1456">
        <f t="shared" ref="G52:W52" si="14">(G21/G50)*100</f>
        <v>22.63672287902688</v>
      </c>
      <c r="H52" s="1456">
        <f t="shared" si="14"/>
        <v>22.093192421161085</v>
      </c>
      <c r="I52" s="1456">
        <f t="shared" si="14"/>
        <v>22.33026822406784</v>
      </c>
      <c r="J52" s="1456">
        <f t="shared" si="14"/>
        <v>20.23746268626029</v>
      </c>
      <c r="K52" s="1456">
        <f t="shared" si="14"/>
        <v>24.171593723603664</v>
      </c>
      <c r="L52" s="1456">
        <f t="shared" si="14"/>
        <v>27.216234007036356</v>
      </c>
      <c r="M52" s="1456">
        <f t="shared" si="14"/>
        <v>23.530591856710103</v>
      </c>
      <c r="N52" s="1456">
        <f t="shared" si="14"/>
        <v>22.529835071064326</v>
      </c>
      <c r="O52" s="1456">
        <f t="shared" si="14"/>
        <v>21.804817218000551</v>
      </c>
      <c r="P52" s="1456">
        <f t="shared" si="14"/>
        <v>22.440469980549615</v>
      </c>
      <c r="Q52" s="1456">
        <f t="shared" si="14"/>
        <v>20.272059486177142</v>
      </c>
      <c r="R52" s="1456">
        <f t="shared" si="14"/>
        <v>22.235915570725513</v>
      </c>
      <c r="S52" s="1456">
        <f t="shared" si="14"/>
        <v>24.813078736187542</v>
      </c>
      <c r="T52" s="1456">
        <f t="shared" si="14"/>
        <v>24.085577760128054</v>
      </c>
      <c r="U52" s="1456">
        <f t="shared" si="14"/>
        <v>28.892439266396874</v>
      </c>
      <c r="V52" s="1456">
        <f t="shared" si="14"/>
        <v>24.189674754787344</v>
      </c>
      <c r="W52" s="1456">
        <f t="shared" si="14"/>
        <v>23.628074996668737</v>
      </c>
      <c r="X52" s="1456">
        <f>(X21/X50)*100</f>
        <v>23.077853433781094</v>
      </c>
    </row>
    <row r="53" spans="2:24">
      <c r="B53" s="1435" t="s">
        <v>3474</v>
      </c>
      <c r="F53" s="1435" t="b">
        <f>IF(F29&lt;0, (F29/F21)*100)</f>
        <v>0</v>
      </c>
      <c r="G53" s="1435" t="b">
        <f t="shared" ref="G53:V53" si="15">IF(G29&lt;0, (G29/G21)*100)</f>
        <v>0</v>
      </c>
      <c r="H53" s="1435" t="b">
        <f t="shared" si="15"/>
        <v>0</v>
      </c>
      <c r="I53" s="1435" t="b">
        <f t="shared" si="15"/>
        <v>0</v>
      </c>
      <c r="J53" s="1435" t="b">
        <f t="shared" si="15"/>
        <v>0</v>
      </c>
      <c r="K53" s="1435" t="b">
        <f t="shared" si="15"/>
        <v>0</v>
      </c>
      <c r="L53" s="1435" t="b">
        <f t="shared" si="15"/>
        <v>0</v>
      </c>
      <c r="M53" s="1435" t="b">
        <f t="shared" si="15"/>
        <v>0</v>
      </c>
      <c r="N53" s="1435" t="b">
        <f t="shared" si="15"/>
        <v>0</v>
      </c>
      <c r="O53" s="1435" t="b">
        <f t="shared" si="15"/>
        <v>0</v>
      </c>
      <c r="P53" s="1435" t="b">
        <f>IF(P29&lt;0, (P29/P21)*100)</f>
        <v>0</v>
      </c>
      <c r="Q53" s="1435" t="b">
        <f t="shared" si="15"/>
        <v>0</v>
      </c>
      <c r="R53" s="1435" t="b">
        <f t="shared" si="15"/>
        <v>0</v>
      </c>
      <c r="S53" s="1435" t="b">
        <f t="shared" si="15"/>
        <v>0</v>
      </c>
      <c r="T53" s="1435" t="b">
        <f t="shared" si="15"/>
        <v>0</v>
      </c>
      <c r="U53" s="1435" t="b">
        <f t="shared" si="15"/>
        <v>0</v>
      </c>
      <c r="V53" s="1435" t="b">
        <f t="shared" si="15"/>
        <v>0</v>
      </c>
      <c r="W53" s="1435"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3475</v>
      </c>
      <c r="B1" s="82" t="s">
        <v>3476</v>
      </c>
      <c r="C1" s="82"/>
      <c r="D1" s="27"/>
      <c r="E1" s="27"/>
      <c r="F1" s="27"/>
      <c r="G1" s="27"/>
      <c r="H1" s="27"/>
      <c r="I1" s="27"/>
      <c r="J1" s="27"/>
      <c r="K1" s="27"/>
      <c r="L1" s="27"/>
      <c r="M1" s="27"/>
      <c r="N1" s="27"/>
      <c r="O1" s="28"/>
      <c r="P1" s="28"/>
      <c r="Q1" s="28"/>
      <c r="R1" s="29"/>
      <c r="S1" s="28"/>
      <c r="T1" s="28"/>
      <c r="U1" s="28"/>
      <c r="V1" s="28"/>
      <c r="W1" s="28"/>
      <c r="X1" s="2"/>
    </row>
    <row r="2" spans="1:24">
      <c r="B2" s="30" t="s">
        <v>3477</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2937</v>
      </c>
      <c r="U5" s="28" t="s">
        <v>32</v>
      </c>
      <c r="V5" s="28" t="s">
        <v>32</v>
      </c>
      <c r="W5" s="28" t="s">
        <v>32</v>
      </c>
      <c r="X5" s="2" t="s">
        <v>32</v>
      </c>
    </row>
    <row r="6" spans="1:24" s="9" customFormat="1">
      <c r="A6" s="8" t="s">
        <v>729</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21">
        <v>1133800000000</v>
      </c>
      <c r="T6" s="721">
        <v>1267500000000</v>
      </c>
      <c r="U6" s="721">
        <v>1558500000000</v>
      </c>
      <c r="V6" s="721">
        <v>1743100000000</v>
      </c>
      <c r="W6" s="721">
        <v>1971200000000</v>
      </c>
      <c r="X6" s="757">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20">
        <v>1106400000000</v>
      </c>
      <c r="T7" s="720">
        <v>1237900000000</v>
      </c>
      <c r="U7" s="720">
        <v>1518500000000</v>
      </c>
      <c r="V7" s="720">
        <v>1691600000000</v>
      </c>
      <c r="W7" s="720">
        <v>1914000000000</v>
      </c>
      <c r="X7" s="758">
        <v>2142800000000.0002</v>
      </c>
    </row>
    <row r="8" spans="1:24">
      <c r="A8" t="s">
        <v>39</v>
      </c>
      <c r="B8" s="58" t="s">
        <v>731</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20">
        <v>958200000000</v>
      </c>
      <c r="T8" s="720">
        <v>1073900000000.0001</v>
      </c>
      <c r="U8" s="720">
        <v>1267300000000</v>
      </c>
      <c r="V8" s="720">
        <v>1430900000000</v>
      </c>
      <c r="W8" s="720">
        <v>1621100000000</v>
      </c>
      <c r="X8" s="758">
        <v>1813500000000</v>
      </c>
    </row>
    <row r="9" spans="1:24">
      <c r="A9" s="20" t="s">
        <v>628</v>
      </c>
      <c r="B9" s="64" t="s">
        <v>3478</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20">
        <v>508600000000</v>
      </c>
      <c r="T9" s="720">
        <v>566000000000</v>
      </c>
      <c r="U9" s="720">
        <v>659800000000</v>
      </c>
      <c r="V9" s="720">
        <v>747300000000</v>
      </c>
      <c r="W9" s="720">
        <v>837400000000</v>
      </c>
      <c r="X9" s="758">
        <v>937600000000</v>
      </c>
    </row>
    <row r="10" spans="1:24">
      <c r="A10" s="715"/>
      <c r="B10" s="695" t="s">
        <v>3479</v>
      </c>
      <c r="C10" s="607"/>
      <c r="D10" s="35"/>
      <c r="E10" s="58"/>
      <c r="F10" s="35"/>
      <c r="G10" s="35"/>
      <c r="H10" s="35"/>
      <c r="I10" s="46"/>
      <c r="J10" s="46"/>
      <c r="K10" s="46"/>
      <c r="L10" s="46"/>
      <c r="M10" s="46"/>
      <c r="N10" s="84"/>
      <c r="O10" s="84"/>
      <c r="P10" s="84"/>
      <c r="Q10" s="46"/>
      <c r="R10" s="135"/>
      <c r="S10" s="720">
        <v>279800000000</v>
      </c>
      <c r="T10" s="720">
        <v>312000000000</v>
      </c>
      <c r="U10" s="720">
        <v>361900000000</v>
      </c>
      <c r="V10" s="720">
        <v>411800000000</v>
      </c>
      <c r="W10" s="720">
        <v>460100000000</v>
      </c>
      <c r="X10" s="758">
        <v>515200000000.00006</v>
      </c>
    </row>
    <row r="11" spans="1:24">
      <c r="A11" s="715"/>
      <c r="B11" s="695" t="s">
        <v>3480</v>
      </c>
      <c r="C11" s="607"/>
      <c r="D11" s="35"/>
      <c r="E11" s="58"/>
      <c r="F11" s="35"/>
      <c r="G11" s="35"/>
      <c r="H11" s="35"/>
      <c r="I11" s="46"/>
      <c r="J11" s="46"/>
      <c r="K11" s="46"/>
      <c r="L11" s="46"/>
      <c r="M11" s="46"/>
      <c r="N11" s="84"/>
      <c r="O11" s="84"/>
      <c r="P11" s="84"/>
      <c r="Q11" s="46"/>
      <c r="R11" s="135"/>
      <c r="S11" s="720">
        <v>228800000000</v>
      </c>
      <c r="T11" s="720">
        <v>254000000000</v>
      </c>
      <c r="U11" s="720">
        <v>297900000000</v>
      </c>
      <c r="V11" s="720">
        <v>335500000000</v>
      </c>
      <c r="W11" s="720">
        <v>377300000000</v>
      </c>
      <c r="X11" s="758">
        <v>422400000000</v>
      </c>
    </row>
    <row r="12" spans="1:24">
      <c r="A12" s="20" t="s">
        <v>3481</v>
      </c>
      <c r="B12" s="20" t="s">
        <v>3482</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20">
        <v>74000000000</v>
      </c>
      <c r="T12" s="720">
        <v>79200000000</v>
      </c>
      <c r="U12" s="720">
        <v>90400000000</v>
      </c>
      <c r="V12" s="720">
        <v>102400000000</v>
      </c>
      <c r="W12" s="720">
        <v>113200000000</v>
      </c>
      <c r="X12" s="758">
        <v>125400000000</v>
      </c>
    </row>
    <row r="13" spans="1:24">
      <c r="A13" s="20" t="s">
        <v>553</v>
      </c>
      <c r="B13" s="64" t="s">
        <v>3483</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20">
        <v>115900000000</v>
      </c>
      <c r="T13" s="720">
        <v>139500000000</v>
      </c>
      <c r="U13" s="720">
        <v>178400000000</v>
      </c>
      <c r="V13" s="720">
        <v>197400000000</v>
      </c>
      <c r="W13" s="720">
        <v>228800000000</v>
      </c>
      <c r="X13" s="758">
        <v>258700000000</v>
      </c>
    </row>
    <row r="14" spans="1:24">
      <c r="A14" s="20" t="s">
        <v>551</v>
      </c>
      <c r="B14" s="64" t="s">
        <v>3484</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20">
        <v>259700000000</v>
      </c>
      <c r="T14" s="720">
        <v>289200000000</v>
      </c>
      <c r="U14" s="720">
        <v>338700000000</v>
      </c>
      <c r="V14" s="720">
        <v>383800000000</v>
      </c>
      <c r="W14" s="720">
        <v>441700000000</v>
      </c>
      <c r="X14" s="758">
        <v>491800000000</v>
      </c>
    </row>
    <row r="15" spans="1:24">
      <c r="A15" s="715"/>
      <c r="B15" s="695" t="s">
        <v>209</v>
      </c>
      <c r="C15" s="607"/>
      <c r="D15" s="35"/>
      <c r="E15" s="58"/>
      <c r="F15" s="35"/>
      <c r="G15" s="35"/>
      <c r="H15" s="35"/>
      <c r="I15" s="46"/>
      <c r="J15" s="46"/>
      <c r="K15" s="46"/>
      <c r="L15" s="46"/>
      <c r="M15" s="46"/>
      <c r="N15" s="84"/>
      <c r="O15" s="84"/>
      <c r="P15" s="84"/>
      <c r="Q15" s="46"/>
      <c r="R15" s="135"/>
      <c r="S15" s="720">
        <v>127900000000</v>
      </c>
      <c r="T15" s="720">
        <v>160400000000</v>
      </c>
      <c r="U15" s="720">
        <v>191200000000</v>
      </c>
      <c r="V15" s="720">
        <v>213200000000</v>
      </c>
      <c r="W15" s="720">
        <v>248500000000</v>
      </c>
      <c r="X15" s="758">
        <v>278200000000</v>
      </c>
    </row>
    <row r="16" spans="1:24">
      <c r="A16" s="715"/>
      <c r="B16" s="695" t="s">
        <v>640</v>
      </c>
      <c r="C16" s="607"/>
      <c r="D16" s="35"/>
      <c r="E16" s="58"/>
      <c r="F16" s="35"/>
      <c r="G16" s="35"/>
      <c r="H16" s="35"/>
      <c r="I16" s="46"/>
      <c r="J16" s="46"/>
      <c r="K16" s="46"/>
      <c r="L16" s="46"/>
      <c r="M16" s="46"/>
      <c r="N16" s="84"/>
      <c r="O16" s="84"/>
      <c r="P16" s="84"/>
      <c r="Q16" s="46"/>
      <c r="R16" s="135"/>
      <c r="S16" s="720">
        <v>131800000000.00002</v>
      </c>
      <c r="T16" s="720">
        <v>128800000000.00002</v>
      </c>
      <c r="U16" s="720">
        <v>147500000000</v>
      </c>
      <c r="V16" s="720">
        <v>170600000000</v>
      </c>
      <c r="W16" s="720">
        <v>193200000000</v>
      </c>
      <c r="X16" s="758">
        <v>213600000000</v>
      </c>
    </row>
    <row r="17" spans="1:24">
      <c r="A17" s="1" t="s">
        <v>51</v>
      </c>
      <c r="B17" s="58" t="s">
        <v>742</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20">
        <v>148200000000</v>
      </c>
      <c r="T17" s="720">
        <v>163900000000</v>
      </c>
      <c r="U17" s="720">
        <v>251200000000</v>
      </c>
      <c r="V17" s="720">
        <v>260600000000.00003</v>
      </c>
      <c r="W17" s="720">
        <v>292900000000</v>
      </c>
      <c r="X17" s="758">
        <v>329300000000</v>
      </c>
    </row>
    <row r="18" spans="1:24">
      <c r="A18" s="64" t="s">
        <v>3485</v>
      </c>
      <c r="B18" s="64" t="s">
        <v>3486</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20">
        <v>13500000000</v>
      </c>
      <c r="T18" s="720">
        <v>19300000000</v>
      </c>
      <c r="U18" s="720">
        <v>31400000000</v>
      </c>
      <c r="V18" s="720">
        <v>17700000000</v>
      </c>
      <c r="W18" s="720">
        <v>19700000000</v>
      </c>
      <c r="X18" s="758">
        <v>22100000000</v>
      </c>
    </row>
    <row r="19" spans="1:24">
      <c r="A19" s="86" t="s">
        <v>649</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20">
        <v>59600000000</v>
      </c>
      <c r="T19" s="720">
        <v>65000000000</v>
      </c>
      <c r="U19" s="720">
        <v>75900000000</v>
      </c>
      <c r="V19" s="720">
        <v>86400000000</v>
      </c>
      <c r="W19" s="720">
        <v>97900000000</v>
      </c>
      <c r="X19" s="758">
        <v>111300000000</v>
      </c>
    </row>
    <row r="20" spans="1:24" ht="15.75">
      <c r="A20" s="291" t="s">
        <v>3487</v>
      </c>
      <c r="B20" s="64" t="s">
        <v>3488</v>
      </c>
      <c r="C20" s="58" t="s">
        <v>192</v>
      </c>
      <c r="D20" s="35"/>
      <c r="E20" s="58"/>
      <c r="F20" s="35"/>
      <c r="G20" s="35"/>
      <c r="H20" s="35"/>
      <c r="I20" s="46"/>
      <c r="J20" s="46"/>
      <c r="K20" s="46"/>
      <c r="L20" s="46"/>
      <c r="M20" s="46"/>
      <c r="N20" s="84"/>
      <c r="O20" s="84"/>
      <c r="P20" s="84">
        <v>16400000000</v>
      </c>
      <c r="Q20" s="87">
        <f>Q17-Q18-Q19-Q21</f>
        <v>18100000000</v>
      </c>
      <c r="R20" s="162">
        <f>R17-R18-R19-R21</f>
        <v>19700000000</v>
      </c>
      <c r="S20" s="763">
        <f t="shared" ref="S20:X20" si="0">S17-S18-S19-S21</f>
        <v>18400000000</v>
      </c>
      <c r="T20" s="763">
        <f t="shared" si="0"/>
        <v>17200000000</v>
      </c>
      <c r="U20" s="763">
        <f t="shared" si="0"/>
        <v>18900000000</v>
      </c>
      <c r="V20" s="763">
        <f t="shared" si="0"/>
        <v>21200000000.000015</v>
      </c>
      <c r="W20" s="763">
        <f t="shared" si="0"/>
        <v>24100000000</v>
      </c>
      <c r="X20" s="763">
        <f t="shared" si="0"/>
        <v>26600000000</v>
      </c>
    </row>
    <row r="21" spans="1:24">
      <c r="A21" s="64" t="s">
        <v>3489</v>
      </c>
      <c r="B21" s="64" t="s">
        <v>3489</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20">
        <v>56700000000</v>
      </c>
      <c r="T21" s="720">
        <v>62400000000</v>
      </c>
      <c r="U21" s="720">
        <v>125000000000</v>
      </c>
      <c r="V21" s="720">
        <v>135300000000.00002</v>
      </c>
      <c r="W21" s="720">
        <v>151200000000</v>
      </c>
      <c r="X21" s="758">
        <v>169300000000</v>
      </c>
    </row>
    <row r="22" spans="1:24">
      <c r="B22" s="65" t="s">
        <v>3490</v>
      </c>
      <c r="C22" s="58"/>
      <c r="D22" s="35"/>
      <c r="E22" s="58"/>
      <c r="F22" s="35"/>
      <c r="G22" s="35"/>
      <c r="H22" s="35"/>
      <c r="I22" s="84"/>
      <c r="J22" s="84"/>
      <c r="K22" s="84"/>
      <c r="L22" s="84"/>
      <c r="M22" s="84"/>
      <c r="N22" s="84"/>
      <c r="O22" s="84" t="s">
        <v>1333</v>
      </c>
      <c r="P22" s="84"/>
      <c r="Q22" s="46">
        <v>0</v>
      </c>
      <c r="R22" s="135">
        <v>19700000000</v>
      </c>
      <c r="S22" s="720">
        <v>18400000000</v>
      </c>
      <c r="T22" s="720">
        <v>17300000000</v>
      </c>
      <c r="U22" s="720">
        <v>18900000000</v>
      </c>
      <c r="V22" s="720">
        <v>21300000000</v>
      </c>
      <c r="W22" s="720">
        <v>24000000000</v>
      </c>
      <c r="X22" s="758">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21">
        <v>27400000000</v>
      </c>
      <c r="T23" s="721">
        <v>29600000000</v>
      </c>
      <c r="U23" s="721">
        <v>40100000000</v>
      </c>
      <c r="V23" s="721">
        <v>51500000000</v>
      </c>
      <c r="W23" s="721">
        <v>57200000000</v>
      </c>
      <c r="X23" s="757">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63">
        <f t="shared" ref="S24:X24" si="1">S23-S26-S27</f>
        <v>1300000000</v>
      </c>
      <c r="T24" s="763">
        <f t="shared" si="1"/>
        <v>1200000000</v>
      </c>
      <c r="U24" s="763">
        <f t="shared" si="1"/>
        <v>999999999.99999619</v>
      </c>
      <c r="V24" s="763">
        <f t="shared" si="1"/>
        <v>500000000</v>
      </c>
      <c r="W24" s="763">
        <f t="shared" si="1"/>
        <v>900000000</v>
      </c>
      <c r="X24" s="763">
        <f t="shared" si="1"/>
        <v>0</v>
      </c>
    </row>
    <row r="25" spans="1:24">
      <c r="A25" s="64" t="s">
        <v>3491</v>
      </c>
      <c r="B25" s="64" t="s">
        <v>3491</v>
      </c>
      <c r="C25" s="14" t="s">
        <v>57</v>
      </c>
      <c r="D25" s="35"/>
      <c r="E25" s="58"/>
      <c r="F25" s="35"/>
      <c r="G25" s="35"/>
      <c r="H25" s="35"/>
      <c r="I25" s="46"/>
      <c r="J25" s="46"/>
      <c r="K25" s="46"/>
      <c r="L25" s="46">
        <f>L23-L26-L27</f>
        <v>400000000</v>
      </c>
      <c r="M25" s="46"/>
      <c r="N25" s="84"/>
      <c r="O25" s="84"/>
      <c r="P25" s="84"/>
      <c r="Q25" s="46"/>
      <c r="R25" s="135"/>
      <c r="S25" s="760"/>
      <c r="T25" s="720"/>
      <c r="U25" s="720"/>
      <c r="V25" s="720"/>
      <c r="W25" s="720"/>
      <c r="X25" s="758"/>
    </row>
    <row r="26" spans="1:24">
      <c r="A26" s="7" t="s">
        <v>564</v>
      </c>
      <c r="B26" s="64" t="s">
        <v>2484</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20">
        <v>22300000000</v>
      </c>
      <c r="T26" s="720">
        <v>24100000000</v>
      </c>
      <c r="U26" s="720">
        <v>32700000000.000004</v>
      </c>
      <c r="V26" s="720">
        <v>44900000000</v>
      </c>
      <c r="W26" s="720">
        <v>50200000000</v>
      </c>
      <c r="X26" s="758">
        <v>56200000000</v>
      </c>
    </row>
    <row r="27" spans="1:24">
      <c r="A27" s="20" t="s">
        <v>1296</v>
      </c>
      <c r="B27" s="64" t="s">
        <v>3492</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20">
        <v>3800000000</v>
      </c>
      <c r="T27" s="720">
        <v>4300000000</v>
      </c>
      <c r="U27" s="720">
        <v>6400000000</v>
      </c>
      <c r="V27" s="720">
        <v>6100000000</v>
      </c>
      <c r="W27" s="720">
        <v>6100000000</v>
      </c>
      <c r="X27" s="758">
        <v>5000000000</v>
      </c>
    </row>
    <row r="28" spans="1:24">
      <c r="B28" t="s">
        <v>3493</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20">
        <v>1640300000000</v>
      </c>
      <c r="T28" s="720">
        <v>1781900000000</v>
      </c>
      <c r="U28" s="720">
        <v>2074600000000</v>
      </c>
      <c r="V28" s="720">
        <v>2252900000000</v>
      </c>
      <c r="W28" s="720">
        <v>2402200000000</v>
      </c>
      <c r="X28" s="758">
        <v>2613900000000</v>
      </c>
    </row>
    <row r="29" spans="1:24" s="9" customFormat="1">
      <c r="A29" s="9" t="s">
        <v>71</v>
      </c>
      <c r="B29" s="9" t="s">
        <v>3493</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63">
        <f>S30+S44+S52+S53</f>
        <v>1640300000000</v>
      </c>
      <c r="T29" s="763">
        <f t="shared" si="2"/>
        <v>1781900000000</v>
      </c>
      <c r="U29" s="763">
        <f t="shared" si="2"/>
        <v>2074600000000</v>
      </c>
      <c r="V29" s="763">
        <f t="shared" si="2"/>
        <v>2252900000000</v>
      </c>
      <c r="W29" s="763">
        <f t="shared" si="2"/>
        <v>2402200000000</v>
      </c>
      <c r="X29" s="763">
        <f t="shared" si="2"/>
        <v>2613900000000</v>
      </c>
    </row>
    <row r="30" spans="1:24">
      <c r="A30" s="1" t="s">
        <v>744</v>
      </c>
      <c r="B30" s="58" t="s">
        <v>2486</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20">
        <v>1126300000000</v>
      </c>
      <c r="T30" s="720">
        <v>1291600000000</v>
      </c>
      <c r="U30" s="720">
        <v>1465900000000</v>
      </c>
      <c r="V30" s="720">
        <v>1621600000000</v>
      </c>
      <c r="W30" s="720">
        <v>1738100000000</v>
      </c>
      <c r="X30" s="758">
        <v>1892700000000</v>
      </c>
    </row>
    <row r="31" spans="1:24">
      <c r="A31" s="20" t="s">
        <v>895</v>
      </c>
      <c r="B31" s="64" t="s">
        <v>3494</v>
      </c>
      <c r="C31" s="11" t="s">
        <v>81</v>
      </c>
      <c r="D31" s="58"/>
      <c r="E31" s="58"/>
      <c r="F31" s="35"/>
      <c r="G31" s="35"/>
      <c r="H31" s="35"/>
      <c r="I31" s="84"/>
      <c r="J31" s="84"/>
      <c r="K31" s="84"/>
      <c r="L31" s="84"/>
      <c r="M31" s="84"/>
      <c r="N31" s="84"/>
      <c r="O31" s="84"/>
      <c r="P31" s="84"/>
      <c r="Q31" s="46">
        <v>0</v>
      </c>
      <c r="R31" s="135">
        <v>169400000000</v>
      </c>
      <c r="S31" s="720">
        <v>229300000000</v>
      </c>
      <c r="T31" s="720">
        <v>264000000000</v>
      </c>
      <c r="U31" s="720">
        <v>284800000000</v>
      </c>
      <c r="V31" s="720">
        <v>304200000000</v>
      </c>
      <c r="W31" s="720">
        <v>328500000000</v>
      </c>
      <c r="X31" s="758">
        <v>354900000000</v>
      </c>
    </row>
    <row r="32" spans="1:24">
      <c r="A32" s="64" t="s">
        <v>750</v>
      </c>
      <c r="B32" s="64" t="s">
        <v>751</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20">
        <v>172900000000</v>
      </c>
      <c r="T32" s="720">
        <v>215300000000</v>
      </c>
      <c r="U32" s="720">
        <v>231000000000</v>
      </c>
      <c r="V32" s="720">
        <v>273899999999.99997</v>
      </c>
      <c r="W32" s="720">
        <v>292500000000</v>
      </c>
      <c r="X32" s="758">
        <v>329600000000</v>
      </c>
    </row>
    <row r="33" spans="1:24">
      <c r="A33" s="42" t="s">
        <v>209</v>
      </c>
      <c r="B33" s="65" t="s">
        <v>3495</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20">
        <v>139600000000</v>
      </c>
      <c r="T33" s="720">
        <v>172900000000</v>
      </c>
      <c r="U33" s="720">
        <v>172600000000</v>
      </c>
      <c r="V33" s="720">
        <v>204600000000</v>
      </c>
      <c r="W33" s="720">
        <v>215200000000</v>
      </c>
      <c r="X33" s="758">
        <v>247200000000</v>
      </c>
    </row>
    <row r="34" spans="1:24">
      <c r="A34" s="42" t="s">
        <v>280</v>
      </c>
      <c r="B34" s="65" t="s">
        <v>3496</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20">
        <v>33299999999.999996</v>
      </c>
      <c r="T34" s="720">
        <v>42500000000</v>
      </c>
      <c r="U34" s="720">
        <v>58400000000</v>
      </c>
      <c r="V34" s="720">
        <v>69300000000</v>
      </c>
      <c r="W34" s="720">
        <v>77300000000</v>
      </c>
      <c r="X34" s="758">
        <v>82400000000</v>
      </c>
    </row>
    <row r="35" spans="1:24">
      <c r="A35" s="20" t="s">
        <v>79</v>
      </c>
      <c r="B35" s="64" t="s">
        <v>3497</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20">
        <v>298000000000</v>
      </c>
      <c r="T35" s="720">
        <v>319300000000</v>
      </c>
      <c r="U35" s="720">
        <v>344800000000</v>
      </c>
      <c r="V35" s="720">
        <v>398800000000</v>
      </c>
      <c r="W35" s="720">
        <v>434700000000</v>
      </c>
      <c r="X35" s="758">
        <v>456400000000</v>
      </c>
    </row>
    <row r="36" spans="1:24">
      <c r="A36" s="64" t="s">
        <v>3498</v>
      </c>
      <c r="B36" s="64" t="s">
        <v>3499</v>
      </c>
      <c r="C36" s="11" t="s">
        <v>81</v>
      </c>
      <c r="D36" s="58"/>
      <c r="E36" s="58"/>
      <c r="F36" s="35"/>
      <c r="G36" s="35"/>
      <c r="H36" s="35"/>
      <c r="I36" s="84"/>
      <c r="J36" s="84"/>
      <c r="K36" s="46">
        <v>1400000000</v>
      </c>
      <c r="L36" s="46">
        <v>800000000</v>
      </c>
      <c r="M36" s="46">
        <v>100000000</v>
      </c>
      <c r="N36" s="84"/>
      <c r="O36" s="84"/>
      <c r="P36" s="84"/>
      <c r="Q36" s="46">
        <v>0</v>
      </c>
      <c r="R36" s="476"/>
      <c r="S36" s="717">
        <v>1000000000</v>
      </c>
      <c r="T36" s="717">
        <v>0</v>
      </c>
      <c r="U36" s="717">
        <v>1500000000</v>
      </c>
      <c r="V36" s="717">
        <v>0</v>
      </c>
      <c r="W36" s="720">
        <v>0</v>
      </c>
      <c r="X36" s="758">
        <v>0</v>
      </c>
    </row>
    <row r="37" spans="1:24">
      <c r="A37" s="695" t="s">
        <v>3500</v>
      </c>
      <c r="B37" s="64" t="s">
        <v>3501</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20">
        <v>38200000000</v>
      </c>
      <c r="T37" s="720">
        <v>53400000000</v>
      </c>
      <c r="U37" s="720">
        <v>60200000000</v>
      </c>
      <c r="V37" s="720">
        <v>76600000000</v>
      </c>
      <c r="W37" s="720">
        <v>86400000000</v>
      </c>
      <c r="X37" s="758">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20">
        <v>293100000000</v>
      </c>
      <c r="T38" s="720">
        <v>325800000000</v>
      </c>
      <c r="U38" s="720">
        <v>418500000000</v>
      </c>
      <c r="V38" s="720">
        <v>442500000000</v>
      </c>
      <c r="W38" s="720">
        <v>466400000000</v>
      </c>
      <c r="X38" s="758">
        <v>518500000000</v>
      </c>
    </row>
    <row r="39" spans="1:24">
      <c r="A39" s="64" t="s">
        <v>3502</v>
      </c>
      <c r="B39" s="65" t="s">
        <v>3503</v>
      </c>
      <c r="C39" s="58" t="s">
        <v>3504</v>
      </c>
      <c r="D39" s="58"/>
      <c r="E39" s="58"/>
      <c r="F39" s="35"/>
      <c r="G39" s="35"/>
      <c r="H39" s="35"/>
      <c r="I39" s="84"/>
      <c r="J39" s="84"/>
      <c r="K39" s="84"/>
      <c r="L39" s="84"/>
      <c r="M39" s="84"/>
      <c r="N39" s="84"/>
      <c r="O39" s="84"/>
      <c r="P39" s="84"/>
      <c r="Q39" s="46">
        <v>30100000000</v>
      </c>
      <c r="R39" s="135"/>
      <c r="S39" s="720"/>
      <c r="T39" s="720"/>
      <c r="U39" s="720"/>
      <c r="V39" s="720"/>
      <c r="W39" s="720"/>
      <c r="X39" s="758"/>
    </row>
    <row r="40" spans="1:24" ht="16.5">
      <c r="A40" s="13" t="s">
        <v>3505</v>
      </c>
      <c r="B40" s="65" t="s">
        <v>3506</v>
      </c>
      <c r="C40" s="58" t="s">
        <v>3504</v>
      </c>
      <c r="D40" s="58"/>
      <c r="E40" s="58"/>
      <c r="F40" s="35"/>
      <c r="G40" s="35"/>
      <c r="H40" s="35"/>
      <c r="I40" s="84"/>
      <c r="J40" s="84"/>
      <c r="K40" s="84"/>
      <c r="L40" s="84"/>
      <c r="M40" s="84"/>
      <c r="N40" s="84"/>
      <c r="O40" s="84"/>
      <c r="P40" s="84"/>
      <c r="Q40" s="46"/>
      <c r="R40" s="135"/>
      <c r="S40" s="720"/>
      <c r="T40" s="720"/>
      <c r="U40" s="720"/>
      <c r="V40" s="720"/>
      <c r="W40" s="720"/>
      <c r="X40" s="758"/>
    </row>
    <row r="41" spans="1:24">
      <c r="A41" s="64" t="s">
        <v>3507</v>
      </c>
      <c r="B41" s="65" t="s">
        <v>3508</v>
      </c>
      <c r="C41" s="58" t="s">
        <v>3504</v>
      </c>
      <c r="D41" s="58"/>
      <c r="E41" s="58"/>
      <c r="F41" s="35"/>
      <c r="G41" s="35"/>
      <c r="H41" s="35"/>
      <c r="I41" s="84"/>
      <c r="J41" s="84"/>
      <c r="K41" s="84"/>
      <c r="L41" s="84"/>
      <c r="M41" s="84"/>
      <c r="N41" s="84"/>
      <c r="O41" s="84"/>
      <c r="P41" s="84"/>
      <c r="Q41" s="46">
        <v>88200000000</v>
      </c>
      <c r="R41" s="135"/>
      <c r="S41" s="720"/>
      <c r="T41" s="720"/>
      <c r="U41" s="720"/>
      <c r="V41" s="720"/>
      <c r="W41" s="720"/>
      <c r="X41" s="758"/>
    </row>
    <row r="42" spans="1:24">
      <c r="A42" s="64" t="s">
        <v>50</v>
      </c>
      <c r="B42" s="65" t="s">
        <v>50</v>
      </c>
      <c r="C42" s="58" t="s">
        <v>3504</v>
      </c>
      <c r="D42" s="58"/>
      <c r="E42" s="58"/>
      <c r="F42" s="35"/>
      <c r="G42" s="35"/>
      <c r="H42" s="35"/>
      <c r="I42" s="84"/>
      <c r="J42" s="84"/>
      <c r="K42" s="84"/>
      <c r="L42" s="84"/>
      <c r="M42" s="84"/>
      <c r="N42" s="84"/>
      <c r="O42" s="84"/>
      <c r="P42" s="84"/>
      <c r="Q42" s="162">
        <f>Q38-Q39-Q41</f>
        <v>176200000000</v>
      </c>
      <c r="R42" s="135"/>
      <c r="S42" s="759"/>
      <c r="T42" s="759"/>
      <c r="U42" s="759"/>
      <c r="V42" s="759"/>
      <c r="W42" s="759"/>
      <c r="X42" s="759"/>
    </row>
    <row r="43" spans="1:24">
      <c r="A43" s="64" t="s">
        <v>3509</v>
      </c>
      <c r="B43" s="64" t="s">
        <v>3510</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20">
        <v>93700000000</v>
      </c>
      <c r="T43" s="720">
        <v>113700000000</v>
      </c>
      <c r="U43" s="720">
        <v>125200000000</v>
      </c>
      <c r="V43" s="720">
        <v>125600000000</v>
      </c>
      <c r="W43" s="720">
        <v>129500000000</v>
      </c>
      <c r="X43" s="758">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64">
        <f>S46+S48</f>
        <v>506400000000</v>
      </c>
      <c r="T44" s="764">
        <f t="shared" ref="T44:X44" si="4">T46+T48</f>
        <v>476800000000</v>
      </c>
      <c r="U44" s="764">
        <f t="shared" si="4"/>
        <v>595500000000</v>
      </c>
      <c r="V44" s="764">
        <f t="shared" si="4"/>
        <v>613000000000</v>
      </c>
      <c r="W44" s="764">
        <f t="shared" si="4"/>
        <v>644100000000</v>
      </c>
      <c r="X44" s="764">
        <f t="shared" si="4"/>
        <v>699100000000</v>
      </c>
    </row>
    <row r="45" spans="1:24">
      <c r="B45" s="58" t="s">
        <v>3511</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20">
        <v>508600000000</v>
      </c>
      <c r="T45" s="720">
        <v>479000000000</v>
      </c>
      <c r="U45" s="720">
        <v>597700000000</v>
      </c>
      <c r="V45" s="720">
        <v>618500000000</v>
      </c>
      <c r="W45" s="720">
        <v>650300000000</v>
      </c>
      <c r="X45" s="720">
        <v>706100000000</v>
      </c>
    </row>
    <row r="46" spans="1:24">
      <c r="A46" s="13" t="s">
        <v>239</v>
      </c>
      <c r="B46" s="64" t="s">
        <v>3512</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61">
        <v>266000000000</v>
      </c>
      <c r="T46" s="761">
        <v>301300000000</v>
      </c>
      <c r="U46" s="761">
        <v>400800000000</v>
      </c>
      <c r="V46" s="761">
        <v>365400000000</v>
      </c>
      <c r="W46" s="761">
        <v>412000000000</v>
      </c>
      <c r="X46" s="758">
        <v>433800000000</v>
      </c>
    </row>
    <row r="47" spans="1:24">
      <c r="B47" s="65" t="s">
        <v>3513</v>
      </c>
      <c r="C47" s="58"/>
      <c r="D47" s="58"/>
      <c r="E47" s="58"/>
      <c r="F47" s="35"/>
      <c r="G47" s="35"/>
      <c r="H47" s="35"/>
      <c r="I47" s="84"/>
      <c r="J47" s="84"/>
      <c r="K47" s="84"/>
      <c r="L47" s="84"/>
      <c r="M47" s="84"/>
      <c r="N47" s="84"/>
      <c r="O47" s="84"/>
      <c r="P47" s="84"/>
      <c r="Q47" s="46" t="s">
        <v>3514</v>
      </c>
      <c r="R47" s="135"/>
      <c r="S47" s="720"/>
      <c r="T47" s="720"/>
      <c r="U47" s="720"/>
      <c r="V47" s="720"/>
      <c r="W47" s="720"/>
      <c r="X47" s="758"/>
    </row>
    <row r="48" spans="1:24">
      <c r="A48" s="13" t="s">
        <v>395</v>
      </c>
      <c r="B48" s="64" t="s">
        <v>3515</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20">
        <v>240400000000</v>
      </c>
      <c r="T48" s="720">
        <v>175500000000</v>
      </c>
      <c r="U48" s="720">
        <v>194700000000</v>
      </c>
      <c r="V48" s="720">
        <v>247600000000</v>
      </c>
      <c r="W48" s="720">
        <v>232100000000</v>
      </c>
      <c r="X48" s="758">
        <v>265300000000</v>
      </c>
    </row>
    <row r="49" spans="1:24" ht="16.5">
      <c r="A49" s="466" t="s">
        <v>3516</v>
      </c>
      <c r="B49" s="13" t="s">
        <v>3517</v>
      </c>
      <c r="C49" s="11" t="s">
        <v>3518</v>
      </c>
      <c r="D49" s="58"/>
      <c r="E49" s="58"/>
      <c r="F49" s="35"/>
      <c r="G49" s="35"/>
      <c r="H49" s="35"/>
      <c r="I49" s="46"/>
      <c r="J49" s="46"/>
      <c r="K49" s="46"/>
      <c r="L49" s="46"/>
      <c r="M49" s="46"/>
      <c r="N49" s="84"/>
      <c r="O49" s="84"/>
      <c r="P49" s="84"/>
      <c r="Q49" s="46"/>
      <c r="R49" s="135"/>
      <c r="S49" s="720">
        <v>123500000000</v>
      </c>
      <c r="T49" s="720">
        <v>52400000000</v>
      </c>
      <c r="U49" s="720">
        <v>73600000000</v>
      </c>
      <c r="V49" s="720">
        <v>72000000000</v>
      </c>
      <c r="W49" s="720"/>
      <c r="X49" s="758"/>
    </row>
    <row r="50" spans="1:24">
      <c r="A50" s="99" t="s">
        <v>50</v>
      </c>
      <c r="B50" s="99" t="s">
        <v>50</v>
      </c>
      <c r="C50" s="11" t="s">
        <v>3518</v>
      </c>
      <c r="D50" s="58"/>
      <c r="E50" s="58"/>
      <c r="F50" s="35"/>
      <c r="G50" s="35"/>
      <c r="H50" s="35"/>
      <c r="I50" s="46"/>
      <c r="J50" s="46"/>
      <c r="K50" s="46"/>
      <c r="L50" s="46"/>
      <c r="M50" s="46"/>
      <c r="N50" s="84"/>
      <c r="O50" s="84"/>
      <c r="P50" s="84"/>
      <c r="Q50" s="46"/>
      <c r="R50" s="135"/>
      <c r="S50" s="2654">
        <f>S48-S49</f>
        <v>116900000000</v>
      </c>
      <c r="T50" s="2654">
        <f t="shared" ref="T50:V50" si="5">T48-T49</f>
        <v>123100000000</v>
      </c>
      <c r="U50" s="2654">
        <f t="shared" si="5"/>
        <v>121100000000</v>
      </c>
      <c r="V50" s="2654">
        <f t="shared" si="5"/>
        <v>175600000000</v>
      </c>
      <c r="W50" s="2654"/>
      <c r="X50" s="2654"/>
    </row>
    <row r="51" spans="1:24">
      <c r="A51" s="64" t="s">
        <v>3519</v>
      </c>
      <c r="B51" s="64" t="s">
        <v>3520</v>
      </c>
      <c r="C51" s="11" t="s">
        <v>95</v>
      </c>
      <c r="D51" s="58"/>
      <c r="E51" s="58"/>
      <c r="F51" s="35"/>
      <c r="G51" s="35"/>
      <c r="H51" s="35"/>
      <c r="I51" s="46"/>
      <c r="J51" s="87"/>
      <c r="K51" s="87"/>
      <c r="L51" s="46"/>
      <c r="M51" s="46"/>
      <c r="N51" s="84"/>
      <c r="O51" s="84"/>
      <c r="P51" s="84"/>
      <c r="Q51" s="46"/>
      <c r="R51" s="135"/>
      <c r="S51" s="720"/>
      <c r="T51" s="720"/>
      <c r="U51" s="720"/>
      <c r="V51" s="720"/>
      <c r="W51" s="720"/>
      <c r="X51" s="758"/>
    </row>
    <row r="52" spans="1:24">
      <c r="A52" s="58" t="s">
        <v>244</v>
      </c>
      <c r="B52" s="58" t="s">
        <v>3521</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61"/>
      <c r="T52" s="761"/>
      <c r="U52" s="761"/>
      <c r="V52" s="761"/>
      <c r="W52" s="761"/>
      <c r="X52" s="758"/>
    </row>
    <row r="53" spans="1:24">
      <c r="A53" s="58" t="s">
        <v>760</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63">
        <f>S28-S30-S52-S44</f>
        <v>7600000000</v>
      </c>
      <c r="T53" s="763">
        <f t="shared" ref="T53:X53" si="7">T28-T30-T52-T44</f>
        <v>13500000000</v>
      </c>
      <c r="U53" s="763">
        <f t="shared" si="7"/>
        <v>13200000000</v>
      </c>
      <c r="V53" s="763">
        <f t="shared" si="7"/>
        <v>18300000000</v>
      </c>
      <c r="W53" s="763">
        <f t="shared" si="7"/>
        <v>20000000000</v>
      </c>
      <c r="X53" s="763">
        <f t="shared" si="7"/>
        <v>22100000000</v>
      </c>
    </row>
    <row r="54" spans="1:24">
      <c r="A54" s="64" t="s">
        <v>3522</v>
      </c>
      <c r="B54" s="64" t="s">
        <v>3523</v>
      </c>
      <c r="C54" s="58" t="s">
        <v>401</v>
      </c>
      <c r="D54" s="58"/>
      <c r="E54" s="58"/>
      <c r="F54" s="35"/>
      <c r="G54" s="35"/>
      <c r="H54" s="35"/>
      <c r="I54" s="46">
        <v>0</v>
      </c>
      <c r="J54" s="46">
        <v>12600000000</v>
      </c>
      <c r="K54" s="46">
        <v>0</v>
      </c>
      <c r="L54" s="46">
        <v>0</v>
      </c>
      <c r="M54" s="46">
        <v>0</v>
      </c>
      <c r="N54" s="84">
        <v>6200000000</v>
      </c>
      <c r="O54" s="84">
        <v>8400000000</v>
      </c>
      <c r="P54" s="84">
        <v>4900000000</v>
      </c>
      <c r="Q54" s="46"/>
      <c r="R54" s="135"/>
      <c r="S54" s="760"/>
      <c r="T54" s="720"/>
      <c r="U54" s="720"/>
      <c r="V54" s="720"/>
      <c r="W54" s="720"/>
      <c r="X54" s="758"/>
    </row>
    <row r="55" spans="1:24">
      <c r="A55" s="64" t="s">
        <v>3524</v>
      </c>
      <c r="B55" s="64" t="s">
        <v>3524</v>
      </c>
      <c r="C55" s="58" t="s">
        <v>401</v>
      </c>
      <c r="D55" s="58"/>
      <c r="E55" s="58"/>
      <c r="F55" s="35"/>
      <c r="G55" s="35"/>
      <c r="H55" s="35"/>
      <c r="I55" s="46"/>
      <c r="J55" s="46"/>
      <c r="K55" s="46"/>
      <c r="L55" s="46"/>
      <c r="M55" s="46"/>
      <c r="N55" s="84">
        <v>0</v>
      </c>
      <c r="O55" s="84">
        <v>5600000000</v>
      </c>
      <c r="P55" s="84">
        <v>0</v>
      </c>
      <c r="Q55" s="46"/>
      <c r="R55" s="135"/>
      <c r="S55" s="720"/>
      <c r="T55" s="720"/>
      <c r="U55" s="720"/>
      <c r="V55" s="720"/>
      <c r="W55" s="720"/>
      <c r="X55" s="758"/>
    </row>
    <row r="56" spans="1:24">
      <c r="B56" s="58" t="s">
        <v>3525</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20"/>
      <c r="T56" s="720"/>
      <c r="U56" s="720"/>
      <c r="V56" s="720"/>
      <c r="W56" s="720"/>
      <c r="X56" s="720"/>
    </row>
    <row r="57" spans="1:24">
      <c r="A57" s="607" t="s">
        <v>913</v>
      </c>
      <c r="B57" s="58" t="s">
        <v>3526</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20">
        <v>-489600000000</v>
      </c>
      <c r="T57" s="720">
        <v>-492100000000</v>
      </c>
      <c r="U57" s="720">
        <v>-516100000000</v>
      </c>
      <c r="V57" s="720">
        <v>-509800000000</v>
      </c>
      <c r="W57" s="720">
        <v>-431000000000</v>
      </c>
      <c r="X57" s="720">
        <v>-409900000000</v>
      </c>
    </row>
    <row r="58" spans="1:24">
      <c r="B58" s="58" t="s">
        <v>3527</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20">
        <v>16899999999.999998</v>
      </c>
      <c r="T58" s="720">
        <v>22400000000</v>
      </c>
      <c r="U58" s="720">
        <v>0</v>
      </c>
      <c r="V58" s="720">
        <v>0</v>
      </c>
      <c r="W58" s="720">
        <v>0</v>
      </c>
      <c r="X58" s="720">
        <v>0</v>
      </c>
    </row>
    <row r="59" spans="1:24">
      <c r="B59" s="58" t="s">
        <v>3528</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20"/>
      <c r="T59" s="720"/>
      <c r="U59" s="720"/>
      <c r="V59" s="720"/>
      <c r="W59" s="720"/>
      <c r="X59" s="720"/>
    </row>
    <row r="60" spans="1:24">
      <c r="A60" s="607"/>
      <c r="B60" s="633" t="s">
        <v>3529</v>
      </c>
      <c r="C60" s="633"/>
      <c r="D60" s="58"/>
      <c r="E60" s="58"/>
      <c r="F60" s="35"/>
      <c r="G60" s="35"/>
      <c r="H60" s="35"/>
      <c r="I60" s="46"/>
      <c r="J60" s="46"/>
      <c r="K60" s="46"/>
      <c r="L60" s="46"/>
      <c r="M60" s="46"/>
      <c r="N60" s="84"/>
      <c r="O60" s="84"/>
      <c r="P60" s="84"/>
      <c r="Q60" s="46"/>
      <c r="R60" s="315"/>
      <c r="S60" s="720">
        <v>0</v>
      </c>
      <c r="T60" s="720">
        <v>0</v>
      </c>
      <c r="U60" s="720">
        <v>0</v>
      </c>
      <c r="V60" s="720">
        <v>24300000000</v>
      </c>
      <c r="W60" s="720">
        <v>91900000000</v>
      </c>
      <c r="X60" s="720">
        <v>61800000000</v>
      </c>
    </row>
    <row r="61" spans="1:24">
      <c r="A61" s="607"/>
      <c r="B61" s="633" t="s">
        <v>3530</v>
      </c>
      <c r="C61" s="633"/>
      <c r="D61" s="58"/>
      <c r="E61" s="58"/>
      <c r="F61" s="35"/>
      <c r="G61" s="35"/>
      <c r="H61" s="35"/>
      <c r="I61" s="46"/>
      <c r="J61" s="46"/>
      <c r="K61" s="46"/>
      <c r="L61" s="46"/>
      <c r="M61" s="46"/>
      <c r="N61" s="84"/>
      <c r="O61" s="84"/>
      <c r="P61" s="84"/>
      <c r="Q61" s="46"/>
      <c r="R61" s="315"/>
      <c r="S61" s="720">
        <v>-489600000000</v>
      </c>
      <c r="T61" s="720">
        <v>-492100000000</v>
      </c>
      <c r="U61" s="720">
        <v>-516100000000</v>
      </c>
      <c r="V61" s="720">
        <v>-485500000000</v>
      </c>
      <c r="W61" s="720">
        <v>-339000000000</v>
      </c>
      <c r="X61" s="720">
        <v>-348100000000</v>
      </c>
    </row>
    <row r="62" spans="1:24">
      <c r="A62" s="607"/>
      <c r="B62" s="633" t="s">
        <v>3531</v>
      </c>
      <c r="C62" s="633"/>
      <c r="D62" s="58"/>
      <c r="E62" s="58"/>
      <c r="F62" s="35"/>
      <c r="G62" s="35"/>
      <c r="H62" s="35"/>
      <c r="I62" s="46"/>
      <c r="J62" s="46"/>
      <c r="K62" s="46"/>
      <c r="L62" s="46"/>
      <c r="M62" s="46"/>
      <c r="N62" s="84"/>
      <c r="O62" s="84"/>
      <c r="P62" s="84"/>
      <c r="Q62" s="46"/>
      <c r="R62" s="315"/>
      <c r="S62" s="720">
        <v>-366100000000</v>
      </c>
      <c r="T62" s="720">
        <v>-439700000000</v>
      </c>
      <c r="U62" s="720">
        <v>-442500000000</v>
      </c>
      <c r="V62" s="720">
        <v>-413500000000</v>
      </c>
      <c r="W62" s="720">
        <v>-339000000000</v>
      </c>
      <c r="X62" s="720">
        <v>-348100000000</v>
      </c>
    </row>
    <row r="63" spans="1:24">
      <c r="A63" s="607"/>
      <c r="B63" s="633" t="s">
        <v>3532</v>
      </c>
      <c r="C63" s="633"/>
      <c r="D63" s="58"/>
      <c r="E63" s="58"/>
      <c r="F63" s="35"/>
      <c r="G63" s="35"/>
      <c r="H63" s="35"/>
      <c r="I63" s="46"/>
      <c r="J63" s="46"/>
      <c r="K63" s="46"/>
      <c r="L63" s="46"/>
      <c r="M63" s="46"/>
      <c r="N63" s="84"/>
      <c r="O63" s="84"/>
      <c r="P63" s="84"/>
      <c r="Q63" s="46"/>
      <c r="R63" s="315"/>
      <c r="S63" s="720">
        <v>19100000000</v>
      </c>
      <c r="T63" s="720">
        <v>-17500000000</v>
      </c>
      <c r="U63" s="720">
        <v>0</v>
      </c>
      <c r="V63" s="720">
        <v>0</v>
      </c>
      <c r="W63" s="720">
        <v>0</v>
      </c>
      <c r="X63" s="720">
        <v>0</v>
      </c>
    </row>
    <row r="64" spans="1:24" s="9" customFormat="1">
      <c r="A64" s="18" t="s">
        <v>115</v>
      </c>
      <c r="B64" s="8" t="s">
        <v>592</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17">
        <v>309100000000</v>
      </c>
      <c r="S64" s="762">
        <v>470500000000</v>
      </c>
      <c r="T64" s="762">
        <v>474600000000</v>
      </c>
      <c r="U64" s="762">
        <v>516100000000</v>
      </c>
      <c r="V64" s="762">
        <v>485500000000</v>
      </c>
      <c r="W64" s="762">
        <v>339000000000</v>
      </c>
      <c r="X64" s="762">
        <v>348100000000</v>
      </c>
    </row>
    <row r="65" spans="1:24">
      <c r="A65" t="s">
        <v>117</v>
      </c>
      <c r="B65" s="58" t="s">
        <v>3533</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61">
        <v>216500000000</v>
      </c>
      <c r="T65" s="761">
        <v>269899999999.99997</v>
      </c>
      <c r="U65" s="761">
        <v>194100000000</v>
      </c>
      <c r="V65" s="761">
        <v>238500000000</v>
      </c>
      <c r="W65" s="761">
        <v>102000000000</v>
      </c>
      <c r="X65" s="758">
        <v>158500000000</v>
      </c>
    </row>
    <row r="66" spans="1:24">
      <c r="A66" s="13" t="s">
        <v>498</v>
      </c>
      <c r="B66" s="64" t="s">
        <v>415</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61">
        <v>296700000000</v>
      </c>
      <c r="T66" s="761">
        <v>305000000000</v>
      </c>
      <c r="U66" s="761">
        <v>323100000000</v>
      </c>
      <c r="V66" s="761">
        <v>302700000000</v>
      </c>
      <c r="W66" s="761">
        <v>251900000000</v>
      </c>
      <c r="X66" s="758">
        <v>234700000000</v>
      </c>
    </row>
    <row r="67" spans="1:24">
      <c r="A67" s="20" t="s">
        <v>1253</v>
      </c>
      <c r="B67" s="64" t="s">
        <v>2509</v>
      </c>
      <c r="C67" s="11" t="s">
        <v>499</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61">
        <v>94700000000</v>
      </c>
      <c r="T67" s="761">
        <v>99000000000</v>
      </c>
      <c r="U67" s="761">
        <v>88500000000</v>
      </c>
      <c r="V67" s="761">
        <v>130699999999.99998</v>
      </c>
      <c r="W67" s="761">
        <v>181900000000</v>
      </c>
      <c r="X67" s="758">
        <v>209200000000</v>
      </c>
    </row>
    <row r="68" spans="1:24">
      <c r="A68" s="64" t="s">
        <v>3534</v>
      </c>
      <c r="B68" s="64" t="s">
        <v>3535</v>
      </c>
      <c r="C68" s="11" t="s">
        <v>499</v>
      </c>
      <c r="D68" s="58"/>
      <c r="E68" s="35"/>
      <c r="F68" s="35"/>
      <c r="G68" s="35"/>
      <c r="H68" s="35"/>
      <c r="I68" s="46">
        <v>0</v>
      </c>
      <c r="J68" s="46">
        <v>1600000000</v>
      </c>
      <c r="K68" s="46">
        <v>0</v>
      </c>
      <c r="L68" s="46">
        <v>1300000000</v>
      </c>
      <c r="M68" s="46">
        <v>0</v>
      </c>
      <c r="N68" s="84"/>
      <c r="O68" s="84"/>
      <c r="P68" s="84"/>
      <c r="Q68" s="46">
        <v>0</v>
      </c>
      <c r="R68" s="210">
        <v>0</v>
      </c>
      <c r="S68" s="761">
        <v>3500000000</v>
      </c>
      <c r="T68" s="761">
        <v>8600000000</v>
      </c>
      <c r="U68" s="761">
        <v>7400000000</v>
      </c>
      <c r="V68" s="761">
        <v>0</v>
      </c>
      <c r="W68" s="761">
        <v>0</v>
      </c>
      <c r="X68" s="758">
        <v>0</v>
      </c>
    </row>
    <row r="69" spans="1:24">
      <c r="A69" s="64" t="s">
        <v>3536</v>
      </c>
      <c r="B69" s="64" t="s">
        <v>3537</v>
      </c>
      <c r="C69" s="11" t="s">
        <v>499</v>
      </c>
      <c r="D69" s="58"/>
      <c r="E69" s="35"/>
      <c r="F69" s="35"/>
      <c r="G69" s="35"/>
      <c r="H69" s="35"/>
      <c r="I69" s="46">
        <v>0</v>
      </c>
      <c r="J69" s="46">
        <v>0</v>
      </c>
      <c r="K69" s="84">
        <v>0</v>
      </c>
      <c r="L69" s="84">
        <v>0</v>
      </c>
      <c r="M69" s="84">
        <v>0</v>
      </c>
      <c r="N69" s="84">
        <v>0</v>
      </c>
      <c r="O69" s="84">
        <v>0</v>
      </c>
      <c r="P69" s="84">
        <v>51300000000</v>
      </c>
      <c r="Q69" s="46">
        <v>6600000000</v>
      </c>
      <c r="R69" s="210">
        <v>176000000000</v>
      </c>
      <c r="S69" s="761">
        <v>75000000000</v>
      </c>
      <c r="T69" s="761">
        <v>145000000000</v>
      </c>
      <c r="U69" s="761">
        <v>153700000000</v>
      </c>
      <c r="V69" s="761">
        <v>100000000000</v>
      </c>
      <c r="W69" s="761">
        <v>70000000000</v>
      </c>
      <c r="X69" s="758">
        <v>25500000000</v>
      </c>
    </row>
    <row r="70" spans="1:24">
      <c r="A70" s="64" t="s">
        <v>3538</v>
      </c>
      <c r="B70" s="64" t="s">
        <v>3538</v>
      </c>
      <c r="C70" s="11" t="s">
        <v>499</v>
      </c>
      <c r="D70" s="58"/>
      <c r="E70" s="35"/>
      <c r="F70" s="35"/>
      <c r="G70" s="35"/>
      <c r="H70" s="35"/>
      <c r="I70" s="84"/>
      <c r="J70" s="84"/>
      <c r="K70" s="84"/>
      <c r="L70" s="84"/>
      <c r="M70" s="84"/>
      <c r="N70" s="84"/>
      <c r="O70" s="84"/>
      <c r="P70" s="84"/>
      <c r="Q70" s="46">
        <v>0</v>
      </c>
      <c r="R70" s="210">
        <v>0</v>
      </c>
      <c r="S70" s="761"/>
      <c r="T70" s="761"/>
      <c r="U70" s="761"/>
      <c r="V70" s="761"/>
      <c r="W70" s="761"/>
      <c r="X70" s="758"/>
    </row>
    <row r="71" spans="1:24">
      <c r="A71" s="695" t="s">
        <v>3539</v>
      </c>
      <c r="B71" s="695" t="s">
        <v>3539</v>
      </c>
      <c r="C71" s="620" t="s">
        <v>499</v>
      </c>
      <c r="D71" s="58"/>
      <c r="E71" s="35"/>
      <c r="F71" s="35"/>
      <c r="G71" s="35"/>
      <c r="H71" s="35"/>
      <c r="I71" s="84"/>
      <c r="J71" s="84"/>
      <c r="K71" s="84"/>
      <c r="L71" s="84"/>
      <c r="M71" s="84"/>
      <c r="N71" s="84"/>
      <c r="O71" s="84"/>
      <c r="P71" s="84"/>
      <c r="Q71" s="46"/>
      <c r="R71" s="210"/>
      <c r="S71" s="761">
        <v>123500000000</v>
      </c>
      <c r="T71" s="761">
        <v>52400000000</v>
      </c>
      <c r="U71" s="761">
        <v>73600000000</v>
      </c>
      <c r="V71" s="761">
        <v>72000000000</v>
      </c>
      <c r="W71" s="761">
        <v>0</v>
      </c>
      <c r="X71" s="758">
        <v>0</v>
      </c>
    </row>
    <row r="72" spans="1:24">
      <c r="A72" s="64" t="s">
        <v>3540</v>
      </c>
      <c r="B72" s="64" t="s">
        <v>3541</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61">
        <v>-80200000000</v>
      </c>
      <c r="T72" s="761">
        <v>-35100000000</v>
      </c>
      <c r="U72" s="761">
        <v>-129000000000</v>
      </c>
      <c r="V72" s="761">
        <v>-64200000000</v>
      </c>
      <c r="W72" s="761">
        <v>-149900000000</v>
      </c>
      <c r="X72" s="758">
        <v>-76100000000</v>
      </c>
    </row>
    <row r="73" spans="1:24">
      <c r="A73" s="64" t="s">
        <v>3542</v>
      </c>
      <c r="B73" s="64" t="s">
        <v>3542</v>
      </c>
      <c r="C73" s="58" t="s">
        <v>264</v>
      </c>
      <c r="D73" s="58"/>
      <c r="E73" s="35"/>
      <c r="F73" s="35"/>
      <c r="G73" s="35"/>
      <c r="H73" s="35"/>
      <c r="I73" s="84">
        <v>14800000000</v>
      </c>
      <c r="J73" s="46">
        <v>25300000000</v>
      </c>
      <c r="K73" s="84"/>
      <c r="L73" s="84"/>
      <c r="M73" s="84"/>
      <c r="N73" s="84"/>
      <c r="O73" s="84"/>
      <c r="P73" s="84"/>
      <c r="Q73" s="46"/>
      <c r="R73" s="135"/>
      <c r="S73" s="720"/>
      <c r="T73" s="720"/>
      <c r="U73" s="720"/>
      <c r="V73" s="720"/>
      <c r="W73" s="720"/>
      <c r="X73" s="758"/>
    </row>
    <row r="74" spans="1:24">
      <c r="A74" s="86" t="s">
        <v>3543</v>
      </c>
      <c r="B74" s="64" t="s">
        <v>3544</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61"/>
      <c r="T74" s="761"/>
      <c r="U74" s="761"/>
      <c r="V74" s="761"/>
      <c r="W74" s="761"/>
      <c r="X74" s="758"/>
    </row>
    <row r="75" spans="1:24">
      <c r="A75" s="64" t="s">
        <v>3545</v>
      </c>
      <c r="B75" s="88" t="s">
        <v>3545</v>
      </c>
      <c r="C75" s="58" t="s">
        <v>264</v>
      </c>
      <c r="D75" s="58"/>
      <c r="E75" s="35"/>
      <c r="F75" s="35"/>
      <c r="G75" s="35"/>
      <c r="H75" s="35"/>
      <c r="I75" s="84"/>
      <c r="J75" s="84">
        <f>J65-J66-J72-J73</f>
        <v>-7000000000</v>
      </c>
      <c r="K75" s="84"/>
      <c r="L75" s="84"/>
      <c r="M75" s="84"/>
      <c r="N75" s="84"/>
      <c r="O75" s="84"/>
      <c r="P75" s="84"/>
      <c r="Q75" s="46"/>
      <c r="R75" s="135">
        <f>R65-R66-R72</f>
        <v>3.0517578125E-5</v>
      </c>
      <c r="S75" s="759"/>
      <c r="T75" s="759"/>
      <c r="U75" s="759"/>
      <c r="V75" s="759"/>
      <c r="W75" s="759"/>
      <c r="X75" s="759"/>
    </row>
    <row r="76" spans="1:24">
      <c r="A76" s="64" t="s">
        <v>3546</v>
      </c>
      <c r="B76" s="64" t="s">
        <v>3546</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20"/>
      <c r="T76" s="720"/>
      <c r="U76" s="720"/>
      <c r="V76" s="720"/>
      <c r="W76" s="720"/>
      <c r="X76" s="758"/>
    </row>
    <row r="77" spans="1:24">
      <c r="A77" t="s">
        <v>120</v>
      </c>
      <c r="B77" s="89" t="s">
        <v>3547</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61">
        <v>254000000000</v>
      </c>
      <c r="T77" s="761">
        <v>204600000000</v>
      </c>
      <c r="U77" s="761">
        <v>321900000000</v>
      </c>
      <c r="V77" s="761">
        <v>247100000000</v>
      </c>
      <c r="W77" s="761">
        <v>237000000000</v>
      </c>
      <c r="X77" s="758">
        <v>189600000000</v>
      </c>
    </row>
    <row r="78" spans="1:24">
      <c r="B78" s="58" t="s">
        <v>3548</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20"/>
      <c r="T78" s="720"/>
      <c r="U78" s="720"/>
      <c r="V78" s="720"/>
      <c r="W78" s="720"/>
      <c r="X78" s="650"/>
    </row>
    <row r="79" spans="1:24">
      <c r="A79" t="s">
        <v>1097</v>
      </c>
      <c r="B79" t="s">
        <v>1097</v>
      </c>
      <c r="C79" s="58" t="s">
        <v>124</v>
      </c>
      <c r="D79" s="90"/>
      <c r="E79" s="90"/>
      <c r="J79" s="84">
        <v>7000000000</v>
      </c>
      <c r="R79" s="476"/>
      <c r="S79" s="717"/>
      <c r="T79" s="717"/>
      <c r="U79" s="717"/>
      <c r="V79" s="717"/>
      <c r="W79" s="717"/>
      <c r="X79" s="650"/>
    </row>
    <row r="80" spans="1:24">
      <c r="A80" t="s">
        <v>2427</v>
      </c>
      <c r="B80" s="91" t="s">
        <v>3549</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76"/>
      <c r="S80" s="765"/>
      <c r="T80" s="765"/>
      <c r="U80" s="765"/>
      <c r="V80" s="765"/>
      <c r="W80" s="765"/>
      <c r="X80" s="766"/>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875</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936</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876</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779</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528</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3550</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3551</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623</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4">
        <f t="shared" ref="I101:X101" si="38">(I6/I100)*100</f>
        <v>18.685570961629271</v>
      </c>
      <c r="J101" s="364">
        <f t="shared" si="38"/>
        <v>17.722920270924302</v>
      </c>
      <c r="K101" s="364">
        <f t="shared" si="38"/>
        <v>17.889293591626799</v>
      </c>
      <c r="L101" s="364">
        <f t="shared" si="38"/>
        <v>18.130690577067305</v>
      </c>
      <c r="M101" s="364">
        <f t="shared" si="38"/>
        <v>17.803815273500597</v>
      </c>
      <c r="N101" s="364">
        <f t="shared" si="38"/>
        <v>17.84833434373482</v>
      </c>
      <c r="O101" s="364">
        <f t="shared" si="38"/>
        <v>17.976721677757507</v>
      </c>
      <c r="P101" s="364">
        <f t="shared" si="38"/>
        <v>17.933269915090019</v>
      </c>
      <c r="Q101" s="364">
        <f t="shared" si="38"/>
        <v>18.331302504285642</v>
      </c>
      <c r="R101" s="364">
        <f t="shared" si="38"/>
        <v>19.852503865826097</v>
      </c>
      <c r="S101" s="364">
        <f t="shared" si="38"/>
        <v>19.881810370526242</v>
      </c>
      <c r="T101" s="364">
        <f t="shared" si="38"/>
        <v>19.670986265228525</v>
      </c>
      <c r="U101" s="364">
        <f t="shared" si="38"/>
        <v>21.468716422844864</v>
      </c>
      <c r="V101" s="364">
        <f t="shared" si="38"/>
        <v>21.389042272532059</v>
      </c>
      <c r="W101" s="364">
        <f t="shared" si="38"/>
        <v>21.546466125964628</v>
      </c>
      <c r="X101" s="364">
        <f t="shared" si="38"/>
        <v>21.471436365053385</v>
      </c>
    </row>
    <row r="102" spans="2:24">
      <c r="B102" s="90" t="s">
        <v>152</v>
      </c>
      <c r="I102" s="364">
        <f t="shared" ref="I102:X102" si="39">(I28/I100)*100</f>
        <v>18.624246475375152</v>
      </c>
      <c r="J102" s="364">
        <f t="shared" si="39"/>
        <v>20.471737717893252</v>
      </c>
      <c r="K102" s="364">
        <f t="shared" si="39"/>
        <v>19.31675331193679</v>
      </c>
      <c r="L102" s="364">
        <f t="shared" si="39"/>
        <v>21.170282448533733</v>
      </c>
      <c r="M102" s="364">
        <f t="shared" si="39"/>
        <v>20.905464194179345</v>
      </c>
      <c r="N102" s="364">
        <f t="shared" si="39"/>
        <v>22.755998709698474</v>
      </c>
      <c r="O102" s="364">
        <f t="shared" si="39"/>
        <v>21.264028352037805</v>
      </c>
      <c r="P102" s="364">
        <f t="shared" si="39"/>
        <v>22.264501051098662</v>
      </c>
      <c r="Q102" s="364">
        <f t="shared" si="39"/>
        <v>23.584502300491899</v>
      </c>
      <c r="R102" s="364">
        <f t="shared" si="39"/>
        <v>25.728559533721899</v>
      </c>
      <c r="S102" s="364">
        <f t="shared" si="39"/>
        <v>28.763568134392482</v>
      </c>
      <c r="T102" s="364">
        <f t="shared" si="39"/>
        <v>27.654225188174131</v>
      </c>
      <c r="U102" s="364">
        <f t="shared" si="39"/>
        <v>28.578119403807477</v>
      </c>
      <c r="V102" s="364">
        <f t="shared" si="39"/>
        <v>27.6446407755077</v>
      </c>
      <c r="W102" s="364">
        <f t="shared" si="39"/>
        <v>26.257569464180314</v>
      </c>
      <c r="X102" s="364">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07"/>
      <c r="S110" s="507"/>
      <c r="T110" s="507"/>
      <c r="U110" s="507"/>
      <c r="V110" s="507"/>
      <c r="W110" s="507"/>
      <c r="X110" s="507"/>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O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3552</v>
      </c>
      <c r="B1" s="82" t="s">
        <v>3553</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3554</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478">
        <v>2021</v>
      </c>
      <c r="Z3" s="147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478" t="s">
        <v>26</v>
      </c>
      <c r="Z4" s="147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ht="15.75">
      <c r="A6" s="1472" t="s">
        <v>33</v>
      </c>
      <c r="B6" s="909" t="s">
        <v>3555</v>
      </c>
      <c r="C6" s="1175" t="s">
        <v>35</v>
      </c>
      <c r="H6" s="1473">
        <v>196000000</v>
      </c>
      <c r="I6" s="1473">
        <v>142400000</v>
      </c>
      <c r="J6" s="1473">
        <v>141900000</v>
      </c>
      <c r="K6" s="1095">
        <v>100900000</v>
      </c>
      <c r="L6" s="1095">
        <v>111300000</v>
      </c>
      <c r="M6" s="1473">
        <v>115400000</v>
      </c>
      <c r="N6" s="1473">
        <v>119000000</v>
      </c>
      <c r="O6" s="1473">
        <v>103700000</v>
      </c>
      <c r="P6" s="1473">
        <v>152800000</v>
      </c>
      <c r="Q6" s="1473">
        <v>176500000</v>
      </c>
      <c r="R6" s="1473">
        <f>R7+R17</f>
        <v>257300000</v>
      </c>
      <c r="S6" s="1473">
        <v>350800000</v>
      </c>
      <c r="T6" s="1473">
        <v>284400000</v>
      </c>
      <c r="U6" s="1473">
        <v>347900000</v>
      </c>
      <c r="V6" s="1473">
        <v>335000000</v>
      </c>
      <c r="W6" s="848">
        <v>338300000</v>
      </c>
      <c r="X6" s="1473">
        <v>349700000</v>
      </c>
      <c r="Y6" s="1479">
        <v>360700000</v>
      </c>
      <c r="Z6" s="1479">
        <v>372700000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480">
        <v>199900000</v>
      </c>
      <c r="Z7" s="1480">
        <v>206100000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20" t="s">
        <v>39</v>
      </c>
      <c r="B8" s="99" t="s">
        <v>3556</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480">
        <v>51600000</v>
      </c>
      <c r="Z8" s="1480">
        <v>54000000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261" t="s">
        <v>628</v>
      </c>
      <c r="B9" s="100" t="s">
        <v>3557</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480"/>
      <c r="Z9" s="1480"/>
      <c r="AA9" s="365"/>
      <c r="AB9" s="464"/>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00" t="s">
        <v>3558</v>
      </c>
      <c r="B10" s="100" t="s">
        <v>3559</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480"/>
      <c r="Z10" s="1480"/>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1584</v>
      </c>
      <c r="B11" s="100" t="s">
        <v>3560</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480"/>
      <c r="Z11" s="1480"/>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3561</v>
      </c>
      <c r="B12" s="100" t="s">
        <v>3562</v>
      </c>
      <c r="C12" t="s">
        <v>44</v>
      </c>
      <c r="H12" s="115"/>
      <c r="I12" s="115"/>
      <c r="J12" s="115"/>
      <c r="K12" s="115"/>
      <c r="L12" s="115"/>
      <c r="M12" s="115"/>
      <c r="N12" s="115"/>
      <c r="O12" s="115"/>
      <c r="P12" s="115"/>
      <c r="Q12" s="115"/>
      <c r="R12" s="115">
        <v>15700000</v>
      </c>
      <c r="S12" s="135"/>
      <c r="T12" s="135"/>
      <c r="U12" s="135"/>
      <c r="V12" s="135"/>
      <c r="W12" s="28"/>
      <c r="X12" s="135"/>
      <c r="Y12" s="1480"/>
      <c r="Z12" s="1480"/>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61" t="s">
        <v>49</v>
      </c>
      <c r="B13" s="100" t="s">
        <v>3563</v>
      </c>
      <c r="C13" t="s">
        <v>44</v>
      </c>
      <c r="H13" s="115"/>
      <c r="I13" s="115"/>
      <c r="J13" s="115"/>
      <c r="K13" s="115"/>
      <c r="L13" s="115"/>
      <c r="M13" s="115">
        <v>100000</v>
      </c>
      <c r="N13" s="135">
        <v>100000</v>
      </c>
      <c r="O13" s="135">
        <v>100000</v>
      </c>
      <c r="P13" s="135">
        <v>100000</v>
      </c>
      <c r="Q13" s="135">
        <v>0</v>
      </c>
      <c r="R13" s="115">
        <v>0</v>
      </c>
      <c r="S13" s="135"/>
      <c r="T13" s="135"/>
      <c r="U13" s="135"/>
      <c r="V13" s="135"/>
      <c r="Y13" s="1480"/>
      <c r="Z13" s="1480"/>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51</v>
      </c>
      <c r="B14" s="90" t="s">
        <v>3564</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480">
        <v>148300000</v>
      </c>
      <c r="Z14" s="1480">
        <v>152100000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41" t="s">
        <v>3565</v>
      </c>
      <c r="B15" s="100" t="s">
        <v>3566</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480">
        <v>140000000</v>
      </c>
      <c r="Z15" s="1480">
        <v>143500000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480">
        <f t="shared" si="1"/>
        <v>8300000</v>
      </c>
      <c r="Z16" s="1480">
        <f t="shared" si="1"/>
        <v>8600000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474" t="s">
        <v>53</v>
      </c>
      <c r="B17" s="909" t="s">
        <v>3567</v>
      </c>
      <c r="C17" s="118" t="s">
        <v>38</v>
      </c>
      <c r="H17" s="1473">
        <v>131699999.99999999</v>
      </c>
      <c r="I17" s="1473">
        <v>82800000</v>
      </c>
      <c r="J17" s="1473">
        <v>81900000</v>
      </c>
      <c r="K17" s="1095">
        <v>39400000</v>
      </c>
      <c r="L17" s="1095">
        <v>44000000</v>
      </c>
      <c r="M17" s="1473">
        <v>45800000</v>
      </c>
      <c r="N17" s="1169">
        <v>40600000</v>
      </c>
      <c r="O17" s="1169">
        <v>41900000</v>
      </c>
      <c r="P17" s="1169">
        <v>61500000</v>
      </c>
      <c r="Q17" s="1169">
        <v>53900000</v>
      </c>
      <c r="R17" s="1473">
        <v>87700000</v>
      </c>
      <c r="S17" s="1169">
        <v>102200000</v>
      </c>
      <c r="T17" s="1169">
        <v>79900000</v>
      </c>
      <c r="U17" s="1169">
        <v>145500000</v>
      </c>
      <c r="V17" s="1169">
        <v>151000000</v>
      </c>
      <c r="W17" s="848">
        <v>149100000</v>
      </c>
      <c r="X17" s="1169">
        <v>155300000</v>
      </c>
      <c r="Y17" s="1479">
        <v>160700000</v>
      </c>
      <c r="Z17" s="1479">
        <v>166600000</v>
      </c>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s="848" customFormat="1" ht="15.75">
      <c r="A18" s="1472"/>
      <c r="B18" s="909" t="s">
        <v>3568</v>
      </c>
      <c r="H18" s="1473">
        <v>227900000</v>
      </c>
      <c r="I18" s="1473">
        <v>163600000</v>
      </c>
      <c r="J18" s="1473">
        <v>163900000</v>
      </c>
      <c r="K18" s="1095">
        <v>125200000</v>
      </c>
      <c r="L18" s="1095">
        <v>142700000</v>
      </c>
      <c r="M18" s="1473">
        <v>134900000</v>
      </c>
      <c r="N18" s="1169">
        <v>139700000</v>
      </c>
      <c r="O18" s="1169">
        <v>142400000</v>
      </c>
      <c r="P18" s="1169">
        <v>146000000</v>
      </c>
      <c r="Q18" s="1169">
        <v>158800000</v>
      </c>
      <c r="R18" s="1473">
        <v>215300000</v>
      </c>
      <c r="S18" s="1169"/>
      <c r="T18" s="1169"/>
      <c r="U18" s="1169"/>
      <c r="V18" s="1169"/>
      <c r="X18" s="1169"/>
      <c r="Y18" s="1479"/>
      <c r="Z18" s="1479"/>
      <c r="AA18" s="916"/>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row>
    <row r="19" spans="1:50" s="848" customFormat="1" ht="15.75">
      <c r="A19" s="1472" t="s">
        <v>71</v>
      </c>
      <c r="B19" s="909" t="s">
        <v>3568</v>
      </c>
      <c r="C19" s="1175" t="s">
        <v>35</v>
      </c>
      <c r="H19" s="1473">
        <f t="shared" ref="H19:R19" si="2">H18-H28</f>
        <v>227900000</v>
      </c>
      <c r="I19" s="1473">
        <f t="shared" si="2"/>
        <v>163600000</v>
      </c>
      <c r="J19" s="1473">
        <f t="shared" si="2"/>
        <v>163900000</v>
      </c>
      <c r="K19" s="1473">
        <f t="shared" si="2"/>
        <v>125200000</v>
      </c>
      <c r="L19" s="1473">
        <f t="shared" si="2"/>
        <v>142700000</v>
      </c>
      <c r="M19" s="1473">
        <f t="shared" si="2"/>
        <v>134900000</v>
      </c>
      <c r="N19" s="1473">
        <f t="shared" si="2"/>
        <v>139700000</v>
      </c>
      <c r="O19" s="1473">
        <f t="shared" si="2"/>
        <v>142400000</v>
      </c>
      <c r="P19" s="1473">
        <f t="shared" si="2"/>
        <v>146000000</v>
      </c>
      <c r="Q19" s="1473">
        <f t="shared" si="2"/>
        <v>158800000</v>
      </c>
      <c r="R19" s="1473">
        <f t="shared" si="2"/>
        <v>215300000</v>
      </c>
      <c r="S19" s="1473">
        <v>254900000</v>
      </c>
      <c r="T19" s="1473">
        <v>274400000</v>
      </c>
      <c r="U19" s="1169">
        <v>371400000</v>
      </c>
      <c r="V19" s="1473">
        <v>354300000</v>
      </c>
      <c r="W19" s="1473">
        <v>368300000</v>
      </c>
      <c r="X19" s="1473">
        <v>378900000</v>
      </c>
      <c r="Y19" s="1479">
        <v>390500000</v>
      </c>
      <c r="Z19" s="1479">
        <v>403600000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row>
    <row r="20" spans="1:50">
      <c r="A20" s="203" t="s">
        <v>73</v>
      </c>
      <c r="B20" s="90" t="s">
        <v>3569</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480">
        <v>211900000</v>
      </c>
      <c r="Z20" s="1480">
        <v>218500000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221" t="s">
        <v>79</v>
      </c>
      <c r="B21" s="99" t="s">
        <v>3570</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480">
        <v>75700000</v>
      </c>
      <c r="Z21" s="1480">
        <v>78700000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262" t="s">
        <v>215</v>
      </c>
      <c r="B22" s="99" t="s">
        <v>3571</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480">
        <v>65900000.000000007</v>
      </c>
      <c r="Z22" s="1480">
        <v>68000000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221" t="s">
        <v>391</v>
      </c>
      <c r="B23" s="99" t="s">
        <v>3572</v>
      </c>
      <c r="C23" s="11" t="s">
        <v>81</v>
      </c>
      <c r="H23" s="115">
        <v>44500000</v>
      </c>
      <c r="I23" s="115">
        <v>37000000</v>
      </c>
      <c r="J23" s="115">
        <v>35900000</v>
      </c>
      <c r="K23" s="175">
        <v>37100000</v>
      </c>
      <c r="L23" s="175">
        <v>45500000</v>
      </c>
      <c r="M23" s="115">
        <v>43100000</v>
      </c>
      <c r="N23" s="135">
        <v>44600000</v>
      </c>
      <c r="O23" s="1475">
        <f>O20-O21-O22</f>
        <v>45900000</v>
      </c>
      <c r="P23" s="1475">
        <f>P20-P21-P22</f>
        <v>30500000</v>
      </c>
      <c r="Q23" s="1475">
        <f t="shared" ref="Q23:Z23" si="3">Q20-Q21-Q22</f>
        <v>43700000</v>
      </c>
      <c r="R23" s="1475">
        <f t="shared" si="3"/>
        <v>54100000</v>
      </c>
      <c r="S23" s="1475">
        <f>S20-S21-S22</f>
        <v>56800000</v>
      </c>
      <c r="T23" s="1475">
        <f t="shared" si="3"/>
        <v>74200000</v>
      </c>
      <c r="U23" s="1475">
        <f t="shared" si="3"/>
        <v>100300000</v>
      </c>
      <c r="V23" s="1475">
        <f t="shared" si="3"/>
        <v>68300000</v>
      </c>
      <c r="W23" s="1475">
        <f t="shared" si="3"/>
        <v>70900000</v>
      </c>
      <c r="X23" s="1475">
        <f t="shared" si="3"/>
        <v>69700000</v>
      </c>
      <c r="Y23" s="1481">
        <f t="shared" si="3"/>
        <v>70300000</v>
      </c>
      <c r="Z23" s="1481">
        <f t="shared" si="3"/>
        <v>71800000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00" t="s">
        <v>3573</v>
      </c>
      <c r="B24" s="100" t="s">
        <v>3573</v>
      </c>
      <c r="C24" s="11" t="s">
        <v>3574</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480"/>
      <c r="Z24" s="1480"/>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3575</v>
      </c>
      <c r="B25" s="100" t="s">
        <v>3576</v>
      </c>
      <c r="C25" s="11" t="s">
        <v>3574</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480"/>
      <c r="Z25" s="1480"/>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3577</v>
      </c>
      <c r="B26" s="100" t="s">
        <v>3577</v>
      </c>
      <c r="C26" s="11" t="s">
        <v>3574</v>
      </c>
      <c r="H26" s="115"/>
      <c r="I26" s="115"/>
      <c r="J26" s="115"/>
      <c r="K26" s="115"/>
      <c r="L26" s="115"/>
      <c r="M26" s="115">
        <v>40100000</v>
      </c>
      <c r="N26" s="135">
        <v>34900000</v>
      </c>
      <c r="O26" s="1475">
        <f>O23-O24-O25</f>
        <v>42200000</v>
      </c>
      <c r="P26" s="1475">
        <f>P23-P24-P25</f>
        <v>23400000</v>
      </c>
      <c r="Q26" s="1475">
        <f t="shared" ref="Q26:R26" si="4">Q23-Q24-Q25</f>
        <v>40900000</v>
      </c>
      <c r="R26" s="1475">
        <f t="shared" si="4"/>
        <v>44200000</v>
      </c>
      <c r="S26" s="1475"/>
      <c r="T26" s="1475"/>
      <c r="U26" s="1475"/>
      <c r="V26" s="1475"/>
      <c r="W26" s="1475"/>
      <c r="X26" s="1475"/>
      <c r="Y26" s="1482"/>
      <c r="Z26" s="1482"/>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 t="s">
        <v>92</v>
      </c>
      <c r="B27" s="90" t="s">
        <v>3578</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480">
        <v>178600000</v>
      </c>
      <c r="Z27" s="1480">
        <v>185100000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 t="s">
        <v>76</v>
      </c>
      <c r="B28" s="90" t="s">
        <v>3579</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480">
        <v>0</v>
      </c>
      <c r="Z28" s="1480">
        <v>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t="s">
        <v>76</v>
      </c>
      <c r="B29" s="90" t="s">
        <v>3580</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480">
        <v>800000</v>
      </c>
      <c r="Z29" s="1480">
        <v>400000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t="s">
        <v>76</v>
      </c>
      <c r="B30" s="90" t="s">
        <v>3581</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480">
        <v>-29800000</v>
      </c>
      <c r="Z30" s="1480">
        <v>-30900000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s="848" customFormat="1">
      <c r="A31" s="909" t="s">
        <v>115</v>
      </c>
      <c r="B31" s="909" t="s">
        <v>115</v>
      </c>
      <c r="C31" s="1175" t="s">
        <v>35</v>
      </c>
      <c r="H31" s="1473">
        <v>31900000</v>
      </c>
      <c r="I31" s="1473">
        <v>21200000</v>
      </c>
      <c r="J31" s="1473">
        <v>22000000</v>
      </c>
      <c r="K31" s="1095">
        <v>24400000</v>
      </c>
      <c r="L31" s="1095">
        <v>31400000</v>
      </c>
      <c r="M31" s="1473">
        <v>19500000</v>
      </c>
      <c r="N31" s="1169">
        <v>20800000</v>
      </c>
      <c r="O31" s="1169">
        <v>38700000</v>
      </c>
      <c r="P31" s="1169">
        <v>-6800000</v>
      </c>
      <c r="Q31" s="1169">
        <v>-17700000</v>
      </c>
      <c r="R31" s="1473">
        <f>R32+R38</f>
        <v>-34100000</v>
      </c>
      <c r="S31" s="1169">
        <f>S32+S38</f>
        <v>-95900000</v>
      </c>
      <c r="T31" s="1169">
        <f t="shared" ref="T31:Z31" si="5">T32+T38</f>
        <v>-10000000</v>
      </c>
      <c r="U31" s="1169">
        <f t="shared" si="5"/>
        <v>23500000</v>
      </c>
      <c r="V31" s="1169">
        <f t="shared" si="5"/>
        <v>19300000</v>
      </c>
      <c r="W31" s="1169">
        <f t="shared" si="5"/>
        <v>30100000</v>
      </c>
      <c r="X31" s="1169">
        <f t="shared" si="5"/>
        <v>29300000</v>
      </c>
      <c r="Y31" s="1169">
        <f t="shared" si="5"/>
        <v>29900000</v>
      </c>
      <c r="Z31" s="1169">
        <f t="shared" si="5"/>
        <v>30900000</v>
      </c>
      <c r="AA31" s="916"/>
      <c r="AB31" s="916"/>
      <c r="AC31" s="916"/>
      <c r="AD31" s="916"/>
      <c r="AE31" s="916"/>
      <c r="AF31" s="916"/>
      <c r="AG31" s="916"/>
      <c r="AH31" s="916"/>
      <c r="AI31" s="916"/>
      <c r="AJ31" s="916"/>
      <c r="AK31" s="916"/>
      <c r="AL31" s="916"/>
      <c r="AM31" s="916"/>
      <c r="AN31" s="916"/>
      <c r="AO31" s="916"/>
      <c r="AP31" s="916"/>
      <c r="AQ31" s="916"/>
      <c r="AR31" s="916"/>
      <c r="AS31" s="916"/>
      <c r="AT31" s="916"/>
      <c r="AU31" s="916"/>
      <c r="AV31" s="916"/>
      <c r="AW31" s="916"/>
      <c r="AX31" s="916"/>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3582</v>
      </c>
      <c r="B33" s="99" t="s">
        <v>3583</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480">
        <v>0</v>
      </c>
      <c r="Z33" s="1480">
        <v>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3584</v>
      </c>
      <c r="B34" s="99" t="s">
        <v>3585</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480">
        <v>0</v>
      </c>
      <c r="Z34" s="1480">
        <v>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3586</v>
      </c>
      <c r="B35" s="99" t="s">
        <v>3587</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480"/>
      <c r="Z35" s="1480"/>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99" t="s">
        <v>3588</v>
      </c>
      <c r="B36" s="99" t="s">
        <v>3588</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480">
        <v>-800000</v>
      </c>
      <c r="Z36" s="1480">
        <v>-400000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9" t="s">
        <v>3589</v>
      </c>
      <c r="B37" s="99" t="s">
        <v>3590</v>
      </c>
      <c r="C37" s="90" t="s">
        <v>124</v>
      </c>
      <c r="H37" s="115">
        <v>300000</v>
      </c>
      <c r="I37" s="115"/>
      <c r="J37" s="115"/>
      <c r="K37" s="115"/>
      <c r="L37" s="115"/>
      <c r="M37" s="115"/>
      <c r="N37" s="115"/>
      <c r="O37" s="115"/>
      <c r="P37" s="115"/>
      <c r="Q37" s="115"/>
      <c r="R37" s="115"/>
      <c r="S37" s="115"/>
      <c r="T37" s="115"/>
      <c r="U37" s="115"/>
      <c r="V37" s="115"/>
      <c r="X37" s="115"/>
      <c r="Y37" s="1480"/>
      <c r="Z37" s="1480"/>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s="99" t="s">
        <v>117</v>
      </c>
      <c r="B38" s="1172"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99" t="s">
        <v>3591</v>
      </c>
      <c r="B39" s="99" t="s">
        <v>3592</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480">
        <v>17900000</v>
      </c>
      <c r="Z39" s="1480">
        <v>18500000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99" t="s">
        <v>3593</v>
      </c>
      <c r="B40" s="99" t="s">
        <v>3594</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480"/>
      <c r="Z40" s="1480"/>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99" t="s">
        <v>3595</v>
      </c>
      <c r="B41" s="99" t="s">
        <v>3596</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480"/>
      <c r="Z41" s="1480"/>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99" t="s">
        <v>262</v>
      </c>
      <c r="B42" s="99" t="s">
        <v>3597</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5">
        <v>12800000</v>
      </c>
      <c r="Y42" s="1480">
        <v>12800000</v>
      </c>
      <c r="Z42" s="1480">
        <v>12800000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c r="X43" s="3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9"/>
      <c r="X45" s="3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t="s">
        <v>875</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7">
        <f t="shared" si="10"/>
        <v>100000</v>
      </c>
      <c r="T47" s="267">
        <f t="shared" si="10"/>
        <v>0</v>
      </c>
      <c r="U47" s="267">
        <f t="shared" si="10"/>
        <v>0</v>
      </c>
      <c r="V47" s="267">
        <f t="shared" si="10"/>
        <v>100000</v>
      </c>
      <c r="W47" s="267">
        <f t="shared" si="10"/>
        <v>100000</v>
      </c>
      <c r="X47" s="267">
        <f t="shared" si="10"/>
        <v>0</v>
      </c>
      <c r="Y47" s="267">
        <f t="shared" si="10"/>
        <v>100000</v>
      </c>
      <c r="Z47" s="267">
        <f t="shared" si="10"/>
        <v>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7">
        <f t="shared" si="11"/>
        <v>-100000</v>
      </c>
      <c r="T48" s="267">
        <f t="shared" si="11"/>
        <v>0</v>
      </c>
      <c r="U48" s="267">
        <f t="shared" si="11"/>
        <v>0</v>
      </c>
      <c r="V48" s="267">
        <f t="shared" si="11"/>
        <v>-100000</v>
      </c>
      <c r="W48" s="267">
        <f t="shared" si="11"/>
        <v>0</v>
      </c>
      <c r="X48" s="267">
        <f t="shared" si="11"/>
        <v>-100000</v>
      </c>
      <c r="Y48" s="267">
        <f t="shared" si="11"/>
        <v>0</v>
      </c>
      <c r="Z48" s="267">
        <f t="shared" si="11"/>
        <v>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476">
        <f t="shared" si="12"/>
        <v>35000000</v>
      </c>
      <c r="T49" s="1476">
        <f t="shared" si="12"/>
        <v>38400000</v>
      </c>
      <c r="U49" s="1476">
        <f t="shared" si="12"/>
        <v>44300000</v>
      </c>
      <c r="V49" s="1476">
        <f t="shared" si="12"/>
        <v>46000000</v>
      </c>
      <c r="W49" s="1476">
        <f t="shared" si="12"/>
        <v>47700000</v>
      </c>
      <c r="X49" s="1476">
        <f t="shared" si="12"/>
        <v>49600000</v>
      </c>
      <c r="Y49" s="1476">
        <f t="shared" si="12"/>
        <v>51600000</v>
      </c>
      <c r="Z49" s="1476">
        <f t="shared" si="12"/>
        <v>54000000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718</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7">
        <f t="shared" si="13"/>
        <v>0</v>
      </c>
      <c r="T50" s="267">
        <f t="shared" si="13"/>
        <v>0</v>
      </c>
      <c r="U50" s="267">
        <f t="shared" si="13"/>
        <v>0</v>
      </c>
      <c r="V50" s="267">
        <f t="shared" si="13"/>
        <v>0</v>
      </c>
      <c r="W50" s="267">
        <f t="shared" si="13"/>
        <v>0</v>
      </c>
      <c r="X50" s="267">
        <f t="shared" si="13"/>
        <v>0</v>
      </c>
      <c r="Y50" s="267">
        <f t="shared" si="13"/>
        <v>0</v>
      </c>
      <c r="Z50" s="267">
        <f t="shared" si="13"/>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1207</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7">
        <f t="shared" si="14"/>
        <v>0</v>
      </c>
      <c r="T51" s="267">
        <f t="shared" si="14"/>
        <v>0</v>
      </c>
      <c r="U51" s="267">
        <f t="shared" si="14"/>
        <v>0</v>
      </c>
      <c r="V51" s="267">
        <f t="shared" si="14"/>
        <v>0</v>
      </c>
      <c r="W51" s="267">
        <f t="shared" si="14"/>
        <v>0</v>
      </c>
      <c r="X51" s="267">
        <f t="shared" si="14"/>
        <v>0</v>
      </c>
      <c r="Y51" s="267">
        <f t="shared" si="14"/>
        <v>0</v>
      </c>
      <c r="Z51" s="267">
        <f t="shared" si="14"/>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7">
        <f t="shared" si="15"/>
        <v>0</v>
      </c>
      <c r="T52" s="267">
        <f t="shared" si="15"/>
        <v>0</v>
      </c>
      <c r="U52" s="267">
        <f t="shared" si="15"/>
        <v>0</v>
      </c>
      <c r="V52" s="267">
        <f t="shared" si="15"/>
        <v>0</v>
      </c>
      <c r="W52" s="267">
        <f t="shared" si="15"/>
        <v>0</v>
      </c>
      <c r="X52" s="267">
        <f t="shared" si="15"/>
        <v>0</v>
      </c>
      <c r="Y52" s="267">
        <f t="shared" si="15"/>
        <v>0</v>
      </c>
      <c r="Z52" s="267">
        <f t="shared" si="15"/>
        <v>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2204</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476">
        <f t="shared" si="16"/>
        <v>56800000</v>
      </c>
      <c r="T53" s="1476">
        <f t="shared" si="16"/>
        <v>74200000</v>
      </c>
      <c r="U53" s="1476">
        <f t="shared" si="16"/>
        <v>100300000</v>
      </c>
      <c r="V53" s="1476">
        <f t="shared" si="16"/>
        <v>68300000</v>
      </c>
      <c r="W53" s="1476">
        <f t="shared" si="16"/>
        <v>70900000</v>
      </c>
      <c r="X53" s="1476">
        <f t="shared" si="16"/>
        <v>69700000</v>
      </c>
      <c r="Y53" s="1476">
        <f t="shared" si="16"/>
        <v>70300000</v>
      </c>
      <c r="Z53" s="1476">
        <f t="shared" si="16"/>
        <v>71800000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2656</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7">
        <f t="shared" si="17"/>
        <v>0</v>
      </c>
      <c r="T54" s="267">
        <f t="shared" ref="T54:Z54" si="18">T31-T32-T38</f>
        <v>0</v>
      </c>
      <c r="U54" s="267">
        <f t="shared" si="18"/>
        <v>0</v>
      </c>
      <c r="V54" s="267">
        <f t="shared" si="18"/>
        <v>0</v>
      </c>
      <c r="W54" s="267">
        <f t="shared" si="18"/>
        <v>0</v>
      </c>
      <c r="X54" s="267">
        <f t="shared" si="18"/>
        <v>0</v>
      </c>
      <c r="Y54" s="267">
        <f t="shared" si="18"/>
        <v>0</v>
      </c>
      <c r="Z54" s="267">
        <f t="shared" si="18"/>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7">
        <f t="shared" ref="S55" si="20">S32-S33-S34-S35-S37-S36</f>
        <v>0</v>
      </c>
      <c r="T55" s="267">
        <f t="shared" ref="T55:Z55" si="21">T32-T33-T34-T35-T37-T36</f>
        <v>0</v>
      </c>
      <c r="U55" s="267">
        <f t="shared" si="21"/>
        <v>0</v>
      </c>
      <c r="V55" s="267">
        <f t="shared" si="21"/>
        <v>0</v>
      </c>
      <c r="W55" s="267">
        <f t="shared" si="21"/>
        <v>0</v>
      </c>
      <c r="X55" s="267">
        <f t="shared" si="21"/>
        <v>0</v>
      </c>
      <c r="Y55" s="267">
        <f t="shared" si="21"/>
        <v>0</v>
      </c>
      <c r="Z55" s="267">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528</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7">
        <f t="shared" si="23"/>
        <v>0</v>
      </c>
      <c r="T56" s="267">
        <f t="shared" ref="T56:Z56" si="24">T38-T39-T40-T41-T42</f>
        <v>0</v>
      </c>
      <c r="U56" s="267">
        <f t="shared" si="24"/>
        <v>0</v>
      </c>
      <c r="V56" s="267">
        <f t="shared" si="24"/>
        <v>0</v>
      </c>
      <c r="W56" s="267">
        <f t="shared" si="24"/>
        <v>0</v>
      </c>
      <c r="X56" s="267">
        <f t="shared" si="24"/>
        <v>0</v>
      </c>
      <c r="Y56" s="267">
        <f t="shared" si="24"/>
        <v>0</v>
      </c>
      <c r="Z56" s="267">
        <f t="shared" si="2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G58" s="21"/>
      <c r="H58" s="21"/>
      <c r="X58" s="3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623</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477">
        <v>288300000</v>
      </c>
      <c r="Y59" s="1477">
        <v>298400000</v>
      </c>
      <c r="Z59" s="1477">
        <v>309300000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151</v>
      </c>
      <c r="H60" s="364">
        <f t="shared" ref="H60:V60" si="25">(H6/H59)*100</f>
        <v>139.00709219858157</v>
      </c>
      <c r="I60" s="364">
        <f t="shared" si="25"/>
        <v>97.534246575342465</v>
      </c>
      <c r="J60" s="364">
        <f t="shared" si="25"/>
        <v>97.862068965517253</v>
      </c>
      <c r="K60" s="364">
        <f t="shared" si="25"/>
        <v>72.589928057553948</v>
      </c>
      <c r="L60" s="364">
        <f t="shared" si="25"/>
        <v>74.697986577181211</v>
      </c>
      <c r="M60" s="364">
        <f t="shared" si="25"/>
        <v>75.424836601307192</v>
      </c>
      <c r="N60" s="364">
        <f t="shared" si="25"/>
        <v>78.289473684210535</v>
      </c>
      <c r="O60" s="364">
        <f t="shared" si="25"/>
        <v>68.223684210526315</v>
      </c>
      <c r="P60" s="364">
        <f t="shared" si="25"/>
        <v>97.948717948717942</v>
      </c>
      <c r="Q60" s="364">
        <f t="shared" si="25"/>
        <v>110.31249999999999</v>
      </c>
      <c r="R60" s="364">
        <f t="shared" si="25"/>
        <v>155.93939393939394</v>
      </c>
      <c r="S60" s="364">
        <f t="shared" si="25"/>
        <v>155.84184806752555</v>
      </c>
      <c r="T60" s="364">
        <f t="shared" si="25"/>
        <v>116.46191646191646</v>
      </c>
      <c r="U60" s="364">
        <f t="shared" si="25"/>
        <v>135.9515435717077</v>
      </c>
      <c r="V60" s="364">
        <f t="shared" si="25"/>
        <v>126.12951807228913</v>
      </c>
      <c r="W60" s="364">
        <f>(X6/W59)*100</f>
        <v>126.29107981220658</v>
      </c>
      <c r="X60" s="364">
        <f>(X6/X59)*100</f>
        <v>121.29725979882066</v>
      </c>
      <c r="Y60" s="364">
        <f>(Y6/Y59)*100</f>
        <v>120.87801608579088</v>
      </c>
      <c r="Z60" s="364">
        <f>(Z6/Z59)*100</f>
        <v>120.4978984804397</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c r="B61" t="s">
        <v>152</v>
      </c>
      <c r="H61" s="364">
        <f t="shared" ref="H61:V61" si="26">(H18/H59)*100</f>
        <v>161.63120567375887</v>
      </c>
      <c r="I61" s="364">
        <f t="shared" si="26"/>
        <v>112.05479452054794</v>
      </c>
      <c r="J61" s="364">
        <f t="shared" si="26"/>
        <v>113.0344827586207</v>
      </c>
      <c r="K61" s="364">
        <f t="shared" si="26"/>
        <v>90.071942446043167</v>
      </c>
      <c r="L61" s="364">
        <f t="shared" si="26"/>
        <v>95.771812080536904</v>
      </c>
      <c r="M61" s="364">
        <f t="shared" si="26"/>
        <v>88.169934640522868</v>
      </c>
      <c r="N61" s="364">
        <f t="shared" si="26"/>
        <v>91.90789473684211</v>
      </c>
      <c r="O61" s="364">
        <f t="shared" si="26"/>
        <v>93.684210526315795</v>
      </c>
      <c r="P61" s="364">
        <f t="shared" si="26"/>
        <v>93.589743589743591</v>
      </c>
      <c r="Q61" s="364">
        <f t="shared" si="26"/>
        <v>99.25</v>
      </c>
      <c r="R61" s="364">
        <f t="shared" si="26"/>
        <v>130.4848484848485</v>
      </c>
      <c r="S61" s="364">
        <f t="shared" si="26"/>
        <v>0</v>
      </c>
      <c r="T61" s="364">
        <f t="shared" si="26"/>
        <v>0</v>
      </c>
      <c r="U61" s="364">
        <f t="shared" si="26"/>
        <v>0</v>
      </c>
      <c r="V61" s="364">
        <f t="shared" si="26"/>
        <v>0</v>
      </c>
      <c r="W61" s="364">
        <f>(X18/W59)*100</f>
        <v>0</v>
      </c>
      <c r="X61" s="364">
        <f>(X18/X59)*100</f>
        <v>0</v>
      </c>
      <c r="Y61" s="364">
        <f>(Y18/Y59)*100</f>
        <v>0</v>
      </c>
      <c r="Z61" s="364">
        <f>(Z18/Z59)*100</f>
        <v>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L6" activePane="bottomRight" state="frozen"/>
      <selection pane="topRight" activeCell="R7" sqref="R7"/>
      <selection pane="bottomLeft" activeCell="R7" sqref="R7"/>
      <selection pane="bottomRight" activeCell="Q6" sqref="Q6"/>
    </sheetView>
  </sheetViews>
  <sheetFormatPr defaultRowHeight="15.75"/>
  <cols>
    <col min="1" max="1" width="49.7109375" style="972" bestFit="1" customWidth="1"/>
    <col min="2" max="2" width="48" style="972" customWidth="1"/>
    <col min="3" max="3" width="26.85546875" style="972" bestFit="1" customWidth="1"/>
    <col min="4" max="12" width="9" style="972" bestFit="1" customWidth="1"/>
    <col min="13" max="13" width="12.7109375" style="972" bestFit="1" customWidth="1"/>
    <col min="14" max="16" width="17.7109375" style="972" bestFit="1" customWidth="1"/>
    <col min="17" max="17" width="18.7109375" style="972" bestFit="1" customWidth="1"/>
    <col min="18" max="24" width="17.7109375" style="972" bestFit="1" customWidth="1"/>
    <col min="25" max="26" width="20.5703125" style="972" bestFit="1" customWidth="1"/>
    <col min="27" max="27" width="15.140625" bestFit="1" customWidth="1"/>
  </cols>
  <sheetData>
    <row r="1" spans="1:44">
      <c r="A1" s="966" t="s">
        <v>3598</v>
      </c>
      <c r="B1" s="1486" t="s">
        <v>3599</v>
      </c>
      <c r="C1" s="967"/>
      <c r="D1" s="968"/>
      <c r="E1" s="968"/>
      <c r="F1" s="968"/>
      <c r="G1" s="968"/>
      <c r="H1" s="968"/>
      <c r="I1" s="968"/>
      <c r="J1" s="968"/>
      <c r="K1" s="968"/>
      <c r="L1" s="968"/>
      <c r="M1" s="968"/>
      <c r="N1" s="968"/>
      <c r="O1" s="969"/>
      <c r="P1" s="969"/>
      <c r="Q1" s="969"/>
      <c r="R1" s="970"/>
      <c r="S1" s="969"/>
      <c r="T1" s="969"/>
      <c r="U1" s="969"/>
      <c r="V1" s="969"/>
      <c r="W1" s="969"/>
      <c r="X1" s="969"/>
      <c r="Y1" s="971"/>
      <c r="Z1" s="971"/>
      <c r="AA1" s="365"/>
      <c r="AB1" s="365"/>
      <c r="AC1" s="365"/>
      <c r="AD1" s="365"/>
      <c r="AE1" s="365"/>
      <c r="AF1" s="365"/>
      <c r="AG1" s="365"/>
      <c r="AH1" s="365"/>
      <c r="AI1" s="365"/>
      <c r="AJ1" s="365"/>
      <c r="AK1" s="365"/>
      <c r="AL1" s="365"/>
      <c r="AM1" s="365"/>
      <c r="AN1" s="365"/>
      <c r="AO1" s="365"/>
      <c r="AP1" s="365"/>
      <c r="AQ1" s="365"/>
      <c r="AR1" s="365"/>
    </row>
    <row r="2" spans="1:44">
      <c r="B2" s="1487" t="s">
        <v>3600</v>
      </c>
      <c r="C2" s="973"/>
      <c r="D2" s="969"/>
      <c r="E2" s="969"/>
      <c r="F2" s="969"/>
      <c r="G2" s="969"/>
      <c r="H2" s="969"/>
      <c r="I2" s="969"/>
      <c r="J2" s="969"/>
      <c r="K2" s="969"/>
      <c r="L2" s="969"/>
      <c r="M2" s="969"/>
      <c r="N2" s="969"/>
      <c r="O2" s="969"/>
      <c r="P2" s="969"/>
      <c r="Q2" s="969"/>
      <c r="R2" s="974"/>
      <c r="S2" s="1046"/>
      <c r="T2" s="1047"/>
      <c r="U2" s="969"/>
      <c r="V2" s="969"/>
      <c r="W2" s="969"/>
      <c r="X2" s="969"/>
      <c r="Y2" s="971"/>
      <c r="Z2" s="971"/>
      <c r="AA2" s="365"/>
      <c r="AB2" s="365"/>
      <c r="AC2" s="365"/>
      <c r="AD2" s="365"/>
      <c r="AE2" s="365"/>
      <c r="AF2" s="365"/>
      <c r="AG2" s="365"/>
      <c r="AH2" s="365"/>
      <c r="AI2" s="365"/>
      <c r="AJ2" s="365"/>
      <c r="AK2" s="365"/>
      <c r="AL2" s="365"/>
      <c r="AM2" s="365"/>
      <c r="AN2" s="365"/>
      <c r="AO2" s="365"/>
      <c r="AP2" s="365"/>
      <c r="AQ2" s="365"/>
      <c r="AR2" s="365"/>
    </row>
    <row r="3" spans="1:4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365"/>
      <c r="AB3" s="365"/>
      <c r="AC3" s="365"/>
      <c r="AD3" s="365"/>
      <c r="AE3" s="365"/>
      <c r="AF3" s="365"/>
      <c r="AG3" s="365"/>
      <c r="AH3" s="365"/>
      <c r="AI3" s="365"/>
      <c r="AJ3" s="365"/>
      <c r="AK3" s="365"/>
      <c r="AL3" s="365"/>
      <c r="AM3" s="365"/>
      <c r="AN3" s="365"/>
      <c r="AO3" s="365"/>
      <c r="AP3" s="365"/>
      <c r="AQ3" s="365"/>
      <c r="AR3" s="365"/>
    </row>
    <row r="4" spans="1:4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378" t="s">
        <v>26</v>
      </c>
      <c r="Z4" s="1378" t="s">
        <v>27</v>
      </c>
      <c r="AA4" s="365"/>
      <c r="AB4" s="365"/>
      <c r="AC4" s="365"/>
      <c r="AD4" s="365"/>
      <c r="AE4" s="365"/>
      <c r="AF4" s="365"/>
      <c r="AG4" s="365"/>
      <c r="AH4" s="365"/>
      <c r="AI4" s="365"/>
      <c r="AJ4" s="365"/>
      <c r="AK4" s="365"/>
      <c r="AL4" s="365"/>
      <c r="AM4" s="365"/>
      <c r="AN4" s="365"/>
      <c r="AO4" s="365"/>
      <c r="AP4" s="365"/>
      <c r="AQ4" s="365"/>
      <c r="AR4" s="365"/>
    </row>
    <row r="5" spans="1:4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32</v>
      </c>
      <c r="V5" s="969" t="s">
        <v>32</v>
      </c>
      <c r="W5" s="969" t="s">
        <v>32</v>
      </c>
      <c r="X5" s="969" t="s">
        <v>32</v>
      </c>
      <c r="Y5" s="969" t="s">
        <v>32</v>
      </c>
      <c r="Z5" s="969" t="s">
        <v>32</v>
      </c>
      <c r="AA5" s="365"/>
      <c r="AB5" s="365"/>
      <c r="AC5" s="365"/>
      <c r="AD5" s="365"/>
      <c r="AE5" s="365"/>
      <c r="AF5" s="365"/>
      <c r="AG5" s="365"/>
      <c r="AH5" s="365"/>
      <c r="AI5" s="365"/>
      <c r="AJ5" s="365"/>
      <c r="AK5" s="365"/>
      <c r="AL5" s="365"/>
      <c r="AM5" s="365"/>
      <c r="AN5" s="365"/>
      <c r="AO5" s="365"/>
      <c r="AP5" s="365"/>
      <c r="AQ5" s="365"/>
      <c r="AR5" s="365"/>
    </row>
    <row r="6" spans="1:44" s="848" customFormat="1">
      <c r="A6" s="1013" t="s">
        <v>33</v>
      </c>
      <c r="B6" s="1012" t="s">
        <v>3601</v>
      </c>
      <c r="C6" s="1413" t="s">
        <v>35</v>
      </c>
      <c r="D6" s="1020"/>
      <c r="E6" s="1020"/>
      <c r="F6" s="1020"/>
      <c r="G6" s="1020"/>
      <c r="H6" s="1020"/>
      <c r="I6" s="1020"/>
      <c r="J6" s="1020"/>
      <c r="K6" s="1020"/>
      <c r="L6" s="1020"/>
      <c r="M6" s="1020"/>
      <c r="N6" s="1054">
        <f>N7+N14</f>
        <v>1182000000</v>
      </c>
      <c r="O6" s="1054">
        <f t="shared" ref="O6:Q6" si="0">O7+O14</f>
        <v>1331000000</v>
      </c>
      <c r="P6" s="1054">
        <f t="shared" si="0"/>
        <v>1354000000</v>
      </c>
      <c r="Q6" s="1054">
        <f t="shared" si="0"/>
        <v>1351000000</v>
      </c>
      <c r="R6" s="1054">
        <f>R7+R14</f>
        <v>1366000000</v>
      </c>
      <c r="S6" s="1054">
        <f t="shared" ref="S6:Z6" si="1">S7+S14</f>
        <v>1490000000</v>
      </c>
      <c r="T6" s="1054">
        <f t="shared" si="1"/>
        <v>1634000000</v>
      </c>
      <c r="U6" s="1054">
        <f t="shared" si="1"/>
        <v>1741000000</v>
      </c>
      <c r="V6" s="1054">
        <f t="shared" si="1"/>
        <v>1862000000</v>
      </c>
      <c r="W6" s="1054">
        <f t="shared" si="1"/>
        <v>1945000000</v>
      </c>
      <c r="X6" s="1054">
        <f t="shared" si="1"/>
        <v>2043000000</v>
      </c>
      <c r="Y6" s="1054">
        <f t="shared" si="1"/>
        <v>2157000000</v>
      </c>
      <c r="Z6" s="1054">
        <f t="shared" si="1"/>
        <v>2276000000</v>
      </c>
      <c r="AA6" s="916"/>
      <c r="AB6" s="916"/>
      <c r="AC6" s="916"/>
      <c r="AD6" s="916"/>
      <c r="AE6" s="916"/>
      <c r="AF6" s="916"/>
      <c r="AG6" s="916"/>
      <c r="AH6" s="916"/>
      <c r="AI6" s="916"/>
      <c r="AJ6" s="916"/>
      <c r="AK6" s="916"/>
      <c r="AL6" s="916"/>
      <c r="AM6" s="916"/>
      <c r="AN6" s="916"/>
      <c r="AO6" s="916"/>
      <c r="AP6" s="916"/>
      <c r="AQ6" s="916"/>
      <c r="AR6" s="916"/>
    </row>
    <row r="7" spans="1:44">
      <c r="A7" s="972" t="s">
        <v>36</v>
      </c>
      <c r="B7" s="981" t="s">
        <v>3602</v>
      </c>
      <c r="C7" s="982" t="s">
        <v>38</v>
      </c>
      <c r="D7" s="969"/>
      <c r="E7" s="969"/>
      <c r="F7" s="969"/>
      <c r="G7" s="969"/>
      <c r="H7" s="969"/>
      <c r="I7" s="969"/>
      <c r="J7" s="969"/>
      <c r="K7" s="969"/>
      <c r="L7" s="969"/>
      <c r="M7" s="969"/>
      <c r="N7" s="1048">
        <f t="shared" ref="N7" si="2">N8+N12</f>
        <v>1144000000</v>
      </c>
      <c r="O7" s="1048">
        <f t="shared" ref="O7:Q7" si="3">O8+O12</f>
        <v>1305000000</v>
      </c>
      <c r="P7" s="1048">
        <f t="shared" si="3"/>
        <v>1317000000</v>
      </c>
      <c r="Q7" s="1048">
        <f t="shared" si="3"/>
        <v>1351000000</v>
      </c>
      <c r="R7" s="1048">
        <f>R8+R12</f>
        <v>1366000000</v>
      </c>
      <c r="S7" s="1048">
        <f t="shared" ref="S7:U7" si="4">S8+S12</f>
        <v>1490000000</v>
      </c>
      <c r="T7" s="1048">
        <f t="shared" si="4"/>
        <v>1634000000</v>
      </c>
      <c r="U7" s="1048">
        <f t="shared" si="4"/>
        <v>1741000000</v>
      </c>
      <c r="V7" s="1048">
        <f t="shared" ref="V7" si="5">V8+V12</f>
        <v>1855000000</v>
      </c>
      <c r="W7" s="1048">
        <f t="shared" ref="W7:X7" si="6">W8+W12</f>
        <v>1945000000</v>
      </c>
      <c r="X7" s="1048">
        <f t="shared" si="6"/>
        <v>2043000000</v>
      </c>
      <c r="Y7" s="1048">
        <f t="shared" ref="Y7" si="7">Y8+Y12</f>
        <v>2157000000</v>
      </c>
      <c r="Z7" s="1048">
        <f t="shared" ref="Z7" si="8">Z8+Z12</f>
        <v>2276000000</v>
      </c>
      <c r="AA7" s="365"/>
      <c r="AB7" s="365"/>
      <c r="AC7" s="365"/>
      <c r="AD7" s="365"/>
      <c r="AE7" s="365"/>
      <c r="AF7" s="365"/>
      <c r="AG7" s="365"/>
      <c r="AH7" s="365"/>
      <c r="AI7" s="365"/>
      <c r="AJ7" s="365"/>
      <c r="AK7" s="365"/>
      <c r="AL7" s="365"/>
      <c r="AM7" s="365"/>
      <c r="AN7" s="365"/>
      <c r="AO7" s="365"/>
      <c r="AP7" s="365"/>
      <c r="AQ7" s="365"/>
      <c r="AR7" s="365"/>
    </row>
    <row r="8" spans="1:44">
      <c r="A8" s="972" t="s">
        <v>39</v>
      </c>
      <c r="B8" s="988" t="s">
        <v>371</v>
      </c>
      <c r="C8" s="981" t="s">
        <v>41</v>
      </c>
      <c r="D8" s="969"/>
      <c r="E8" s="969"/>
      <c r="F8" s="969"/>
      <c r="G8" s="969"/>
      <c r="H8" s="969"/>
      <c r="I8" s="969"/>
      <c r="J8" s="969"/>
      <c r="K8" s="969"/>
      <c r="L8" s="969"/>
      <c r="M8" s="969"/>
      <c r="N8" s="1048">
        <f t="shared" ref="N8:Z8" si="9">N9+N10</f>
        <v>936000000</v>
      </c>
      <c r="O8" s="1048">
        <f t="shared" ref="O8:Q8" si="10">O9+O10</f>
        <v>1100000000</v>
      </c>
      <c r="P8" s="1048">
        <f t="shared" si="10"/>
        <v>1145000000</v>
      </c>
      <c r="Q8" s="1048">
        <f t="shared" si="10"/>
        <v>1159000000</v>
      </c>
      <c r="R8" s="1048">
        <f t="shared" si="9"/>
        <v>1195000000</v>
      </c>
      <c r="S8" s="1048">
        <f t="shared" si="9"/>
        <v>1303000000</v>
      </c>
      <c r="T8" s="1048">
        <f t="shared" si="9"/>
        <v>1463000000</v>
      </c>
      <c r="U8" s="1048">
        <f t="shared" si="9"/>
        <v>1556000000</v>
      </c>
      <c r="V8" s="1048">
        <f t="shared" si="9"/>
        <v>1653000000</v>
      </c>
      <c r="W8" s="1048">
        <f t="shared" si="9"/>
        <v>1735000000</v>
      </c>
      <c r="X8" s="1048">
        <f t="shared" si="9"/>
        <v>1821000000</v>
      </c>
      <c r="Y8" s="1048">
        <f t="shared" si="9"/>
        <v>1921000000</v>
      </c>
      <c r="Z8" s="1048">
        <f t="shared" si="9"/>
        <v>2025000000</v>
      </c>
      <c r="AA8" s="365"/>
      <c r="AB8" s="365"/>
      <c r="AC8" s="365"/>
      <c r="AD8" s="365"/>
      <c r="AE8" s="365"/>
      <c r="AF8" s="365"/>
      <c r="AG8" s="365"/>
      <c r="AH8" s="365"/>
      <c r="AI8" s="365"/>
      <c r="AJ8" s="365"/>
      <c r="AK8" s="365"/>
      <c r="AL8" s="365"/>
      <c r="AM8" s="365"/>
      <c r="AN8" s="365"/>
      <c r="AO8" s="365"/>
      <c r="AP8" s="365"/>
      <c r="AQ8" s="365"/>
      <c r="AR8" s="365"/>
    </row>
    <row r="9" spans="1:44">
      <c r="A9" s="997" t="s">
        <v>989</v>
      </c>
      <c r="B9" s="997" t="s">
        <v>1418</v>
      </c>
      <c r="C9" s="968" t="s">
        <v>44</v>
      </c>
      <c r="D9" s="969"/>
      <c r="E9" s="969"/>
      <c r="F9" s="969"/>
      <c r="G9" s="969"/>
      <c r="H9" s="969"/>
      <c r="I9" s="969"/>
      <c r="J9" s="969"/>
      <c r="K9" s="969"/>
      <c r="L9" s="969"/>
      <c r="M9" s="969"/>
      <c r="N9" s="1048">
        <v>140000000</v>
      </c>
      <c r="O9" s="1048">
        <v>151000000</v>
      </c>
      <c r="P9" s="1048">
        <v>170000000</v>
      </c>
      <c r="Q9" s="1048">
        <v>174000000</v>
      </c>
      <c r="R9" s="1048">
        <v>188000000</v>
      </c>
      <c r="S9" s="1048">
        <v>196000000</v>
      </c>
      <c r="T9" s="1048">
        <v>234000000</v>
      </c>
      <c r="U9" s="1048">
        <v>241000000</v>
      </c>
      <c r="V9" s="1048">
        <v>267000000</v>
      </c>
      <c r="W9" s="1048">
        <v>280000000</v>
      </c>
      <c r="X9" s="1048">
        <v>294000000</v>
      </c>
      <c r="Y9" s="1008">
        <v>310000000</v>
      </c>
      <c r="Z9" s="1008">
        <v>326000000</v>
      </c>
      <c r="AA9" s="365"/>
      <c r="AB9" s="365"/>
      <c r="AC9" s="365"/>
      <c r="AD9" s="365"/>
      <c r="AE9" s="365"/>
      <c r="AF9" s="365"/>
      <c r="AG9" s="365"/>
      <c r="AH9" s="365"/>
      <c r="AI9" s="365"/>
      <c r="AJ9" s="365"/>
      <c r="AK9" s="365"/>
      <c r="AL9" s="365"/>
      <c r="AM9" s="365"/>
      <c r="AN9" s="365"/>
      <c r="AO9" s="365"/>
      <c r="AP9" s="365"/>
      <c r="AQ9" s="365"/>
      <c r="AR9" s="365"/>
    </row>
    <row r="10" spans="1:44">
      <c r="A10" s="997" t="s">
        <v>992</v>
      </c>
      <c r="B10" s="997" t="s">
        <v>2748</v>
      </c>
      <c r="C10" s="968" t="s">
        <v>44</v>
      </c>
      <c r="D10" s="969"/>
      <c r="E10" s="969"/>
      <c r="F10" s="969"/>
      <c r="G10" s="969"/>
      <c r="H10" s="969"/>
      <c r="I10" s="969"/>
      <c r="J10" s="969"/>
      <c r="K10" s="969"/>
      <c r="L10" s="969"/>
      <c r="M10" s="969"/>
      <c r="N10" s="1048">
        <v>796000000</v>
      </c>
      <c r="O10" s="1048">
        <v>949000000</v>
      </c>
      <c r="P10" s="1048">
        <v>975000000</v>
      </c>
      <c r="Q10" s="1048">
        <v>985000000</v>
      </c>
      <c r="R10" s="1048">
        <v>1007000000</v>
      </c>
      <c r="S10" s="1048">
        <v>1107000000</v>
      </c>
      <c r="T10" s="1048">
        <v>1229000000</v>
      </c>
      <c r="U10" s="1048">
        <v>1315000000</v>
      </c>
      <c r="V10" s="1048">
        <v>1386000000</v>
      </c>
      <c r="W10" s="1048">
        <v>1455000000</v>
      </c>
      <c r="X10" s="1048">
        <v>1527000000</v>
      </c>
      <c r="Y10" s="1008">
        <v>1611000000</v>
      </c>
      <c r="Z10" s="1008">
        <v>1699000000</v>
      </c>
      <c r="AA10" s="464"/>
      <c r="AB10" s="365"/>
      <c r="AC10" s="365"/>
      <c r="AD10" s="365"/>
      <c r="AE10" s="365"/>
      <c r="AF10" s="365"/>
      <c r="AG10" s="365"/>
      <c r="AH10" s="365"/>
      <c r="AI10" s="365"/>
      <c r="AJ10" s="365"/>
      <c r="AK10" s="365"/>
      <c r="AL10" s="365"/>
      <c r="AM10" s="365"/>
      <c r="AN10" s="365"/>
      <c r="AO10" s="365"/>
      <c r="AP10" s="365"/>
      <c r="AQ10" s="365"/>
      <c r="AR10" s="365"/>
    </row>
    <row r="11" spans="1:44">
      <c r="A11" s="997" t="s">
        <v>3603</v>
      </c>
      <c r="B11" s="997" t="s">
        <v>3604</v>
      </c>
      <c r="C11" s="968"/>
      <c r="D11" s="969"/>
      <c r="E11" s="969"/>
      <c r="F11" s="969"/>
      <c r="G11" s="969"/>
      <c r="H11" s="969"/>
      <c r="I11" s="969"/>
      <c r="J11" s="969"/>
      <c r="K11" s="969"/>
      <c r="L11" s="969"/>
      <c r="M11" s="969"/>
      <c r="N11" s="1048">
        <v>-28000000</v>
      </c>
      <c r="O11" s="1048">
        <v>-28000000</v>
      </c>
      <c r="P11" s="1048">
        <v>-33000000</v>
      </c>
      <c r="Q11" s="1048">
        <v>-37000000</v>
      </c>
      <c r="R11" s="1048">
        <v>-33000000</v>
      </c>
      <c r="S11" s="1048">
        <v>-34000000</v>
      </c>
      <c r="T11" s="1048">
        <v>-39000000</v>
      </c>
      <c r="U11" s="1048">
        <v>-58000000</v>
      </c>
      <c r="V11" s="1048">
        <v>-46000000</v>
      </c>
      <c r="W11" s="1048">
        <v>-49000000</v>
      </c>
      <c r="X11" s="1048">
        <v>-52000000</v>
      </c>
      <c r="Y11" s="1008">
        <v>-55000000</v>
      </c>
      <c r="Z11" s="1008">
        <v>-58000000</v>
      </c>
      <c r="AA11" s="365"/>
      <c r="AB11" s="365"/>
      <c r="AC11" s="365"/>
      <c r="AD11" s="365"/>
      <c r="AE11" s="365"/>
      <c r="AF11" s="365"/>
      <c r="AG11" s="365"/>
      <c r="AH11" s="365"/>
      <c r="AI11" s="365"/>
      <c r="AJ11" s="365"/>
      <c r="AK11" s="365"/>
      <c r="AL11" s="365"/>
      <c r="AM11" s="365"/>
      <c r="AN11" s="365"/>
      <c r="AO11" s="365"/>
      <c r="AP11" s="365"/>
      <c r="AQ11" s="365"/>
      <c r="AR11" s="365"/>
    </row>
    <row r="12" spans="1:44">
      <c r="A12" s="988" t="s">
        <v>324</v>
      </c>
      <c r="B12" s="988" t="s">
        <v>3605</v>
      </c>
      <c r="C12" s="981" t="s">
        <v>41</v>
      </c>
      <c r="D12" s="969"/>
      <c r="E12" s="969"/>
      <c r="F12" s="969"/>
      <c r="G12" s="969"/>
      <c r="H12" s="969"/>
      <c r="I12" s="969"/>
      <c r="J12" s="969"/>
      <c r="K12" s="969"/>
      <c r="L12" s="969"/>
      <c r="M12" s="969"/>
      <c r="N12" s="1048">
        <v>208000000</v>
      </c>
      <c r="O12" s="1048">
        <v>205000000</v>
      </c>
      <c r="P12" s="1048">
        <v>172000000</v>
      </c>
      <c r="Q12" s="1048">
        <v>192000000</v>
      </c>
      <c r="R12" s="1048">
        <v>171000000</v>
      </c>
      <c r="S12" s="1048">
        <v>187000000</v>
      </c>
      <c r="T12" s="1048">
        <v>171000000</v>
      </c>
      <c r="U12" s="1048">
        <v>185000000</v>
      </c>
      <c r="V12" s="1048">
        <v>202000000</v>
      </c>
      <c r="W12" s="1048">
        <v>210000000</v>
      </c>
      <c r="X12" s="1048">
        <v>222000000</v>
      </c>
      <c r="Y12" s="1008">
        <v>236000000</v>
      </c>
      <c r="Z12" s="1008">
        <v>251000000</v>
      </c>
      <c r="AA12" s="365"/>
      <c r="AB12" s="365"/>
      <c r="AC12" s="365"/>
      <c r="AD12" s="365"/>
      <c r="AE12" s="365"/>
      <c r="AF12" s="365"/>
      <c r="AG12" s="365"/>
      <c r="AH12" s="365"/>
      <c r="AI12" s="365"/>
      <c r="AJ12" s="365"/>
      <c r="AK12" s="365"/>
      <c r="AL12" s="365"/>
      <c r="AM12" s="365"/>
      <c r="AN12" s="365"/>
      <c r="AO12" s="365"/>
      <c r="AP12" s="365"/>
      <c r="AQ12" s="365"/>
      <c r="AR12" s="365"/>
    </row>
    <row r="13" spans="1:44">
      <c r="A13" s="972" t="s">
        <v>76</v>
      </c>
      <c r="B13" s="997" t="s">
        <v>956</v>
      </c>
      <c r="C13" s="968"/>
      <c r="D13" s="969"/>
      <c r="E13" s="969"/>
      <c r="F13" s="969"/>
      <c r="G13" s="969"/>
      <c r="H13" s="969"/>
      <c r="I13" s="969"/>
      <c r="J13" s="969"/>
      <c r="K13" s="969"/>
      <c r="L13" s="969"/>
      <c r="M13" s="969"/>
      <c r="N13" s="1048">
        <v>85000000</v>
      </c>
      <c r="O13" s="1048">
        <v>60000000</v>
      </c>
      <c r="P13" s="1048">
        <v>45000000</v>
      </c>
      <c r="Q13" s="1048">
        <v>43000000</v>
      </c>
      <c r="R13" s="1048"/>
      <c r="S13" s="1048"/>
      <c r="T13" s="1048"/>
      <c r="U13" s="1048"/>
      <c r="V13" s="1048"/>
      <c r="W13" s="1048"/>
      <c r="X13" s="1048"/>
      <c r="Y13" s="1008"/>
      <c r="Z13" s="1008"/>
      <c r="AA13" s="365"/>
      <c r="AB13" s="365"/>
      <c r="AC13" s="365"/>
      <c r="AD13" s="365"/>
      <c r="AE13" s="365"/>
      <c r="AF13" s="365"/>
      <c r="AG13" s="365"/>
      <c r="AH13" s="365"/>
      <c r="AI13" s="365"/>
      <c r="AJ13" s="365"/>
      <c r="AK13" s="365"/>
      <c r="AL13" s="365"/>
      <c r="AM13" s="365"/>
      <c r="AN13" s="365"/>
      <c r="AO13" s="365"/>
      <c r="AP13" s="365"/>
      <c r="AQ13" s="365"/>
      <c r="AR13" s="365"/>
    </row>
    <row r="14" spans="1:44" s="848" customFormat="1">
      <c r="A14" s="1012" t="s">
        <v>53</v>
      </c>
      <c r="B14" s="1012" t="s">
        <v>53</v>
      </c>
      <c r="C14" s="1058" t="s">
        <v>38</v>
      </c>
      <c r="D14" s="1020"/>
      <c r="E14" s="1020"/>
      <c r="F14" s="1020"/>
      <c r="G14" s="1020"/>
      <c r="H14" s="1020"/>
      <c r="I14" s="1020"/>
      <c r="J14" s="1020"/>
      <c r="K14" s="1020"/>
      <c r="L14" s="1020"/>
      <c r="M14" s="1020"/>
      <c r="N14" s="1054">
        <v>38000000</v>
      </c>
      <c r="O14" s="1054">
        <v>26000000</v>
      </c>
      <c r="P14" s="1054">
        <v>37000000</v>
      </c>
      <c r="Q14" s="1054">
        <v>0</v>
      </c>
      <c r="R14" s="1054">
        <v>0</v>
      </c>
      <c r="S14" s="1054">
        <v>0</v>
      </c>
      <c r="T14" s="1054">
        <v>0</v>
      </c>
      <c r="U14" s="1054">
        <v>0</v>
      </c>
      <c r="V14" s="1054">
        <v>7000000</v>
      </c>
      <c r="W14" s="1054">
        <v>0</v>
      </c>
      <c r="X14" s="1054">
        <v>0</v>
      </c>
      <c r="Y14" s="1018">
        <v>0</v>
      </c>
      <c r="Z14" s="1018">
        <v>0</v>
      </c>
      <c r="AA14" s="916"/>
      <c r="AB14" s="916"/>
      <c r="AC14" s="916"/>
      <c r="AD14" s="916"/>
      <c r="AE14" s="916"/>
      <c r="AF14" s="916"/>
      <c r="AG14" s="916"/>
      <c r="AH14" s="916"/>
      <c r="AI14" s="916"/>
      <c r="AJ14" s="916"/>
      <c r="AK14" s="916"/>
      <c r="AL14" s="916"/>
      <c r="AM14" s="916"/>
      <c r="AN14" s="916"/>
      <c r="AO14" s="916"/>
      <c r="AP14" s="916"/>
      <c r="AQ14" s="916"/>
      <c r="AR14" s="916"/>
    </row>
    <row r="15" spans="1:44">
      <c r="A15" s="988" t="s">
        <v>262</v>
      </c>
      <c r="B15" s="988" t="s">
        <v>2882</v>
      </c>
      <c r="C15" s="981" t="s">
        <v>1993</v>
      </c>
      <c r="D15" s="969"/>
      <c r="E15" s="969"/>
      <c r="F15" s="969"/>
      <c r="G15" s="969"/>
      <c r="H15" s="969"/>
      <c r="I15" s="969"/>
      <c r="J15" s="969"/>
      <c r="K15" s="969"/>
      <c r="L15" s="969"/>
      <c r="M15" s="969"/>
      <c r="N15" s="1048">
        <v>30000000</v>
      </c>
      <c r="O15" s="1048">
        <v>19000000</v>
      </c>
      <c r="P15" s="1048">
        <v>37000000</v>
      </c>
      <c r="Q15" s="1048">
        <v>0</v>
      </c>
      <c r="R15" s="1048"/>
      <c r="S15" s="1048"/>
      <c r="T15" s="1048"/>
      <c r="U15" s="1048"/>
      <c r="V15" s="1048"/>
      <c r="W15" s="1048"/>
      <c r="X15" s="1048"/>
      <c r="Y15" s="1008"/>
      <c r="Z15" s="1008"/>
      <c r="AA15" s="365"/>
      <c r="AB15" s="365"/>
      <c r="AC15" s="365"/>
      <c r="AD15" s="365"/>
      <c r="AE15" s="365"/>
      <c r="AF15" s="365"/>
      <c r="AG15" s="365"/>
      <c r="AH15" s="365"/>
      <c r="AI15" s="365"/>
      <c r="AJ15" s="365"/>
      <c r="AK15" s="365"/>
      <c r="AL15" s="365"/>
      <c r="AM15" s="365"/>
      <c r="AN15" s="365"/>
      <c r="AO15" s="365"/>
      <c r="AP15" s="365"/>
      <c r="AQ15" s="365"/>
      <c r="AR15" s="365"/>
    </row>
    <row r="16" spans="1:44">
      <c r="A16" s="988" t="s">
        <v>3606</v>
      </c>
      <c r="B16" s="988" t="s">
        <v>3607</v>
      </c>
      <c r="C16" s="981" t="s">
        <v>1993</v>
      </c>
      <c r="D16" s="969"/>
      <c r="E16" s="969"/>
      <c r="F16" s="969"/>
      <c r="G16" s="969"/>
      <c r="H16" s="969"/>
      <c r="I16" s="969"/>
      <c r="J16" s="969"/>
      <c r="K16" s="969"/>
      <c r="L16" s="969"/>
      <c r="M16" s="969"/>
      <c r="N16" s="1051"/>
      <c r="O16" s="1048"/>
      <c r="P16" s="1048"/>
      <c r="Q16" s="1048"/>
      <c r="R16" s="1048"/>
      <c r="S16" s="1051"/>
      <c r="T16" s="1051"/>
      <c r="U16" s="1051"/>
      <c r="V16" s="1051"/>
      <c r="W16" s="1051"/>
      <c r="X16" s="1051"/>
      <c r="Y16" s="1008"/>
      <c r="Z16" s="1008"/>
      <c r="AA16" s="365"/>
      <c r="AB16" s="365"/>
      <c r="AC16" s="365"/>
      <c r="AD16" s="365"/>
      <c r="AE16" s="365"/>
      <c r="AF16" s="365"/>
      <c r="AG16" s="365"/>
      <c r="AH16" s="365"/>
      <c r="AI16" s="365"/>
      <c r="AJ16" s="365"/>
      <c r="AK16" s="365"/>
      <c r="AL16" s="365"/>
      <c r="AM16" s="365"/>
      <c r="AN16" s="365"/>
      <c r="AO16" s="365"/>
      <c r="AP16" s="365"/>
      <c r="AQ16" s="365"/>
      <c r="AR16" s="365"/>
    </row>
    <row r="17" spans="1:44">
      <c r="A17" s="988" t="s">
        <v>67</v>
      </c>
      <c r="B17" s="988" t="s">
        <v>67</v>
      </c>
      <c r="C17" s="981" t="s">
        <v>1993</v>
      </c>
      <c r="D17" s="969"/>
      <c r="E17" s="969"/>
      <c r="F17" s="969"/>
      <c r="G17" s="969"/>
      <c r="H17" s="969"/>
      <c r="I17" s="969"/>
      <c r="J17" s="969"/>
      <c r="K17" s="969"/>
      <c r="L17" s="969"/>
      <c r="M17" s="969"/>
      <c r="N17" s="1132">
        <f>N14-N15-N18-N16</f>
        <v>5000000</v>
      </c>
      <c r="O17" s="1132">
        <f>O14-O15-O18-O16</f>
        <v>4000000</v>
      </c>
      <c r="P17" s="1132"/>
      <c r="Q17" s="1132"/>
      <c r="R17" s="1132"/>
      <c r="S17" s="1132"/>
      <c r="T17" s="1132"/>
      <c r="U17" s="1132"/>
      <c r="V17" s="1132"/>
      <c r="W17" s="1132"/>
      <c r="X17" s="1132"/>
      <c r="Y17" s="1008"/>
      <c r="Z17" s="1008"/>
      <c r="AA17" s="365"/>
      <c r="AB17" s="365"/>
      <c r="AC17" s="365"/>
      <c r="AD17" s="365"/>
      <c r="AE17" s="365"/>
      <c r="AF17" s="365"/>
      <c r="AG17" s="365"/>
      <c r="AH17" s="365"/>
      <c r="AI17" s="365"/>
      <c r="AJ17" s="365"/>
      <c r="AK17" s="365"/>
      <c r="AL17" s="365"/>
      <c r="AM17" s="365"/>
      <c r="AN17" s="365"/>
      <c r="AO17" s="365"/>
      <c r="AP17" s="365"/>
      <c r="AQ17" s="365"/>
      <c r="AR17" s="365"/>
    </row>
    <row r="18" spans="1:44" ht="16.899999999999999" customHeight="1">
      <c r="A18" s="988" t="s">
        <v>564</v>
      </c>
      <c r="B18" s="988" t="s">
        <v>2881</v>
      </c>
      <c r="C18" s="981" t="s">
        <v>1993</v>
      </c>
      <c r="D18" s="969"/>
      <c r="E18" s="969"/>
      <c r="F18" s="969"/>
      <c r="G18" s="969"/>
      <c r="H18" s="969"/>
      <c r="I18" s="969"/>
      <c r="J18" s="969"/>
      <c r="K18" s="969"/>
      <c r="L18" s="969"/>
      <c r="M18" s="969"/>
      <c r="N18" s="1048">
        <v>3000000</v>
      </c>
      <c r="O18" s="1048">
        <v>3000000</v>
      </c>
      <c r="P18" s="1048">
        <v>0</v>
      </c>
      <c r="Q18" s="1048">
        <v>0</v>
      </c>
      <c r="R18" s="1048"/>
      <c r="S18" s="1048"/>
      <c r="T18" s="1048"/>
      <c r="U18" s="1048"/>
      <c r="V18" s="1048"/>
      <c r="W18" s="1048"/>
      <c r="X18" s="1048"/>
      <c r="Y18" s="1008"/>
      <c r="Z18" s="1008"/>
      <c r="AA18" s="365"/>
      <c r="AB18" s="365"/>
      <c r="AC18" s="365"/>
      <c r="AD18" s="365"/>
      <c r="AE18" s="365"/>
      <c r="AF18" s="365"/>
      <c r="AG18" s="365"/>
      <c r="AH18" s="365"/>
      <c r="AI18" s="365"/>
      <c r="AJ18" s="365"/>
      <c r="AK18" s="365"/>
      <c r="AL18" s="365"/>
      <c r="AM18" s="365"/>
      <c r="AN18" s="365"/>
      <c r="AO18" s="365"/>
      <c r="AP18" s="365"/>
      <c r="AQ18" s="365"/>
      <c r="AR18" s="365"/>
    </row>
    <row r="19" spans="1:44" s="848" customFormat="1">
      <c r="A19" s="1013" t="s">
        <v>76</v>
      </c>
      <c r="B19" s="1012" t="s">
        <v>2983</v>
      </c>
      <c r="C19" s="1013"/>
      <c r="D19" s="1020"/>
      <c r="E19" s="1020"/>
      <c r="F19" s="1020"/>
      <c r="G19" s="1020"/>
      <c r="H19" s="1020"/>
      <c r="I19" s="1020"/>
      <c r="J19" s="1020"/>
      <c r="K19" s="1020"/>
      <c r="L19" s="1020"/>
      <c r="M19" s="1020"/>
      <c r="N19" s="1054">
        <v>1265000000</v>
      </c>
      <c r="O19" s="1054">
        <v>1382000000</v>
      </c>
      <c r="P19" s="1054">
        <v>1441000000</v>
      </c>
      <c r="Q19" s="1054">
        <v>1469000000</v>
      </c>
      <c r="R19" s="1054"/>
      <c r="S19" s="1054"/>
      <c r="T19" s="1054"/>
      <c r="U19" s="1054"/>
      <c r="V19" s="1054"/>
      <c r="W19" s="1054"/>
      <c r="X19" s="1054"/>
      <c r="Y19" s="1018"/>
      <c r="Z19" s="1018"/>
      <c r="AA19" s="916"/>
      <c r="AB19" s="916"/>
      <c r="AC19" s="916"/>
      <c r="AD19" s="916"/>
      <c r="AE19" s="916"/>
      <c r="AF19" s="916"/>
      <c r="AG19" s="916"/>
      <c r="AH19" s="916"/>
      <c r="AI19" s="916"/>
      <c r="AJ19" s="916"/>
      <c r="AK19" s="916"/>
      <c r="AL19" s="916"/>
      <c r="AM19" s="916"/>
      <c r="AN19" s="916"/>
      <c r="AO19" s="916"/>
      <c r="AP19" s="916"/>
      <c r="AQ19" s="916"/>
      <c r="AR19" s="916"/>
    </row>
    <row r="20" spans="1:44" s="848" customFormat="1">
      <c r="A20" s="1013" t="s">
        <v>198</v>
      </c>
      <c r="B20" s="1012" t="s">
        <v>2983</v>
      </c>
      <c r="C20" s="1413" t="s">
        <v>35</v>
      </c>
      <c r="D20" s="1020"/>
      <c r="E20" s="1020"/>
      <c r="F20" s="1020"/>
      <c r="G20" s="1020"/>
      <c r="H20" s="1020"/>
      <c r="I20" s="1020"/>
      <c r="J20" s="1020"/>
      <c r="K20" s="1020"/>
      <c r="L20" s="1020"/>
      <c r="M20" s="1020"/>
      <c r="N20" s="1059">
        <f>N19</f>
        <v>1265000000</v>
      </c>
      <c r="O20" s="1059">
        <f t="shared" ref="O20:Q20" si="11">O19</f>
        <v>1382000000</v>
      </c>
      <c r="P20" s="1059">
        <f t="shared" si="11"/>
        <v>1441000000</v>
      </c>
      <c r="Q20" s="1059">
        <f t="shared" si="11"/>
        <v>1469000000</v>
      </c>
      <c r="R20" s="1059">
        <f>R23+R30</f>
        <v>1463000000</v>
      </c>
      <c r="S20" s="1059">
        <f t="shared" ref="S20:Z20" si="12">S23+S30</f>
        <v>1551000000</v>
      </c>
      <c r="T20" s="1059">
        <f t="shared" si="12"/>
        <v>1656000000</v>
      </c>
      <c r="U20" s="1059">
        <f t="shared" si="12"/>
        <v>1737000000</v>
      </c>
      <c r="V20" s="1059">
        <f t="shared" si="12"/>
        <v>2000000000</v>
      </c>
      <c r="W20" s="1059">
        <f t="shared" si="12"/>
        <v>2140000000</v>
      </c>
      <c r="X20" s="1059">
        <f t="shared" si="12"/>
        <v>2180000000</v>
      </c>
      <c r="Y20" s="1059">
        <f t="shared" si="12"/>
        <v>2322000000</v>
      </c>
      <c r="Z20" s="1059">
        <f t="shared" si="12"/>
        <v>2443000000</v>
      </c>
      <c r="AA20" s="916"/>
      <c r="AB20" s="916"/>
      <c r="AC20" s="916"/>
      <c r="AD20" s="916"/>
      <c r="AE20" s="916"/>
      <c r="AF20" s="916"/>
      <c r="AG20" s="916"/>
      <c r="AH20" s="916"/>
      <c r="AI20" s="916"/>
      <c r="AJ20" s="916"/>
      <c r="AK20" s="916"/>
      <c r="AL20" s="916"/>
      <c r="AM20" s="916"/>
      <c r="AN20" s="916"/>
      <c r="AO20" s="916"/>
      <c r="AP20" s="916"/>
      <c r="AQ20" s="916"/>
      <c r="AR20" s="916"/>
    </row>
    <row r="21" spans="1:44">
      <c r="A21" s="972" t="s">
        <v>76</v>
      </c>
      <c r="B21" s="988" t="s">
        <v>3608</v>
      </c>
      <c r="C21" s="968"/>
      <c r="D21" s="969"/>
      <c r="E21" s="969"/>
      <c r="F21" s="969"/>
      <c r="G21" s="969"/>
      <c r="H21" s="969"/>
      <c r="I21" s="969"/>
      <c r="J21" s="969"/>
      <c r="K21" s="969"/>
      <c r="L21" s="969"/>
      <c r="M21" s="969"/>
      <c r="N21" s="1048"/>
      <c r="O21" s="1048"/>
      <c r="P21" s="1048"/>
      <c r="Q21" s="1048"/>
      <c r="R21" s="1048"/>
      <c r="S21" s="1048"/>
      <c r="T21" s="1048"/>
      <c r="U21" s="1048"/>
      <c r="V21" s="1048"/>
      <c r="W21" s="1048"/>
      <c r="X21" s="1048"/>
      <c r="Y21" s="1484"/>
      <c r="Z21" s="1484"/>
      <c r="AA21" s="365"/>
      <c r="AB21" s="365"/>
      <c r="AC21" s="365"/>
      <c r="AD21" s="365"/>
      <c r="AE21" s="365"/>
      <c r="AF21" s="365"/>
      <c r="AG21" s="365"/>
      <c r="AH21" s="365"/>
      <c r="AI21" s="365"/>
      <c r="AJ21" s="365"/>
      <c r="AK21" s="365"/>
      <c r="AL21" s="365"/>
      <c r="AM21" s="365"/>
      <c r="AN21" s="365"/>
      <c r="AO21" s="365"/>
      <c r="AP21" s="365"/>
      <c r="AQ21" s="365"/>
      <c r="AR21" s="365"/>
    </row>
    <row r="22" spans="1:44">
      <c r="A22" s="972" t="s">
        <v>76</v>
      </c>
      <c r="B22" s="988" t="s">
        <v>3609</v>
      </c>
      <c r="C22" s="968"/>
      <c r="D22" s="969"/>
      <c r="E22" s="969"/>
      <c r="F22" s="969"/>
      <c r="G22" s="969"/>
      <c r="H22" s="969"/>
      <c r="I22" s="969"/>
      <c r="J22" s="969"/>
      <c r="K22" s="969"/>
      <c r="L22" s="969"/>
      <c r="M22" s="969"/>
      <c r="N22" s="1048">
        <v>0</v>
      </c>
      <c r="O22" s="1048">
        <v>0</v>
      </c>
      <c r="P22" s="1048">
        <v>6000000</v>
      </c>
      <c r="Q22" s="1048">
        <v>7000000</v>
      </c>
      <c r="R22" s="1048">
        <f>R24+R25+R26+R29</f>
        <v>1059000000</v>
      </c>
      <c r="S22" s="1048"/>
      <c r="T22" s="1048"/>
      <c r="U22" s="1048"/>
      <c r="V22" s="1048"/>
      <c r="W22" s="1048"/>
      <c r="X22" s="1048"/>
      <c r="Y22" s="1484"/>
      <c r="Z22" s="1484"/>
      <c r="AA22" s="365"/>
      <c r="AB22" s="365"/>
      <c r="AC22" s="365"/>
      <c r="AD22" s="365"/>
      <c r="AE22" s="365"/>
      <c r="AF22" s="365"/>
      <c r="AG22" s="365"/>
      <c r="AH22" s="365"/>
      <c r="AI22" s="365"/>
      <c r="AJ22" s="365"/>
      <c r="AK22" s="365"/>
      <c r="AL22" s="365"/>
      <c r="AM22" s="365"/>
      <c r="AN22" s="365"/>
      <c r="AO22" s="365"/>
      <c r="AP22" s="365"/>
      <c r="AQ22" s="365"/>
      <c r="AR22" s="365"/>
    </row>
    <row r="23" spans="1:44">
      <c r="A23" s="972" t="s">
        <v>73</v>
      </c>
      <c r="B23" s="981" t="s">
        <v>1431</v>
      </c>
      <c r="C23" s="981" t="s">
        <v>201</v>
      </c>
      <c r="D23" s="969"/>
      <c r="E23" s="969"/>
      <c r="F23" s="969"/>
      <c r="G23" s="969"/>
      <c r="H23" s="969"/>
      <c r="I23" s="969"/>
      <c r="J23" s="969"/>
      <c r="K23" s="969"/>
      <c r="L23" s="969"/>
      <c r="M23" s="969"/>
      <c r="N23" s="1048">
        <v>762000000</v>
      </c>
      <c r="O23" s="1048">
        <v>832000000</v>
      </c>
      <c r="P23" s="1048">
        <v>888000000</v>
      </c>
      <c r="Q23" s="1048">
        <v>950000000</v>
      </c>
      <c r="R23" s="1048">
        <v>1059000000</v>
      </c>
      <c r="S23" s="1048">
        <v>1156000000</v>
      </c>
      <c r="T23" s="1048">
        <v>1230000000</v>
      </c>
      <c r="U23" s="1048">
        <v>1280000000</v>
      </c>
      <c r="V23" s="1048">
        <v>1387000000</v>
      </c>
      <c r="W23" s="1048">
        <v>1463000000</v>
      </c>
      <c r="X23" s="1048">
        <v>1546000000</v>
      </c>
      <c r="Y23" s="1008">
        <v>1637000000</v>
      </c>
      <c r="Z23" s="1008">
        <v>1738000000</v>
      </c>
      <c r="AA23" s="365"/>
      <c r="AB23" s="365"/>
      <c r="AC23" s="365"/>
      <c r="AD23" s="365"/>
      <c r="AE23" s="365"/>
      <c r="AF23" s="365"/>
      <c r="AG23" s="365"/>
      <c r="AH23" s="365"/>
      <c r="AI23" s="365"/>
      <c r="AJ23" s="365"/>
      <c r="AK23" s="365"/>
      <c r="AL23" s="365"/>
      <c r="AM23" s="365"/>
      <c r="AN23" s="365"/>
      <c r="AO23" s="365"/>
      <c r="AP23" s="365"/>
      <c r="AQ23" s="365"/>
      <c r="AR23" s="365"/>
    </row>
    <row r="24" spans="1:44">
      <c r="A24" s="988" t="s">
        <v>79</v>
      </c>
      <c r="B24" s="988" t="s">
        <v>1432</v>
      </c>
      <c r="C24" s="981" t="s">
        <v>204</v>
      </c>
      <c r="D24" s="969"/>
      <c r="E24" s="969"/>
      <c r="F24" s="969"/>
      <c r="G24" s="969"/>
      <c r="H24" s="969"/>
      <c r="I24" s="969"/>
      <c r="J24" s="969"/>
      <c r="K24" s="969"/>
      <c r="L24" s="969"/>
      <c r="M24" s="969"/>
      <c r="N24" s="1048">
        <v>311000000</v>
      </c>
      <c r="O24" s="1048">
        <v>385000000</v>
      </c>
      <c r="P24" s="1048">
        <v>408000000</v>
      </c>
      <c r="Q24" s="1048">
        <v>417000000</v>
      </c>
      <c r="R24" s="1048">
        <v>485000000</v>
      </c>
      <c r="S24" s="1048">
        <v>525000000</v>
      </c>
      <c r="T24" s="1048">
        <v>544000000</v>
      </c>
      <c r="U24" s="1048">
        <v>550000000</v>
      </c>
      <c r="V24" s="1048">
        <v>590000000</v>
      </c>
      <c r="W24" s="1048">
        <v>621000000</v>
      </c>
      <c r="X24" s="1048">
        <v>656000000</v>
      </c>
      <c r="Y24" s="1008">
        <v>693000000</v>
      </c>
      <c r="Z24" s="1008">
        <v>736000000</v>
      </c>
      <c r="AA24" s="365"/>
      <c r="AB24" s="365"/>
      <c r="AC24" s="365"/>
      <c r="AD24" s="365"/>
      <c r="AE24" s="365"/>
      <c r="AF24" s="365"/>
      <c r="AG24" s="365"/>
      <c r="AH24" s="365"/>
      <c r="AI24" s="365"/>
      <c r="AJ24" s="365"/>
      <c r="AK24" s="365"/>
      <c r="AL24" s="365"/>
      <c r="AM24" s="365"/>
      <c r="AN24" s="365"/>
      <c r="AO24" s="365"/>
      <c r="AP24" s="365"/>
      <c r="AQ24" s="365"/>
      <c r="AR24" s="365"/>
    </row>
    <row r="25" spans="1:44">
      <c r="A25" s="988" t="s">
        <v>83</v>
      </c>
      <c r="B25" s="988" t="s">
        <v>1433</v>
      </c>
      <c r="C25" s="981" t="s">
        <v>204</v>
      </c>
      <c r="D25" s="969"/>
      <c r="E25" s="969"/>
      <c r="F25" s="969"/>
      <c r="G25" s="969"/>
      <c r="H25" s="969"/>
      <c r="I25" s="969"/>
      <c r="J25" s="969"/>
      <c r="K25" s="969"/>
      <c r="L25" s="969"/>
      <c r="M25" s="969"/>
      <c r="N25" s="1048">
        <v>182000000</v>
      </c>
      <c r="O25" s="1048">
        <v>177000000</v>
      </c>
      <c r="P25" s="1048">
        <v>191000000</v>
      </c>
      <c r="Q25" s="1048">
        <v>216000000</v>
      </c>
      <c r="R25" s="1048">
        <v>206000000</v>
      </c>
      <c r="S25" s="1048">
        <v>204000000</v>
      </c>
      <c r="T25" s="1048">
        <v>202000000</v>
      </c>
      <c r="U25" s="1048">
        <v>224000000</v>
      </c>
      <c r="V25" s="1048">
        <v>266000000</v>
      </c>
      <c r="W25" s="1048">
        <v>281000000</v>
      </c>
      <c r="X25" s="1048">
        <v>297000000</v>
      </c>
      <c r="Y25" s="1008">
        <v>315000000</v>
      </c>
      <c r="Z25" s="1008">
        <v>335000000</v>
      </c>
      <c r="AA25" s="365"/>
      <c r="AB25" s="365"/>
      <c r="AC25" s="365"/>
      <c r="AD25" s="365"/>
      <c r="AE25" s="365"/>
      <c r="AF25" s="365"/>
      <c r="AG25" s="365"/>
      <c r="AH25" s="365"/>
      <c r="AI25" s="365"/>
      <c r="AJ25" s="365"/>
      <c r="AK25" s="365"/>
      <c r="AL25" s="365"/>
      <c r="AM25" s="365"/>
      <c r="AN25" s="365"/>
      <c r="AO25" s="365"/>
      <c r="AP25" s="365"/>
      <c r="AQ25" s="365"/>
      <c r="AR25" s="365"/>
    </row>
    <row r="26" spans="1:44">
      <c r="A26" s="988" t="s">
        <v>85</v>
      </c>
      <c r="B26" s="988" t="s">
        <v>1438</v>
      </c>
      <c r="C26" s="981" t="s">
        <v>204</v>
      </c>
      <c r="D26" s="969"/>
      <c r="E26" s="969"/>
      <c r="F26" s="969"/>
      <c r="G26" s="969"/>
      <c r="H26" s="969"/>
      <c r="I26" s="969"/>
      <c r="J26" s="969"/>
      <c r="K26" s="969"/>
      <c r="L26" s="969"/>
      <c r="M26" s="969"/>
      <c r="N26" s="1048">
        <v>268000000</v>
      </c>
      <c r="O26" s="1048">
        <v>270000000</v>
      </c>
      <c r="P26" s="1048">
        <v>289000000</v>
      </c>
      <c r="Q26" s="1048">
        <v>318000000</v>
      </c>
      <c r="R26" s="1048">
        <v>368000000</v>
      </c>
      <c r="S26" s="1048">
        <v>427000000</v>
      </c>
      <c r="T26" s="1048">
        <v>485000000</v>
      </c>
      <c r="U26" s="1048">
        <v>506000000</v>
      </c>
      <c r="V26" s="1048">
        <v>526000000</v>
      </c>
      <c r="W26" s="1048">
        <v>556000000</v>
      </c>
      <c r="X26" s="1048">
        <v>588000000</v>
      </c>
      <c r="Y26" s="1008">
        <v>623000000</v>
      </c>
      <c r="Z26" s="1008">
        <v>662000000</v>
      </c>
      <c r="AA26" s="365"/>
      <c r="AB26" s="365"/>
      <c r="AC26" s="365"/>
      <c r="AD26" s="365"/>
      <c r="AE26" s="365"/>
      <c r="AF26" s="365"/>
      <c r="AG26" s="365"/>
      <c r="AH26" s="365"/>
      <c r="AI26" s="365"/>
      <c r="AJ26" s="365"/>
      <c r="AK26" s="365"/>
      <c r="AL26" s="365"/>
      <c r="AM26" s="365"/>
      <c r="AN26" s="365"/>
      <c r="AO26" s="365"/>
      <c r="AP26" s="365"/>
      <c r="AQ26" s="365"/>
      <c r="AR26" s="365"/>
    </row>
    <row r="27" spans="1:44">
      <c r="A27" s="997" t="s">
        <v>3610</v>
      </c>
      <c r="B27" s="997" t="s">
        <v>3611</v>
      </c>
      <c r="C27" s="968" t="s">
        <v>1441</v>
      </c>
      <c r="D27" s="969"/>
      <c r="E27" s="969"/>
      <c r="F27" s="969"/>
      <c r="G27" s="969"/>
      <c r="H27" s="969"/>
      <c r="I27" s="969"/>
      <c r="J27" s="969"/>
      <c r="K27" s="969"/>
      <c r="L27" s="969"/>
      <c r="M27" s="969"/>
      <c r="N27" s="1048">
        <v>166000000</v>
      </c>
      <c r="O27" s="1048">
        <v>178000000</v>
      </c>
      <c r="P27" s="1048">
        <v>198000000</v>
      </c>
      <c r="Q27" s="1048">
        <v>225000000</v>
      </c>
      <c r="R27" s="1048">
        <v>347000000</v>
      </c>
      <c r="S27" s="1048">
        <v>399000000</v>
      </c>
      <c r="T27" s="1048">
        <v>466000000</v>
      </c>
      <c r="U27" s="1048">
        <v>486000000</v>
      </c>
      <c r="V27" s="1048">
        <v>505000000</v>
      </c>
      <c r="W27" s="1048">
        <v>534000000</v>
      </c>
      <c r="X27" s="1048">
        <v>565000000</v>
      </c>
      <c r="Y27" s="1008">
        <v>599000000</v>
      </c>
      <c r="Z27" s="1008">
        <v>636000000</v>
      </c>
      <c r="AA27" s="365"/>
      <c r="AB27" s="365"/>
      <c r="AC27" s="365"/>
      <c r="AD27" s="365"/>
      <c r="AE27" s="365"/>
      <c r="AF27" s="365"/>
      <c r="AG27" s="365"/>
      <c r="AH27" s="365"/>
      <c r="AI27" s="365"/>
      <c r="AJ27" s="365"/>
      <c r="AK27" s="365"/>
      <c r="AL27" s="365"/>
      <c r="AM27" s="365"/>
      <c r="AN27" s="365"/>
      <c r="AO27" s="365"/>
      <c r="AP27" s="365"/>
      <c r="AQ27" s="365"/>
      <c r="AR27" s="365"/>
    </row>
    <row r="28" spans="1:44">
      <c r="A28" s="997" t="s">
        <v>3612</v>
      </c>
      <c r="B28" s="997" t="s">
        <v>3613</v>
      </c>
      <c r="C28" s="968" t="s">
        <v>1441</v>
      </c>
      <c r="D28" s="969"/>
      <c r="E28" s="969"/>
      <c r="F28" s="969"/>
      <c r="G28" s="969"/>
      <c r="H28" s="969"/>
      <c r="I28" s="969"/>
      <c r="J28" s="969"/>
      <c r="K28" s="969"/>
      <c r="L28" s="969"/>
      <c r="M28" s="969"/>
      <c r="N28" s="1048">
        <v>103000000</v>
      </c>
      <c r="O28" s="1048">
        <v>92000000</v>
      </c>
      <c r="P28" s="1048">
        <v>91000000</v>
      </c>
      <c r="Q28" s="1048">
        <v>93000000</v>
      </c>
      <c r="R28" s="1048">
        <v>21000000</v>
      </c>
      <c r="S28" s="1048">
        <v>29000000</v>
      </c>
      <c r="T28" s="1048">
        <v>19000000</v>
      </c>
      <c r="U28" s="1048">
        <v>20000000</v>
      </c>
      <c r="V28" s="1048">
        <v>21000000</v>
      </c>
      <c r="W28" s="1048">
        <v>22000000</v>
      </c>
      <c r="X28" s="1048">
        <v>23000000</v>
      </c>
      <c r="Y28" s="1008">
        <v>24000000</v>
      </c>
      <c r="Z28" s="1008">
        <v>26000000</v>
      </c>
      <c r="AA28" s="365"/>
      <c r="AB28" s="365"/>
      <c r="AC28" s="365"/>
      <c r="AD28" s="365"/>
      <c r="AE28" s="365"/>
      <c r="AF28" s="365"/>
      <c r="AG28" s="365"/>
      <c r="AH28" s="365"/>
      <c r="AI28" s="365"/>
      <c r="AJ28" s="365"/>
      <c r="AK28" s="365"/>
      <c r="AL28" s="365"/>
      <c r="AM28" s="365"/>
      <c r="AN28" s="365"/>
      <c r="AO28" s="365"/>
      <c r="AP28" s="365"/>
      <c r="AQ28" s="365"/>
      <c r="AR28" s="365"/>
    </row>
    <row r="29" spans="1:44">
      <c r="A29" s="988" t="s">
        <v>3614</v>
      </c>
      <c r="B29" s="988" t="s">
        <v>3614</v>
      </c>
      <c r="C29" s="981" t="s">
        <v>204</v>
      </c>
      <c r="D29" s="969"/>
      <c r="E29" s="969"/>
      <c r="F29" s="969"/>
      <c r="G29" s="969"/>
      <c r="H29" s="969"/>
      <c r="I29" s="969"/>
      <c r="J29" s="969"/>
      <c r="K29" s="969"/>
      <c r="L29" s="969"/>
      <c r="M29" s="969"/>
      <c r="N29" s="1048">
        <v>0</v>
      </c>
      <c r="O29" s="1048">
        <v>0</v>
      </c>
      <c r="P29" s="1048">
        <v>0</v>
      </c>
      <c r="Q29" s="1048">
        <v>0</v>
      </c>
      <c r="R29" s="1048">
        <v>0</v>
      </c>
      <c r="S29" s="1048">
        <v>0</v>
      </c>
      <c r="T29" s="1048">
        <v>0</v>
      </c>
      <c r="U29" s="1048">
        <v>0</v>
      </c>
      <c r="V29" s="1048">
        <v>5000000</v>
      </c>
      <c r="W29" s="1048">
        <v>5000000</v>
      </c>
      <c r="X29" s="1048">
        <v>5000000</v>
      </c>
      <c r="Y29" s="1008">
        <v>5000000</v>
      </c>
      <c r="Z29" s="1008">
        <v>5000000</v>
      </c>
      <c r="AA29" s="365"/>
      <c r="AB29" s="365"/>
      <c r="AC29" s="365"/>
      <c r="AD29" s="365"/>
      <c r="AE29" s="365"/>
      <c r="AF29" s="365"/>
      <c r="AG29" s="365"/>
      <c r="AH29" s="365"/>
      <c r="AI29" s="365"/>
      <c r="AJ29" s="365"/>
      <c r="AK29" s="365"/>
      <c r="AL29" s="365"/>
      <c r="AM29" s="365"/>
      <c r="AN29" s="365"/>
      <c r="AO29" s="365"/>
      <c r="AP29" s="365"/>
      <c r="AQ29" s="365"/>
      <c r="AR29" s="365"/>
    </row>
    <row r="30" spans="1:44">
      <c r="A30" s="981" t="s">
        <v>237</v>
      </c>
      <c r="B30" s="981" t="s">
        <v>2948</v>
      </c>
      <c r="C30" s="981" t="s">
        <v>201</v>
      </c>
      <c r="D30" s="969"/>
      <c r="E30" s="969"/>
      <c r="F30" s="969"/>
      <c r="G30" s="969"/>
      <c r="H30" s="969"/>
      <c r="I30" s="969"/>
      <c r="J30" s="969"/>
      <c r="K30" s="969"/>
      <c r="L30" s="969"/>
      <c r="M30" s="969"/>
      <c r="N30" s="1048">
        <v>503000000</v>
      </c>
      <c r="O30" s="1048">
        <v>550000000</v>
      </c>
      <c r="P30" s="1048">
        <v>553000000</v>
      </c>
      <c r="Q30" s="1048">
        <v>518000000</v>
      </c>
      <c r="R30" s="1048">
        <v>404000000</v>
      </c>
      <c r="S30" s="1048">
        <v>395000000</v>
      </c>
      <c r="T30" s="1048">
        <v>426000000</v>
      </c>
      <c r="U30" s="1048">
        <v>457000000</v>
      </c>
      <c r="V30" s="1048">
        <v>613000000</v>
      </c>
      <c r="W30" s="1048">
        <v>677000000</v>
      </c>
      <c r="X30" s="1048">
        <v>634000000</v>
      </c>
      <c r="Y30" s="1008">
        <v>685000000</v>
      </c>
      <c r="Z30" s="1008">
        <v>705000000</v>
      </c>
      <c r="AA30" s="365"/>
      <c r="AB30" s="365"/>
      <c r="AC30" s="365"/>
      <c r="AD30" s="365"/>
      <c r="AE30" s="365"/>
      <c r="AF30" s="365"/>
      <c r="AG30" s="365"/>
      <c r="AH30" s="365"/>
      <c r="AI30" s="365"/>
      <c r="AJ30" s="365"/>
      <c r="AK30" s="365"/>
      <c r="AL30" s="365"/>
      <c r="AM30" s="365"/>
      <c r="AN30" s="365"/>
      <c r="AO30" s="365"/>
      <c r="AP30" s="365"/>
      <c r="AQ30" s="365"/>
      <c r="AR30" s="365"/>
    </row>
    <row r="31" spans="1:44">
      <c r="A31" s="981"/>
      <c r="B31" s="981" t="s">
        <v>1442</v>
      </c>
      <c r="C31" s="981"/>
      <c r="D31" s="969"/>
      <c r="E31" s="969"/>
      <c r="F31" s="969"/>
      <c r="G31" s="969"/>
      <c r="H31" s="969"/>
      <c r="I31" s="969"/>
      <c r="J31" s="969"/>
      <c r="K31" s="969"/>
      <c r="L31" s="969"/>
      <c r="M31" s="969"/>
      <c r="N31" s="1048">
        <v>443000000</v>
      </c>
      <c r="O31" s="1048">
        <v>520000000</v>
      </c>
      <c r="P31" s="1048">
        <v>541000000</v>
      </c>
      <c r="Q31" s="1048">
        <v>524000000</v>
      </c>
      <c r="R31" s="1048">
        <v>404000000</v>
      </c>
      <c r="S31" s="1048">
        <v>395000000</v>
      </c>
      <c r="T31" s="1048">
        <v>434000000</v>
      </c>
      <c r="U31" s="1048">
        <v>468000000</v>
      </c>
      <c r="V31" s="1048">
        <v>546000000</v>
      </c>
      <c r="W31" s="1048">
        <v>550000000</v>
      </c>
      <c r="X31" s="1048">
        <v>570000000</v>
      </c>
      <c r="Y31" s="1008">
        <v>600000000</v>
      </c>
      <c r="Z31" s="1008">
        <v>620000000</v>
      </c>
      <c r="AA31" s="365"/>
      <c r="AB31" s="365"/>
      <c r="AC31" s="365"/>
      <c r="AD31" s="365"/>
      <c r="AE31" s="365"/>
      <c r="AF31" s="365"/>
      <c r="AG31" s="365"/>
      <c r="AH31" s="365"/>
      <c r="AI31" s="365"/>
      <c r="AJ31" s="365"/>
      <c r="AK31" s="365"/>
      <c r="AL31" s="365"/>
      <c r="AM31" s="365"/>
      <c r="AN31" s="365"/>
      <c r="AO31" s="365"/>
      <c r="AP31" s="365"/>
      <c r="AQ31" s="365"/>
      <c r="AR31" s="365"/>
    </row>
    <row r="32" spans="1:44">
      <c r="A32" s="988"/>
      <c r="B32" s="988" t="s">
        <v>3615</v>
      </c>
      <c r="C32" s="981"/>
      <c r="D32" s="969"/>
      <c r="E32" s="969"/>
      <c r="F32" s="969"/>
      <c r="G32" s="969"/>
      <c r="H32" s="969"/>
      <c r="I32" s="969"/>
      <c r="J32" s="969"/>
      <c r="K32" s="969"/>
      <c r="L32" s="969"/>
      <c r="M32" s="969"/>
      <c r="N32" s="1048">
        <v>123000000</v>
      </c>
      <c r="O32" s="1048">
        <v>259000000</v>
      </c>
      <c r="P32" s="1048">
        <v>281000000</v>
      </c>
      <c r="Q32" s="1048">
        <v>215000000</v>
      </c>
      <c r="R32" s="1048"/>
      <c r="S32" s="1048"/>
      <c r="T32" s="1048"/>
      <c r="U32" s="1048"/>
      <c r="V32" s="1048"/>
      <c r="W32" s="1048"/>
      <c r="X32" s="1048"/>
      <c r="Y32" s="1008"/>
      <c r="Z32" s="1008"/>
      <c r="AA32" s="365"/>
      <c r="AB32" s="365"/>
      <c r="AC32" s="365"/>
      <c r="AD32" s="365"/>
      <c r="AE32" s="365"/>
      <c r="AF32" s="365"/>
      <c r="AG32" s="365"/>
      <c r="AH32" s="365"/>
      <c r="AI32" s="365"/>
      <c r="AJ32" s="365"/>
      <c r="AK32" s="365"/>
      <c r="AL32" s="365"/>
      <c r="AM32" s="365"/>
      <c r="AN32" s="365"/>
      <c r="AO32" s="365"/>
      <c r="AP32" s="365"/>
      <c r="AQ32" s="365"/>
      <c r="AR32" s="365"/>
    </row>
    <row r="33" spans="1:44">
      <c r="A33" s="997"/>
      <c r="B33" s="997" t="s">
        <v>3616</v>
      </c>
      <c r="C33" s="968"/>
      <c r="D33" s="969"/>
      <c r="E33" s="969"/>
      <c r="F33" s="969"/>
      <c r="G33" s="969"/>
      <c r="H33" s="969"/>
      <c r="I33" s="969"/>
      <c r="J33" s="969"/>
      <c r="K33" s="969"/>
      <c r="L33" s="969"/>
      <c r="M33" s="969"/>
      <c r="N33" s="1048">
        <v>0</v>
      </c>
      <c r="O33" s="1048">
        <v>0</v>
      </c>
      <c r="P33" s="1048">
        <v>281000000</v>
      </c>
      <c r="Q33" s="1048">
        <v>215000000</v>
      </c>
      <c r="R33" s="1048"/>
      <c r="S33" s="1048"/>
      <c r="T33" s="1048"/>
      <c r="U33" s="1048"/>
      <c r="V33" s="1048"/>
      <c r="W33" s="1048"/>
      <c r="X33" s="1048"/>
      <c r="Y33" s="1008"/>
      <c r="Z33" s="1008"/>
      <c r="AA33" s="365"/>
      <c r="AB33" s="365"/>
      <c r="AC33" s="365"/>
      <c r="AD33" s="365"/>
      <c r="AE33" s="365"/>
      <c r="AF33" s="365"/>
      <c r="AG33" s="365"/>
      <c r="AH33" s="365"/>
      <c r="AI33" s="365"/>
      <c r="AJ33" s="365"/>
      <c r="AK33" s="365"/>
      <c r="AL33" s="365"/>
      <c r="AM33" s="365"/>
      <c r="AN33" s="365"/>
      <c r="AO33" s="365"/>
      <c r="AP33" s="365"/>
      <c r="AQ33" s="365"/>
      <c r="AR33" s="365"/>
    </row>
    <row r="34" spans="1:44">
      <c r="A34" s="997"/>
      <c r="B34" s="997" t="s">
        <v>3617</v>
      </c>
      <c r="C34" s="968"/>
      <c r="D34" s="969"/>
      <c r="E34" s="969"/>
      <c r="F34" s="969"/>
      <c r="G34" s="969"/>
      <c r="H34" s="969"/>
      <c r="I34" s="969"/>
      <c r="J34" s="969"/>
      <c r="K34" s="969"/>
      <c r="L34" s="969"/>
      <c r="M34" s="969"/>
      <c r="N34" s="1048">
        <v>0</v>
      </c>
      <c r="O34" s="1048">
        <v>0</v>
      </c>
      <c r="P34" s="1048">
        <v>0</v>
      </c>
      <c r="Q34" s="1048">
        <v>0</v>
      </c>
      <c r="R34" s="1048"/>
      <c r="S34" s="1048"/>
      <c r="T34" s="1048"/>
      <c r="U34" s="1048"/>
      <c r="V34" s="1048"/>
      <c r="W34" s="1048"/>
      <c r="X34" s="1048"/>
      <c r="Y34" s="1008"/>
      <c r="Z34" s="1008"/>
      <c r="AA34" s="365"/>
      <c r="AB34" s="365"/>
      <c r="AC34" s="365"/>
      <c r="AD34" s="365"/>
      <c r="AE34" s="365"/>
      <c r="AF34" s="365"/>
      <c r="AG34" s="365"/>
      <c r="AH34" s="365"/>
      <c r="AI34" s="365"/>
      <c r="AJ34" s="365"/>
      <c r="AK34" s="365"/>
      <c r="AL34" s="365"/>
      <c r="AM34" s="365"/>
      <c r="AN34" s="365"/>
      <c r="AO34" s="365"/>
      <c r="AP34" s="365"/>
      <c r="AQ34" s="365"/>
      <c r="AR34" s="365"/>
    </row>
    <row r="35" spans="1:44">
      <c r="A35" s="997"/>
      <c r="B35" s="997" t="s">
        <v>3618</v>
      </c>
      <c r="C35" s="981"/>
      <c r="D35" s="969"/>
      <c r="E35" s="969"/>
      <c r="F35" s="969"/>
      <c r="G35" s="969"/>
      <c r="H35" s="969"/>
      <c r="I35" s="969"/>
      <c r="J35" s="969"/>
      <c r="K35" s="969"/>
      <c r="L35" s="969"/>
      <c r="M35" s="969"/>
      <c r="N35" s="1048">
        <v>0</v>
      </c>
      <c r="O35" s="1048">
        <v>0</v>
      </c>
      <c r="P35" s="1048">
        <v>0</v>
      </c>
      <c r="Q35" s="1048">
        <v>0</v>
      </c>
      <c r="R35" s="1048">
        <v>21000000</v>
      </c>
      <c r="S35" s="1048">
        <v>27000000</v>
      </c>
      <c r="T35" s="1048">
        <v>27000000</v>
      </c>
      <c r="U35" s="1048">
        <v>30000000</v>
      </c>
      <c r="V35" s="1048">
        <v>25000000</v>
      </c>
      <c r="W35" s="1048">
        <v>0</v>
      </c>
      <c r="X35" s="1048">
        <v>0</v>
      </c>
      <c r="Y35" s="1008">
        <v>0</v>
      </c>
      <c r="Z35" s="1008">
        <v>0</v>
      </c>
      <c r="AA35" s="365"/>
      <c r="AB35" s="365"/>
      <c r="AC35" s="365"/>
      <c r="AD35" s="365"/>
      <c r="AE35" s="365"/>
      <c r="AF35" s="365"/>
      <c r="AG35" s="365"/>
      <c r="AH35" s="365"/>
      <c r="AI35" s="365"/>
      <c r="AJ35" s="365"/>
      <c r="AK35" s="365"/>
      <c r="AL35" s="365"/>
      <c r="AM35" s="365"/>
      <c r="AN35" s="365"/>
      <c r="AO35" s="365"/>
      <c r="AP35" s="365"/>
      <c r="AQ35" s="365"/>
      <c r="AR35" s="365"/>
    </row>
    <row r="36" spans="1:44">
      <c r="A36" s="988"/>
      <c r="B36" s="988" t="s">
        <v>3619</v>
      </c>
      <c r="C36" s="981"/>
      <c r="D36" s="969"/>
      <c r="E36" s="969"/>
      <c r="F36" s="969"/>
      <c r="G36" s="969"/>
      <c r="H36" s="969"/>
      <c r="I36" s="969"/>
      <c r="J36" s="969"/>
      <c r="K36" s="969"/>
      <c r="L36" s="969"/>
      <c r="M36" s="969"/>
      <c r="N36" s="1048">
        <v>320000000</v>
      </c>
      <c r="O36" s="1048">
        <v>261000000</v>
      </c>
      <c r="P36" s="1048">
        <v>260000000</v>
      </c>
      <c r="Q36" s="1048">
        <v>309000000</v>
      </c>
      <c r="R36" s="1415">
        <f>R31-R35</f>
        <v>383000000</v>
      </c>
      <c r="S36" s="1415">
        <f t="shared" ref="S36:Z36" si="13">S31-S35</f>
        <v>368000000</v>
      </c>
      <c r="T36" s="1415">
        <f t="shared" si="13"/>
        <v>407000000</v>
      </c>
      <c r="U36" s="1415">
        <f t="shared" si="13"/>
        <v>438000000</v>
      </c>
      <c r="V36" s="1415">
        <f t="shared" si="13"/>
        <v>521000000</v>
      </c>
      <c r="W36" s="1415">
        <f t="shared" si="13"/>
        <v>550000000</v>
      </c>
      <c r="X36" s="1415">
        <f t="shared" si="13"/>
        <v>570000000</v>
      </c>
      <c r="Y36" s="1009">
        <f t="shared" si="13"/>
        <v>600000000</v>
      </c>
      <c r="Z36" s="1009">
        <f t="shared" si="13"/>
        <v>620000000</v>
      </c>
      <c r="AA36" s="365"/>
      <c r="AB36" s="365"/>
      <c r="AC36" s="365"/>
      <c r="AD36" s="365"/>
      <c r="AE36" s="365"/>
      <c r="AF36" s="365"/>
      <c r="AG36" s="365"/>
      <c r="AH36" s="365"/>
      <c r="AI36" s="365"/>
      <c r="AJ36" s="365"/>
      <c r="AK36" s="365"/>
      <c r="AL36" s="365"/>
      <c r="AM36" s="365"/>
      <c r="AN36" s="365"/>
      <c r="AO36" s="365"/>
      <c r="AP36" s="365"/>
      <c r="AQ36" s="365"/>
      <c r="AR36" s="365"/>
    </row>
    <row r="37" spans="1:44">
      <c r="A37" s="981"/>
      <c r="B37" s="981" t="s">
        <v>588</v>
      </c>
      <c r="C37" s="981"/>
      <c r="D37" s="969"/>
      <c r="E37" s="969"/>
      <c r="F37" s="969"/>
      <c r="G37" s="969"/>
      <c r="H37" s="969"/>
      <c r="I37" s="969"/>
      <c r="J37" s="969"/>
      <c r="K37" s="969"/>
      <c r="L37" s="969"/>
      <c r="M37" s="969"/>
      <c r="N37" s="1048">
        <v>60000000</v>
      </c>
      <c r="O37" s="1048">
        <v>30000000</v>
      </c>
      <c r="P37" s="1048">
        <v>12000000</v>
      </c>
      <c r="Q37" s="1048">
        <v>-6000000</v>
      </c>
      <c r="R37" s="1048">
        <v>0</v>
      </c>
      <c r="S37" s="1048">
        <v>0</v>
      </c>
      <c r="T37" s="1048">
        <v>-7000000</v>
      </c>
      <c r="U37" s="1048">
        <v>-11000000</v>
      </c>
      <c r="V37" s="1048">
        <v>0</v>
      </c>
      <c r="W37" s="1048">
        <v>0</v>
      </c>
      <c r="X37" s="1048">
        <v>0</v>
      </c>
      <c r="Y37" s="1008">
        <v>0</v>
      </c>
      <c r="Z37" s="1008">
        <v>0</v>
      </c>
      <c r="AA37" s="365"/>
      <c r="AB37" s="365"/>
      <c r="AC37" s="365"/>
      <c r="AD37" s="365"/>
      <c r="AE37" s="365"/>
      <c r="AF37" s="365"/>
      <c r="AG37" s="365"/>
      <c r="AH37" s="365"/>
      <c r="AI37" s="365"/>
      <c r="AJ37" s="365"/>
      <c r="AK37" s="365"/>
      <c r="AL37" s="365"/>
      <c r="AM37" s="365"/>
      <c r="AN37" s="365"/>
      <c r="AO37" s="365"/>
      <c r="AP37" s="365"/>
      <c r="AQ37" s="365"/>
      <c r="AR37" s="365"/>
    </row>
    <row r="38" spans="1:44">
      <c r="A38" s="972" t="s">
        <v>76</v>
      </c>
      <c r="B38" s="981" t="s">
        <v>3620</v>
      </c>
      <c r="C38" s="968"/>
      <c r="D38" s="969"/>
      <c r="E38" s="969"/>
      <c r="F38" s="969"/>
      <c r="G38" s="969"/>
      <c r="H38" s="969"/>
      <c r="I38" s="969"/>
      <c r="J38" s="969"/>
      <c r="K38" s="969"/>
      <c r="L38" s="969"/>
      <c r="M38" s="969"/>
      <c r="N38" s="1048">
        <v>-112000000</v>
      </c>
      <c r="O38" s="1048">
        <v>-79000000</v>
      </c>
      <c r="P38" s="1048">
        <v>-119000000</v>
      </c>
      <c r="Q38" s="1048">
        <v>-156000000</v>
      </c>
      <c r="R38" s="1048">
        <v>-131000000</v>
      </c>
      <c r="S38" s="1048">
        <v>-97000000</v>
      </c>
      <c r="T38" s="1048">
        <v>-61000000</v>
      </c>
      <c r="U38" s="1048">
        <v>-54000000</v>
      </c>
      <c r="V38" s="1048">
        <v>-183000000</v>
      </c>
      <c r="W38" s="1048">
        <v>-243000000</v>
      </c>
      <c r="X38" s="1048">
        <v>-187000000</v>
      </c>
      <c r="Y38" s="1008">
        <v>-221000000</v>
      </c>
      <c r="Z38" s="1008">
        <v>-225000000</v>
      </c>
      <c r="AA38" s="365"/>
      <c r="AB38" s="365"/>
      <c r="AC38" s="365"/>
      <c r="AD38" s="365"/>
      <c r="AE38" s="365"/>
      <c r="AF38" s="365"/>
      <c r="AG38" s="365"/>
      <c r="AH38" s="365"/>
      <c r="AI38" s="365"/>
      <c r="AJ38" s="365"/>
      <c r="AK38" s="365"/>
      <c r="AL38" s="365"/>
      <c r="AM38" s="365"/>
      <c r="AN38" s="365"/>
      <c r="AO38" s="365"/>
      <c r="AP38" s="365"/>
      <c r="AQ38" s="365"/>
      <c r="AR38" s="365"/>
    </row>
    <row r="39" spans="1:44">
      <c r="A39" s="972" t="s">
        <v>76</v>
      </c>
      <c r="B39" s="981" t="s">
        <v>3621</v>
      </c>
      <c r="C39" s="968"/>
      <c r="D39" s="969"/>
      <c r="E39" s="969"/>
      <c r="F39" s="969"/>
      <c r="G39" s="969"/>
      <c r="H39" s="969"/>
      <c r="I39" s="969"/>
      <c r="J39" s="969"/>
      <c r="K39" s="969"/>
      <c r="L39" s="969"/>
      <c r="M39" s="969"/>
      <c r="N39" s="1048">
        <v>0</v>
      </c>
      <c r="O39" s="1048">
        <v>0</v>
      </c>
      <c r="P39" s="1048">
        <v>-113000000</v>
      </c>
      <c r="Q39" s="1048">
        <v>-149000000</v>
      </c>
      <c r="R39" s="1048">
        <v>-6000000</v>
      </c>
      <c r="S39" s="1048">
        <v>-10000000</v>
      </c>
      <c r="T39" s="1048">
        <v>-11000000</v>
      </c>
      <c r="U39" s="1048">
        <v>-23000000</v>
      </c>
      <c r="V39" s="1048">
        <v>-24000000</v>
      </c>
      <c r="W39" s="1048">
        <v>-30000000</v>
      </c>
      <c r="X39" s="1048">
        <v>-33000000</v>
      </c>
      <c r="Y39" s="1008">
        <v>-31000000</v>
      </c>
      <c r="Z39" s="1008">
        <v>-30000000</v>
      </c>
      <c r="AA39" s="365"/>
      <c r="AB39" s="365"/>
      <c r="AC39" s="365"/>
      <c r="AD39" s="365"/>
      <c r="AE39" s="365"/>
      <c r="AF39" s="365"/>
      <c r="AG39" s="365"/>
      <c r="AH39" s="365"/>
      <c r="AI39" s="365"/>
      <c r="AJ39" s="365"/>
      <c r="AK39" s="365"/>
      <c r="AL39" s="365"/>
      <c r="AM39" s="365"/>
      <c r="AN39" s="365"/>
      <c r="AO39" s="365"/>
      <c r="AP39" s="365"/>
      <c r="AQ39" s="365"/>
      <c r="AR39" s="365"/>
    </row>
    <row r="40" spans="1:44">
      <c r="A40" s="972" t="s">
        <v>76</v>
      </c>
      <c r="B40" s="981" t="s">
        <v>3622</v>
      </c>
      <c r="C40" s="968"/>
      <c r="D40" s="969"/>
      <c r="E40" s="969"/>
      <c r="F40" s="969"/>
      <c r="G40" s="969"/>
      <c r="H40" s="969"/>
      <c r="I40" s="969"/>
      <c r="J40" s="969"/>
      <c r="K40" s="969"/>
      <c r="L40" s="969"/>
      <c r="M40" s="969"/>
      <c r="N40" s="1048">
        <v>14000000</v>
      </c>
      <c r="O40" s="1048">
        <v>-6000000</v>
      </c>
      <c r="P40" s="1048">
        <v>-10000000</v>
      </c>
      <c r="Q40" s="1048">
        <v>-11000000</v>
      </c>
      <c r="R40" s="1048"/>
      <c r="S40" s="1048"/>
      <c r="T40" s="1048"/>
      <c r="U40" s="1048"/>
      <c r="V40" s="1048"/>
      <c r="W40" s="1048"/>
      <c r="X40" s="1048"/>
      <c r="Y40" s="1008"/>
      <c r="Z40" s="1008"/>
      <c r="AA40" s="365"/>
      <c r="AB40" s="365"/>
      <c r="AC40" s="365"/>
      <c r="AD40" s="365"/>
      <c r="AE40" s="365"/>
      <c r="AF40" s="365"/>
      <c r="AG40" s="365"/>
      <c r="AH40" s="365"/>
      <c r="AI40" s="365"/>
      <c r="AJ40" s="365"/>
      <c r="AK40" s="365"/>
      <c r="AL40" s="365"/>
      <c r="AM40" s="365"/>
      <c r="AN40" s="365"/>
      <c r="AO40" s="365"/>
      <c r="AP40" s="365"/>
      <c r="AQ40" s="365"/>
      <c r="AR40" s="365"/>
    </row>
    <row r="41" spans="1:44">
      <c r="A41" s="972" t="s">
        <v>76</v>
      </c>
      <c r="B41" s="981" t="s">
        <v>2905</v>
      </c>
      <c r="C41" s="968"/>
      <c r="D41" s="969"/>
      <c r="E41" s="969"/>
      <c r="F41" s="969"/>
      <c r="G41" s="969"/>
      <c r="H41" s="969"/>
      <c r="I41" s="969"/>
      <c r="J41" s="969"/>
      <c r="K41" s="969"/>
      <c r="L41" s="969"/>
      <c r="M41" s="969"/>
      <c r="N41" s="1048">
        <v>-98000000</v>
      </c>
      <c r="O41" s="1048">
        <v>-84000000</v>
      </c>
      <c r="P41" s="1048">
        <v>-129000000</v>
      </c>
      <c r="Q41" s="1048">
        <v>-167000000</v>
      </c>
      <c r="R41" s="1048">
        <v>-136000000</v>
      </c>
      <c r="S41" s="1048">
        <v>-107000000</v>
      </c>
      <c r="T41" s="1048">
        <v>-73000000</v>
      </c>
      <c r="U41" s="1048">
        <v>-77000000</v>
      </c>
      <c r="V41" s="1048">
        <v>-206000000</v>
      </c>
      <c r="W41" s="1048">
        <v>-274000000</v>
      </c>
      <c r="X41" s="1048">
        <v>-220000000</v>
      </c>
      <c r="Y41" s="1008">
        <v>-251000000</v>
      </c>
      <c r="Z41" s="1008">
        <v>-255000000</v>
      </c>
      <c r="AA41" s="365"/>
      <c r="AB41" s="365"/>
      <c r="AC41" s="365"/>
      <c r="AD41" s="365"/>
      <c r="AE41" s="365"/>
      <c r="AF41" s="365"/>
      <c r="AG41" s="365"/>
      <c r="AH41" s="365"/>
      <c r="AI41" s="365"/>
      <c r="AJ41" s="365"/>
      <c r="AK41" s="365"/>
      <c r="AL41" s="365"/>
      <c r="AM41" s="365"/>
      <c r="AN41" s="365"/>
      <c r="AO41" s="365"/>
      <c r="AP41" s="365"/>
      <c r="AQ41" s="365"/>
      <c r="AR41" s="365"/>
    </row>
    <row r="42" spans="1:44">
      <c r="A42" s="972" t="s">
        <v>76</v>
      </c>
      <c r="B42" s="981" t="s">
        <v>3623</v>
      </c>
      <c r="C42" s="968"/>
      <c r="D42" s="969"/>
      <c r="E42" s="969"/>
      <c r="F42" s="969"/>
      <c r="G42" s="969"/>
      <c r="H42" s="969"/>
      <c r="I42" s="969"/>
      <c r="J42" s="969"/>
      <c r="K42" s="969"/>
      <c r="L42" s="969"/>
      <c r="M42" s="969"/>
      <c r="N42" s="1048">
        <v>-98000000</v>
      </c>
      <c r="O42" s="1048">
        <v>-84000000</v>
      </c>
      <c r="P42" s="1048"/>
      <c r="Q42" s="1048"/>
      <c r="R42" s="1048"/>
      <c r="S42" s="1048"/>
      <c r="T42" s="1048"/>
      <c r="U42" s="1048"/>
      <c r="V42" s="1048"/>
      <c r="W42" s="1048"/>
      <c r="X42" s="1048"/>
      <c r="Y42" s="1008"/>
      <c r="Z42" s="1008"/>
      <c r="AA42" s="365"/>
      <c r="AB42" s="365"/>
      <c r="AC42" s="365"/>
      <c r="AD42" s="365"/>
      <c r="AE42" s="365"/>
      <c r="AF42" s="365"/>
      <c r="AG42" s="365"/>
      <c r="AH42" s="365"/>
      <c r="AI42" s="365"/>
      <c r="AJ42" s="365"/>
      <c r="AK42" s="365"/>
      <c r="AL42" s="365"/>
      <c r="AM42" s="365"/>
      <c r="AN42" s="365"/>
      <c r="AO42" s="365"/>
      <c r="AP42" s="365"/>
      <c r="AQ42" s="365"/>
      <c r="AR42" s="365"/>
    </row>
    <row r="43" spans="1:44">
      <c r="B43" s="1488" t="s">
        <v>2259</v>
      </c>
      <c r="C43" s="968"/>
      <c r="D43" s="969"/>
      <c r="E43" s="969"/>
      <c r="F43" s="969"/>
      <c r="G43" s="969"/>
      <c r="H43" s="969"/>
      <c r="I43" s="969"/>
      <c r="J43" s="969"/>
      <c r="K43" s="969"/>
      <c r="L43" s="969"/>
      <c r="M43" s="969"/>
      <c r="N43" s="1048"/>
      <c r="O43" s="1048"/>
      <c r="P43" s="1048"/>
      <c r="Q43" s="1048"/>
      <c r="R43" s="1048">
        <v>-5000000</v>
      </c>
      <c r="S43" s="1048">
        <v>6000000</v>
      </c>
      <c r="T43" s="1048">
        <v>4000000</v>
      </c>
      <c r="U43" s="1048">
        <v>0</v>
      </c>
      <c r="V43" s="1048">
        <v>0</v>
      </c>
      <c r="W43" s="1048">
        <v>0</v>
      </c>
      <c r="X43" s="1048">
        <v>0</v>
      </c>
      <c r="Y43" s="1008">
        <v>0</v>
      </c>
      <c r="Z43" s="1008">
        <v>0</v>
      </c>
      <c r="AA43" s="365"/>
      <c r="AB43" s="365"/>
      <c r="AC43" s="365"/>
      <c r="AD43" s="365"/>
      <c r="AE43" s="365"/>
      <c r="AF43" s="365"/>
      <c r="AG43" s="365"/>
      <c r="AH43" s="365"/>
      <c r="AI43" s="365"/>
      <c r="AJ43" s="365"/>
      <c r="AK43" s="365"/>
      <c r="AL43" s="365"/>
      <c r="AM43" s="365"/>
      <c r="AN43" s="365"/>
      <c r="AO43" s="365"/>
      <c r="AP43" s="365"/>
      <c r="AQ43" s="365"/>
      <c r="AR43" s="365"/>
    </row>
    <row r="44" spans="1:44" s="848" customFormat="1">
      <c r="A44" s="1012" t="s">
        <v>115</v>
      </c>
      <c r="B44" s="1012" t="s">
        <v>115</v>
      </c>
      <c r="C44" s="1413" t="s">
        <v>35</v>
      </c>
      <c r="D44" s="1020"/>
      <c r="E44" s="1020"/>
      <c r="F44" s="1020"/>
      <c r="G44" s="1020"/>
      <c r="H44" s="1020"/>
      <c r="I44" s="1020"/>
      <c r="J44" s="1020"/>
      <c r="K44" s="1020"/>
      <c r="L44" s="1020"/>
      <c r="M44" s="1020"/>
      <c r="N44" s="1054">
        <v>110000000</v>
      </c>
      <c r="O44" s="1054">
        <v>86000000</v>
      </c>
      <c r="P44" s="1054">
        <f>P45+P49+P55</f>
        <v>130000000</v>
      </c>
      <c r="Q44" s="1054">
        <v>168000000</v>
      </c>
      <c r="R44" s="1054">
        <f>R55+R45+R49</f>
        <v>188000000</v>
      </c>
      <c r="S44" s="1054">
        <f t="shared" ref="S44:Z44" si="14">S55+S45+S49</f>
        <v>384000000</v>
      </c>
      <c r="T44" s="1054">
        <f t="shared" si="14"/>
        <v>290000000</v>
      </c>
      <c r="U44" s="1054">
        <f t="shared" si="14"/>
        <v>484000000</v>
      </c>
      <c r="V44" s="1054">
        <f t="shared" si="14"/>
        <v>484000000</v>
      </c>
      <c r="W44" s="1054">
        <f t="shared" si="14"/>
        <v>676000000</v>
      </c>
      <c r="X44" s="1054">
        <f t="shared" si="14"/>
        <v>604000000</v>
      </c>
      <c r="Y44" s="1085">
        <f t="shared" si="14"/>
        <v>660000000</v>
      </c>
      <c r="Z44" s="1085">
        <f t="shared" si="14"/>
        <v>696000000</v>
      </c>
      <c r="AA44" s="916"/>
      <c r="AB44" s="916"/>
      <c r="AC44" s="916"/>
      <c r="AD44" s="916"/>
      <c r="AE44" s="916"/>
      <c r="AF44" s="916"/>
      <c r="AG44" s="916"/>
      <c r="AH44" s="916"/>
      <c r="AI44" s="916"/>
      <c r="AJ44" s="916"/>
      <c r="AK44" s="916"/>
      <c r="AL44" s="916"/>
      <c r="AM44" s="916"/>
      <c r="AN44" s="916"/>
      <c r="AO44" s="916"/>
      <c r="AP44" s="916"/>
      <c r="AQ44" s="916"/>
      <c r="AR44" s="916"/>
    </row>
    <row r="45" spans="1:44">
      <c r="A45" s="972" t="s">
        <v>117</v>
      </c>
      <c r="B45" s="981" t="s">
        <v>2770</v>
      </c>
      <c r="C45" s="981" t="s">
        <v>252</v>
      </c>
      <c r="D45" s="969"/>
      <c r="E45" s="969"/>
      <c r="F45" s="969"/>
      <c r="G45" s="969"/>
      <c r="H45" s="969"/>
      <c r="I45" s="969"/>
      <c r="J45" s="969"/>
      <c r="K45" s="969"/>
      <c r="L45" s="969"/>
      <c r="M45" s="969"/>
      <c r="N45" s="1048">
        <v>16000000</v>
      </c>
      <c r="O45" s="1048">
        <v>2000000</v>
      </c>
      <c r="P45" s="1048">
        <v>83000000</v>
      </c>
      <c r="Q45" s="1048">
        <v>-8000000</v>
      </c>
      <c r="R45" s="1415">
        <f>R46+R47+R48</f>
        <v>-18000000</v>
      </c>
      <c r="S45" s="1415">
        <f t="shared" ref="S45:Z45" si="15">S46+S47+S48</f>
        <v>-23000000</v>
      </c>
      <c r="T45" s="1415">
        <f t="shared" si="15"/>
        <v>-58000000</v>
      </c>
      <c r="U45" s="1415">
        <f t="shared" si="15"/>
        <v>-27000000</v>
      </c>
      <c r="V45" s="1415">
        <f t="shared" si="15"/>
        <v>55000000</v>
      </c>
      <c r="W45" s="1415">
        <f t="shared" si="15"/>
        <v>113000000</v>
      </c>
      <c r="X45" s="1415">
        <f t="shared" si="15"/>
        <v>-10000000</v>
      </c>
      <c r="Y45" s="1009">
        <f t="shared" si="15"/>
        <v>29000000</v>
      </c>
      <c r="Z45" s="1009">
        <f t="shared" si="15"/>
        <v>66000000</v>
      </c>
      <c r="AA45" s="365"/>
      <c r="AB45" s="365"/>
      <c r="AC45" s="365"/>
      <c r="AD45" s="365"/>
      <c r="AE45" s="365"/>
      <c r="AF45" s="365"/>
      <c r="AG45" s="365"/>
      <c r="AH45" s="365"/>
      <c r="AI45" s="365"/>
      <c r="AJ45" s="365"/>
      <c r="AK45" s="365"/>
      <c r="AL45" s="365"/>
      <c r="AM45" s="365"/>
      <c r="AN45" s="365"/>
      <c r="AO45" s="365"/>
      <c r="AP45" s="365"/>
      <c r="AQ45" s="365"/>
      <c r="AR45" s="365"/>
    </row>
    <row r="46" spans="1:44">
      <c r="A46" s="972" t="s">
        <v>1104</v>
      </c>
      <c r="B46" s="988" t="s">
        <v>3624</v>
      </c>
      <c r="C46" s="981" t="s">
        <v>264</v>
      </c>
      <c r="D46" s="969"/>
      <c r="E46" s="969"/>
      <c r="F46" s="969"/>
      <c r="G46" s="969"/>
      <c r="H46" s="969"/>
      <c r="I46" s="969"/>
      <c r="J46" s="969"/>
      <c r="K46" s="969"/>
      <c r="L46" s="969"/>
      <c r="M46" s="969"/>
      <c r="N46" s="1048">
        <v>28000000</v>
      </c>
      <c r="O46" s="1048">
        <v>13000000</v>
      </c>
      <c r="P46" s="1048">
        <v>94000000</v>
      </c>
      <c r="Q46" s="1048">
        <v>6000000</v>
      </c>
      <c r="R46" s="1048">
        <v>4000000</v>
      </c>
      <c r="S46" s="1048">
        <v>5000000</v>
      </c>
      <c r="T46" s="1048">
        <v>8000000</v>
      </c>
      <c r="U46" s="1048">
        <v>10000000</v>
      </c>
      <c r="V46" s="1048">
        <v>49000000</v>
      </c>
      <c r="W46" s="1048">
        <v>36000000</v>
      </c>
      <c r="X46" s="1048">
        <v>22000000</v>
      </c>
      <c r="Y46" s="1008">
        <v>38000000</v>
      </c>
      <c r="Z46" s="1008">
        <v>40000000</v>
      </c>
      <c r="AA46" s="365"/>
      <c r="AB46" s="365"/>
      <c r="AC46" s="365"/>
      <c r="AD46" s="365"/>
      <c r="AE46" s="365"/>
      <c r="AF46" s="365"/>
      <c r="AG46" s="365"/>
      <c r="AH46" s="365"/>
      <c r="AI46" s="365"/>
      <c r="AJ46" s="365"/>
      <c r="AK46" s="365"/>
      <c r="AL46" s="365"/>
      <c r="AM46" s="365"/>
      <c r="AN46" s="365"/>
      <c r="AO46" s="365"/>
      <c r="AP46" s="365"/>
      <c r="AQ46" s="365"/>
      <c r="AR46" s="365"/>
    </row>
    <row r="47" spans="1:44">
      <c r="A47" s="988" t="s">
        <v>258</v>
      </c>
      <c r="B47" s="988" t="s">
        <v>258</v>
      </c>
      <c r="C47" s="981" t="s">
        <v>264</v>
      </c>
      <c r="D47" s="969"/>
      <c r="E47" s="969"/>
      <c r="F47" s="969"/>
      <c r="G47" s="969"/>
      <c r="H47" s="969"/>
      <c r="I47" s="969"/>
      <c r="J47" s="969"/>
      <c r="K47" s="969"/>
      <c r="L47" s="969"/>
      <c r="M47" s="969"/>
      <c r="N47" s="1048">
        <v>-11000000</v>
      </c>
      <c r="O47" s="1048">
        <v>-12000000</v>
      </c>
      <c r="P47" s="1048">
        <v>-11000000</v>
      </c>
      <c r="Q47" s="1048">
        <v>-14000000</v>
      </c>
      <c r="R47" s="1048">
        <v>-22000000</v>
      </c>
      <c r="S47" s="1048">
        <v>-28000000</v>
      </c>
      <c r="T47" s="1048">
        <v>-66000000</v>
      </c>
      <c r="U47" s="1048">
        <v>-37000000</v>
      </c>
      <c r="V47" s="1048">
        <v>-19000000</v>
      </c>
      <c r="W47" s="1048">
        <v>-50000000</v>
      </c>
      <c r="X47" s="1048">
        <v>-96000000</v>
      </c>
      <c r="Y47" s="1008">
        <v>-94000000</v>
      </c>
      <c r="Z47" s="1008">
        <v>-59000000</v>
      </c>
      <c r="AA47" s="365"/>
      <c r="AB47" s="365"/>
      <c r="AC47" s="365"/>
      <c r="AD47" s="365"/>
      <c r="AE47" s="365"/>
      <c r="AF47" s="365"/>
      <c r="AG47" s="365"/>
      <c r="AH47" s="365"/>
      <c r="AI47" s="365"/>
      <c r="AJ47" s="365"/>
      <c r="AK47" s="365"/>
      <c r="AL47" s="365"/>
      <c r="AM47" s="365"/>
      <c r="AN47" s="365"/>
      <c r="AO47" s="365"/>
      <c r="AP47" s="365"/>
      <c r="AQ47" s="365"/>
      <c r="AR47" s="365"/>
    </row>
    <row r="48" spans="1:44">
      <c r="A48" s="966" t="s">
        <v>3625</v>
      </c>
      <c r="B48" s="966" t="s">
        <v>3625</v>
      </c>
      <c r="C48" s="981" t="s">
        <v>264</v>
      </c>
      <c r="D48" s="969"/>
      <c r="E48" s="969"/>
      <c r="F48" s="969"/>
      <c r="G48" s="969"/>
      <c r="H48" s="969"/>
      <c r="I48" s="969"/>
      <c r="J48" s="969"/>
      <c r="K48" s="969"/>
      <c r="L48" s="969"/>
      <c r="M48" s="969"/>
      <c r="N48" s="1050">
        <v>0</v>
      </c>
      <c r="O48" s="1050">
        <v>0</v>
      </c>
      <c r="P48" s="1048"/>
      <c r="Q48" s="1048"/>
      <c r="R48" s="1048">
        <v>0</v>
      </c>
      <c r="S48" s="1048">
        <v>0</v>
      </c>
      <c r="T48" s="1048">
        <v>0</v>
      </c>
      <c r="U48" s="1048">
        <v>0</v>
      </c>
      <c r="V48" s="1048">
        <v>25000000</v>
      </c>
      <c r="W48" s="1048">
        <v>127000000</v>
      </c>
      <c r="X48" s="1048">
        <v>64000000</v>
      </c>
      <c r="Y48" s="1008">
        <v>85000000</v>
      </c>
      <c r="Z48" s="1008">
        <v>85000000</v>
      </c>
      <c r="AA48" s="365"/>
      <c r="AB48" s="365"/>
      <c r="AC48" s="365"/>
      <c r="AD48" s="365"/>
      <c r="AE48" s="365"/>
      <c r="AF48" s="365"/>
      <c r="AG48" s="365"/>
      <c r="AH48" s="365"/>
      <c r="AI48" s="365"/>
      <c r="AJ48" s="365"/>
      <c r="AK48" s="365"/>
      <c r="AL48" s="365"/>
      <c r="AM48" s="365"/>
      <c r="AN48" s="365"/>
      <c r="AO48" s="365"/>
      <c r="AP48" s="365"/>
      <c r="AQ48" s="365"/>
      <c r="AR48" s="365"/>
    </row>
    <row r="49" spans="1:44">
      <c r="A49" s="972" t="s">
        <v>120</v>
      </c>
      <c r="B49" s="981" t="s">
        <v>2768</v>
      </c>
      <c r="C49" s="981" t="s">
        <v>252</v>
      </c>
      <c r="D49" s="969"/>
      <c r="E49" s="969"/>
      <c r="F49" s="969"/>
      <c r="G49" s="969"/>
      <c r="H49" s="969"/>
      <c r="I49" s="969"/>
      <c r="J49" s="969"/>
      <c r="K49" s="969"/>
      <c r="L49" s="969"/>
      <c r="M49" s="969"/>
      <c r="N49" s="1048">
        <v>93000000</v>
      </c>
      <c r="O49" s="1048">
        <v>85000000</v>
      </c>
      <c r="P49" s="1048">
        <f>P50+P51+P52+P53+P54</f>
        <v>47000000</v>
      </c>
      <c r="Q49" s="1048">
        <v>176000000</v>
      </c>
      <c r="R49" s="1415">
        <f>R50+R54+R51+R52+R53</f>
        <v>206000000</v>
      </c>
      <c r="S49" s="1415">
        <f t="shared" ref="S49:Z49" si="16">S50+S54+S51+S52+S53</f>
        <v>371000000</v>
      </c>
      <c r="T49" s="1415">
        <f t="shared" si="16"/>
        <v>313000000</v>
      </c>
      <c r="U49" s="1415">
        <f t="shared" si="16"/>
        <v>410000000</v>
      </c>
      <c r="V49" s="1415">
        <f t="shared" si="16"/>
        <v>429000000</v>
      </c>
      <c r="W49" s="1415">
        <f t="shared" si="16"/>
        <v>563000000</v>
      </c>
      <c r="X49" s="1415">
        <f t="shared" si="16"/>
        <v>614000000</v>
      </c>
      <c r="Y49" s="1009">
        <f t="shared" si="16"/>
        <v>631000000</v>
      </c>
      <c r="Z49" s="1009">
        <f t="shared" si="16"/>
        <v>630000000</v>
      </c>
      <c r="AA49" s="365"/>
      <c r="AB49" s="365"/>
      <c r="AC49" s="365"/>
      <c r="AD49" s="365"/>
      <c r="AE49" s="365"/>
      <c r="AF49" s="365"/>
      <c r="AG49" s="365"/>
      <c r="AH49" s="365"/>
      <c r="AI49" s="365"/>
      <c r="AJ49" s="365"/>
      <c r="AK49" s="365"/>
      <c r="AL49" s="365"/>
      <c r="AM49" s="365"/>
      <c r="AN49" s="365"/>
      <c r="AO49" s="365"/>
      <c r="AP49" s="365"/>
      <c r="AQ49" s="365"/>
      <c r="AR49" s="365"/>
    </row>
    <row r="50" spans="1:44">
      <c r="A50" s="988" t="s">
        <v>3626</v>
      </c>
      <c r="B50" s="988" t="s">
        <v>3627</v>
      </c>
      <c r="C50" s="981" t="s">
        <v>124</v>
      </c>
      <c r="D50" s="969"/>
      <c r="E50" s="969"/>
      <c r="F50" s="969"/>
      <c r="G50" s="969"/>
      <c r="H50" s="969"/>
      <c r="I50" s="969"/>
      <c r="J50" s="969"/>
      <c r="K50" s="969"/>
      <c r="L50" s="969"/>
      <c r="M50" s="969"/>
      <c r="N50" s="1048">
        <v>0</v>
      </c>
      <c r="O50" s="1048">
        <v>0</v>
      </c>
      <c r="P50" s="1048">
        <v>73000000</v>
      </c>
      <c r="Q50" s="1048">
        <v>78000000</v>
      </c>
      <c r="R50" s="1048">
        <v>104000000</v>
      </c>
      <c r="S50" s="1048">
        <v>109000000</v>
      </c>
      <c r="T50" s="1048">
        <v>101000000</v>
      </c>
      <c r="U50" s="1048">
        <v>97000000</v>
      </c>
      <c r="V50" s="1048">
        <v>86000000</v>
      </c>
      <c r="W50" s="1048">
        <v>206000000</v>
      </c>
      <c r="X50" s="1048">
        <v>237000000</v>
      </c>
      <c r="Y50" s="1008">
        <v>231000000</v>
      </c>
      <c r="Z50" s="1008">
        <v>205000000</v>
      </c>
      <c r="AA50" s="365"/>
      <c r="AB50" s="365"/>
      <c r="AC50" s="365"/>
      <c r="AD50" s="365"/>
      <c r="AE50" s="365"/>
      <c r="AF50" s="365"/>
      <c r="AG50" s="365"/>
      <c r="AH50" s="365"/>
      <c r="AI50" s="365"/>
      <c r="AJ50" s="365"/>
      <c r="AK50" s="365"/>
      <c r="AL50" s="365"/>
      <c r="AM50" s="365"/>
      <c r="AN50" s="365"/>
      <c r="AO50" s="365"/>
      <c r="AP50" s="365"/>
      <c r="AQ50" s="365"/>
      <c r="AR50" s="365"/>
    </row>
    <row r="51" spans="1:44">
      <c r="A51" s="988" t="s">
        <v>3628</v>
      </c>
      <c r="B51" s="988" t="s">
        <v>3629</v>
      </c>
      <c r="C51" s="981" t="s">
        <v>124</v>
      </c>
      <c r="D51" s="969"/>
      <c r="E51" s="969"/>
      <c r="F51" s="969"/>
      <c r="G51" s="969"/>
      <c r="H51" s="969"/>
      <c r="I51" s="969"/>
      <c r="J51" s="969"/>
      <c r="K51" s="969"/>
      <c r="L51" s="969"/>
      <c r="M51" s="969"/>
      <c r="N51" s="1048">
        <v>0</v>
      </c>
      <c r="O51" s="1048">
        <v>0</v>
      </c>
      <c r="P51" s="1048">
        <v>45000000</v>
      </c>
      <c r="Q51" s="1048">
        <v>26000000</v>
      </c>
      <c r="R51" s="1048">
        <v>0</v>
      </c>
      <c r="S51" s="1048">
        <v>61000000</v>
      </c>
      <c r="T51" s="1048">
        <v>0</v>
      </c>
      <c r="U51" s="1048">
        <v>0</v>
      </c>
      <c r="V51" s="1048">
        <v>42000000</v>
      </c>
      <c r="W51" s="1048">
        <v>0</v>
      </c>
      <c r="X51" s="1048">
        <v>0</v>
      </c>
      <c r="Y51" s="1008">
        <v>0</v>
      </c>
      <c r="Z51" s="1008">
        <v>0</v>
      </c>
      <c r="AA51" s="365"/>
      <c r="AB51" s="365"/>
      <c r="AC51" s="365"/>
      <c r="AD51" s="365"/>
      <c r="AE51" s="365"/>
      <c r="AF51" s="365"/>
      <c r="AG51" s="365"/>
      <c r="AH51" s="365"/>
      <c r="AI51" s="365"/>
      <c r="AJ51" s="365"/>
      <c r="AK51" s="365"/>
      <c r="AL51" s="365"/>
      <c r="AM51" s="365"/>
      <c r="AN51" s="365"/>
      <c r="AO51" s="365"/>
      <c r="AP51" s="365"/>
      <c r="AQ51" s="365"/>
      <c r="AR51" s="365"/>
    </row>
    <row r="52" spans="1:44">
      <c r="A52" s="988" t="s">
        <v>3630</v>
      </c>
      <c r="B52" s="988" t="s">
        <v>3631</v>
      </c>
      <c r="C52" s="981" t="s">
        <v>124</v>
      </c>
      <c r="D52" s="969"/>
      <c r="E52" s="969"/>
      <c r="F52" s="969"/>
      <c r="G52" s="969"/>
      <c r="H52" s="969"/>
      <c r="I52" s="969"/>
      <c r="J52" s="969"/>
      <c r="K52" s="969"/>
      <c r="L52" s="969"/>
      <c r="M52" s="969"/>
      <c r="N52" s="1050">
        <v>0</v>
      </c>
      <c r="O52" s="1048">
        <v>0</v>
      </c>
      <c r="P52" s="1050"/>
      <c r="Q52" s="1050"/>
      <c r="R52" s="1050"/>
      <c r="S52" s="1050"/>
      <c r="T52" s="1050"/>
      <c r="U52" s="1050"/>
      <c r="V52" s="1050"/>
      <c r="W52" s="1050"/>
      <c r="X52" s="1050"/>
      <c r="Y52" s="1008"/>
      <c r="Z52" s="1008"/>
      <c r="AA52" s="365"/>
      <c r="AB52" s="365"/>
      <c r="AC52" s="365"/>
      <c r="AD52" s="365"/>
      <c r="AE52" s="365"/>
      <c r="AF52" s="365"/>
      <c r="AG52" s="365"/>
      <c r="AH52" s="365"/>
      <c r="AI52" s="365"/>
      <c r="AJ52" s="365"/>
      <c r="AK52" s="365"/>
      <c r="AL52" s="365"/>
      <c r="AM52" s="365"/>
      <c r="AN52" s="365"/>
      <c r="AO52" s="365"/>
      <c r="AP52" s="365"/>
      <c r="AQ52" s="365"/>
      <c r="AR52" s="365"/>
    </row>
    <row r="53" spans="1:44">
      <c r="A53" s="988" t="s">
        <v>3632</v>
      </c>
      <c r="B53" s="988" t="s">
        <v>3633</v>
      </c>
      <c r="C53" s="981" t="s">
        <v>124</v>
      </c>
      <c r="D53" s="969"/>
      <c r="E53" s="969"/>
      <c r="F53" s="969"/>
      <c r="G53" s="969"/>
      <c r="H53" s="969"/>
      <c r="I53" s="969"/>
      <c r="J53" s="969"/>
      <c r="K53" s="969"/>
      <c r="L53" s="969"/>
      <c r="M53" s="969"/>
      <c r="N53" s="1048">
        <v>-5000000</v>
      </c>
      <c r="O53" s="1048">
        <v>0</v>
      </c>
      <c r="P53" s="1048">
        <v>-15000000</v>
      </c>
      <c r="Q53" s="1048">
        <v>14000000</v>
      </c>
      <c r="R53" s="1048"/>
      <c r="S53" s="1048"/>
      <c r="T53" s="1048"/>
      <c r="U53" s="1048"/>
      <c r="V53" s="1048"/>
      <c r="W53" s="1048"/>
      <c r="X53" s="1048"/>
      <c r="Y53" s="1008"/>
      <c r="Z53" s="1008"/>
      <c r="AA53" s="365"/>
      <c r="AB53" s="365"/>
      <c r="AC53" s="365"/>
      <c r="AD53" s="365"/>
      <c r="AE53" s="365"/>
      <c r="AF53" s="365"/>
      <c r="AG53" s="365"/>
      <c r="AH53" s="365"/>
      <c r="AI53" s="365"/>
      <c r="AJ53" s="365"/>
      <c r="AK53" s="365"/>
      <c r="AL53" s="365"/>
      <c r="AM53" s="365"/>
      <c r="AN53" s="365"/>
      <c r="AO53" s="365"/>
      <c r="AP53" s="365"/>
      <c r="AQ53" s="365"/>
      <c r="AR53" s="365"/>
    </row>
    <row r="54" spans="1:44">
      <c r="A54" s="988" t="s">
        <v>3634</v>
      </c>
      <c r="B54" s="988" t="s">
        <v>3635</v>
      </c>
      <c r="C54" s="981" t="s">
        <v>124</v>
      </c>
      <c r="D54" s="969"/>
      <c r="E54" s="969"/>
      <c r="F54" s="969"/>
      <c r="G54" s="969"/>
      <c r="H54" s="969"/>
      <c r="I54" s="969"/>
      <c r="J54" s="969"/>
      <c r="K54" s="969"/>
      <c r="L54" s="969"/>
      <c r="M54" s="969"/>
      <c r="N54" s="1048">
        <v>98000000</v>
      </c>
      <c r="O54" s="1048">
        <v>84000000</v>
      </c>
      <c r="P54" s="1048">
        <v>-56000000</v>
      </c>
      <c r="Q54" s="1048">
        <v>57000000</v>
      </c>
      <c r="R54" s="1048">
        <v>102000000</v>
      </c>
      <c r="S54" s="1048">
        <v>201000000</v>
      </c>
      <c r="T54" s="1048">
        <v>212000000</v>
      </c>
      <c r="U54" s="1048">
        <v>313000000</v>
      </c>
      <c r="V54" s="1048">
        <v>301000000</v>
      </c>
      <c r="W54" s="1048">
        <v>357000000</v>
      </c>
      <c r="X54" s="1048">
        <v>377000000</v>
      </c>
      <c r="Y54" s="1008">
        <v>400000000</v>
      </c>
      <c r="Z54" s="1008">
        <v>425000000</v>
      </c>
      <c r="AA54" s="365"/>
      <c r="AB54" s="365"/>
      <c r="AC54" s="365"/>
      <c r="AD54" s="365"/>
      <c r="AE54" s="365"/>
      <c r="AF54" s="365"/>
      <c r="AG54" s="365"/>
      <c r="AH54" s="365"/>
      <c r="AI54" s="365"/>
      <c r="AJ54" s="365"/>
      <c r="AK54" s="365"/>
      <c r="AL54" s="365"/>
      <c r="AM54" s="365"/>
      <c r="AN54" s="365"/>
      <c r="AO54" s="365"/>
      <c r="AP54" s="365"/>
      <c r="AQ54" s="365"/>
      <c r="AR54" s="365"/>
    </row>
    <row r="55" spans="1:44">
      <c r="A55" s="966" t="s">
        <v>3636</v>
      </c>
      <c r="B55" s="966" t="s">
        <v>3636</v>
      </c>
      <c r="C55" s="981" t="s">
        <v>252</v>
      </c>
      <c r="D55" s="969"/>
      <c r="E55" s="969"/>
      <c r="F55" s="969"/>
      <c r="G55" s="969"/>
      <c r="H55" s="969"/>
      <c r="I55" s="969"/>
      <c r="J55" s="969"/>
      <c r="K55" s="969"/>
      <c r="L55" s="969"/>
      <c r="M55" s="969"/>
      <c r="N55" s="1048"/>
      <c r="O55" s="1048"/>
      <c r="P55" s="1048"/>
      <c r="Q55" s="1048"/>
      <c r="R55" s="1048">
        <v>0</v>
      </c>
      <c r="S55" s="1048">
        <v>36000000</v>
      </c>
      <c r="T55" s="1048">
        <v>35000000</v>
      </c>
      <c r="U55" s="1048">
        <v>101000000</v>
      </c>
      <c r="V55" s="1048">
        <v>0</v>
      </c>
      <c r="W55" s="1048">
        <v>0</v>
      </c>
      <c r="X55" s="1048">
        <v>0</v>
      </c>
      <c r="Y55" s="1008">
        <v>0</v>
      </c>
      <c r="Z55" s="1008">
        <v>0</v>
      </c>
      <c r="AA55" s="365"/>
      <c r="AB55" s="365"/>
      <c r="AC55" s="365"/>
      <c r="AD55" s="365"/>
      <c r="AE55" s="365"/>
      <c r="AF55" s="365"/>
      <c r="AG55" s="365"/>
      <c r="AH55" s="365"/>
      <c r="AI55" s="365"/>
      <c r="AJ55" s="365"/>
      <c r="AK55" s="365"/>
      <c r="AL55" s="365"/>
      <c r="AM55" s="365"/>
      <c r="AN55" s="365"/>
      <c r="AO55" s="365"/>
      <c r="AP55" s="365"/>
      <c r="AQ55" s="365"/>
      <c r="AR55" s="365"/>
    </row>
    <row r="56" spans="1:44">
      <c r="A56" s="972" t="s">
        <v>76</v>
      </c>
      <c r="B56" s="981" t="s">
        <v>1488</v>
      </c>
      <c r="C56" s="975"/>
      <c r="D56" s="969"/>
      <c r="E56" s="969"/>
      <c r="F56" s="969"/>
      <c r="G56" s="969"/>
      <c r="H56" s="969"/>
      <c r="I56" s="969"/>
      <c r="J56" s="969"/>
      <c r="K56" s="969"/>
      <c r="L56" s="969"/>
      <c r="M56" s="969"/>
      <c r="N56" s="1048">
        <v>0</v>
      </c>
      <c r="O56" s="1048">
        <v>0</v>
      </c>
      <c r="P56" s="1048">
        <v>0</v>
      </c>
      <c r="Q56" s="1048">
        <v>0</v>
      </c>
      <c r="R56" s="1048"/>
      <c r="S56" s="1048"/>
      <c r="T56" s="1048"/>
      <c r="U56" s="1048"/>
      <c r="V56" s="1048"/>
      <c r="W56" s="1048"/>
      <c r="X56" s="1048"/>
      <c r="Y56" s="1008"/>
      <c r="Z56" s="1008"/>
      <c r="AA56" s="365"/>
      <c r="AB56" s="365"/>
      <c r="AC56" s="365"/>
      <c r="AD56" s="365"/>
      <c r="AE56" s="365"/>
      <c r="AF56" s="365"/>
      <c r="AG56" s="365"/>
      <c r="AH56" s="365"/>
      <c r="AI56" s="365"/>
      <c r="AJ56" s="365"/>
      <c r="AK56" s="365"/>
      <c r="AL56" s="365"/>
      <c r="AM56" s="365"/>
      <c r="AN56" s="365"/>
      <c r="AO56" s="365"/>
      <c r="AP56" s="365"/>
      <c r="AQ56" s="365"/>
      <c r="AR56" s="365"/>
    </row>
    <row r="57" spans="1:44">
      <c r="B57" s="981" t="s">
        <v>3637</v>
      </c>
      <c r="C57" s="968"/>
      <c r="D57" s="969"/>
      <c r="E57" s="969"/>
      <c r="F57" s="969"/>
      <c r="G57" s="969"/>
      <c r="H57" s="969"/>
      <c r="I57" s="969"/>
      <c r="J57" s="969"/>
      <c r="K57" s="969"/>
      <c r="L57" s="969"/>
      <c r="M57" s="969"/>
      <c r="N57" s="969"/>
      <c r="O57" s="1079"/>
      <c r="P57" s="1079"/>
      <c r="Q57" s="1079"/>
      <c r="R57" s="1050">
        <v>57000000</v>
      </c>
      <c r="S57" s="1050">
        <v>-99000000</v>
      </c>
      <c r="T57" s="1050">
        <v>-11000000</v>
      </c>
      <c r="U57" s="1050">
        <v>-101000000</v>
      </c>
      <c r="V57" s="1050">
        <v>12000000</v>
      </c>
      <c r="W57" s="1050">
        <v>-56000000</v>
      </c>
      <c r="X57" s="1050">
        <v>-20000000</v>
      </c>
      <c r="Y57" s="1008">
        <v>-23000000</v>
      </c>
      <c r="Z57" s="1008">
        <v>-25000000</v>
      </c>
      <c r="AA57" s="365"/>
      <c r="AB57" s="365"/>
      <c r="AC57" s="365"/>
      <c r="AD57" s="365"/>
      <c r="AE57" s="365"/>
      <c r="AF57" s="365"/>
      <c r="AG57" s="365"/>
      <c r="AH57" s="365"/>
      <c r="AI57" s="365"/>
      <c r="AJ57" s="365"/>
      <c r="AK57" s="365"/>
      <c r="AL57" s="365"/>
      <c r="AM57" s="365"/>
      <c r="AN57" s="365"/>
      <c r="AO57" s="365"/>
      <c r="AP57" s="365"/>
      <c r="AQ57" s="365"/>
      <c r="AR57" s="365"/>
    </row>
    <row r="58" spans="1:44">
      <c r="B58" s="981"/>
      <c r="C58" s="975"/>
      <c r="D58" s="969"/>
      <c r="E58" s="969"/>
      <c r="F58" s="969"/>
      <c r="G58" s="969"/>
      <c r="H58" s="969"/>
      <c r="I58" s="969"/>
      <c r="J58" s="969"/>
      <c r="K58" s="969"/>
      <c r="L58" s="969"/>
      <c r="M58" s="969"/>
      <c r="N58" s="972" t="s">
        <v>139</v>
      </c>
      <c r="O58" s="972" t="s">
        <v>139</v>
      </c>
      <c r="P58" s="972" t="s">
        <v>139</v>
      </c>
      <c r="Q58" s="972" t="s">
        <v>139</v>
      </c>
      <c r="R58" s="972" t="s">
        <v>139</v>
      </c>
      <c r="S58" s="972" t="s">
        <v>139</v>
      </c>
      <c r="T58" s="972" t="s">
        <v>139</v>
      </c>
      <c r="U58" s="972" t="s">
        <v>139</v>
      </c>
      <c r="V58" s="972" t="s">
        <v>139</v>
      </c>
      <c r="W58" s="972" t="s">
        <v>139</v>
      </c>
      <c r="X58" s="972" t="s">
        <v>139</v>
      </c>
      <c r="Y58" s="972" t="s">
        <v>139</v>
      </c>
      <c r="Z58" s="972" t="s">
        <v>139</v>
      </c>
      <c r="AA58" s="365"/>
      <c r="AB58" s="365"/>
      <c r="AC58" s="365"/>
      <c r="AD58" s="365"/>
      <c r="AE58" s="365"/>
      <c r="AF58" s="365"/>
      <c r="AG58" s="365"/>
      <c r="AH58" s="365"/>
      <c r="AI58" s="365"/>
      <c r="AJ58" s="365"/>
      <c r="AK58" s="365"/>
      <c r="AL58" s="365"/>
      <c r="AM58" s="365"/>
      <c r="AN58" s="365"/>
      <c r="AO58" s="365"/>
      <c r="AP58" s="365"/>
      <c r="AQ58" s="365"/>
      <c r="AR58" s="365"/>
    </row>
    <row r="59" spans="1:44">
      <c r="B59" s="981"/>
      <c r="C59" s="975"/>
      <c r="D59" s="969"/>
      <c r="E59" s="969"/>
      <c r="F59" s="969"/>
      <c r="G59" s="969"/>
      <c r="H59" s="969"/>
      <c r="I59" s="969"/>
      <c r="J59" s="969"/>
      <c r="K59" s="969"/>
      <c r="L59" s="969"/>
      <c r="M59" s="969"/>
      <c r="N59" s="969"/>
      <c r="O59" s="969"/>
      <c r="P59" s="969"/>
      <c r="Q59" s="969"/>
      <c r="R59" s="969"/>
      <c r="S59" s="969"/>
      <c r="T59" s="969"/>
      <c r="U59" s="969"/>
      <c r="V59" s="969"/>
      <c r="W59" s="969"/>
      <c r="X59" s="969"/>
      <c r="Y59" s="971"/>
      <c r="Z59" s="971"/>
      <c r="AA59" s="365"/>
      <c r="AB59" s="365"/>
      <c r="AC59" s="365"/>
      <c r="AD59" s="365"/>
      <c r="AE59" s="365"/>
      <c r="AF59" s="365"/>
      <c r="AG59" s="365"/>
      <c r="AH59" s="365"/>
      <c r="AI59" s="365"/>
      <c r="AJ59" s="365"/>
      <c r="AK59" s="365"/>
      <c r="AL59" s="365"/>
      <c r="AM59" s="365"/>
      <c r="AN59" s="365"/>
      <c r="AO59" s="365"/>
      <c r="AP59" s="365"/>
      <c r="AQ59" s="365"/>
      <c r="AR59" s="365"/>
    </row>
    <row r="60" spans="1:44">
      <c r="B60" s="981" t="s">
        <v>141</v>
      </c>
      <c r="C60" s="975"/>
      <c r="D60" s="969"/>
      <c r="E60" s="969"/>
      <c r="F60" s="969"/>
      <c r="G60" s="969"/>
      <c r="H60" s="969"/>
      <c r="I60" s="969"/>
      <c r="J60" s="969"/>
      <c r="K60" s="969"/>
      <c r="L60" s="969"/>
      <c r="M60" s="969"/>
      <c r="N60" s="1051">
        <f>N6-N7-N14</f>
        <v>0</v>
      </c>
      <c r="O60" s="1051">
        <f>O6-O7-O14</f>
        <v>0</v>
      </c>
      <c r="P60" s="1051">
        <f>P6-P7-P14</f>
        <v>0</v>
      </c>
      <c r="Q60" s="1051">
        <f>Q6-Q7-Q14</f>
        <v>0</v>
      </c>
      <c r="R60" s="1051">
        <f>R6-R7-R14</f>
        <v>0</v>
      </c>
      <c r="S60" s="1051">
        <f t="shared" ref="S60:X60" si="17">S6-S7-S14</f>
        <v>0</v>
      </c>
      <c r="T60" s="1051">
        <f t="shared" si="17"/>
        <v>0</v>
      </c>
      <c r="U60" s="1051">
        <f t="shared" si="17"/>
        <v>0</v>
      </c>
      <c r="V60" s="1051">
        <f t="shared" si="17"/>
        <v>0</v>
      </c>
      <c r="W60" s="1051">
        <f t="shared" si="17"/>
        <v>0</v>
      </c>
      <c r="X60" s="1051">
        <f t="shared" si="17"/>
        <v>0</v>
      </c>
      <c r="Y60" s="1051">
        <f t="shared" ref="Y60:Z60" si="18">Y6-Y7-Y14</f>
        <v>0</v>
      </c>
      <c r="Z60" s="1051">
        <f t="shared" si="18"/>
        <v>0</v>
      </c>
      <c r="AA60" s="365"/>
      <c r="AB60" s="365"/>
      <c r="AC60" s="365"/>
      <c r="AD60" s="365"/>
      <c r="AE60" s="365"/>
      <c r="AF60" s="365"/>
      <c r="AG60" s="365"/>
      <c r="AH60" s="365"/>
      <c r="AI60" s="365"/>
      <c r="AJ60" s="365"/>
      <c r="AK60" s="365"/>
      <c r="AL60" s="365"/>
      <c r="AM60" s="365"/>
      <c r="AN60" s="365"/>
      <c r="AO60" s="365"/>
      <c r="AP60" s="365"/>
      <c r="AQ60" s="365"/>
      <c r="AR60" s="365"/>
    </row>
    <row r="61" spans="1:44">
      <c r="B61" s="981" t="s">
        <v>3638</v>
      </c>
      <c r="C61" s="975"/>
      <c r="D61" s="969"/>
      <c r="E61" s="969"/>
      <c r="F61" s="969"/>
      <c r="G61" s="969"/>
      <c r="H61" s="969"/>
      <c r="I61" s="969"/>
      <c r="J61" s="969"/>
      <c r="K61" s="969"/>
      <c r="L61" s="969"/>
      <c r="M61" s="969"/>
      <c r="N61" s="1051">
        <f>N7-N8-N12</f>
        <v>0</v>
      </c>
      <c r="O61" s="1051">
        <f>O7-O8-O12</f>
        <v>0</v>
      </c>
      <c r="P61" s="1051">
        <f>P7-P8-P12</f>
        <v>0</v>
      </c>
      <c r="Q61" s="1051">
        <f>Q7-Q8-Q12</f>
        <v>0</v>
      </c>
      <c r="R61" s="1051">
        <f>R7-R8-R12</f>
        <v>0</v>
      </c>
      <c r="S61" s="1051">
        <f t="shared" ref="S61:X61" si="19">S7-S8-S12</f>
        <v>0</v>
      </c>
      <c r="T61" s="1051">
        <f t="shared" si="19"/>
        <v>0</v>
      </c>
      <c r="U61" s="1051">
        <f t="shared" si="19"/>
        <v>0</v>
      </c>
      <c r="V61" s="1051">
        <f t="shared" si="19"/>
        <v>0</v>
      </c>
      <c r="W61" s="1051">
        <f t="shared" si="19"/>
        <v>0</v>
      </c>
      <c r="X61" s="1051">
        <f t="shared" si="19"/>
        <v>0</v>
      </c>
      <c r="Y61" s="1051">
        <f t="shared" ref="Y61:Z61" si="20">Y7-Y8-Y12</f>
        <v>0</v>
      </c>
      <c r="Z61" s="1051">
        <f t="shared" si="20"/>
        <v>0</v>
      </c>
      <c r="AA61" s="365"/>
      <c r="AB61" s="365"/>
      <c r="AC61" s="365"/>
      <c r="AD61" s="365"/>
      <c r="AE61" s="365"/>
      <c r="AF61" s="365"/>
      <c r="AG61" s="365"/>
      <c r="AH61" s="365"/>
      <c r="AI61" s="365"/>
      <c r="AJ61" s="365"/>
      <c r="AK61" s="365"/>
      <c r="AL61" s="365"/>
      <c r="AM61" s="365"/>
      <c r="AN61" s="365"/>
      <c r="AO61" s="365"/>
      <c r="AP61" s="365"/>
      <c r="AQ61" s="365"/>
      <c r="AR61" s="365"/>
    </row>
    <row r="62" spans="1:44">
      <c r="B62" s="981" t="s">
        <v>3639</v>
      </c>
      <c r="C62" s="975"/>
      <c r="D62" s="969"/>
      <c r="E62" s="969"/>
      <c r="F62" s="969"/>
      <c r="G62" s="969"/>
      <c r="H62" s="969"/>
      <c r="I62" s="969"/>
      <c r="J62" s="969"/>
      <c r="K62" s="969"/>
      <c r="L62" s="969"/>
      <c r="M62" s="969"/>
      <c r="N62" s="1051">
        <f>N8-N9-N10-N11</f>
        <v>28000000</v>
      </c>
      <c r="O62" s="1051">
        <f>O8-O9-O10-O11</f>
        <v>28000000</v>
      </c>
      <c r="P62" s="1051">
        <f>P8-P9-P10-P11</f>
        <v>33000000</v>
      </c>
      <c r="Q62" s="1051">
        <f>Q8-Q9-Q10-Q11</f>
        <v>37000000</v>
      </c>
      <c r="R62" s="1051">
        <f>R8-R9-R10-R11</f>
        <v>33000000</v>
      </c>
      <c r="S62" s="1051">
        <f t="shared" ref="S62:X62" si="21">S8-S9-S10-S11</f>
        <v>34000000</v>
      </c>
      <c r="T62" s="1051">
        <f t="shared" si="21"/>
        <v>39000000</v>
      </c>
      <c r="U62" s="1051">
        <f t="shared" si="21"/>
        <v>58000000</v>
      </c>
      <c r="V62" s="1051">
        <f t="shared" si="21"/>
        <v>46000000</v>
      </c>
      <c r="W62" s="1051">
        <f t="shared" si="21"/>
        <v>49000000</v>
      </c>
      <c r="X62" s="1051">
        <f t="shared" si="21"/>
        <v>52000000</v>
      </c>
      <c r="Y62" s="1051">
        <f t="shared" ref="Y62:Z62" si="22">Y8-Y9-Y10-Y11</f>
        <v>55000000</v>
      </c>
      <c r="Z62" s="1051">
        <f t="shared" si="22"/>
        <v>58000000</v>
      </c>
    </row>
    <row r="63" spans="1:44">
      <c r="B63" s="981" t="s">
        <v>1362</v>
      </c>
      <c r="N63" s="995">
        <f>N14-N15-N16-N18-N17</f>
        <v>0</v>
      </c>
      <c r="O63" s="995">
        <f>O14-O15-O16-O18-O17</f>
        <v>0</v>
      </c>
      <c r="P63" s="995">
        <f>P14-P15-P16-P18-P17</f>
        <v>0</v>
      </c>
      <c r="Q63" s="995">
        <f>Q14-Q15-Q16-Q18-Q17</f>
        <v>0</v>
      </c>
      <c r="R63" s="1070">
        <f>R14-R15-R16-R18-R17</f>
        <v>0</v>
      </c>
      <c r="S63" s="1070">
        <f t="shared" ref="S63:X63" si="23">S14-S15-S16-S18-S17</f>
        <v>0</v>
      </c>
      <c r="T63" s="1070">
        <f t="shared" si="23"/>
        <v>0</v>
      </c>
      <c r="U63" s="1070">
        <f t="shared" si="23"/>
        <v>0</v>
      </c>
      <c r="V63" s="1070">
        <f t="shared" si="23"/>
        <v>7000000</v>
      </c>
      <c r="W63" s="1070">
        <f t="shared" si="23"/>
        <v>0</v>
      </c>
      <c r="X63" s="1070">
        <f t="shared" si="23"/>
        <v>0</v>
      </c>
      <c r="Y63" s="1070">
        <f t="shared" ref="Y63:Z63" si="24">Y14-Y15-Y16-Y18-Y17</f>
        <v>0</v>
      </c>
      <c r="Z63" s="1070">
        <f t="shared" si="24"/>
        <v>0</v>
      </c>
    </row>
    <row r="64" spans="1:44">
      <c r="B64" s="981" t="s">
        <v>145</v>
      </c>
      <c r="N64" s="995">
        <f>N20-N23-N31-N37</f>
        <v>0</v>
      </c>
      <c r="O64" s="995">
        <f>O20-O23-O31-O37</f>
        <v>0</v>
      </c>
      <c r="P64" s="995">
        <f>P20-P23-P31-P37</f>
        <v>0</v>
      </c>
      <c r="Q64" s="995">
        <f>Q20-Q23-Q31-Q37</f>
        <v>1000000</v>
      </c>
      <c r="R64" s="995">
        <f>R20-R23-R31-R37</f>
        <v>0</v>
      </c>
      <c r="S64" s="995">
        <f t="shared" ref="S64:X64" si="25">S20-S23-S31-S37</f>
        <v>0</v>
      </c>
      <c r="T64" s="995">
        <f t="shared" si="25"/>
        <v>-1000000</v>
      </c>
      <c r="U64" s="995">
        <f t="shared" si="25"/>
        <v>0</v>
      </c>
      <c r="V64" s="995">
        <f t="shared" si="25"/>
        <v>67000000</v>
      </c>
      <c r="W64" s="995">
        <f t="shared" si="25"/>
        <v>127000000</v>
      </c>
      <c r="X64" s="995">
        <f t="shared" si="25"/>
        <v>64000000</v>
      </c>
      <c r="Y64" s="995">
        <f t="shared" ref="Y64:Z64" si="26">Y20-Y23-Y31-Y37</f>
        <v>85000000</v>
      </c>
      <c r="Z64" s="995">
        <f t="shared" si="26"/>
        <v>85000000</v>
      </c>
    </row>
    <row r="65" spans="2:26">
      <c r="B65" s="981" t="s">
        <v>3640</v>
      </c>
      <c r="N65" s="995">
        <f>N23-N24-N25-N26-N29</f>
        <v>1000000</v>
      </c>
      <c r="O65" s="995">
        <f>O23-O24-O25-O26-O29</f>
        <v>0</v>
      </c>
      <c r="P65" s="995">
        <f>P23-P24-P25-P26-P29</f>
        <v>0</v>
      </c>
      <c r="Q65" s="995">
        <f>Q23-Q24-Q25-Q26-Q29</f>
        <v>-1000000</v>
      </c>
      <c r="R65" s="995">
        <f>R23-R24-R25-R26-R29</f>
        <v>0</v>
      </c>
      <c r="S65" s="995">
        <f t="shared" ref="S65:X65" si="27">S23-S24-S25-S26-S29</f>
        <v>0</v>
      </c>
      <c r="T65" s="995">
        <f t="shared" si="27"/>
        <v>-1000000</v>
      </c>
      <c r="U65" s="995">
        <f t="shared" si="27"/>
        <v>0</v>
      </c>
      <c r="V65" s="995">
        <f t="shared" si="27"/>
        <v>0</v>
      </c>
      <c r="W65" s="995">
        <f t="shared" si="27"/>
        <v>0</v>
      </c>
      <c r="X65" s="995">
        <f t="shared" si="27"/>
        <v>0</v>
      </c>
      <c r="Y65" s="995">
        <f t="shared" ref="Y65:Z65" si="28">Y23-Y24-Y25-Y26-Y29</f>
        <v>1000000</v>
      </c>
      <c r="Z65" s="995">
        <f t="shared" si="28"/>
        <v>0</v>
      </c>
    </row>
    <row r="66" spans="2:26">
      <c r="B66" s="981" t="s">
        <v>3641</v>
      </c>
      <c r="N66" s="995">
        <f>N26-N27-N28</f>
        <v>-1000000</v>
      </c>
      <c r="O66" s="995">
        <f>O26-O27-O28</f>
        <v>0</v>
      </c>
      <c r="P66" s="995">
        <f>P26-P27-P28</f>
        <v>0</v>
      </c>
      <c r="Q66" s="995">
        <f>Q26-Q27-Q28</f>
        <v>0</v>
      </c>
      <c r="R66" s="995">
        <f>R26-R27-R28</f>
        <v>0</v>
      </c>
      <c r="S66" s="995">
        <f t="shared" ref="S66:X66" si="29">S26-S27-S28</f>
        <v>-1000000</v>
      </c>
      <c r="T66" s="995">
        <f t="shared" si="29"/>
        <v>0</v>
      </c>
      <c r="U66" s="995">
        <f t="shared" si="29"/>
        <v>0</v>
      </c>
      <c r="V66" s="995">
        <f t="shared" si="29"/>
        <v>0</v>
      </c>
      <c r="W66" s="995">
        <f t="shared" si="29"/>
        <v>0</v>
      </c>
      <c r="X66" s="995">
        <f t="shared" si="29"/>
        <v>0</v>
      </c>
      <c r="Y66" s="995">
        <f t="shared" ref="Y66:Z66" si="30">Y26-Y27-Y28</f>
        <v>0</v>
      </c>
      <c r="Z66" s="995">
        <f t="shared" si="30"/>
        <v>0</v>
      </c>
    </row>
    <row r="67" spans="2:26">
      <c r="B67" s="981" t="s">
        <v>295</v>
      </c>
      <c r="N67" s="995">
        <f>N31-N32-N36-N35</f>
        <v>0</v>
      </c>
      <c r="O67" s="995">
        <f>O31-O32-O36-O35</f>
        <v>0</v>
      </c>
      <c r="P67" s="995">
        <f>P31-P32-P36-P35</f>
        <v>0</v>
      </c>
      <c r="Q67" s="995">
        <f>Q31-Q32-Q36-Q35</f>
        <v>0</v>
      </c>
      <c r="R67" s="995">
        <f>R31-R32-R36-R35</f>
        <v>0</v>
      </c>
      <c r="S67" s="995">
        <f t="shared" ref="S67:X67" si="31">S31-S32-S36-S35</f>
        <v>0</v>
      </c>
      <c r="T67" s="995">
        <f t="shared" si="31"/>
        <v>0</v>
      </c>
      <c r="U67" s="995">
        <f t="shared" si="31"/>
        <v>0</v>
      </c>
      <c r="V67" s="995">
        <f t="shared" si="31"/>
        <v>0</v>
      </c>
      <c r="W67" s="995">
        <f t="shared" si="31"/>
        <v>0</v>
      </c>
      <c r="X67" s="995">
        <f t="shared" si="31"/>
        <v>0</v>
      </c>
      <c r="Y67" s="995">
        <f t="shared" ref="Y67:Z67" si="32">Y31-Y32-Y36-Y35</f>
        <v>0</v>
      </c>
      <c r="Z67" s="995">
        <f t="shared" si="32"/>
        <v>0</v>
      </c>
    </row>
    <row r="68" spans="2:26">
      <c r="B68" s="981" t="s">
        <v>3642</v>
      </c>
      <c r="N68" s="1003">
        <f>N32-N33-N34-N35</f>
        <v>123000000</v>
      </c>
      <c r="O68" s="1003">
        <f>O32-O33-O34-O35</f>
        <v>259000000</v>
      </c>
      <c r="P68" s="995">
        <f>P32-P33-P34-P35</f>
        <v>0</v>
      </c>
      <c r="Q68" s="995">
        <f>Q32-Q33-Q34-Q35</f>
        <v>0</v>
      </c>
      <c r="R68" s="995">
        <f>R32-R33-R34</f>
        <v>0</v>
      </c>
      <c r="S68" s="995">
        <f t="shared" ref="S68:X68" si="33">S32-S33-S34</f>
        <v>0</v>
      </c>
      <c r="T68" s="995">
        <f t="shared" si="33"/>
        <v>0</v>
      </c>
      <c r="U68" s="995">
        <f t="shared" si="33"/>
        <v>0</v>
      </c>
      <c r="V68" s="995">
        <f t="shared" si="33"/>
        <v>0</v>
      </c>
      <c r="W68" s="995">
        <f t="shared" si="33"/>
        <v>0</v>
      </c>
      <c r="X68" s="995">
        <f t="shared" si="33"/>
        <v>0</v>
      </c>
      <c r="Y68" s="995">
        <f t="shared" ref="Y68:Z68" si="34">Y32-Y33-Y34</f>
        <v>0</v>
      </c>
      <c r="Z68" s="995">
        <f t="shared" si="34"/>
        <v>0</v>
      </c>
    </row>
    <row r="69" spans="2:26">
      <c r="B69" s="981" t="s">
        <v>148</v>
      </c>
      <c r="N69" s="995">
        <f t="shared" ref="N69:W69" si="35">N44-N45-N49-N56-N55</f>
        <v>1000000</v>
      </c>
      <c r="O69" s="995">
        <f t="shared" si="35"/>
        <v>-1000000</v>
      </c>
      <c r="P69" s="995">
        <f t="shared" si="35"/>
        <v>0</v>
      </c>
      <c r="Q69" s="995">
        <f t="shared" si="35"/>
        <v>0</v>
      </c>
      <c r="R69" s="995">
        <f t="shared" si="35"/>
        <v>0</v>
      </c>
      <c r="S69" s="995">
        <f t="shared" si="35"/>
        <v>0</v>
      </c>
      <c r="T69" s="995">
        <f t="shared" si="35"/>
        <v>0</v>
      </c>
      <c r="U69" s="995">
        <f t="shared" si="35"/>
        <v>0</v>
      </c>
      <c r="V69" s="995">
        <f t="shared" si="35"/>
        <v>0</v>
      </c>
      <c r="W69" s="995">
        <f t="shared" si="35"/>
        <v>0</v>
      </c>
      <c r="X69" s="995">
        <f>X44-X45-X49-X56-X55</f>
        <v>0</v>
      </c>
      <c r="Y69" s="995">
        <f t="shared" ref="Y69:Z69" si="36">Y44-Y45-Y49-Y56-Y55</f>
        <v>0</v>
      </c>
      <c r="Z69" s="995">
        <f t="shared" si="36"/>
        <v>0</v>
      </c>
    </row>
    <row r="70" spans="2:26">
      <c r="B70" s="981" t="s">
        <v>1171</v>
      </c>
      <c r="N70" s="995">
        <f>N45-N46-N47-N48</f>
        <v>-1000000</v>
      </c>
      <c r="O70" s="995">
        <f>O45-O46-O47-O48</f>
        <v>1000000</v>
      </c>
      <c r="P70" s="995">
        <f>P45-P46-P47-P48</f>
        <v>0</v>
      </c>
      <c r="Q70" s="995">
        <f>Q45-Q46-Q47-Q48</f>
        <v>0</v>
      </c>
      <c r="R70" s="995">
        <f>R45-R46-R47-R48</f>
        <v>0</v>
      </c>
      <c r="S70" s="995">
        <f t="shared" ref="S70:X70" si="37">S45-S46-S47-S48</f>
        <v>0</v>
      </c>
      <c r="T70" s="995">
        <f t="shared" si="37"/>
        <v>0</v>
      </c>
      <c r="U70" s="995">
        <f t="shared" si="37"/>
        <v>0</v>
      </c>
      <c r="V70" s="995">
        <f t="shared" si="37"/>
        <v>0</v>
      </c>
      <c r="W70" s="995">
        <f t="shared" si="37"/>
        <v>0</v>
      </c>
      <c r="X70" s="995">
        <f t="shared" si="37"/>
        <v>0</v>
      </c>
      <c r="Y70" s="995">
        <f t="shared" ref="Y70:Z70" si="38">Y45-Y46-Y47-Y48</f>
        <v>0</v>
      </c>
      <c r="Z70" s="995">
        <f t="shared" si="38"/>
        <v>0</v>
      </c>
    </row>
    <row r="71" spans="2:26">
      <c r="B71" s="981" t="s">
        <v>297</v>
      </c>
      <c r="N71" s="995">
        <f>N49-N50-N51-N52-N54-N53</f>
        <v>0</v>
      </c>
      <c r="O71" s="995">
        <f>O49-O50-O51-O52-O54-O53</f>
        <v>1000000</v>
      </c>
      <c r="P71" s="995">
        <f>P49-P50-P51-P52-P54-P53</f>
        <v>0</v>
      </c>
      <c r="Q71" s="995">
        <f t="shared" ref="Q71:X71" si="39">Q49-Q50-Q51-Q52-Q54-Q53</f>
        <v>1000000</v>
      </c>
      <c r="R71" s="995">
        <f t="shared" si="39"/>
        <v>0</v>
      </c>
      <c r="S71" s="995">
        <f t="shared" si="39"/>
        <v>0</v>
      </c>
      <c r="T71" s="995">
        <f t="shared" si="39"/>
        <v>0</v>
      </c>
      <c r="U71" s="995">
        <f t="shared" si="39"/>
        <v>0</v>
      </c>
      <c r="V71" s="995">
        <f t="shared" si="39"/>
        <v>0</v>
      </c>
      <c r="W71" s="995">
        <f t="shared" si="39"/>
        <v>0</v>
      </c>
      <c r="X71" s="995">
        <f t="shared" si="39"/>
        <v>0</v>
      </c>
      <c r="Y71" s="995">
        <f t="shared" ref="Y71:Z71" si="40">Y49-Y50-Y51-Y52-Y54-Y53</f>
        <v>0</v>
      </c>
      <c r="Z71" s="995">
        <f t="shared" si="40"/>
        <v>0</v>
      </c>
    </row>
    <row r="73" spans="2:26">
      <c r="M73" s="995"/>
    </row>
    <row r="74" spans="2:26">
      <c r="B74" s="981" t="s">
        <v>1040</v>
      </c>
      <c r="N74" s="972">
        <v>4402000000</v>
      </c>
      <c r="O74" s="972">
        <v>4815000000</v>
      </c>
      <c r="P74" s="972">
        <v>5059000000</v>
      </c>
      <c r="Q74" s="972">
        <v>5327000000</v>
      </c>
      <c r="R74" s="972">
        <v>5526000000</v>
      </c>
    </row>
    <row r="75" spans="2:26">
      <c r="B75" s="981" t="s">
        <v>151</v>
      </c>
      <c r="N75" s="1139">
        <f>(N6/N74)*100</f>
        <v>26.851431167651068</v>
      </c>
      <c r="O75" s="1139">
        <f>(O6/O74)*100</f>
        <v>27.642782969885776</v>
      </c>
      <c r="P75" s="1139">
        <f>(P6/P74)*100</f>
        <v>26.764182644791461</v>
      </c>
      <c r="Q75" s="1139">
        <f>(Q6/Q74)*100</f>
        <v>25.361366622864651</v>
      </c>
      <c r="R75" s="1139">
        <f>(R6/R74)*100</f>
        <v>24.719507781397031</v>
      </c>
    </row>
    <row r="76" spans="2:26">
      <c r="B76" s="981" t="s">
        <v>152</v>
      </c>
      <c r="N76" s="1139">
        <f>(N19/N74)*100</f>
        <v>28.736937755565648</v>
      </c>
      <c r="O76" s="1139">
        <f>(O19/O74)*100</f>
        <v>28.701973001038422</v>
      </c>
      <c r="P76" s="1139">
        <f>(P19/P74)*100</f>
        <v>28.483890096857085</v>
      </c>
      <c r="Q76" s="1139">
        <f>(Q19/Q74)*100</f>
        <v>27.576497090294726</v>
      </c>
      <c r="R76" s="1139">
        <f>(R19/R74)*100</f>
        <v>0</v>
      </c>
    </row>
    <row r="78" spans="2:26" ht="13.5" customHeight="1">
      <c r="B78" s="972" t="s">
        <v>153</v>
      </c>
      <c r="D78" s="972" t="b">
        <f t="shared" ref="D78:P78" si="41">IF(D37&lt;0, (D37/D19)*100)</f>
        <v>0</v>
      </c>
      <c r="E78" s="972" t="b">
        <f t="shared" si="41"/>
        <v>0</v>
      </c>
      <c r="F78" s="972" t="b">
        <f t="shared" si="41"/>
        <v>0</v>
      </c>
      <c r="G78" s="972" t="b">
        <f t="shared" si="41"/>
        <v>0</v>
      </c>
      <c r="H78" s="972" t="b">
        <f t="shared" si="41"/>
        <v>0</v>
      </c>
      <c r="I78" s="972" t="b">
        <f t="shared" si="41"/>
        <v>0</v>
      </c>
      <c r="J78" s="972" t="b">
        <f t="shared" si="41"/>
        <v>0</v>
      </c>
      <c r="K78" s="972" t="b">
        <f t="shared" si="41"/>
        <v>0</v>
      </c>
      <c r="L78" s="972" t="b">
        <f t="shared" si="41"/>
        <v>0</v>
      </c>
      <c r="M78" s="972" t="b">
        <f t="shared" si="41"/>
        <v>0</v>
      </c>
      <c r="N78" s="972" t="b">
        <f t="shared" si="41"/>
        <v>0</v>
      </c>
      <c r="O78" s="972" t="b">
        <f t="shared" si="41"/>
        <v>0</v>
      </c>
      <c r="P78" s="972" t="b">
        <f t="shared" si="41"/>
        <v>0</v>
      </c>
      <c r="Q78" s="972">
        <f>IF(Q37&lt;0, (Q37/Q19)*100)</f>
        <v>-0.40844111640571817</v>
      </c>
      <c r="R78" s="972" t="b">
        <f t="shared" ref="R78:X78" si="42">IF(R37&lt;0, (R37/R19)*100)</f>
        <v>0</v>
      </c>
      <c r="S78" s="972" t="b">
        <f t="shared" si="42"/>
        <v>0</v>
      </c>
      <c r="T78" s="972" t="e">
        <f t="shared" si="42"/>
        <v>#DIV/0!</v>
      </c>
      <c r="U78" s="972" t="e">
        <f t="shared" si="42"/>
        <v>#DIV/0!</v>
      </c>
      <c r="V78" s="972" t="b">
        <f t="shared" si="42"/>
        <v>0</v>
      </c>
      <c r="W78" s="972" t="b">
        <f t="shared" si="42"/>
        <v>0</v>
      </c>
      <c r="X78" s="972" t="b">
        <f t="shared" si="4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E18" activePane="bottomRight" state="frozen"/>
      <selection pane="topRight" activeCell="D1" sqref="D1"/>
      <selection pane="bottomLeft" activeCell="A6" sqref="A6"/>
      <selection pane="bottomRight" activeCell="N53" sqref="N53"/>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3643</v>
      </c>
      <c r="B1" s="82" t="s">
        <v>3644</v>
      </c>
      <c r="C1" s="82"/>
      <c r="D1" s="27"/>
      <c r="E1" s="27"/>
      <c r="F1" s="27"/>
      <c r="G1" s="27"/>
      <c r="H1" s="27"/>
      <c r="I1" s="27"/>
      <c r="J1" s="27"/>
      <c r="K1" s="27"/>
      <c r="L1" s="27"/>
      <c r="M1" s="27"/>
      <c r="N1" s="27"/>
      <c r="O1" s="28"/>
      <c r="P1" s="28"/>
      <c r="Q1" s="28"/>
      <c r="R1" s="29"/>
      <c r="S1" s="28"/>
      <c r="T1" s="28"/>
      <c r="U1" s="28"/>
      <c r="V1" s="28"/>
      <c r="W1" s="28"/>
      <c r="X1" s="28"/>
    </row>
    <row r="2" spans="1:41">
      <c r="B2" s="30" t="s">
        <v>3645</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1138</v>
      </c>
      <c r="C6" s="18" t="s">
        <v>35</v>
      </c>
      <c r="E6" s="280"/>
      <c r="F6" s="280"/>
      <c r="G6" s="280"/>
      <c r="H6" s="280">
        <v>21756000000</v>
      </c>
      <c r="I6" s="281">
        <f>I7+I27</f>
        <v>24916000000</v>
      </c>
      <c r="J6" s="282">
        <v>30062000000</v>
      </c>
      <c r="K6" s="282">
        <f>K7+K27</f>
        <v>42884000000</v>
      </c>
      <c r="L6" s="282">
        <v>56224000000</v>
      </c>
      <c r="M6" s="282">
        <v>64678000000</v>
      </c>
      <c r="N6" s="283">
        <v>67293000000</v>
      </c>
      <c r="O6" s="283">
        <v>91057000000</v>
      </c>
      <c r="P6" s="283">
        <v>104999000000</v>
      </c>
      <c r="Q6" s="304">
        <f t="shared" ref="Q6:V6" si="0">Q7+Q27</f>
        <v>122392000000</v>
      </c>
      <c r="R6" s="304">
        <f t="shared" si="0"/>
        <v>141579000000</v>
      </c>
      <c r="S6" s="304">
        <f t="shared" si="0"/>
        <v>153332000000</v>
      </c>
      <c r="T6" s="304">
        <f t="shared" si="0"/>
        <v>158889000000</v>
      </c>
      <c r="U6" s="304">
        <f t="shared" si="0"/>
        <v>188316000000</v>
      </c>
      <c r="V6" s="304">
        <f t="shared" si="0"/>
        <v>183603000000</v>
      </c>
      <c r="Y6" s="365"/>
      <c r="Z6" s="365"/>
      <c r="AA6" s="365"/>
      <c r="AB6" s="365"/>
      <c r="AC6" s="365"/>
      <c r="AD6" s="365"/>
      <c r="AE6" s="365"/>
      <c r="AF6" s="365"/>
      <c r="AG6" s="365"/>
      <c r="AH6" s="365"/>
      <c r="AI6" s="365"/>
      <c r="AJ6" s="365"/>
      <c r="AK6" s="365"/>
      <c r="AL6" s="365"/>
      <c r="AM6" s="365"/>
      <c r="AN6" s="365"/>
      <c r="AO6" s="365"/>
    </row>
    <row r="7" spans="1:41" ht="16.5">
      <c r="A7" s="43" t="s">
        <v>370</v>
      </c>
      <c r="B7" s="90" t="s">
        <v>1139</v>
      </c>
      <c r="C7" s="11" t="s">
        <v>38</v>
      </c>
      <c r="D7" s="28"/>
      <c r="E7" s="284"/>
      <c r="F7" s="284"/>
      <c r="G7" s="284"/>
      <c r="H7" s="285">
        <v>21016000000</v>
      </c>
      <c r="I7" s="286">
        <f>I9+I25+I26</f>
        <v>23885000000</v>
      </c>
      <c r="J7" s="287">
        <v>29174000000</v>
      </c>
      <c r="K7" s="287">
        <f>K9+K25+K26</f>
        <v>39666000000</v>
      </c>
      <c r="L7" s="287">
        <v>52700000000</v>
      </c>
      <c r="M7" s="287">
        <v>54431000000</v>
      </c>
      <c r="N7" s="288">
        <v>61117000000</v>
      </c>
      <c r="O7" s="288">
        <v>82433000000</v>
      </c>
      <c r="P7" s="288">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5"/>
      <c r="Z7" s="365"/>
      <c r="AA7" s="365"/>
      <c r="AB7" s="365"/>
      <c r="AC7" s="365"/>
      <c r="AD7" s="365"/>
      <c r="AE7" s="365"/>
      <c r="AF7" s="365"/>
      <c r="AG7" s="365"/>
      <c r="AH7" s="365"/>
      <c r="AI7" s="365"/>
      <c r="AJ7" s="365"/>
      <c r="AK7" s="365"/>
      <c r="AL7" s="365"/>
      <c r="AM7" s="365"/>
      <c r="AN7" s="365"/>
      <c r="AO7" s="365"/>
    </row>
    <row r="8" spans="1:41" ht="16.5">
      <c r="A8" s="90" t="s">
        <v>833</v>
      </c>
      <c r="B8" s="90" t="s">
        <v>3646</v>
      </c>
      <c r="C8" s="58"/>
      <c r="D8" s="28"/>
      <c r="E8" s="289"/>
      <c r="F8" s="289"/>
      <c r="G8" s="289"/>
      <c r="H8" s="285">
        <v>20699000000</v>
      </c>
      <c r="I8" s="286">
        <v>23750000000</v>
      </c>
      <c r="J8" s="287">
        <v>28955000000</v>
      </c>
      <c r="K8" s="287">
        <v>39200000000</v>
      </c>
      <c r="L8" s="287">
        <v>51323000000</v>
      </c>
      <c r="M8" s="287">
        <v>53749000000</v>
      </c>
      <c r="N8" s="288">
        <v>60230000000</v>
      </c>
      <c r="O8" s="288">
        <v>81682000000</v>
      </c>
      <c r="P8" s="288">
        <v>96286000000</v>
      </c>
      <c r="Q8" s="142"/>
      <c r="R8" s="288"/>
      <c r="S8" s="288"/>
      <c r="T8" s="21"/>
      <c r="U8" s="298"/>
      <c r="V8" s="298"/>
      <c r="W8" s="28"/>
      <c r="X8" s="28"/>
      <c r="Y8" s="365"/>
      <c r="Z8" s="365"/>
      <c r="AA8" s="365"/>
      <c r="AB8" s="365"/>
      <c r="AC8" s="365"/>
      <c r="AD8" s="365"/>
      <c r="AE8" s="365"/>
      <c r="AF8" s="365"/>
      <c r="AG8" s="365"/>
      <c r="AH8" s="365"/>
      <c r="AI8" s="365"/>
      <c r="AJ8" s="365"/>
      <c r="AK8" s="365"/>
      <c r="AL8" s="365"/>
      <c r="AM8" s="365"/>
      <c r="AN8" s="365"/>
      <c r="AO8" s="365"/>
    </row>
    <row r="9" spans="1:41" ht="16.5">
      <c r="A9" s="99" t="s">
        <v>39</v>
      </c>
      <c r="B9" s="99" t="s">
        <v>315</v>
      </c>
      <c r="C9" s="58" t="s">
        <v>41</v>
      </c>
      <c r="D9" s="28"/>
      <c r="E9" s="285"/>
      <c r="F9" s="285"/>
      <c r="G9" s="285"/>
      <c r="H9" s="285">
        <v>17280000000</v>
      </c>
      <c r="I9" s="286">
        <f>I10+I12+I13+I15+I16+I17+I18+I20+I21</f>
        <v>20184000000</v>
      </c>
      <c r="J9" s="287">
        <v>24317000000</v>
      </c>
      <c r="K9" s="287">
        <v>32005000000</v>
      </c>
      <c r="L9" s="287">
        <v>43169000000</v>
      </c>
      <c r="M9" s="287">
        <v>44645000000</v>
      </c>
      <c r="N9" s="288">
        <v>49233000000</v>
      </c>
      <c r="O9" s="288">
        <v>66027000000</v>
      </c>
      <c r="P9" s="288">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5"/>
      <c r="Z9" s="365"/>
      <c r="AA9" s="365"/>
      <c r="AB9" s="365"/>
      <c r="AC9" s="365"/>
      <c r="AD9" s="365"/>
      <c r="AE9" s="365"/>
      <c r="AF9" s="365"/>
      <c r="AG9" s="365"/>
      <c r="AH9" s="365"/>
      <c r="AI9" s="365"/>
      <c r="AJ9" s="365"/>
      <c r="AK9" s="365"/>
      <c r="AL9" s="365"/>
      <c r="AM9" s="365"/>
      <c r="AN9" s="365"/>
      <c r="AO9" s="365"/>
    </row>
    <row r="10" spans="1:41" ht="16.5">
      <c r="A10" s="100" t="s">
        <v>3647</v>
      </c>
      <c r="B10" s="100" t="s">
        <v>3648</v>
      </c>
      <c r="C10" s="27" t="s">
        <v>44</v>
      </c>
      <c r="D10" s="28"/>
      <c r="E10" s="21"/>
      <c r="F10" s="21"/>
      <c r="G10" s="21"/>
      <c r="H10" s="285">
        <v>2636000000</v>
      </c>
      <c r="I10" s="286">
        <v>3516000000</v>
      </c>
      <c r="J10" s="287">
        <v>3506000000</v>
      </c>
      <c r="K10" s="287">
        <v>4338000000</v>
      </c>
      <c r="L10" s="287">
        <v>6909000000</v>
      </c>
      <c r="M10" s="287">
        <v>10261000000</v>
      </c>
      <c r="N10" s="288">
        <v>13110000000</v>
      </c>
      <c r="O10" s="288">
        <v>17122000000</v>
      </c>
      <c r="P10" s="288">
        <v>18537000000</v>
      </c>
      <c r="Q10" s="125">
        <v>17221000000</v>
      </c>
      <c r="R10" s="125">
        <v>19635000000</v>
      </c>
      <c r="S10" s="125">
        <v>21773000000</v>
      </c>
      <c r="T10" s="125">
        <v>22253000000</v>
      </c>
      <c r="U10" s="125">
        <v>28611000000</v>
      </c>
      <c r="V10" s="125">
        <v>31095000000</v>
      </c>
      <c r="W10" s="28"/>
      <c r="X10" s="28"/>
      <c r="Y10" s="365"/>
      <c r="Z10" s="365"/>
      <c r="AA10" s="365"/>
      <c r="AB10" s="365"/>
      <c r="AC10" s="365"/>
      <c r="AD10" s="365"/>
      <c r="AE10" s="365"/>
      <c r="AF10" s="365"/>
      <c r="AG10" s="365"/>
      <c r="AH10" s="365"/>
      <c r="AI10" s="365"/>
      <c r="AJ10" s="365"/>
      <c r="AK10" s="365"/>
      <c r="AL10" s="365"/>
      <c r="AM10" s="365"/>
      <c r="AN10" s="365"/>
      <c r="AO10" s="365"/>
    </row>
    <row r="11" spans="1:41" ht="16.5">
      <c r="A11" s="100"/>
      <c r="B11" s="100" t="s">
        <v>7062</v>
      </c>
      <c r="C11" s="27"/>
      <c r="D11" s="28"/>
      <c r="E11" s="21"/>
      <c r="F11" s="21"/>
      <c r="G11" s="21"/>
      <c r="H11" s="285"/>
      <c r="I11" s="286"/>
      <c r="J11" s="287"/>
      <c r="K11" s="287"/>
      <c r="L11" s="287"/>
      <c r="M11" s="287"/>
      <c r="N11" s="288"/>
      <c r="O11" s="288"/>
      <c r="P11" s="288"/>
      <c r="Q11" s="125">
        <v>36577000000</v>
      </c>
      <c r="R11" s="125">
        <v>39926000000</v>
      </c>
      <c r="S11" s="125">
        <v>40729000000</v>
      </c>
      <c r="T11" s="125">
        <v>45311000000</v>
      </c>
      <c r="U11" s="125">
        <v>50923000000</v>
      </c>
      <c r="V11" s="125">
        <v>53170000000</v>
      </c>
      <c r="W11" s="28"/>
      <c r="X11" s="28"/>
      <c r="Y11" s="365"/>
      <c r="Z11" s="365"/>
      <c r="AA11" s="365"/>
      <c r="AB11" s="365"/>
      <c r="AC11" s="365"/>
      <c r="AD11" s="365"/>
      <c r="AE11" s="365"/>
      <c r="AF11" s="365"/>
      <c r="AG11" s="365"/>
      <c r="AH11" s="365"/>
      <c r="AI11" s="365"/>
      <c r="AJ11" s="365"/>
      <c r="AK11" s="365"/>
      <c r="AL11" s="365"/>
      <c r="AM11" s="365"/>
      <c r="AN11" s="365"/>
      <c r="AO11" s="365"/>
    </row>
    <row r="12" spans="1:41" ht="16.5">
      <c r="A12" s="138" t="s">
        <v>161</v>
      </c>
      <c r="B12" s="138" t="s">
        <v>162</v>
      </c>
      <c r="C12" s="27" t="s">
        <v>44</v>
      </c>
      <c r="D12" s="28"/>
      <c r="E12" s="21"/>
      <c r="F12" s="21"/>
      <c r="G12" s="21"/>
      <c r="H12" s="285">
        <v>6830000000</v>
      </c>
      <c r="I12" s="286">
        <v>7089000000</v>
      </c>
      <c r="J12" s="287">
        <v>9151000000</v>
      </c>
      <c r="K12" s="287">
        <v>12702000000</v>
      </c>
      <c r="L12" s="287">
        <v>16540000000</v>
      </c>
      <c r="M12" s="287">
        <v>13467000000</v>
      </c>
      <c r="N12" s="288">
        <v>14602000000</v>
      </c>
      <c r="O12" s="288">
        <v>20353000000</v>
      </c>
      <c r="P12" s="288">
        <v>25769000000</v>
      </c>
      <c r="Q12" s="125">
        <v>30083000000</v>
      </c>
      <c r="R12" s="125">
        <v>32663000000</v>
      </c>
      <c r="S12" s="125">
        <v>33221000000</v>
      </c>
      <c r="T12" s="125">
        <v>39297000000</v>
      </c>
      <c r="U12" s="125">
        <v>40845000000</v>
      </c>
      <c r="V12" s="125">
        <v>42330000000</v>
      </c>
      <c r="W12" s="28"/>
      <c r="X12" s="28"/>
      <c r="Y12" s="365"/>
      <c r="Z12" s="365"/>
      <c r="AA12" s="365"/>
      <c r="AB12" s="365"/>
      <c r="AC12" s="365"/>
      <c r="AD12" s="365"/>
      <c r="AE12" s="365"/>
      <c r="AF12" s="365"/>
      <c r="AG12" s="365"/>
      <c r="AH12" s="365"/>
      <c r="AI12" s="365"/>
      <c r="AJ12" s="365"/>
      <c r="AK12" s="365"/>
      <c r="AL12" s="365"/>
      <c r="AM12" s="365"/>
      <c r="AN12" s="365"/>
      <c r="AO12" s="365"/>
    </row>
    <row r="13" spans="1:41" ht="16.5">
      <c r="A13" s="138" t="s">
        <v>553</v>
      </c>
      <c r="B13" s="138" t="s">
        <v>553</v>
      </c>
      <c r="C13" s="27" t="s">
        <v>44</v>
      </c>
      <c r="D13" s="28"/>
      <c r="E13" s="21"/>
      <c r="F13" s="21"/>
      <c r="G13" s="21"/>
      <c r="H13" s="285">
        <v>1245000000</v>
      </c>
      <c r="I13" s="286">
        <v>1150000000</v>
      </c>
      <c r="J13" s="287">
        <v>1205000000</v>
      </c>
      <c r="K13" s="287">
        <v>1448000000</v>
      </c>
      <c r="L13" s="287">
        <v>1575000000</v>
      </c>
      <c r="M13" s="287">
        <v>1669000000</v>
      </c>
      <c r="N13" s="288">
        <v>1689000000</v>
      </c>
      <c r="O13" s="288">
        <v>2187000000</v>
      </c>
      <c r="P13" s="288">
        <v>2827000000</v>
      </c>
      <c r="Q13" s="125">
        <v>4090000000</v>
      </c>
      <c r="R13" s="125">
        <v>6334000000</v>
      </c>
      <c r="S13" s="125">
        <v>7757000000</v>
      </c>
      <c r="T13" s="125">
        <v>9059000000</v>
      </c>
      <c r="U13" s="125">
        <v>10388000000</v>
      </c>
      <c r="V13" s="125">
        <v>11973000000</v>
      </c>
      <c r="W13" s="28"/>
      <c r="X13" s="28"/>
      <c r="Y13" s="365"/>
      <c r="Z13" s="365"/>
      <c r="AA13" s="365"/>
      <c r="AB13" s="365"/>
      <c r="AC13" s="365"/>
      <c r="AD13" s="365"/>
      <c r="AE13" s="365"/>
      <c r="AF13" s="365"/>
      <c r="AG13" s="365"/>
      <c r="AH13" s="365"/>
      <c r="AI13" s="365"/>
      <c r="AJ13" s="365"/>
      <c r="AK13" s="365"/>
      <c r="AL13" s="365"/>
      <c r="AM13" s="365"/>
      <c r="AN13" s="365"/>
      <c r="AO13" s="365"/>
    </row>
    <row r="14" spans="1:41" ht="16.5">
      <c r="A14" s="138"/>
      <c r="B14" s="138" t="s">
        <v>7063</v>
      </c>
      <c r="C14" s="27" t="s">
        <v>44</v>
      </c>
      <c r="D14" s="28"/>
      <c r="E14" s="21"/>
      <c r="F14" s="21"/>
      <c r="G14" s="21"/>
      <c r="H14" s="285"/>
      <c r="I14" s="286"/>
      <c r="J14" s="287"/>
      <c r="K14" s="287"/>
      <c r="L14" s="287"/>
      <c r="M14" s="287"/>
      <c r="N14" s="288"/>
      <c r="O14" s="288"/>
      <c r="P14" s="288"/>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5"/>
      <c r="Z14" s="365"/>
      <c r="AA14" s="365"/>
      <c r="AB14" s="365"/>
      <c r="AC14" s="365"/>
      <c r="AD14" s="365"/>
      <c r="AE14" s="365"/>
      <c r="AF14" s="365"/>
      <c r="AG14" s="365"/>
      <c r="AH14" s="365"/>
      <c r="AI14" s="365"/>
      <c r="AJ14" s="365"/>
      <c r="AK14" s="365"/>
      <c r="AL14" s="365"/>
      <c r="AM14" s="365"/>
      <c r="AN14" s="365"/>
      <c r="AO14" s="365"/>
    </row>
    <row r="15" spans="1:41" ht="16.5">
      <c r="A15" s="138" t="s">
        <v>3649</v>
      </c>
      <c r="B15" s="138" t="s">
        <v>3649</v>
      </c>
      <c r="C15" s="27" t="s">
        <v>44</v>
      </c>
      <c r="D15" s="28"/>
      <c r="E15" s="21"/>
      <c r="F15" s="21"/>
      <c r="G15" s="21"/>
      <c r="H15" s="285">
        <v>449000000</v>
      </c>
      <c r="I15" s="286">
        <v>1664000000</v>
      </c>
      <c r="J15" s="287">
        <v>2803000000</v>
      </c>
      <c r="K15" s="287">
        <v>3789000000</v>
      </c>
      <c r="L15" s="287">
        <v>4634000000</v>
      </c>
      <c r="M15" s="287">
        <v>4139000000</v>
      </c>
      <c r="N15" s="288">
        <v>4348000000</v>
      </c>
      <c r="O15" s="288">
        <v>7147000000</v>
      </c>
      <c r="P15" s="288">
        <v>9430000000</v>
      </c>
      <c r="Q15" s="142"/>
      <c r="R15" s="142"/>
      <c r="S15" s="142"/>
      <c r="T15" s="125"/>
      <c r="U15" s="298"/>
      <c r="V15" s="298"/>
      <c r="W15" s="28"/>
      <c r="X15" s="28"/>
      <c r="Y15" s="365"/>
      <c r="Z15" s="365"/>
      <c r="AA15" s="365"/>
      <c r="AB15" s="365"/>
      <c r="AC15" s="365"/>
      <c r="AD15" s="365"/>
      <c r="AE15" s="365"/>
      <c r="AF15" s="365"/>
      <c r="AG15" s="365"/>
      <c r="AH15" s="365"/>
      <c r="AI15" s="365"/>
      <c r="AJ15" s="365"/>
      <c r="AK15" s="365"/>
      <c r="AL15" s="365"/>
      <c r="AM15" s="365"/>
      <c r="AN15" s="365"/>
      <c r="AO15" s="365"/>
    </row>
    <row r="16" spans="1:41" ht="16.5">
      <c r="A16" s="100" t="s">
        <v>3650</v>
      </c>
      <c r="B16" s="100" t="s">
        <v>3651</v>
      </c>
      <c r="C16" s="27" t="s">
        <v>44</v>
      </c>
      <c r="D16" s="28"/>
      <c r="E16" s="21"/>
      <c r="F16" s="21"/>
      <c r="G16" s="21"/>
      <c r="H16" s="285">
        <v>335000000</v>
      </c>
      <c r="I16" s="286">
        <v>319000000</v>
      </c>
      <c r="J16" s="287">
        <v>412000000</v>
      </c>
      <c r="K16" s="287">
        <v>587000000</v>
      </c>
      <c r="L16" s="287">
        <v>666000000</v>
      </c>
      <c r="M16" s="287">
        <v>917000000</v>
      </c>
      <c r="N16" s="288">
        <v>799000000</v>
      </c>
      <c r="O16" s="288">
        <v>762000000</v>
      </c>
      <c r="P16" s="288">
        <v>757000000</v>
      </c>
      <c r="Q16" s="125">
        <v>888000000</v>
      </c>
      <c r="R16" s="125">
        <v>920000000</v>
      </c>
      <c r="S16" s="125">
        <v>954000000</v>
      </c>
      <c r="T16" s="125">
        <v>990000000</v>
      </c>
      <c r="U16" s="125">
        <v>1089000000</v>
      </c>
      <c r="V16" s="125">
        <v>1198000000</v>
      </c>
      <c r="W16" s="28"/>
      <c r="X16" s="28"/>
      <c r="Y16" s="365"/>
      <c r="Z16" s="365"/>
      <c r="AA16" s="365"/>
      <c r="AB16" s="365"/>
      <c r="AC16" s="365"/>
      <c r="AD16" s="365"/>
      <c r="AE16" s="365"/>
      <c r="AF16" s="365"/>
      <c r="AG16" s="365"/>
      <c r="AH16" s="365"/>
      <c r="AI16" s="365"/>
      <c r="AJ16" s="365"/>
      <c r="AK16" s="365"/>
      <c r="AL16" s="365"/>
      <c r="AM16" s="365"/>
      <c r="AN16" s="365"/>
      <c r="AO16" s="365"/>
    </row>
    <row r="17" spans="1:41" ht="16.5">
      <c r="A17" s="100" t="s">
        <v>3652</v>
      </c>
      <c r="B17" s="100" t="s">
        <v>3653</v>
      </c>
      <c r="C17" s="27" t="s">
        <v>44</v>
      </c>
      <c r="D17" s="28"/>
      <c r="E17" s="21"/>
      <c r="F17" s="21"/>
      <c r="G17" s="21"/>
      <c r="H17" s="285">
        <v>1270000000</v>
      </c>
      <c r="I17" s="286">
        <v>1410000000</v>
      </c>
      <c r="J17" s="287">
        <v>1534000000</v>
      </c>
      <c r="K17" s="287">
        <v>1913000000</v>
      </c>
      <c r="L17" s="287">
        <v>2879000000</v>
      </c>
      <c r="M17" s="287">
        <v>403000000</v>
      </c>
      <c r="N17" s="288">
        <v>42000000</v>
      </c>
      <c r="O17" s="288">
        <v>10000000</v>
      </c>
      <c r="P17" s="288">
        <v>4000000</v>
      </c>
      <c r="Q17" s="142"/>
      <c r="R17" s="142"/>
      <c r="S17" s="142"/>
      <c r="T17" s="125"/>
      <c r="U17" s="298"/>
      <c r="V17" s="125"/>
      <c r="W17" s="28"/>
      <c r="X17" s="28"/>
      <c r="Y17" s="365"/>
      <c r="Z17" s="365"/>
      <c r="AA17" s="365"/>
      <c r="AB17" s="365"/>
      <c r="AC17" s="365"/>
      <c r="AD17" s="365"/>
      <c r="AE17" s="365"/>
      <c r="AF17" s="365"/>
      <c r="AG17" s="365"/>
      <c r="AH17" s="365"/>
      <c r="AI17" s="365"/>
      <c r="AJ17" s="365"/>
      <c r="AK17" s="365"/>
      <c r="AL17" s="365"/>
      <c r="AM17" s="365"/>
      <c r="AN17" s="365"/>
      <c r="AO17" s="365"/>
    </row>
    <row r="18" spans="1:41" ht="16.5">
      <c r="A18" s="100" t="s">
        <v>3654</v>
      </c>
      <c r="B18" s="100" t="s">
        <v>3655</v>
      </c>
      <c r="C18" s="27" t="s">
        <v>44</v>
      </c>
      <c r="D18" s="28"/>
      <c r="E18" s="21"/>
      <c r="F18" s="21"/>
      <c r="G18" s="21"/>
      <c r="H18" s="285">
        <v>548000000</v>
      </c>
      <c r="I18" s="286">
        <v>605000000</v>
      </c>
      <c r="J18" s="287">
        <v>772000000</v>
      </c>
      <c r="K18" s="287">
        <v>1121000000</v>
      </c>
      <c r="L18" s="287">
        <v>1516000000</v>
      </c>
      <c r="M18" s="287">
        <v>0</v>
      </c>
      <c r="N18" s="288"/>
      <c r="O18" s="288"/>
      <c r="P18" s="288"/>
      <c r="Q18" s="142"/>
      <c r="R18" s="142"/>
      <c r="S18" s="142"/>
      <c r="T18" s="142"/>
      <c r="U18" s="298"/>
      <c r="V18" s="298"/>
      <c r="W18" s="28"/>
      <c r="X18" s="28"/>
      <c r="Y18" s="365"/>
      <c r="Z18" s="365"/>
      <c r="AA18" s="365"/>
      <c r="AB18" s="365"/>
      <c r="AC18" s="365"/>
      <c r="AD18" s="365"/>
      <c r="AE18" s="365"/>
      <c r="AF18" s="365"/>
      <c r="AG18" s="365"/>
      <c r="AH18" s="365"/>
      <c r="AI18" s="365"/>
      <c r="AJ18" s="365"/>
      <c r="AK18" s="365"/>
      <c r="AL18" s="365"/>
      <c r="AM18" s="365"/>
      <c r="AN18" s="365"/>
      <c r="AO18" s="365"/>
    </row>
    <row r="19" spans="1:41" ht="16.5">
      <c r="A19" s="100" t="s">
        <v>3656</v>
      </c>
      <c r="B19" s="100" t="s">
        <v>3657</v>
      </c>
      <c r="C19" s="27" t="s">
        <v>44</v>
      </c>
      <c r="D19" s="28"/>
      <c r="E19" s="21"/>
      <c r="F19" s="21"/>
      <c r="G19" s="21"/>
      <c r="H19" s="290"/>
      <c r="I19" s="21"/>
      <c r="J19" s="287"/>
      <c r="K19" s="287"/>
      <c r="L19" s="287"/>
      <c r="M19" s="287">
        <v>3933000000</v>
      </c>
      <c r="N19" s="288">
        <v>3699000000</v>
      </c>
      <c r="O19" s="288">
        <v>4128000000</v>
      </c>
      <c r="P19" s="288">
        <v>4989000000</v>
      </c>
      <c r="Q19" s="142"/>
      <c r="R19" s="142"/>
      <c r="S19" s="142"/>
      <c r="T19" s="125"/>
      <c r="U19" s="298"/>
      <c r="V19" s="298"/>
      <c r="W19" s="28"/>
      <c r="X19" s="28"/>
      <c r="Y19" s="365"/>
      <c r="Z19" s="365"/>
      <c r="AA19" s="365"/>
      <c r="AB19" s="365"/>
      <c r="AC19" s="365"/>
      <c r="AD19" s="365"/>
      <c r="AE19" s="365"/>
      <c r="AF19" s="365"/>
      <c r="AG19" s="365"/>
      <c r="AH19" s="365"/>
      <c r="AI19" s="365"/>
      <c r="AJ19" s="365"/>
      <c r="AK19" s="365"/>
      <c r="AL19" s="365"/>
      <c r="AM19" s="365"/>
      <c r="AN19" s="365"/>
      <c r="AO19" s="365"/>
    </row>
    <row r="20" spans="1:41" ht="16.5">
      <c r="A20" s="100" t="s">
        <v>3658</v>
      </c>
      <c r="B20" s="100" t="s">
        <v>3659</v>
      </c>
      <c r="C20" s="27" t="s">
        <v>44</v>
      </c>
      <c r="D20" s="28"/>
      <c r="E20" s="21"/>
      <c r="F20" s="21"/>
      <c r="G20" s="21"/>
      <c r="H20" s="285">
        <v>3293000000</v>
      </c>
      <c r="I20" s="286">
        <v>3821000000</v>
      </c>
      <c r="J20" s="287">
        <v>4336000000</v>
      </c>
      <c r="K20" s="287">
        <v>5460000000</v>
      </c>
      <c r="L20" s="287">
        <v>7244000000</v>
      </c>
      <c r="M20" s="287">
        <v>8547000000</v>
      </c>
      <c r="N20" s="288">
        <v>9870000000</v>
      </c>
      <c r="O20" s="288">
        <v>13010000000</v>
      </c>
      <c r="P20" s="288">
        <v>15125000000</v>
      </c>
      <c r="Q20" s="142"/>
      <c r="R20" s="142"/>
      <c r="S20" s="142"/>
      <c r="T20" s="125"/>
      <c r="U20" s="298"/>
      <c r="V20" s="298"/>
      <c r="W20" s="28"/>
      <c r="X20" s="28"/>
      <c r="Y20" s="365"/>
      <c r="Z20" s="365"/>
      <c r="AA20" s="365"/>
      <c r="AB20" s="365"/>
      <c r="AC20" s="365"/>
      <c r="AD20" s="365"/>
      <c r="AE20" s="365"/>
      <c r="AF20" s="365"/>
      <c r="AG20" s="365"/>
      <c r="AH20" s="365"/>
      <c r="AI20" s="365"/>
      <c r="AJ20" s="365"/>
      <c r="AK20" s="365"/>
      <c r="AL20" s="365"/>
      <c r="AM20" s="365"/>
      <c r="AN20" s="365"/>
      <c r="AO20" s="365"/>
    </row>
    <row r="21" spans="1:41" ht="16.5">
      <c r="A21" s="100" t="s">
        <v>3660</v>
      </c>
      <c r="B21" s="138" t="s">
        <v>50</v>
      </c>
      <c r="C21" s="27" t="s">
        <v>44</v>
      </c>
      <c r="D21" s="28"/>
      <c r="E21" s="21"/>
      <c r="F21" s="21"/>
      <c r="G21" s="21"/>
      <c r="H21" s="285">
        <v>673000000</v>
      </c>
      <c r="I21" s="21">
        <v>610000000</v>
      </c>
      <c r="J21" s="287">
        <v>599000000</v>
      </c>
      <c r="K21" s="287">
        <v>646000000</v>
      </c>
      <c r="L21" s="287">
        <v>1207000000</v>
      </c>
      <c r="M21" s="287">
        <v>1309000000</v>
      </c>
      <c r="N21" s="288">
        <v>1073000000</v>
      </c>
      <c r="O21" s="288">
        <v>1309000000</v>
      </c>
      <c r="P21" s="288">
        <v>1599000000</v>
      </c>
      <c r="Q21" s="125">
        <v>1003000000</v>
      </c>
      <c r="R21" s="125">
        <v>763000000</v>
      </c>
      <c r="S21" s="125">
        <v>4000000</v>
      </c>
      <c r="T21" s="142">
        <v>3000000</v>
      </c>
      <c r="U21" s="125">
        <v>374000000</v>
      </c>
      <c r="V21" s="125">
        <v>448000000</v>
      </c>
      <c r="W21" s="28"/>
      <c r="X21" s="28"/>
      <c r="Y21" s="365"/>
      <c r="Z21" s="365"/>
      <c r="AA21" s="365"/>
      <c r="AB21" s="365"/>
      <c r="AC21" s="365"/>
      <c r="AD21" s="365"/>
      <c r="AE21" s="365"/>
      <c r="AF21" s="365"/>
      <c r="AG21" s="365"/>
      <c r="AH21" s="365"/>
      <c r="AI21" s="365"/>
      <c r="AJ21" s="365"/>
      <c r="AK21" s="365"/>
      <c r="AL21" s="365"/>
      <c r="AM21" s="365"/>
      <c r="AN21" s="365"/>
      <c r="AO21" s="365"/>
    </row>
    <row r="22" spans="1:41" ht="16.5">
      <c r="A22" s="100"/>
      <c r="B22" s="100" t="s">
        <v>6720</v>
      </c>
      <c r="C22" s="27" t="s">
        <v>44</v>
      </c>
      <c r="D22" s="28"/>
      <c r="E22" s="21"/>
      <c r="F22" s="21"/>
      <c r="G22" s="21"/>
      <c r="H22" s="285"/>
      <c r="I22" s="21"/>
      <c r="J22" s="287"/>
      <c r="K22" s="287"/>
      <c r="L22" s="287"/>
      <c r="M22" s="287"/>
      <c r="N22" s="288"/>
      <c r="O22" s="288"/>
      <c r="P22" s="288"/>
      <c r="Q22" s="125">
        <v>1176000000</v>
      </c>
      <c r="R22" s="125">
        <v>1290000000</v>
      </c>
      <c r="S22" s="125">
        <v>1332000000</v>
      </c>
      <c r="T22" s="125">
        <v>1505000000</v>
      </c>
      <c r="U22" s="125">
        <v>1284000000</v>
      </c>
      <c r="V22" s="125">
        <v>1376000000</v>
      </c>
      <c r="W22" s="28"/>
      <c r="X22" s="28"/>
      <c r="Y22" s="365"/>
      <c r="Z22" s="365"/>
      <c r="AA22" s="365"/>
      <c r="AB22" s="365"/>
      <c r="AC22" s="365"/>
      <c r="AD22" s="365"/>
      <c r="AE22" s="365"/>
      <c r="AF22" s="365"/>
      <c r="AG22" s="365"/>
      <c r="AH22" s="365"/>
      <c r="AI22" s="365"/>
      <c r="AJ22" s="365"/>
      <c r="AK22" s="365"/>
      <c r="AL22" s="365"/>
      <c r="AM22" s="365"/>
      <c r="AN22" s="365"/>
      <c r="AO22" s="365"/>
    </row>
    <row r="23" spans="1:41" ht="16.5">
      <c r="A23" s="100"/>
      <c r="B23" t="s">
        <v>5475</v>
      </c>
      <c r="C23" s="27" t="s">
        <v>44</v>
      </c>
      <c r="D23" s="28"/>
      <c r="E23" s="21"/>
      <c r="F23" s="21"/>
      <c r="G23" s="21"/>
      <c r="H23" s="285"/>
      <c r="I23" s="21"/>
      <c r="J23" s="287"/>
      <c r="K23" s="287"/>
      <c r="L23" s="287"/>
      <c r="M23" s="287"/>
      <c r="N23" s="288"/>
      <c r="O23" s="288"/>
      <c r="P23" s="288"/>
      <c r="Q23" s="125">
        <v>11886000000</v>
      </c>
      <c r="R23" s="125">
        <v>13771000000</v>
      </c>
      <c r="S23" s="125">
        <v>9684000000</v>
      </c>
      <c r="T23" s="125">
        <v>13809000000</v>
      </c>
      <c r="U23" s="125">
        <v>13431000000</v>
      </c>
      <c r="V23" s="125">
        <v>15452000000</v>
      </c>
      <c r="W23" s="28"/>
      <c r="X23" s="28"/>
      <c r="Y23" s="365"/>
      <c r="Z23" s="365"/>
      <c r="AA23" s="365"/>
      <c r="AB23" s="365"/>
      <c r="AC23" s="365"/>
      <c r="AD23" s="365"/>
      <c r="AE23" s="365"/>
      <c r="AF23" s="365"/>
      <c r="AG23" s="365"/>
      <c r="AH23" s="365"/>
      <c r="AI23" s="365"/>
      <c r="AJ23" s="365"/>
      <c r="AK23" s="365"/>
      <c r="AL23" s="365"/>
      <c r="AM23" s="365"/>
      <c r="AN23" s="365"/>
      <c r="AO23" s="365"/>
    </row>
    <row r="24" spans="1:41" ht="16.5">
      <c r="A24" s="100"/>
      <c r="B24" t="s">
        <v>3103</v>
      </c>
      <c r="C24" s="58" t="s">
        <v>41</v>
      </c>
      <c r="D24" s="28"/>
      <c r="E24" s="21"/>
      <c r="F24" s="21"/>
      <c r="G24" s="21"/>
      <c r="H24" s="285"/>
      <c r="I24" s="21"/>
      <c r="J24" s="287"/>
      <c r="K24" s="287"/>
      <c r="L24" s="287"/>
      <c r="M24" s="287"/>
      <c r="N24" s="288"/>
      <c r="O24" s="288"/>
      <c r="P24" s="288"/>
      <c r="Q24" s="125">
        <v>20454000000</v>
      </c>
      <c r="R24" s="125">
        <v>22058000000</v>
      </c>
      <c r="S24" s="125">
        <v>24106000000</v>
      </c>
      <c r="T24" s="125">
        <v>26558000000</v>
      </c>
      <c r="U24" s="125">
        <v>28305000000</v>
      </c>
      <c r="V24" s="125">
        <v>29453000000</v>
      </c>
      <c r="W24" s="28"/>
      <c r="X24" s="28"/>
      <c r="Y24" s="365"/>
      <c r="Z24" s="365"/>
      <c r="AA24" s="365"/>
      <c r="AB24" s="365"/>
      <c r="AC24" s="365"/>
      <c r="AD24" s="365"/>
      <c r="AE24" s="365"/>
      <c r="AF24" s="365"/>
      <c r="AG24" s="365"/>
      <c r="AH24" s="365"/>
      <c r="AI24" s="365"/>
      <c r="AJ24" s="365"/>
      <c r="AK24" s="365"/>
      <c r="AL24" s="365"/>
      <c r="AM24" s="365"/>
      <c r="AN24" s="365"/>
      <c r="AO24" s="365"/>
    </row>
    <row r="25" spans="1:41" ht="16.5">
      <c r="A25" s="99" t="s">
        <v>51</v>
      </c>
      <c r="B25" s="99" t="s">
        <v>1145</v>
      </c>
      <c r="C25" s="58" t="s">
        <v>41</v>
      </c>
      <c r="D25" s="28"/>
      <c r="E25" s="21"/>
      <c r="F25" s="21"/>
      <c r="G25" s="21"/>
      <c r="H25" s="285">
        <v>3419000000</v>
      </c>
      <c r="I25" s="286">
        <v>3568000000</v>
      </c>
      <c r="J25" s="287">
        <v>4637000000</v>
      </c>
      <c r="K25" s="287">
        <v>7195000000</v>
      </c>
      <c r="L25" s="287">
        <v>8155000000</v>
      </c>
      <c r="M25" s="287">
        <v>9104000000</v>
      </c>
      <c r="N25" s="288">
        <v>10997000000</v>
      </c>
      <c r="O25" s="288">
        <v>15655000000</v>
      </c>
      <c r="P25" s="288">
        <v>17249000000</v>
      </c>
      <c r="Q25" s="125">
        <v>20466000000</v>
      </c>
      <c r="R25" s="142">
        <v>23750000000</v>
      </c>
      <c r="S25" s="125">
        <v>37731000000</v>
      </c>
      <c r="T25" s="125">
        <v>29303000000</v>
      </c>
      <c r="U25" s="125">
        <v>30353000000</v>
      </c>
      <c r="V25" s="125">
        <v>20714000000</v>
      </c>
      <c r="W25" s="28"/>
      <c r="X25" s="28"/>
      <c r="Y25" s="365"/>
      <c r="Z25" s="365"/>
      <c r="AA25" s="365"/>
      <c r="AB25" s="365"/>
      <c r="AC25" s="365"/>
      <c r="AD25" s="365"/>
      <c r="AE25" s="365"/>
      <c r="AF25" s="365"/>
      <c r="AG25" s="365"/>
      <c r="AH25" s="365"/>
      <c r="AI25" s="365"/>
      <c r="AJ25" s="365"/>
      <c r="AK25" s="365"/>
      <c r="AL25" s="365"/>
      <c r="AM25" s="365"/>
      <c r="AN25" s="365"/>
      <c r="AO25" s="365"/>
    </row>
    <row r="26" spans="1:41" ht="16.5">
      <c r="A26" s="90" t="s">
        <v>468</v>
      </c>
      <c r="B26" s="90" t="s">
        <v>3661</v>
      </c>
      <c r="C26" s="58" t="s">
        <v>41</v>
      </c>
      <c r="D26" s="28"/>
      <c r="E26" s="21"/>
      <c r="F26" s="21"/>
      <c r="G26" s="21"/>
      <c r="H26" s="285">
        <v>318000000</v>
      </c>
      <c r="I26" s="286">
        <v>133000000</v>
      </c>
      <c r="J26" s="287">
        <v>220000000</v>
      </c>
      <c r="K26" s="287">
        <v>466000000</v>
      </c>
      <c r="L26" s="287">
        <v>1377000000</v>
      </c>
      <c r="M26" s="287">
        <v>682000000</v>
      </c>
      <c r="N26" s="288">
        <v>887000000</v>
      </c>
      <c r="O26" s="288">
        <v>751000000</v>
      </c>
      <c r="P26" s="288">
        <v>826000000</v>
      </c>
      <c r="Q26" s="142"/>
      <c r="R26" s="142"/>
      <c r="S26" s="142"/>
      <c r="T26" s="13"/>
      <c r="U26" s="28"/>
      <c r="V26" s="28"/>
      <c r="W26" s="28"/>
      <c r="X26" s="28"/>
      <c r="Y26" s="365"/>
      <c r="Z26" s="365"/>
      <c r="AA26" s="365"/>
      <c r="AB26" s="365"/>
      <c r="AC26" s="365"/>
      <c r="AD26" s="365"/>
      <c r="AE26" s="365"/>
      <c r="AF26" s="365"/>
      <c r="AG26" s="365"/>
      <c r="AH26" s="365"/>
      <c r="AI26" s="365"/>
      <c r="AJ26" s="365"/>
      <c r="AK26" s="365"/>
      <c r="AL26" s="365"/>
      <c r="AM26" s="365"/>
      <c r="AN26" s="365"/>
      <c r="AO26" s="365"/>
    </row>
    <row r="27" spans="1:41" s="9" customFormat="1" ht="16.5">
      <c r="A27" s="148" t="s">
        <v>53</v>
      </c>
      <c r="B27" s="148" t="s">
        <v>53</v>
      </c>
      <c r="C27" s="11" t="s">
        <v>38</v>
      </c>
      <c r="E27" s="280"/>
      <c r="F27" s="280"/>
      <c r="G27" s="280"/>
      <c r="H27" s="280">
        <v>740000000</v>
      </c>
      <c r="I27" s="281">
        <v>1031000000</v>
      </c>
      <c r="J27" s="282">
        <v>888000000</v>
      </c>
      <c r="K27" s="282">
        <v>3218000000</v>
      </c>
      <c r="L27" s="282">
        <v>3524000000</v>
      </c>
      <c r="M27" s="282">
        <v>10247000000</v>
      </c>
      <c r="N27" s="283">
        <v>6176000000</v>
      </c>
      <c r="O27" s="283">
        <v>8624000000</v>
      </c>
      <c r="P27" s="283">
        <v>7887000000</v>
      </c>
      <c r="Q27" s="304">
        <f>Q28+Q30</f>
        <v>8631000000</v>
      </c>
      <c r="R27" s="304">
        <f t="shared" ref="R27:V27" si="4">R28+R30</f>
        <v>13132000000</v>
      </c>
      <c r="S27" s="304">
        <f t="shared" si="4"/>
        <v>9262000000</v>
      </c>
      <c r="T27" s="304">
        <f t="shared" si="4"/>
        <v>10098000000</v>
      </c>
      <c r="U27" s="304">
        <f t="shared" si="4"/>
        <v>23558000000</v>
      </c>
      <c r="V27" s="304">
        <f t="shared" si="4"/>
        <v>18724000000</v>
      </c>
      <c r="Y27" s="365"/>
      <c r="Z27" s="365"/>
      <c r="AA27" s="365"/>
      <c r="AB27" s="365"/>
      <c r="AC27" s="365"/>
      <c r="AD27" s="365"/>
      <c r="AE27" s="365"/>
      <c r="AF27" s="365"/>
      <c r="AG27" s="365"/>
      <c r="AH27" s="365"/>
      <c r="AI27" s="365"/>
      <c r="AJ27" s="365"/>
      <c r="AK27" s="365"/>
      <c r="AL27" s="365"/>
      <c r="AM27" s="365"/>
      <c r="AN27" s="365"/>
      <c r="AO27" s="365"/>
    </row>
    <row r="28" spans="1:41" ht="16.5">
      <c r="A28" s="99" t="s">
        <v>1296</v>
      </c>
      <c r="B28" s="99" t="s">
        <v>3662</v>
      </c>
      <c r="C28" s="27" t="s">
        <v>57</v>
      </c>
      <c r="D28" s="28"/>
      <c r="E28" s="21"/>
      <c r="F28" s="21"/>
      <c r="G28" s="21"/>
      <c r="H28" s="21"/>
      <c r="I28" s="21"/>
      <c r="J28" s="287">
        <v>266000000</v>
      </c>
      <c r="K28" s="287">
        <v>1790000000</v>
      </c>
      <c r="L28" s="287">
        <v>1400000000</v>
      </c>
      <c r="M28" s="287">
        <v>7653000000</v>
      </c>
      <c r="N28" s="288">
        <v>3753000000</v>
      </c>
      <c r="O28" s="288">
        <v>3963000000</v>
      </c>
      <c r="P28" s="288">
        <v>3151000000</v>
      </c>
      <c r="Q28" s="125">
        <v>5615000000</v>
      </c>
      <c r="R28" s="125">
        <v>11376000000</v>
      </c>
      <c r="S28" s="125">
        <v>6830000000</v>
      </c>
      <c r="T28" s="125">
        <v>6321000000</v>
      </c>
      <c r="U28" s="125">
        <v>7983000000</v>
      </c>
      <c r="V28" s="125">
        <v>8414000000</v>
      </c>
      <c r="W28" s="28"/>
      <c r="X28" s="28"/>
      <c r="Y28" s="365"/>
      <c r="Z28" s="365"/>
      <c r="AA28" s="365"/>
      <c r="AB28" s="365"/>
      <c r="AC28" s="365"/>
      <c r="AD28" s="365"/>
      <c r="AE28" s="365"/>
      <c r="AF28" s="365"/>
      <c r="AG28" s="365"/>
      <c r="AH28" s="365"/>
      <c r="AI28" s="365"/>
      <c r="AJ28" s="365"/>
      <c r="AK28" s="365"/>
      <c r="AL28" s="365"/>
      <c r="AM28" s="365"/>
      <c r="AN28" s="365"/>
      <c r="AO28" s="365"/>
    </row>
    <row r="29" spans="1:41" ht="16.5">
      <c r="A29" s="291" t="s">
        <v>3663</v>
      </c>
      <c r="B29" s="99" t="s">
        <v>3664</v>
      </c>
      <c r="C29" s="27" t="s">
        <v>57</v>
      </c>
      <c r="D29" s="28"/>
      <c r="E29" s="21"/>
      <c r="F29" s="21"/>
      <c r="G29" s="21"/>
      <c r="H29" s="21"/>
      <c r="I29" s="21"/>
      <c r="J29" s="287">
        <v>622000000</v>
      </c>
      <c r="K29" s="287">
        <v>1429000000</v>
      </c>
      <c r="L29" s="287">
        <v>2124000000</v>
      </c>
      <c r="M29" s="287">
        <v>2595000000</v>
      </c>
      <c r="N29" s="288">
        <v>2423000000</v>
      </c>
      <c r="O29" s="288">
        <v>4661000000</v>
      </c>
      <c r="P29" s="288">
        <v>4736000000</v>
      </c>
      <c r="Q29" s="142"/>
      <c r="R29" s="125"/>
      <c r="S29" s="142"/>
      <c r="T29" s="13"/>
      <c r="U29" s="28"/>
      <c r="V29" s="28"/>
      <c r="W29" s="28"/>
      <c r="X29" s="28"/>
      <c r="Y29" s="365"/>
      <c r="Z29" s="365"/>
      <c r="AA29" s="365"/>
      <c r="AB29" s="365"/>
      <c r="AC29" s="365"/>
      <c r="AD29" s="365"/>
      <c r="AE29" s="365"/>
      <c r="AF29" s="365"/>
      <c r="AG29" s="365"/>
      <c r="AH29" s="365"/>
      <c r="AI29" s="365"/>
      <c r="AJ29" s="365"/>
      <c r="AK29" s="365"/>
      <c r="AL29" s="365"/>
      <c r="AM29" s="365"/>
      <c r="AN29" s="365"/>
      <c r="AO29" s="365"/>
    </row>
    <row r="30" spans="1:41" ht="20.25" customHeight="1">
      <c r="A30" s="291" t="s">
        <v>4999</v>
      </c>
      <c r="B30" s="2608" t="s">
        <v>4999</v>
      </c>
      <c r="C30" s="27" t="s">
        <v>57</v>
      </c>
      <c r="D30" s="28"/>
      <c r="E30" s="21"/>
      <c r="F30" s="21"/>
      <c r="G30" s="21"/>
      <c r="H30" s="21"/>
      <c r="I30" s="21"/>
      <c r="J30" s="287"/>
      <c r="K30" s="287"/>
      <c r="L30" s="287"/>
      <c r="M30" s="287"/>
      <c r="N30" s="288"/>
      <c r="O30" s="288"/>
      <c r="P30" s="288"/>
      <c r="Q30" s="125">
        <v>3016000000</v>
      </c>
      <c r="R30" s="125">
        <v>1756000000</v>
      </c>
      <c r="S30" s="125">
        <v>2432000000</v>
      </c>
      <c r="T30" s="125">
        <v>3777000000</v>
      </c>
      <c r="U30" s="125">
        <v>15575000000</v>
      </c>
      <c r="V30" s="125">
        <v>10310000000</v>
      </c>
      <c r="W30" s="28"/>
      <c r="X30" s="28"/>
      <c r="Y30" s="365"/>
      <c r="Z30" s="365"/>
      <c r="AA30" s="365"/>
      <c r="AB30" s="365"/>
      <c r="AC30" s="365"/>
      <c r="AD30" s="365"/>
      <c r="AE30" s="365"/>
      <c r="AF30" s="365"/>
      <c r="AG30" s="365"/>
      <c r="AH30" s="365"/>
      <c r="AI30" s="365"/>
      <c r="AJ30" s="365"/>
      <c r="AK30" s="365"/>
      <c r="AL30" s="365"/>
      <c r="AM30" s="365"/>
      <c r="AN30" s="365"/>
      <c r="AO30" s="365"/>
    </row>
    <row r="31" spans="1:41" s="9" customFormat="1">
      <c r="A31" s="256" t="s">
        <v>71</v>
      </c>
      <c r="B31" s="242" t="s">
        <v>1301</v>
      </c>
      <c r="C31" s="18" t="s">
        <v>35</v>
      </c>
      <c r="D31" s="36"/>
      <c r="E31" s="292"/>
      <c r="F31" s="292"/>
      <c r="G31" s="292"/>
      <c r="H31" s="292">
        <f t="shared" ref="H31:O31" si="5">H34+H44+H49+H50</f>
        <v>26418000000</v>
      </c>
      <c r="I31" s="292">
        <f t="shared" si="5"/>
        <v>28763000000</v>
      </c>
      <c r="J31" s="292">
        <f t="shared" si="5"/>
        <v>33150000000</v>
      </c>
      <c r="K31" s="292">
        <f t="shared" si="5"/>
        <v>44020000000</v>
      </c>
      <c r="L31" s="292">
        <f t="shared" si="5"/>
        <v>55058000000</v>
      </c>
      <c r="M31" s="292">
        <f t="shared" si="5"/>
        <v>72561000000</v>
      </c>
      <c r="N31" s="292">
        <f t="shared" si="5"/>
        <v>80740000000</v>
      </c>
      <c r="O31" s="292">
        <f t="shared" si="5"/>
        <v>104125000000</v>
      </c>
      <c r="P31" s="292">
        <f>P34+P44+P49+P50</f>
        <v>122567000000</v>
      </c>
      <c r="Q31" s="295">
        <f>Q34+Q44</f>
        <v>135676000000</v>
      </c>
      <c r="R31" s="295">
        <f t="shared" ref="R31:V31" si="6">R34+R44</f>
        <v>137617000000</v>
      </c>
      <c r="S31" s="295">
        <f t="shared" si="6"/>
        <v>158476000000</v>
      </c>
      <c r="T31" s="295">
        <f t="shared" si="6"/>
        <v>179934000000</v>
      </c>
      <c r="U31" s="295">
        <f t="shared" si="6"/>
        <v>205771000000</v>
      </c>
      <c r="V31" s="295">
        <f t="shared" si="6"/>
        <v>197042000000</v>
      </c>
      <c r="W31" s="36"/>
      <c r="X31" s="36"/>
      <c r="Y31" s="365"/>
      <c r="Z31" s="365"/>
      <c r="AA31" s="365"/>
      <c r="AB31" s="365"/>
      <c r="AC31" s="365"/>
      <c r="AD31" s="365"/>
      <c r="AE31" s="365"/>
      <c r="AF31" s="365"/>
      <c r="AG31" s="365"/>
      <c r="AH31" s="365"/>
      <c r="AI31" s="365"/>
      <c r="AJ31" s="365"/>
      <c r="AK31" s="365"/>
      <c r="AL31" s="365"/>
      <c r="AM31" s="365"/>
      <c r="AN31" s="365"/>
      <c r="AO31" s="365"/>
    </row>
    <row r="32" spans="1:41" ht="16.5">
      <c r="A32" s="20"/>
      <c r="B32" s="90" t="s">
        <v>3665</v>
      </c>
      <c r="E32" s="21"/>
      <c r="F32" s="21"/>
      <c r="G32" s="21"/>
      <c r="H32" s="21">
        <f>(H33+H49)</f>
        <v>26419000000</v>
      </c>
      <c r="I32" s="286">
        <v>28312000000</v>
      </c>
      <c r="J32" s="287">
        <v>32922000000</v>
      </c>
      <c r="K32" s="287">
        <v>44020000000</v>
      </c>
      <c r="L32" s="287">
        <v>55058000000</v>
      </c>
      <c r="M32" s="287">
        <v>72561000000</v>
      </c>
      <c r="N32" s="288">
        <v>80741000000</v>
      </c>
      <c r="O32" s="288">
        <v>103787000000</v>
      </c>
      <c r="P32" s="288">
        <v>121278000000</v>
      </c>
      <c r="Q32" s="142"/>
      <c r="R32" s="142"/>
      <c r="S32" s="142"/>
      <c r="T32" s="13"/>
      <c r="U32" s="13"/>
      <c r="V32" s="13"/>
      <c r="Y32" s="365"/>
      <c r="Z32" s="365"/>
      <c r="AA32" s="365"/>
      <c r="AB32" s="365"/>
      <c r="AC32" s="365"/>
      <c r="AD32" s="365"/>
      <c r="AE32" s="365"/>
      <c r="AF32" s="365"/>
      <c r="AG32" s="365"/>
      <c r="AH32" s="365"/>
      <c r="AI32" s="365"/>
      <c r="AJ32" s="365"/>
      <c r="AK32" s="365"/>
      <c r="AL32" s="365"/>
      <c r="AM32" s="365"/>
      <c r="AN32" s="365"/>
      <c r="AO32" s="365"/>
    </row>
    <row r="33" spans="1:41" ht="16.5">
      <c r="A33" t="s">
        <v>76</v>
      </c>
      <c r="B33" s="90" t="s">
        <v>3666</v>
      </c>
      <c r="C33" s="90"/>
      <c r="D33" s="28"/>
      <c r="E33" s="285"/>
      <c r="F33" s="285"/>
      <c r="G33" s="285"/>
      <c r="H33" s="285">
        <v>26419000000</v>
      </c>
      <c r="I33" s="286">
        <v>28763000000</v>
      </c>
      <c r="J33" s="287">
        <v>33149000000</v>
      </c>
      <c r="K33" s="287">
        <v>43915000000</v>
      </c>
      <c r="L33" s="287">
        <v>54408000000</v>
      </c>
      <c r="M33" s="287">
        <v>71599000000</v>
      </c>
      <c r="N33" s="288">
        <v>80175000000</v>
      </c>
      <c r="O33" s="288">
        <v>104125000000</v>
      </c>
      <c r="P33" s="288">
        <v>122567000000</v>
      </c>
      <c r="Q33" s="142"/>
      <c r="R33" s="142"/>
      <c r="S33" s="142"/>
      <c r="T33" s="13"/>
      <c r="U33" s="28"/>
      <c r="V33" s="28"/>
      <c r="W33" s="28"/>
      <c r="X33" s="28"/>
      <c r="Y33" s="365"/>
      <c r="Z33" s="365"/>
      <c r="AA33" s="365"/>
      <c r="AB33" s="365"/>
      <c r="AC33" s="365"/>
      <c r="AD33" s="365"/>
      <c r="AE33" s="365"/>
      <c r="AF33" s="365"/>
      <c r="AG33" s="365"/>
      <c r="AH33" s="365"/>
      <c r="AI33" s="365"/>
      <c r="AJ33" s="365"/>
      <c r="AK33" s="365"/>
      <c r="AL33" s="365"/>
      <c r="AM33" s="365"/>
      <c r="AN33" s="365"/>
      <c r="AO33" s="365"/>
    </row>
    <row r="34" spans="1:41" ht="16.5">
      <c r="A34" s="203" t="s">
        <v>73</v>
      </c>
      <c r="B34" s="90" t="s">
        <v>332</v>
      </c>
      <c r="C34" s="58" t="s">
        <v>201</v>
      </c>
      <c r="D34" s="28"/>
      <c r="E34" s="285"/>
      <c r="F34" s="285"/>
      <c r="G34" s="285"/>
      <c r="H34" s="285">
        <v>22189000000</v>
      </c>
      <c r="I34" s="286">
        <v>23940000000</v>
      </c>
      <c r="J34" s="287">
        <v>28232000000</v>
      </c>
      <c r="K34" s="287">
        <v>37170000000</v>
      </c>
      <c r="L34" s="287">
        <v>46594000000</v>
      </c>
      <c r="M34" s="287">
        <v>57076000000</v>
      </c>
      <c r="N34" s="288">
        <v>68246000000</v>
      </c>
      <c r="O34" s="288">
        <v>88408000000</v>
      </c>
      <c r="P34" s="288">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5"/>
      <c r="Z34" s="365"/>
      <c r="AA34" s="365"/>
      <c r="AB34" s="365"/>
      <c r="AC34" s="365"/>
      <c r="AD34" s="365"/>
      <c r="AE34" s="365"/>
      <c r="AF34" s="365"/>
      <c r="AG34" s="365"/>
      <c r="AH34" s="365"/>
      <c r="AI34" s="365"/>
      <c r="AJ34" s="365"/>
      <c r="AK34" s="365"/>
      <c r="AL34" s="365"/>
      <c r="AM34" s="365"/>
      <c r="AN34" s="365"/>
      <c r="AO34" s="365"/>
    </row>
    <row r="35" spans="1:41" ht="16.5">
      <c r="A35" s="152" t="s">
        <v>536</v>
      </c>
      <c r="B35" s="152" t="s">
        <v>536</v>
      </c>
      <c r="C35" s="58" t="s">
        <v>204</v>
      </c>
      <c r="D35" s="28"/>
      <c r="E35" s="21"/>
      <c r="F35" s="21"/>
      <c r="G35" s="21"/>
      <c r="H35" s="285">
        <v>5487000000</v>
      </c>
      <c r="I35" s="286">
        <v>6329000000</v>
      </c>
      <c r="J35" s="287">
        <v>7451000000</v>
      </c>
      <c r="K35" s="287">
        <v>9928000000</v>
      </c>
      <c r="L35" s="287">
        <v>12228000000</v>
      </c>
      <c r="M35" s="287">
        <v>14669000000</v>
      </c>
      <c r="N35" s="288">
        <v>16903000000</v>
      </c>
      <c r="O35" s="288">
        <v>23740000000</v>
      </c>
      <c r="P35" s="288">
        <v>26889000000</v>
      </c>
      <c r="Q35" s="125">
        <v>31660000000</v>
      </c>
      <c r="R35" s="125">
        <v>35288000000</v>
      </c>
      <c r="S35" s="125">
        <v>39612000000</v>
      </c>
      <c r="T35" s="125">
        <v>44836000000</v>
      </c>
      <c r="U35" s="125">
        <v>47117000000</v>
      </c>
      <c r="V35" s="125">
        <v>47348000000</v>
      </c>
      <c r="W35" s="28"/>
      <c r="X35" s="28"/>
      <c r="Y35" s="365"/>
      <c r="Z35" s="365"/>
      <c r="AA35" s="365"/>
      <c r="AB35" s="365"/>
      <c r="AC35" s="365"/>
      <c r="AD35" s="365"/>
      <c r="AE35" s="365"/>
      <c r="AF35" s="365"/>
      <c r="AG35" s="365"/>
      <c r="AH35" s="365"/>
      <c r="AI35" s="365"/>
      <c r="AJ35" s="365"/>
      <c r="AK35" s="365"/>
      <c r="AL35" s="365"/>
      <c r="AM35" s="365"/>
      <c r="AN35" s="365"/>
      <c r="AO35" s="365"/>
    </row>
    <row r="36" spans="1:41" ht="16.5">
      <c r="A36" s="99" t="s">
        <v>2238</v>
      </c>
      <c r="B36" s="99" t="s">
        <v>2574</v>
      </c>
      <c r="C36" s="58" t="s">
        <v>204</v>
      </c>
      <c r="D36" s="28"/>
      <c r="E36" s="21"/>
      <c r="F36" s="21"/>
      <c r="G36" s="21"/>
      <c r="H36" s="285">
        <v>2879000000</v>
      </c>
      <c r="I36" s="286">
        <v>3401000000</v>
      </c>
      <c r="J36" s="287">
        <v>4201000000</v>
      </c>
      <c r="K36" s="287">
        <v>5047000000</v>
      </c>
      <c r="L36" s="287">
        <v>6156000000</v>
      </c>
      <c r="M36" s="287">
        <v>6850000000</v>
      </c>
      <c r="N36" s="288">
        <v>9313000000</v>
      </c>
      <c r="O36" s="288">
        <v>10958000000</v>
      </c>
      <c r="P36" s="288">
        <v>10870000000</v>
      </c>
      <c r="Q36" s="142"/>
      <c r="R36" s="142"/>
      <c r="S36" s="142"/>
      <c r="T36" s="13"/>
      <c r="U36" s="28"/>
      <c r="V36" s="28"/>
      <c r="W36" s="28"/>
      <c r="X36" s="28"/>
      <c r="Y36" s="365"/>
      <c r="Z36" s="365"/>
      <c r="AA36" s="365"/>
      <c r="AB36" s="365"/>
      <c r="AC36" s="365"/>
      <c r="AD36" s="365"/>
      <c r="AE36" s="365"/>
      <c r="AF36" s="365"/>
      <c r="AG36" s="365"/>
      <c r="AH36" s="365"/>
      <c r="AI36" s="365"/>
      <c r="AJ36" s="365"/>
      <c r="AK36" s="365"/>
      <c r="AL36" s="365"/>
      <c r="AM36" s="365"/>
      <c r="AN36" s="365"/>
      <c r="AO36" s="365"/>
    </row>
    <row r="37" spans="1:41" ht="16.5">
      <c r="A37" s="99" t="s">
        <v>3667</v>
      </c>
      <c r="B37" s="99" t="s">
        <v>3668</v>
      </c>
      <c r="C37" s="58" t="s">
        <v>204</v>
      </c>
      <c r="D37" s="28"/>
      <c r="E37" s="21"/>
      <c r="F37" s="21"/>
      <c r="G37" s="21"/>
      <c r="H37" s="285">
        <v>5413000000</v>
      </c>
      <c r="I37" s="286">
        <v>5664000000</v>
      </c>
      <c r="J37" s="287">
        <v>6421000000</v>
      </c>
      <c r="K37" s="287">
        <v>7495000000</v>
      </c>
      <c r="L37" s="287">
        <v>9359000000</v>
      </c>
      <c r="M37" s="287">
        <v>13361000000</v>
      </c>
      <c r="N37" s="288">
        <v>18993000000</v>
      </c>
      <c r="O37" s="288">
        <v>23652000000</v>
      </c>
      <c r="P37" s="288">
        <v>29661000000</v>
      </c>
      <c r="Q37" s="142"/>
      <c r="R37" s="142"/>
      <c r="S37" s="142"/>
      <c r="T37" s="13"/>
      <c r="U37" s="28"/>
      <c r="V37" s="28"/>
      <c r="W37" s="28"/>
      <c r="X37" s="28"/>
      <c r="Y37" s="365"/>
      <c r="Z37" s="365"/>
      <c r="AA37" s="365"/>
      <c r="AB37" s="365"/>
      <c r="AC37" s="365"/>
      <c r="AD37" s="365"/>
      <c r="AE37" s="365"/>
      <c r="AF37" s="365"/>
      <c r="AG37" s="365"/>
      <c r="AH37" s="365"/>
      <c r="AI37" s="365"/>
      <c r="AJ37" s="365"/>
      <c r="AK37" s="365"/>
      <c r="AL37" s="365"/>
      <c r="AM37" s="365"/>
      <c r="AN37" s="365"/>
      <c r="AO37" s="365"/>
    </row>
    <row r="38" spans="1:41" ht="16.5">
      <c r="A38" s="100" t="s">
        <v>87</v>
      </c>
      <c r="B38" s="100" t="s">
        <v>87</v>
      </c>
      <c r="C38" s="58" t="s">
        <v>3669</v>
      </c>
      <c r="D38" s="28"/>
      <c r="E38" s="21"/>
      <c r="F38" s="21"/>
      <c r="G38" s="21"/>
      <c r="H38" s="21"/>
      <c r="I38" s="21"/>
      <c r="J38" s="21"/>
      <c r="K38" s="21"/>
      <c r="L38" s="287">
        <v>8324000000</v>
      </c>
      <c r="M38" s="287"/>
      <c r="N38" s="288"/>
      <c r="O38" s="288"/>
      <c r="P38" s="288"/>
      <c r="Q38" s="142"/>
      <c r="R38" s="142"/>
      <c r="S38" s="142"/>
      <c r="T38" s="142"/>
      <c r="U38" s="28"/>
      <c r="V38" s="28"/>
      <c r="W38" s="28"/>
      <c r="X38" s="28"/>
      <c r="Y38" s="365"/>
      <c r="Z38" s="365"/>
      <c r="AA38" s="365"/>
      <c r="AB38" s="365"/>
      <c r="AC38" s="365"/>
      <c r="AD38" s="365"/>
      <c r="AE38" s="365"/>
      <c r="AF38" s="365"/>
      <c r="AG38" s="365"/>
      <c r="AH38" s="365"/>
      <c r="AI38" s="365"/>
      <c r="AJ38" s="365"/>
      <c r="AK38" s="365"/>
      <c r="AL38" s="365"/>
      <c r="AM38" s="365"/>
      <c r="AN38" s="365"/>
      <c r="AO38" s="365"/>
    </row>
    <row r="39" spans="1:41" ht="16.5">
      <c r="A39" s="100" t="s">
        <v>3670</v>
      </c>
      <c r="B39" s="100" t="s">
        <v>3671</v>
      </c>
      <c r="C39" s="58" t="s">
        <v>3669</v>
      </c>
      <c r="D39" s="28"/>
      <c r="E39" s="21"/>
      <c r="F39" s="21"/>
      <c r="G39" s="21"/>
      <c r="H39" s="21"/>
      <c r="I39" s="21"/>
      <c r="J39" s="21"/>
      <c r="K39" s="21"/>
      <c r="L39" s="287">
        <v>1035000000</v>
      </c>
      <c r="M39" s="287"/>
      <c r="N39" s="288"/>
      <c r="O39" s="288"/>
      <c r="P39" s="288"/>
      <c r="Q39" s="142"/>
      <c r="R39" s="142"/>
      <c r="S39" s="142"/>
      <c r="T39" s="142"/>
      <c r="U39" s="28"/>
      <c r="V39" s="28"/>
      <c r="W39" s="28"/>
      <c r="X39" s="28"/>
      <c r="Y39" s="365"/>
      <c r="Z39" s="365"/>
      <c r="AA39" s="365"/>
      <c r="AB39" s="365"/>
      <c r="AC39" s="365"/>
      <c r="AD39" s="365"/>
      <c r="AE39" s="365"/>
      <c r="AF39" s="365"/>
      <c r="AG39" s="365"/>
      <c r="AH39" s="365"/>
      <c r="AI39" s="365"/>
      <c r="AJ39" s="365"/>
      <c r="AK39" s="365"/>
      <c r="AL39" s="365"/>
      <c r="AM39" s="365"/>
      <c r="AN39" s="365"/>
      <c r="AO39" s="365"/>
    </row>
    <row r="40" spans="1:41" ht="16.5">
      <c r="A40" s="152" t="s">
        <v>91</v>
      </c>
      <c r="B40" s="152" t="s">
        <v>91</v>
      </c>
      <c r="C40" s="58" t="s">
        <v>204</v>
      </c>
      <c r="D40" s="28"/>
      <c r="E40" s="21"/>
      <c r="F40" s="21"/>
      <c r="G40" s="21"/>
      <c r="H40" s="285">
        <v>1290000000</v>
      </c>
      <c r="I40" s="286">
        <v>1564000000</v>
      </c>
      <c r="J40" s="287">
        <v>1002000000</v>
      </c>
      <c r="K40" s="287">
        <v>916000000</v>
      </c>
      <c r="L40" s="287">
        <v>1408000000</v>
      </c>
      <c r="M40" s="287">
        <v>1612000000</v>
      </c>
      <c r="N40" s="288">
        <v>1812000000</v>
      </c>
      <c r="O40" s="288">
        <v>2756000000</v>
      </c>
      <c r="P40" s="288">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5"/>
      <c r="Z40" s="365"/>
      <c r="AA40" s="365"/>
      <c r="AB40" s="365"/>
      <c r="AC40" s="365"/>
      <c r="AD40" s="365"/>
      <c r="AE40" s="365"/>
      <c r="AF40" s="365"/>
      <c r="AG40" s="365"/>
      <c r="AH40" s="365"/>
      <c r="AI40" s="365"/>
      <c r="AJ40" s="365"/>
      <c r="AK40" s="365"/>
      <c r="AL40" s="365"/>
      <c r="AM40" s="365"/>
      <c r="AN40" s="365"/>
      <c r="AO40" s="365"/>
    </row>
    <row r="41" spans="1:41" ht="16.5">
      <c r="A41" s="152"/>
      <c r="B41" s="13" t="s">
        <v>7066</v>
      </c>
      <c r="C41" s="58"/>
      <c r="D41" s="28"/>
      <c r="E41" s="21"/>
      <c r="F41" s="21"/>
      <c r="G41" s="21"/>
      <c r="H41" s="285"/>
      <c r="I41" s="286"/>
      <c r="J41" s="287"/>
      <c r="K41" s="287"/>
      <c r="L41" s="287"/>
      <c r="M41" s="287"/>
      <c r="N41" s="288"/>
      <c r="O41" s="288"/>
      <c r="P41" s="288"/>
      <c r="Q41" s="125">
        <v>1668000000</v>
      </c>
      <c r="R41" s="125">
        <v>2230000000</v>
      </c>
      <c r="S41" s="125">
        <v>2786000000</v>
      </c>
      <c r="T41" s="125">
        <v>3355000000</v>
      </c>
      <c r="U41" s="125">
        <v>3653000000</v>
      </c>
      <c r="V41" s="125">
        <v>4313000000</v>
      </c>
      <c r="W41" s="28"/>
      <c r="X41" s="28"/>
      <c r="Y41" s="365"/>
      <c r="Z41" s="365"/>
      <c r="AA41" s="365"/>
      <c r="AB41" s="365"/>
      <c r="AC41" s="365"/>
      <c r="AD41" s="365"/>
      <c r="AE41" s="365"/>
      <c r="AF41" s="365"/>
      <c r="AG41" s="365"/>
      <c r="AH41" s="365"/>
      <c r="AI41" s="365"/>
      <c r="AJ41" s="365"/>
      <c r="AK41" s="365"/>
      <c r="AL41" s="365"/>
      <c r="AM41" s="365"/>
      <c r="AN41" s="365"/>
      <c r="AO41" s="365"/>
    </row>
    <row r="42" spans="1:41" ht="16.5">
      <c r="A42" s="152"/>
      <c r="B42" s="13" t="s">
        <v>7067</v>
      </c>
      <c r="C42" s="58"/>
      <c r="D42" s="28"/>
      <c r="E42" s="21"/>
      <c r="F42" s="21"/>
      <c r="G42" s="21"/>
      <c r="H42" s="285"/>
      <c r="I42" s="286"/>
      <c r="J42" s="287"/>
      <c r="K42" s="287"/>
      <c r="L42" s="287"/>
      <c r="M42" s="287"/>
      <c r="N42" s="288"/>
      <c r="O42" s="288"/>
      <c r="P42" s="288"/>
      <c r="Q42" s="125">
        <v>1324000000</v>
      </c>
      <c r="R42" s="125">
        <v>1236000000</v>
      </c>
      <c r="S42" s="125">
        <v>1274000000</v>
      </c>
      <c r="T42" s="125">
        <v>1770000000</v>
      </c>
      <c r="U42" s="125">
        <v>2446000000</v>
      </c>
      <c r="V42" s="125">
        <v>2695000000</v>
      </c>
      <c r="W42" s="28"/>
      <c r="X42" s="28"/>
      <c r="Y42" s="365"/>
      <c r="Z42" s="365"/>
      <c r="AA42" s="365"/>
      <c r="AB42" s="365"/>
      <c r="AC42" s="365"/>
      <c r="AD42" s="365"/>
      <c r="AE42" s="365"/>
      <c r="AF42" s="365"/>
      <c r="AG42" s="365"/>
      <c r="AH42" s="365"/>
      <c r="AI42" s="365"/>
      <c r="AJ42" s="365"/>
      <c r="AK42" s="365"/>
      <c r="AL42" s="365"/>
      <c r="AM42" s="365"/>
      <c r="AN42" s="365"/>
      <c r="AO42" s="365"/>
    </row>
    <row r="43" spans="1:41" ht="16.5">
      <c r="A43" t="s">
        <v>83</v>
      </c>
      <c r="B43" s="99" t="s">
        <v>3672</v>
      </c>
      <c r="C43" s="58" t="s">
        <v>204</v>
      </c>
      <c r="D43" s="28"/>
      <c r="E43" s="21"/>
      <c r="F43" s="21"/>
      <c r="G43" s="21"/>
      <c r="H43" s="285">
        <v>7121000000</v>
      </c>
      <c r="I43" s="286">
        <v>6983000000</v>
      </c>
      <c r="J43" s="287">
        <v>9157000000</v>
      </c>
      <c r="K43" s="287">
        <v>13783000000</v>
      </c>
      <c r="L43" s="287">
        <v>17443000000</v>
      </c>
      <c r="M43" s="287">
        <v>20583000000</v>
      </c>
      <c r="N43" s="288">
        <v>21226000000</v>
      </c>
      <c r="O43" s="288">
        <v>27302000000</v>
      </c>
      <c r="P43" s="288">
        <v>28382000000</v>
      </c>
      <c r="Q43" s="125">
        <v>30797000000</v>
      </c>
      <c r="R43" s="125">
        <v>29039000000</v>
      </c>
      <c r="S43" s="125">
        <v>30529000000</v>
      </c>
      <c r="T43" s="125">
        <v>33634000000</v>
      </c>
      <c r="U43" s="125">
        <v>37990000000</v>
      </c>
      <c r="V43" s="125">
        <v>24069000000</v>
      </c>
      <c r="W43" s="28"/>
      <c r="X43" s="28"/>
      <c r="Y43" s="365"/>
      <c r="Z43" s="365"/>
      <c r="AA43" s="365"/>
      <c r="AB43" s="365"/>
      <c r="AC43" s="365"/>
      <c r="AD43" s="365"/>
      <c r="AE43" s="365"/>
      <c r="AF43" s="365"/>
      <c r="AG43" s="365"/>
      <c r="AH43" s="365"/>
      <c r="AI43" s="365"/>
      <c r="AJ43" s="365"/>
      <c r="AK43" s="365"/>
      <c r="AL43" s="365"/>
      <c r="AM43" s="365"/>
      <c r="AN43" s="365"/>
      <c r="AO43" s="365"/>
    </row>
    <row r="44" spans="1:41" ht="16.5">
      <c r="A44" s="90" t="s">
        <v>237</v>
      </c>
      <c r="B44" s="90" t="s">
        <v>342</v>
      </c>
      <c r="C44" s="58" t="s">
        <v>201</v>
      </c>
      <c r="D44" s="28"/>
      <c r="E44" s="285"/>
      <c r="F44" s="285"/>
      <c r="G44" s="285"/>
      <c r="H44" s="285">
        <v>4229000000</v>
      </c>
      <c r="I44" s="286">
        <v>4823000000</v>
      </c>
      <c r="J44" s="287">
        <v>4918000000</v>
      </c>
      <c r="K44" s="287">
        <v>6745000000</v>
      </c>
      <c r="L44" s="287">
        <v>7814000000</v>
      </c>
      <c r="M44" s="287">
        <v>10159000000</v>
      </c>
      <c r="N44" s="288">
        <v>11929000000</v>
      </c>
      <c r="O44" s="288">
        <v>15717000000</v>
      </c>
      <c r="P44" s="288">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5"/>
      <c r="Z44" s="365"/>
      <c r="AA44" s="365"/>
      <c r="AB44" s="365"/>
      <c r="AC44" s="365"/>
      <c r="AD44" s="365"/>
      <c r="AE44" s="365"/>
      <c r="AF44" s="365"/>
      <c r="AG44" s="365"/>
      <c r="AH44" s="365"/>
      <c r="AI44" s="365"/>
      <c r="AJ44" s="365"/>
      <c r="AK44" s="365"/>
      <c r="AL44" s="365"/>
      <c r="AM44" s="365"/>
      <c r="AN44" s="365"/>
      <c r="AO44" s="365"/>
    </row>
    <row r="45" spans="1:41" ht="16.5">
      <c r="A45" s="20" t="s">
        <v>239</v>
      </c>
      <c r="B45" s="99" t="s">
        <v>3673</v>
      </c>
      <c r="C45" s="11" t="s">
        <v>95</v>
      </c>
      <c r="D45" s="28"/>
      <c r="E45" s="21"/>
      <c r="F45" s="21"/>
      <c r="G45" s="21"/>
      <c r="H45" s="285">
        <v>1043000000</v>
      </c>
      <c r="I45" s="286">
        <v>961000000</v>
      </c>
      <c r="J45" s="287">
        <v>1287000000</v>
      </c>
      <c r="K45" s="287">
        <v>3112000000</v>
      </c>
      <c r="L45" s="287">
        <v>4297000000</v>
      </c>
      <c r="M45" s="287">
        <v>4582000000</v>
      </c>
      <c r="N45" s="288">
        <v>3310000000</v>
      </c>
      <c r="O45" s="288">
        <v>2659000000</v>
      </c>
      <c r="P45" s="288">
        <v>3413000000</v>
      </c>
      <c r="Q45" s="142"/>
      <c r="R45" s="142"/>
      <c r="S45" s="142"/>
      <c r="T45" s="13"/>
      <c r="U45" s="28"/>
      <c r="V45" s="28"/>
      <c r="W45" s="28"/>
      <c r="X45" s="28"/>
      <c r="Y45" s="365"/>
      <c r="Z45" s="365"/>
      <c r="AA45" s="365"/>
      <c r="AB45" s="365"/>
      <c r="AC45" s="365"/>
      <c r="AD45" s="365"/>
      <c r="AE45" s="365"/>
      <c r="AF45" s="365"/>
      <c r="AG45" s="365"/>
      <c r="AH45" s="365"/>
      <c r="AI45" s="365"/>
      <c r="AJ45" s="365"/>
      <c r="AK45" s="365"/>
      <c r="AL45" s="365"/>
      <c r="AM45" s="365"/>
      <c r="AN45" s="365"/>
      <c r="AO45" s="365"/>
    </row>
    <row r="46" spans="1:41" ht="16.5">
      <c r="A46" t="s">
        <v>3674</v>
      </c>
      <c r="B46" s="99" t="s">
        <v>3675</v>
      </c>
      <c r="C46" s="11" t="s">
        <v>95</v>
      </c>
      <c r="D46" s="28"/>
      <c r="E46" s="21"/>
      <c r="F46" s="21"/>
      <c r="G46" s="21"/>
      <c r="H46" s="285">
        <v>3187000000</v>
      </c>
      <c r="I46" s="286">
        <v>3240000000</v>
      </c>
      <c r="J46" s="287">
        <v>3035000000</v>
      </c>
      <c r="K46" s="287">
        <v>2205000000</v>
      </c>
      <c r="L46" s="287">
        <v>1393000000</v>
      </c>
      <c r="M46" s="287">
        <v>2982000000</v>
      </c>
      <c r="N46" s="288">
        <v>6196000000</v>
      </c>
      <c r="O46" s="288">
        <v>8397000000</v>
      </c>
      <c r="P46" s="288">
        <v>15686000000</v>
      </c>
      <c r="Q46" s="142"/>
      <c r="R46" s="142"/>
      <c r="S46" s="142"/>
      <c r="T46" s="13"/>
      <c r="U46" s="28"/>
      <c r="V46" s="28"/>
      <c r="W46" s="28"/>
      <c r="X46" s="28"/>
      <c r="Y46" s="365"/>
      <c r="Z46" s="365"/>
      <c r="AA46" s="365"/>
      <c r="AB46" s="365"/>
      <c r="AC46" s="365"/>
      <c r="AD46" s="365"/>
      <c r="AE46" s="365"/>
      <c r="AF46" s="365"/>
      <c r="AG46" s="365"/>
      <c r="AH46" s="365"/>
      <c r="AI46" s="365"/>
      <c r="AJ46" s="365"/>
      <c r="AK46" s="365"/>
      <c r="AL46" s="365"/>
      <c r="AM46" s="365"/>
      <c r="AN46" s="365"/>
      <c r="AO46" s="365"/>
    </row>
    <row r="47" spans="1:41" ht="16.5">
      <c r="A47" t="s">
        <v>76</v>
      </c>
      <c r="B47" s="100" t="s">
        <v>3676</v>
      </c>
      <c r="D47" s="28"/>
      <c r="E47" s="21"/>
      <c r="F47" s="21"/>
      <c r="G47" s="21"/>
      <c r="H47" s="21"/>
      <c r="I47" s="21"/>
      <c r="J47" s="21"/>
      <c r="K47" s="21"/>
      <c r="L47" s="21"/>
      <c r="M47" s="287" t="s">
        <v>78</v>
      </c>
      <c r="N47" s="288">
        <v>0</v>
      </c>
      <c r="O47" s="288">
        <v>1863000000</v>
      </c>
      <c r="P47" s="288">
        <v>10117000000</v>
      </c>
      <c r="Q47" s="142"/>
      <c r="R47" s="142"/>
      <c r="S47" s="142"/>
      <c r="T47" s="13"/>
      <c r="U47" s="28"/>
      <c r="V47" s="28"/>
      <c r="W47" s="28"/>
      <c r="X47" s="28"/>
      <c r="Y47" s="365"/>
      <c r="Z47" s="365"/>
      <c r="AA47" s="365"/>
      <c r="AB47" s="365"/>
      <c r="AC47" s="365"/>
      <c r="AD47" s="365"/>
      <c r="AE47" s="365"/>
      <c r="AF47" s="365"/>
      <c r="AG47" s="365"/>
      <c r="AH47" s="365"/>
      <c r="AI47" s="365"/>
      <c r="AJ47" s="365"/>
      <c r="AK47" s="365"/>
      <c r="AL47" s="365"/>
      <c r="AM47" s="365"/>
      <c r="AN47" s="365"/>
      <c r="AO47" s="365"/>
    </row>
    <row r="48" spans="1:41" ht="16.5">
      <c r="A48" t="s">
        <v>3677</v>
      </c>
      <c r="B48" s="99" t="s">
        <v>3678</v>
      </c>
      <c r="C48" s="11" t="s">
        <v>95</v>
      </c>
      <c r="D48" s="28"/>
      <c r="E48" s="21"/>
      <c r="F48" s="21"/>
      <c r="G48" s="21"/>
      <c r="H48" s="21"/>
      <c r="I48" s="286">
        <v>622000000</v>
      </c>
      <c r="J48" s="287">
        <v>596000000</v>
      </c>
      <c r="K48" s="287">
        <v>1429000000</v>
      </c>
      <c r="L48" s="287">
        <v>2124000000</v>
      </c>
      <c r="M48" s="287">
        <v>2595000000</v>
      </c>
      <c r="N48" s="288">
        <v>2423000000</v>
      </c>
      <c r="O48" s="288">
        <v>4661000000</v>
      </c>
      <c r="P48" s="288">
        <v>4736000000</v>
      </c>
      <c r="Q48" s="142"/>
      <c r="R48" s="142"/>
      <c r="S48" s="142"/>
      <c r="T48" s="13"/>
      <c r="U48" s="28"/>
      <c r="V48" s="28"/>
      <c r="W48" s="28"/>
      <c r="X48" s="28"/>
      <c r="Y48" s="365"/>
      <c r="Z48" s="365"/>
      <c r="AA48" s="365"/>
      <c r="AB48" s="365"/>
      <c r="AC48" s="365"/>
      <c r="AD48" s="365"/>
      <c r="AE48" s="365"/>
      <c r="AF48" s="365"/>
      <c r="AG48" s="365"/>
      <c r="AH48" s="365"/>
      <c r="AI48" s="365"/>
      <c r="AJ48" s="365"/>
      <c r="AK48" s="365"/>
      <c r="AL48" s="365"/>
      <c r="AM48" s="365"/>
      <c r="AN48" s="365"/>
      <c r="AO48" s="365"/>
    </row>
    <row r="49" spans="1:41" ht="16.5">
      <c r="A49" s="90" t="s">
        <v>1159</v>
      </c>
      <c r="B49" s="90" t="s">
        <v>1159</v>
      </c>
      <c r="C49" s="58" t="s">
        <v>201</v>
      </c>
      <c r="D49" s="28"/>
      <c r="E49" s="285"/>
      <c r="F49" s="285"/>
      <c r="G49" s="285"/>
      <c r="H49" s="2746">
        <v>0</v>
      </c>
      <c r="I49" s="2747">
        <v>0</v>
      </c>
      <c r="J49" s="2748">
        <v>0</v>
      </c>
      <c r="K49" s="287">
        <v>105000000</v>
      </c>
      <c r="L49" s="287">
        <v>650000000</v>
      </c>
      <c r="M49" s="287">
        <v>962000000</v>
      </c>
      <c r="N49" s="288">
        <v>565000000</v>
      </c>
      <c r="O49" s="2749">
        <v>0</v>
      </c>
      <c r="P49" s="2749">
        <v>0</v>
      </c>
      <c r="Q49" s="142"/>
      <c r="R49" s="142"/>
      <c r="S49" s="142"/>
      <c r="T49" s="13"/>
      <c r="U49" s="28"/>
      <c r="V49" s="28"/>
      <c r="W49" s="28"/>
      <c r="X49" s="28"/>
      <c r="Y49" s="365"/>
      <c r="Z49" s="365"/>
      <c r="AA49" s="365"/>
      <c r="AB49" s="365"/>
      <c r="AC49" s="365"/>
      <c r="AD49" s="365"/>
      <c r="AE49" s="365"/>
      <c r="AF49" s="365"/>
      <c r="AG49" s="365"/>
      <c r="AH49" s="365"/>
      <c r="AI49" s="365"/>
      <c r="AJ49" s="365"/>
      <c r="AK49" s="365"/>
      <c r="AL49" s="365"/>
      <c r="AM49" s="365"/>
      <c r="AN49" s="365"/>
      <c r="AO49" s="365"/>
    </row>
    <row r="50" spans="1:41" ht="16.5">
      <c r="A50" t="s">
        <v>3679</v>
      </c>
      <c r="B50" s="90" t="s">
        <v>3680</v>
      </c>
      <c r="C50" s="58" t="s">
        <v>201</v>
      </c>
      <c r="D50" s="28"/>
      <c r="E50" s="285"/>
      <c r="F50" s="285"/>
      <c r="G50" s="285"/>
      <c r="H50" s="285"/>
      <c r="I50" s="286"/>
      <c r="J50" s="287"/>
      <c r="K50" s="287"/>
      <c r="L50" s="287"/>
      <c r="M50" s="130">
        <v>4364000000</v>
      </c>
      <c r="N50" s="288"/>
      <c r="O50" s="288"/>
      <c r="P50" s="288"/>
      <c r="Q50" s="142"/>
      <c r="R50" s="142"/>
      <c r="S50" s="142"/>
      <c r="T50" s="13"/>
      <c r="U50" s="28"/>
      <c r="V50" s="28"/>
      <c r="W50" s="28"/>
      <c r="X50" s="28"/>
      <c r="Y50" s="365"/>
      <c r="Z50" s="365"/>
      <c r="AA50" s="365"/>
      <c r="AB50" s="365"/>
      <c r="AC50" s="365"/>
      <c r="AD50" s="365"/>
      <c r="AE50" s="365"/>
      <c r="AF50" s="365"/>
      <c r="AG50" s="365"/>
      <c r="AH50" s="365"/>
      <c r="AI50" s="365"/>
      <c r="AJ50" s="365"/>
      <c r="AK50" s="365"/>
      <c r="AL50" s="365"/>
      <c r="AM50" s="365"/>
      <c r="AN50" s="365"/>
      <c r="AO50" s="365"/>
    </row>
    <row r="51" spans="1:41" ht="16.5">
      <c r="B51" t="s">
        <v>215</v>
      </c>
      <c r="C51" s="58" t="s">
        <v>204</v>
      </c>
      <c r="D51" s="28"/>
      <c r="E51" s="285"/>
      <c r="F51" s="285"/>
      <c r="G51" s="285"/>
      <c r="H51" s="285"/>
      <c r="I51" s="286"/>
      <c r="J51" s="287"/>
      <c r="K51" s="287"/>
      <c r="L51" s="287"/>
      <c r="M51" s="130"/>
      <c r="N51" s="288"/>
      <c r="O51" s="288"/>
      <c r="P51" s="288"/>
      <c r="Q51" s="125">
        <v>2532000000</v>
      </c>
      <c r="R51" s="125">
        <v>3359000000</v>
      </c>
      <c r="S51" s="125">
        <v>3518000000</v>
      </c>
      <c r="T51" s="125">
        <v>4566000000</v>
      </c>
      <c r="U51" s="125">
        <v>3731000000</v>
      </c>
      <c r="V51" s="125">
        <v>3885000000</v>
      </c>
      <c r="W51" s="28"/>
      <c r="X51" s="28"/>
      <c r="Y51" s="365"/>
      <c r="Z51" s="365"/>
      <c r="AA51" s="365"/>
      <c r="AB51" s="365"/>
      <c r="AC51" s="365"/>
      <c r="AD51" s="365"/>
      <c r="AE51" s="365"/>
      <c r="AF51" s="365"/>
      <c r="AG51" s="365"/>
      <c r="AH51" s="365"/>
      <c r="AI51" s="365"/>
      <c r="AJ51" s="365"/>
      <c r="AK51" s="365"/>
      <c r="AL51" s="365"/>
      <c r="AM51" s="365"/>
      <c r="AN51" s="365"/>
      <c r="AO51" s="365"/>
    </row>
    <row r="52" spans="1:41" ht="16.5">
      <c r="B52" t="s">
        <v>53</v>
      </c>
      <c r="C52" s="58" t="s">
        <v>204</v>
      </c>
      <c r="D52" s="28"/>
      <c r="E52" s="285"/>
      <c r="F52" s="285"/>
      <c r="G52" s="285"/>
      <c r="H52" s="285"/>
      <c r="I52" s="286"/>
      <c r="J52" s="287"/>
      <c r="K52" s="287"/>
      <c r="L52" s="287"/>
      <c r="M52" s="130"/>
      <c r="N52" s="288"/>
      <c r="O52" s="288"/>
      <c r="P52" s="288"/>
      <c r="Q52" s="13">
        <v>158000000</v>
      </c>
      <c r="R52" s="13">
        <v>200000000</v>
      </c>
      <c r="S52" s="13">
        <v>256000000</v>
      </c>
      <c r="T52" s="13">
        <v>493000000</v>
      </c>
      <c r="U52" s="28">
        <v>575000000</v>
      </c>
      <c r="V52" s="28">
        <v>559000000</v>
      </c>
      <c r="W52" s="28"/>
      <c r="X52" s="28"/>
      <c r="Y52" s="365"/>
      <c r="Z52" s="365"/>
      <c r="AA52" s="365"/>
      <c r="AB52" s="365"/>
      <c r="AC52" s="365"/>
      <c r="AD52" s="365"/>
      <c r="AE52" s="365"/>
      <c r="AF52" s="365"/>
      <c r="AG52" s="365"/>
      <c r="AH52" s="365"/>
      <c r="AI52" s="365"/>
      <c r="AJ52" s="365"/>
      <c r="AK52" s="365"/>
      <c r="AL52" s="365"/>
      <c r="AM52" s="365"/>
      <c r="AN52" s="365"/>
      <c r="AO52" s="365"/>
    </row>
    <row r="53" spans="1:41" ht="16.5">
      <c r="B53" t="s">
        <v>3108</v>
      </c>
      <c r="C53" s="58" t="s">
        <v>204</v>
      </c>
      <c r="D53" s="28"/>
      <c r="E53" s="285"/>
      <c r="F53" s="285"/>
      <c r="G53" s="285"/>
      <c r="H53" s="285"/>
      <c r="I53" s="286"/>
      <c r="J53" s="287"/>
      <c r="K53" s="287"/>
      <c r="L53" s="287"/>
      <c r="M53" s="130"/>
      <c r="N53" s="288"/>
      <c r="O53" s="288"/>
      <c r="P53" s="288"/>
      <c r="Q53" s="125">
        <v>42491000000</v>
      </c>
      <c r="R53" s="125">
        <v>47476000000</v>
      </c>
      <c r="S53" s="125">
        <v>51524000000</v>
      </c>
      <c r="T53" s="125">
        <v>54688000000</v>
      </c>
      <c r="U53" s="21">
        <v>58676000000</v>
      </c>
      <c r="V53" s="21">
        <v>71606000000</v>
      </c>
      <c r="W53" s="28"/>
      <c r="X53" s="28"/>
      <c r="Y53" s="365"/>
      <c r="Z53" s="365"/>
      <c r="AA53" s="365"/>
      <c r="AB53" s="365"/>
      <c r="AC53" s="365"/>
      <c r="AD53" s="365"/>
      <c r="AE53" s="365"/>
      <c r="AF53" s="365"/>
      <c r="AG53" s="365"/>
      <c r="AH53" s="365"/>
      <c r="AI53" s="365"/>
      <c r="AJ53" s="365"/>
      <c r="AK53" s="365"/>
      <c r="AL53" s="365"/>
      <c r="AM53" s="365"/>
      <c r="AN53" s="365"/>
      <c r="AO53" s="365"/>
    </row>
    <row r="54" spans="1:41" ht="16.5">
      <c r="B54" s="90" t="s">
        <v>4832</v>
      </c>
      <c r="C54" s="58"/>
      <c r="D54" s="28"/>
      <c r="E54" s="285"/>
      <c r="F54" s="285"/>
      <c r="G54" s="285"/>
      <c r="H54" s="285"/>
      <c r="I54" s="286"/>
      <c r="J54" s="287"/>
      <c r="K54" s="287"/>
      <c r="L54" s="287"/>
      <c r="M54" s="130"/>
      <c r="N54" s="288"/>
      <c r="O54" s="288"/>
      <c r="P54" s="288"/>
      <c r="Q54" s="142"/>
      <c r="R54" s="142"/>
      <c r="S54" s="142"/>
      <c r="T54" s="13"/>
      <c r="U54" s="28"/>
      <c r="V54" s="28"/>
      <c r="W54" s="28"/>
      <c r="X54" s="28"/>
      <c r="Y54" s="365"/>
      <c r="Z54" s="365"/>
      <c r="AA54" s="365"/>
      <c r="AB54" s="365"/>
      <c r="AC54" s="365"/>
      <c r="AD54" s="365"/>
      <c r="AE54" s="365"/>
      <c r="AF54" s="365"/>
      <c r="AG54" s="365"/>
      <c r="AH54" s="365"/>
      <c r="AI54" s="365"/>
      <c r="AJ54" s="365"/>
      <c r="AK54" s="365"/>
      <c r="AL54" s="365"/>
      <c r="AM54" s="365"/>
      <c r="AN54" s="365"/>
      <c r="AO54" s="365"/>
    </row>
    <row r="55" spans="1:41" ht="16.5">
      <c r="B55" t="s">
        <v>7064</v>
      </c>
      <c r="C55" s="58"/>
      <c r="D55" s="28"/>
      <c r="E55" s="285"/>
      <c r="F55" s="285"/>
      <c r="G55" s="285"/>
      <c r="H55" s="285"/>
      <c r="I55" s="286"/>
      <c r="J55" s="287"/>
      <c r="K55" s="287"/>
      <c r="L55" s="287"/>
      <c r="M55" s="130"/>
      <c r="N55" s="288"/>
      <c r="O55" s="288"/>
      <c r="P55" s="288"/>
      <c r="Q55" s="142"/>
      <c r="R55" s="142"/>
      <c r="S55" s="142"/>
      <c r="T55" s="13"/>
      <c r="U55" s="28"/>
      <c r="V55" s="28"/>
      <c r="W55" s="28"/>
      <c r="X55" s="28"/>
      <c r="Y55" s="365"/>
      <c r="Z55" s="365"/>
      <c r="AA55" s="365"/>
      <c r="AB55" s="365"/>
      <c r="AC55" s="365"/>
      <c r="AD55" s="365"/>
      <c r="AE55" s="365"/>
      <c r="AF55" s="365"/>
      <c r="AG55" s="365"/>
      <c r="AH55" s="365"/>
      <c r="AI55" s="365"/>
      <c r="AJ55" s="365"/>
      <c r="AK55" s="365"/>
      <c r="AL55" s="365"/>
      <c r="AM55" s="365"/>
      <c r="AN55" s="365"/>
      <c r="AO55" s="365"/>
    </row>
    <row r="56" spans="1:41" ht="16.5">
      <c r="B56" t="s">
        <v>2767</v>
      </c>
      <c r="C56" s="11" t="s">
        <v>95</v>
      </c>
      <c r="D56" s="28"/>
      <c r="E56" s="285"/>
      <c r="F56" s="285"/>
      <c r="G56" s="285"/>
      <c r="H56" s="285"/>
      <c r="I56" s="286"/>
      <c r="J56" s="287"/>
      <c r="K56" s="287"/>
      <c r="L56" s="287"/>
      <c r="M56" s="130"/>
      <c r="N56" s="288"/>
      <c r="O56" s="288"/>
      <c r="P56" s="288"/>
      <c r="Q56" s="125">
        <v>7167000000</v>
      </c>
      <c r="R56" s="125">
        <v>8940000000</v>
      </c>
      <c r="S56" s="125">
        <v>18327000000</v>
      </c>
      <c r="T56" s="125">
        <v>22278000000</v>
      </c>
      <c r="U56" s="125">
        <v>21990000000</v>
      </c>
      <c r="V56" s="125">
        <v>15300000000</v>
      </c>
      <c r="W56" s="28"/>
      <c r="X56" s="28"/>
      <c r="Y56" s="365"/>
      <c r="Z56" s="365"/>
      <c r="AA56" s="365"/>
      <c r="AB56" s="365"/>
      <c r="AC56" s="365"/>
      <c r="AD56" s="365"/>
      <c r="AE56" s="365"/>
      <c r="AF56" s="365"/>
      <c r="AG56" s="365"/>
      <c r="AH56" s="365"/>
      <c r="AI56" s="365"/>
      <c r="AJ56" s="365"/>
      <c r="AK56" s="365"/>
      <c r="AL56" s="365"/>
      <c r="AM56" s="365"/>
      <c r="AN56" s="365"/>
      <c r="AO56" s="365"/>
    </row>
    <row r="57" spans="1:41" ht="16.5">
      <c r="B57" t="s">
        <v>6164</v>
      </c>
      <c r="C57" s="11" t="s">
        <v>95</v>
      </c>
      <c r="D57" s="28"/>
      <c r="E57" s="285"/>
      <c r="F57" s="285"/>
      <c r="G57" s="285"/>
      <c r="H57" s="285"/>
      <c r="I57" s="286"/>
      <c r="J57" s="287"/>
      <c r="K57" s="287"/>
      <c r="L57" s="287"/>
      <c r="M57" s="130"/>
      <c r="N57" s="288"/>
      <c r="O57" s="288"/>
      <c r="P57" s="288"/>
      <c r="Q57" s="125">
        <v>17879000000</v>
      </c>
      <c r="R57" s="125">
        <v>9849000000</v>
      </c>
      <c r="S57" s="125">
        <v>10650000000</v>
      </c>
      <c r="T57" s="125">
        <v>14314000000</v>
      </c>
      <c r="U57" s="125">
        <v>29593000000</v>
      </c>
      <c r="V57" s="125">
        <v>27267000000</v>
      </c>
      <c r="W57" s="28"/>
      <c r="X57" s="28"/>
      <c r="Y57" s="365"/>
      <c r="Z57" s="365"/>
      <c r="AA57" s="365"/>
      <c r="AB57" s="365"/>
      <c r="AC57" s="365"/>
      <c r="AD57" s="365"/>
      <c r="AE57" s="365"/>
      <c r="AF57" s="365"/>
      <c r="AG57" s="365"/>
      <c r="AH57" s="365"/>
      <c r="AI57" s="365"/>
      <c r="AJ57" s="365"/>
      <c r="AK57" s="365"/>
      <c r="AL57" s="365"/>
      <c r="AM57" s="365"/>
      <c r="AN57" s="365"/>
      <c r="AO57" s="365"/>
    </row>
    <row r="58" spans="1:41" ht="16.5">
      <c r="B58" t="s">
        <v>7065</v>
      </c>
      <c r="C58" s="58"/>
      <c r="D58" s="28"/>
      <c r="E58" s="285"/>
      <c r="F58" s="285"/>
      <c r="G58" s="285"/>
      <c r="H58" s="285"/>
      <c r="I58" s="286"/>
      <c r="J58" s="287"/>
      <c r="K58" s="287"/>
      <c r="L58" s="287"/>
      <c r="M58" s="130"/>
      <c r="N58" s="288"/>
      <c r="O58" s="288"/>
      <c r="P58" s="288"/>
      <c r="Q58" s="13">
        <v>-136000000</v>
      </c>
      <c r="R58" s="13">
        <v>-49000000</v>
      </c>
      <c r="S58" s="13">
        <v>-142000000</v>
      </c>
      <c r="T58" s="13">
        <v>-150000000</v>
      </c>
      <c r="U58" s="13">
        <v>-136000000</v>
      </c>
      <c r="V58" s="13">
        <v>-145000000</v>
      </c>
      <c r="W58" s="28"/>
      <c r="X58" s="28"/>
      <c r="Y58" s="365"/>
      <c r="Z58" s="365"/>
      <c r="AA58" s="365"/>
      <c r="AB58" s="365"/>
      <c r="AC58" s="365"/>
      <c r="AD58" s="365"/>
      <c r="AE58" s="365"/>
      <c r="AF58" s="365"/>
      <c r="AG58" s="365"/>
      <c r="AH58" s="365"/>
      <c r="AI58" s="365"/>
      <c r="AJ58" s="365"/>
      <c r="AK58" s="365"/>
      <c r="AL58" s="365"/>
      <c r="AM58" s="365"/>
      <c r="AN58" s="365"/>
      <c r="AO58" s="365"/>
    </row>
    <row r="59" spans="1:41" ht="16.5">
      <c r="A59" t="s">
        <v>76</v>
      </c>
      <c r="B59" s="139" t="s">
        <v>1560</v>
      </c>
      <c r="C59" s="90"/>
      <c r="D59" s="28"/>
      <c r="E59" s="21"/>
      <c r="F59" s="21"/>
      <c r="G59" s="21"/>
      <c r="H59" s="21"/>
      <c r="I59" s="286">
        <v>-197000000</v>
      </c>
      <c r="J59" s="287">
        <v>447000000</v>
      </c>
      <c r="K59" s="287">
        <v>538000000</v>
      </c>
      <c r="L59" s="287"/>
      <c r="M59" s="287">
        <v>830000000</v>
      </c>
      <c r="N59" s="288">
        <v>-345000000</v>
      </c>
      <c r="O59" s="288">
        <v>-387000000</v>
      </c>
      <c r="P59" s="288">
        <v>-292000000</v>
      </c>
      <c r="Q59" s="142"/>
      <c r="R59" s="142"/>
      <c r="S59" s="142"/>
      <c r="T59" s="13"/>
      <c r="U59" s="28"/>
      <c r="V59" s="28"/>
      <c r="W59" s="28"/>
      <c r="X59" s="28"/>
      <c r="Y59" s="365"/>
      <c r="Z59" s="365"/>
      <c r="AA59" s="365"/>
      <c r="AB59" s="365"/>
      <c r="AC59" s="365"/>
      <c r="AD59" s="365"/>
      <c r="AE59" s="365"/>
      <c r="AF59" s="365"/>
      <c r="AG59" s="365"/>
      <c r="AH59" s="365"/>
      <c r="AI59" s="365"/>
      <c r="AJ59" s="365"/>
      <c r="AK59" s="365"/>
      <c r="AL59" s="365"/>
      <c r="AM59" s="365"/>
      <c r="AN59" s="365"/>
      <c r="AO59" s="365"/>
    </row>
    <row r="60" spans="1:41" ht="16.5">
      <c r="A60" t="s">
        <v>76</v>
      </c>
      <c r="B60" s="90" t="s">
        <v>3681</v>
      </c>
      <c r="C60" s="90"/>
      <c r="D60" s="28"/>
      <c r="E60" s="285"/>
      <c r="F60" s="285"/>
      <c r="G60" s="285"/>
      <c r="H60" s="285">
        <v>-3687000000</v>
      </c>
      <c r="I60" s="286">
        <v>-3062000000</v>
      </c>
      <c r="J60" s="287">
        <v>-2298000000</v>
      </c>
      <c r="K60" s="287">
        <v>-2746000000</v>
      </c>
      <c r="L60" s="287">
        <v>-1146000000</v>
      </c>
      <c r="M60" s="287">
        <v>-15689000000</v>
      </c>
      <c r="N60" s="288">
        <v>-18157000000</v>
      </c>
      <c r="O60" s="288">
        <v>-18986000000</v>
      </c>
      <c r="P60" s="288">
        <v>-21529000000</v>
      </c>
      <c r="Q60" s="142"/>
      <c r="R60" s="142"/>
      <c r="S60" s="142"/>
      <c r="T60" s="13"/>
      <c r="U60" s="28"/>
      <c r="V60" s="28"/>
      <c r="W60" s="28"/>
      <c r="X60" s="28"/>
      <c r="Y60" s="365"/>
      <c r="Z60" s="365"/>
      <c r="AA60" s="365"/>
      <c r="AB60" s="365"/>
      <c r="AC60" s="365"/>
      <c r="AD60" s="365"/>
      <c r="AE60" s="365"/>
      <c r="AF60" s="365"/>
      <c r="AG60" s="365"/>
      <c r="AH60" s="365"/>
      <c r="AI60" s="365"/>
      <c r="AJ60" s="365"/>
      <c r="AK60" s="365"/>
      <c r="AL60" s="365"/>
      <c r="AM60" s="365"/>
      <c r="AN60" s="365"/>
      <c r="AO60" s="365"/>
    </row>
    <row r="61" spans="1:41" ht="16.5">
      <c r="A61" t="s">
        <v>76</v>
      </c>
      <c r="B61" s="90" t="s">
        <v>1972</v>
      </c>
      <c r="C61" s="90"/>
      <c r="D61" s="28"/>
      <c r="E61" s="21"/>
      <c r="F61" s="21"/>
      <c r="G61" s="21"/>
      <c r="H61" s="21"/>
      <c r="I61" s="286">
        <v>-2032000000</v>
      </c>
      <c r="J61" s="287">
        <v>-1411000000</v>
      </c>
      <c r="K61" s="287">
        <v>472000000</v>
      </c>
      <c r="L61" s="287">
        <v>-2096000000</v>
      </c>
      <c r="M61" s="287">
        <v>-5442000000</v>
      </c>
      <c r="N61" s="288">
        <v>-11981000000</v>
      </c>
      <c r="O61" s="288">
        <v>-10361000000</v>
      </c>
      <c r="P61" s="288">
        <v>-13642000000</v>
      </c>
      <c r="Q61" s="142"/>
      <c r="R61" s="142"/>
      <c r="S61" s="142"/>
      <c r="T61" s="13"/>
      <c r="U61" s="28"/>
      <c r="V61" s="28"/>
      <c r="W61" s="28"/>
      <c r="X61" s="28"/>
      <c r="Y61" s="365"/>
      <c r="Z61" s="365"/>
      <c r="AA61" s="365"/>
      <c r="AB61" s="365"/>
      <c r="AC61" s="365"/>
      <c r="AD61" s="365"/>
      <c r="AE61" s="365"/>
      <c r="AF61" s="365"/>
      <c r="AG61" s="365"/>
      <c r="AH61" s="365"/>
      <c r="AI61" s="365"/>
      <c r="AJ61" s="365"/>
      <c r="AK61" s="365"/>
      <c r="AL61" s="365"/>
      <c r="AM61" s="365"/>
      <c r="AN61" s="365"/>
      <c r="AO61" s="365"/>
    </row>
    <row r="62" spans="1:41" ht="16.5">
      <c r="A62" t="s">
        <v>76</v>
      </c>
      <c r="B62" s="90" t="s">
        <v>346</v>
      </c>
      <c r="C62" s="90"/>
      <c r="D62" s="28"/>
      <c r="E62" s="21"/>
      <c r="F62" s="21"/>
      <c r="G62" s="21"/>
      <c r="H62" s="21"/>
      <c r="I62" s="21"/>
      <c r="J62" s="287">
        <v>-2413000000</v>
      </c>
      <c r="K62" s="287">
        <v>-444000000</v>
      </c>
      <c r="L62" s="287">
        <v>1428000000</v>
      </c>
      <c r="M62" s="287">
        <v>-7053000000</v>
      </c>
      <c r="N62" s="288">
        <v>-13792000000</v>
      </c>
      <c r="O62" s="288">
        <v>-13117000000</v>
      </c>
      <c r="P62" s="288">
        <v>-16571000000</v>
      </c>
      <c r="Q62" s="142"/>
      <c r="R62" s="142"/>
      <c r="S62" s="142"/>
      <c r="T62" s="13"/>
      <c r="U62" s="28"/>
      <c r="V62" s="28"/>
      <c r="W62" s="28"/>
      <c r="X62" s="28"/>
      <c r="Y62" s="365"/>
      <c r="Z62" s="365"/>
      <c r="AA62" s="365"/>
      <c r="AB62" s="365"/>
      <c r="AC62" s="365"/>
      <c r="AD62" s="365"/>
      <c r="AE62" s="365"/>
      <c r="AF62" s="365"/>
      <c r="AG62" s="365"/>
      <c r="AH62" s="365"/>
      <c r="AI62" s="365"/>
      <c r="AJ62" s="365"/>
      <c r="AK62" s="365"/>
      <c r="AL62" s="365"/>
      <c r="AM62" s="365"/>
      <c r="AN62" s="365"/>
      <c r="AO62" s="365"/>
    </row>
    <row r="63" spans="1:41" ht="16.5">
      <c r="A63" t="s">
        <v>76</v>
      </c>
      <c r="B63" s="90" t="s">
        <v>3682</v>
      </c>
      <c r="C63" s="90"/>
      <c r="D63" s="28"/>
      <c r="E63" s="21"/>
      <c r="F63" s="21"/>
      <c r="G63" s="21"/>
      <c r="H63" s="21"/>
      <c r="I63" s="21"/>
      <c r="J63" s="21"/>
      <c r="K63" s="21"/>
      <c r="L63" s="287">
        <v>20000000</v>
      </c>
      <c r="M63" s="287">
        <v>-7053000000</v>
      </c>
      <c r="N63" s="288">
        <v>-13792000000</v>
      </c>
      <c r="O63" s="288">
        <v>-11254000000</v>
      </c>
      <c r="P63" s="288">
        <v>-6454000000</v>
      </c>
      <c r="Q63" s="142"/>
      <c r="R63" s="142"/>
      <c r="S63" s="142"/>
      <c r="T63" s="13"/>
      <c r="U63" s="28"/>
      <c r="V63" s="28"/>
      <c r="W63" s="28"/>
      <c r="X63" s="28"/>
      <c r="Y63" s="365"/>
      <c r="Z63" s="365"/>
      <c r="AA63" s="365"/>
      <c r="AB63" s="365"/>
      <c r="AC63" s="365"/>
      <c r="AD63" s="365"/>
      <c r="AE63" s="365"/>
      <c r="AF63" s="365"/>
      <c r="AG63" s="365"/>
      <c r="AH63" s="365"/>
      <c r="AI63" s="365"/>
      <c r="AJ63" s="365"/>
      <c r="AK63" s="365"/>
      <c r="AL63" s="365"/>
      <c r="AM63" s="365"/>
      <c r="AN63" s="365"/>
      <c r="AO63" s="365"/>
    </row>
    <row r="64" spans="1:41" s="9" customFormat="1" ht="16.5">
      <c r="A64" s="18" t="s">
        <v>115</v>
      </c>
      <c r="B64" s="18" t="s">
        <v>2593</v>
      </c>
      <c r="C64" s="18" t="s">
        <v>35</v>
      </c>
      <c r="E64" s="280"/>
      <c r="F64" s="280"/>
      <c r="G64" s="280"/>
      <c r="H64" s="280">
        <v>4238000000</v>
      </c>
      <c r="I64" s="281">
        <f>I65+I70</f>
        <v>3435000000</v>
      </c>
      <c r="J64" s="282">
        <v>2413000000</v>
      </c>
      <c r="K64" s="282">
        <v>444000000</v>
      </c>
      <c r="L64" s="282">
        <v>-20000000</v>
      </c>
      <c r="M64" s="282">
        <v>7053000000</v>
      </c>
      <c r="N64" s="292">
        <v>13792000000</v>
      </c>
      <c r="O64" s="283">
        <v>13117000000</v>
      </c>
      <c r="P64" s="283">
        <v>16571000000</v>
      </c>
      <c r="Q64" s="304">
        <f>Q65+Q70</f>
        <v>14367000000</v>
      </c>
      <c r="R64" s="304">
        <f t="shared" ref="R64:V64" si="10">R65+R70</f>
        <v>-7141000000</v>
      </c>
      <c r="S64" s="304">
        <f t="shared" si="10"/>
        <v>7823000000</v>
      </c>
      <c r="T64" s="304">
        <f t="shared" si="10"/>
        <v>16877000000</v>
      </c>
      <c r="U64" s="304">
        <f t="shared" si="10"/>
        <v>17319000000</v>
      </c>
      <c r="V64" s="304">
        <f t="shared" si="10"/>
        <v>13293000000</v>
      </c>
      <c r="Y64" s="365"/>
      <c r="Z64" s="365"/>
      <c r="AA64" s="365"/>
      <c r="AB64" s="365"/>
      <c r="AC64" s="365"/>
      <c r="AD64" s="365"/>
      <c r="AE64" s="365"/>
      <c r="AF64" s="365"/>
      <c r="AG64" s="365"/>
      <c r="AH64" s="365"/>
      <c r="AI64" s="365"/>
      <c r="AJ64" s="365"/>
      <c r="AK64" s="365"/>
      <c r="AL64" s="365"/>
      <c r="AM64" s="365"/>
      <c r="AN64" s="365"/>
      <c r="AO64" s="365"/>
    </row>
    <row r="65" spans="1:41" ht="16.5">
      <c r="A65" s="43" t="s">
        <v>117</v>
      </c>
      <c r="B65" s="90" t="s">
        <v>3683</v>
      </c>
      <c r="C65" s="11" t="s">
        <v>119</v>
      </c>
      <c r="D65" s="28"/>
      <c r="E65" s="285"/>
      <c r="F65" s="285"/>
      <c r="G65" s="285"/>
      <c r="H65" s="285">
        <v>4689000000</v>
      </c>
      <c r="I65" s="286">
        <v>3526000000</v>
      </c>
      <c r="J65" s="287">
        <v>2837000000</v>
      </c>
      <c r="K65" s="287">
        <v>1911000000</v>
      </c>
      <c r="L65" s="287">
        <v>705000000</v>
      </c>
      <c r="M65" s="287">
        <v>14877000000</v>
      </c>
      <c r="N65" s="288">
        <v>6818000000</v>
      </c>
      <c r="O65" s="288">
        <v>9351000000</v>
      </c>
      <c r="P65" s="288">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5"/>
      <c r="Z65" s="365"/>
      <c r="AA65" s="365"/>
      <c r="AB65" s="365"/>
      <c r="AC65" s="365"/>
      <c r="AD65" s="365"/>
      <c r="AE65" s="365"/>
      <c r="AF65" s="365"/>
      <c r="AG65" s="365"/>
      <c r="AH65" s="365"/>
      <c r="AI65" s="365"/>
      <c r="AJ65" s="365"/>
      <c r="AK65" s="365"/>
      <c r="AL65" s="365"/>
      <c r="AM65" s="365"/>
      <c r="AN65" s="365"/>
      <c r="AO65" s="365"/>
    </row>
    <row r="66" spans="1:41" ht="16.5">
      <c r="A66" s="99" t="s">
        <v>2949</v>
      </c>
      <c r="B66" s="99" t="s">
        <v>3684</v>
      </c>
      <c r="C66" s="58" t="s">
        <v>264</v>
      </c>
      <c r="D66" s="28"/>
      <c r="E66" s="21"/>
      <c r="F66" s="21"/>
      <c r="G66" s="21"/>
      <c r="H66" s="285">
        <v>3187000000</v>
      </c>
      <c r="I66" s="286">
        <v>3240000000</v>
      </c>
      <c r="J66" s="21"/>
      <c r="K66" s="21"/>
      <c r="L66" s="21"/>
      <c r="M66" s="287">
        <v>2982000000</v>
      </c>
      <c r="N66" s="288">
        <v>6196000000</v>
      </c>
      <c r="O66" s="288">
        <v>8397000000</v>
      </c>
      <c r="P66" s="288">
        <v>16133000000</v>
      </c>
      <c r="Q66" s="142"/>
      <c r="R66" s="142"/>
      <c r="S66" s="142"/>
      <c r="T66" s="13"/>
      <c r="U66" s="28"/>
      <c r="V66" s="28"/>
      <c r="W66" s="28"/>
      <c r="X66" s="28"/>
      <c r="Y66" s="365"/>
      <c r="Z66" s="365"/>
      <c r="AA66" s="365"/>
      <c r="AB66" s="365"/>
      <c r="AC66" s="365"/>
      <c r="AD66" s="365"/>
      <c r="AE66" s="365"/>
      <c r="AF66" s="365"/>
      <c r="AG66" s="365"/>
      <c r="AH66" s="365"/>
      <c r="AI66" s="365"/>
      <c r="AJ66" s="365"/>
      <c r="AK66" s="365"/>
      <c r="AL66" s="365"/>
      <c r="AM66" s="365"/>
      <c r="AN66" s="365"/>
      <c r="AO66" s="365"/>
    </row>
    <row r="67" spans="1:41" ht="16.5">
      <c r="A67" s="99" t="s">
        <v>3685</v>
      </c>
      <c r="B67" s="99" t="s">
        <v>3686</v>
      </c>
      <c r="C67" s="58" t="s">
        <v>264</v>
      </c>
      <c r="D67" s="28"/>
      <c r="E67" s="21"/>
      <c r="F67" s="21"/>
      <c r="G67" s="21"/>
      <c r="H67" s="285">
        <v>1250000000</v>
      </c>
      <c r="I67" s="286">
        <v>0</v>
      </c>
      <c r="J67" s="21"/>
      <c r="K67" s="21"/>
      <c r="L67" s="21"/>
      <c r="M67" s="287">
        <v>13367000000</v>
      </c>
      <c r="N67" s="288">
        <v>2282000000</v>
      </c>
      <c r="O67" s="288">
        <v>2930000000</v>
      </c>
      <c r="P67" s="288">
        <v>1375000000</v>
      </c>
      <c r="Q67" s="142"/>
      <c r="R67" s="142"/>
      <c r="S67" s="142"/>
      <c r="T67" s="13"/>
      <c r="U67" s="28"/>
      <c r="V67" s="28"/>
      <c r="W67" s="28"/>
      <c r="X67" s="28"/>
      <c r="Y67" s="365"/>
      <c r="Z67" s="365"/>
      <c r="AA67" s="365"/>
      <c r="AB67" s="365"/>
      <c r="AC67" s="365"/>
      <c r="AD67" s="365"/>
      <c r="AE67" s="365"/>
      <c r="AF67" s="365"/>
      <c r="AG67" s="365"/>
      <c r="AH67" s="365"/>
      <c r="AI67" s="365"/>
      <c r="AJ67" s="365"/>
      <c r="AK67" s="365"/>
      <c r="AL67" s="365"/>
      <c r="AM67" s="365"/>
      <c r="AN67" s="365"/>
      <c r="AO67" s="365"/>
    </row>
    <row r="68" spans="1:41" ht="16.5">
      <c r="A68" s="152" t="s">
        <v>258</v>
      </c>
      <c r="B68" s="99" t="s">
        <v>3687</v>
      </c>
      <c r="C68" s="58" t="s">
        <v>264</v>
      </c>
      <c r="D68" s="28"/>
      <c r="E68" s="21"/>
      <c r="F68" s="21"/>
      <c r="G68" s="21"/>
      <c r="H68" s="285">
        <v>-1618000000</v>
      </c>
      <c r="I68" s="286">
        <v>-1803000000</v>
      </c>
      <c r="J68" s="21"/>
      <c r="K68" s="21"/>
      <c r="L68" s="21"/>
      <c r="M68" s="287">
        <v>-1472000000</v>
      </c>
      <c r="N68" s="288">
        <v>-1660000000</v>
      </c>
      <c r="O68" s="288">
        <v>-1976000000</v>
      </c>
      <c r="P68" s="288">
        <v>-1911000000</v>
      </c>
      <c r="Q68" s="142"/>
      <c r="R68" s="142"/>
      <c r="S68" s="142"/>
      <c r="T68" s="13"/>
      <c r="U68" s="28"/>
      <c r="V68" s="28"/>
      <c r="W68" s="28"/>
      <c r="X68" s="28"/>
      <c r="Y68" s="365"/>
      <c r="Z68" s="365"/>
      <c r="AA68" s="365"/>
      <c r="AB68" s="365"/>
      <c r="AC68" s="365"/>
      <c r="AD68" s="365"/>
      <c r="AE68" s="365"/>
      <c r="AF68" s="365"/>
      <c r="AG68" s="365"/>
      <c r="AH68" s="365"/>
      <c r="AI68" s="365"/>
      <c r="AJ68" s="365"/>
      <c r="AK68" s="365"/>
      <c r="AL68" s="365"/>
      <c r="AM68" s="365"/>
      <c r="AN68" s="365"/>
      <c r="AO68" s="365"/>
    </row>
    <row r="69" spans="1:41" ht="16.5">
      <c r="A69" s="99" t="s">
        <v>3688</v>
      </c>
      <c r="B69" s="99" t="s">
        <v>3689</v>
      </c>
      <c r="C69" s="58" t="s">
        <v>264</v>
      </c>
      <c r="D69" s="28"/>
      <c r="E69" s="21"/>
      <c r="F69" s="21"/>
      <c r="G69" s="21"/>
      <c r="H69" s="285">
        <v>1871000000</v>
      </c>
      <c r="I69" s="286">
        <v>2088000000</v>
      </c>
      <c r="J69" s="21"/>
      <c r="K69" s="21"/>
      <c r="L69" s="21"/>
      <c r="M69" s="287"/>
      <c r="N69" s="288"/>
      <c r="O69" s="288"/>
      <c r="P69" s="288"/>
      <c r="Q69" s="142"/>
      <c r="R69" s="142"/>
      <c r="S69" s="142"/>
      <c r="T69" s="142"/>
      <c r="U69" s="28"/>
      <c r="V69" s="28"/>
      <c r="W69" s="28"/>
      <c r="X69" s="28"/>
      <c r="Y69" s="365"/>
      <c r="Z69" s="365"/>
      <c r="AA69" s="365"/>
      <c r="AB69" s="365"/>
      <c r="AC69" s="365"/>
      <c r="AD69" s="365"/>
      <c r="AE69" s="365"/>
      <c r="AF69" s="365"/>
      <c r="AG69" s="365"/>
      <c r="AH69" s="365"/>
      <c r="AI69" s="365"/>
      <c r="AJ69" s="365"/>
      <c r="AK69" s="365"/>
      <c r="AL69" s="365"/>
      <c r="AM69" s="365"/>
      <c r="AN69" s="365"/>
      <c r="AO69" s="365"/>
    </row>
    <row r="70" spans="1:41" ht="16.5">
      <c r="A70" s="43" t="s">
        <v>120</v>
      </c>
      <c r="B70" s="90" t="s">
        <v>1264</v>
      </c>
      <c r="C70" s="11" t="s">
        <v>119</v>
      </c>
      <c r="D70" s="28"/>
      <c r="E70" s="21"/>
      <c r="F70" s="21"/>
      <c r="G70" s="21"/>
      <c r="H70" s="285">
        <f>H71+H75</f>
        <v>-4252000000</v>
      </c>
      <c r="I70" s="285">
        <f t="shared" ref="I70:P70" si="12">I71+I75</f>
        <v>-91000000</v>
      </c>
      <c r="J70" s="285">
        <f t="shared" si="12"/>
        <v>-424000000</v>
      </c>
      <c r="K70" s="285">
        <f t="shared" si="12"/>
        <v>-1468000000</v>
      </c>
      <c r="L70" s="285">
        <f t="shared" si="12"/>
        <v>-724000000</v>
      </c>
      <c r="M70" s="285">
        <f t="shared" si="12"/>
        <v>-3092000000</v>
      </c>
      <c r="N70" s="285">
        <f t="shared" si="12"/>
        <v>1091000000</v>
      </c>
      <c r="O70" s="285">
        <f t="shared" si="12"/>
        <v>3765000000</v>
      </c>
      <c r="P70" s="285">
        <f t="shared" si="12"/>
        <v>973000000</v>
      </c>
      <c r="Q70" s="293">
        <f>Q80+Q86</f>
        <v>-3703000000</v>
      </c>
      <c r="R70" s="293">
        <f t="shared" ref="R70:V70" si="13">R80+R86</f>
        <v>-31651000000</v>
      </c>
      <c r="S70" s="293">
        <f t="shared" si="13"/>
        <v>-5438000000</v>
      </c>
      <c r="T70" s="293">
        <f t="shared" si="13"/>
        <v>-3317000000</v>
      </c>
      <c r="U70" s="293">
        <f t="shared" si="13"/>
        <v>-4227000000</v>
      </c>
      <c r="V70" s="293">
        <f t="shared" si="13"/>
        <v>-5844000000</v>
      </c>
      <c r="W70" s="28"/>
      <c r="X70" s="28"/>
      <c r="Y70" s="365"/>
      <c r="Z70" s="365"/>
      <c r="AA70" s="365"/>
      <c r="AB70" s="365"/>
      <c r="AC70" s="365"/>
      <c r="AD70" s="365"/>
      <c r="AE70" s="365"/>
      <c r="AF70" s="365"/>
      <c r="AG70" s="365"/>
      <c r="AH70" s="365"/>
      <c r="AI70" s="365"/>
      <c r="AJ70" s="365"/>
      <c r="AK70" s="365"/>
      <c r="AL70" s="365"/>
      <c r="AM70" s="365"/>
      <c r="AN70" s="365"/>
      <c r="AO70" s="365"/>
    </row>
    <row r="71" spans="1:41" ht="16.5">
      <c r="A71" s="43"/>
      <c r="B71" s="90" t="s">
        <v>1264</v>
      </c>
      <c r="C71" s="11"/>
      <c r="D71" s="28"/>
      <c r="E71" s="285"/>
      <c r="F71" s="285"/>
      <c r="G71" s="285"/>
      <c r="H71" s="285">
        <v>-4252000000</v>
      </c>
      <c r="I71" s="286">
        <v>-91000000</v>
      </c>
      <c r="J71" s="287">
        <v>-445000000</v>
      </c>
      <c r="K71" s="287">
        <v>-1671000000</v>
      </c>
      <c r="L71" s="287">
        <v>-471000000</v>
      </c>
      <c r="M71" s="287">
        <v>-2839000000</v>
      </c>
      <c r="N71" s="288">
        <v>918000000</v>
      </c>
      <c r="O71" s="288">
        <v>3606000000</v>
      </c>
      <c r="P71" s="288">
        <v>820000000</v>
      </c>
      <c r="Q71" s="142"/>
      <c r="R71" s="142"/>
      <c r="S71" s="142"/>
      <c r="T71" s="13"/>
      <c r="U71" s="28"/>
      <c r="V71" s="28"/>
      <c r="W71" s="28"/>
      <c r="X71" s="28"/>
      <c r="Y71" s="365"/>
      <c r="Z71" s="365"/>
      <c r="AA71" s="365"/>
      <c r="AB71" s="365"/>
      <c r="AC71" s="365"/>
      <c r="AD71" s="365"/>
      <c r="AE71" s="365"/>
      <c r="AF71" s="365"/>
      <c r="AG71" s="365"/>
      <c r="AH71" s="365"/>
      <c r="AI71" s="365"/>
      <c r="AJ71" s="365"/>
      <c r="AK71" s="365"/>
      <c r="AL71" s="365"/>
      <c r="AM71" s="365"/>
      <c r="AN71" s="365"/>
      <c r="AO71" s="365"/>
    </row>
    <row r="72" spans="1:41" ht="16.5">
      <c r="A72" t="s">
        <v>3690</v>
      </c>
      <c r="B72" s="152" t="s">
        <v>3691</v>
      </c>
      <c r="C72" s="90" t="s">
        <v>124</v>
      </c>
      <c r="D72" s="28"/>
      <c r="E72" s="21"/>
      <c r="F72" s="21"/>
      <c r="G72" s="21"/>
      <c r="H72" s="21"/>
      <c r="I72" s="21"/>
      <c r="J72" s="287">
        <v>317000000</v>
      </c>
      <c r="K72" s="287">
        <v>-1234000000</v>
      </c>
      <c r="L72" s="287">
        <v>138000000</v>
      </c>
      <c r="M72" s="287">
        <v>-1827000000</v>
      </c>
      <c r="N72" s="288">
        <v>-1085000000</v>
      </c>
      <c r="O72" s="288">
        <v>894000000</v>
      </c>
      <c r="P72" s="288">
        <v>511000000</v>
      </c>
      <c r="Q72" s="142"/>
      <c r="R72" s="142"/>
      <c r="S72" s="142"/>
      <c r="T72" s="13"/>
      <c r="U72" s="28"/>
      <c r="V72" s="28"/>
      <c r="W72" s="28"/>
      <c r="X72" s="28"/>
      <c r="Y72" s="365"/>
      <c r="Z72" s="365"/>
      <c r="AA72" s="365"/>
      <c r="AB72" s="365"/>
      <c r="AC72" s="365"/>
      <c r="AD72" s="365"/>
      <c r="AE72" s="365"/>
      <c r="AF72" s="365"/>
      <c r="AG72" s="365"/>
      <c r="AH72" s="365"/>
      <c r="AI72" s="365"/>
      <c r="AJ72" s="365"/>
      <c r="AK72" s="365"/>
      <c r="AL72" s="365"/>
      <c r="AM72" s="365"/>
      <c r="AN72" s="365"/>
      <c r="AO72" s="365"/>
    </row>
    <row r="73" spans="1:41" ht="16.5">
      <c r="A73" s="99" t="s">
        <v>2147</v>
      </c>
      <c r="B73" s="99" t="s">
        <v>1267</v>
      </c>
      <c r="C73" s="90" t="s">
        <v>124</v>
      </c>
      <c r="D73" s="28"/>
      <c r="E73" s="21"/>
      <c r="F73" s="21"/>
      <c r="G73" s="21"/>
      <c r="H73" s="21"/>
      <c r="I73" s="21"/>
      <c r="J73" s="287">
        <v>-700000000</v>
      </c>
      <c r="K73" s="287">
        <v>-437000000</v>
      </c>
      <c r="L73" s="287">
        <v>-575000000</v>
      </c>
      <c r="M73" s="287">
        <v>-1160000000</v>
      </c>
      <c r="N73" s="288">
        <v>2205000000</v>
      </c>
      <c r="O73" s="288">
        <v>272000000</v>
      </c>
      <c r="P73" s="288">
        <v>1258000000</v>
      </c>
      <c r="Q73" s="142"/>
      <c r="R73" s="142"/>
      <c r="S73" s="142"/>
      <c r="T73" s="13"/>
      <c r="U73" s="28"/>
      <c r="V73" s="28"/>
      <c r="W73" s="28"/>
      <c r="X73" s="28"/>
      <c r="Y73" s="365"/>
      <c r="Z73" s="365"/>
      <c r="AA73" s="365"/>
      <c r="AB73" s="365"/>
      <c r="AC73" s="365"/>
      <c r="AD73" s="365"/>
      <c r="AE73" s="365"/>
      <c r="AF73" s="365"/>
      <c r="AG73" s="365"/>
      <c r="AH73" s="365"/>
      <c r="AI73" s="365"/>
      <c r="AJ73" s="365"/>
      <c r="AK73" s="365"/>
      <c r="AL73" s="365"/>
      <c r="AM73" s="365"/>
      <c r="AN73" s="365"/>
      <c r="AO73" s="365"/>
    </row>
    <row r="74" spans="1:41" ht="16.5">
      <c r="A74" s="152" t="s">
        <v>350</v>
      </c>
      <c r="B74" s="152" t="s">
        <v>350</v>
      </c>
      <c r="C74" s="90" t="s">
        <v>124</v>
      </c>
      <c r="D74" s="28"/>
      <c r="E74" s="21"/>
      <c r="F74" s="21"/>
      <c r="G74" s="21"/>
      <c r="H74" s="21"/>
      <c r="I74" s="21"/>
      <c r="J74" s="287">
        <v>-63000000</v>
      </c>
      <c r="K74" s="287">
        <v>1000000</v>
      </c>
      <c r="L74" s="287">
        <v>-35000000</v>
      </c>
      <c r="M74" s="287">
        <v>148000000</v>
      </c>
      <c r="N74" s="288">
        <v>-202000000</v>
      </c>
      <c r="O74" s="288">
        <v>2440000000</v>
      </c>
      <c r="P74" s="288">
        <v>-950000000</v>
      </c>
      <c r="Q74" s="142"/>
      <c r="R74" s="142"/>
      <c r="S74" s="142"/>
      <c r="T74" s="13"/>
      <c r="U74" s="28"/>
      <c r="V74" s="28"/>
      <c r="W74" s="28"/>
      <c r="X74" s="28"/>
      <c r="Y74" s="365"/>
      <c r="Z74" s="365"/>
      <c r="AA74" s="365"/>
      <c r="AB74" s="365"/>
      <c r="AC74" s="365"/>
      <c r="AD74" s="365"/>
      <c r="AE74" s="365"/>
      <c r="AF74" s="365"/>
      <c r="AG74" s="365"/>
      <c r="AH74" s="365"/>
      <c r="AI74" s="365"/>
      <c r="AJ74" s="365"/>
      <c r="AK74" s="365"/>
      <c r="AL74" s="365"/>
      <c r="AM74" s="365"/>
      <c r="AN74" s="365"/>
      <c r="AO74" s="365"/>
    </row>
    <row r="75" spans="1:41" ht="16.5">
      <c r="A75" s="139" t="s">
        <v>2425</v>
      </c>
      <c r="B75" s="139" t="s">
        <v>858</v>
      </c>
      <c r="C75" s="90" t="s">
        <v>124</v>
      </c>
      <c r="D75" s="28"/>
      <c r="E75" s="21"/>
      <c r="F75" s="21"/>
      <c r="G75" s="21"/>
      <c r="H75" s="21"/>
      <c r="I75" s="358"/>
      <c r="J75" s="287">
        <v>21000000</v>
      </c>
      <c r="K75" s="287">
        <v>203000000</v>
      </c>
      <c r="L75" s="287">
        <v>-253000000</v>
      </c>
      <c r="M75" s="287">
        <v>-253000000</v>
      </c>
      <c r="N75" s="288">
        <v>173000000</v>
      </c>
      <c r="O75" s="288">
        <v>159000000</v>
      </c>
      <c r="P75" s="288">
        <v>153000000</v>
      </c>
      <c r="Q75" s="142"/>
      <c r="R75" s="142"/>
      <c r="S75" s="142"/>
      <c r="T75" s="13"/>
      <c r="U75" s="28"/>
      <c r="V75" s="28"/>
      <c r="W75" s="28"/>
      <c r="X75" s="28"/>
      <c r="Y75" s="365"/>
      <c r="Z75" s="365"/>
      <c r="AA75" s="365"/>
      <c r="AB75" s="365"/>
      <c r="AC75" s="365"/>
      <c r="AD75" s="365"/>
      <c r="AE75" s="365"/>
      <c r="AF75" s="365"/>
      <c r="AG75" s="365"/>
      <c r="AH75" s="365"/>
      <c r="AI75" s="365"/>
      <c r="AJ75" s="365"/>
      <c r="AK75" s="365"/>
      <c r="AL75" s="365"/>
      <c r="AM75" s="365"/>
      <c r="AN75" s="365"/>
      <c r="AO75" s="365"/>
    </row>
    <row r="76" spans="1:41" ht="16.5">
      <c r="A76" s="139" t="s">
        <v>1468</v>
      </c>
      <c r="B76" s="139" t="s">
        <v>1468</v>
      </c>
      <c r="C76" s="11" t="s">
        <v>119</v>
      </c>
      <c r="D76" s="28"/>
      <c r="E76" s="285"/>
      <c r="F76" s="285"/>
      <c r="G76" s="285"/>
      <c r="H76" s="21">
        <v>3801000000</v>
      </c>
      <c r="I76" s="21"/>
      <c r="J76" s="287"/>
      <c r="K76" s="287"/>
      <c r="L76" s="287"/>
      <c r="M76" s="287"/>
      <c r="N76" s="288"/>
      <c r="O76" s="288"/>
      <c r="P76" s="288"/>
      <c r="Q76" s="142"/>
      <c r="R76" s="142"/>
      <c r="S76" s="142"/>
      <c r="T76" s="142"/>
      <c r="U76" s="28"/>
      <c r="V76" s="28"/>
      <c r="W76" s="28"/>
      <c r="X76" s="28"/>
      <c r="Y76" s="365"/>
      <c r="Z76" s="365"/>
      <c r="AA76" s="365"/>
      <c r="AB76" s="365"/>
      <c r="AC76" s="365"/>
      <c r="AD76" s="365"/>
      <c r="AE76" s="365"/>
      <c r="AF76" s="365"/>
      <c r="AG76" s="365"/>
      <c r="AH76" s="365"/>
      <c r="AI76" s="365"/>
      <c r="AJ76" s="365"/>
      <c r="AK76" s="365"/>
      <c r="AL76" s="365"/>
      <c r="AM76" s="365"/>
      <c r="AN76" s="365"/>
      <c r="AO76" s="365"/>
    </row>
    <row r="77" spans="1:41" ht="16.5">
      <c r="A77" s="139" t="s">
        <v>3692</v>
      </c>
      <c r="B77" s="139" t="s">
        <v>3693</v>
      </c>
      <c r="C77" s="11" t="s">
        <v>119</v>
      </c>
      <c r="D77" s="28"/>
      <c r="E77" s="285"/>
      <c r="F77" s="285"/>
      <c r="G77" s="285"/>
      <c r="H77" s="21"/>
      <c r="I77" s="21"/>
      <c r="J77" s="287"/>
      <c r="K77" s="287"/>
      <c r="L77" s="287"/>
      <c r="M77" s="287"/>
      <c r="N77" s="288"/>
      <c r="O77" s="288"/>
      <c r="P77" s="288"/>
      <c r="Q77" s="142"/>
      <c r="R77" s="142"/>
      <c r="S77" s="142"/>
      <c r="T77" s="142"/>
      <c r="U77" s="28"/>
      <c r="V77" s="28"/>
      <c r="W77" s="28"/>
      <c r="X77" s="28"/>
      <c r="Y77" s="365"/>
      <c r="Z77" s="365"/>
      <c r="AA77" s="365"/>
      <c r="AB77" s="365"/>
      <c r="AC77" s="365"/>
      <c r="AD77" s="365"/>
      <c r="AE77" s="365"/>
      <c r="AF77" s="365"/>
      <c r="AG77" s="365"/>
      <c r="AH77" s="365"/>
      <c r="AI77" s="365"/>
      <c r="AJ77" s="365"/>
      <c r="AK77" s="365"/>
      <c r="AL77" s="365"/>
      <c r="AM77" s="365"/>
      <c r="AN77" s="365"/>
      <c r="AO77" s="365"/>
    </row>
    <row r="78" spans="1:41" ht="16.5">
      <c r="A78" s="139" t="s">
        <v>3694</v>
      </c>
      <c r="B78" t="s">
        <v>3695</v>
      </c>
      <c r="C78" s="11" t="s">
        <v>119</v>
      </c>
      <c r="D78" s="28"/>
      <c r="E78" s="21"/>
      <c r="F78" s="21"/>
      <c r="G78" s="21"/>
      <c r="H78" s="21"/>
      <c r="I78" s="21"/>
      <c r="J78" s="21"/>
      <c r="K78" s="21"/>
      <c r="L78" s="287"/>
      <c r="M78" s="287">
        <v>-4732000000</v>
      </c>
      <c r="N78" s="288">
        <v>5883000000</v>
      </c>
      <c r="O78" s="288">
        <v>0</v>
      </c>
      <c r="P78" s="288">
        <v>0</v>
      </c>
      <c r="Q78" s="142"/>
      <c r="R78" s="142"/>
      <c r="S78" s="142"/>
      <c r="T78" s="142"/>
      <c r="U78" s="142"/>
      <c r="V78" s="142"/>
      <c r="W78" s="28"/>
      <c r="X78" s="28"/>
      <c r="Y78" s="365"/>
      <c r="Z78" s="365"/>
      <c r="AA78" s="365"/>
      <c r="AB78" s="365"/>
      <c r="AC78" s="365"/>
      <c r="AD78" s="365"/>
      <c r="AE78" s="365"/>
      <c r="AF78" s="365"/>
      <c r="AG78" s="365"/>
      <c r="AH78" s="365"/>
      <c r="AI78" s="365"/>
      <c r="AJ78" s="365"/>
      <c r="AK78" s="365"/>
      <c r="AL78" s="365"/>
      <c r="AM78" s="365"/>
      <c r="AN78" s="365"/>
      <c r="AO78" s="365"/>
    </row>
    <row r="79" spans="1:41" ht="16.5">
      <c r="A79" s="139"/>
      <c r="B79" t="s">
        <v>688</v>
      </c>
      <c r="C79" s="11"/>
      <c r="D79" s="28"/>
      <c r="E79" s="21"/>
      <c r="F79" s="21"/>
      <c r="G79" s="21"/>
      <c r="H79" s="21"/>
      <c r="I79" s="21"/>
      <c r="J79" s="21"/>
      <c r="K79" s="21"/>
      <c r="L79" s="287"/>
      <c r="M79" s="287"/>
      <c r="N79" s="288"/>
      <c r="O79" s="288"/>
      <c r="P79" s="288"/>
      <c r="Q79" s="142"/>
      <c r="R79" s="142"/>
      <c r="S79" s="142"/>
      <c r="T79" s="142"/>
      <c r="U79" s="142"/>
      <c r="V79" s="142"/>
      <c r="W79" s="28"/>
      <c r="X79" s="28"/>
      <c r="Y79" s="365"/>
      <c r="Z79" s="365"/>
      <c r="AA79" s="365"/>
      <c r="AB79" s="365"/>
      <c r="AC79" s="365"/>
      <c r="AD79" s="365"/>
      <c r="AE79" s="365"/>
      <c r="AF79" s="365"/>
      <c r="AG79" s="365"/>
      <c r="AH79" s="365"/>
      <c r="AI79" s="365"/>
      <c r="AJ79" s="365"/>
      <c r="AK79" s="365"/>
      <c r="AL79" s="365"/>
      <c r="AM79" s="365"/>
      <c r="AN79" s="365"/>
      <c r="AO79" s="365"/>
    </row>
    <row r="80" spans="1:41" ht="16.5">
      <c r="A80" s="139"/>
      <c r="B80" t="s">
        <v>209</v>
      </c>
      <c r="C80" s="11"/>
      <c r="D80" s="28"/>
      <c r="E80" s="21"/>
      <c r="F80" s="21"/>
      <c r="G80" s="21"/>
      <c r="H80" s="21"/>
      <c r="I80" s="21"/>
      <c r="J80" s="21"/>
      <c r="K80" s="21"/>
      <c r="L80" s="287"/>
      <c r="M80" s="287"/>
      <c r="N80" s="288"/>
      <c r="O80" s="288"/>
      <c r="P80" s="288"/>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5"/>
      <c r="Z80" s="365"/>
      <c r="AA80" s="365"/>
      <c r="AB80" s="365"/>
      <c r="AC80" s="365"/>
      <c r="AD80" s="365"/>
      <c r="AE80" s="365"/>
      <c r="AF80" s="365"/>
      <c r="AG80" s="365"/>
      <c r="AH80" s="365"/>
      <c r="AI80" s="365"/>
      <c r="AJ80" s="365"/>
      <c r="AK80" s="365"/>
      <c r="AL80" s="365"/>
      <c r="AM80" s="365"/>
      <c r="AN80" s="365"/>
      <c r="AO80" s="365"/>
    </row>
    <row r="81" spans="1:42" ht="16.5">
      <c r="A81" s="139"/>
      <c r="B81" t="s">
        <v>2781</v>
      </c>
      <c r="C81" s="11"/>
      <c r="D81" s="28"/>
      <c r="E81" s="21"/>
      <c r="F81" s="21"/>
      <c r="G81" s="21"/>
      <c r="H81" s="21"/>
      <c r="I81" s="21"/>
      <c r="J81" s="21"/>
      <c r="K81" s="21"/>
      <c r="L81" s="287"/>
      <c r="M81" s="287"/>
      <c r="N81" s="288"/>
      <c r="O81" s="288"/>
      <c r="P81" s="288"/>
      <c r="Q81" s="125">
        <v>-4439000000</v>
      </c>
      <c r="R81" s="125">
        <v>-11358000000</v>
      </c>
      <c r="S81" s="125">
        <v>3645000000</v>
      </c>
      <c r="T81" s="125">
        <v>6489000000</v>
      </c>
      <c r="U81" s="125">
        <v>1381000000</v>
      </c>
      <c r="V81" s="125">
        <v>1633000000</v>
      </c>
      <c r="W81" s="28"/>
      <c r="X81" s="28"/>
      <c r="Y81" s="365"/>
      <c r="Z81" s="365"/>
      <c r="AA81" s="365"/>
      <c r="AB81" s="365"/>
      <c r="AC81" s="365"/>
      <c r="AD81" s="365"/>
      <c r="AE81" s="365"/>
      <c r="AF81" s="365"/>
      <c r="AG81" s="365"/>
      <c r="AH81" s="365"/>
      <c r="AI81" s="365"/>
      <c r="AJ81" s="365"/>
      <c r="AK81" s="365"/>
      <c r="AL81" s="365"/>
      <c r="AM81" s="365"/>
      <c r="AN81" s="365"/>
      <c r="AO81" s="365"/>
    </row>
    <row r="82" spans="1:42" ht="16.5">
      <c r="A82" s="139"/>
      <c r="B82" t="s">
        <v>444</v>
      </c>
      <c r="C82" s="11"/>
      <c r="D82" s="28"/>
      <c r="E82" s="21"/>
      <c r="F82" s="21"/>
      <c r="G82" s="21"/>
      <c r="H82" s="21"/>
      <c r="I82" s="21"/>
      <c r="J82" s="21"/>
      <c r="K82" s="21"/>
      <c r="L82" s="287"/>
      <c r="M82" s="287"/>
      <c r="N82" s="288"/>
      <c r="O82" s="288"/>
      <c r="P82" s="288"/>
      <c r="Q82" s="13">
        <v>504000000</v>
      </c>
      <c r="R82" s="125">
        <v>-18724000000</v>
      </c>
      <c r="S82" s="125">
        <v>-8163000000</v>
      </c>
      <c r="T82" s="125">
        <v>-10933000000</v>
      </c>
      <c r="U82" s="125">
        <v>-11322000000</v>
      </c>
      <c r="V82" s="125">
        <v>-7492000000</v>
      </c>
      <c r="W82" s="28"/>
      <c r="X82" s="28"/>
      <c r="Y82" s="365"/>
      <c r="Z82" s="365"/>
      <c r="AA82" s="365"/>
      <c r="AB82" s="365"/>
      <c r="AC82" s="365"/>
      <c r="AD82" s="365"/>
      <c r="AE82" s="365"/>
      <c r="AF82" s="365"/>
      <c r="AG82" s="365"/>
      <c r="AH82" s="365"/>
      <c r="AI82" s="365"/>
      <c r="AJ82" s="365"/>
      <c r="AK82" s="365"/>
      <c r="AL82" s="365"/>
      <c r="AM82" s="365"/>
      <c r="AN82" s="365"/>
      <c r="AO82" s="365"/>
    </row>
    <row r="83" spans="1:42" ht="16.5">
      <c r="A83" s="139"/>
      <c r="B83" t="s">
        <v>7068</v>
      </c>
      <c r="C83" s="11"/>
      <c r="D83" s="28"/>
      <c r="E83" s="21"/>
      <c r="F83" s="21"/>
      <c r="G83" s="21"/>
      <c r="H83" s="21"/>
      <c r="I83" s="21"/>
      <c r="J83" s="21"/>
      <c r="K83" s="21"/>
      <c r="L83" s="287"/>
      <c r="M83" s="287"/>
      <c r="N83" s="288"/>
      <c r="O83" s="288"/>
      <c r="P83" s="288"/>
      <c r="Q83" s="13">
        <v>13000000</v>
      </c>
      <c r="R83" s="13">
        <v>13000000</v>
      </c>
      <c r="S83" s="13">
        <v>13000000</v>
      </c>
      <c r="T83" s="142">
        <v>0</v>
      </c>
      <c r="U83" s="13">
        <v>150000000</v>
      </c>
      <c r="V83" s="13">
        <v>15000000</v>
      </c>
      <c r="W83" s="28"/>
      <c r="X83" s="28"/>
      <c r="Y83" s="365"/>
      <c r="Z83" s="365"/>
      <c r="AA83" s="365"/>
      <c r="AB83" s="365"/>
      <c r="AC83" s="365"/>
      <c r="AD83" s="365"/>
      <c r="AE83" s="365"/>
      <c r="AF83" s="365"/>
      <c r="AG83" s="365"/>
      <c r="AH83" s="365"/>
      <c r="AI83" s="365"/>
      <c r="AJ83" s="365"/>
      <c r="AK83" s="365"/>
      <c r="AL83" s="365"/>
      <c r="AM83" s="365"/>
      <c r="AN83" s="365"/>
      <c r="AO83" s="365"/>
      <c r="AP83" s="365"/>
    </row>
    <row r="84" spans="1:42" ht="16.5">
      <c r="A84" s="139"/>
      <c r="B84" t="s">
        <v>212</v>
      </c>
      <c r="C84" s="11"/>
      <c r="D84" s="28"/>
      <c r="E84" s="21"/>
      <c r="F84" s="21"/>
      <c r="G84" s="21"/>
      <c r="H84" s="21"/>
      <c r="I84" s="21"/>
      <c r="J84" s="21"/>
      <c r="K84" s="21"/>
      <c r="L84" s="287"/>
      <c r="M84" s="287"/>
      <c r="N84" s="288"/>
      <c r="O84" s="288"/>
      <c r="P84" s="288"/>
      <c r="Q84" s="142">
        <v>0</v>
      </c>
      <c r="R84" s="142">
        <v>0</v>
      </c>
      <c r="S84" s="142">
        <v>0</v>
      </c>
      <c r="T84" s="142">
        <v>0</v>
      </c>
      <c r="U84" s="142">
        <v>0</v>
      </c>
      <c r="V84" s="142">
        <v>0</v>
      </c>
      <c r="W84" s="28"/>
      <c r="X84" s="28"/>
      <c r="Y84" s="365"/>
      <c r="Z84" s="365"/>
      <c r="AA84" s="365"/>
      <c r="AB84" s="365"/>
      <c r="AC84" s="365"/>
      <c r="AD84" s="365"/>
      <c r="AE84" s="365"/>
      <c r="AF84" s="365"/>
      <c r="AG84" s="365"/>
      <c r="AH84" s="365"/>
      <c r="AI84" s="365"/>
      <c r="AJ84" s="365"/>
      <c r="AK84" s="365"/>
      <c r="AL84" s="365"/>
      <c r="AM84" s="365"/>
      <c r="AN84" s="365"/>
      <c r="AO84" s="365"/>
    </row>
    <row r="85" spans="1:42" ht="16.5">
      <c r="A85" s="139"/>
      <c r="B85" t="s">
        <v>689</v>
      </c>
      <c r="C85" s="11"/>
      <c r="D85" s="28"/>
      <c r="E85" s="21"/>
      <c r="F85" s="21"/>
      <c r="G85" s="21"/>
      <c r="H85" s="21"/>
      <c r="I85" s="21"/>
      <c r="J85" s="21"/>
      <c r="K85" s="21"/>
      <c r="L85" s="287"/>
      <c r="M85" s="287"/>
      <c r="N85" s="288"/>
      <c r="O85" s="288"/>
      <c r="P85" s="288"/>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5"/>
      <c r="Z85" s="365"/>
      <c r="AA85" s="365"/>
      <c r="AB85" s="365"/>
      <c r="AC85" s="365"/>
      <c r="AD85" s="365"/>
      <c r="AE85" s="365"/>
      <c r="AF85" s="365"/>
      <c r="AG85" s="365"/>
      <c r="AH85" s="365"/>
      <c r="AI85" s="365"/>
      <c r="AJ85" s="365"/>
      <c r="AK85" s="365"/>
      <c r="AL85" s="365"/>
      <c r="AM85" s="365"/>
      <c r="AN85" s="365"/>
      <c r="AO85" s="365"/>
    </row>
    <row r="86" spans="1:42" ht="16.5">
      <c r="A86" s="139"/>
      <c r="B86" t="s">
        <v>209</v>
      </c>
      <c r="C86" s="11"/>
      <c r="D86" s="28"/>
      <c r="E86" s="21"/>
      <c r="F86" s="21"/>
      <c r="G86" s="21"/>
      <c r="H86" s="21"/>
      <c r="I86" s="21"/>
      <c r="J86" s="21"/>
      <c r="K86" s="21"/>
      <c r="L86" s="287"/>
      <c r="M86" s="287"/>
      <c r="N86" s="288"/>
      <c r="O86" s="288"/>
      <c r="P86" s="288"/>
      <c r="Q86" s="13">
        <v>219000000</v>
      </c>
      <c r="R86" s="125">
        <v>-1582000000</v>
      </c>
      <c r="S86" s="13">
        <v>-933000000</v>
      </c>
      <c r="T86" s="125">
        <v>1127000000</v>
      </c>
      <c r="U86" s="125">
        <v>5564000000</v>
      </c>
      <c r="V86" s="28">
        <v>0</v>
      </c>
      <c r="W86" s="28"/>
      <c r="X86" s="28"/>
      <c r="Y86" s="365"/>
      <c r="Z86" s="365"/>
      <c r="AA86" s="365"/>
      <c r="AB86" s="365"/>
      <c r="AC86" s="365"/>
      <c r="AD86" s="365"/>
      <c r="AE86" s="365"/>
      <c r="AF86" s="365"/>
      <c r="AG86" s="365"/>
      <c r="AH86" s="365"/>
      <c r="AI86" s="365"/>
      <c r="AJ86" s="365"/>
      <c r="AK86" s="365"/>
      <c r="AL86" s="365"/>
      <c r="AM86" s="365"/>
      <c r="AN86" s="365"/>
      <c r="AO86" s="365"/>
    </row>
    <row r="87" spans="1:42" ht="16.5">
      <c r="A87" s="139"/>
      <c r="B87" t="s">
        <v>212</v>
      </c>
      <c r="C87" s="11"/>
      <c r="D87" s="28"/>
      <c r="E87" s="21"/>
      <c r="F87" s="21"/>
      <c r="G87" s="21"/>
      <c r="H87" s="21"/>
      <c r="I87" s="21"/>
      <c r="J87" s="21"/>
      <c r="K87" s="21"/>
      <c r="L87" s="287"/>
      <c r="M87" s="287"/>
      <c r="N87" s="288"/>
      <c r="O87" s="288"/>
      <c r="P87" s="288"/>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5"/>
      <c r="Z87" s="365"/>
      <c r="AA87" s="365"/>
      <c r="AB87" s="365"/>
      <c r="AC87" s="365"/>
      <c r="AD87" s="365"/>
      <c r="AE87" s="365"/>
      <c r="AF87" s="365"/>
      <c r="AG87" s="365"/>
      <c r="AH87" s="365"/>
      <c r="AI87" s="365"/>
      <c r="AJ87" s="365"/>
      <c r="AK87" s="365"/>
      <c r="AL87" s="365"/>
      <c r="AM87" s="365"/>
      <c r="AN87" s="365"/>
      <c r="AO87" s="365"/>
    </row>
    <row r="88" spans="1:42" ht="16.5">
      <c r="A88" s="139"/>
      <c r="B88" t="s">
        <v>7069</v>
      </c>
      <c r="C88" s="11"/>
      <c r="D88" s="28"/>
      <c r="E88" s="21"/>
      <c r="F88" s="21"/>
      <c r="G88" s="21"/>
      <c r="H88" s="21"/>
      <c r="I88" s="21"/>
      <c r="J88" s="21"/>
      <c r="K88" s="21"/>
      <c r="L88" s="287"/>
      <c r="M88" s="287"/>
      <c r="N88" s="288"/>
      <c r="O88" s="288"/>
      <c r="P88" s="288"/>
      <c r="Q88" s="125">
        <v>5320000000</v>
      </c>
      <c r="R88" s="125">
        <v>3598000000</v>
      </c>
      <c r="S88" s="125">
        <v>1812000000</v>
      </c>
      <c r="T88" s="125">
        <v>4334000000</v>
      </c>
      <c r="U88" s="125">
        <v>1817000000</v>
      </c>
      <c r="V88" s="125">
        <v>1938000000</v>
      </c>
      <c r="W88" s="28"/>
      <c r="X88" s="28"/>
      <c r="Y88" s="365"/>
      <c r="Z88" s="365"/>
      <c r="AA88" s="365"/>
      <c r="AB88" s="365"/>
      <c r="AC88" s="365"/>
      <c r="AD88" s="365"/>
      <c r="AE88" s="365"/>
      <c r="AF88" s="365"/>
      <c r="AG88" s="365"/>
      <c r="AH88" s="365"/>
      <c r="AI88" s="365"/>
      <c r="AJ88" s="365"/>
      <c r="AK88" s="365"/>
      <c r="AL88" s="365"/>
      <c r="AM88" s="365"/>
      <c r="AN88" s="365"/>
      <c r="AO88" s="365"/>
    </row>
    <row r="89" spans="1:42" ht="16.5">
      <c r="A89" s="139"/>
      <c r="B89" t="s">
        <v>7070</v>
      </c>
      <c r="C89" s="11"/>
      <c r="D89" s="28"/>
      <c r="E89" s="21"/>
      <c r="F89" s="21"/>
      <c r="G89" s="21"/>
      <c r="H89" s="21"/>
      <c r="I89" s="21"/>
      <c r="J89" s="21"/>
      <c r="K89" s="21"/>
      <c r="L89" s="287"/>
      <c r="M89" s="287"/>
      <c r="N89" s="288"/>
      <c r="O89" s="288"/>
      <c r="P89" s="288"/>
      <c r="Q89" s="125">
        <v>14863000000</v>
      </c>
      <c r="R89" s="125">
        <v>23867000000</v>
      </c>
      <c r="S89" s="125">
        <v>16048000000</v>
      </c>
      <c r="T89" s="125">
        <v>21708000000</v>
      </c>
      <c r="U89" s="125">
        <v>25340000000</v>
      </c>
      <c r="V89" s="125">
        <v>24449000000</v>
      </c>
      <c r="W89" s="28"/>
      <c r="X89" s="28"/>
      <c r="Y89" s="365"/>
      <c r="Z89" s="365"/>
      <c r="AA89" s="365"/>
      <c r="AB89" s="365"/>
      <c r="AC89" s="365"/>
      <c r="AD89" s="365"/>
      <c r="AE89" s="365"/>
      <c r="AF89" s="365"/>
      <c r="AG89" s="365"/>
      <c r="AH89" s="365"/>
      <c r="AI89" s="365"/>
      <c r="AJ89" s="365"/>
      <c r="AK89" s="365"/>
      <c r="AL89" s="365"/>
      <c r="AM89" s="365"/>
      <c r="AN89" s="365"/>
      <c r="AO89" s="365"/>
    </row>
    <row r="90" spans="1:42" ht="16.5">
      <c r="A90" s="139"/>
      <c r="B90" t="s">
        <v>258</v>
      </c>
      <c r="C90" s="11"/>
      <c r="D90" s="28"/>
      <c r="E90" s="21"/>
      <c r="F90" s="21"/>
      <c r="G90" s="21"/>
      <c r="H90" s="21"/>
      <c r="I90" s="21"/>
      <c r="J90" s="21"/>
      <c r="K90" s="21"/>
      <c r="L90" s="287"/>
      <c r="M90" s="287"/>
      <c r="N90" s="288"/>
      <c r="O90" s="288"/>
      <c r="P90" s="288"/>
      <c r="Q90" s="125">
        <v>-2113000000</v>
      </c>
      <c r="R90" s="125">
        <v>-2955000000</v>
      </c>
      <c r="S90" s="125">
        <v>-4599000000</v>
      </c>
      <c r="T90" s="125">
        <v>-5848000000</v>
      </c>
      <c r="U90" s="125">
        <v>-5611000000</v>
      </c>
      <c r="V90" s="125">
        <v>-7250000000</v>
      </c>
      <c r="W90" s="28"/>
      <c r="X90" s="28"/>
      <c r="Y90" s="365"/>
      <c r="Z90" s="365"/>
      <c r="AA90" s="365"/>
      <c r="AB90" s="365"/>
      <c r="AC90" s="365"/>
      <c r="AD90" s="365"/>
      <c r="AE90" s="365"/>
      <c r="AF90" s="365"/>
      <c r="AG90" s="365"/>
      <c r="AH90" s="365"/>
      <c r="AI90" s="365"/>
      <c r="AJ90" s="365"/>
      <c r="AK90" s="365"/>
      <c r="AL90" s="365"/>
      <c r="AM90" s="365"/>
      <c r="AN90" s="365"/>
      <c r="AO90" s="365"/>
    </row>
    <row r="91" spans="1:42" ht="16.5">
      <c r="A91" s="139"/>
      <c r="C91" s="11"/>
      <c r="D91" s="28"/>
      <c r="E91" s="21"/>
      <c r="F91" s="21"/>
      <c r="G91" s="21"/>
      <c r="H91" s="21"/>
      <c r="I91" s="21"/>
      <c r="J91" s="21"/>
      <c r="K91" s="21"/>
      <c r="L91" s="287"/>
      <c r="M91" s="287"/>
      <c r="N91" s="288"/>
      <c r="O91" s="288"/>
      <c r="P91" s="288"/>
      <c r="Q91" s="288"/>
      <c r="R91" s="288"/>
      <c r="S91" s="288"/>
      <c r="U91" s="28"/>
      <c r="V91" s="28"/>
      <c r="W91" s="28"/>
      <c r="X91" s="28"/>
      <c r="Y91" s="365"/>
      <c r="Z91" s="365"/>
      <c r="AA91" s="365"/>
      <c r="AB91" s="365"/>
      <c r="AC91" s="365"/>
      <c r="AD91" s="365"/>
      <c r="AE91" s="365"/>
      <c r="AF91" s="365"/>
      <c r="AG91" s="365"/>
      <c r="AH91" s="365"/>
      <c r="AI91" s="365"/>
      <c r="AJ91" s="365"/>
      <c r="AK91" s="365"/>
      <c r="AL91" s="365"/>
      <c r="AM91" s="365"/>
      <c r="AN91" s="365"/>
      <c r="AO91" s="365"/>
    </row>
    <row r="92" spans="1:42" ht="16.5">
      <c r="A92" s="139"/>
      <c r="C92" s="11"/>
      <c r="D92" s="28"/>
      <c r="E92" s="21"/>
      <c r="F92" s="21"/>
      <c r="G92" s="21"/>
      <c r="H92" s="21"/>
      <c r="I92" s="21"/>
      <c r="J92" s="21"/>
      <c r="K92" s="21"/>
      <c r="L92" s="287"/>
      <c r="M92" s="287"/>
      <c r="N92" s="288"/>
      <c r="O92" s="288"/>
      <c r="P92" s="288"/>
      <c r="Q92" s="288"/>
      <c r="R92" s="288"/>
      <c r="S92" s="288"/>
      <c r="U92" s="28"/>
      <c r="V92" s="28"/>
      <c r="W92" s="28"/>
      <c r="X92" s="28"/>
      <c r="Y92" s="365"/>
      <c r="Z92" s="365"/>
      <c r="AA92" s="365"/>
      <c r="AB92" s="365"/>
      <c r="AC92" s="365"/>
      <c r="AD92" s="365"/>
      <c r="AE92" s="365"/>
      <c r="AF92" s="365"/>
      <c r="AG92" s="365"/>
      <c r="AH92" s="365"/>
      <c r="AI92" s="365"/>
      <c r="AJ92" s="365"/>
      <c r="AK92" s="365"/>
      <c r="AL92" s="365"/>
      <c r="AM92" s="365"/>
      <c r="AN92" s="365"/>
      <c r="AO92" s="365"/>
    </row>
    <row r="93" spans="1:42">
      <c r="B93" t="s">
        <v>614</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5"/>
      <c r="Z93" s="365"/>
      <c r="AA93" s="365"/>
      <c r="AB93" s="365"/>
      <c r="AC93" s="365"/>
      <c r="AD93" s="365"/>
      <c r="AE93" s="365"/>
      <c r="AF93" s="365"/>
      <c r="AG93" s="365"/>
      <c r="AH93" s="365"/>
      <c r="AI93" s="365"/>
      <c r="AJ93" s="365"/>
      <c r="AK93" s="365"/>
      <c r="AL93" s="365"/>
      <c r="AM93" s="365"/>
      <c r="AN93" s="365"/>
      <c r="AO93" s="365"/>
    </row>
    <row r="94" spans="1:42" ht="16.5">
      <c r="B94" s="139"/>
      <c r="C94" s="90"/>
      <c r="D94" s="28"/>
      <c r="J94" s="104"/>
      <c r="K94" s="104"/>
      <c r="L94" s="104"/>
      <c r="M94" s="104"/>
      <c r="N94" s="104"/>
      <c r="O94" s="104"/>
      <c r="P94" s="104"/>
      <c r="Q94" s="104"/>
      <c r="R94" s="104"/>
      <c r="S94" s="104"/>
      <c r="T94" s="104"/>
      <c r="U94" s="28"/>
      <c r="V94" s="28"/>
      <c r="W94" s="28"/>
      <c r="X94" s="28"/>
      <c r="Y94" s="365"/>
      <c r="Z94" s="365"/>
      <c r="AA94" s="365"/>
      <c r="AB94" s="365"/>
      <c r="AC94" s="365"/>
      <c r="AD94" s="365"/>
      <c r="AE94" s="365"/>
      <c r="AF94" s="365"/>
      <c r="AG94" s="365"/>
      <c r="AH94" s="365"/>
      <c r="AI94" s="365"/>
      <c r="AJ94" s="365"/>
      <c r="AK94" s="365"/>
      <c r="AL94" s="365"/>
      <c r="AM94" s="365"/>
      <c r="AN94" s="365"/>
      <c r="AO94" s="365"/>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524</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720</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876</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3696</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528</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28.000763107969178</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t="b">
        <f>IF(H49&lt;0, (H49/H32)*100)</f>
        <v>0</v>
      </c>
      <c r="I116" t="b">
        <f t="shared" ref="I116:W116" si="32">IF(I49&lt;0, (I49/I32)*100)</f>
        <v>0</v>
      </c>
      <c r="J116" t="b">
        <f t="shared" si="32"/>
        <v>0</v>
      </c>
      <c r="K116" t="b">
        <f t="shared" si="32"/>
        <v>0</v>
      </c>
      <c r="L116" t="b">
        <f t="shared" si="32"/>
        <v>0</v>
      </c>
      <c r="M116" t="b">
        <f t="shared" si="32"/>
        <v>0</v>
      </c>
      <c r="N116" t="b">
        <f t="shared" si="32"/>
        <v>0</v>
      </c>
      <c r="O116" t="b">
        <f t="shared" si="32"/>
        <v>0</v>
      </c>
      <c r="P116" t="b">
        <f t="shared" si="32"/>
        <v>0</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494" bestFit="1" customWidth="1"/>
    <col min="2" max="2" width="45.7109375" style="1494" bestFit="1" customWidth="1"/>
    <col min="3" max="3" width="31.5703125" style="1494" customWidth="1"/>
    <col min="4" max="4" width="28.85546875" style="1494" customWidth="1"/>
    <col min="5" max="13" width="28.5703125" style="1494" bestFit="1" customWidth="1"/>
    <col min="14" max="14" width="23.42578125" style="1494" customWidth="1"/>
    <col min="15" max="15" width="22.7109375" style="1494" customWidth="1"/>
    <col min="16" max="16" width="24.7109375" style="1494" bestFit="1" customWidth="1"/>
    <col min="17" max="17" width="26.5703125" style="1494" bestFit="1" customWidth="1"/>
    <col min="18" max="18" width="30" style="1494" bestFit="1" customWidth="1"/>
    <col min="19" max="19" width="29.42578125" style="1494" bestFit="1" customWidth="1"/>
    <col min="20" max="26" width="30" style="1494" bestFit="1" customWidth="1"/>
  </cols>
  <sheetData>
    <row r="1" spans="1:26">
      <c r="A1" s="1489" t="s">
        <v>3697</v>
      </c>
      <c r="B1" s="1490" t="s">
        <v>3698</v>
      </c>
      <c r="C1" s="1490"/>
      <c r="D1" s="1491"/>
      <c r="E1" s="1491"/>
      <c r="F1" s="1491"/>
      <c r="G1" s="1491"/>
      <c r="H1" s="1491"/>
      <c r="I1" s="1491"/>
      <c r="J1" s="1491"/>
      <c r="K1" s="1491"/>
      <c r="L1" s="1491"/>
      <c r="M1" s="1491"/>
      <c r="N1" s="1491"/>
      <c r="O1" s="1492"/>
      <c r="P1" s="1492"/>
      <c r="Q1" s="1492"/>
      <c r="R1" s="1493"/>
      <c r="S1" s="1492"/>
      <c r="T1" s="1492"/>
      <c r="U1" s="1492"/>
      <c r="V1" s="1492"/>
      <c r="W1" s="1492"/>
    </row>
    <row r="2" spans="1:26">
      <c r="B2" s="1495" t="s">
        <v>3699</v>
      </c>
      <c r="C2" s="1495"/>
      <c r="D2" s="1492"/>
      <c r="E2" s="1492"/>
      <c r="F2" s="1492"/>
      <c r="G2" s="1492"/>
      <c r="H2" s="1492"/>
      <c r="I2" s="1492"/>
      <c r="J2" s="1492"/>
      <c r="K2" s="1492"/>
      <c r="L2" s="1492"/>
      <c r="M2" s="1492"/>
      <c r="N2" s="1492"/>
      <c r="O2" s="1492"/>
      <c r="P2" s="1492"/>
      <c r="Q2" s="1492"/>
      <c r="R2" s="1496"/>
      <c r="S2" s="1497"/>
      <c r="T2" s="1498"/>
      <c r="U2" s="1492"/>
      <c r="V2" s="1492"/>
      <c r="W2" s="1492"/>
    </row>
    <row r="3" spans="1:26">
      <c r="B3" s="1499" t="s">
        <v>3</v>
      </c>
      <c r="C3" s="1499"/>
      <c r="D3" s="1492">
        <v>2000</v>
      </c>
      <c r="E3" s="1492">
        <v>2001</v>
      </c>
      <c r="F3" s="1492">
        <v>2002</v>
      </c>
      <c r="G3" s="1492">
        <v>2003</v>
      </c>
      <c r="H3" s="1492">
        <v>2004</v>
      </c>
      <c r="I3" s="1492">
        <v>2005</v>
      </c>
      <c r="J3" s="1492">
        <v>2006</v>
      </c>
      <c r="K3" s="1492">
        <v>2007</v>
      </c>
      <c r="L3" s="1492">
        <v>2008</v>
      </c>
      <c r="M3" s="1492">
        <v>2009</v>
      </c>
      <c r="N3" s="1492">
        <v>2010</v>
      </c>
      <c r="O3" s="1492">
        <v>2011</v>
      </c>
      <c r="P3" s="1492">
        <v>2012</v>
      </c>
      <c r="Q3" s="1492">
        <v>2013</v>
      </c>
      <c r="R3" s="1492">
        <v>2014</v>
      </c>
      <c r="S3" s="1492">
        <v>2015</v>
      </c>
      <c r="T3" s="1492">
        <v>2016</v>
      </c>
      <c r="U3" s="1492">
        <v>2017</v>
      </c>
      <c r="V3" s="1492">
        <v>2018</v>
      </c>
      <c r="W3" s="1492">
        <v>2019</v>
      </c>
      <c r="X3" s="1492">
        <v>2020</v>
      </c>
      <c r="Y3" s="1492">
        <v>2021</v>
      </c>
      <c r="Z3" s="1492">
        <v>2022</v>
      </c>
    </row>
    <row r="4" spans="1:26">
      <c r="B4" s="1499" t="s">
        <v>4</v>
      </c>
      <c r="C4" s="1499"/>
      <c r="D4" s="1492" t="s">
        <v>5</v>
      </c>
      <c r="E4" s="1492" t="s">
        <v>6</v>
      </c>
      <c r="F4" s="1492" t="s">
        <v>7</v>
      </c>
      <c r="G4" s="1492" t="s">
        <v>8</v>
      </c>
      <c r="H4" s="1492" t="s">
        <v>9</v>
      </c>
      <c r="I4" s="1492" t="s">
        <v>10</v>
      </c>
      <c r="J4" s="1492" t="s">
        <v>11</v>
      </c>
      <c r="K4" s="1492" t="s">
        <v>12</v>
      </c>
      <c r="L4" s="1492" t="s">
        <v>13</v>
      </c>
      <c r="M4" s="1492" t="s">
        <v>14</v>
      </c>
      <c r="N4" s="1492" t="s">
        <v>15</v>
      </c>
      <c r="O4" s="1492" t="s">
        <v>16</v>
      </c>
      <c r="P4" s="1492" t="s">
        <v>17</v>
      </c>
      <c r="Q4" s="1492" t="s">
        <v>18</v>
      </c>
      <c r="R4" s="1493" t="s">
        <v>19</v>
      </c>
      <c r="S4" s="1492" t="s">
        <v>20</v>
      </c>
      <c r="T4" s="1492" t="s">
        <v>21</v>
      </c>
      <c r="U4" s="1492" t="s">
        <v>22</v>
      </c>
      <c r="V4" s="1492" t="s">
        <v>23</v>
      </c>
      <c r="W4" s="1492" t="s">
        <v>24</v>
      </c>
      <c r="X4" s="1494" t="s">
        <v>25</v>
      </c>
      <c r="Y4" s="1494" t="s">
        <v>26</v>
      </c>
      <c r="Z4" s="1494" t="s">
        <v>27</v>
      </c>
    </row>
    <row r="5" spans="1:26">
      <c r="A5" s="1494" t="s">
        <v>28</v>
      </c>
      <c r="B5" s="1499" t="s">
        <v>29</v>
      </c>
      <c r="C5" s="1499"/>
      <c r="D5" s="1492" t="s">
        <v>30</v>
      </c>
      <c r="E5" s="1492" t="s">
        <v>30</v>
      </c>
      <c r="F5" s="1492" t="s">
        <v>30</v>
      </c>
      <c r="G5" s="1492" t="s">
        <v>30</v>
      </c>
      <c r="H5" s="1492" t="s">
        <v>30</v>
      </c>
      <c r="I5" s="1491" t="s">
        <v>31</v>
      </c>
      <c r="J5" s="1491" t="s">
        <v>30</v>
      </c>
      <c r="K5" s="1491" t="s">
        <v>30</v>
      </c>
      <c r="L5" s="1491" t="s">
        <v>30</v>
      </c>
      <c r="M5" s="1491" t="s">
        <v>30</v>
      </c>
      <c r="N5" s="1492" t="s">
        <v>31</v>
      </c>
      <c r="O5" s="1492" t="s">
        <v>31</v>
      </c>
      <c r="P5" s="1492" t="s">
        <v>31</v>
      </c>
      <c r="Q5" s="1492" t="s">
        <v>31</v>
      </c>
      <c r="R5" s="1492" t="s">
        <v>31</v>
      </c>
      <c r="S5" s="1492" t="s">
        <v>31</v>
      </c>
      <c r="T5" s="1492" t="s">
        <v>31</v>
      </c>
      <c r="U5" s="1492" t="s">
        <v>369</v>
      </c>
      <c r="V5" s="1492" t="s">
        <v>32</v>
      </c>
      <c r="W5" s="1492" t="s">
        <v>32</v>
      </c>
      <c r="X5" s="1492" t="s">
        <v>32</v>
      </c>
      <c r="Y5" s="1492" t="s">
        <v>32</v>
      </c>
      <c r="Z5" s="1492" t="s">
        <v>32</v>
      </c>
    </row>
    <row r="6" spans="1:26" s="9" customFormat="1">
      <c r="A6" s="1500" t="s">
        <v>33</v>
      </c>
      <c r="B6" s="1501" t="s">
        <v>1499</v>
      </c>
      <c r="C6" s="1501" t="s">
        <v>35</v>
      </c>
      <c r="D6" s="1502">
        <v>2166000000000</v>
      </c>
      <c r="E6" s="1502">
        <v>2476000000000</v>
      </c>
      <c r="F6" s="1502">
        <v>2683000000000</v>
      </c>
      <c r="G6" s="1502">
        <v>2798000000000</v>
      </c>
      <c r="H6" s="1502">
        <v>3104000000000</v>
      </c>
      <c r="I6" s="1502">
        <v>3886000000000</v>
      </c>
      <c r="J6" s="1502">
        <v>4962000000000</v>
      </c>
      <c r="K6" s="1502">
        <v>6134000000000</v>
      </c>
      <c r="L6" s="1502">
        <v>7134000000000</v>
      </c>
      <c r="M6" s="1502">
        <v>8099000000000</v>
      </c>
      <c r="N6" s="1502">
        <v>9779000000000</v>
      </c>
      <c r="O6" s="1502">
        <v>13891000000000</v>
      </c>
      <c r="P6" s="1502">
        <v>16958000000000</v>
      </c>
      <c r="Q6" s="1502">
        <v>19187000000000</v>
      </c>
      <c r="R6" s="1503">
        <v>23554000000000</v>
      </c>
      <c r="S6" s="1503">
        <v>21968000000000</v>
      </c>
      <c r="T6" s="1503">
        <v>20490000000000</v>
      </c>
      <c r="U6" s="1503">
        <v>23370000000000</v>
      </c>
      <c r="V6" s="1503">
        <v>25905000000000</v>
      </c>
      <c r="W6" s="1503">
        <v>29328000000000</v>
      </c>
      <c r="X6" s="1504">
        <v>32386000000000</v>
      </c>
      <c r="Y6" s="1504">
        <v>34978000000000</v>
      </c>
      <c r="Z6" s="1504">
        <v>37800000000000</v>
      </c>
    </row>
    <row r="7" spans="1:26">
      <c r="A7" s="1505" t="s">
        <v>370</v>
      </c>
      <c r="B7" s="1506" t="s">
        <v>36</v>
      </c>
      <c r="C7" s="1507" t="s">
        <v>38</v>
      </c>
      <c r="D7" s="1508">
        <v>1691000000000</v>
      </c>
      <c r="E7" s="1508">
        <v>2000000000000</v>
      </c>
      <c r="F7" s="1508">
        <v>2324000000000</v>
      </c>
      <c r="G7" s="1508">
        <v>2345000000000</v>
      </c>
      <c r="H7" s="1508">
        <v>2822000000000</v>
      </c>
      <c r="I7" s="1508">
        <v>3387000000000</v>
      </c>
      <c r="J7" s="1508">
        <v>4266000000000</v>
      </c>
      <c r="K7" s="1508">
        <v>5460000000000</v>
      </c>
      <c r="L7" s="1509">
        <f t="shared" ref="L7:Q7" si="0">L6-L35</f>
        <v>6439000000000</v>
      </c>
      <c r="M7" s="1509">
        <f t="shared" si="0"/>
        <v>7031000000000</v>
      </c>
      <c r="N7" s="1509">
        <f t="shared" si="0"/>
        <v>8537000000000</v>
      </c>
      <c r="O7" s="1509">
        <f t="shared" si="0"/>
        <v>10182000000000</v>
      </c>
      <c r="P7" s="1509">
        <f t="shared" si="0"/>
        <v>12427000000000</v>
      </c>
      <c r="Q7" s="1509">
        <f t="shared" si="0"/>
        <v>14638000000000</v>
      </c>
      <c r="R7" s="1510">
        <f>R6-R35</f>
        <v>18548000000000</v>
      </c>
      <c r="S7" s="1510">
        <f t="shared" ref="S7:Z7" si="1">S6-S35</f>
        <v>19264000000000</v>
      </c>
      <c r="T7" s="1511">
        <f t="shared" si="1"/>
        <v>18742000000000</v>
      </c>
      <c r="U7" s="1511">
        <f t="shared" si="1"/>
        <v>20892000000000</v>
      </c>
      <c r="V7" s="1511">
        <f t="shared" si="1"/>
        <v>23153000000000</v>
      </c>
      <c r="W7" s="1511">
        <f t="shared" si="1"/>
        <v>26301000000000</v>
      </c>
      <c r="X7" s="1511">
        <f t="shared" si="1"/>
        <v>29056000000000</v>
      </c>
      <c r="Y7" s="1511">
        <f t="shared" si="1"/>
        <v>31315000000000</v>
      </c>
      <c r="Z7" s="1511">
        <f t="shared" si="1"/>
        <v>33771000000000</v>
      </c>
    </row>
    <row r="8" spans="1:26">
      <c r="A8" s="1494" t="s">
        <v>76</v>
      </c>
      <c r="B8" s="1512" t="s">
        <v>3700</v>
      </c>
      <c r="D8" s="1513"/>
      <c r="E8" s="1513"/>
      <c r="F8" s="1513"/>
      <c r="G8" s="1513"/>
      <c r="H8" s="1508">
        <v>64000000000</v>
      </c>
      <c r="I8" s="1508">
        <v>239000000000</v>
      </c>
      <c r="J8" s="1508">
        <v>680000000000</v>
      </c>
      <c r="K8" s="1508">
        <v>1048000000000</v>
      </c>
      <c r="L8" s="1508">
        <v>1486000000000</v>
      </c>
      <c r="M8" s="1508">
        <v>1357000000000</v>
      </c>
      <c r="N8" s="1513">
        <v>1376000000000</v>
      </c>
      <c r="O8" s="1513">
        <v>2098000000000</v>
      </c>
      <c r="P8" s="1513">
        <v>2716000000000</v>
      </c>
      <c r="Q8" s="1513" t="s">
        <v>78</v>
      </c>
      <c r="R8" s="1510">
        <v>2370000000000</v>
      </c>
      <c r="S8" s="1511">
        <v>1979000000000</v>
      </c>
      <c r="T8" s="1511">
        <v>2051000000000</v>
      </c>
      <c r="U8" s="1511">
        <v>2435000000000</v>
      </c>
      <c r="V8" s="1511">
        <v>2061000000000</v>
      </c>
      <c r="W8" s="1511">
        <v>3391000000000</v>
      </c>
      <c r="X8" s="1511">
        <v>3861000000000</v>
      </c>
      <c r="Y8" s="1511">
        <v>3783000000000</v>
      </c>
      <c r="Z8" s="1511">
        <v>3435000000000</v>
      </c>
    </row>
    <row r="9" spans="1:26">
      <c r="B9" s="1512" t="s">
        <v>3701</v>
      </c>
      <c r="D9" s="1513"/>
      <c r="E9" s="1513"/>
      <c r="F9" s="1513"/>
      <c r="G9" s="1513"/>
      <c r="H9" s="1508"/>
      <c r="I9" s="1508"/>
      <c r="J9" s="1508"/>
      <c r="K9" s="1508"/>
      <c r="L9" s="1508"/>
      <c r="M9" s="1508"/>
      <c r="N9" s="1513"/>
      <c r="O9" s="1513">
        <v>1567000000000</v>
      </c>
      <c r="P9" s="1513">
        <v>2232000000000</v>
      </c>
      <c r="Q9" s="1513" t="s">
        <v>78</v>
      </c>
      <c r="R9" s="1510">
        <v>1445000000000</v>
      </c>
      <c r="S9" s="1511">
        <v>1100000000000</v>
      </c>
      <c r="T9" s="1511">
        <v>1082000000000</v>
      </c>
      <c r="U9" s="1511">
        <v>1191000000000</v>
      </c>
      <c r="V9" s="1511">
        <v>1093000000000</v>
      </c>
      <c r="W9" s="1511">
        <v>1690000000000</v>
      </c>
      <c r="X9" s="1511">
        <v>1697000000000</v>
      </c>
      <c r="Y9" s="1511">
        <v>1082000000000</v>
      </c>
      <c r="Z9" s="1511">
        <v>380000000000</v>
      </c>
    </row>
    <row r="10" spans="1:26">
      <c r="B10" s="1512" t="s">
        <v>3702</v>
      </c>
      <c r="D10" s="1513"/>
      <c r="E10" s="1513"/>
      <c r="F10" s="1513"/>
      <c r="G10" s="1513"/>
      <c r="H10" s="1508"/>
      <c r="I10" s="1508"/>
      <c r="J10" s="1508"/>
      <c r="K10" s="1508"/>
      <c r="L10" s="1508"/>
      <c r="M10" s="1508"/>
      <c r="N10" s="1513"/>
      <c r="O10" s="1513">
        <v>531000000000</v>
      </c>
      <c r="P10" s="1513">
        <v>484000000000</v>
      </c>
      <c r="Q10" s="1513" t="s">
        <v>78</v>
      </c>
      <c r="R10" s="1510">
        <v>924000000000</v>
      </c>
      <c r="S10" s="1511">
        <v>880000000000</v>
      </c>
      <c r="T10" s="1511">
        <v>969000000000</v>
      </c>
      <c r="U10" s="1511">
        <v>1243000000000</v>
      </c>
      <c r="V10" s="1511">
        <v>968000000000</v>
      </c>
      <c r="W10" s="1511">
        <v>1701000000000</v>
      </c>
      <c r="X10" s="1511">
        <v>2165000000000</v>
      </c>
      <c r="Y10" s="1511">
        <v>2702000000000</v>
      </c>
      <c r="Z10" s="1511">
        <v>3055000000000</v>
      </c>
    </row>
    <row r="11" spans="1:26">
      <c r="B11" s="1512" t="s">
        <v>3703</v>
      </c>
      <c r="D11" s="1513"/>
      <c r="E11" s="1513"/>
      <c r="F11" s="1513"/>
      <c r="G11" s="1513"/>
      <c r="H11" s="1508"/>
      <c r="I11" s="1508"/>
      <c r="J11" s="1508"/>
      <c r="K11" s="1508"/>
      <c r="L11" s="1508"/>
      <c r="M11" s="1508"/>
      <c r="N11" s="1513"/>
      <c r="O11" s="1513">
        <v>8084000000000</v>
      </c>
      <c r="P11" s="1513">
        <v>9712000000000</v>
      </c>
      <c r="Q11" s="1513" t="s">
        <v>78</v>
      </c>
      <c r="R11" s="1510">
        <v>16178000000000</v>
      </c>
      <c r="S11" s="1511">
        <v>17285000000000</v>
      </c>
      <c r="T11" s="1511">
        <v>16691000000000</v>
      </c>
      <c r="U11" s="1511">
        <v>18457000000000</v>
      </c>
      <c r="V11" s="1511">
        <v>21092000000000</v>
      </c>
      <c r="W11" s="1511">
        <v>22910000000000</v>
      </c>
      <c r="X11" s="1511">
        <v>25195000000000</v>
      </c>
      <c r="Y11" s="1511">
        <v>27532000000000</v>
      </c>
      <c r="Z11" s="1511">
        <v>30336000000000</v>
      </c>
    </row>
    <row r="12" spans="1:26">
      <c r="A12" s="1505" t="s">
        <v>39</v>
      </c>
      <c r="B12" s="1514" t="s">
        <v>371</v>
      </c>
      <c r="C12" s="1507" t="s">
        <v>41</v>
      </c>
      <c r="D12" s="1508">
        <v>1367000000000</v>
      </c>
      <c r="E12" s="1508">
        <v>1629000000000</v>
      </c>
      <c r="F12" s="1508">
        <v>1875000000000</v>
      </c>
      <c r="G12" s="1508">
        <v>1928000000000</v>
      </c>
      <c r="H12" s="1508">
        <v>2337000000000</v>
      </c>
      <c r="I12" s="1508">
        <v>2803000000000</v>
      </c>
      <c r="J12" s="1508">
        <v>3641000000000</v>
      </c>
      <c r="K12" s="1508">
        <v>4711000000000</v>
      </c>
      <c r="L12" s="1508">
        <v>5627000000000</v>
      </c>
      <c r="M12" s="1508">
        <v>6208000000000</v>
      </c>
      <c r="N12" s="1508">
        <v>7503000000000</v>
      </c>
      <c r="O12" s="1508">
        <v>9109000000000</v>
      </c>
      <c r="P12" s="1508">
        <v>10915000000000</v>
      </c>
      <c r="Q12" s="1508">
        <v>12658000000000</v>
      </c>
      <c r="R12" s="1510">
        <v>15500000000000</v>
      </c>
      <c r="S12" s="1511">
        <v>16143000000000</v>
      </c>
      <c r="T12" s="1511">
        <v>16068000000000</v>
      </c>
      <c r="U12" s="1511">
        <v>17226000000000</v>
      </c>
      <c r="V12" s="1511">
        <v>18858000000000</v>
      </c>
      <c r="W12" s="1511">
        <v>21550000000000</v>
      </c>
      <c r="X12" s="1511">
        <v>23737000000000</v>
      </c>
      <c r="Y12" s="1511">
        <v>25461000000000</v>
      </c>
      <c r="Z12" s="1511">
        <v>27250000000000</v>
      </c>
    </row>
    <row r="13" spans="1:26">
      <c r="A13" s="1494" t="s">
        <v>76</v>
      </c>
      <c r="B13" s="1514" t="s">
        <v>3704</v>
      </c>
      <c r="D13" s="1513"/>
      <c r="E13" s="1513"/>
      <c r="F13" s="1513"/>
      <c r="G13" s="1513"/>
      <c r="H13" s="1513"/>
      <c r="I13" s="1513"/>
      <c r="J13" s="1508">
        <v>390000000000</v>
      </c>
      <c r="K13" s="1508">
        <v>838000000000</v>
      </c>
      <c r="L13" s="1508"/>
      <c r="M13" s="1508"/>
      <c r="N13" s="1508"/>
      <c r="O13" s="1508">
        <v>1702000000000</v>
      </c>
      <c r="P13" s="1508">
        <v>2212000000000</v>
      </c>
      <c r="Q13" s="1508" t="s">
        <v>78</v>
      </c>
      <c r="R13" s="1515">
        <v>1841000000000</v>
      </c>
      <c r="S13" s="1511">
        <v>1493000000000</v>
      </c>
      <c r="T13" s="1511">
        <v>1451000000000</v>
      </c>
      <c r="U13" s="1511">
        <v>1810000000000</v>
      </c>
      <c r="V13" s="1511">
        <v>1338000000000</v>
      </c>
      <c r="W13" s="1511">
        <v>2631000000000</v>
      </c>
      <c r="X13" s="1511">
        <v>2908000000000</v>
      </c>
      <c r="Y13" s="1511">
        <v>2445000000000</v>
      </c>
      <c r="Z13" s="1511">
        <v>1978000000000</v>
      </c>
    </row>
    <row r="14" spans="1:26">
      <c r="B14" s="1512" t="s">
        <v>3701</v>
      </c>
      <c r="D14" s="1513"/>
      <c r="E14" s="1513"/>
      <c r="F14" s="1513"/>
      <c r="G14" s="1513"/>
      <c r="H14" s="1513"/>
      <c r="I14" s="1513"/>
      <c r="J14" s="1508"/>
      <c r="K14" s="1508"/>
      <c r="L14" s="1508"/>
      <c r="M14" s="1508"/>
      <c r="N14" s="1508"/>
      <c r="O14" s="1508">
        <v>1414000000000</v>
      </c>
      <c r="P14" s="1508">
        <v>8703000000000</v>
      </c>
      <c r="Q14" s="1508" t="s">
        <v>78</v>
      </c>
      <c r="R14" s="1515">
        <v>1352000000000</v>
      </c>
      <c r="S14" s="1511">
        <v>1025000000000</v>
      </c>
      <c r="T14" s="1511">
        <v>982000000000</v>
      </c>
      <c r="U14" s="1511">
        <v>1128000000000</v>
      </c>
      <c r="V14" s="1511">
        <v>1025000000000</v>
      </c>
      <c r="W14" s="1511">
        <v>1627000000000</v>
      </c>
      <c r="X14" s="1511">
        <v>1601000000000</v>
      </c>
      <c r="Y14" s="1511">
        <v>961000000000</v>
      </c>
      <c r="Z14" s="1511">
        <v>358000000000</v>
      </c>
    </row>
    <row r="15" spans="1:26">
      <c r="B15" s="1512" t="s">
        <v>3702</v>
      </c>
      <c r="D15" s="1513"/>
      <c r="E15" s="1513"/>
      <c r="F15" s="1513"/>
      <c r="G15" s="1513"/>
      <c r="H15" s="1513"/>
      <c r="I15" s="1513"/>
      <c r="J15" s="1508"/>
      <c r="K15" s="1508"/>
      <c r="L15" s="1508"/>
      <c r="M15" s="1508"/>
      <c r="N15" s="1508"/>
      <c r="O15" s="1508">
        <v>288000000000</v>
      </c>
      <c r="P15" s="1508">
        <v>219000000000</v>
      </c>
      <c r="Q15" s="1508" t="s">
        <v>78</v>
      </c>
      <c r="R15" s="1515">
        <v>488000000000</v>
      </c>
      <c r="S15" s="1511">
        <v>467000000000</v>
      </c>
      <c r="T15" s="1511">
        <v>469000000000</v>
      </c>
      <c r="U15" s="1511">
        <v>681000000000</v>
      </c>
      <c r="V15" s="1511">
        <v>313000000000</v>
      </c>
      <c r="W15" s="1511">
        <v>1004000000000</v>
      </c>
      <c r="X15" s="1511">
        <v>1306000000000</v>
      </c>
      <c r="Y15" s="1511">
        <v>1484000000000</v>
      </c>
      <c r="Z15" s="1511">
        <v>1621000000000</v>
      </c>
    </row>
    <row r="16" spans="1:26">
      <c r="B16" s="1512" t="s">
        <v>3703</v>
      </c>
      <c r="D16" s="1513"/>
      <c r="E16" s="1513"/>
      <c r="F16" s="1513"/>
      <c r="G16" s="1513"/>
      <c r="H16" s="1513"/>
      <c r="I16" s="1513"/>
      <c r="J16" s="1508"/>
      <c r="K16" s="1508"/>
      <c r="L16" s="1508"/>
      <c r="M16" s="1508"/>
      <c r="N16" s="1508"/>
      <c r="O16" s="1508">
        <v>7407000000000</v>
      </c>
      <c r="P16" s="1508">
        <v>1993000000000</v>
      </c>
      <c r="Q16" s="1508" t="s">
        <v>78</v>
      </c>
      <c r="R16" s="1515">
        <v>13659000000000</v>
      </c>
      <c r="S16" s="1511">
        <v>14650000000000</v>
      </c>
      <c r="T16" s="1511">
        <v>14617000000000</v>
      </c>
      <c r="U16" s="1511">
        <v>15416000000000</v>
      </c>
      <c r="V16" s="1511">
        <v>17520000000000</v>
      </c>
      <c r="W16" s="1511">
        <v>18919000000000</v>
      </c>
      <c r="X16" s="1511">
        <v>20829000000000</v>
      </c>
      <c r="Y16" s="1511">
        <v>23016000000000</v>
      </c>
      <c r="Z16" s="1511">
        <v>25271000000000</v>
      </c>
    </row>
    <row r="17" spans="1:26">
      <c r="A17" s="1516" t="s">
        <v>3705</v>
      </c>
      <c r="B17" s="1516" t="s">
        <v>3706</v>
      </c>
      <c r="C17" s="1494" t="s">
        <v>44</v>
      </c>
      <c r="D17" s="1513"/>
      <c r="E17" s="1513"/>
      <c r="F17" s="1513"/>
      <c r="G17" s="1513"/>
      <c r="H17" s="1513"/>
      <c r="I17" s="1513"/>
      <c r="J17" s="1508">
        <v>693000000000</v>
      </c>
      <c r="K17" s="1508">
        <v>1170000000000</v>
      </c>
      <c r="L17" s="1508">
        <v>1655000000000</v>
      </c>
      <c r="M17" s="1508">
        <v>1728000000000</v>
      </c>
      <c r="N17" s="1508">
        <v>1587000000000</v>
      </c>
      <c r="O17" s="1508">
        <v>2136000000000</v>
      </c>
      <c r="P17" s="1508">
        <v>2940000000000</v>
      </c>
      <c r="Q17" s="1508">
        <v>3044000000000</v>
      </c>
      <c r="R17" s="1515">
        <v>3130000000000</v>
      </c>
      <c r="S17" s="1511">
        <v>3317000000000</v>
      </c>
      <c r="T17" s="1511">
        <v>3375000000000</v>
      </c>
      <c r="U17" s="1511">
        <v>3305000000000</v>
      </c>
      <c r="V17" s="1511">
        <v>4099000000000</v>
      </c>
      <c r="W17" s="1511">
        <v>4871000000000</v>
      </c>
      <c r="X17" s="1511">
        <v>5198000000000</v>
      </c>
      <c r="Y17" s="1511">
        <v>5264000000000</v>
      </c>
      <c r="Z17" s="1511">
        <v>5418000000000</v>
      </c>
    </row>
    <row r="18" spans="1:26">
      <c r="A18" s="1517" t="s">
        <v>628</v>
      </c>
      <c r="B18" s="1518" t="s">
        <v>3707</v>
      </c>
      <c r="C18" s="1494" t="s">
        <v>632</v>
      </c>
      <c r="D18" s="1513"/>
      <c r="E18" s="1513"/>
      <c r="F18" s="1513"/>
      <c r="G18" s="1513"/>
      <c r="H18" s="1513"/>
      <c r="I18" s="1513"/>
      <c r="J18" s="1508">
        <v>234000000000</v>
      </c>
      <c r="K18" s="1508">
        <v>252000000000</v>
      </c>
      <c r="L18" s="1508">
        <v>333000000000</v>
      </c>
      <c r="M18" s="1508">
        <v>425000000000</v>
      </c>
      <c r="N18" s="1508">
        <v>462000000000</v>
      </c>
      <c r="O18" s="1508">
        <v>543000000000</v>
      </c>
      <c r="P18" s="1508">
        <v>744000000000</v>
      </c>
      <c r="Q18" s="1508">
        <v>856000000000</v>
      </c>
      <c r="R18" s="1515">
        <v>1069000000000</v>
      </c>
      <c r="S18" s="1511">
        <v>1470000000000</v>
      </c>
      <c r="T18" s="1511">
        <v>1624000000000</v>
      </c>
      <c r="U18" s="1511">
        <v>1247000000000</v>
      </c>
      <c r="V18" s="1511">
        <v>1880000000000</v>
      </c>
      <c r="W18" s="1511">
        <v>2183000000000</v>
      </c>
      <c r="X18" s="1511">
        <v>2482000000000</v>
      </c>
      <c r="Y18" s="1511">
        <v>2880000000000</v>
      </c>
      <c r="Z18" s="1511">
        <v>3344000000000</v>
      </c>
    </row>
    <row r="19" spans="1:26">
      <c r="A19" s="1519" t="s">
        <v>1635</v>
      </c>
      <c r="B19" s="1518" t="s">
        <v>3708</v>
      </c>
      <c r="C19" s="1494" t="s">
        <v>632</v>
      </c>
      <c r="D19" s="1513"/>
      <c r="E19" s="1513"/>
      <c r="F19" s="1513"/>
      <c r="G19" s="1513"/>
      <c r="H19" s="1513"/>
      <c r="I19" s="1513"/>
      <c r="J19" s="1508">
        <v>459000000000</v>
      </c>
      <c r="K19" s="1508">
        <v>919000000000</v>
      </c>
      <c r="L19" s="1508">
        <v>1322000000000</v>
      </c>
      <c r="M19" s="1508">
        <v>1303000000000</v>
      </c>
      <c r="N19" s="1508">
        <v>1125000000000</v>
      </c>
      <c r="O19" s="1508">
        <v>1592000000000</v>
      </c>
      <c r="P19" s="1508">
        <v>2196000000000</v>
      </c>
      <c r="Q19" s="1508">
        <v>2188000000000</v>
      </c>
      <c r="R19" s="1515">
        <v>2061000000000</v>
      </c>
      <c r="S19" s="1511">
        <v>1847000000000</v>
      </c>
      <c r="T19" s="1511">
        <v>1751000000000</v>
      </c>
      <c r="U19" s="1511">
        <v>2059000000000</v>
      </c>
      <c r="V19" s="1511">
        <v>2219000000000</v>
      </c>
      <c r="W19" s="1511">
        <v>2688000000000</v>
      </c>
      <c r="X19" s="1511">
        <v>2716000000000</v>
      </c>
      <c r="Y19" s="1511">
        <v>2384000000000</v>
      </c>
      <c r="Z19" s="1511">
        <v>2074000000000</v>
      </c>
    </row>
    <row r="20" spans="1:26">
      <c r="A20" s="1494" t="s">
        <v>76</v>
      </c>
      <c r="B20" s="1520" t="s">
        <v>3709</v>
      </c>
      <c r="D20" s="1513"/>
      <c r="E20" s="1513"/>
      <c r="F20" s="1513"/>
      <c r="G20" s="1513"/>
      <c r="H20" s="1513"/>
      <c r="I20" s="1513"/>
      <c r="J20" s="1513"/>
      <c r="K20" s="1513"/>
      <c r="L20" s="1508">
        <v>805000000000</v>
      </c>
      <c r="M20" s="1508">
        <v>664000000000</v>
      </c>
      <c r="N20" s="1508">
        <v>487000000000</v>
      </c>
      <c r="O20" s="1508">
        <v>888000000000</v>
      </c>
      <c r="P20" s="1508">
        <v>1287000000000</v>
      </c>
      <c r="Q20" s="1508" t="s">
        <v>78</v>
      </c>
      <c r="R20" s="1515">
        <v>626000000000</v>
      </c>
      <c r="S20" s="1511">
        <v>496000000000</v>
      </c>
      <c r="T20" s="1511">
        <v>508000000000</v>
      </c>
      <c r="U20" s="1511">
        <v>541000000000</v>
      </c>
      <c r="V20" s="1511">
        <v>510000000000</v>
      </c>
      <c r="W20" s="1511">
        <v>1022000000000</v>
      </c>
      <c r="X20" s="1511">
        <v>1029000000000</v>
      </c>
      <c r="Y20" s="1511">
        <v>623000000000</v>
      </c>
      <c r="Z20" s="1511">
        <v>256000000000</v>
      </c>
    </row>
    <row r="21" spans="1:26">
      <c r="A21" s="1494" t="s">
        <v>76</v>
      </c>
      <c r="B21" s="1520" t="s">
        <v>3710</v>
      </c>
      <c r="D21" s="1513"/>
      <c r="E21" s="1513"/>
      <c r="F21" s="1513"/>
      <c r="G21" s="1513"/>
      <c r="H21" s="1513"/>
      <c r="I21" s="1513"/>
      <c r="J21" s="1513"/>
      <c r="K21" s="1513"/>
      <c r="L21" s="1508">
        <v>516000000000</v>
      </c>
      <c r="M21" s="1508">
        <v>639000000000</v>
      </c>
      <c r="N21" s="1508">
        <v>638000000000</v>
      </c>
      <c r="O21" s="1508">
        <v>705000000000</v>
      </c>
      <c r="P21" s="1508">
        <v>909000000000</v>
      </c>
      <c r="Q21" s="1508" t="s">
        <v>78</v>
      </c>
      <c r="R21" s="1515">
        <v>1435000000000</v>
      </c>
      <c r="S21" s="1511">
        <v>1351000000000</v>
      </c>
      <c r="T21" s="1511">
        <v>1243000000000</v>
      </c>
      <c r="U21" s="1511">
        <v>1518000000000</v>
      </c>
      <c r="V21" s="1511">
        <v>1709000000000</v>
      </c>
      <c r="W21" s="1511">
        <v>1667000000000</v>
      </c>
      <c r="X21" s="1511">
        <v>1687000000000</v>
      </c>
      <c r="Y21" s="1511">
        <v>1761000000000</v>
      </c>
      <c r="Z21" s="1511">
        <v>1818000000000</v>
      </c>
    </row>
    <row r="22" spans="1:26">
      <c r="A22" s="1505" t="s">
        <v>161</v>
      </c>
      <c r="B22" s="1521" t="s">
        <v>162</v>
      </c>
      <c r="C22" s="1494" t="s">
        <v>44</v>
      </c>
      <c r="D22" s="1513"/>
      <c r="E22" s="1513"/>
      <c r="F22" s="1513"/>
      <c r="G22" s="1513"/>
      <c r="H22" s="1513"/>
      <c r="I22" s="1513"/>
      <c r="J22" s="1508">
        <v>887000000000</v>
      </c>
      <c r="K22" s="1508">
        <v>1046000000000</v>
      </c>
      <c r="L22" s="1508">
        <v>1229000000000</v>
      </c>
      <c r="M22" s="1508">
        <v>1401000000000</v>
      </c>
      <c r="N22" s="1508">
        <v>1869000000000</v>
      </c>
      <c r="O22" s="1508">
        <v>2403000000000</v>
      </c>
      <c r="P22" s="1508">
        <v>2827000000000</v>
      </c>
      <c r="Q22" s="1508">
        <v>3412000000000</v>
      </c>
      <c r="R22" s="1515">
        <v>4331000000000</v>
      </c>
      <c r="S22" s="1511">
        <v>4518000000000</v>
      </c>
      <c r="T22" s="1511">
        <v>4302000000000</v>
      </c>
      <c r="U22" s="1511">
        <v>5461000000000</v>
      </c>
      <c r="V22" s="1511">
        <v>5958000000000</v>
      </c>
      <c r="W22" s="1511">
        <v>6652000000000</v>
      </c>
      <c r="X22" s="1511">
        <v>7330000000000</v>
      </c>
      <c r="Y22" s="1511">
        <v>8201000000000</v>
      </c>
      <c r="Z22" s="1511">
        <v>9069000000000</v>
      </c>
    </row>
    <row r="23" spans="1:26">
      <c r="A23" s="1505" t="s">
        <v>553</v>
      </c>
      <c r="B23" s="1521" t="s">
        <v>3711</v>
      </c>
      <c r="C23" s="1494" t="s">
        <v>44</v>
      </c>
      <c r="D23" s="1513"/>
      <c r="E23" s="1513"/>
      <c r="F23" s="1513"/>
      <c r="G23" s="1513"/>
      <c r="H23" s="1513"/>
      <c r="I23" s="1513"/>
      <c r="J23" s="1508">
        <v>800000000000</v>
      </c>
      <c r="K23" s="1508">
        <v>999000000000</v>
      </c>
      <c r="L23" s="1508">
        <v>1190000000000</v>
      </c>
      <c r="M23" s="1508">
        <v>1432000000000</v>
      </c>
      <c r="N23" s="1508">
        <v>1687000000000</v>
      </c>
      <c r="O23" s="1508">
        <v>1948000000000</v>
      </c>
      <c r="P23" s="1508">
        <v>2344000000000</v>
      </c>
      <c r="Q23" s="1508">
        <v>2734000000000</v>
      </c>
      <c r="R23" s="1515">
        <v>3361000000000</v>
      </c>
      <c r="S23" s="1511">
        <v>3567000000000</v>
      </c>
      <c r="T23" s="1511">
        <v>4042000000000</v>
      </c>
      <c r="U23" s="1511">
        <v>4255000000000</v>
      </c>
      <c r="V23" s="1511">
        <v>4842000000000</v>
      </c>
      <c r="W23" s="1511">
        <v>5207000000000</v>
      </c>
      <c r="X23" s="1511">
        <v>5588000000000</v>
      </c>
      <c r="Y23" s="1511">
        <v>6015000000000</v>
      </c>
      <c r="Z23" s="1511">
        <v>6428000000000</v>
      </c>
    </row>
    <row r="24" spans="1:26">
      <c r="A24" s="1505" t="s">
        <v>1584</v>
      </c>
      <c r="B24" s="1521" t="s">
        <v>3712</v>
      </c>
      <c r="C24" s="1494" t="s">
        <v>44</v>
      </c>
      <c r="D24" s="1513"/>
      <c r="E24" s="1513"/>
      <c r="F24" s="1513"/>
      <c r="G24" s="1513"/>
      <c r="H24" s="1513"/>
      <c r="I24" s="1513"/>
      <c r="J24" s="1508">
        <v>515000000000</v>
      </c>
      <c r="K24" s="1508">
        <v>573000000000</v>
      </c>
      <c r="L24" s="1508">
        <v>674000000000</v>
      </c>
      <c r="M24" s="1508">
        <v>726000000000</v>
      </c>
      <c r="N24" s="1508">
        <v>832000000000</v>
      </c>
      <c r="O24" s="1508">
        <v>965000000000</v>
      </c>
      <c r="P24" s="1508">
        <v>1047000000000</v>
      </c>
      <c r="Q24" s="1508">
        <v>1205000000000</v>
      </c>
      <c r="R24" s="1515">
        <v>1396000000000</v>
      </c>
      <c r="S24" s="1511">
        <v>1825000000000</v>
      </c>
      <c r="T24" s="1511">
        <v>1810000000000</v>
      </c>
      <c r="U24" s="1511">
        <v>1376000000000</v>
      </c>
      <c r="V24" s="1511">
        <v>1471000000000</v>
      </c>
      <c r="W24" s="1511">
        <v>1722000000000</v>
      </c>
      <c r="X24" s="1511">
        <v>1994000000000</v>
      </c>
      <c r="Y24" s="1511">
        <v>2257000000000</v>
      </c>
      <c r="Z24" s="1511">
        <v>2493000000000</v>
      </c>
    </row>
    <row r="25" spans="1:26">
      <c r="A25" s="1519" t="s">
        <v>955</v>
      </c>
      <c r="B25" s="1521" t="s">
        <v>955</v>
      </c>
      <c r="C25" s="1494" t="s">
        <v>44</v>
      </c>
      <c r="D25" s="1513"/>
      <c r="E25" s="1513"/>
      <c r="F25" s="1513"/>
      <c r="G25" s="1513"/>
      <c r="H25" s="1513"/>
      <c r="I25" s="1513"/>
      <c r="J25" s="1508">
        <v>275000000000</v>
      </c>
      <c r="K25" s="1508">
        <v>322000000000</v>
      </c>
      <c r="L25" s="1508">
        <v>373000000000</v>
      </c>
      <c r="M25" s="1508">
        <v>297000000000</v>
      </c>
      <c r="N25" s="1508">
        <v>560000000000</v>
      </c>
      <c r="O25" s="1508">
        <v>722000000000</v>
      </c>
      <c r="P25" s="1508">
        <v>884000000000</v>
      </c>
      <c r="Q25" s="1508">
        <v>912000000000</v>
      </c>
      <c r="R25" s="1515">
        <v>1058000000000</v>
      </c>
      <c r="S25" s="1511">
        <v>894000000000</v>
      </c>
      <c r="T25" s="1511">
        <v>843000000000</v>
      </c>
      <c r="U25" s="1511">
        <v>1254000000000</v>
      </c>
      <c r="V25" s="1511">
        <v>728000000000</v>
      </c>
      <c r="W25" s="1511">
        <v>1558000000000</v>
      </c>
      <c r="X25" s="1511">
        <v>1716000000000</v>
      </c>
      <c r="Y25" s="1511">
        <v>1646000000000</v>
      </c>
      <c r="Z25" s="1511">
        <v>1542000000000</v>
      </c>
    </row>
    <row r="26" spans="1:26">
      <c r="A26" s="1520" t="s">
        <v>3713</v>
      </c>
      <c r="B26" s="1520" t="s">
        <v>3713</v>
      </c>
      <c r="C26" s="1494" t="s">
        <v>3714</v>
      </c>
      <c r="D26" s="1513"/>
      <c r="E26" s="1513"/>
      <c r="F26" s="1513"/>
      <c r="G26" s="1513"/>
      <c r="H26" s="1513"/>
      <c r="I26" s="1513"/>
      <c r="J26" s="1508">
        <v>218000000000</v>
      </c>
      <c r="K26" s="1508">
        <v>274000000000</v>
      </c>
      <c r="L26" s="1508"/>
      <c r="M26" s="1508"/>
      <c r="N26" s="1508"/>
      <c r="O26" s="1508">
        <v>527000000000</v>
      </c>
      <c r="P26" s="1508">
        <v>706000000000</v>
      </c>
      <c r="Q26" s="1508">
        <v>700000000000</v>
      </c>
      <c r="R26" s="1515">
        <v>726000000000</v>
      </c>
      <c r="S26" s="1511">
        <v>529000000000</v>
      </c>
      <c r="T26" s="1511">
        <v>474000000000</v>
      </c>
      <c r="U26" s="1511">
        <v>587000000000</v>
      </c>
      <c r="V26" s="1511">
        <v>515000000000</v>
      </c>
      <c r="W26" s="1511">
        <v>605000000000</v>
      </c>
      <c r="X26" s="1511">
        <v>572000000000</v>
      </c>
      <c r="Y26" s="1511">
        <v>338000000000</v>
      </c>
      <c r="Z26" s="1511">
        <v>101000000000</v>
      </c>
    </row>
    <row r="27" spans="1:26">
      <c r="A27" s="1520" t="s">
        <v>3715</v>
      </c>
      <c r="B27" s="1520" t="s">
        <v>3715</v>
      </c>
      <c r="C27" s="1494" t="s">
        <v>3714</v>
      </c>
      <c r="D27" s="1513"/>
      <c r="E27" s="1513"/>
      <c r="F27" s="1513"/>
      <c r="G27" s="1513"/>
      <c r="H27" s="1513"/>
      <c r="I27" s="1513"/>
      <c r="J27" s="1508">
        <v>57000000000</v>
      </c>
      <c r="K27" s="1508">
        <v>48000000000</v>
      </c>
      <c r="L27" s="1508"/>
      <c r="M27" s="1508"/>
      <c r="N27" s="1508"/>
      <c r="O27" s="1508">
        <v>195000000000</v>
      </c>
      <c r="P27" s="1508">
        <v>178000000000</v>
      </c>
      <c r="Q27" s="1508">
        <v>212000000000</v>
      </c>
      <c r="R27" s="1515">
        <v>332000000000</v>
      </c>
      <c r="S27" s="1511">
        <v>365000000000</v>
      </c>
      <c r="T27" s="1511">
        <v>369000000000</v>
      </c>
      <c r="U27" s="1511">
        <v>667000000000</v>
      </c>
      <c r="V27" s="1511">
        <v>213000000000</v>
      </c>
      <c r="W27" s="1511">
        <v>952000000000</v>
      </c>
      <c r="X27" s="1511">
        <v>1144000000000</v>
      </c>
      <c r="Y27" s="1511">
        <v>1308000000000</v>
      </c>
      <c r="Z27" s="1511">
        <v>1440000000000</v>
      </c>
    </row>
    <row r="28" spans="1:26">
      <c r="A28" s="1505" t="s">
        <v>49</v>
      </c>
      <c r="B28" s="1521" t="s">
        <v>3716</v>
      </c>
      <c r="C28" s="1494" t="s">
        <v>44</v>
      </c>
      <c r="D28" s="1513"/>
      <c r="E28" s="1513"/>
      <c r="F28" s="1513"/>
      <c r="G28" s="1513"/>
      <c r="H28" s="1513"/>
      <c r="I28" s="1513"/>
      <c r="J28" s="1508">
        <v>471000000000</v>
      </c>
      <c r="K28" s="1508">
        <v>601000000000</v>
      </c>
      <c r="L28" s="1508">
        <v>507000000000</v>
      </c>
      <c r="M28" s="1508">
        <v>623000000000</v>
      </c>
      <c r="N28" s="1508">
        <v>968000000000</v>
      </c>
      <c r="O28" s="1508">
        <v>936000000000</v>
      </c>
      <c r="P28" s="1508">
        <v>872000000000</v>
      </c>
      <c r="Q28" s="1508">
        <v>1352000000000</v>
      </c>
      <c r="R28" s="1515">
        <v>2223000000000</v>
      </c>
      <c r="S28" s="1511">
        <v>2023000000000</v>
      </c>
      <c r="T28" s="1511">
        <v>1696000000000</v>
      </c>
      <c r="U28" s="1511">
        <v>1574000000000</v>
      </c>
      <c r="V28" s="1511">
        <v>1760000000000</v>
      </c>
      <c r="W28" s="1511">
        <v>1539000000000</v>
      </c>
      <c r="X28" s="1511">
        <v>1911000000000</v>
      </c>
      <c r="Y28" s="1511">
        <v>2078000000000</v>
      </c>
      <c r="Z28" s="1511">
        <v>2301000000000</v>
      </c>
    </row>
    <row r="29" spans="1:26">
      <c r="A29" s="1489" t="s">
        <v>377</v>
      </c>
      <c r="B29" s="1512" t="s">
        <v>3717</v>
      </c>
      <c r="C29" s="1507" t="s">
        <v>41</v>
      </c>
      <c r="D29" s="1508">
        <v>324000000000</v>
      </c>
      <c r="E29" s="1508">
        <v>372000000000</v>
      </c>
      <c r="F29" s="1508">
        <v>449000000000</v>
      </c>
      <c r="G29" s="1508">
        <v>417000000000</v>
      </c>
      <c r="H29" s="1508">
        <v>484000000000</v>
      </c>
      <c r="I29" s="1508">
        <v>584000000000</v>
      </c>
      <c r="J29" s="1508">
        <v>625000000000</v>
      </c>
      <c r="K29" s="1508">
        <v>749000000000</v>
      </c>
      <c r="L29" s="1508">
        <v>812000000000</v>
      </c>
      <c r="M29" s="1508">
        <v>823000000000</v>
      </c>
      <c r="N29" s="1508">
        <v>1035000000000</v>
      </c>
      <c r="O29" s="1508">
        <v>1073000000000</v>
      </c>
      <c r="P29" s="1508">
        <v>1513000000000</v>
      </c>
      <c r="Q29" s="1508">
        <v>1980000000000</v>
      </c>
      <c r="R29" s="1515">
        <v>3048000000000</v>
      </c>
      <c r="S29" s="1511">
        <v>3122000000000</v>
      </c>
      <c r="T29" s="1511">
        <v>2674000000000</v>
      </c>
      <c r="U29" s="1511">
        <v>3666000000000</v>
      </c>
      <c r="V29" s="1511">
        <v>4295000000000</v>
      </c>
      <c r="W29" s="1511">
        <v>4751000000000</v>
      </c>
      <c r="X29" s="1511">
        <v>5320000000000</v>
      </c>
      <c r="Y29" s="1511">
        <v>5854000000000</v>
      </c>
      <c r="Z29" s="1511">
        <v>6521000000000</v>
      </c>
    </row>
    <row r="30" spans="1:26">
      <c r="A30" s="1489"/>
      <c r="B30" s="1512" t="s">
        <v>3718</v>
      </c>
      <c r="C30" s="1507"/>
      <c r="D30" s="1508"/>
      <c r="E30" s="1508"/>
      <c r="F30" s="1508"/>
      <c r="G30" s="1508"/>
      <c r="H30" s="1508"/>
      <c r="I30" s="1508"/>
      <c r="J30" s="1508"/>
      <c r="K30" s="1508"/>
      <c r="L30" s="1508"/>
      <c r="M30" s="1508"/>
      <c r="N30" s="1508"/>
      <c r="O30" s="1508">
        <v>507000000000</v>
      </c>
      <c r="P30" s="1508">
        <v>764000000000</v>
      </c>
      <c r="Q30" s="1508" t="s">
        <v>1200</v>
      </c>
      <c r="R30" s="1515">
        <v>897000000000</v>
      </c>
      <c r="S30" s="1511">
        <v>747000000000</v>
      </c>
      <c r="T30" s="1511">
        <v>700000000000</v>
      </c>
      <c r="U30" s="1511">
        <v>1077000000000</v>
      </c>
      <c r="V30" s="1511">
        <v>1100000000000</v>
      </c>
      <c r="W30" s="1511">
        <v>1165000000000</v>
      </c>
      <c r="X30" s="1511">
        <v>1394000000000</v>
      </c>
      <c r="Y30" s="1511">
        <v>1810000000000</v>
      </c>
      <c r="Z30" s="1511">
        <v>1972000000000</v>
      </c>
    </row>
    <row r="31" spans="1:26">
      <c r="A31" s="1489"/>
      <c r="B31" s="1514" t="s">
        <v>3704</v>
      </c>
      <c r="C31" s="1507"/>
      <c r="D31" s="1508"/>
      <c r="E31" s="1508"/>
      <c r="F31" s="1508"/>
      <c r="G31" s="1508"/>
      <c r="H31" s="1508"/>
      <c r="I31" s="1508"/>
      <c r="J31" s="1508"/>
      <c r="K31" s="1508"/>
      <c r="L31" s="1508"/>
      <c r="M31" s="1508"/>
      <c r="N31" s="1508"/>
      <c r="O31" s="1508">
        <v>396000000000</v>
      </c>
      <c r="P31" s="1508">
        <v>504000000000</v>
      </c>
      <c r="Q31" s="1508" t="s">
        <v>1200</v>
      </c>
      <c r="R31" s="1515">
        <v>529000000000</v>
      </c>
      <c r="S31" s="1511">
        <v>487000000000</v>
      </c>
      <c r="T31" s="1511">
        <v>600000000000</v>
      </c>
      <c r="U31" s="1511">
        <v>625000000000</v>
      </c>
      <c r="V31" s="1511">
        <v>723000000000</v>
      </c>
      <c r="W31" s="1511">
        <v>760000000000</v>
      </c>
      <c r="X31" s="1511">
        <v>954000000000</v>
      </c>
      <c r="Y31" s="1511">
        <v>1338000000000</v>
      </c>
      <c r="Z31" s="1511">
        <v>1456000000000</v>
      </c>
    </row>
    <row r="32" spans="1:26">
      <c r="A32" s="1489"/>
      <c r="B32" s="1512" t="s">
        <v>3701</v>
      </c>
      <c r="C32" s="1507"/>
      <c r="D32" s="1508"/>
      <c r="E32" s="1508"/>
      <c r="F32" s="1508"/>
      <c r="G32" s="1508"/>
      <c r="H32" s="1508"/>
      <c r="I32" s="1508"/>
      <c r="J32" s="1508"/>
      <c r="K32" s="1508"/>
      <c r="L32" s="1508"/>
      <c r="M32" s="1508"/>
      <c r="N32" s="1508"/>
      <c r="O32" s="1508">
        <v>153000000000</v>
      </c>
      <c r="P32" s="1508">
        <v>239000000000</v>
      </c>
      <c r="Q32" s="1508" t="s">
        <v>1200</v>
      </c>
      <c r="R32" s="1515">
        <v>93000000000</v>
      </c>
      <c r="S32" s="1511">
        <v>74000000000</v>
      </c>
      <c r="T32" s="1511">
        <v>100000000000</v>
      </c>
      <c r="U32" s="1511">
        <v>63000000000</v>
      </c>
      <c r="V32" s="1511">
        <v>68000000000</v>
      </c>
      <c r="W32" s="1511">
        <v>63000000000</v>
      </c>
      <c r="X32" s="1511">
        <v>95000000000</v>
      </c>
      <c r="Y32" s="1511">
        <v>121000000000</v>
      </c>
      <c r="Z32" s="1511">
        <v>23000000000</v>
      </c>
    </row>
    <row r="33" spans="1:26">
      <c r="A33" s="1489"/>
      <c r="B33" s="1512" t="s">
        <v>3702</v>
      </c>
      <c r="C33" s="1507"/>
      <c r="D33" s="1508"/>
      <c r="E33" s="1508"/>
      <c r="F33" s="1508"/>
      <c r="G33" s="1508"/>
      <c r="H33" s="1508"/>
      <c r="I33" s="1508"/>
      <c r="J33" s="1508"/>
      <c r="K33" s="1508"/>
      <c r="L33" s="1508"/>
      <c r="M33" s="1508"/>
      <c r="N33" s="1508"/>
      <c r="O33" s="1508">
        <v>243000000000</v>
      </c>
      <c r="P33" s="1508">
        <v>265000000000</v>
      </c>
      <c r="Q33" s="1508" t="s">
        <v>1200</v>
      </c>
      <c r="R33" s="1515">
        <v>436000000000</v>
      </c>
      <c r="S33" s="1511">
        <v>413000000000</v>
      </c>
      <c r="T33" s="1511">
        <v>500000000000</v>
      </c>
      <c r="U33" s="1511">
        <v>562000000000</v>
      </c>
      <c r="V33" s="1511">
        <v>655000000000</v>
      </c>
      <c r="W33" s="1511">
        <v>697000000000</v>
      </c>
      <c r="X33" s="1511">
        <v>858000000000</v>
      </c>
      <c r="Y33" s="1511">
        <v>1218000000000</v>
      </c>
      <c r="Z33" s="1511">
        <v>1434000000000</v>
      </c>
    </row>
    <row r="34" spans="1:26">
      <c r="A34" s="1489"/>
      <c r="B34" s="1512" t="s">
        <v>3703</v>
      </c>
      <c r="C34" s="1507"/>
      <c r="D34" s="1508"/>
      <c r="E34" s="1508"/>
      <c r="F34" s="1508"/>
      <c r="G34" s="1508"/>
      <c r="H34" s="1508"/>
      <c r="I34" s="1508"/>
      <c r="J34" s="1508"/>
      <c r="K34" s="1508"/>
      <c r="L34" s="1508"/>
      <c r="M34" s="1508"/>
      <c r="N34" s="1508"/>
      <c r="O34" s="1508">
        <v>677000000000</v>
      </c>
      <c r="P34" s="1508">
        <v>1009000000000</v>
      </c>
      <c r="Q34" s="1508" t="s">
        <v>1200</v>
      </c>
      <c r="R34" s="1515">
        <v>2519000000000</v>
      </c>
      <c r="S34" s="1511">
        <v>2635000000000</v>
      </c>
      <c r="T34" s="1511">
        <v>2074000000000</v>
      </c>
      <c r="U34" s="1511">
        <v>3041000000000</v>
      </c>
      <c r="V34" s="1511">
        <v>3572000000000</v>
      </c>
      <c r="W34" s="1511">
        <v>3992000000000</v>
      </c>
      <c r="X34" s="1511">
        <v>4366000000000</v>
      </c>
      <c r="Y34" s="1511">
        <v>4516000000000</v>
      </c>
      <c r="Z34" s="1511">
        <v>5065000000000</v>
      </c>
    </row>
    <row r="35" spans="1:26" s="9" customFormat="1">
      <c r="A35" s="1522" t="s">
        <v>53</v>
      </c>
      <c r="B35" s="1522" t="s">
        <v>53</v>
      </c>
      <c r="C35" s="1523" t="s">
        <v>38</v>
      </c>
      <c r="D35" s="1502">
        <v>475000000000</v>
      </c>
      <c r="E35" s="1502">
        <v>476000000000</v>
      </c>
      <c r="F35" s="1502">
        <v>359000000000</v>
      </c>
      <c r="G35" s="1502">
        <v>453000000000</v>
      </c>
      <c r="H35" s="1502">
        <v>283000000000</v>
      </c>
      <c r="I35" s="1502">
        <v>499000000000</v>
      </c>
      <c r="J35" s="1502">
        <v>696000000000</v>
      </c>
      <c r="K35" s="1502">
        <v>674000000000</v>
      </c>
      <c r="L35" s="1502">
        <v>695000000000</v>
      </c>
      <c r="M35" s="1502">
        <v>1068000000000</v>
      </c>
      <c r="N35" s="1502">
        <v>1242000000000</v>
      </c>
      <c r="O35" s="1502">
        <v>3709000000000</v>
      </c>
      <c r="P35" s="1502">
        <v>4531000000000</v>
      </c>
      <c r="Q35" s="1502">
        <v>4549000000000</v>
      </c>
      <c r="R35" s="1503">
        <v>5006000000000</v>
      </c>
      <c r="S35" s="1504">
        <v>2704000000000</v>
      </c>
      <c r="T35" s="1504">
        <v>1748000000000</v>
      </c>
      <c r="U35" s="1504">
        <v>2478000000000</v>
      </c>
      <c r="V35" s="1504">
        <v>2752000000000</v>
      </c>
      <c r="W35" s="1504">
        <v>3027000000000</v>
      </c>
      <c r="X35" s="1504">
        <v>3330000000000</v>
      </c>
      <c r="Y35" s="1504">
        <v>3663000000000</v>
      </c>
      <c r="Z35" s="1504">
        <v>4029000000000</v>
      </c>
    </row>
    <row r="36" spans="1:26" s="9" customFormat="1">
      <c r="A36" s="1524" t="s">
        <v>71</v>
      </c>
      <c r="B36" s="1525" t="s">
        <v>535</v>
      </c>
      <c r="C36" s="1501" t="s">
        <v>35</v>
      </c>
      <c r="D36" s="1526">
        <f>D37+D44+D48+D51</f>
        <v>2833000000000</v>
      </c>
      <c r="E36" s="1502">
        <v>3274000000000</v>
      </c>
      <c r="F36" s="1526">
        <f>F37+F44+F48+F51</f>
        <v>3268000000000</v>
      </c>
      <c r="G36" s="1526">
        <f>G37+G44+G48+G51</f>
        <v>4017000000000</v>
      </c>
      <c r="H36" s="1502">
        <v>3857000000000</v>
      </c>
      <c r="I36" s="1502">
        <v>5203000000000</v>
      </c>
      <c r="J36" s="1526">
        <f>J37+J44+J48+J51</f>
        <v>6067000000000</v>
      </c>
      <c r="K36" s="1526">
        <f>K37+K44+K48+K51</f>
        <v>7112000000000</v>
      </c>
      <c r="L36" s="1502">
        <v>8284000000000</v>
      </c>
      <c r="M36" s="1502">
        <v>11375000000000</v>
      </c>
      <c r="N36" s="1502">
        <v>12302000000000</v>
      </c>
      <c r="O36" s="1502">
        <v>14973000000000</v>
      </c>
      <c r="P36" s="1502">
        <v>17316000000000</v>
      </c>
      <c r="Q36" s="1502">
        <v>23701000000000</v>
      </c>
      <c r="R36" s="1503">
        <v>26634000000000</v>
      </c>
      <c r="S36" s="1504">
        <v>27519000000000</v>
      </c>
      <c r="T36" s="1504">
        <v>26455000000000</v>
      </c>
      <c r="U36" s="1504">
        <f>U37+U44</f>
        <v>30372000000000</v>
      </c>
      <c r="V36" s="1504">
        <v>32409000000000</v>
      </c>
      <c r="W36" s="1504">
        <v>36167000000000</v>
      </c>
      <c r="X36" s="1504">
        <v>40170000000000</v>
      </c>
      <c r="Y36" s="1504">
        <v>44328000000000</v>
      </c>
      <c r="Z36" s="1504">
        <v>48790000000000</v>
      </c>
    </row>
    <row r="37" spans="1:26">
      <c r="A37" s="1514" t="s">
        <v>73</v>
      </c>
      <c r="B37" s="1506" t="s">
        <v>382</v>
      </c>
      <c r="C37" s="1507" t="s">
        <v>75</v>
      </c>
      <c r="D37" s="1508">
        <v>1050000000000</v>
      </c>
      <c r="E37" s="1508">
        <v>1123000000000</v>
      </c>
      <c r="F37" s="1508">
        <v>1280000000000</v>
      </c>
      <c r="G37" s="1508">
        <v>1527000000000</v>
      </c>
      <c r="H37" s="1508">
        <v>1838000000000</v>
      </c>
      <c r="I37" s="1508">
        <v>2517000000000</v>
      </c>
      <c r="J37" s="1508">
        <v>3124000000000</v>
      </c>
      <c r="K37" s="1508">
        <v>3445000000000</v>
      </c>
      <c r="L37" s="1508">
        <v>5141000000000</v>
      </c>
      <c r="M37" s="1508">
        <v>6070000000000</v>
      </c>
      <c r="N37" s="1508">
        <v>6656000000000</v>
      </c>
      <c r="O37" s="1508">
        <v>6995000000000</v>
      </c>
      <c r="P37" s="1508">
        <v>8466000000000</v>
      </c>
      <c r="Q37" s="1508">
        <v>13852000000000</v>
      </c>
      <c r="R37" s="1515">
        <v>15387000000000</v>
      </c>
      <c r="S37" s="1511">
        <v>17533000000000</v>
      </c>
      <c r="T37" s="1511">
        <v>18637000000000</v>
      </c>
      <c r="U37" s="1511">
        <v>18894000000000</v>
      </c>
      <c r="V37" s="1511">
        <v>20057000000000</v>
      </c>
      <c r="W37" s="1511">
        <v>22579000000000</v>
      </c>
      <c r="X37" s="1511">
        <v>25054000000000</v>
      </c>
      <c r="Y37" s="1511">
        <v>27665000000000</v>
      </c>
      <c r="Z37" s="1511">
        <v>30481000000000</v>
      </c>
    </row>
    <row r="38" spans="1:26">
      <c r="A38" s="1505" t="s">
        <v>2626</v>
      </c>
      <c r="B38" s="1512" t="s">
        <v>3719</v>
      </c>
      <c r="C38" s="1507" t="s">
        <v>81</v>
      </c>
      <c r="D38" s="1508">
        <v>335000000000</v>
      </c>
      <c r="E38" s="1508">
        <v>410000000000</v>
      </c>
      <c r="F38" s="1508">
        <v>547000000000</v>
      </c>
      <c r="G38" s="1508">
        <v>668000000000</v>
      </c>
      <c r="H38" s="1508">
        <v>900000000000</v>
      </c>
      <c r="I38" s="1508">
        <v>1058000000000</v>
      </c>
      <c r="J38" s="1508">
        <v>1263000000000</v>
      </c>
      <c r="K38" s="1508">
        <v>1534000000000</v>
      </c>
      <c r="L38" s="1508">
        <v>2082000000000</v>
      </c>
      <c r="M38" s="1508">
        <v>2772000000000</v>
      </c>
      <c r="N38" s="1508">
        <v>2525000000000</v>
      </c>
      <c r="O38" s="1508">
        <v>2940000000000</v>
      </c>
      <c r="P38" s="1508">
        <v>3560000000000</v>
      </c>
      <c r="Q38" s="1508">
        <v>8881000000000</v>
      </c>
      <c r="R38" s="1515">
        <v>8714000000000</v>
      </c>
      <c r="S38" s="1511">
        <v>8895000000000</v>
      </c>
      <c r="T38" s="1511">
        <v>9194000000000</v>
      </c>
      <c r="U38" s="1511">
        <v>10509000000000</v>
      </c>
      <c r="V38" s="1511">
        <v>10500000000000</v>
      </c>
      <c r="W38" s="1511">
        <v>10973000000000</v>
      </c>
      <c r="X38" s="1511">
        <v>12145000000000</v>
      </c>
      <c r="Y38" s="1511">
        <v>13403000000000</v>
      </c>
      <c r="Z38" s="1511">
        <v>14709000000000</v>
      </c>
    </row>
    <row r="39" spans="1:26">
      <c r="A39" s="1505" t="s">
        <v>895</v>
      </c>
      <c r="B39" s="1512" t="s">
        <v>389</v>
      </c>
      <c r="C39" s="1507" t="s">
        <v>81</v>
      </c>
      <c r="D39" s="1508">
        <v>130000000000</v>
      </c>
      <c r="E39" s="1508">
        <v>243000000000</v>
      </c>
      <c r="F39" s="1508">
        <v>265000000000</v>
      </c>
      <c r="G39" s="1508">
        <v>341000000000</v>
      </c>
      <c r="H39" s="1508">
        <v>309000000000</v>
      </c>
      <c r="I39" s="1508">
        <v>514000000000</v>
      </c>
      <c r="J39" s="1508">
        <v>674000000000</v>
      </c>
      <c r="K39" s="1508">
        <v>806000000000</v>
      </c>
      <c r="L39" s="1508">
        <v>1095000000000</v>
      </c>
      <c r="M39" s="1508">
        <v>1369000000000</v>
      </c>
      <c r="N39" s="1508">
        <v>1698000000000</v>
      </c>
      <c r="O39" s="1508">
        <v>1866000000000</v>
      </c>
      <c r="P39" s="1508">
        <v>2015000000000</v>
      </c>
      <c r="Q39" s="1508">
        <v>2143000000000</v>
      </c>
      <c r="R39" s="1515">
        <v>2513000000000</v>
      </c>
      <c r="S39" s="1511">
        <v>2760000000000</v>
      </c>
      <c r="T39" s="1511">
        <v>2837000000000</v>
      </c>
      <c r="U39" s="1511">
        <v>3280000000000</v>
      </c>
      <c r="V39" s="1511">
        <v>3400000000000</v>
      </c>
      <c r="W39" s="1511">
        <v>3695000000000</v>
      </c>
      <c r="X39" s="1511">
        <v>4101000000000</v>
      </c>
      <c r="Y39" s="1511">
        <v>4511000000000</v>
      </c>
      <c r="Z39" s="1511">
        <v>5007000000000</v>
      </c>
    </row>
    <row r="40" spans="1:26">
      <c r="A40" s="1505" t="s">
        <v>90</v>
      </c>
      <c r="B40" s="1512" t="s">
        <v>3720</v>
      </c>
      <c r="C40" s="1507" t="s">
        <v>81</v>
      </c>
      <c r="D40" s="1508">
        <v>103000000000</v>
      </c>
      <c r="E40" s="1508">
        <v>134000000000</v>
      </c>
      <c r="F40" s="1508">
        <v>138000000000</v>
      </c>
      <c r="G40" s="1508">
        <v>123000000000</v>
      </c>
      <c r="H40" s="1508">
        <v>235000000000</v>
      </c>
      <c r="I40" s="1508">
        <v>318000000000</v>
      </c>
      <c r="J40" s="1508">
        <v>277000000000</v>
      </c>
      <c r="K40" s="1508">
        <v>277000000000</v>
      </c>
      <c r="L40" s="1508">
        <v>361000000000</v>
      </c>
      <c r="M40" s="1508">
        <v>264000000000</v>
      </c>
      <c r="N40" s="1508">
        <v>398000000000</v>
      </c>
      <c r="O40" s="1508">
        <v>431000000000</v>
      </c>
      <c r="P40" s="1508">
        <v>591000000000</v>
      </c>
      <c r="Q40" s="1508">
        <v>1005000000000</v>
      </c>
      <c r="R40" s="1515">
        <v>1064000000000</v>
      </c>
      <c r="S40" s="1511">
        <v>1322000000000</v>
      </c>
      <c r="T40" s="1511">
        <v>1585000000000</v>
      </c>
      <c r="U40" s="1511">
        <v>1661000000000</v>
      </c>
      <c r="V40" s="1511">
        <v>2370000000000</v>
      </c>
      <c r="W40" s="1511">
        <v>2708000000000</v>
      </c>
      <c r="X40" s="1511">
        <v>3060000000000</v>
      </c>
      <c r="Y40" s="1511">
        <v>3420000000000</v>
      </c>
      <c r="Z40" s="1511">
        <v>3796000000000</v>
      </c>
    </row>
    <row r="41" spans="1:26">
      <c r="A41" s="1520" t="s">
        <v>3721</v>
      </c>
      <c r="B41" s="1520" t="s">
        <v>3721</v>
      </c>
      <c r="C41" s="1507" t="s">
        <v>211</v>
      </c>
      <c r="D41" s="1508">
        <v>86000000000</v>
      </c>
      <c r="E41" s="1508">
        <v>117000000000</v>
      </c>
      <c r="F41" s="1508">
        <v>108000000000</v>
      </c>
      <c r="G41" s="1508">
        <v>115000000000</v>
      </c>
      <c r="H41" s="1508">
        <v>194000000000</v>
      </c>
      <c r="I41" s="1508">
        <v>267000000000</v>
      </c>
      <c r="J41" s="1508">
        <v>244000000000</v>
      </c>
      <c r="K41" s="1508">
        <v>244000000000</v>
      </c>
      <c r="L41" s="1508">
        <v>291000000000</v>
      </c>
      <c r="M41" s="1508">
        <v>205000000000</v>
      </c>
      <c r="N41" s="1508">
        <v>318000000000</v>
      </c>
      <c r="O41" s="1508">
        <v>373000000000</v>
      </c>
      <c r="P41" s="1508">
        <v>473000000000</v>
      </c>
      <c r="Q41" s="1508">
        <v>467000000000</v>
      </c>
      <c r="R41" s="1515">
        <v>713000000000</v>
      </c>
      <c r="S41" s="1511">
        <v>1088000000000</v>
      </c>
      <c r="T41" s="1511">
        <v>1238000000000</v>
      </c>
      <c r="U41" s="1511">
        <v>1344000000000</v>
      </c>
      <c r="V41" s="1511">
        <v>1840000000000</v>
      </c>
      <c r="W41" s="1511">
        <v>1921000000000</v>
      </c>
      <c r="X41" s="1511">
        <v>2116000000000</v>
      </c>
      <c r="Y41" s="1511">
        <v>2288000000000</v>
      </c>
      <c r="Z41" s="1511">
        <v>2437000000000</v>
      </c>
    </row>
    <row r="42" spans="1:26">
      <c r="A42" s="1520" t="s">
        <v>209</v>
      </c>
      <c r="B42" s="1520" t="s">
        <v>209</v>
      </c>
      <c r="C42" s="1507" t="s">
        <v>211</v>
      </c>
      <c r="D42" s="1508">
        <f>D40-D41</f>
        <v>17000000000</v>
      </c>
      <c r="E42" s="1508">
        <f t="shared" ref="E42:Q42" si="2">E40-E41</f>
        <v>17000000000</v>
      </c>
      <c r="F42" s="1508">
        <f t="shared" si="2"/>
        <v>30000000000</v>
      </c>
      <c r="G42" s="1508">
        <f t="shared" si="2"/>
        <v>8000000000</v>
      </c>
      <c r="H42" s="1508">
        <f t="shared" si="2"/>
        <v>41000000000</v>
      </c>
      <c r="I42" s="1508">
        <f t="shared" si="2"/>
        <v>51000000000</v>
      </c>
      <c r="J42" s="1508">
        <f t="shared" si="2"/>
        <v>33000000000</v>
      </c>
      <c r="K42" s="1508">
        <f t="shared" si="2"/>
        <v>33000000000</v>
      </c>
      <c r="L42" s="1508">
        <f t="shared" si="2"/>
        <v>70000000000</v>
      </c>
      <c r="M42" s="1508">
        <f t="shared" si="2"/>
        <v>59000000000</v>
      </c>
      <c r="N42" s="1508">
        <f t="shared" si="2"/>
        <v>80000000000</v>
      </c>
      <c r="O42" s="1508">
        <f t="shared" si="2"/>
        <v>58000000000</v>
      </c>
      <c r="P42" s="1508">
        <f t="shared" si="2"/>
        <v>118000000000</v>
      </c>
      <c r="Q42" s="1508">
        <f t="shared" si="2"/>
        <v>538000000000</v>
      </c>
      <c r="R42" s="1515">
        <f>R40-R41</f>
        <v>351000000000</v>
      </c>
      <c r="S42" s="1515">
        <f t="shared" ref="S42:Z42" si="3">S40-S41</f>
        <v>234000000000</v>
      </c>
      <c r="T42" s="1511">
        <f t="shared" si="3"/>
        <v>347000000000</v>
      </c>
      <c r="U42" s="1511">
        <f t="shared" si="3"/>
        <v>317000000000</v>
      </c>
      <c r="V42" s="1511">
        <f t="shared" si="3"/>
        <v>530000000000</v>
      </c>
      <c r="W42" s="1511">
        <f t="shared" si="3"/>
        <v>787000000000</v>
      </c>
      <c r="X42" s="1511">
        <f t="shared" si="3"/>
        <v>944000000000</v>
      </c>
      <c r="Y42" s="1511">
        <f t="shared" si="3"/>
        <v>1132000000000</v>
      </c>
      <c r="Z42" s="1511">
        <f t="shared" si="3"/>
        <v>1359000000000</v>
      </c>
    </row>
    <row r="43" spans="1:26">
      <c r="A43" s="1505" t="s">
        <v>391</v>
      </c>
      <c r="B43" s="1512" t="s">
        <v>3722</v>
      </c>
      <c r="C43" s="1507" t="s">
        <v>81</v>
      </c>
      <c r="D43" s="1526">
        <f>D37-D38-D39-D40</f>
        <v>482000000000</v>
      </c>
      <c r="E43" s="1508">
        <v>336000000000</v>
      </c>
      <c r="F43" s="1508">
        <v>330000000000</v>
      </c>
      <c r="G43" s="1508">
        <v>394000000000</v>
      </c>
      <c r="H43" s="1508">
        <v>394000000000</v>
      </c>
      <c r="I43" s="1508">
        <v>626000000000</v>
      </c>
      <c r="J43" s="1508">
        <v>911000000000</v>
      </c>
      <c r="K43" s="1508">
        <v>828000000000</v>
      </c>
      <c r="L43" s="1508">
        <v>1602000000000</v>
      </c>
      <c r="M43" s="1508">
        <v>1666000000000</v>
      </c>
      <c r="N43" s="1508">
        <v>2033999999999.9998</v>
      </c>
      <c r="O43" s="1508">
        <v>1758000000000</v>
      </c>
      <c r="P43" s="1508">
        <v>2300000000000</v>
      </c>
      <c r="Q43" s="1508">
        <v>1823000000000</v>
      </c>
      <c r="R43" s="1515">
        <v>3096000000000</v>
      </c>
      <c r="S43" s="1511">
        <v>4557000000000</v>
      </c>
      <c r="T43" s="1511">
        <v>5021000000000</v>
      </c>
      <c r="U43" s="1511">
        <v>3444000000000</v>
      </c>
      <c r="V43" s="1511">
        <v>3787000000000</v>
      </c>
      <c r="W43" s="1511">
        <f>W37-W38-W39-W40</f>
        <v>5203000000000</v>
      </c>
      <c r="X43" s="1511">
        <v>5747000000000</v>
      </c>
      <c r="Y43" s="1511">
        <v>6331000000000</v>
      </c>
      <c r="Z43" s="1511">
        <v>6969000000000</v>
      </c>
    </row>
    <row r="44" spans="1:26">
      <c r="A44" s="1514" t="s">
        <v>237</v>
      </c>
      <c r="B44" s="1506" t="s">
        <v>3723</v>
      </c>
      <c r="C44" s="1507" t="s">
        <v>75</v>
      </c>
      <c r="D44" s="1526">
        <f>D45+D47</f>
        <v>1783000000000</v>
      </c>
      <c r="E44" s="1508">
        <v>2045000000000</v>
      </c>
      <c r="F44" s="1508">
        <v>1785000000000</v>
      </c>
      <c r="G44" s="1508">
        <v>2370000000000</v>
      </c>
      <c r="H44" s="1508">
        <v>1646000000000</v>
      </c>
      <c r="I44" s="1508">
        <v>2261000000000</v>
      </c>
      <c r="J44" s="1526">
        <f>J45+J47</f>
        <v>2595000000000</v>
      </c>
      <c r="K44" s="1526">
        <f>K45+K47</f>
        <v>3081000000000</v>
      </c>
      <c r="L44" s="1508">
        <v>3142000000000</v>
      </c>
      <c r="M44" s="1508">
        <v>5305000000000</v>
      </c>
      <c r="N44" s="1508">
        <v>5646000000000</v>
      </c>
      <c r="O44" s="1508">
        <v>7977000000000</v>
      </c>
      <c r="P44" s="1508">
        <v>8850000000000</v>
      </c>
      <c r="Q44" s="1508">
        <v>9849000000000</v>
      </c>
      <c r="R44" s="1515">
        <v>11248000000000</v>
      </c>
      <c r="S44" s="1511">
        <v>9986000000000</v>
      </c>
      <c r="T44" s="1511">
        <v>7818000000000</v>
      </c>
      <c r="U44" s="2609">
        <f>U45+U47</f>
        <v>11478000000000</v>
      </c>
      <c r="V44" s="1511">
        <v>12352000000000</v>
      </c>
      <c r="W44" s="1511">
        <v>13587000000000</v>
      </c>
      <c r="X44" s="1511">
        <v>15116000000000</v>
      </c>
      <c r="Y44" s="1511">
        <v>16663000000000</v>
      </c>
      <c r="Z44" s="1511">
        <v>18309000000000</v>
      </c>
    </row>
    <row r="45" spans="1:26">
      <c r="A45" s="1505" t="s">
        <v>239</v>
      </c>
      <c r="B45" s="1512" t="s">
        <v>3724</v>
      </c>
      <c r="C45" s="1507" t="s">
        <v>95</v>
      </c>
      <c r="D45" s="1508">
        <v>481000000000</v>
      </c>
      <c r="E45" s="1513"/>
      <c r="F45" s="1513"/>
      <c r="G45" s="1513"/>
      <c r="H45" s="1513"/>
      <c r="I45" s="1513"/>
      <c r="J45" s="1508">
        <v>403000000000</v>
      </c>
      <c r="K45" s="1508">
        <v>833000000000</v>
      </c>
      <c r="L45" s="1508">
        <v>957000000000</v>
      </c>
      <c r="M45" s="1508">
        <v>3220000000000</v>
      </c>
      <c r="N45" s="1508">
        <v>3271000000000</v>
      </c>
      <c r="O45" s="1508"/>
      <c r="P45" s="1508"/>
      <c r="Q45" s="1508"/>
      <c r="R45" s="1515">
        <v>3897000000000</v>
      </c>
      <c r="S45" s="1511">
        <v>3343000000000</v>
      </c>
      <c r="T45" s="1511">
        <v>2947000000000</v>
      </c>
      <c r="U45" s="1511">
        <v>4000000000000</v>
      </c>
      <c r="V45" s="1511">
        <v>4600000000000</v>
      </c>
      <c r="W45" s="1511">
        <v>5160000000000</v>
      </c>
      <c r="X45" s="1511">
        <v>5954000000000</v>
      </c>
      <c r="Y45" s="1511">
        <v>6701000000000</v>
      </c>
      <c r="Z45" s="1511">
        <v>7478000000000</v>
      </c>
    </row>
    <row r="46" spans="1:26">
      <c r="A46" s="1494" t="s">
        <v>76</v>
      </c>
      <c r="B46" s="1520" t="s">
        <v>3725</v>
      </c>
      <c r="D46" s="1513"/>
      <c r="E46" s="1513"/>
      <c r="F46" s="1513"/>
      <c r="G46" s="1513"/>
      <c r="H46" s="1513"/>
      <c r="I46" s="1513"/>
      <c r="J46" s="1508"/>
      <c r="K46" s="1508"/>
      <c r="L46" s="1508">
        <v>255000000000</v>
      </c>
      <c r="M46" s="1508">
        <v>1933000000000</v>
      </c>
      <c r="N46" s="1508">
        <v>1823000000000</v>
      </c>
      <c r="O46" s="1508"/>
      <c r="P46" s="1508"/>
      <c r="Q46" s="1508"/>
      <c r="R46" s="1515"/>
      <c r="S46" s="1511"/>
      <c r="T46" s="1511"/>
      <c r="U46" s="1511"/>
      <c r="V46" s="1511"/>
      <c r="W46" s="1511"/>
      <c r="X46" s="1511"/>
      <c r="Y46" s="1511"/>
      <c r="Z46" s="1511"/>
    </row>
    <row r="47" spans="1:26">
      <c r="A47" s="1505" t="s">
        <v>395</v>
      </c>
      <c r="B47" s="1512" t="s">
        <v>2769</v>
      </c>
      <c r="C47" s="1507" t="s">
        <v>95</v>
      </c>
      <c r="D47" s="1508">
        <v>1302000000000</v>
      </c>
      <c r="E47" s="1513"/>
      <c r="F47" s="1513"/>
      <c r="G47" s="1513"/>
      <c r="H47" s="1513"/>
      <c r="I47" s="1513"/>
      <c r="J47" s="1508">
        <v>2192000000000</v>
      </c>
      <c r="K47" s="1508">
        <v>2248000000000</v>
      </c>
      <c r="L47" s="1508">
        <v>2185000000000</v>
      </c>
      <c r="M47" s="1508">
        <v>2085000000000</v>
      </c>
      <c r="N47" s="1508">
        <v>2376000000000</v>
      </c>
      <c r="O47" s="1508"/>
      <c r="P47" s="1508"/>
      <c r="Q47" s="1508"/>
      <c r="R47" s="1515">
        <v>7350000000000</v>
      </c>
      <c r="S47" s="1511">
        <v>6642000000000</v>
      </c>
      <c r="T47" s="1511">
        <v>4871000000000</v>
      </c>
      <c r="U47" s="1511">
        <v>7478000000000</v>
      </c>
      <c r="V47" s="1511">
        <v>7752000000000</v>
      </c>
      <c r="W47" s="1511">
        <v>8427000000000</v>
      </c>
      <c r="X47" s="1511">
        <v>9162000000000</v>
      </c>
      <c r="Y47" s="1511">
        <v>9961000000000</v>
      </c>
      <c r="Z47" s="1511">
        <v>10832000000000</v>
      </c>
    </row>
    <row r="48" spans="1:26">
      <c r="A48" s="1505" t="s">
        <v>398</v>
      </c>
      <c r="B48" s="1506" t="s">
        <v>3726</v>
      </c>
      <c r="C48" s="1507" t="s">
        <v>75</v>
      </c>
      <c r="D48" s="1513"/>
      <c r="E48" s="1508">
        <v>107000000000</v>
      </c>
      <c r="F48" s="1508">
        <v>203000000000</v>
      </c>
      <c r="G48" s="1508">
        <v>120000000000</v>
      </c>
      <c r="H48" s="1508">
        <v>237000000000</v>
      </c>
      <c r="I48" s="1508">
        <v>347000000000</v>
      </c>
      <c r="J48" s="1508">
        <v>348000000000</v>
      </c>
      <c r="K48" s="1508">
        <v>586000000000</v>
      </c>
      <c r="L48" s="1508"/>
      <c r="M48" s="1508"/>
      <c r="N48" s="1508"/>
      <c r="O48" s="1508"/>
      <c r="P48" s="1508"/>
      <c r="Q48" s="1508"/>
      <c r="R48" s="1515"/>
      <c r="S48" s="1511"/>
      <c r="T48" s="1511"/>
      <c r="U48" s="1511"/>
      <c r="V48" s="1511"/>
      <c r="W48" s="1511"/>
      <c r="X48" s="1511"/>
      <c r="Y48" s="1511"/>
      <c r="Z48" s="1511"/>
    </row>
    <row r="49" spans="1:26">
      <c r="A49" s="1494" t="s">
        <v>76</v>
      </c>
      <c r="B49" s="1506" t="s">
        <v>3727</v>
      </c>
      <c r="D49" s="1513"/>
      <c r="E49" s="1513"/>
      <c r="F49" s="1513"/>
      <c r="G49" s="1513"/>
      <c r="H49" s="1513"/>
      <c r="I49" s="1513"/>
      <c r="J49" s="1513">
        <v>0</v>
      </c>
      <c r="K49" s="1513">
        <v>0</v>
      </c>
      <c r="L49" s="1508">
        <v>-1150000000000</v>
      </c>
      <c r="M49" s="1508">
        <v>-3276000000000</v>
      </c>
      <c r="N49" s="1508">
        <v>-2524000000000</v>
      </c>
      <c r="O49" s="1508">
        <v>-1081000000000</v>
      </c>
      <c r="P49" s="1508">
        <v>-357000000000</v>
      </c>
      <c r="Q49" s="1508">
        <v>-4514000000000</v>
      </c>
      <c r="R49" s="1515">
        <v>-3080000000000</v>
      </c>
      <c r="S49" s="1511">
        <v>-5551000000000</v>
      </c>
      <c r="T49" s="1511">
        <v>-5965000000000</v>
      </c>
      <c r="U49" s="1511">
        <v>-6757000000000</v>
      </c>
      <c r="V49" s="1511">
        <v>-6504000000000</v>
      </c>
      <c r="W49" s="1511">
        <v>-6839000000000</v>
      </c>
      <c r="X49" s="1511">
        <v>-7783000000000</v>
      </c>
      <c r="Y49" s="1511">
        <v>-9350000000000</v>
      </c>
      <c r="Z49" s="1511">
        <v>-10990000000000</v>
      </c>
    </row>
    <row r="50" spans="1:26">
      <c r="A50" s="1494" t="s">
        <v>76</v>
      </c>
      <c r="B50" s="1506" t="s">
        <v>3726</v>
      </c>
      <c r="C50" s="1507"/>
      <c r="D50" s="1513"/>
      <c r="E50" s="1508">
        <v>107000000000</v>
      </c>
      <c r="F50" s="1508">
        <v>203000000000</v>
      </c>
      <c r="G50" s="1508">
        <v>120000000000</v>
      </c>
      <c r="H50" s="1508">
        <v>237000000000</v>
      </c>
      <c r="I50" s="1508">
        <v>347000000000</v>
      </c>
      <c r="J50" s="1508"/>
      <c r="K50" s="1508"/>
      <c r="L50" s="1508"/>
      <c r="M50" s="1508"/>
      <c r="N50" s="1508"/>
      <c r="O50" s="1508"/>
      <c r="P50" s="1508"/>
      <c r="Q50" s="1508"/>
      <c r="R50" s="1515"/>
      <c r="S50" s="1511"/>
      <c r="T50" s="1511"/>
      <c r="U50" s="1511"/>
      <c r="V50" s="1511"/>
      <c r="W50" s="1511"/>
      <c r="X50" s="1511"/>
      <c r="Y50" s="1511"/>
      <c r="Z50" s="1511"/>
    </row>
    <row r="51" spans="1:26">
      <c r="A51" s="1494" t="s">
        <v>3728</v>
      </c>
      <c r="B51" s="1506" t="s">
        <v>3729</v>
      </c>
      <c r="C51" s="1507" t="s">
        <v>75</v>
      </c>
      <c r="D51" s="1513"/>
      <c r="E51" s="1508"/>
      <c r="F51" s="1508"/>
      <c r="G51" s="1508"/>
      <c r="H51" s="1508">
        <v>136000000000</v>
      </c>
      <c r="I51" s="1508">
        <v>78000000000</v>
      </c>
      <c r="J51" s="1508"/>
      <c r="K51" s="1508"/>
      <c r="L51" s="1508"/>
      <c r="M51" s="1508"/>
      <c r="N51" s="1508"/>
      <c r="O51" s="1508"/>
      <c r="P51" s="1508"/>
      <c r="Q51" s="1508"/>
      <c r="R51" s="1515"/>
      <c r="S51" s="1511"/>
      <c r="T51" s="1511"/>
      <c r="U51" s="1511"/>
      <c r="V51" s="1511"/>
      <c r="W51" s="1511"/>
      <c r="X51" s="1511"/>
      <c r="Y51" s="1511"/>
      <c r="Z51" s="1511"/>
    </row>
    <row r="52" spans="1:26">
      <c r="A52" s="1494" t="s">
        <v>76</v>
      </c>
      <c r="B52" s="1506" t="s">
        <v>3730</v>
      </c>
      <c r="D52" s="1508">
        <v>-588000000000</v>
      </c>
      <c r="E52" s="1508">
        <v>-798000000000</v>
      </c>
      <c r="F52" s="1508">
        <v>-492000000000</v>
      </c>
      <c r="G52" s="1508">
        <v>-1205000000000</v>
      </c>
      <c r="H52" s="1508">
        <v>-753000000000</v>
      </c>
      <c r="I52" s="1508">
        <v>-1317000000000</v>
      </c>
      <c r="J52" s="1508">
        <v>-976000000000</v>
      </c>
      <c r="K52" s="1508">
        <v>-1058000000000</v>
      </c>
      <c r="L52" s="1508"/>
      <c r="M52" s="1508"/>
      <c r="N52" s="1508"/>
      <c r="O52" s="1508"/>
      <c r="P52" s="1508"/>
      <c r="Q52" s="1508"/>
      <c r="R52" s="1515"/>
      <c r="S52" s="1511"/>
      <c r="T52" s="1511"/>
      <c r="U52" s="1511"/>
      <c r="V52" s="1511"/>
      <c r="W52" s="1511"/>
      <c r="X52" s="1511"/>
      <c r="Y52" s="1511"/>
      <c r="Z52" s="1511"/>
    </row>
    <row r="53" spans="1:26">
      <c r="A53" s="1494" t="s">
        <v>76</v>
      </c>
      <c r="B53" s="1506" t="s">
        <v>3731</v>
      </c>
      <c r="D53" s="1508">
        <v>-1063000000000</v>
      </c>
      <c r="E53" s="1513"/>
      <c r="F53" s="1513"/>
      <c r="G53" s="1513"/>
      <c r="H53" s="1513"/>
      <c r="I53" s="1513"/>
      <c r="J53" s="1508"/>
      <c r="K53" s="1508"/>
      <c r="L53" s="1508"/>
      <c r="M53" s="1508"/>
      <c r="N53" s="1508"/>
      <c r="O53" s="1508"/>
      <c r="P53" s="1508"/>
      <c r="Q53" s="1508"/>
      <c r="R53" s="1515"/>
      <c r="S53" s="1511"/>
      <c r="T53" s="1511"/>
      <c r="U53" s="1511"/>
      <c r="V53" s="1511"/>
      <c r="W53" s="1511"/>
      <c r="X53" s="1511"/>
      <c r="Y53" s="1511"/>
      <c r="Z53" s="1511"/>
    </row>
    <row r="54" spans="1:26">
      <c r="A54" s="1494" t="s">
        <v>76</v>
      </c>
      <c r="B54" s="1506" t="s">
        <v>3732</v>
      </c>
      <c r="D54" s="1513"/>
      <c r="E54" s="1508">
        <v>-873000000000</v>
      </c>
      <c r="F54" s="1508">
        <v>-555000000000</v>
      </c>
      <c r="G54" s="1508">
        <v>-1273000000000</v>
      </c>
      <c r="H54" s="1508">
        <v>-817000000000</v>
      </c>
      <c r="I54" s="1508">
        <v>-1555000000000</v>
      </c>
      <c r="J54" s="1508">
        <v>-1655000000000</v>
      </c>
      <c r="K54" s="1508">
        <v>-2107000000000</v>
      </c>
      <c r="L54" s="1508"/>
      <c r="M54" s="1508"/>
      <c r="N54" s="1508"/>
      <c r="O54" s="1508"/>
      <c r="P54" s="1508"/>
      <c r="Q54" s="1508"/>
      <c r="R54" s="1515"/>
      <c r="S54" s="1511"/>
      <c r="T54" s="1511"/>
      <c r="U54" s="1511"/>
      <c r="V54" s="1511"/>
      <c r="W54" s="1511"/>
      <c r="X54" s="1511"/>
      <c r="Y54" s="1511"/>
      <c r="Z54" s="1511"/>
    </row>
    <row r="55" spans="1:26">
      <c r="A55" s="1494" t="s">
        <v>76</v>
      </c>
      <c r="B55" s="1506" t="s">
        <v>3733</v>
      </c>
      <c r="D55" s="1513"/>
      <c r="E55" s="1513"/>
      <c r="F55" s="1513"/>
      <c r="G55" s="1513"/>
      <c r="H55" s="1513"/>
      <c r="I55" s="1513"/>
      <c r="J55" s="1508">
        <v>-699000000000</v>
      </c>
      <c r="K55" s="1508">
        <v>-782000000000</v>
      </c>
      <c r="L55" s="1508"/>
      <c r="M55" s="1508"/>
      <c r="N55" s="1508"/>
      <c r="O55" s="1508"/>
      <c r="P55" s="1508"/>
      <c r="Q55" s="1508"/>
      <c r="R55" s="1515"/>
      <c r="S55" s="1511"/>
      <c r="T55" s="1511"/>
      <c r="U55" s="1511"/>
      <c r="V55" s="1511"/>
      <c r="W55" s="1511"/>
      <c r="X55" s="1511"/>
      <c r="Y55" s="1511"/>
      <c r="Z55" s="1511"/>
    </row>
    <row r="56" spans="1:26" s="9" customFormat="1">
      <c r="A56" s="1525" t="s">
        <v>115</v>
      </c>
      <c r="B56" s="1525" t="s">
        <v>115</v>
      </c>
      <c r="C56" s="1501" t="s">
        <v>35</v>
      </c>
      <c r="D56" s="1502">
        <v>588000000000</v>
      </c>
      <c r="E56" s="1502">
        <v>798000000000</v>
      </c>
      <c r="F56" s="1502">
        <v>492000000000</v>
      </c>
      <c r="G56" s="1502">
        <v>1205000000000</v>
      </c>
      <c r="H56" s="1502">
        <v>753000000000</v>
      </c>
      <c r="I56" s="1502">
        <v>1317000000000</v>
      </c>
      <c r="J56" s="1527">
        <v>976000000000</v>
      </c>
      <c r="K56" s="1527">
        <v>1058000000000</v>
      </c>
      <c r="L56" s="1502">
        <f t="shared" ref="L56:Z56" si="4">L57+L67</f>
        <v>1149000000000</v>
      </c>
      <c r="M56" s="1502">
        <f t="shared" si="4"/>
        <v>3333000000000</v>
      </c>
      <c r="N56" s="1502">
        <f t="shared" si="4"/>
        <v>2618000000000</v>
      </c>
      <c r="O56" s="1502">
        <f t="shared" si="4"/>
        <v>1971000000000</v>
      </c>
      <c r="P56" s="1502">
        <f t="shared" si="4"/>
        <v>2984000000000</v>
      </c>
      <c r="Q56" s="1502">
        <f t="shared" si="4"/>
        <v>3798000000000</v>
      </c>
      <c r="R56" s="1502">
        <f>R57+R67</f>
        <v>5670000000000</v>
      </c>
      <c r="S56" s="1502">
        <f>S58+S69</f>
        <v>7986000000000</v>
      </c>
      <c r="T56" s="1502">
        <f t="shared" si="4"/>
        <v>8266000000000</v>
      </c>
      <c r="U56" s="1502">
        <f t="shared" si="4"/>
        <v>6757000000000</v>
      </c>
      <c r="V56" s="1502">
        <f t="shared" si="4"/>
        <v>6504000000000</v>
      </c>
      <c r="W56" s="1502">
        <f t="shared" si="4"/>
        <v>6839000000000</v>
      </c>
      <c r="X56" s="1502">
        <f t="shared" si="4"/>
        <v>7783000000000</v>
      </c>
      <c r="Y56" s="1502">
        <f t="shared" si="4"/>
        <v>9350000000000</v>
      </c>
      <c r="Z56" s="1502">
        <f t="shared" si="4"/>
        <v>10990000000000</v>
      </c>
    </row>
    <row r="57" spans="1:26">
      <c r="B57" s="1506" t="s">
        <v>3734</v>
      </c>
      <c r="D57" s="1513"/>
      <c r="E57" s="1513"/>
      <c r="F57" s="1513"/>
      <c r="G57" s="1513"/>
      <c r="H57" s="1513"/>
      <c r="I57" s="1513"/>
      <c r="J57" s="1508"/>
      <c r="K57" s="1508"/>
      <c r="L57" s="1508">
        <v>-510000000000</v>
      </c>
      <c r="M57" s="1508">
        <v>174000000000</v>
      </c>
      <c r="N57" s="1508">
        <v>59000000000</v>
      </c>
      <c r="O57" s="1508">
        <v>-408000000000</v>
      </c>
      <c r="P57" s="1508">
        <v>565000000000</v>
      </c>
      <c r="Q57" s="1508">
        <v>1566000000000</v>
      </c>
      <c r="R57" s="2610">
        <f>R59+R66</f>
        <v>-260000000000</v>
      </c>
      <c r="S57" s="2610">
        <f t="shared" ref="S57:Z57" si="5">S59+S66</f>
        <v>1726000000000</v>
      </c>
      <c r="T57" s="2610">
        <f t="shared" si="5"/>
        <v>2301000000000</v>
      </c>
      <c r="U57" s="2610">
        <f t="shared" si="5"/>
        <v>0</v>
      </c>
      <c r="V57" s="2610">
        <f t="shared" si="5"/>
        <v>0</v>
      </c>
      <c r="W57" s="2610">
        <f t="shared" si="5"/>
        <v>0</v>
      </c>
      <c r="X57" s="2610">
        <f t="shared" si="5"/>
        <v>0</v>
      </c>
      <c r="Y57" s="2610">
        <f t="shared" si="5"/>
        <v>0</v>
      </c>
      <c r="Z57" s="2610">
        <f t="shared" si="5"/>
        <v>0</v>
      </c>
    </row>
    <row r="58" spans="1:26">
      <c r="A58" s="1505" t="s">
        <v>120</v>
      </c>
      <c r="B58" s="1506" t="s">
        <v>120</v>
      </c>
      <c r="C58" s="1507" t="s">
        <v>119</v>
      </c>
      <c r="D58" s="1508">
        <v>-148000000000</v>
      </c>
      <c r="E58" s="1508">
        <v>253000000000</v>
      </c>
      <c r="F58" s="1508">
        <v>83000000000</v>
      </c>
      <c r="G58" s="1508">
        <v>97000000000</v>
      </c>
      <c r="H58" s="1508">
        <v>-170000000000</v>
      </c>
      <c r="I58" s="1508">
        <v>62000000000</v>
      </c>
      <c r="J58" s="1508">
        <v>-415000000000</v>
      </c>
      <c r="K58" s="1508">
        <v>-426000000000</v>
      </c>
      <c r="L58" s="1561">
        <f>-(L59-L68)</f>
        <v>-214000000000</v>
      </c>
      <c r="M58" s="1561">
        <f t="shared" ref="M58:Q58" si="6">-(M59-M68)</f>
        <v>2365000000000</v>
      </c>
      <c r="N58" s="1561">
        <f t="shared" si="6"/>
        <v>1767000000000</v>
      </c>
      <c r="O58" s="1561">
        <f t="shared" si="6"/>
        <v>708000000000</v>
      </c>
      <c r="P58" s="1561">
        <f t="shared" si="6"/>
        <v>1945000000000</v>
      </c>
      <c r="Q58" s="1561">
        <f t="shared" si="6"/>
        <v>2818000000000</v>
      </c>
      <c r="R58" s="2611">
        <f>R59+R68</f>
        <v>2411000000000</v>
      </c>
      <c r="S58" s="2611">
        <f t="shared" ref="S58:Z58" si="7">S59+S68</f>
        <v>3110000000000</v>
      </c>
      <c r="T58" s="2611">
        <f t="shared" si="7"/>
        <v>1902000000000</v>
      </c>
      <c r="U58" s="2611">
        <f t="shared" si="7"/>
        <v>4611000000000</v>
      </c>
      <c r="V58" s="2611">
        <f t="shared" si="7"/>
        <v>4376000000000</v>
      </c>
      <c r="W58" s="2611">
        <f t="shared" si="7"/>
        <v>4752000000000</v>
      </c>
      <c r="X58" s="2611">
        <f t="shared" si="7"/>
        <v>5308000000000</v>
      </c>
      <c r="Y58" s="2611">
        <f t="shared" si="7"/>
        <v>6603000000000</v>
      </c>
      <c r="Z58" s="2611">
        <f t="shared" si="7"/>
        <v>7890000000000</v>
      </c>
    </row>
    <row r="59" spans="1:26">
      <c r="B59" s="1506" t="s">
        <v>209</v>
      </c>
      <c r="D59" s="1508">
        <v>-148000000000</v>
      </c>
      <c r="E59" s="1508">
        <v>253000000000</v>
      </c>
      <c r="F59" s="1508">
        <v>83000000000</v>
      </c>
      <c r="G59" s="1508">
        <v>97000000000</v>
      </c>
      <c r="H59" s="1508">
        <v>-170000000000</v>
      </c>
      <c r="I59" s="1508">
        <v>62000000000</v>
      </c>
      <c r="J59" s="1508">
        <v>-415000000000</v>
      </c>
      <c r="K59" s="1508">
        <v>-426000000000</v>
      </c>
      <c r="L59" s="1508">
        <v>510000000000</v>
      </c>
      <c r="M59" s="1508">
        <v>-174000000000</v>
      </c>
      <c r="N59" s="1508">
        <v>-59000000000</v>
      </c>
      <c r="O59" s="1508">
        <v>408000000000</v>
      </c>
      <c r="P59" s="1508">
        <v>-565000000000</v>
      </c>
      <c r="Q59" s="1508">
        <v>-1566000000000</v>
      </c>
      <c r="R59" s="2610">
        <v>-260000000000</v>
      </c>
      <c r="S59" s="2610">
        <v>1726000000000</v>
      </c>
      <c r="T59" s="2609">
        <v>2301000000000</v>
      </c>
      <c r="U59" s="1511">
        <v>0</v>
      </c>
      <c r="V59" s="1511">
        <v>0</v>
      </c>
      <c r="W59" s="1511">
        <v>0</v>
      </c>
      <c r="X59" s="1511">
        <v>0</v>
      </c>
      <c r="Y59" s="1511">
        <v>0</v>
      </c>
      <c r="Z59" s="1511">
        <v>0</v>
      </c>
    </row>
    <row r="60" spans="1:26">
      <c r="A60" s="1505" t="s">
        <v>122</v>
      </c>
      <c r="B60" s="1512" t="s">
        <v>3735</v>
      </c>
      <c r="C60" s="1506" t="s">
        <v>124</v>
      </c>
      <c r="D60" s="1508">
        <v>-104000000000</v>
      </c>
      <c r="E60" s="1513"/>
      <c r="F60" s="1513"/>
      <c r="G60" s="1513"/>
      <c r="H60" s="1513"/>
      <c r="I60" s="1513"/>
      <c r="J60" s="1508">
        <v>-179000000000</v>
      </c>
      <c r="K60" s="1508">
        <v>-265000000000</v>
      </c>
      <c r="L60" s="1508"/>
      <c r="M60" s="1508"/>
      <c r="N60" s="1508"/>
      <c r="O60" s="1508"/>
      <c r="P60" s="1508"/>
      <c r="Q60" s="1508"/>
      <c r="R60" s="1515"/>
      <c r="S60" s="1511"/>
      <c r="T60" s="1511"/>
      <c r="U60" s="1511"/>
      <c r="V60" s="1511"/>
      <c r="W60" s="1511"/>
      <c r="X60" s="1511"/>
      <c r="Y60" s="1511"/>
      <c r="Z60" s="1511"/>
    </row>
    <row r="61" spans="1:26">
      <c r="A61" s="1494" t="s">
        <v>76</v>
      </c>
      <c r="B61" s="1520" t="s">
        <v>3736</v>
      </c>
      <c r="D61" s="1513"/>
      <c r="E61" s="1513"/>
      <c r="F61" s="1513"/>
      <c r="G61" s="1513"/>
      <c r="H61" s="1513"/>
      <c r="I61" s="1513"/>
      <c r="J61" s="1508"/>
      <c r="K61" s="1508"/>
      <c r="L61" s="1508"/>
      <c r="M61" s="1508"/>
      <c r="N61" s="1508"/>
      <c r="O61" s="1508"/>
      <c r="P61" s="1508"/>
      <c r="Q61" s="1508"/>
      <c r="R61" s="1515"/>
      <c r="S61" s="1511"/>
      <c r="T61" s="1511"/>
      <c r="U61" s="1511"/>
      <c r="V61" s="1511"/>
      <c r="W61" s="1511"/>
      <c r="X61" s="1511"/>
      <c r="Y61" s="1511"/>
      <c r="Z61" s="1511"/>
    </row>
    <row r="62" spans="1:26">
      <c r="A62" s="1494" t="s">
        <v>76</v>
      </c>
      <c r="B62" s="1520" t="s">
        <v>3737</v>
      </c>
      <c r="C62" s="1506"/>
      <c r="D62" s="1513"/>
      <c r="E62" s="1513"/>
      <c r="F62" s="1513"/>
      <c r="G62" s="1513"/>
      <c r="H62" s="1513"/>
      <c r="I62" s="1513"/>
      <c r="J62" s="1508"/>
      <c r="K62" s="1508"/>
      <c r="L62" s="1508"/>
      <c r="M62" s="1508"/>
      <c r="N62" s="1508"/>
      <c r="O62" s="1508"/>
      <c r="P62" s="1508"/>
      <c r="Q62" s="1508"/>
      <c r="R62" s="1515"/>
      <c r="S62" s="1511"/>
      <c r="T62" s="1511"/>
      <c r="U62" s="1511"/>
      <c r="V62" s="1511"/>
      <c r="W62" s="1511"/>
      <c r="X62" s="1511"/>
      <c r="Y62" s="1511"/>
      <c r="Z62" s="1511"/>
    </row>
    <row r="63" spans="1:26">
      <c r="A63" s="1505" t="s">
        <v>428</v>
      </c>
      <c r="B63" s="1512" t="s">
        <v>3738</v>
      </c>
      <c r="C63" s="1506" t="s">
        <v>124</v>
      </c>
      <c r="D63" s="1508">
        <v>10000000000</v>
      </c>
      <c r="E63" s="1513"/>
      <c r="F63" s="1513"/>
      <c r="G63" s="1513"/>
      <c r="H63" s="1513"/>
      <c r="I63" s="1513"/>
      <c r="J63" s="1508">
        <v>16000000000</v>
      </c>
      <c r="K63" s="1508">
        <v>0</v>
      </c>
      <c r="L63" s="1508"/>
      <c r="M63" s="1508"/>
      <c r="N63" s="1508"/>
      <c r="O63" s="1508"/>
      <c r="P63" s="1508"/>
      <c r="Q63" s="1508"/>
      <c r="R63" s="1515"/>
      <c r="S63" s="1511"/>
      <c r="T63" s="1511"/>
      <c r="U63" s="1511"/>
      <c r="V63" s="1511"/>
      <c r="W63" s="1511"/>
      <c r="X63" s="1511"/>
      <c r="Y63" s="1511"/>
      <c r="Z63" s="1511"/>
    </row>
    <row r="64" spans="1:26">
      <c r="A64" s="1494" t="s">
        <v>76</v>
      </c>
      <c r="B64" s="1520" t="s">
        <v>3739</v>
      </c>
      <c r="C64" s="1506"/>
      <c r="D64" s="1513"/>
      <c r="E64" s="1513"/>
      <c r="F64" s="1513"/>
      <c r="G64" s="1513"/>
      <c r="H64" s="1513"/>
      <c r="I64" s="1513"/>
      <c r="J64" s="1508"/>
      <c r="K64" s="1508"/>
      <c r="L64" s="1508"/>
      <c r="M64" s="1508"/>
      <c r="N64" s="1508"/>
      <c r="O64" s="1508"/>
      <c r="P64" s="1508"/>
      <c r="Q64" s="1508"/>
      <c r="R64" s="1515"/>
      <c r="S64" s="1511"/>
      <c r="T64" s="1511"/>
      <c r="U64" s="1511"/>
      <c r="V64" s="1511"/>
      <c r="W64" s="1511"/>
      <c r="X64" s="1511"/>
      <c r="Y64" s="1511"/>
      <c r="Z64" s="1511"/>
    </row>
    <row r="65" spans="1:26">
      <c r="A65" s="1494" t="s">
        <v>2466</v>
      </c>
      <c r="B65" s="1512" t="s">
        <v>3740</v>
      </c>
      <c r="C65" s="1506" t="s">
        <v>124</v>
      </c>
      <c r="D65" s="1508">
        <v>-54000000000</v>
      </c>
      <c r="E65" s="1513"/>
      <c r="F65" s="1513"/>
      <c r="G65" s="1513"/>
      <c r="H65" s="1513"/>
      <c r="I65" s="1513"/>
      <c r="J65" s="1508">
        <v>-252000000000</v>
      </c>
      <c r="K65" s="1508">
        <v>-161000000000</v>
      </c>
      <c r="L65" s="1508"/>
      <c r="M65" s="1508"/>
      <c r="N65" s="1508"/>
      <c r="O65" s="1508"/>
      <c r="P65" s="1508"/>
      <c r="Q65" s="1508"/>
      <c r="R65" s="1515"/>
      <c r="S65" s="1511"/>
      <c r="T65" s="1511"/>
      <c r="U65" s="1511"/>
      <c r="V65" s="1511"/>
      <c r="W65" s="1511"/>
      <c r="X65" s="1511"/>
      <c r="Y65" s="1511"/>
      <c r="Z65" s="1511"/>
    </row>
    <row r="66" spans="1:26">
      <c r="A66" s="1494" t="s">
        <v>76</v>
      </c>
      <c r="B66" s="1506" t="s">
        <v>212</v>
      </c>
      <c r="D66" s="1513"/>
      <c r="E66" s="1513"/>
      <c r="F66" s="1513"/>
      <c r="G66" s="1513"/>
      <c r="H66" s="1513"/>
      <c r="I66" s="1513"/>
      <c r="J66" s="1508"/>
      <c r="K66" s="1508"/>
      <c r="L66" s="1508">
        <v>0</v>
      </c>
      <c r="M66" s="1508">
        <v>0</v>
      </c>
      <c r="N66" s="1508">
        <v>0</v>
      </c>
      <c r="O66" s="1508">
        <v>0</v>
      </c>
      <c r="P66" s="1508">
        <v>0</v>
      </c>
      <c r="Q66" s="1508">
        <v>0</v>
      </c>
      <c r="R66" s="1515">
        <v>0</v>
      </c>
      <c r="S66" s="1511">
        <v>0</v>
      </c>
      <c r="T66" s="1511">
        <v>0</v>
      </c>
      <c r="U66" s="1511">
        <v>0</v>
      </c>
      <c r="V66" s="1511">
        <v>0</v>
      </c>
      <c r="W66" s="1511">
        <v>0</v>
      </c>
      <c r="X66" s="1511">
        <v>0</v>
      </c>
      <c r="Y66" s="1511">
        <v>0</v>
      </c>
      <c r="Z66" s="1511">
        <v>0</v>
      </c>
    </row>
    <row r="67" spans="1:26">
      <c r="A67" s="1494" t="s">
        <v>76</v>
      </c>
      <c r="B67" s="1506" t="s">
        <v>3741</v>
      </c>
      <c r="D67" s="1513"/>
      <c r="E67" s="1513"/>
      <c r="F67" s="1513"/>
      <c r="G67" s="1513"/>
      <c r="H67" s="1513"/>
      <c r="I67" s="1513"/>
      <c r="J67" s="1508"/>
      <c r="K67" s="1508"/>
      <c r="L67" s="1508">
        <v>1659000000000</v>
      </c>
      <c r="M67" s="1508">
        <v>3159000000000</v>
      </c>
      <c r="N67" s="1508">
        <v>2559000000000</v>
      </c>
      <c r="O67" s="1508">
        <v>2379000000000</v>
      </c>
      <c r="P67" s="1508">
        <v>2419000000000</v>
      </c>
      <c r="Q67" s="1508">
        <v>2232000000000</v>
      </c>
      <c r="R67" s="1515">
        <v>5930000000000</v>
      </c>
      <c r="S67" s="1511">
        <v>6462000000000</v>
      </c>
      <c r="T67" s="1511">
        <v>5965000000000</v>
      </c>
      <c r="U67" s="1511">
        <v>6757000000000</v>
      </c>
      <c r="V67" s="1511">
        <v>6504000000000</v>
      </c>
      <c r="W67" s="1511">
        <v>6839000000000</v>
      </c>
      <c r="X67" s="1511">
        <v>7783000000000</v>
      </c>
      <c r="Y67" s="1511">
        <v>9350000000000</v>
      </c>
      <c r="Z67" s="1511">
        <v>10990000000000</v>
      </c>
    </row>
    <row r="68" spans="1:26">
      <c r="A68" s="1494" t="s">
        <v>76</v>
      </c>
      <c r="B68" s="1506" t="s">
        <v>209</v>
      </c>
      <c r="D68" s="1513"/>
      <c r="E68" s="1513"/>
      <c r="F68" s="1513"/>
      <c r="G68" s="1513"/>
      <c r="H68" s="1513"/>
      <c r="I68" s="1513"/>
      <c r="J68" s="1508"/>
      <c r="K68" s="1508"/>
      <c r="L68" s="1508">
        <v>296000000000</v>
      </c>
      <c r="M68" s="1508">
        <v>2191000000000</v>
      </c>
      <c r="N68" s="1508">
        <v>1708000000000</v>
      </c>
      <c r="O68" s="1508">
        <v>1116000000000</v>
      </c>
      <c r="P68" s="1508">
        <v>1380000000000</v>
      </c>
      <c r="Q68" s="1508">
        <v>1252000000000</v>
      </c>
      <c r="R68" s="1515">
        <v>2671000000000</v>
      </c>
      <c r="S68" s="1511">
        <v>1384000000000</v>
      </c>
      <c r="T68" s="1511">
        <v>-399000000000</v>
      </c>
      <c r="U68" s="1511">
        <v>4611000000000</v>
      </c>
      <c r="V68" s="1511">
        <v>4376000000000</v>
      </c>
      <c r="W68" s="1511">
        <v>4752000000000</v>
      </c>
      <c r="X68" s="1511">
        <v>5308000000000</v>
      </c>
      <c r="Y68" s="1511">
        <v>6603000000000</v>
      </c>
      <c r="Z68" s="1511">
        <v>7890000000000</v>
      </c>
    </row>
    <row r="69" spans="1:26">
      <c r="A69" s="1505" t="s">
        <v>117</v>
      </c>
      <c r="B69" s="1505" t="s">
        <v>117</v>
      </c>
      <c r="C69" s="1507" t="s">
        <v>119</v>
      </c>
      <c r="D69" s="1513">
        <f>D70</f>
        <v>736000000000</v>
      </c>
      <c r="E69" s="1513">
        <f t="shared" ref="E69:K69" si="8">E70</f>
        <v>545000000000</v>
      </c>
      <c r="F69" s="1513">
        <f t="shared" si="8"/>
        <v>409000000000</v>
      </c>
      <c r="G69" s="1513">
        <f t="shared" si="8"/>
        <v>1108000000000</v>
      </c>
      <c r="H69" s="1513">
        <f t="shared" si="8"/>
        <v>923000000000</v>
      </c>
      <c r="I69" s="1513">
        <f t="shared" si="8"/>
        <v>1254000000000</v>
      </c>
      <c r="J69" s="1513">
        <f t="shared" si="8"/>
        <v>1390000000000</v>
      </c>
      <c r="K69" s="1513">
        <f t="shared" si="8"/>
        <v>1484000000000</v>
      </c>
      <c r="L69" s="1561">
        <f>-(L66-L70)</f>
        <v>1363000000000</v>
      </c>
      <c r="M69" s="1561">
        <f t="shared" ref="M69:Q69" si="9">-(M66-M70)</f>
        <v>967000000000</v>
      </c>
      <c r="N69" s="1561">
        <f t="shared" si="9"/>
        <v>851000000000</v>
      </c>
      <c r="O69" s="1561">
        <f t="shared" si="9"/>
        <v>1262000000000</v>
      </c>
      <c r="P69" s="1561">
        <f t="shared" si="9"/>
        <v>1038000000000</v>
      </c>
      <c r="Q69" s="1561">
        <f t="shared" si="9"/>
        <v>981000000000</v>
      </c>
      <c r="R69" s="2611">
        <f>R70+R66</f>
        <v>3259000000000</v>
      </c>
      <c r="S69" s="2611">
        <f t="shared" ref="S69:Z69" si="10">S70+S66</f>
        <v>4876000000000</v>
      </c>
      <c r="T69" s="2611">
        <f t="shared" si="10"/>
        <v>6364000000000</v>
      </c>
      <c r="U69" s="2611">
        <f t="shared" si="10"/>
        <v>2146000000000</v>
      </c>
      <c r="V69" s="2611">
        <f t="shared" si="10"/>
        <v>2127000000000</v>
      </c>
      <c r="W69" s="2611">
        <f t="shared" si="10"/>
        <v>2087000000000</v>
      </c>
      <c r="X69" s="2611">
        <f t="shared" si="10"/>
        <v>2476000000000</v>
      </c>
      <c r="Y69" s="2611">
        <f t="shared" si="10"/>
        <v>2748000000000</v>
      </c>
      <c r="Z69" s="2611">
        <f t="shared" si="10"/>
        <v>3100000000000</v>
      </c>
    </row>
    <row r="70" spans="1:26">
      <c r="A70" s="1505"/>
      <c r="B70" s="1506" t="s">
        <v>212</v>
      </c>
      <c r="D70" s="1508">
        <v>736000000000</v>
      </c>
      <c r="E70" s="1508">
        <v>545000000000</v>
      </c>
      <c r="F70" s="1508">
        <v>409000000000</v>
      </c>
      <c r="G70" s="1508">
        <v>1108000000000</v>
      </c>
      <c r="H70" s="1508">
        <v>923000000000</v>
      </c>
      <c r="I70" s="1508">
        <v>1254000000000</v>
      </c>
      <c r="J70" s="1508">
        <v>1390000000000</v>
      </c>
      <c r="K70" s="1508">
        <v>1484000000000</v>
      </c>
      <c r="L70" s="1508">
        <v>1363000000000</v>
      </c>
      <c r="M70" s="1508">
        <v>967000000000</v>
      </c>
      <c r="N70" s="1508">
        <v>851000000000</v>
      </c>
      <c r="O70" s="1508">
        <v>1262000000000</v>
      </c>
      <c r="P70" s="1508">
        <v>1038000000000</v>
      </c>
      <c r="Q70" s="1508">
        <v>981000000000</v>
      </c>
      <c r="R70" s="1515">
        <v>3259000000000</v>
      </c>
      <c r="S70" s="1515">
        <v>4876000000000</v>
      </c>
      <c r="T70" s="1511">
        <v>6364000000000</v>
      </c>
      <c r="U70" s="1511">
        <v>2146000000000</v>
      </c>
      <c r="V70" s="1511">
        <v>2127000000000</v>
      </c>
      <c r="W70" s="1511">
        <v>2087000000000</v>
      </c>
      <c r="X70" s="1511">
        <v>2476000000000</v>
      </c>
      <c r="Y70" s="1511">
        <v>2748000000000</v>
      </c>
      <c r="Z70" s="1511">
        <v>3100000000000</v>
      </c>
    </row>
    <row r="71" spans="1:26">
      <c r="A71" s="1505" t="s">
        <v>415</v>
      </c>
      <c r="B71" s="1512" t="s">
        <v>415</v>
      </c>
      <c r="C71" s="1506" t="s">
        <v>264</v>
      </c>
      <c r="D71" s="1508">
        <v>923000000000</v>
      </c>
      <c r="E71" s="1508">
        <v>792000000000</v>
      </c>
      <c r="F71" s="1508">
        <v>691000000000</v>
      </c>
      <c r="G71" s="1508">
        <v>1309000000000</v>
      </c>
      <c r="H71" s="1513"/>
      <c r="I71" s="1513"/>
      <c r="J71" s="1508">
        <v>1703000000000</v>
      </c>
      <c r="K71" s="1508">
        <v>1836000000000</v>
      </c>
      <c r="L71" s="1508"/>
      <c r="M71" s="1508"/>
      <c r="N71" s="1508"/>
      <c r="O71" s="1508"/>
      <c r="P71" s="1508"/>
      <c r="Q71" s="1508"/>
      <c r="R71" s="1515"/>
      <c r="S71" s="1511"/>
      <c r="T71" s="1511"/>
      <c r="U71" s="1511"/>
      <c r="V71" s="1511"/>
      <c r="W71" s="1511"/>
      <c r="X71" s="1511"/>
      <c r="Y71" s="1511"/>
      <c r="Z71" s="1511"/>
    </row>
    <row r="72" spans="1:26">
      <c r="A72" s="1512" t="s">
        <v>258</v>
      </c>
      <c r="B72" s="1512" t="s">
        <v>258</v>
      </c>
      <c r="C72" s="1506" t="s">
        <v>264</v>
      </c>
      <c r="D72" s="1508">
        <v>-187000000000</v>
      </c>
      <c r="E72" s="1508">
        <v>-247000000000</v>
      </c>
      <c r="F72" s="1508">
        <v>-282000000000</v>
      </c>
      <c r="G72" s="1508">
        <v>-201000000000</v>
      </c>
      <c r="H72" s="1513"/>
      <c r="I72" s="1513"/>
      <c r="J72" s="1508">
        <v>-312000000000</v>
      </c>
      <c r="K72" s="1508">
        <v>-352000000000</v>
      </c>
      <c r="L72" s="1508"/>
      <c r="M72" s="1508"/>
      <c r="N72" s="1508"/>
      <c r="O72" s="1508"/>
      <c r="P72" s="1508"/>
      <c r="Q72" s="1508"/>
      <c r="R72" s="1515"/>
      <c r="S72" s="1511"/>
      <c r="T72" s="1511"/>
      <c r="U72" s="1511"/>
      <c r="V72" s="1511"/>
      <c r="W72" s="1511"/>
      <c r="X72" s="1511"/>
      <c r="Y72" s="1511"/>
      <c r="Z72" s="1511"/>
    </row>
    <row r="73" spans="1:26">
      <c r="B73" s="1506" t="s">
        <v>1560</v>
      </c>
      <c r="D73" s="1509"/>
      <c r="E73" s="1509"/>
      <c r="F73" s="1509"/>
      <c r="G73" s="1509"/>
      <c r="H73" s="1509"/>
      <c r="I73" s="1509"/>
      <c r="J73" s="1513"/>
      <c r="K73" s="1513"/>
      <c r="L73" s="1508">
        <v>-1000000000</v>
      </c>
      <c r="M73" s="1508">
        <v>56000000000</v>
      </c>
      <c r="N73" s="1508">
        <v>-24000000000</v>
      </c>
      <c r="O73" s="1528">
        <v>890000000000</v>
      </c>
      <c r="P73" s="1528">
        <v>2626000000000</v>
      </c>
      <c r="Q73" s="1528">
        <v>-716000000000</v>
      </c>
      <c r="R73" s="1529">
        <v>2502000000000</v>
      </c>
      <c r="S73" s="1529">
        <v>-814000000000</v>
      </c>
      <c r="T73" s="1511">
        <v>2301000000000</v>
      </c>
      <c r="U73" s="1511">
        <v>0</v>
      </c>
      <c r="V73" s="1511">
        <v>0</v>
      </c>
      <c r="W73" s="1511">
        <v>0</v>
      </c>
      <c r="X73" s="1511">
        <v>0</v>
      </c>
      <c r="Y73" s="1511">
        <v>0</v>
      </c>
      <c r="Z73" s="1511">
        <v>0</v>
      </c>
    </row>
    <row r="75" spans="1:26">
      <c r="D75" s="1494" t="s">
        <v>139</v>
      </c>
      <c r="E75" s="1494" t="s">
        <v>139</v>
      </c>
      <c r="F75" s="1494" t="s">
        <v>139</v>
      </c>
      <c r="G75" s="1494" t="s">
        <v>139</v>
      </c>
      <c r="H75" s="1494" t="s">
        <v>139</v>
      </c>
      <c r="I75" s="1494" t="s">
        <v>139</v>
      </c>
      <c r="J75" s="1494" t="s">
        <v>139</v>
      </c>
      <c r="K75" s="1494" t="s">
        <v>139</v>
      </c>
      <c r="L75" s="1494" t="s">
        <v>139</v>
      </c>
      <c r="M75" s="1494" t="s">
        <v>139</v>
      </c>
      <c r="N75" s="1494" t="s">
        <v>139</v>
      </c>
      <c r="O75" s="1494" t="s">
        <v>139</v>
      </c>
      <c r="P75" s="1494" t="s">
        <v>139</v>
      </c>
      <c r="Q75" s="1494" t="s">
        <v>139</v>
      </c>
      <c r="R75" s="1514" t="s">
        <v>139</v>
      </c>
      <c r="S75" s="1514" t="s">
        <v>139</v>
      </c>
      <c r="T75" s="1514" t="s">
        <v>139</v>
      </c>
      <c r="U75" s="1514" t="s">
        <v>139</v>
      </c>
      <c r="V75" s="1514" t="s">
        <v>139</v>
      </c>
      <c r="W75" s="1514" t="s">
        <v>139</v>
      </c>
      <c r="X75" s="1514" t="s">
        <v>139</v>
      </c>
      <c r="Y75" s="1514" t="s">
        <v>139</v>
      </c>
      <c r="Z75" s="1514" t="s">
        <v>139</v>
      </c>
    </row>
    <row r="77" spans="1:26">
      <c r="R77" s="1560"/>
      <c r="U77" s="1563"/>
    </row>
    <row r="78" spans="1:26">
      <c r="B78" s="1494" t="s">
        <v>284</v>
      </c>
      <c r="D78" s="1530">
        <f t="shared" ref="D78:Z78" si="11">D6-D35-D7</f>
        <v>0</v>
      </c>
      <c r="E78" s="1530">
        <f t="shared" si="11"/>
        <v>0</v>
      </c>
      <c r="F78" s="1530">
        <f t="shared" si="11"/>
        <v>0</v>
      </c>
      <c r="G78" s="1530">
        <f t="shared" si="11"/>
        <v>0</v>
      </c>
      <c r="H78" s="1530">
        <f t="shared" si="11"/>
        <v>-1000000000</v>
      </c>
      <c r="I78" s="1530">
        <f t="shared" si="11"/>
        <v>0</v>
      </c>
      <c r="J78" s="1530">
        <f t="shared" si="11"/>
        <v>0</v>
      </c>
      <c r="K78" s="1530">
        <f t="shared" si="11"/>
        <v>0</v>
      </c>
      <c r="L78" s="1530">
        <f t="shared" si="11"/>
        <v>0</v>
      </c>
      <c r="M78" s="1530">
        <f t="shared" si="11"/>
        <v>0</v>
      </c>
      <c r="N78" s="1530">
        <f t="shared" si="11"/>
        <v>0</v>
      </c>
      <c r="O78" s="1530">
        <f t="shared" si="11"/>
        <v>0</v>
      </c>
      <c r="P78" s="1530">
        <f t="shared" si="11"/>
        <v>0</v>
      </c>
      <c r="Q78" s="1530">
        <f t="shared" si="11"/>
        <v>0</v>
      </c>
      <c r="R78" s="1530">
        <f t="shared" si="11"/>
        <v>0</v>
      </c>
      <c r="S78" s="1530">
        <f t="shared" si="11"/>
        <v>0</v>
      </c>
      <c r="T78" s="1530">
        <f t="shared" si="11"/>
        <v>0</v>
      </c>
      <c r="U78" s="1530">
        <f t="shared" si="11"/>
        <v>0</v>
      </c>
      <c r="V78" s="1530">
        <f t="shared" si="11"/>
        <v>0</v>
      </c>
      <c r="W78" s="1530">
        <f t="shared" si="11"/>
        <v>0</v>
      </c>
      <c r="X78" s="1530">
        <f t="shared" si="11"/>
        <v>0</v>
      </c>
      <c r="Y78" s="1530">
        <f t="shared" si="11"/>
        <v>0</v>
      </c>
      <c r="Z78" s="1530">
        <f t="shared" si="11"/>
        <v>0</v>
      </c>
    </row>
    <row r="79" spans="1:26">
      <c r="B79" s="1494" t="s">
        <v>141</v>
      </c>
      <c r="D79" s="1530">
        <f t="shared" ref="D79:Z79" si="12">D7-D12-D29</f>
        <v>0</v>
      </c>
      <c r="E79" s="1530">
        <f t="shared" si="12"/>
        <v>-1000000000</v>
      </c>
      <c r="F79" s="1530">
        <f t="shared" si="12"/>
        <v>0</v>
      </c>
      <c r="G79" s="1530">
        <f t="shared" si="12"/>
        <v>0</v>
      </c>
      <c r="H79" s="1530">
        <f t="shared" si="12"/>
        <v>1000000000</v>
      </c>
      <c r="I79" s="1530">
        <f t="shared" si="12"/>
        <v>0</v>
      </c>
      <c r="J79" s="1530">
        <f t="shared" si="12"/>
        <v>0</v>
      </c>
      <c r="K79" s="1530">
        <f t="shared" si="12"/>
        <v>0</v>
      </c>
      <c r="L79" s="1530">
        <f t="shared" si="12"/>
        <v>0</v>
      </c>
      <c r="M79" s="1530">
        <f t="shared" si="12"/>
        <v>0</v>
      </c>
      <c r="N79" s="1530">
        <f t="shared" si="12"/>
        <v>-1000000000</v>
      </c>
      <c r="O79" s="1530">
        <f t="shared" si="12"/>
        <v>0</v>
      </c>
      <c r="P79" s="1530">
        <f t="shared" si="12"/>
        <v>-1000000000</v>
      </c>
      <c r="Q79" s="1530">
        <f t="shared" si="12"/>
        <v>0</v>
      </c>
      <c r="R79" s="1530">
        <f t="shared" si="12"/>
        <v>0</v>
      </c>
      <c r="S79" s="1530">
        <f t="shared" si="12"/>
        <v>-1000000000</v>
      </c>
      <c r="T79" s="1530">
        <f t="shared" si="12"/>
        <v>0</v>
      </c>
      <c r="U79" s="1530">
        <f t="shared" si="12"/>
        <v>0</v>
      </c>
      <c r="V79" s="1530">
        <f t="shared" si="12"/>
        <v>0</v>
      </c>
      <c r="W79" s="1530">
        <f t="shared" si="12"/>
        <v>0</v>
      </c>
      <c r="X79" s="1530">
        <f t="shared" si="12"/>
        <v>-1000000000</v>
      </c>
      <c r="Y79" s="1530">
        <f t="shared" si="12"/>
        <v>0</v>
      </c>
      <c r="Z79" s="1530">
        <f t="shared" si="12"/>
        <v>0</v>
      </c>
    </row>
    <row r="80" spans="1:26">
      <c r="B80" s="1494" t="s">
        <v>617</v>
      </c>
      <c r="D80" s="1531">
        <f t="shared" ref="D80:Z80" si="13">D12-D17-D23-D22-D24-D25-D28</f>
        <v>1367000000000</v>
      </c>
      <c r="E80" s="1531">
        <f t="shared" si="13"/>
        <v>1629000000000</v>
      </c>
      <c r="F80" s="1531">
        <f t="shared" si="13"/>
        <v>1875000000000</v>
      </c>
      <c r="G80" s="1531">
        <f t="shared" si="13"/>
        <v>1928000000000</v>
      </c>
      <c r="H80" s="1531">
        <f t="shared" si="13"/>
        <v>2337000000000</v>
      </c>
      <c r="I80" s="1531">
        <f t="shared" si="13"/>
        <v>2803000000000</v>
      </c>
      <c r="J80" s="1530">
        <f t="shared" si="13"/>
        <v>0</v>
      </c>
      <c r="K80" s="1530">
        <f t="shared" si="13"/>
        <v>0</v>
      </c>
      <c r="L80" s="1530">
        <f t="shared" si="13"/>
        <v>-1000000000</v>
      </c>
      <c r="M80" s="1530">
        <f t="shared" si="13"/>
        <v>1000000000</v>
      </c>
      <c r="N80" s="1530">
        <f t="shared" si="13"/>
        <v>0</v>
      </c>
      <c r="O80" s="1530">
        <f t="shared" si="13"/>
        <v>-1000000000</v>
      </c>
      <c r="P80" s="1530">
        <f t="shared" si="13"/>
        <v>1000000000</v>
      </c>
      <c r="Q80" s="1530">
        <f t="shared" si="13"/>
        <v>-1000000000</v>
      </c>
      <c r="R80" s="1530">
        <f t="shared" si="13"/>
        <v>1000000000</v>
      </c>
      <c r="S80" s="1530">
        <f t="shared" si="13"/>
        <v>-1000000000</v>
      </c>
      <c r="T80" s="1530">
        <f t="shared" si="13"/>
        <v>0</v>
      </c>
      <c r="U80" s="1530">
        <f t="shared" si="13"/>
        <v>1000000000</v>
      </c>
      <c r="V80" s="1530">
        <f t="shared" si="13"/>
        <v>0</v>
      </c>
      <c r="W80" s="1530">
        <f t="shared" si="13"/>
        <v>1000000000</v>
      </c>
      <c r="X80" s="1530">
        <f t="shared" si="13"/>
        <v>0</v>
      </c>
      <c r="Y80" s="1530">
        <f t="shared" si="13"/>
        <v>0</v>
      </c>
      <c r="Z80" s="1530">
        <f t="shared" si="13"/>
        <v>-1000000000</v>
      </c>
    </row>
    <row r="81" spans="2:26">
      <c r="B81" s="1494" t="s">
        <v>3742</v>
      </c>
      <c r="D81" s="1530">
        <f t="shared" ref="D81:Z81" si="14">D17-D18-D19</f>
        <v>0</v>
      </c>
      <c r="E81" s="1530">
        <f t="shared" si="14"/>
        <v>0</v>
      </c>
      <c r="F81" s="1530">
        <f t="shared" si="14"/>
        <v>0</v>
      </c>
      <c r="G81" s="1530">
        <f t="shared" si="14"/>
        <v>0</v>
      </c>
      <c r="H81" s="1530">
        <f t="shared" si="14"/>
        <v>0</v>
      </c>
      <c r="I81" s="1530">
        <f t="shared" si="14"/>
        <v>0</v>
      </c>
      <c r="J81" s="1530">
        <f t="shared" si="14"/>
        <v>0</v>
      </c>
      <c r="K81" s="1530">
        <f t="shared" si="14"/>
        <v>-1000000000</v>
      </c>
      <c r="L81" s="1530">
        <f t="shared" si="14"/>
        <v>0</v>
      </c>
      <c r="M81" s="1530">
        <f t="shared" si="14"/>
        <v>0</v>
      </c>
      <c r="N81" s="1530">
        <f t="shared" si="14"/>
        <v>0</v>
      </c>
      <c r="O81" s="1530">
        <f t="shared" si="14"/>
        <v>1000000000</v>
      </c>
      <c r="P81" s="1530">
        <f t="shared" si="14"/>
        <v>0</v>
      </c>
      <c r="Q81" s="1530">
        <f t="shared" si="14"/>
        <v>0</v>
      </c>
      <c r="R81" s="1530">
        <f t="shared" si="14"/>
        <v>0</v>
      </c>
      <c r="S81" s="1530">
        <f t="shared" si="14"/>
        <v>0</v>
      </c>
      <c r="T81" s="1530">
        <f t="shared" si="14"/>
        <v>0</v>
      </c>
      <c r="U81" s="1530">
        <f t="shared" si="14"/>
        <v>-1000000000</v>
      </c>
      <c r="V81" s="1530">
        <f t="shared" si="14"/>
        <v>0</v>
      </c>
      <c r="W81" s="1530">
        <f t="shared" si="14"/>
        <v>0</v>
      </c>
      <c r="X81" s="1530">
        <f t="shared" si="14"/>
        <v>0</v>
      </c>
      <c r="Y81" s="1530">
        <f t="shared" si="14"/>
        <v>0</v>
      </c>
      <c r="Z81" s="1530">
        <f t="shared" si="14"/>
        <v>0</v>
      </c>
    </row>
    <row r="82" spans="2:26">
      <c r="B82" s="1494" t="s">
        <v>3743</v>
      </c>
      <c r="D82" s="1530">
        <f t="shared" ref="D82:Z82" si="15">D25-D26-D27</f>
        <v>0</v>
      </c>
      <c r="E82" s="1530">
        <f t="shared" si="15"/>
        <v>0</v>
      </c>
      <c r="F82" s="1530">
        <f t="shared" si="15"/>
        <v>0</v>
      </c>
      <c r="G82" s="1530">
        <f t="shared" si="15"/>
        <v>0</v>
      </c>
      <c r="H82" s="1530">
        <f t="shared" si="15"/>
        <v>0</v>
      </c>
      <c r="I82" s="1530">
        <f t="shared" si="15"/>
        <v>0</v>
      </c>
      <c r="J82" s="1530">
        <f t="shared" si="15"/>
        <v>0</v>
      </c>
      <c r="K82" s="1530">
        <f t="shared" si="15"/>
        <v>0</v>
      </c>
      <c r="L82" s="1531">
        <f t="shared" si="15"/>
        <v>373000000000</v>
      </c>
      <c r="M82" s="1531">
        <f t="shared" si="15"/>
        <v>297000000000</v>
      </c>
      <c r="N82" s="1531">
        <f t="shared" si="15"/>
        <v>560000000000</v>
      </c>
      <c r="O82" s="1531">
        <f t="shared" si="15"/>
        <v>0</v>
      </c>
      <c r="P82" s="1531">
        <f t="shared" si="15"/>
        <v>0</v>
      </c>
      <c r="Q82" s="1531">
        <f t="shared" si="15"/>
        <v>0</v>
      </c>
      <c r="R82" s="1531">
        <f t="shared" si="15"/>
        <v>0</v>
      </c>
      <c r="S82" s="1531">
        <f t="shared" si="15"/>
        <v>0</v>
      </c>
      <c r="T82" s="1531">
        <f t="shared" si="15"/>
        <v>0</v>
      </c>
      <c r="U82" s="1531">
        <f t="shared" si="15"/>
        <v>0</v>
      </c>
      <c r="V82" s="1531">
        <f t="shared" si="15"/>
        <v>0</v>
      </c>
      <c r="W82" s="1531">
        <f t="shared" si="15"/>
        <v>1000000000</v>
      </c>
      <c r="X82" s="1531">
        <f t="shared" si="15"/>
        <v>0</v>
      </c>
      <c r="Y82" s="1531">
        <f t="shared" si="15"/>
        <v>0</v>
      </c>
      <c r="Z82" s="1531">
        <f t="shared" si="15"/>
        <v>1000000000</v>
      </c>
    </row>
    <row r="83" spans="2:26">
      <c r="B83" s="1494" t="s">
        <v>145</v>
      </c>
      <c r="D83" s="1530">
        <f t="shared" ref="D83:Z83" si="16">D36-D37-D44-D48-D51</f>
        <v>0</v>
      </c>
      <c r="E83" s="1530">
        <f t="shared" si="16"/>
        <v>-1000000000</v>
      </c>
      <c r="F83" s="1530">
        <f t="shared" si="16"/>
        <v>0</v>
      </c>
      <c r="G83" s="1530">
        <f t="shared" si="16"/>
        <v>0</v>
      </c>
      <c r="H83" s="1530">
        <f t="shared" si="16"/>
        <v>0</v>
      </c>
      <c r="I83" s="1530">
        <f t="shared" si="16"/>
        <v>0</v>
      </c>
      <c r="J83" s="1530">
        <f t="shared" si="16"/>
        <v>0</v>
      </c>
      <c r="K83" s="1530">
        <f t="shared" si="16"/>
        <v>0</v>
      </c>
      <c r="L83" s="1530">
        <f t="shared" si="16"/>
        <v>1000000000</v>
      </c>
      <c r="M83" s="1530">
        <f t="shared" si="16"/>
        <v>0</v>
      </c>
      <c r="N83" s="1530">
        <f t="shared" si="16"/>
        <v>0</v>
      </c>
      <c r="O83" s="1530">
        <f t="shared" si="16"/>
        <v>1000000000</v>
      </c>
      <c r="P83" s="1530">
        <f t="shared" si="16"/>
        <v>0</v>
      </c>
      <c r="Q83" s="1530">
        <f t="shared" si="16"/>
        <v>0</v>
      </c>
      <c r="R83" s="1530">
        <f t="shared" si="16"/>
        <v>-1000000000</v>
      </c>
      <c r="S83" s="1530">
        <f t="shared" si="16"/>
        <v>0</v>
      </c>
      <c r="T83" s="1530">
        <f t="shared" si="16"/>
        <v>0</v>
      </c>
      <c r="U83" s="1530">
        <f t="shared" si="16"/>
        <v>0</v>
      </c>
      <c r="V83" s="1530">
        <f t="shared" si="16"/>
        <v>0</v>
      </c>
      <c r="W83" s="1530">
        <f t="shared" si="16"/>
        <v>1000000000</v>
      </c>
      <c r="X83" s="1530">
        <f t="shared" si="16"/>
        <v>0</v>
      </c>
      <c r="Y83" s="1530">
        <f t="shared" si="16"/>
        <v>0</v>
      </c>
      <c r="Z83" s="1530">
        <f t="shared" si="16"/>
        <v>0</v>
      </c>
    </row>
    <row r="84" spans="2:26">
      <c r="B84" s="1494" t="s">
        <v>826</v>
      </c>
      <c r="D84" s="1530">
        <f t="shared" ref="D84:Z84" si="17">D37-D38-D39-D40-D43</f>
        <v>0</v>
      </c>
      <c r="E84" s="1530">
        <f t="shared" si="17"/>
        <v>0</v>
      </c>
      <c r="F84" s="1530">
        <f t="shared" si="17"/>
        <v>0</v>
      </c>
      <c r="G84" s="1530">
        <f t="shared" si="17"/>
        <v>1000000000</v>
      </c>
      <c r="H84" s="1530">
        <f t="shared" si="17"/>
        <v>0</v>
      </c>
      <c r="I84" s="1530">
        <f t="shared" si="17"/>
        <v>1000000000</v>
      </c>
      <c r="J84" s="1530">
        <f t="shared" si="17"/>
        <v>-1000000000</v>
      </c>
      <c r="K84" s="1530">
        <f t="shared" si="17"/>
        <v>0</v>
      </c>
      <c r="L84" s="1530">
        <f t="shared" si="17"/>
        <v>1000000000</v>
      </c>
      <c r="M84" s="1530">
        <f t="shared" si="17"/>
        <v>-1000000000</v>
      </c>
      <c r="N84" s="1530">
        <f t="shared" si="17"/>
        <v>1000000000.0002441</v>
      </c>
      <c r="O84" s="1530">
        <f t="shared" si="17"/>
        <v>0</v>
      </c>
      <c r="P84" s="1530">
        <f t="shared" si="17"/>
        <v>0</v>
      </c>
      <c r="Q84" s="1530">
        <f t="shared" si="17"/>
        <v>0</v>
      </c>
      <c r="R84" s="1530">
        <f t="shared" si="17"/>
        <v>0</v>
      </c>
      <c r="S84" s="1530">
        <f t="shared" si="17"/>
        <v>-1000000000</v>
      </c>
      <c r="T84" s="1530">
        <f t="shared" si="17"/>
        <v>0</v>
      </c>
      <c r="U84" s="1530">
        <f t="shared" si="17"/>
        <v>0</v>
      </c>
      <c r="V84" s="1530">
        <f t="shared" si="17"/>
        <v>0</v>
      </c>
      <c r="W84" s="1530">
        <f t="shared" si="17"/>
        <v>0</v>
      </c>
      <c r="X84" s="1530">
        <f t="shared" si="17"/>
        <v>1000000000</v>
      </c>
      <c r="Y84" s="1530">
        <f t="shared" si="17"/>
        <v>0</v>
      </c>
      <c r="Z84" s="1530">
        <f t="shared" si="17"/>
        <v>0</v>
      </c>
    </row>
    <row r="85" spans="2:26">
      <c r="B85" s="1494" t="s">
        <v>291</v>
      </c>
      <c r="D85" s="1530">
        <f t="shared" ref="D85:Z85" si="18">D40-D41-D42</f>
        <v>0</v>
      </c>
      <c r="E85" s="1530">
        <f t="shared" si="18"/>
        <v>0</v>
      </c>
      <c r="F85" s="1530">
        <f t="shared" si="18"/>
        <v>0</v>
      </c>
      <c r="G85" s="1530">
        <f t="shared" si="18"/>
        <v>0</v>
      </c>
      <c r="H85" s="1530">
        <f t="shared" si="18"/>
        <v>0</v>
      </c>
      <c r="I85" s="1530">
        <f t="shared" si="18"/>
        <v>0</v>
      </c>
      <c r="J85" s="1530">
        <f t="shared" si="18"/>
        <v>0</v>
      </c>
      <c r="K85" s="1530">
        <f t="shared" si="18"/>
        <v>0</v>
      </c>
      <c r="L85" s="1530">
        <f t="shared" si="18"/>
        <v>0</v>
      </c>
      <c r="M85" s="1530">
        <f t="shared" si="18"/>
        <v>0</v>
      </c>
      <c r="N85" s="1530">
        <f t="shared" si="18"/>
        <v>0</v>
      </c>
      <c r="O85" s="1530">
        <f t="shared" si="18"/>
        <v>0</v>
      </c>
      <c r="P85" s="1530">
        <f t="shared" si="18"/>
        <v>0</v>
      </c>
      <c r="Q85" s="1530">
        <f t="shared" si="18"/>
        <v>0</v>
      </c>
      <c r="R85" s="1530">
        <f t="shared" si="18"/>
        <v>0</v>
      </c>
      <c r="S85" s="1530">
        <f t="shared" si="18"/>
        <v>0</v>
      </c>
      <c r="T85" s="1530">
        <f t="shared" si="18"/>
        <v>0</v>
      </c>
      <c r="U85" s="1530">
        <f t="shared" si="18"/>
        <v>0</v>
      </c>
      <c r="V85" s="1530">
        <f t="shared" si="18"/>
        <v>0</v>
      </c>
      <c r="W85" s="1530">
        <f t="shared" si="18"/>
        <v>0</v>
      </c>
      <c r="X85" s="1530">
        <f t="shared" si="18"/>
        <v>0</v>
      </c>
      <c r="Y85" s="1530">
        <f t="shared" si="18"/>
        <v>0</v>
      </c>
      <c r="Z85" s="1530">
        <f t="shared" si="18"/>
        <v>0</v>
      </c>
    </row>
    <row r="86" spans="2:26">
      <c r="B86" s="1494" t="s">
        <v>876</v>
      </c>
      <c r="D86" s="1530">
        <f t="shared" ref="D86:Z86" si="19">D44-D45-D47</f>
        <v>0</v>
      </c>
      <c r="E86" s="1531">
        <f t="shared" si="19"/>
        <v>2045000000000</v>
      </c>
      <c r="F86" s="1531">
        <f t="shared" si="19"/>
        <v>1785000000000</v>
      </c>
      <c r="G86" s="1531">
        <f t="shared" si="19"/>
        <v>2370000000000</v>
      </c>
      <c r="H86" s="1531">
        <f t="shared" si="19"/>
        <v>1646000000000</v>
      </c>
      <c r="I86" s="1531">
        <f t="shared" si="19"/>
        <v>2261000000000</v>
      </c>
      <c r="J86" s="1530">
        <f t="shared" si="19"/>
        <v>0</v>
      </c>
      <c r="K86" s="1530">
        <f t="shared" si="19"/>
        <v>0</v>
      </c>
      <c r="L86" s="1530">
        <f t="shared" si="19"/>
        <v>0</v>
      </c>
      <c r="M86" s="1530">
        <f t="shared" si="19"/>
        <v>0</v>
      </c>
      <c r="N86" s="1530">
        <f t="shared" si="19"/>
        <v>-1000000000</v>
      </c>
      <c r="O86" s="1531">
        <f t="shared" si="19"/>
        <v>7977000000000</v>
      </c>
      <c r="P86" s="1531">
        <f t="shared" si="19"/>
        <v>8850000000000</v>
      </c>
      <c r="Q86" s="1531">
        <f t="shared" si="19"/>
        <v>9849000000000</v>
      </c>
      <c r="R86" s="1530">
        <f t="shared" si="19"/>
        <v>1000000000</v>
      </c>
      <c r="S86" s="1530">
        <f t="shared" si="19"/>
        <v>1000000000</v>
      </c>
      <c r="T86" s="1530">
        <f t="shared" si="19"/>
        <v>0</v>
      </c>
      <c r="U86" s="1562">
        <f t="shared" si="19"/>
        <v>0</v>
      </c>
      <c r="V86" s="1530">
        <f t="shared" si="19"/>
        <v>0</v>
      </c>
      <c r="W86" s="1530">
        <f t="shared" si="19"/>
        <v>0</v>
      </c>
      <c r="X86" s="1530">
        <f t="shared" si="19"/>
        <v>0</v>
      </c>
      <c r="Y86" s="1530">
        <f t="shared" si="19"/>
        <v>1000000000</v>
      </c>
      <c r="Z86" s="1530">
        <f t="shared" si="19"/>
        <v>-1000000000</v>
      </c>
    </row>
    <row r="87" spans="2:26">
      <c r="B87" s="1494" t="s">
        <v>148</v>
      </c>
      <c r="D87" s="1530">
        <f t="shared" ref="D87:K87" si="20">D56-D58-D69</f>
        <v>0</v>
      </c>
      <c r="E87" s="1530">
        <f t="shared" si="20"/>
        <v>0</v>
      </c>
      <c r="F87" s="1530">
        <f t="shared" si="20"/>
        <v>0</v>
      </c>
      <c r="G87" s="1530">
        <f t="shared" si="20"/>
        <v>0</v>
      </c>
      <c r="H87" s="1530">
        <f t="shared" si="20"/>
        <v>0</v>
      </c>
      <c r="I87" s="1530">
        <f t="shared" si="20"/>
        <v>1000000000</v>
      </c>
      <c r="J87" s="1530">
        <f t="shared" si="20"/>
        <v>1000000000</v>
      </c>
      <c r="K87" s="1530">
        <f t="shared" si="20"/>
        <v>0</v>
      </c>
      <c r="L87" s="1530">
        <f>L56-L58-L69</f>
        <v>0</v>
      </c>
      <c r="M87" s="1530">
        <f t="shared" ref="M87:Q87" si="21">M56-M58-M69</f>
        <v>1000000000</v>
      </c>
      <c r="N87" s="1530">
        <f t="shared" si="21"/>
        <v>0</v>
      </c>
      <c r="O87" s="1530">
        <f t="shared" si="21"/>
        <v>1000000000</v>
      </c>
      <c r="P87" s="1530">
        <f t="shared" si="21"/>
        <v>1000000000</v>
      </c>
      <c r="Q87" s="1530">
        <f t="shared" si="21"/>
        <v>-1000000000</v>
      </c>
      <c r="R87" s="1562">
        <f>R56-R58-R69</f>
        <v>0</v>
      </c>
      <c r="S87" s="1562">
        <f t="shared" ref="S87:Z87" si="22">S56-S58-S69</f>
        <v>0</v>
      </c>
      <c r="T87" s="1562">
        <f t="shared" si="22"/>
        <v>0</v>
      </c>
      <c r="U87" s="1530">
        <f t="shared" si="22"/>
        <v>0</v>
      </c>
      <c r="V87" s="1530">
        <f t="shared" si="22"/>
        <v>1000000000</v>
      </c>
      <c r="W87" s="1530">
        <f t="shared" si="22"/>
        <v>0</v>
      </c>
      <c r="X87" s="1530">
        <f t="shared" si="22"/>
        <v>-1000000000</v>
      </c>
      <c r="Y87" s="1530">
        <f t="shared" si="22"/>
        <v>-1000000000</v>
      </c>
      <c r="Z87" s="1530">
        <f t="shared" si="22"/>
        <v>0</v>
      </c>
    </row>
    <row r="88" spans="2:26">
      <c r="B88" s="1494" t="s">
        <v>528</v>
      </c>
      <c r="D88" s="1530">
        <f>D71+D72-D70</f>
        <v>0</v>
      </c>
      <c r="E88" s="1530">
        <f t="shared" ref="E88:Q88" si="23">E71+E72-E70</f>
        <v>0</v>
      </c>
      <c r="F88" s="1530">
        <f t="shared" si="23"/>
        <v>0</v>
      </c>
      <c r="G88" s="1530">
        <f t="shared" si="23"/>
        <v>0</v>
      </c>
      <c r="H88" s="1531">
        <f t="shared" si="23"/>
        <v>-923000000000</v>
      </c>
      <c r="I88" s="1531">
        <f t="shared" si="23"/>
        <v>-1254000000000</v>
      </c>
      <c r="J88" s="1530">
        <f t="shared" si="23"/>
        <v>1000000000</v>
      </c>
      <c r="K88" s="1530">
        <f t="shared" si="23"/>
        <v>0</v>
      </c>
      <c r="L88" s="1531">
        <f t="shared" si="23"/>
        <v>-1363000000000</v>
      </c>
      <c r="M88" s="1531">
        <f t="shared" si="23"/>
        <v>-967000000000</v>
      </c>
      <c r="N88" s="1531">
        <f t="shared" si="23"/>
        <v>-851000000000</v>
      </c>
      <c r="O88" s="1531">
        <f t="shared" si="23"/>
        <v>-1262000000000</v>
      </c>
      <c r="P88" s="1531">
        <f t="shared" si="23"/>
        <v>-1038000000000</v>
      </c>
      <c r="Q88" s="1531">
        <f t="shared" si="23"/>
        <v>-981000000000</v>
      </c>
      <c r="R88" s="1531">
        <f>R69-R71-R72</f>
        <v>3259000000000</v>
      </c>
      <c r="S88" s="1531">
        <f t="shared" ref="S88:Z88" si="24">S69-S71-S72</f>
        <v>4876000000000</v>
      </c>
      <c r="T88" s="1531">
        <f t="shared" si="24"/>
        <v>6364000000000</v>
      </c>
      <c r="U88" s="1531">
        <f t="shared" si="24"/>
        <v>2146000000000</v>
      </c>
      <c r="V88" s="1531">
        <f t="shared" si="24"/>
        <v>2127000000000</v>
      </c>
      <c r="W88" s="1531">
        <f t="shared" si="24"/>
        <v>2087000000000</v>
      </c>
      <c r="X88" s="1531">
        <f t="shared" si="24"/>
        <v>2476000000000</v>
      </c>
      <c r="Y88" s="1531">
        <f t="shared" si="24"/>
        <v>2748000000000</v>
      </c>
      <c r="Z88" s="1531">
        <f t="shared" si="24"/>
        <v>3100000000000</v>
      </c>
    </row>
    <row r="89" spans="2:26">
      <c r="B89" s="1494" t="s">
        <v>209</v>
      </c>
      <c r="D89" s="1530">
        <f>D58-D60-D63-D65</f>
        <v>0</v>
      </c>
      <c r="E89" s="1531">
        <f>E58-E60-E63-E65</f>
        <v>253000000000</v>
      </c>
      <c r="F89" s="1531">
        <f t="shared" ref="F89:Q89" si="25">F58-F60-F63-F65</f>
        <v>83000000000</v>
      </c>
      <c r="G89" s="1531">
        <f t="shared" si="25"/>
        <v>97000000000</v>
      </c>
      <c r="H89" s="1531">
        <f t="shared" si="25"/>
        <v>-170000000000</v>
      </c>
      <c r="I89" s="1531">
        <f t="shared" si="25"/>
        <v>62000000000</v>
      </c>
      <c r="J89" s="1530">
        <f t="shared" si="25"/>
        <v>0</v>
      </c>
      <c r="K89" s="1530">
        <f t="shared" si="25"/>
        <v>0</v>
      </c>
      <c r="L89" s="1531">
        <f t="shared" si="25"/>
        <v>-214000000000</v>
      </c>
      <c r="M89" s="1531">
        <f t="shared" si="25"/>
        <v>2365000000000</v>
      </c>
      <c r="N89" s="1531">
        <f t="shared" si="25"/>
        <v>1767000000000</v>
      </c>
      <c r="O89" s="1531">
        <f t="shared" si="25"/>
        <v>708000000000</v>
      </c>
      <c r="P89" s="1531">
        <f t="shared" si="25"/>
        <v>1945000000000</v>
      </c>
      <c r="Q89" s="1531">
        <f t="shared" si="25"/>
        <v>2818000000000</v>
      </c>
      <c r="R89" s="1531">
        <f t="shared" ref="R89:Z89" si="26">R59-R60-R63-R65</f>
        <v>-260000000000</v>
      </c>
      <c r="S89" s="1531">
        <f t="shared" si="26"/>
        <v>1726000000000</v>
      </c>
      <c r="T89" s="1531">
        <f t="shared" si="26"/>
        <v>2301000000000</v>
      </c>
      <c r="U89" s="1531">
        <f t="shared" si="26"/>
        <v>0</v>
      </c>
      <c r="V89" s="1531">
        <f t="shared" si="26"/>
        <v>0</v>
      </c>
      <c r="W89" s="1531">
        <f t="shared" si="26"/>
        <v>0</v>
      </c>
      <c r="X89" s="1531">
        <f t="shared" si="26"/>
        <v>0</v>
      </c>
      <c r="Y89" s="1531">
        <f t="shared" si="26"/>
        <v>0</v>
      </c>
      <c r="Z89" s="1531">
        <f t="shared" si="26"/>
        <v>0</v>
      </c>
    </row>
    <row r="92" spans="2:26">
      <c r="D92" s="1530"/>
      <c r="O92" s="1528"/>
      <c r="P92" s="1528"/>
      <c r="Q92" s="1528"/>
      <c r="R92" s="1528"/>
      <c r="S92" s="1528"/>
    </row>
    <row r="93" spans="2:26">
      <c r="B93" s="1494" t="s">
        <v>724</v>
      </c>
      <c r="D93" s="1532">
        <v>12917501000000</v>
      </c>
      <c r="E93" s="1532">
        <v>14854167000000</v>
      </c>
      <c r="F93" s="1532">
        <v>17681983000000</v>
      </c>
      <c r="G93" s="1532">
        <v>21286993000000</v>
      </c>
      <c r="H93" s="1532">
        <v>25151512000000</v>
      </c>
      <c r="I93" s="1532">
        <v>28947784000000</v>
      </c>
      <c r="J93" s="1532">
        <v>35980924000000</v>
      </c>
      <c r="K93" s="1532">
        <v>40467082000000</v>
      </c>
      <c r="L93" s="1532">
        <v>46214711000000</v>
      </c>
      <c r="M93" s="1532">
        <v>47562295000000</v>
      </c>
      <c r="N93" s="1532">
        <v>56522565000000</v>
      </c>
      <c r="O93" s="1528">
        <v>62027000000000</v>
      </c>
      <c r="P93" s="1528">
        <v>70343000000000</v>
      </c>
      <c r="Q93" s="1528">
        <v>80199000000000</v>
      </c>
      <c r="R93" s="1528">
        <v>91898000000000</v>
      </c>
      <c r="S93" s="1528">
        <v>103576000000000</v>
      </c>
      <c r="T93" s="1532"/>
      <c r="U93" s="1532"/>
      <c r="V93" s="1532"/>
      <c r="W93" s="1532"/>
    </row>
    <row r="94" spans="2:26">
      <c r="B94" s="1494" t="s">
        <v>151</v>
      </c>
      <c r="D94" s="1494">
        <f t="shared" ref="D94:S94" si="27">(D6/D93)*100</f>
        <v>16.767949156729308</v>
      </c>
      <c r="E94" s="1494">
        <f t="shared" si="27"/>
        <v>16.668723328612099</v>
      </c>
      <c r="F94" s="1494">
        <f t="shared" si="27"/>
        <v>15.173637481723629</v>
      </c>
      <c r="G94" s="1494">
        <f t="shared" si="27"/>
        <v>13.144176821968232</v>
      </c>
      <c r="H94" s="1494">
        <f t="shared" si="27"/>
        <v>12.341206365645135</v>
      </c>
      <c r="I94" s="1494">
        <f t="shared" si="27"/>
        <v>13.424170914084478</v>
      </c>
      <c r="J94" s="1494">
        <f t="shared" si="27"/>
        <v>13.790640840685469</v>
      </c>
      <c r="K94" s="1494">
        <f t="shared" si="27"/>
        <v>15.157999284455451</v>
      </c>
      <c r="L94" s="1494">
        <f t="shared" si="27"/>
        <v>15.436643106996817</v>
      </c>
      <c r="M94" s="1494">
        <f t="shared" si="27"/>
        <v>17.028194287092326</v>
      </c>
      <c r="N94" s="1494">
        <f t="shared" si="27"/>
        <v>17.301054897278636</v>
      </c>
      <c r="O94" s="1494">
        <f t="shared" si="27"/>
        <v>22.395086010930722</v>
      </c>
      <c r="P94" s="1494">
        <f t="shared" si="27"/>
        <v>24.107587108880772</v>
      </c>
      <c r="Q94" s="1494">
        <f t="shared" si="27"/>
        <v>23.924238456838616</v>
      </c>
      <c r="R94" s="1494">
        <f t="shared" si="27"/>
        <v>25.630590437223876</v>
      </c>
      <c r="S94" s="1494">
        <f t="shared" si="27"/>
        <v>21.209546613115009</v>
      </c>
    </row>
    <row r="95" spans="2:26">
      <c r="B95" s="1494" t="s">
        <v>152</v>
      </c>
      <c r="D95" s="1494">
        <f t="shared" ref="D95:S95" si="28">(D36/D93)*100</f>
        <v>21.931486593265991</v>
      </c>
      <c r="E95" s="1494">
        <f t="shared" si="28"/>
        <v>22.040953222082397</v>
      </c>
      <c r="F95" s="1494">
        <f t="shared" si="28"/>
        <v>18.482089933012606</v>
      </c>
      <c r="G95" s="1494">
        <f t="shared" si="28"/>
        <v>18.870678446692775</v>
      </c>
      <c r="H95" s="1494">
        <f t="shared" si="28"/>
        <v>15.33506216246562</v>
      </c>
      <c r="I95" s="1494">
        <f t="shared" si="28"/>
        <v>17.97374196242448</v>
      </c>
      <c r="J95" s="1494">
        <f t="shared" si="28"/>
        <v>16.861712611938483</v>
      </c>
      <c r="K95" s="1494">
        <f t="shared" si="28"/>
        <v>17.574778433493179</v>
      </c>
      <c r="L95" s="1494">
        <f t="shared" si="28"/>
        <v>17.925028244794174</v>
      </c>
      <c r="M95" s="1494">
        <f t="shared" si="28"/>
        <v>23.916003212208324</v>
      </c>
      <c r="N95" s="1494">
        <f t="shared" si="28"/>
        <v>21.764758906465058</v>
      </c>
      <c r="O95" s="1494">
        <f t="shared" si="28"/>
        <v>24.139487642478276</v>
      </c>
      <c r="P95" s="1494">
        <f t="shared" si="28"/>
        <v>24.616521899833671</v>
      </c>
      <c r="Q95" s="1494">
        <f t="shared" si="28"/>
        <v>29.552737565306302</v>
      </c>
      <c r="R95" s="1494">
        <f t="shared" si="28"/>
        <v>28.982132364142853</v>
      </c>
      <c r="S95" s="1494">
        <f t="shared" si="28"/>
        <v>26.568896269406039</v>
      </c>
    </row>
    <row r="98" spans="2:22" ht="13.5" customHeight="1">
      <c r="B98" s="1494" t="s">
        <v>153</v>
      </c>
      <c r="D98" s="1494" t="b">
        <f t="shared" ref="D98:V98" si="29">IF(D41&lt;0, (D41/D8)*100)</f>
        <v>0</v>
      </c>
      <c r="E98" s="1494" t="b">
        <f t="shared" si="29"/>
        <v>0</v>
      </c>
      <c r="F98" s="1494" t="b">
        <f t="shared" si="29"/>
        <v>0</v>
      </c>
      <c r="G98" s="1494" t="b">
        <f t="shared" si="29"/>
        <v>0</v>
      </c>
      <c r="H98" s="1494" t="b">
        <f t="shared" si="29"/>
        <v>0</v>
      </c>
      <c r="I98" s="1494" t="b">
        <f t="shared" si="29"/>
        <v>0</v>
      </c>
      <c r="J98" s="1494" t="b">
        <f t="shared" si="29"/>
        <v>0</v>
      </c>
      <c r="K98" s="1494" t="b">
        <f t="shared" si="29"/>
        <v>0</v>
      </c>
      <c r="L98" s="1494" t="b">
        <f t="shared" si="29"/>
        <v>0</v>
      </c>
      <c r="M98" s="1494" t="b">
        <f t="shared" si="29"/>
        <v>0</v>
      </c>
      <c r="N98" s="1494" t="b">
        <f t="shared" si="29"/>
        <v>0</v>
      </c>
      <c r="O98" s="1494" t="b">
        <f t="shared" si="29"/>
        <v>0</v>
      </c>
      <c r="P98" s="1494" t="b">
        <f t="shared" si="29"/>
        <v>0</v>
      </c>
      <c r="Q98" s="1494" t="b">
        <f t="shared" si="29"/>
        <v>0</v>
      </c>
      <c r="R98" s="1494" t="b">
        <f t="shared" si="29"/>
        <v>0</v>
      </c>
      <c r="S98" s="1494" t="b">
        <f t="shared" si="29"/>
        <v>0</v>
      </c>
      <c r="T98" s="1494" t="b">
        <f t="shared" si="29"/>
        <v>0</v>
      </c>
      <c r="U98" s="1494" t="b">
        <f t="shared" si="29"/>
        <v>0</v>
      </c>
      <c r="V98" s="1494"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69" t="s">
        <v>3744</v>
      </c>
      <c r="B1" s="82" t="s">
        <v>3745</v>
      </c>
      <c r="C1" s="82"/>
      <c r="D1" s="27"/>
      <c r="E1" s="27"/>
      <c r="F1" s="27"/>
      <c r="G1" s="27"/>
      <c r="H1" s="27"/>
      <c r="I1" s="27"/>
      <c r="J1" s="27"/>
      <c r="K1" s="27"/>
      <c r="L1" s="27"/>
      <c r="M1" s="27"/>
      <c r="N1" s="27"/>
      <c r="O1" s="28"/>
      <c r="P1" s="28"/>
      <c r="Q1" s="28"/>
      <c r="R1" s="29"/>
      <c r="S1" s="28"/>
      <c r="T1" s="28"/>
      <c r="U1" s="28"/>
      <c r="V1" s="28"/>
      <c r="W1" s="28"/>
      <c r="X1" s="2"/>
      <c r="Y1" s="2"/>
    </row>
    <row r="2" spans="1:25">
      <c r="B2" s="30" t="s">
        <v>3746</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3747</v>
      </c>
      <c r="S5" s="28" t="s">
        <v>3747</v>
      </c>
      <c r="T5" s="28" t="s">
        <v>32</v>
      </c>
      <c r="U5" s="28" t="s">
        <v>32</v>
      </c>
      <c r="V5" s="28" t="s">
        <v>32</v>
      </c>
      <c r="W5" s="28" t="s">
        <v>32</v>
      </c>
      <c r="X5" s="2" t="s">
        <v>32</v>
      </c>
      <c r="Y5" s="2" t="s">
        <v>32</v>
      </c>
    </row>
    <row r="6" spans="1:25" s="9" customFormat="1">
      <c r="A6" s="18" t="s">
        <v>2529</v>
      </c>
      <c r="B6" s="55" t="s">
        <v>1359</v>
      </c>
      <c r="C6" s="55" t="s">
        <v>35</v>
      </c>
      <c r="D6" s="168">
        <f t="shared" ref="D6:I6" si="0">D8+D37</f>
        <v>4839000000000</v>
      </c>
      <c r="E6" s="168">
        <f t="shared" si="0"/>
        <v>4650000000000</v>
      </c>
      <c r="F6" s="168">
        <f t="shared" si="0"/>
        <v>5849000000000</v>
      </c>
      <c r="G6" s="264">
        <f t="shared" si="0"/>
        <v>6597000000000</v>
      </c>
      <c r="H6" s="264">
        <f t="shared" si="0"/>
        <v>7485000000000</v>
      </c>
      <c r="I6" s="264">
        <f t="shared" si="0"/>
        <v>7405000000000</v>
      </c>
      <c r="J6" s="264">
        <f>J7</f>
        <v>8486000000000</v>
      </c>
      <c r="K6" s="264">
        <f t="shared" ref="K6:U6" si="1">K7</f>
        <v>9221000000000</v>
      </c>
      <c r="L6" s="264">
        <f t="shared" si="1"/>
        <v>10741000000000</v>
      </c>
      <c r="M6" s="264">
        <f t="shared" si="1"/>
        <v>12802000000000</v>
      </c>
      <c r="N6" s="264">
        <f t="shared" si="1"/>
        <v>12738000000000</v>
      </c>
      <c r="O6" s="264">
        <f t="shared" si="1"/>
        <v>13769000000000</v>
      </c>
      <c r="P6" s="264">
        <f t="shared" si="1"/>
        <v>14462000000000</v>
      </c>
      <c r="Q6" s="264">
        <f t="shared" si="1"/>
        <v>14199000000000</v>
      </c>
      <c r="R6" s="264">
        <f t="shared" si="1"/>
        <v>16398000000000</v>
      </c>
      <c r="S6" s="264">
        <f t="shared" si="1"/>
        <v>14433000000000</v>
      </c>
      <c r="T6" s="264">
        <f t="shared" si="1"/>
        <v>14832000000000</v>
      </c>
      <c r="U6" s="264">
        <f t="shared" si="1"/>
        <v>15327000000000</v>
      </c>
      <c r="V6" s="264"/>
      <c r="W6" s="264"/>
      <c r="X6" s="264"/>
      <c r="Y6" s="264"/>
    </row>
    <row r="7" spans="1:25" ht="16.5">
      <c r="B7" s="58" t="s">
        <v>1359</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5" t="s">
        <v>38</v>
      </c>
      <c r="D8" s="319">
        <f t="shared" ref="D8:I8" si="2">D10+D26+D36</f>
        <v>4739000000000</v>
      </c>
      <c r="E8" s="319">
        <f t="shared" si="2"/>
        <v>4614000000000</v>
      </c>
      <c r="F8" s="319">
        <f t="shared" si="2"/>
        <v>5847000000000</v>
      </c>
      <c r="G8" s="319">
        <f t="shared" si="2"/>
        <v>6597000000000</v>
      </c>
      <c r="H8" s="319">
        <f t="shared" si="2"/>
        <v>7485000000000</v>
      </c>
      <c r="I8" s="319">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19">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731</v>
      </c>
      <c r="B10" s="58" t="s">
        <v>731</v>
      </c>
      <c r="C10" s="58" t="s">
        <v>41</v>
      </c>
      <c r="D10" s="298">
        <v>2936000000000</v>
      </c>
      <c r="E10" s="298">
        <v>2961000000000</v>
      </c>
      <c r="F10" s="298">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735</v>
      </c>
      <c r="C11" t="s">
        <v>44</v>
      </c>
      <c r="D11" s="298">
        <v>500000000000</v>
      </c>
      <c r="E11" s="298">
        <v>627000000000</v>
      </c>
      <c r="F11" s="298">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3748</v>
      </c>
      <c r="B12" s="65" t="s">
        <v>3749</v>
      </c>
      <c r="C12" s="58" t="s">
        <v>3750</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89"/>
      <c r="Y12" s="389"/>
    </row>
    <row r="13" spans="1:25">
      <c r="A13" s="65" t="s">
        <v>3751</v>
      </c>
      <c r="B13" s="65" t="s">
        <v>3752</v>
      </c>
      <c r="C13" s="58" t="s">
        <v>3750</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89"/>
      <c r="Y13" s="389"/>
    </row>
    <row r="14" spans="1:25">
      <c r="A14" s="65" t="s">
        <v>3753</v>
      </c>
      <c r="B14" s="65" t="s">
        <v>3754</v>
      </c>
      <c r="C14" s="58" t="s">
        <v>3750</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89"/>
      <c r="Y14" s="389"/>
    </row>
    <row r="15" spans="1:25">
      <c r="A15" s="65" t="s">
        <v>3755</v>
      </c>
      <c r="B15" s="65" t="s">
        <v>3756</v>
      </c>
      <c r="C15" s="58" t="s">
        <v>3750</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89"/>
      <c r="Y15" s="389"/>
    </row>
    <row r="16" spans="1:25">
      <c r="A16" s="65" t="s">
        <v>3757</v>
      </c>
      <c r="B16" s="65" t="s">
        <v>3758</v>
      </c>
      <c r="C16" s="58" t="s">
        <v>3750</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89"/>
      <c r="Y16" s="389"/>
    </row>
    <row r="17" spans="1:25">
      <c r="A17" s="65" t="s">
        <v>49</v>
      </c>
      <c r="B17" s="65" t="s">
        <v>1772</v>
      </c>
      <c r="C17" s="58" t="s">
        <v>3750</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2229</v>
      </c>
      <c r="B18" s="64" t="s">
        <v>3759</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3760</v>
      </c>
      <c r="B19" s="64" t="s">
        <v>3761</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3762</v>
      </c>
      <c r="B20" s="65" t="s">
        <v>3763</v>
      </c>
      <c r="C20" s="58" t="s">
        <v>3764</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2670</v>
      </c>
      <c r="B21" s="66" t="s">
        <v>2670</v>
      </c>
      <c r="C21" s="58" t="s">
        <v>3764</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3765</v>
      </c>
      <c r="B22" s="64" t="s">
        <v>3766</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89"/>
      <c r="Y22" s="389"/>
    </row>
    <row r="23" spans="1:25">
      <c r="A23" s="65" t="s">
        <v>3767</v>
      </c>
      <c r="B23" s="65" t="s">
        <v>3767</v>
      </c>
      <c r="C23" s="58" t="s">
        <v>3768</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89"/>
      <c r="Y23" s="389"/>
    </row>
    <row r="24" spans="1:25">
      <c r="A24" s="65" t="s">
        <v>553</v>
      </c>
      <c r="B24" s="65" t="s">
        <v>553</v>
      </c>
      <c r="C24" s="58" t="s">
        <v>3768</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89"/>
      <c r="Y24" s="389"/>
    </row>
    <row r="25" spans="1:25" ht="16.5">
      <c r="A25" s="64" t="s">
        <v>49</v>
      </c>
      <c r="B25" s="64" t="s">
        <v>3769</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89"/>
      <c r="Y25" s="389"/>
    </row>
    <row r="26" spans="1:25">
      <c r="A26" s="58" t="s">
        <v>51</v>
      </c>
      <c r="B26" s="58" t="s">
        <v>843</v>
      </c>
      <c r="C26" s="58" t="s">
        <v>41</v>
      </c>
      <c r="D26" s="319">
        <f>D28+D31+D32+D35</f>
        <v>1242000000000</v>
      </c>
      <c r="E26" s="319">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7" t="s">
        <v>843</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89"/>
      <c r="Y27" s="389"/>
    </row>
    <row r="28" spans="1:25" ht="16.5">
      <c r="A28" s="20" t="s">
        <v>3770</v>
      </c>
      <c r="B28" s="20" t="s">
        <v>3771</v>
      </c>
      <c r="C28" s="58" t="s">
        <v>3772</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89"/>
      <c r="Y28" s="389"/>
    </row>
    <row r="29" spans="1:25" ht="16.5">
      <c r="A29" s="100" t="s">
        <v>3773</v>
      </c>
      <c r="B29" s="100" t="s">
        <v>3774</v>
      </c>
      <c r="C29" s="58" t="s">
        <v>3775</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89"/>
      <c r="Y29" s="389"/>
    </row>
    <row r="30" spans="1:25" ht="16.5">
      <c r="A30" s="126" t="s">
        <v>50</v>
      </c>
      <c r="B30" s="126" t="s">
        <v>50</v>
      </c>
      <c r="C30" s="58" t="s">
        <v>3775</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89"/>
      <c r="Y30" s="389"/>
    </row>
    <row r="31" spans="1:25" ht="16.5">
      <c r="A31" s="20" t="s">
        <v>3776</v>
      </c>
      <c r="B31" s="20" t="s">
        <v>3777</v>
      </c>
      <c r="C31" s="58" t="s">
        <v>3772</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89"/>
      <c r="Y31" s="389"/>
    </row>
    <row r="32" spans="1:25" ht="16.5">
      <c r="A32" s="20" t="s">
        <v>2234</v>
      </c>
      <c r="B32" s="20" t="s">
        <v>1155</v>
      </c>
      <c r="C32" s="58" t="s">
        <v>3772</v>
      </c>
      <c r="D32" s="125">
        <v>95000000000</v>
      </c>
      <c r="E32" s="125">
        <v>108000000000</v>
      </c>
      <c r="F32" s="125">
        <v>98000000000</v>
      </c>
      <c r="G32" s="178">
        <v>81000000000</v>
      </c>
      <c r="H32" s="178">
        <v>93000000000</v>
      </c>
      <c r="I32" s="178">
        <v>89000000000</v>
      </c>
      <c r="J32" s="125">
        <v>91000000000</v>
      </c>
      <c r="K32" s="125">
        <v>86000000000</v>
      </c>
      <c r="L32" s="125"/>
      <c r="M32" s="142"/>
      <c r="N32" s="142"/>
      <c r="O32" s="449">
        <f t="shared" ref="O32:Q32" si="6">O34</f>
        <v>1206000000000</v>
      </c>
      <c r="P32" s="449">
        <f t="shared" si="6"/>
        <v>1128000000000</v>
      </c>
      <c r="Q32" s="449">
        <f t="shared" si="6"/>
        <v>1112000000000</v>
      </c>
      <c r="R32" s="210"/>
      <c r="S32" s="210"/>
      <c r="T32" s="210"/>
      <c r="U32" s="210"/>
      <c r="V32" s="210"/>
      <c r="W32" s="210"/>
      <c r="X32" s="210"/>
      <c r="Y32" s="210"/>
    </row>
    <row r="33" spans="1:25" ht="16.5">
      <c r="A33" s="99" t="s">
        <v>3778</v>
      </c>
      <c r="B33" s="99" t="s">
        <v>3779</v>
      </c>
      <c r="C33" s="58" t="s">
        <v>3780</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3780</v>
      </c>
      <c r="D34" s="319">
        <f>D32-D33</f>
        <v>85000000000</v>
      </c>
      <c r="E34" s="319">
        <f>E32-E33</f>
        <v>74000000000</v>
      </c>
      <c r="F34" s="125">
        <v>76000000000</v>
      </c>
      <c r="G34" s="178">
        <v>75000000000</v>
      </c>
      <c r="H34" s="178">
        <v>88000000000</v>
      </c>
      <c r="I34" s="178">
        <v>85000000000</v>
      </c>
      <c r="J34" s="125"/>
      <c r="K34" s="125"/>
      <c r="L34" s="125"/>
      <c r="M34" s="142"/>
      <c r="N34" s="142"/>
      <c r="O34" s="300">
        <f t="shared" ref="O34:Q34" si="7">O27-O35</f>
        <v>1206000000000</v>
      </c>
      <c r="P34" s="300">
        <f t="shared" si="7"/>
        <v>1128000000000</v>
      </c>
      <c r="Q34" s="300">
        <f t="shared" si="7"/>
        <v>1112000000000</v>
      </c>
      <c r="R34" s="210"/>
      <c r="S34" s="210"/>
      <c r="T34" s="210"/>
      <c r="U34" s="210"/>
      <c r="V34" s="210"/>
      <c r="W34" s="210"/>
      <c r="X34" s="210"/>
      <c r="Y34" s="210"/>
    </row>
    <row r="35" spans="1:25" ht="16.5">
      <c r="A35" s="450" t="s">
        <v>3781</v>
      </c>
      <c r="B35" s="450" t="s">
        <v>3782</v>
      </c>
      <c r="C35" s="58" t="s">
        <v>3772</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89"/>
      <c r="Y35" s="389"/>
    </row>
    <row r="36" spans="1:25" ht="16.5">
      <c r="A36" s="58" t="s">
        <v>3783</v>
      </c>
      <c r="B36" s="58" t="s">
        <v>3784</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89"/>
      <c r="Y36" s="389"/>
    </row>
    <row r="37" spans="1:25">
      <c r="A37" s="58" t="s">
        <v>53</v>
      </c>
      <c r="B37" s="58" t="s">
        <v>53</v>
      </c>
      <c r="C37" s="345"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89"/>
      <c r="Y37" s="389"/>
    </row>
    <row r="38" spans="1:25" s="9" customFormat="1">
      <c r="A38" s="170" t="s">
        <v>71</v>
      </c>
      <c r="B38" s="55" t="s">
        <v>71</v>
      </c>
      <c r="C38" s="55" t="s">
        <v>35</v>
      </c>
      <c r="D38" s="319">
        <f>D40+D56</f>
        <v>10886000000000</v>
      </c>
      <c r="E38" s="295">
        <f>E39</f>
        <v>9432000000000</v>
      </c>
      <c r="F38" s="295">
        <f>F39+F53</f>
        <v>9778000000000</v>
      </c>
      <c r="G38" s="295">
        <f>G39+G53</f>
        <v>10564000000000</v>
      </c>
      <c r="H38" s="295">
        <f>H39+H53</f>
        <v>10277000000000</v>
      </c>
      <c r="I38" s="295">
        <f>I39+I53</f>
        <v>10135000000000</v>
      </c>
      <c r="J38" s="328">
        <f>J40+J56</f>
        <v>12425000000000</v>
      </c>
      <c r="K38" s="328">
        <f>K40+K56</f>
        <v>13904000000000</v>
      </c>
      <c r="L38" s="263">
        <f t="shared" ref="L38:U38" si="8">L39</f>
        <v>15101000000000</v>
      </c>
      <c r="M38" s="263">
        <f t="shared" si="8"/>
        <v>17095000000000</v>
      </c>
      <c r="N38" s="263">
        <f t="shared" si="8"/>
        <v>16963000000000</v>
      </c>
      <c r="O38" s="263">
        <f t="shared" si="8"/>
        <v>17590000000000</v>
      </c>
      <c r="P38" s="263">
        <f t="shared" si="8"/>
        <v>20143000000000</v>
      </c>
      <c r="Q38" s="263">
        <f t="shared" si="8"/>
        <v>20512000000000</v>
      </c>
      <c r="R38" s="263">
        <f t="shared" si="8"/>
        <v>20939000000000</v>
      </c>
      <c r="S38" s="263">
        <f t="shared" si="8"/>
        <v>20066000000000</v>
      </c>
      <c r="T38" s="263">
        <f t="shared" si="8"/>
        <v>21029000000000</v>
      </c>
      <c r="U38" s="263">
        <f t="shared" si="8"/>
        <v>22099000000000</v>
      </c>
      <c r="V38" s="263"/>
      <c r="W38" s="263"/>
      <c r="X38" s="263"/>
      <c r="Y38" s="263"/>
    </row>
    <row r="39" spans="1:25" ht="16.5">
      <c r="A39" t="s">
        <v>76</v>
      </c>
      <c r="B39" s="58" t="s">
        <v>3785</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48" t="s">
        <v>476</v>
      </c>
      <c r="B40" s="58" t="s">
        <v>3786</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3787</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89"/>
      <c r="Y41" s="389"/>
    </row>
    <row r="42" spans="1:25" ht="16.5">
      <c r="A42" s="64" t="s">
        <v>3788</v>
      </c>
      <c r="B42" s="64" t="s">
        <v>3789</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479</v>
      </c>
      <c r="C43" s="58" t="s">
        <v>2186</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89"/>
      <c r="Y43" s="389"/>
    </row>
    <row r="44" spans="1:25" ht="16.5">
      <c r="A44" s="126" t="s">
        <v>87</v>
      </c>
      <c r="B44" s="126" t="s">
        <v>87</v>
      </c>
      <c r="C44" s="58" t="s">
        <v>2186</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89"/>
      <c r="Y44" s="389"/>
    </row>
    <row r="45" spans="1:25" ht="16.5">
      <c r="A45" s="466" t="s">
        <v>3790</v>
      </c>
      <c r="B45" s="64" t="s">
        <v>3791</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3792</v>
      </c>
      <c r="B46" s="64" t="s">
        <v>3793</v>
      </c>
      <c r="C46" s="58" t="s">
        <v>204</v>
      </c>
      <c r="D46" s="125">
        <v>2406000000000</v>
      </c>
      <c r="E46" s="125">
        <v>956000000000</v>
      </c>
      <c r="F46" s="125">
        <v>1417000000000</v>
      </c>
      <c r="G46" s="178">
        <v>1456000000000</v>
      </c>
      <c r="H46" s="178">
        <v>2026000000000</v>
      </c>
      <c r="I46" s="178">
        <v>2195000000000</v>
      </c>
      <c r="J46" s="328">
        <f>J47+J48+J49+J50+J51+J52</f>
        <v>2743000000000</v>
      </c>
      <c r="K46" s="328">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3794</v>
      </c>
      <c r="B47" s="100" t="s">
        <v>3795</v>
      </c>
      <c r="C47" s="58" t="s">
        <v>1917</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89"/>
      <c r="Y47" s="389"/>
    </row>
    <row r="48" spans="1:25" ht="16.5">
      <c r="A48" s="100" t="s">
        <v>3796</v>
      </c>
      <c r="B48" s="100" t="s">
        <v>3797</v>
      </c>
      <c r="C48" s="58" t="s">
        <v>1917</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89"/>
      <c r="Y48" s="389"/>
    </row>
    <row r="49" spans="1:25" ht="16.5">
      <c r="A49" s="100" t="s">
        <v>2808</v>
      </c>
      <c r="B49" s="100" t="s">
        <v>3798</v>
      </c>
      <c r="C49" s="58" t="s">
        <v>1917</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89"/>
      <c r="Y49" s="389"/>
    </row>
    <row r="50" spans="1:25" ht="16.5">
      <c r="A50" s="126" t="s">
        <v>50</v>
      </c>
      <c r="B50" s="126" t="s">
        <v>50</v>
      </c>
      <c r="C50" s="58" t="s">
        <v>1917</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89"/>
      <c r="Y50" s="389"/>
    </row>
    <row r="51" spans="1:25" ht="16.5">
      <c r="A51" s="100" t="s">
        <v>3799</v>
      </c>
      <c r="B51" s="100" t="s">
        <v>3800</v>
      </c>
      <c r="C51" s="58" t="s">
        <v>1917</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89"/>
      <c r="Y51" s="389"/>
    </row>
    <row r="52" spans="1:25" ht="16.5">
      <c r="A52" s="100" t="s">
        <v>3801</v>
      </c>
      <c r="B52" s="100" t="s">
        <v>3802</v>
      </c>
      <c r="C52" s="58" t="s">
        <v>1917</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89"/>
      <c r="Y52" s="389"/>
    </row>
    <row r="53" spans="1:25" ht="16.5">
      <c r="A53" s="64" t="s">
        <v>90</v>
      </c>
      <c r="B53" s="64" t="s">
        <v>751</v>
      </c>
      <c r="C53" s="58" t="s">
        <v>204</v>
      </c>
      <c r="D53" s="319">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3803</v>
      </c>
      <c r="B54" s="65" t="s">
        <v>3804</v>
      </c>
      <c r="C54" s="58" t="s">
        <v>1525</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3805</v>
      </c>
      <c r="B55" s="65" t="s">
        <v>3806</v>
      </c>
      <c r="C55" s="58" t="s">
        <v>1525</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1812</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3512</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3515</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3807</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3808</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3809</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3810</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3811</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3812</v>
      </c>
      <c r="C64" s="55" t="s">
        <v>35</v>
      </c>
      <c r="D64" s="295">
        <v>5431000000000</v>
      </c>
      <c r="E64" s="295">
        <v>5345000000000</v>
      </c>
      <c r="F64" s="295">
        <v>4450000000000</v>
      </c>
      <c r="G64" s="263">
        <v>4093000000000</v>
      </c>
      <c r="H64" s="295">
        <v>3119000000000</v>
      </c>
      <c r="I64" s="263">
        <v>2808000000000</v>
      </c>
      <c r="J64" s="263">
        <v>3510000000000</v>
      </c>
      <c r="K64" s="263">
        <v>4104000000000</v>
      </c>
      <c r="L64" s="295">
        <v>4327000000000</v>
      </c>
      <c r="M64" s="304">
        <v>4321000000000</v>
      </c>
      <c r="N64" s="304">
        <v>4327000000000</v>
      </c>
      <c r="O64" s="296">
        <v>3578000000000</v>
      </c>
      <c r="P64" s="304">
        <v>5597000000000</v>
      </c>
      <c r="Q64" s="304">
        <v>6235000000000</v>
      </c>
      <c r="R64" s="304">
        <v>4541000000000</v>
      </c>
      <c r="S64" s="304">
        <v>5633000000000</v>
      </c>
      <c r="T64" s="304">
        <v>6197000000000</v>
      </c>
      <c r="U64" s="304">
        <v>6772000000000</v>
      </c>
      <c r="V64" s="304"/>
      <c r="W64" s="304"/>
      <c r="X64" s="304"/>
      <c r="Y64" s="304"/>
    </row>
    <row r="65" spans="1:25">
      <c r="A65" s="90" t="s">
        <v>3813</v>
      </c>
      <c r="B65" s="58" t="s">
        <v>2774</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861</v>
      </c>
      <c r="B66" s="58" t="s">
        <v>3814</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3815</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89"/>
      <c r="Y67" s="389"/>
    </row>
    <row r="68" spans="1:25" ht="16.5">
      <c r="A68" t="s">
        <v>76</v>
      </c>
      <c r="B68" s="257" t="s">
        <v>698</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89"/>
      <c r="Y68" s="389"/>
    </row>
    <row r="69" spans="1:25" ht="16.5">
      <c r="A69" t="s">
        <v>76</v>
      </c>
      <c r="B69" s="117" t="s">
        <v>1355</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89"/>
      <c r="Y69" s="389"/>
    </row>
    <row r="70" spans="1:25" ht="16.5">
      <c r="A70" t="s">
        <v>76</v>
      </c>
      <c r="B70" s="90" t="s">
        <v>3816</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89"/>
      <c r="Y70" s="389"/>
    </row>
    <row r="71" spans="1:25" ht="16.5">
      <c r="A71" t="s">
        <v>76</v>
      </c>
      <c r="B71" s="117" t="s">
        <v>3141</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89"/>
      <c r="Y71" s="389"/>
    </row>
    <row r="72" spans="1:25" ht="16.5">
      <c r="A72" t="s">
        <v>3817</v>
      </c>
      <c r="B72" s="58" t="s">
        <v>3818</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89"/>
      <c r="Y72" s="389"/>
    </row>
    <row r="73" spans="1:25" ht="16.5">
      <c r="A73" s="58" t="s">
        <v>50</v>
      </c>
      <c r="B73" s="58" t="s">
        <v>922</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89"/>
      <c r="Y73" s="389"/>
    </row>
    <row r="74" spans="1:25" ht="16.5">
      <c r="A74" t="s">
        <v>76</v>
      </c>
      <c r="B74" s="117" t="s">
        <v>3819</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89"/>
      <c r="Y74" s="389"/>
    </row>
    <row r="75" spans="1:25" ht="16.5">
      <c r="A75" t="s">
        <v>76</v>
      </c>
      <c r="B75" s="117" t="s">
        <v>3141</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89"/>
      <c r="Y75" s="389"/>
    </row>
    <row r="76" spans="1:25" ht="16.5">
      <c r="A76" t="s">
        <v>76</v>
      </c>
      <c r="B76" s="90" t="s">
        <v>3820</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89"/>
      <c r="Y76" s="389"/>
    </row>
    <row r="77" spans="1:25" ht="16.5">
      <c r="A77" t="s">
        <v>76</v>
      </c>
      <c r="B77" s="90" t="s">
        <v>3821</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89"/>
      <c r="Y77" s="389"/>
    </row>
    <row r="78" spans="1:25" ht="16.5">
      <c r="A78" t="s">
        <v>76</v>
      </c>
      <c r="B78" s="257" t="s">
        <v>3822</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89"/>
      <c r="Y78" s="389"/>
    </row>
    <row r="79" spans="1:25" ht="16.5">
      <c r="A79" s="257" t="s">
        <v>3823</v>
      </c>
      <c r="B79" s="257" t="s">
        <v>3824</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7" t="s">
        <v>1468</v>
      </c>
      <c r="B80" s="257" t="s">
        <v>1469</v>
      </c>
      <c r="C80" s="58" t="s">
        <v>252</v>
      </c>
      <c r="D80" s="125">
        <v>0</v>
      </c>
      <c r="E80" s="125">
        <v>0</v>
      </c>
      <c r="F80" s="125">
        <v>3152000000000</v>
      </c>
      <c r="G80" s="125">
        <v>2999000000000</v>
      </c>
      <c r="H80" s="125">
        <v>600000000000</v>
      </c>
      <c r="I80" s="125">
        <v>-132000000000</v>
      </c>
      <c r="J80" s="178">
        <v>0</v>
      </c>
      <c r="K80" s="178">
        <v>2380000000000</v>
      </c>
      <c r="L80" s="125">
        <v>0</v>
      </c>
      <c r="M80" s="303">
        <f t="shared" ref="M80:Q80" si="11">M64-M65-M79-M84-M85-M86</f>
        <v>-29000000000</v>
      </c>
      <c r="N80" s="303">
        <f t="shared" si="11"/>
        <v>285000000000</v>
      </c>
      <c r="O80" s="303">
        <f t="shared" si="11"/>
        <v>-38000000000</v>
      </c>
      <c r="P80" s="303">
        <f t="shared" si="11"/>
        <v>914000000000</v>
      </c>
      <c r="Q80" s="303">
        <f t="shared" si="11"/>
        <v>-825000000000</v>
      </c>
      <c r="R80" s="303">
        <f>R64-R65-R79-R84-R85-R86</f>
        <v>-112000000000</v>
      </c>
      <c r="S80" s="303">
        <f t="shared" ref="S80:U80" si="12">S64-S65-S79-S84-S85-S86</f>
        <v>-30000000000</v>
      </c>
      <c r="T80" s="303">
        <f t="shared" si="12"/>
        <v>-53000000000</v>
      </c>
      <c r="U80" s="303">
        <f t="shared" si="12"/>
        <v>-1000000000</v>
      </c>
      <c r="V80" s="303"/>
      <c r="W80" s="303"/>
      <c r="X80" s="303"/>
      <c r="Y80" s="303"/>
    </row>
    <row r="81" spans="1:25" ht="16.5">
      <c r="A81" s="257" t="s">
        <v>858</v>
      </c>
      <c r="B81" s="257" t="s">
        <v>858</v>
      </c>
      <c r="C81" s="58" t="s">
        <v>3825</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89"/>
      <c r="Y81" s="389"/>
    </row>
    <row r="82" spans="1:25" ht="16.5">
      <c r="A82" s="257" t="s">
        <v>3826</v>
      </c>
      <c r="B82" s="257" t="s">
        <v>3827</v>
      </c>
      <c r="C82" s="58" t="s">
        <v>3825</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89"/>
      <c r="Y82" s="389"/>
    </row>
    <row r="83" spans="1:25" ht="16.5">
      <c r="A83" s="257" t="s">
        <v>50</v>
      </c>
      <c r="B83" s="257" t="s">
        <v>50</v>
      </c>
      <c r="C83" s="58" t="s">
        <v>3825</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89"/>
      <c r="Y83" s="389"/>
    </row>
    <row r="84" spans="1:25" ht="16.5">
      <c r="A84" s="257" t="s">
        <v>3828</v>
      </c>
      <c r="B84" s="257" t="s">
        <v>3829</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89"/>
      <c r="Y84" s="389"/>
    </row>
    <row r="85" spans="1:25" ht="16.5">
      <c r="A85" s="257" t="s">
        <v>3830</v>
      </c>
      <c r="B85" s="257" t="s">
        <v>3831</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89"/>
      <c r="Y85" s="389"/>
    </row>
    <row r="86" spans="1:25" ht="16.5">
      <c r="A86" s="90" t="s">
        <v>117</v>
      </c>
      <c r="B86" s="257"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89"/>
      <c r="Y86" s="389"/>
    </row>
    <row r="87" spans="1:25" ht="16.5">
      <c r="A87" s="257" t="s">
        <v>3832</v>
      </c>
      <c r="B87" s="257" t="s">
        <v>3833</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89"/>
      <c r="Y87" s="389"/>
    </row>
    <row r="88" spans="1:25" ht="16.5">
      <c r="B88" s="257" t="s">
        <v>3834</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7"/>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7" t="s">
        <v>2430</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7"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7"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7" t="s">
        <v>3100</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7" t="s">
        <v>3835</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7" t="s">
        <v>3836</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7" t="s">
        <v>3837</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7" t="s">
        <v>3838</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7" t="s">
        <v>2157</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7" t="s">
        <v>1207</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7" t="s">
        <v>3839</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7"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7" t="s">
        <v>3840</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7" t="s">
        <v>1623</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7" t="s">
        <v>457</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7" t="s">
        <v>3841</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7" t="s">
        <v>3842</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7" t="s">
        <v>1363</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7" t="s">
        <v>3313</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7"/>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543</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24">
        <v>75230000000000</v>
      </c>
      <c r="S111" s="524">
        <v>76666000000000</v>
      </c>
      <c r="T111" s="524">
        <v>78113000000000</v>
      </c>
      <c r="U111" s="524">
        <v>80461000000000</v>
      </c>
      <c r="V111" s="524">
        <v>83828000000000</v>
      </c>
      <c r="W111" s="524">
        <v>87923000000000</v>
      </c>
      <c r="X111" s="524">
        <v>92106000000000</v>
      </c>
      <c r="Y111" s="524">
        <v>96642000000000</v>
      </c>
    </row>
    <row r="112" spans="2:25">
      <c r="B112" t="s">
        <v>363</v>
      </c>
      <c r="D112" s="364">
        <f t="shared" ref="D112:X112" si="51">(D7/D111)*100</f>
        <v>18.649282719895389</v>
      </c>
      <c r="E112" s="364">
        <f t="shared" si="51"/>
        <v>17.663248378826722</v>
      </c>
      <c r="F112" s="364">
        <f t="shared" si="51"/>
        <v>20.319666435024324</v>
      </c>
      <c r="G112" s="364">
        <f t="shared" si="51"/>
        <v>22.159148164320982</v>
      </c>
      <c r="H112" s="364">
        <f t="shared" si="51"/>
        <v>23.691957079099801</v>
      </c>
      <c r="I112" s="364">
        <f t="shared" si="51"/>
        <v>23.076443641123127</v>
      </c>
      <c r="J112" s="364">
        <f t="shared" si="51"/>
        <v>25.82549681974497</v>
      </c>
      <c r="K112" s="364">
        <f t="shared" si="51"/>
        <v>24.887989203778677</v>
      </c>
      <c r="L112" s="364">
        <f t="shared" si="51"/>
        <v>24.711837110318648</v>
      </c>
      <c r="M112" s="364">
        <f t="shared" si="51"/>
        <v>24.166572280741498</v>
      </c>
      <c r="N112" s="364">
        <f t="shared" si="51"/>
        <v>22.230366492146597</v>
      </c>
      <c r="O112" s="364">
        <f t="shared" si="51"/>
        <v>22.791074916410103</v>
      </c>
      <c r="P112" s="364">
        <f t="shared" si="51"/>
        <v>21.753583730689972</v>
      </c>
      <c r="Q112" s="364">
        <f t="shared" si="51"/>
        <v>19.788277003266899</v>
      </c>
      <c r="R112" s="364">
        <f t="shared" si="51"/>
        <v>21.797155390136915</v>
      </c>
      <c r="S112" s="364">
        <f t="shared" si="51"/>
        <v>18.825815876659796</v>
      </c>
      <c r="T112" s="364">
        <f t="shared" si="51"/>
        <v>18.987876537836211</v>
      </c>
      <c r="U112" s="364">
        <f t="shared" si="51"/>
        <v>19.048980251301874</v>
      </c>
      <c r="V112" s="364">
        <f t="shared" si="51"/>
        <v>0</v>
      </c>
      <c r="W112" s="364">
        <f t="shared" si="51"/>
        <v>0</v>
      </c>
      <c r="X112" s="364">
        <f t="shared" si="51"/>
        <v>0</v>
      </c>
      <c r="Y112" s="364">
        <f t="shared" ref="Y112" si="52">(Y7/Y111)*100</f>
        <v>0</v>
      </c>
    </row>
    <row r="113" spans="2:25">
      <c r="B113" t="s">
        <v>1132</v>
      </c>
      <c r="D113" s="364">
        <f t="shared" ref="D113:X113" si="53">(D39/D111)*100</f>
        <v>42.044536748586594</v>
      </c>
      <c r="E113" s="364">
        <f t="shared" si="53"/>
        <v>35.560247323179006</v>
      </c>
      <c r="F113" s="364">
        <f t="shared" si="53"/>
        <v>17.602501737317581</v>
      </c>
      <c r="G113" s="364">
        <f t="shared" si="53"/>
        <v>18.884149004064358</v>
      </c>
      <c r="H113" s="364">
        <f t="shared" si="53"/>
        <v>20.118380653942328</v>
      </c>
      <c r="I113" s="364">
        <f t="shared" si="53"/>
        <v>20.957337405341395</v>
      </c>
      <c r="J113" s="364">
        <f t="shared" si="53"/>
        <v>37.39919048053806</v>
      </c>
      <c r="K113" s="364">
        <f t="shared" si="53"/>
        <v>35.873144399460188</v>
      </c>
      <c r="L113" s="364">
        <f t="shared" si="53"/>
        <v>34.742896583457956</v>
      </c>
      <c r="M113" s="364">
        <f t="shared" si="53"/>
        <v>32.270547815909687</v>
      </c>
      <c r="N113" s="364">
        <f t="shared" si="53"/>
        <v>29.603839441535779</v>
      </c>
      <c r="O113" s="364">
        <f t="shared" si="53"/>
        <v>29.115767868374881</v>
      </c>
      <c r="P113" s="364">
        <f t="shared" si="53"/>
        <v>30.298882387449044</v>
      </c>
      <c r="Q113" s="364">
        <f t="shared" si="53"/>
        <v>28.58631860631105</v>
      </c>
      <c r="R113" s="364">
        <f t="shared" si="53"/>
        <v>27.833311179050913</v>
      </c>
      <c r="S113" s="364">
        <f t="shared" si="53"/>
        <v>26.173271071922365</v>
      </c>
      <c r="T113" s="364">
        <f t="shared" si="53"/>
        <v>26.921255104784098</v>
      </c>
      <c r="U113" s="364">
        <f t="shared" si="53"/>
        <v>27.465480170517392</v>
      </c>
      <c r="V113" s="364">
        <f t="shared" si="53"/>
        <v>0</v>
      </c>
      <c r="W113" s="364">
        <f t="shared" si="53"/>
        <v>0</v>
      </c>
      <c r="X113" s="364">
        <f t="shared" si="53"/>
        <v>0</v>
      </c>
      <c r="Y113" s="364">
        <f t="shared" ref="Y113" si="54">(Y39/Y111)*100</f>
        <v>0</v>
      </c>
    </row>
    <row r="114" spans="2:25">
      <c r="D114" s="364"/>
      <c r="E114" s="364"/>
      <c r="F114" s="364"/>
      <c r="G114" s="364"/>
      <c r="H114" s="364"/>
      <c r="I114" s="364"/>
      <c r="J114" s="364"/>
      <c r="K114" s="364"/>
      <c r="L114" s="364"/>
      <c r="M114" s="364"/>
      <c r="N114" s="364"/>
      <c r="O114" s="364"/>
      <c r="P114" s="364"/>
      <c r="Q114" s="364"/>
      <c r="R114" s="524"/>
      <c r="S114" s="524"/>
      <c r="T114" s="524"/>
      <c r="U114" s="524"/>
      <c r="V114" s="524"/>
      <c r="W114" s="524"/>
      <c r="X114" s="524"/>
      <c r="Y114" s="524"/>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570" bestFit="1" customWidth="1"/>
    <col min="2" max="2" width="43.5703125" style="1570" customWidth="1"/>
    <col min="3" max="3" width="26.85546875" style="1570" customWidth="1"/>
    <col min="4" max="12" width="8.85546875" style="1570"/>
    <col min="13" max="13" width="16.42578125" style="1570" bestFit="1" customWidth="1"/>
    <col min="14" max="14" width="18.85546875" style="1570" bestFit="1" customWidth="1"/>
    <col min="15" max="16" width="19.85546875" style="1570" bestFit="1" customWidth="1"/>
    <col min="17" max="23" width="20" style="1570" bestFit="1" customWidth="1"/>
    <col min="24" max="26" width="18.85546875" bestFit="1" customWidth="1"/>
  </cols>
  <sheetData>
    <row r="1" spans="1:50">
      <c r="A1" s="1565" t="s">
        <v>3843</v>
      </c>
      <c r="B1" s="1600" t="s">
        <v>3844</v>
      </c>
      <c r="C1" s="1566"/>
      <c r="D1" s="1567"/>
      <c r="E1" s="1567"/>
      <c r="F1" s="1567"/>
      <c r="G1" s="1567"/>
      <c r="H1" s="1567"/>
      <c r="I1" s="1567"/>
      <c r="J1" s="1567"/>
      <c r="K1" s="1567"/>
      <c r="L1" s="1567"/>
      <c r="M1" s="1567"/>
      <c r="N1" s="1568"/>
      <c r="O1" s="1568"/>
      <c r="P1" s="1568"/>
      <c r="Q1" s="1569"/>
      <c r="R1" s="1568"/>
      <c r="S1" s="1568"/>
      <c r="T1" s="1568"/>
      <c r="U1" s="1568"/>
      <c r="V1" s="156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1601" t="s">
        <v>3845</v>
      </c>
      <c r="C2" s="1571"/>
      <c r="D2" s="1568"/>
      <c r="E2" s="1568"/>
      <c r="F2" s="1568"/>
      <c r="G2" s="1568"/>
      <c r="H2" s="1568"/>
      <c r="I2" s="1568"/>
      <c r="J2" s="1568"/>
      <c r="K2" s="1568"/>
      <c r="L2" s="1568"/>
      <c r="M2" s="1568"/>
      <c r="N2" s="1568"/>
      <c r="O2" s="1568"/>
      <c r="P2" s="1568"/>
      <c r="Q2" s="1572"/>
      <c r="R2" s="1573"/>
      <c r="S2" s="1574"/>
      <c r="T2" s="1568"/>
      <c r="U2" s="1568"/>
      <c r="V2" s="1568"/>
      <c r="X2" s="365"/>
      <c r="Y2" s="365"/>
      <c r="Z2" s="365"/>
      <c r="AA2" s="2520"/>
      <c r="AB2" s="2520"/>
      <c r="AC2" s="2520"/>
      <c r="AD2" s="2520"/>
      <c r="AE2" s="2520"/>
      <c r="AF2" s="2520"/>
      <c r="AG2" s="2520"/>
      <c r="AH2" s="2520"/>
      <c r="AI2" s="2520"/>
      <c r="AJ2" s="2520"/>
      <c r="AK2" s="2520"/>
      <c r="AL2" s="2520"/>
      <c r="AM2" s="2520"/>
      <c r="AN2" s="2520"/>
      <c r="AO2" s="2520"/>
      <c r="AP2" s="2520"/>
      <c r="AQ2" s="2520"/>
      <c r="AR2" s="2520"/>
      <c r="AS2" s="2520"/>
      <c r="AT2" s="365"/>
      <c r="AU2" s="365"/>
      <c r="AV2" s="365"/>
      <c r="AW2" s="365"/>
      <c r="AX2" s="365"/>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2520"/>
      <c r="AB3" s="2520"/>
      <c r="AC3" s="2520"/>
      <c r="AD3" s="2520"/>
      <c r="AE3" s="2520"/>
      <c r="AF3" s="2520"/>
      <c r="AG3" s="2520"/>
      <c r="AH3" s="2520"/>
      <c r="AI3" s="2520"/>
      <c r="AJ3" s="2520"/>
      <c r="AK3" s="2520"/>
      <c r="AL3" s="2520"/>
      <c r="AM3" s="2520"/>
      <c r="AN3" s="2520"/>
      <c r="AO3" s="2520"/>
      <c r="AP3" s="2520"/>
      <c r="AQ3" s="2520"/>
      <c r="AR3" s="2520"/>
      <c r="AS3" s="2520"/>
      <c r="AT3" s="365"/>
      <c r="AU3" s="365"/>
      <c r="AV3" s="365"/>
      <c r="AW3" s="365"/>
      <c r="AX3" s="365"/>
    </row>
    <row r="4" spans="1:50">
      <c r="B4" s="1575" t="s">
        <v>4</v>
      </c>
      <c r="C4" s="1575"/>
      <c r="D4" s="1568" t="s">
        <v>6</v>
      </c>
      <c r="E4" s="1568" t="s">
        <v>7</v>
      </c>
      <c r="F4" s="1568" t="s">
        <v>8</v>
      </c>
      <c r="G4" s="1568" t="s">
        <v>9</v>
      </c>
      <c r="H4" s="1568" t="s">
        <v>10</v>
      </c>
      <c r="I4" s="1568" t="s">
        <v>11</v>
      </c>
      <c r="J4" s="1568" t="s">
        <v>12</v>
      </c>
      <c r="K4" s="1568" t="s">
        <v>13</v>
      </c>
      <c r="L4" s="1568" t="s">
        <v>14</v>
      </c>
      <c r="M4" s="1568" t="s">
        <v>15</v>
      </c>
      <c r="N4" s="1568" t="s">
        <v>16</v>
      </c>
      <c r="O4" s="1568" t="s">
        <v>17</v>
      </c>
      <c r="P4" s="1568" t="s">
        <v>18</v>
      </c>
      <c r="Q4" s="1569" t="s">
        <v>19</v>
      </c>
      <c r="R4" s="1568" t="s">
        <v>20</v>
      </c>
      <c r="S4" s="1568" t="s">
        <v>21</v>
      </c>
      <c r="T4" s="1568" t="s">
        <v>22</v>
      </c>
      <c r="U4" s="1568" t="s">
        <v>23</v>
      </c>
      <c r="V4" s="1568" t="s">
        <v>24</v>
      </c>
      <c r="W4" s="1568" t="s">
        <v>25</v>
      </c>
      <c r="X4" s="1598" t="s">
        <v>26</v>
      </c>
      <c r="Y4" s="1598" t="s">
        <v>27</v>
      </c>
      <c r="Z4" s="1598" t="s">
        <v>1137</v>
      </c>
      <c r="AA4" s="2520"/>
      <c r="AB4" s="2520"/>
      <c r="AC4" s="2520"/>
      <c r="AD4" s="2520"/>
      <c r="AE4" s="2520"/>
      <c r="AF4" s="2520"/>
      <c r="AG4" s="2520"/>
      <c r="AH4" s="2520"/>
      <c r="AI4" s="2520"/>
      <c r="AJ4" s="2520"/>
      <c r="AK4" s="2520"/>
      <c r="AL4" s="2520"/>
      <c r="AM4" s="2520"/>
      <c r="AN4" s="2520"/>
      <c r="AO4" s="2520"/>
      <c r="AP4" s="2520"/>
      <c r="AQ4" s="2520"/>
      <c r="AR4" s="2520"/>
      <c r="AS4" s="2520"/>
      <c r="AT4" s="365"/>
      <c r="AU4" s="365"/>
      <c r="AV4" s="365"/>
      <c r="AW4" s="365"/>
      <c r="AX4" s="365"/>
    </row>
    <row r="5" spans="1:50">
      <c r="A5" s="1570" t="s">
        <v>28</v>
      </c>
      <c r="B5" s="1575" t="s">
        <v>29</v>
      </c>
      <c r="C5" s="1575"/>
      <c r="D5" s="1568" t="s">
        <v>30</v>
      </c>
      <c r="E5" s="1568" t="s">
        <v>30</v>
      </c>
      <c r="F5" s="1568" t="s">
        <v>30</v>
      </c>
      <c r="G5" s="1568" t="s">
        <v>30</v>
      </c>
      <c r="H5" s="1567" t="s">
        <v>31</v>
      </c>
      <c r="I5" s="1567" t="s">
        <v>30</v>
      </c>
      <c r="J5" s="1567" t="s">
        <v>30</v>
      </c>
      <c r="K5" s="1567" t="s">
        <v>30</v>
      </c>
      <c r="L5" s="1567" t="s">
        <v>30</v>
      </c>
      <c r="M5" s="1568" t="s">
        <v>31</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c r="AA5" s="2520"/>
      <c r="AB5" s="2520"/>
      <c r="AC5" s="2520"/>
      <c r="AD5" s="2520"/>
      <c r="AE5" s="2520"/>
      <c r="AF5" s="2520"/>
      <c r="AG5" s="2520"/>
      <c r="AH5" s="2520"/>
      <c r="AI5" s="2520"/>
      <c r="AJ5" s="2520"/>
      <c r="AK5" s="2520"/>
      <c r="AL5" s="2520"/>
      <c r="AM5" s="2520"/>
      <c r="AN5" s="2520"/>
      <c r="AO5" s="2520"/>
      <c r="AP5" s="2520"/>
      <c r="AQ5" s="2520"/>
      <c r="AR5" s="2520"/>
      <c r="AS5" s="2520"/>
      <c r="AT5" s="365"/>
      <c r="AU5" s="365"/>
      <c r="AV5" s="365"/>
      <c r="AW5" s="365"/>
      <c r="AX5" s="365"/>
    </row>
    <row r="6" spans="1:50" s="848" customFormat="1">
      <c r="A6" s="1591" t="s">
        <v>33</v>
      </c>
      <c r="B6" s="1063" t="s">
        <v>33</v>
      </c>
      <c r="C6" s="1175" t="s">
        <v>35</v>
      </c>
      <c r="N6" s="1556">
        <v>8559000000</v>
      </c>
      <c r="O6" s="1556">
        <v>9616000000</v>
      </c>
      <c r="P6" s="1556">
        <v>13150000000</v>
      </c>
      <c r="Q6" s="1534">
        <v>13274000000</v>
      </c>
      <c r="R6" s="1534">
        <v>14583000000</v>
      </c>
      <c r="S6" s="1534">
        <v>15300000000</v>
      </c>
      <c r="T6" s="1534">
        <v>14051000000</v>
      </c>
      <c r="U6" s="1534">
        <v>14994000000</v>
      </c>
      <c r="V6" s="1534">
        <v>15354000000</v>
      </c>
      <c r="W6" s="1534">
        <v>16253000000</v>
      </c>
      <c r="X6" s="1541">
        <v>19634000000</v>
      </c>
      <c r="Y6" s="1541">
        <v>21103000000</v>
      </c>
      <c r="Z6" s="1541">
        <v>22771000000</v>
      </c>
      <c r="AA6" s="2554"/>
      <c r="AB6" s="2554"/>
      <c r="AC6" s="2554"/>
      <c r="AD6" s="2554"/>
      <c r="AE6" s="2554"/>
      <c r="AF6" s="2554"/>
      <c r="AG6" s="2554"/>
      <c r="AH6" s="2554"/>
      <c r="AI6" s="2554"/>
      <c r="AJ6" s="2554"/>
      <c r="AK6" s="2554"/>
      <c r="AL6" s="2554"/>
      <c r="AM6" s="2554"/>
      <c r="AN6" s="2554"/>
      <c r="AO6" s="2554"/>
      <c r="AP6" s="2554"/>
      <c r="AQ6" s="2554"/>
      <c r="AR6" s="2554"/>
      <c r="AS6" s="2554"/>
      <c r="AT6" s="1594"/>
      <c r="AU6" s="1594"/>
      <c r="AV6" s="1594"/>
      <c r="AW6" s="1594"/>
      <c r="AX6" s="1594"/>
    </row>
    <row r="7" spans="1:50">
      <c r="A7" s="1576" t="s">
        <v>370</v>
      </c>
      <c r="B7" s="1577" t="s">
        <v>36</v>
      </c>
      <c r="C7" s="1578" t="s">
        <v>38</v>
      </c>
      <c r="N7" s="1579">
        <v>7359000000</v>
      </c>
      <c r="O7" s="1579">
        <v>8179000000</v>
      </c>
      <c r="P7" s="1579">
        <v>11447000000</v>
      </c>
      <c r="Q7" s="1592">
        <f t="shared" ref="Q7:Z7" si="0">Q6-Q14</f>
        <v>12227000000</v>
      </c>
      <c r="R7" s="1592">
        <f t="shared" si="0"/>
        <v>14087000000</v>
      </c>
      <c r="S7" s="1592">
        <f t="shared" si="0"/>
        <v>14334000000</v>
      </c>
      <c r="T7" s="1592">
        <f t="shared" si="0"/>
        <v>13184000000</v>
      </c>
      <c r="U7" s="1592">
        <f t="shared" si="0"/>
        <v>14201000000</v>
      </c>
      <c r="V7" s="1592">
        <f t="shared" si="0"/>
        <v>14520000000</v>
      </c>
      <c r="W7" s="1592">
        <f t="shared" si="0"/>
        <v>15375000000</v>
      </c>
      <c r="X7" s="1593">
        <f t="shared" si="0"/>
        <v>18712000000</v>
      </c>
      <c r="Y7" s="1593">
        <f t="shared" si="0"/>
        <v>20135000000</v>
      </c>
      <c r="Z7" s="1593">
        <f t="shared" si="0"/>
        <v>21755000000</v>
      </c>
      <c r="AA7" s="2520"/>
      <c r="AB7" s="2520"/>
      <c r="AC7" s="2520"/>
      <c r="AD7" s="2520"/>
      <c r="AE7" s="2520"/>
      <c r="AF7" s="2520"/>
      <c r="AG7" s="2520"/>
      <c r="AH7" s="2520"/>
      <c r="AI7" s="2520"/>
      <c r="AJ7" s="2520"/>
      <c r="AK7" s="2520"/>
      <c r="AL7" s="2520"/>
      <c r="AM7" s="2520"/>
      <c r="AN7" s="2520"/>
      <c r="AO7" s="2520"/>
      <c r="AP7" s="2520"/>
      <c r="AQ7" s="2520"/>
      <c r="AR7" s="2520"/>
      <c r="AS7" s="2520"/>
      <c r="AT7" s="365"/>
      <c r="AU7" s="365"/>
      <c r="AV7" s="365"/>
      <c r="AW7" s="365"/>
      <c r="AX7" s="365"/>
    </row>
    <row r="8" spans="1:50">
      <c r="A8" s="1576" t="s">
        <v>39</v>
      </c>
      <c r="B8" s="1580" t="s">
        <v>3846</v>
      </c>
      <c r="C8" s="1578" t="s">
        <v>41</v>
      </c>
      <c r="N8" s="1581">
        <v>3499000000</v>
      </c>
      <c r="O8" s="1581">
        <v>4283000000</v>
      </c>
      <c r="P8" s="1581">
        <v>4595000000</v>
      </c>
      <c r="Q8" s="1592">
        <v>5148000000</v>
      </c>
      <c r="R8" s="1592">
        <v>5785000000</v>
      </c>
      <c r="S8" s="1592">
        <v>6578000000</v>
      </c>
      <c r="T8" s="1592">
        <v>7009000000</v>
      </c>
      <c r="U8" s="1592">
        <v>6690000000</v>
      </c>
      <c r="V8" s="1592">
        <v>7413000000</v>
      </c>
      <c r="W8" s="1592">
        <v>8675000000</v>
      </c>
      <c r="X8" s="1593">
        <v>9476000000</v>
      </c>
      <c r="Y8" s="1593">
        <v>10219000000</v>
      </c>
      <c r="Z8" s="1593">
        <v>11086000000</v>
      </c>
      <c r="AA8" s="2520"/>
      <c r="AB8" s="2520"/>
      <c r="AC8" s="2520"/>
      <c r="AD8" s="2520"/>
      <c r="AE8" s="2520"/>
      <c r="AF8" s="2520"/>
      <c r="AG8" s="2520"/>
      <c r="AH8" s="2520"/>
      <c r="AI8" s="2520"/>
      <c r="AJ8" s="2520"/>
      <c r="AK8" s="2520"/>
      <c r="AL8" s="2520"/>
      <c r="AM8" s="2520"/>
      <c r="AN8" s="2520"/>
      <c r="AO8" s="2520"/>
      <c r="AP8" s="2520"/>
      <c r="AQ8" s="2520"/>
      <c r="AR8" s="2520"/>
      <c r="AS8" s="2520"/>
      <c r="AT8" s="365"/>
      <c r="AU8" s="365"/>
      <c r="AV8" s="365"/>
      <c r="AW8" s="365"/>
      <c r="AX8" s="365"/>
    </row>
    <row r="9" spans="1:50">
      <c r="A9" s="1576" t="s">
        <v>42</v>
      </c>
      <c r="B9" s="1582" t="s">
        <v>3847</v>
      </c>
      <c r="C9" s="1570" t="s">
        <v>44</v>
      </c>
      <c r="N9" s="1581">
        <v>1957000000</v>
      </c>
      <c r="O9" s="1581">
        <v>2395000000</v>
      </c>
      <c r="P9" s="1581">
        <v>2349000000</v>
      </c>
      <c r="Q9" s="1592">
        <v>2680000000</v>
      </c>
      <c r="R9" s="1592">
        <v>3059000000</v>
      </c>
      <c r="S9" s="1592">
        <v>3644000000</v>
      </c>
      <c r="T9" s="1592">
        <v>3726000000</v>
      </c>
      <c r="U9" s="1592">
        <v>3484000000</v>
      </c>
      <c r="V9" s="1592">
        <v>3887000000</v>
      </c>
      <c r="W9" s="1592">
        <v>4107000000</v>
      </c>
      <c r="X9" s="1593">
        <v>4414000000</v>
      </c>
      <c r="Y9" s="1593">
        <v>4761000000</v>
      </c>
      <c r="Z9" s="1593">
        <v>5164000000</v>
      </c>
      <c r="AA9" s="2520"/>
      <c r="AB9" s="2520"/>
      <c r="AC9" s="2520"/>
      <c r="AD9" s="2520"/>
      <c r="AE9" s="2520"/>
      <c r="AF9" s="2520"/>
      <c r="AG9" s="2520"/>
      <c r="AH9" s="2520"/>
      <c r="AI9" s="2520"/>
      <c r="AJ9" s="2520"/>
      <c r="AK9" s="2520"/>
      <c r="AL9" s="2520"/>
      <c r="AM9" s="2520"/>
      <c r="AN9" s="2520"/>
      <c r="AO9" s="2520"/>
      <c r="AP9" s="2520"/>
      <c r="AQ9" s="2520"/>
      <c r="AR9" s="2520"/>
      <c r="AS9" s="2520"/>
      <c r="AT9" s="365"/>
      <c r="AU9" s="365"/>
      <c r="AV9" s="365"/>
      <c r="AW9" s="365"/>
      <c r="AX9" s="365"/>
    </row>
    <row r="10" spans="1:50">
      <c r="A10" s="1576" t="s">
        <v>788</v>
      </c>
      <c r="B10" s="1582" t="s">
        <v>3848</v>
      </c>
      <c r="C10" s="1570" t="s">
        <v>44</v>
      </c>
      <c r="N10" s="1581">
        <v>106000000</v>
      </c>
      <c r="O10" s="1581">
        <v>125000000</v>
      </c>
      <c r="P10" s="1581">
        <v>150000000</v>
      </c>
      <c r="Q10" s="1592">
        <v>128000000</v>
      </c>
      <c r="R10" s="1592">
        <v>139000000</v>
      </c>
      <c r="S10" s="1592">
        <v>0</v>
      </c>
      <c r="T10" s="1592">
        <v>363000000</v>
      </c>
      <c r="U10" s="1592">
        <v>213000000</v>
      </c>
      <c r="V10" s="1592">
        <v>242000000</v>
      </c>
      <c r="W10" s="1592">
        <v>271000000</v>
      </c>
      <c r="X10" s="1593">
        <v>291000000</v>
      </c>
      <c r="Y10" s="1593">
        <v>314000000</v>
      </c>
      <c r="Z10" s="1593">
        <v>340000000</v>
      </c>
      <c r="AA10" s="2520"/>
      <c r="AB10" s="2520"/>
      <c r="AC10" s="2520"/>
      <c r="AD10" s="2520"/>
      <c r="AE10" s="2520"/>
      <c r="AF10" s="2520"/>
      <c r="AG10" s="2520"/>
      <c r="AH10" s="2520"/>
      <c r="AI10" s="2520"/>
      <c r="AJ10" s="2520"/>
      <c r="AK10" s="2520"/>
      <c r="AL10" s="2520"/>
      <c r="AM10" s="2520"/>
      <c r="AN10" s="2520"/>
      <c r="AO10" s="2520"/>
      <c r="AP10" s="2520"/>
      <c r="AQ10" s="2520"/>
      <c r="AR10" s="2520"/>
      <c r="AS10" s="2520"/>
      <c r="AT10" s="365"/>
      <c r="AU10" s="365"/>
      <c r="AV10" s="365"/>
      <c r="AW10" s="365"/>
      <c r="AX10" s="365"/>
    </row>
    <row r="11" spans="1:50">
      <c r="A11" s="1576" t="s">
        <v>47</v>
      </c>
      <c r="B11" s="1582" t="s">
        <v>3849</v>
      </c>
      <c r="C11" s="1570" t="s">
        <v>44</v>
      </c>
      <c r="N11" s="1581">
        <v>1414000000</v>
      </c>
      <c r="O11" s="1581">
        <v>1590000000</v>
      </c>
      <c r="P11" s="1581">
        <v>1819000000</v>
      </c>
      <c r="Q11" s="1592">
        <v>1887000000</v>
      </c>
      <c r="R11" s="1592">
        <v>2344000000</v>
      </c>
      <c r="S11" s="1592">
        <v>2683000000</v>
      </c>
      <c r="T11" s="1592">
        <v>2669000000</v>
      </c>
      <c r="U11" s="1592">
        <v>2746000000</v>
      </c>
      <c r="V11" s="1592">
        <v>2895000000</v>
      </c>
      <c r="W11" s="1592">
        <v>3875000000</v>
      </c>
      <c r="X11" s="1593">
        <v>4316000000</v>
      </c>
      <c r="Y11" s="1593">
        <v>4655000000</v>
      </c>
      <c r="Z11" s="1593">
        <v>5049000000</v>
      </c>
      <c r="AA11" s="2520"/>
      <c r="AB11" s="2520"/>
      <c r="AC11" s="2520"/>
      <c r="AD11" s="2520"/>
      <c r="AE11" s="2520"/>
      <c r="AF11" s="2520"/>
      <c r="AG11" s="2520"/>
      <c r="AH11" s="2520"/>
      <c r="AI11" s="2520"/>
      <c r="AJ11" s="2520"/>
      <c r="AK11" s="2520"/>
      <c r="AL11" s="2520"/>
      <c r="AM11" s="2520"/>
      <c r="AN11" s="2520"/>
      <c r="AO11" s="2520"/>
      <c r="AP11" s="2520"/>
      <c r="AQ11" s="2520"/>
      <c r="AR11" s="2520"/>
      <c r="AS11" s="2520"/>
      <c r="AT11" s="365"/>
      <c r="AU11" s="365"/>
      <c r="AV11" s="365"/>
      <c r="AW11" s="365"/>
      <c r="AX11" s="365"/>
    </row>
    <row r="12" spans="1:50">
      <c r="A12" s="1576" t="s">
        <v>45</v>
      </c>
      <c r="B12" s="1582" t="s">
        <v>3850</v>
      </c>
      <c r="C12" s="1570" t="s">
        <v>44</v>
      </c>
      <c r="N12" s="1581">
        <v>18000000</v>
      </c>
      <c r="O12" s="1581">
        <v>151000000</v>
      </c>
      <c r="P12" s="1581">
        <v>277000000</v>
      </c>
      <c r="Q12" s="1592">
        <v>451000000</v>
      </c>
      <c r="R12" s="1592">
        <v>243000000</v>
      </c>
      <c r="S12" s="1592">
        <v>250000000</v>
      </c>
      <c r="T12" s="1592">
        <v>249000000</v>
      </c>
      <c r="U12" s="1592">
        <v>246000000</v>
      </c>
      <c r="V12" s="1592">
        <v>387000000</v>
      </c>
      <c r="W12" s="1592">
        <v>422000000</v>
      </c>
      <c r="X12" s="1593">
        <v>453000000</v>
      </c>
      <c r="Y12" s="1593">
        <v>489000000</v>
      </c>
      <c r="Z12" s="1593">
        <v>530000000</v>
      </c>
      <c r="AA12" s="2520"/>
      <c r="AB12" s="2520"/>
      <c r="AC12" s="2520"/>
      <c r="AD12" s="2520"/>
      <c r="AE12" s="2520"/>
      <c r="AF12" s="2520"/>
      <c r="AG12" s="2520"/>
      <c r="AH12" s="2520"/>
      <c r="AI12" s="2520"/>
      <c r="AJ12" s="2520"/>
      <c r="AK12" s="2520"/>
      <c r="AL12" s="2520"/>
      <c r="AM12" s="2520"/>
      <c r="AN12" s="2520"/>
      <c r="AO12" s="2520"/>
      <c r="AP12" s="2520"/>
      <c r="AQ12" s="2520"/>
      <c r="AR12" s="2520"/>
      <c r="AS12" s="2520"/>
      <c r="AT12" s="365"/>
      <c r="AU12" s="365"/>
      <c r="AV12" s="365"/>
      <c r="AW12" s="365"/>
      <c r="AX12" s="365"/>
    </row>
    <row r="13" spans="1:50">
      <c r="A13" s="1576" t="s">
        <v>49</v>
      </c>
      <c r="B13" s="1595" t="s">
        <v>1772</v>
      </c>
      <c r="C13" s="1570" t="s">
        <v>44</v>
      </c>
      <c r="N13" s="1581">
        <v>4000000</v>
      </c>
      <c r="O13" s="1581">
        <v>22000000</v>
      </c>
      <c r="P13" s="1581">
        <v>0</v>
      </c>
      <c r="Q13" s="1592">
        <f>Q8-Q9-Q10-Q11-Q12</f>
        <v>2000000</v>
      </c>
      <c r="R13" s="1592">
        <f t="shared" ref="R13:Z13" si="1">R8-R9-R10-R11-R12</f>
        <v>0</v>
      </c>
      <c r="S13" s="1592">
        <f t="shared" si="1"/>
        <v>1000000</v>
      </c>
      <c r="T13" s="1592">
        <f t="shared" si="1"/>
        <v>2000000</v>
      </c>
      <c r="U13" s="1592">
        <f t="shared" si="1"/>
        <v>1000000</v>
      </c>
      <c r="V13" s="1592">
        <f t="shared" si="1"/>
        <v>2000000</v>
      </c>
      <c r="W13" s="1592">
        <f t="shared" si="1"/>
        <v>0</v>
      </c>
      <c r="X13" s="1592">
        <f t="shared" si="1"/>
        <v>2000000</v>
      </c>
      <c r="Y13" s="1592">
        <f t="shared" si="1"/>
        <v>0</v>
      </c>
      <c r="Z13" s="1592">
        <f t="shared" si="1"/>
        <v>3000000</v>
      </c>
      <c r="AA13" s="2520"/>
      <c r="AB13" s="2520"/>
      <c r="AC13" s="2520"/>
      <c r="AD13" s="2520"/>
      <c r="AE13" s="2520"/>
      <c r="AF13" s="2520"/>
      <c r="AG13" s="2520"/>
      <c r="AH13" s="2520"/>
      <c r="AI13" s="2520"/>
      <c r="AJ13" s="2520"/>
      <c r="AK13" s="2520"/>
      <c r="AL13" s="2520"/>
      <c r="AM13" s="2520"/>
      <c r="AN13" s="2520"/>
      <c r="AO13" s="2520"/>
      <c r="AP13" s="2520"/>
      <c r="AQ13" s="2520"/>
      <c r="AR13" s="2520"/>
      <c r="AS13" s="2520"/>
      <c r="AT13" s="365"/>
      <c r="AU13" s="365"/>
      <c r="AV13" s="365"/>
      <c r="AW13" s="365"/>
      <c r="AX13" s="365"/>
    </row>
    <row r="14" spans="1:50" s="848" customFormat="1">
      <c r="A14" s="1063" t="s">
        <v>53</v>
      </c>
      <c r="B14" s="1063" t="s">
        <v>53</v>
      </c>
      <c r="C14" s="1160" t="s">
        <v>38</v>
      </c>
      <c r="N14" s="1169">
        <v>1200000000</v>
      </c>
      <c r="O14" s="1169">
        <v>1437000000</v>
      </c>
      <c r="P14" s="1169">
        <v>1703000000</v>
      </c>
      <c r="Q14" s="1534">
        <v>1047000000</v>
      </c>
      <c r="R14" s="1534">
        <v>496000000</v>
      </c>
      <c r="S14" s="1534">
        <v>966000000</v>
      </c>
      <c r="T14" s="1534">
        <v>867000000</v>
      </c>
      <c r="U14" s="1534">
        <v>793000000</v>
      </c>
      <c r="V14" s="1534">
        <v>834000000</v>
      </c>
      <c r="W14" s="1534">
        <v>878000000</v>
      </c>
      <c r="X14" s="1541">
        <v>922000000</v>
      </c>
      <c r="Y14" s="1541">
        <v>968000000</v>
      </c>
      <c r="Z14" s="1541">
        <v>1016000000</v>
      </c>
      <c r="AA14" s="2554"/>
      <c r="AB14" s="2554"/>
      <c r="AC14" s="2554"/>
      <c r="AD14" s="2554"/>
      <c r="AE14" s="2554"/>
      <c r="AF14" s="2554"/>
      <c r="AG14" s="2554"/>
      <c r="AH14" s="2554"/>
      <c r="AI14" s="2554"/>
      <c r="AJ14" s="2554"/>
      <c r="AK14" s="2554"/>
      <c r="AL14" s="2554"/>
      <c r="AM14" s="2554"/>
      <c r="AN14" s="2554"/>
      <c r="AO14" s="2554"/>
      <c r="AP14" s="2554"/>
      <c r="AQ14" s="2554"/>
      <c r="AR14" s="2554"/>
      <c r="AS14" s="2554"/>
      <c r="AT14" s="1594"/>
      <c r="AU14" s="1594"/>
      <c r="AV14" s="1594"/>
      <c r="AW14" s="1594"/>
      <c r="AX14" s="1594"/>
    </row>
    <row r="15" spans="1:50">
      <c r="A15" s="1576" t="s">
        <v>886</v>
      </c>
      <c r="B15" s="1582" t="s">
        <v>3851</v>
      </c>
      <c r="C15" s="1583" t="s">
        <v>57</v>
      </c>
      <c r="N15" s="1581">
        <v>372000000</v>
      </c>
      <c r="O15" s="1581">
        <v>290000000</v>
      </c>
      <c r="P15" s="1581">
        <v>196000000</v>
      </c>
      <c r="Q15" s="1592">
        <v>149000000</v>
      </c>
      <c r="R15" s="1592">
        <v>4000000</v>
      </c>
      <c r="S15" s="1592">
        <v>15000000</v>
      </c>
      <c r="T15" s="1592">
        <v>5000000</v>
      </c>
      <c r="U15" s="1592">
        <v>0</v>
      </c>
      <c r="V15" s="1592">
        <v>0</v>
      </c>
      <c r="W15" s="1592">
        <v>0</v>
      </c>
      <c r="X15" s="1593">
        <v>0</v>
      </c>
      <c r="Y15" s="1593">
        <v>0</v>
      </c>
      <c r="Z15" s="1593">
        <v>0</v>
      </c>
      <c r="AA15" s="2520"/>
      <c r="AB15" s="2520"/>
      <c r="AC15" s="2520"/>
      <c r="AD15" s="2520"/>
      <c r="AE15" s="2520"/>
      <c r="AF15" s="2520"/>
      <c r="AG15" s="2520"/>
      <c r="AH15" s="2520"/>
      <c r="AI15" s="2520"/>
      <c r="AJ15" s="2520"/>
      <c r="AK15" s="2520"/>
      <c r="AL15" s="2520"/>
      <c r="AM15" s="2520"/>
      <c r="AN15" s="2520"/>
      <c r="AO15" s="2520"/>
      <c r="AP15" s="2520"/>
      <c r="AQ15" s="2520"/>
      <c r="AR15" s="2520"/>
      <c r="AS15" s="2520"/>
      <c r="AT15" s="365"/>
      <c r="AU15" s="365"/>
      <c r="AV15" s="365"/>
      <c r="AW15" s="365"/>
      <c r="AX15" s="365"/>
    </row>
    <row r="16" spans="1:50">
      <c r="A16" s="1584" t="s">
        <v>1296</v>
      </c>
      <c r="B16" s="1582" t="s">
        <v>3852</v>
      </c>
      <c r="C16" s="1583" t="s">
        <v>57</v>
      </c>
      <c r="N16" s="1581">
        <v>828000000</v>
      </c>
      <c r="O16" s="1581">
        <v>1147000000</v>
      </c>
      <c r="P16" s="1581">
        <v>1507000000</v>
      </c>
      <c r="Q16" s="1592">
        <v>898000000</v>
      </c>
      <c r="R16" s="1592">
        <v>492000000</v>
      </c>
      <c r="S16" s="1592">
        <v>952000000</v>
      </c>
      <c r="T16" s="1592">
        <v>862000000</v>
      </c>
      <c r="U16" s="1592">
        <v>793000000</v>
      </c>
      <c r="V16" s="1592">
        <v>834000000</v>
      </c>
      <c r="W16" s="1592">
        <v>878000000</v>
      </c>
      <c r="X16" s="1593">
        <v>922000000</v>
      </c>
      <c r="Y16" s="1593">
        <v>968000000</v>
      </c>
      <c r="Z16" s="1593">
        <v>1016000000</v>
      </c>
      <c r="AA16" s="2520"/>
      <c r="AB16" s="2520"/>
      <c r="AC16" s="2520"/>
      <c r="AD16" s="2520"/>
      <c r="AE16" s="2520"/>
      <c r="AF16" s="2520"/>
      <c r="AG16" s="2520"/>
      <c r="AH16" s="2520"/>
      <c r="AI16" s="2520"/>
      <c r="AJ16" s="2520"/>
      <c r="AK16" s="2520"/>
      <c r="AL16" s="2520"/>
      <c r="AM16" s="2520"/>
      <c r="AN16" s="2520"/>
      <c r="AO16" s="2520"/>
      <c r="AP16" s="2520"/>
      <c r="AQ16" s="2520"/>
      <c r="AR16" s="2520"/>
      <c r="AS16" s="2520"/>
      <c r="AT16" s="365"/>
      <c r="AU16" s="365"/>
      <c r="AV16" s="365"/>
      <c r="AW16" s="365"/>
      <c r="AX16" s="365"/>
    </row>
    <row r="17" spans="1:50">
      <c r="A17" s="1570" t="s">
        <v>3853</v>
      </c>
      <c r="B17" s="1582" t="s">
        <v>3854</v>
      </c>
      <c r="C17" s="1583"/>
      <c r="N17" s="1581">
        <v>295000000</v>
      </c>
      <c r="O17" s="1581">
        <v>575000000</v>
      </c>
      <c r="P17" s="1581">
        <v>1122000000</v>
      </c>
      <c r="Q17" s="1592"/>
      <c r="R17" s="1592"/>
      <c r="S17" s="1592"/>
      <c r="T17" s="1592"/>
      <c r="U17" s="1592"/>
      <c r="V17" s="1592"/>
      <c r="W17" s="1592"/>
      <c r="X17" s="1593"/>
      <c r="Y17" s="1593"/>
      <c r="Z17" s="1593"/>
      <c r="AA17" s="2520"/>
      <c r="AB17" s="2520"/>
      <c r="AC17" s="2520"/>
      <c r="AD17" s="2520"/>
      <c r="AE17" s="2520"/>
      <c r="AF17" s="2520"/>
      <c r="AG17" s="2520"/>
      <c r="AH17" s="2520"/>
      <c r="AI17" s="2520"/>
      <c r="AJ17" s="2520"/>
      <c r="AK17" s="2520"/>
      <c r="AL17" s="2520"/>
      <c r="AM17" s="2520"/>
      <c r="AN17" s="2520"/>
      <c r="AO17" s="2520"/>
      <c r="AP17" s="2520"/>
      <c r="AQ17" s="2520"/>
      <c r="AR17" s="2520"/>
      <c r="AS17" s="2520"/>
      <c r="AT17" s="365"/>
      <c r="AU17" s="365"/>
      <c r="AV17" s="365"/>
      <c r="AW17" s="365"/>
      <c r="AX17" s="365"/>
    </row>
    <row r="18" spans="1:50">
      <c r="A18" s="1576" t="s">
        <v>51</v>
      </c>
      <c r="B18" s="1580" t="s">
        <v>3855</v>
      </c>
      <c r="C18" s="1578" t="s">
        <v>41</v>
      </c>
      <c r="N18" s="1581">
        <v>1232000000</v>
      </c>
      <c r="O18" s="1581">
        <v>1143000000</v>
      </c>
      <c r="P18" s="1581">
        <v>885000000</v>
      </c>
      <c r="Q18" s="1592">
        <v>1025000000</v>
      </c>
      <c r="R18" s="1592">
        <v>1267000000</v>
      </c>
      <c r="S18" s="1592">
        <v>1357000000</v>
      </c>
      <c r="T18" s="1592">
        <v>1657000000</v>
      </c>
      <c r="U18" s="1592">
        <v>1356000000</v>
      </c>
      <c r="V18" s="1592">
        <v>1569000000</v>
      </c>
      <c r="W18" s="1592">
        <v>1694000000</v>
      </c>
      <c r="X18" s="1593">
        <v>1821000000</v>
      </c>
      <c r="Y18" s="1593">
        <v>1964000000</v>
      </c>
      <c r="Z18" s="1593">
        <v>2131000000</v>
      </c>
      <c r="AA18" s="2520"/>
      <c r="AB18" s="2520"/>
      <c r="AC18" s="2520"/>
      <c r="AD18" s="2520"/>
      <c r="AE18" s="2520"/>
      <c r="AF18" s="2520"/>
      <c r="AG18" s="2520"/>
      <c r="AH18" s="2520"/>
      <c r="AI18" s="2520"/>
      <c r="AJ18" s="2520"/>
      <c r="AK18" s="2520"/>
      <c r="AL18" s="2520"/>
      <c r="AM18" s="2520"/>
      <c r="AN18" s="2520"/>
      <c r="AO18" s="2520"/>
      <c r="AP18" s="2520"/>
      <c r="AQ18" s="2520"/>
      <c r="AR18" s="2520"/>
      <c r="AS18" s="2520"/>
      <c r="AT18" s="365"/>
      <c r="AU18" s="365"/>
      <c r="AV18" s="365"/>
      <c r="AW18" s="365"/>
      <c r="AX18" s="365"/>
    </row>
    <row r="19" spans="1:50">
      <c r="A19" s="1582" t="s">
        <v>2231</v>
      </c>
      <c r="B19" s="1582" t="s">
        <v>3856</v>
      </c>
      <c r="C19" s="1570" t="s">
        <v>192</v>
      </c>
      <c r="N19" s="1581">
        <v>652000000</v>
      </c>
      <c r="O19" s="1581">
        <v>419000000</v>
      </c>
      <c r="P19" s="1581">
        <v>109000000</v>
      </c>
      <c r="Q19" s="1592">
        <v>164000000</v>
      </c>
      <c r="R19" s="1592">
        <v>347000000</v>
      </c>
      <c r="S19" s="1592">
        <v>428000000</v>
      </c>
      <c r="T19" s="1592">
        <v>602000000</v>
      </c>
      <c r="U19" s="1592">
        <v>280000000</v>
      </c>
      <c r="V19" s="1592">
        <v>412000000</v>
      </c>
      <c r="W19" s="1592">
        <v>443000000</v>
      </c>
      <c r="X19" s="1593">
        <v>476000000</v>
      </c>
      <c r="Y19" s="1593">
        <v>514000000</v>
      </c>
      <c r="Z19" s="1593">
        <v>557000000</v>
      </c>
      <c r="AA19" s="2520"/>
      <c r="AB19" s="2520"/>
      <c r="AC19" s="2520"/>
      <c r="AD19" s="2520"/>
      <c r="AE19" s="2520"/>
      <c r="AF19" s="2520"/>
      <c r="AG19" s="2520"/>
      <c r="AH19" s="2520"/>
      <c r="AI19" s="2520"/>
      <c r="AJ19" s="2520"/>
      <c r="AK19" s="2520"/>
      <c r="AL19" s="2520"/>
      <c r="AM19" s="2520"/>
      <c r="AN19" s="2520"/>
      <c r="AO19" s="2520"/>
      <c r="AP19" s="2520"/>
      <c r="AQ19" s="2520"/>
      <c r="AR19" s="2520"/>
      <c r="AS19" s="2520"/>
      <c r="AT19" s="365"/>
      <c r="AU19" s="365"/>
      <c r="AV19" s="365"/>
      <c r="AW19" s="365"/>
      <c r="AX19" s="365"/>
    </row>
    <row r="20" spans="1:50">
      <c r="A20" s="1582" t="s">
        <v>3857</v>
      </c>
      <c r="B20" s="1582" t="s">
        <v>3858</v>
      </c>
      <c r="C20" s="1570" t="s">
        <v>192</v>
      </c>
      <c r="N20" s="1581">
        <v>530000000</v>
      </c>
      <c r="O20" s="1581">
        <v>692000000</v>
      </c>
      <c r="P20" s="1581">
        <v>772000000</v>
      </c>
      <c r="Q20" s="1592">
        <v>856000000</v>
      </c>
      <c r="R20" s="1592">
        <v>912000000</v>
      </c>
      <c r="S20" s="1592">
        <v>916000000</v>
      </c>
      <c r="T20" s="1592">
        <v>1041000000</v>
      </c>
      <c r="U20" s="1592">
        <v>1063000000</v>
      </c>
      <c r="V20" s="1592">
        <v>1145000000</v>
      </c>
      <c r="W20" s="1592">
        <v>1240000000</v>
      </c>
      <c r="X20" s="1593">
        <v>1332000000</v>
      </c>
      <c r="Y20" s="1593">
        <v>1437000000</v>
      </c>
      <c r="Z20" s="1593">
        <v>1559000000</v>
      </c>
      <c r="AA20" s="2520"/>
      <c r="AB20" s="2520"/>
      <c r="AC20" s="2520"/>
      <c r="AD20" s="2520"/>
      <c r="AE20" s="2520"/>
      <c r="AF20" s="2520"/>
      <c r="AG20" s="2520"/>
      <c r="AH20" s="2520"/>
      <c r="AI20" s="2520"/>
      <c r="AJ20" s="2520"/>
      <c r="AK20" s="2520"/>
      <c r="AL20" s="2520"/>
      <c r="AM20" s="2520"/>
      <c r="AN20" s="2520"/>
      <c r="AO20" s="2520"/>
      <c r="AP20" s="2520"/>
      <c r="AQ20" s="2520"/>
      <c r="AR20" s="2520"/>
      <c r="AS20" s="2520"/>
      <c r="AT20" s="365"/>
      <c r="AU20" s="365"/>
      <c r="AV20" s="365"/>
      <c r="AW20" s="365"/>
      <c r="AX20" s="365"/>
    </row>
    <row r="21" spans="1:50">
      <c r="A21" s="1576" t="s">
        <v>649</v>
      </c>
      <c r="B21" s="1582" t="s">
        <v>3859</v>
      </c>
      <c r="C21" s="1570" t="s">
        <v>192</v>
      </c>
      <c r="N21" s="1581">
        <v>50000000</v>
      </c>
      <c r="O21" s="1581">
        <v>32000000</v>
      </c>
      <c r="P21" s="1581">
        <v>4000000</v>
      </c>
      <c r="Q21" s="1592">
        <v>5000000</v>
      </c>
      <c r="R21" s="1592">
        <v>8000000</v>
      </c>
      <c r="S21" s="1592">
        <v>13000000</v>
      </c>
      <c r="T21" s="1592">
        <v>15000000</v>
      </c>
      <c r="U21" s="1592">
        <v>13000000</v>
      </c>
      <c r="V21" s="1592">
        <v>12000000</v>
      </c>
      <c r="W21" s="1592">
        <v>12000000</v>
      </c>
      <c r="X21" s="1593">
        <v>12000000</v>
      </c>
      <c r="Y21" s="1593">
        <v>13000000</v>
      </c>
      <c r="Z21" s="1593">
        <v>14000000</v>
      </c>
      <c r="AA21" s="2520"/>
      <c r="AB21" s="2520"/>
      <c r="AC21" s="2520"/>
      <c r="AD21" s="2520"/>
      <c r="AE21" s="2520"/>
      <c r="AF21" s="2520"/>
      <c r="AG21" s="2520"/>
      <c r="AH21" s="2520"/>
      <c r="AI21" s="2520"/>
      <c r="AJ21" s="2520"/>
      <c r="AK21" s="2520"/>
      <c r="AL21" s="2520"/>
      <c r="AM21" s="2520"/>
      <c r="AN21" s="2520"/>
      <c r="AO21" s="2520"/>
      <c r="AP21" s="2520"/>
      <c r="AQ21" s="2520"/>
      <c r="AR21" s="2520"/>
      <c r="AS21" s="2520"/>
      <c r="AT21" s="365"/>
      <c r="AU21" s="365"/>
      <c r="AV21" s="365"/>
      <c r="AW21" s="365"/>
      <c r="AX21" s="365"/>
    </row>
    <row r="22" spans="1:50">
      <c r="A22" s="1582" t="s">
        <v>3860</v>
      </c>
      <c r="B22" s="1582" t="s">
        <v>3861</v>
      </c>
      <c r="C22" s="1578" t="s">
        <v>41</v>
      </c>
      <c r="N22" s="1581">
        <v>2628000000</v>
      </c>
      <c r="O22" s="1581">
        <v>2753000000</v>
      </c>
      <c r="P22" s="1581">
        <v>5966000000</v>
      </c>
      <c r="Q22" s="1592">
        <v>6055000000</v>
      </c>
      <c r="R22" s="1592">
        <v>7034000000</v>
      </c>
      <c r="S22" s="1592">
        <v>6399000000</v>
      </c>
      <c r="T22" s="1592">
        <v>4519000000</v>
      </c>
      <c r="U22" s="1592">
        <v>6154000000</v>
      </c>
      <c r="V22" s="1592">
        <v>5538000000</v>
      </c>
      <c r="W22" s="1592">
        <v>5006000000</v>
      </c>
      <c r="X22" s="1593">
        <v>7416000000</v>
      </c>
      <c r="Y22" s="1593">
        <v>7951000000</v>
      </c>
      <c r="Z22" s="1593">
        <v>8539000000</v>
      </c>
      <c r="AA22" s="2520"/>
      <c r="AB22" s="2520"/>
      <c r="AC22" s="2520"/>
      <c r="AD22" s="2520"/>
      <c r="AE22" s="2520"/>
      <c r="AF22" s="2520"/>
      <c r="AG22" s="2520"/>
      <c r="AH22" s="2520"/>
      <c r="AI22" s="2520"/>
      <c r="AJ22" s="2520"/>
      <c r="AK22" s="2520"/>
      <c r="AL22" s="2520"/>
      <c r="AM22" s="2520"/>
      <c r="AN22" s="2520"/>
      <c r="AO22" s="2520"/>
      <c r="AP22" s="2520"/>
      <c r="AQ22" s="2520"/>
      <c r="AR22" s="2520"/>
      <c r="AS22" s="2520"/>
      <c r="AT22" s="365"/>
      <c r="AU22" s="365"/>
      <c r="AV22" s="365"/>
      <c r="AW22" s="365"/>
      <c r="AX22" s="365"/>
    </row>
    <row r="23" spans="1:50">
      <c r="A23" s="1570" t="s">
        <v>76</v>
      </c>
      <c r="B23" s="1580" t="s">
        <v>3862</v>
      </c>
      <c r="N23" s="1581">
        <v>160000000</v>
      </c>
      <c r="O23" s="1581">
        <v>3000000</v>
      </c>
      <c r="P23" s="1581">
        <v>2982000000</v>
      </c>
      <c r="Q23" s="1592"/>
      <c r="R23" s="1592"/>
      <c r="S23" s="1592"/>
      <c r="T23" s="1592"/>
      <c r="U23" s="1592"/>
      <c r="V23" s="1592"/>
      <c r="W23" s="1592"/>
      <c r="X23" s="1593"/>
      <c r="Y23" s="1593"/>
      <c r="Z23" s="1593"/>
      <c r="AA23" s="2520"/>
      <c r="AB23" s="2520"/>
      <c r="AC23" s="2520"/>
      <c r="AD23" s="2520"/>
      <c r="AE23" s="2520"/>
      <c r="AF23" s="2520"/>
      <c r="AG23" s="2520"/>
      <c r="AH23" s="2520"/>
      <c r="AI23" s="2520"/>
      <c r="AJ23" s="2520"/>
      <c r="AK23" s="2520"/>
      <c r="AL23" s="2520"/>
      <c r="AM23" s="2520"/>
      <c r="AN23" s="2520"/>
      <c r="AO23" s="2520"/>
      <c r="AP23" s="2520"/>
      <c r="AQ23" s="2520"/>
      <c r="AR23" s="2520"/>
      <c r="AS23" s="2520"/>
      <c r="AT23" s="365"/>
      <c r="AU23" s="365"/>
      <c r="AV23" s="365"/>
      <c r="AW23" s="365"/>
      <c r="AX23" s="365"/>
    </row>
    <row r="24" spans="1:50" s="848" customFormat="1">
      <c r="A24" s="1564" t="s">
        <v>71</v>
      </c>
      <c r="B24" s="1063" t="s">
        <v>1301</v>
      </c>
      <c r="C24" s="1175" t="s">
        <v>35</v>
      </c>
      <c r="N24" s="1169">
        <v>9382000000</v>
      </c>
      <c r="O24" s="1169">
        <v>11557000000</v>
      </c>
      <c r="P24" s="1169">
        <v>12160000000</v>
      </c>
      <c r="Q24" s="1534">
        <f>Q25+Q38</f>
        <v>13712000000</v>
      </c>
      <c r="R24" s="1534">
        <f t="shared" ref="R24:Z24" si="2">R25+R38</f>
        <v>14491000000</v>
      </c>
      <c r="S24" s="1534">
        <f t="shared" si="2"/>
        <v>15625000000</v>
      </c>
      <c r="T24" s="1534">
        <f t="shared" si="2"/>
        <v>16229000000</v>
      </c>
      <c r="U24" s="1534">
        <f t="shared" si="2"/>
        <v>17498000000</v>
      </c>
      <c r="V24" s="1534">
        <f t="shared" si="2"/>
        <v>17525000000</v>
      </c>
      <c r="W24" s="1534">
        <f t="shared" si="2"/>
        <v>18398000000</v>
      </c>
      <c r="X24" s="1534">
        <f t="shared" si="2"/>
        <v>19424000000</v>
      </c>
      <c r="Y24" s="1534">
        <f t="shared" si="2"/>
        <v>20951000000</v>
      </c>
      <c r="Z24" s="1534">
        <f t="shared" si="2"/>
        <v>22540000000</v>
      </c>
      <c r="AA24" s="2554"/>
      <c r="AB24" s="2556"/>
      <c r="AC24" s="2554"/>
      <c r="AD24" s="2554"/>
      <c r="AE24" s="2554"/>
      <c r="AF24" s="2554"/>
      <c r="AG24" s="2554"/>
      <c r="AH24" s="2554"/>
      <c r="AI24" s="2554"/>
      <c r="AJ24" s="2554"/>
      <c r="AK24" s="2554"/>
      <c r="AL24" s="2554"/>
      <c r="AM24" s="2554"/>
      <c r="AN24" s="2554"/>
      <c r="AO24" s="2554"/>
      <c r="AP24" s="2554"/>
      <c r="AQ24" s="2554"/>
      <c r="AR24" s="2554"/>
      <c r="AS24" s="2554"/>
      <c r="AT24" s="1594"/>
      <c r="AU24" s="1594"/>
      <c r="AV24" s="1594"/>
      <c r="AW24" s="1594"/>
      <c r="AX24" s="1594"/>
    </row>
    <row r="25" spans="1:50">
      <c r="A25" s="1585" t="s">
        <v>73</v>
      </c>
      <c r="B25" s="1577" t="s">
        <v>382</v>
      </c>
      <c r="C25" s="1578" t="s">
        <v>75</v>
      </c>
      <c r="N25" s="1581">
        <v>7459000000</v>
      </c>
      <c r="O25" s="1581">
        <v>8680000000</v>
      </c>
      <c r="P25" s="1581">
        <v>8764000000</v>
      </c>
      <c r="Q25" s="1592">
        <v>10415000000</v>
      </c>
      <c r="R25" s="1592">
        <v>11564000000</v>
      </c>
      <c r="S25" s="1592">
        <v>12031000000</v>
      </c>
      <c r="T25" s="1592">
        <v>12904000000</v>
      </c>
      <c r="U25" s="2555">
        <f>U26+U29+U30+U33+U34+U35+U36</f>
        <v>14307000000</v>
      </c>
      <c r="V25" s="1592">
        <v>14213000000</v>
      </c>
      <c r="W25" s="1592">
        <v>14962000000</v>
      </c>
      <c r="X25" s="1593">
        <v>15849000000</v>
      </c>
      <c r="Y25" s="1593">
        <v>16908000000</v>
      </c>
      <c r="Z25" s="1593">
        <v>18050000000</v>
      </c>
      <c r="AA25" s="2520"/>
      <c r="AB25" s="2520"/>
      <c r="AC25" s="2520"/>
      <c r="AD25" s="2520"/>
      <c r="AE25" s="2520"/>
      <c r="AF25" s="2520"/>
      <c r="AG25" s="2520"/>
      <c r="AH25" s="2520"/>
      <c r="AI25" s="2520"/>
      <c r="AJ25" s="2520"/>
      <c r="AK25" s="2520"/>
      <c r="AL25" s="2520"/>
      <c r="AM25" s="2520"/>
      <c r="AN25" s="2520"/>
      <c r="AO25" s="2520"/>
      <c r="AP25" s="2520"/>
      <c r="AQ25" s="2520"/>
      <c r="AR25" s="2520"/>
      <c r="AS25" s="2520"/>
      <c r="AT25" s="365"/>
      <c r="AU25" s="365"/>
      <c r="AV25" s="365"/>
      <c r="AW25" s="365"/>
      <c r="AX25" s="365"/>
    </row>
    <row r="26" spans="1:50">
      <c r="A26" s="1580" t="s">
        <v>797</v>
      </c>
      <c r="B26" s="1580" t="s">
        <v>3863</v>
      </c>
      <c r="C26" s="1578" t="s">
        <v>81</v>
      </c>
      <c r="N26" s="1581">
        <v>3199000000</v>
      </c>
      <c r="O26" s="1581">
        <v>3638000000</v>
      </c>
      <c r="P26" s="1581">
        <v>3749000000</v>
      </c>
      <c r="Q26" s="1592">
        <v>4589000000</v>
      </c>
      <c r="R26" s="1592">
        <v>4984000000</v>
      </c>
      <c r="S26" s="1592">
        <v>5538000000</v>
      </c>
      <c r="T26" s="1592">
        <v>6112000000</v>
      </c>
      <c r="U26" s="1592">
        <v>6569000000</v>
      </c>
      <c r="V26" s="1592">
        <v>6678000000</v>
      </c>
      <c r="W26" s="1592">
        <v>7213000000</v>
      </c>
      <c r="X26" s="1593">
        <v>7592000000</v>
      </c>
      <c r="Y26" s="1593">
        <v>8175000000</v>
      </c>
      <c r="Z26" s="1593">
        <v>8855000000</v>
      </c>
      <c r="AA26" s="2520"/>
      <c r="AB26" s="2520"/>
      <c r="AC26" s="2520"/>
      <c r="AD26" s="2520"/>
      <c r="AE26" s="2520"/>
      <c r="AF26" s="2520"/>
      <c r="AG26" s="2520"/>
      <c r="AH26" s="2520"/>
      <c r="AI26" s="2520"/>
      <c r="AJ26" s="2520"/>
      <c r="AK26" s="2520"/>
      <c r="AL26" s="2520"/>
      <c r="AM26" s="2520"/>
      <c r="AN26" s="2520"/>
      <c r="AO26" s="2520"/>
      <c r="AP26" s="2520"/>
      <c r="AQ26" s="2520"/>
      <c r="AR26" s="2520"/>
      <c r="AS26" s="2520"/>
      <c r="AT26" s="365"/>
      <c r="AU26" s="365"/>
      <c r="AV26" s="365"/>
      <c r="AW26" s="365"/>
      <c r="AX26" s="365"/>
    </row>
    <row r="27" spans="1:50">
      <c r="A27" s="1582" t="s">
        <v>79</v>
      </c>
      <c r="B27" s="1582" t="s">
        <v>3864</v>
      </c>
      <c r="C27" s="1578" t="s">
        <v>3865</v>
      </c>
      <c r="N27" s="1581">
        <v>2881000000</v>
      </c>
      <c r="O27" s="1581">
        <v>3136000000</v>
      </c>
      <c r="P27" s="1581">
        <v>3226000000</v>
      </c>
      <c r="Q27" s="1592">
        <v>3938000000</v>
      </c>
      <c r="R27" s="1592">
        <v>4219000000</v>
      </c>
      <c r="S27" s="1592">
        <v>4718000000</v>
      </c>
      <c r="T27" s="1592">
        <v>5169000000</v>
      </c>
      <c r="U27" s="1592">
        <v>5514000000</v>
      </c>
      <c r="V27" s="1592">
        <v>5661000000</v>
      </c>
      <c r="W27" s="1592">
        <v>6126000000</v>
      </c>
      <c r="X27" s="1593">
        <v>6435000000</v>
      </c>
      <c r="Y27" s="1593">
        <v>6940000000</v>
      </c>
      <c r="Z27" s="1593">
        <v>7528000000</v>
      </c>
      <c r="AA27" s="2520"/>
      <c r="AB27" s="2557"/>
      <c r="AC27" s="2520"/>
      <c r="AD27" s="2520"/>
      <c r="AE27" s="2520"/>
      <c r="AF27" s="2520"/>
      <c r="AG27" s="2520"/>
      <c r="AH27" s="2520"/>
      <c r="AI27" s="2520"/>
      <c r="AJ27" s="2520"/>
      <c r="AK27" s="2520"/>
      <c r="AL27" s="2520"/>
      <c r="AM27" s="2520"/>
      <c r="AN27" s="2520"/>
      <c r="AO27" s="2520"/>
      <c r="AP27" s="2520"/>
      <c r="AQ27" s="2520"/>
      <c r="AR27" s="2520"/>
      <c r="AS27" s="2520"/>
      <c r="AT27" s="365"/>
      <c r="AU27" s="365"/>
      <c r="AV27" s="365"/>
      <c r="AW27" s="365"/>
      <c r="AX27" s="365"/>
    </row>
    <row r="28" spans="1:50">
      <c r="A28" s="1582" t="s">
        <v>558</v>
      </c>
      <c r="B28" s="1582" t="s">
        <v>3866</v>
      </c>
      <c r="C28" s="1578" t="s">
        <v>3865</v>
      </c>
      <c r="N28" s="1581">
        <v>319000000</v>
      </c>
      <c r="O28" s="1581">
        <v>503000000</v>
      </c>
      <c r="P28" s="1581">
        <v>522000000</v>
      </c>
      <c r="Q28" s="1592">
        <v>651000000</v>
      </c>
      <c r="R28" s="1592">
        <v>766000000</v>
      </c>
      <c r="S28" s="1592">
        <v>821000000</v>
      </c>
      <c r="T28" s="1592">
        <v>942000000</v>
      </c>
      <c r="U28" s="1592">
        <v>1055000000</v>
      </c>
      <c r="V28" s="1592">
        <v>1017000000</v>
      </c>
      <c r="W28" s="1592">
        <v>1087000000</v>
      </c>
      <c r="X28" s="1593">
        <v>1157000000</v>
      </c>
      <c r="Y28" s="1593">
        <v>1235000000</v>
      </c>
      <c r="Z28" s="1593">
        <v>1327000000</v>
      </c>
      <c r="AA28" s="2520"/>
      <c r="AB28" s="2520"/>
      <c r="AC28" s="2520"/>
      <c r="AD28" s="2520"/>
      <c r="AE28" s="2520"/>
      <c r="AF28" s="2520"/>
      <c r="AG28" s="2520"/>
      <c r="AH28" s="2520"/>
      <c r="AI28" s="2520"/>
      <c r="AJ28" s="2520"/>
      <c r="AK28" s="2520"/>
      <c r="AL28" s="2520"/>
      <c r="AM28" s="2520"/>
      <c r="AN28" s="2520"/>
      <c r="AO28" s="2520"/>
      <c r="AP28" s="2520"/>
      <c r="AQ28" s="2520"/>
      <c r="AR28" s="2520"/>
      <c r="AS28" s="2520"/>
      <c r="AT28" s="365"/>
      <c r="AU28" s="365"/>
      <c r="AV28" s="365"/>
      <c r="AW28" s="365"/>
      <c r="AX28" s="365"/>
    </row>
    <row r="29" spans="1:50">
      <c r="A29" s="1576" t="s">
        <v>83</v>
      </c>
      <c r="B29" s="1580" t="s">
        <v>3867</v>
      </c>
      <c r="C29" s="1578" t="s">
        <v>81</v>
      </c>
      <c r="N29" s="1581">
        <v>1918000000</v>
      </c>
      <c r="O29" s="1581">
        <v>2177000000</v>
      </c>
      <c r="P29" s="1581">
        <v>2356000000</v>
      </c>
      <c r="Q29" s="1592">
        <v>2972000000</v>
      </c>
      <c r="R29" s="1592">
        <v>3649000000</v>
      </c>
      <c r="S29" s="1592">
        <v>3086000000</v>
      </c>
      <c r="T29" s="1592">
        <v>3320000000</v>
      </c>
      <c r="U29" s="1592">
        <v>3761000000</v>
      </c>
      <c r="V29" s="1592">
        <v>3775000000</v>
      </c>
      <c r="W29" s="1592">
        <v>3899000000</v>
      </c>
      <c r="X29" s="1593">
        <v>4002000000</v>
      </c>
      <c r="Y29" s="1593">
        <v>4117000000</v>
      </c>
      <c r="Z29" s="1593">
        <v>4266000000</v>
      </c>
      <c r="AA29" s="2520"/>
      <c r="AB29" s="2520"/>
      <c r="AC29" s="2520"/>
      <c r="AD29" s="2520"/>
      <c r="AE29" s="2520"/>
      <c r="AF29" s="2520"/>
      <c r="AG29" s="2520"/>
      <c r="AH29" s="2520"/>
      <c r="AI29" s="2520"/>
      <c r="AJ29" s="2520"/>
      <c r="AK29" s="2520"/>
      <c r="AL29" s="2520"/>
      <c r="AM29" s="2520"/>
      <c r="AN29" s="2520"/>
      <c r="AO29" s="2520"/>
      <c r="AP29" s="2520"/>
      <c r="AQ29" s="2520"/>
      <c r="AR29" s="2520"/>
      <c r="AS29" s="2520"/>
      <c r="AT29" s="365"/>
      <c r="AU29" s="365"/>
      <c r="AV29" s="365"/>
      <c r="AW29" s="365"/>
      <c r="AX29" s="365"/>
    </row>
    <row r="30" spans="1:50">
      <c r="A30" s="1576" t="s">
        <v>90</v>
      </c>
      <c r="B30" s="1580" t="s">
        <v>3868</v>
      </c>
      <c r="C30" s="1578" t="s">
        <v>81</v>
      </c>
      <c r="N30" s="1581">
        <v>96000000</v>
      </c>
      <c r="O30" s="1581">
        <v>137000000</v>
      </c>
      <c r="P30" s="1581">
        <v>166000000</v>
      </c>
      <c r="Q30" s="1592">
        <v>189000000</v>
      </c>
      <c r="R30" s="1592">
        <v>177000000</v>
      </c>
      <c r="S30" s="1592">
        <v>274000000</v>
      </c>
      <c r="T30" s="1592">
        <v>255000000</v>
      </c>
      <c r="U30" s="2555">
        <f>U31+U32</f>
        <v>396000000</v>
      </c>
      <c r="V30" s="1592">
        <v>417000000</v>
      </c>
      <c r="W30" s="1592">
        <v>394000000</v>
      </c>
      <c r="X30" s="1593">
        <v>677000000</v>
      </c>
      <c r="Y30" s="1593">
        <v>758000000</v>
      </c>
      <c r="Z30" s="1593">
        <v>744000000</v>
      </c>
      <c r="AA30" s="2520"/>
      <c r="AB30" s="2520"/>
      <c r="AC30" s="2520"/>
      <c r="AD30" s="2520"/>
      <c r="AE30" s="2520"/>
      <c r="AF30" s="2520"/>
      <c r="AG30" s="2520"/>
      <c r="AH30" s="2520"/>
      <c r="AI30" s="2520"/>
      <c r="AJ30" s="2520"/>
      <c r="AK30" s="2520"/>
      <c r="AL30" s="2520"/>
      <c r="AM30" s="2520"/>
      <c r="AN30" s="2520"/>
      <c r="AO30" s="2520"/>
      <c r="AP30" s="2520"/>
      <c r="AQ30" s="2520"/>
      <c r="AR30" s="2520"/>
      <c r="AS30" s="2520"/>
      <c r="AT30" s="365"/>
      <c r="AU30" s="365"/>
      <c r="AV30" s="365"/>
      <c r="AW30" s="365"/>
      <c r="AX30" s="365"/>
    </row>
    <row r="31" spans="1:50">
      <c r="A31" s="1582" t="s">
        <v>209</v>
      </c>
      <c r="B31" s="1582" t="s">
        <v>209</v>
      </c>
      <c r="C31" s="1578" t="s">
        <v>3405</v>
      </c>
      <c r="N31" s="1581">
        <v>43000000</v>
      </c>
      <c r="O31" s="1581">
        <v>68000000</v>
      </c>
      <c r="P31" s="1581">
        <v>85000000</v>
      </c>
      <c r="Q31" s="1592">
        <v>80000000</v>
      </c>
      <c r="R31" s="1592">
        <v>45000000</v>
      </c>
      <c r="S31" s="1592">
        <v>76000000</v>
      </c>
      <c r="T31" s="1592">
        <v>45000000</v>
      </c>
      <c r="U31" s="1592">
        <v>93000000</v>
      </c>
      <c r="V31" s="1592">
        <v>241000000</v>
      </c>
      <c r="W31" s="1592">
        <v>229000000</v>
      </c>
      <c r="X31" s="1593">
        <v>458000000</v>
      </c>
      <c r="Y31" s="1593">
        <v>540000000</v>
      </c>
      <c r="Z31" s="1593">
        <v>527000000</v>
      </c>
      <c r="AA31" s="2520"/>
      <c r="AB31" s="2520"/>
      <c r="AC31" s="2520"/>
      <c r="AD31" s="2520"/>
      <c r="AE31" s="2520"/>
      <c r="AF31" s="2520"/>
      <c r="AG31" s="2520"/>
      <c r="AH31" s="2520"/>
      <c r="AI31" s="2520"/>
      <c r="AJ31" s="2520"/>
      <c r="AK31" s="2520"/>
      <c r="AL31" s="2520"/>
      <c r="AM31" s="2520"/>
      <c r="AN31" s="2520"/>
      <c r="AO31" s="2520"/>
      <c r="AP31" s="2520"/>
      <c r="AQ31" s="2520"/>
      <c r="AR31" s="2520"/>
      <c r="AS31" s="2520"/>
      <c r="AT31" s="365"/>
      <c r="AU31" s="365"/>
      <c r="AV31" s="365"/>
      <c r="AW31" s="365"/>
      <c r="AX31" s="365"/>
    </row>
    <row r="32" spans="1:50">
      <c r="A32" s="1582" t="s">
        <v>280</v>
      </c>
      <c r="B32" s="1582" t="s">
        <v>280</v>
      </c>
      <c r="C32" s="1578" t="s">
        <v>3405</v>
      </c>
      <c r="N32" s="1581">
        <v>53000000</v>
      </c>
      <c r="O32" s="1581">
        <v>69000000</v>
      </c>
      <c r="P32" s="1581">
        <v>81000000</v>
      </c>
      <c r="Q32" s="1592">
        <v>108000000</v>
      </c>
      <c r="R32" s="1592">
        <v>133000000</v>
      </c>
      <c r="S32" s="1592">
        <v>198000000</v>
      </c>
      <c r="T32" s="1592">
        <v>210000000</v>
      </c>
      <c r="U32" s="1592">
        <v>303000000</v>
      </c>
      <c r="V32" s="1592">
        <v>176000000</v>
      </c>
      <c r="W32" s="1592">
        <v>164000000</v>
      </c>
      <c r="X32" s="1593">
        <v>219000000</v>
      </c>
      <c r="Y32" s="1593">
        <v>218000000</v>
      </c>
      <c r="Z32" s="1593">
        <v>217000000</v>
      </c>
      <c r="AA32" s="2520"/>
      <c r="AB32" s="2520"/>
      <c r="AC32" s="2520"/>
      <c r="AD32" s="2520"/>
      <c r="AE32" s="2520"/>
      <c r="AF32" s="2520"/>
      <c r="AG32" s="2520"/>
      <c r="AH32" s="2520"/>
      <c r="AI32" s="2520"/>
      <c r="AJ32" s="2520"/>
      <c r="AK32" s="2520"/>
      <c r="AL32" s="2520"/>
      <c r="AM32" s="2520"/>
      <c r="AN32" s="2520"/>
      <c r="AO32" s="2520"/>
      <c r="AP32" s="2520"/>
      <c r="AQ32" s="2520"/>
      <c r="AR32" s="2520"/>
      <c r="AS32" s="2520"/>
      <c r="AT32" s="365"/>
      <c r="AU32" s="365"/>
      <c r="AV32" s="365"/>
      <c r="AW32" s="365"/>
      <c r="AX32" s="365"/>
    </row>
    <row r="33" spans="1:50">
      <c r="A33" s="1576" t="s">
        <v>215</v>
      </c>
      <c r="B33" s="1580" t="s">
        <v>215</v>
      </c>
      <c r="C33" s="1578" t="s">
        <v>81</v>
      </c>
      <c r="N33" s="1581">
        <v>232000000</v>
      </c>
      <c r="O33" s="1581">
        <v>237000000</v>
      </c>
      <c r="P33" s="1581">
        <v>253000000</v>
      </c>
      <c r="Q33" s="1592">
        <v>232000000</v>
      </c>
      <c r="R33" s="1592">
        <v>201000000</v>
      </c>
      <c r="S33" s="1592">
        <v>251000000</v>
      </c>
      <c r="T33" s="1592">
        <v>415000000</v>
      </c>
      <c r="U33" s="1592">
        <v>310000000</v>
      </c>
      <c r="V33" s="1592">
        <v>310000000</v>
      </c>
      <c r="W33" s="1592">
        <v>310000000</v>
      </c>
      <c r="X33" s="1593">
        <v>310000000</v>
      </c>
      <c r="Y33" s="1593">
        <v>334000000</v>
      </c>
      <c r="Z33" s="1593">
        <v>362000000</v>
      </c>
      <c r="AA33" s="2520"/>
      <c r="AB33" s="2520"/>
      <c r="AC33" s="2520"/>
      <c r="AD33" s="2520"/>
      <c r="AE33" s="2520"/>
      <c r="AF33" s="2520"/>
      <c r="AG33" s="2520"/>
      <c r="AH33" s="2520"/>
      <c r="AI33" s="2520"/>
      <c r="AJ33" s="2520"/>
      <c r="AK33" s="2520"/>
      <c r="AL33" s="2520"/>
      <c r="AM33" s="2520"/>
      <c r="AN33" s="2520"/>
      <c r="AO33" s="2520"/>
      <c r="AP33" s="2520"/>
      <c r="AQ33" s="2520"/>
      <c r="AR33" s="2520"/>
      <c r="AS33" s="2520"/>
      <c r="AT33" s="365"/>
      <c r="AU33" s="365"/>
      <c r="AV33" s="365"/>
      <c r="AW33" s="365"/>
      <c r="AX33" s="365"/>
    </row>
    <row r="34" spans="1:50">
      <c r="A34" s="1580" t="s">
        <v>53</v>
      </c>
      <c r="B34" s="1580" t="s">
        <v>53</v>
      </c>
      <c r="C34" s="1578" t="s">
        <v>81</v>
      </c>
      <c r="N34" s="1581">
        <v>707000000</v>
      </c>
      <c r="O34" s="1581">
        <v>960000000</v>
      </c>
      <c r="P34" s="1581">
        <v>882000000</v>
      </c>
      <c r="Q34" s="1592">
        <v>899000000</v>
      </c>
      <c r="R34" s="1592">
        <v>1037000000</v>
      </c>
      <c r="S34" s="1592">
        <v>1106000000</v>
      </c>
      <c r="T34" s="1592">
        <v>1258000000</v>
      </c>
      <c r="U34" s="1592">
        <v>1392000000</v>
      </c>
      <c r="V34" s="1592">
        <v>1078000000</v>
      </c>
      <c r="W34" s="1592">
        <v>1125000000</v>
      </c>
      <c r="X34" s="1593">
        <v>1171000000</v>
      </c>
      <c r="Y34" s="1593">
        <v>1263000000</v>
      </c>
      <c r="Z34" s="1593">
        <v>1370000000</v>
      </c>
      <c r="AA34" s="2520"/>
      <c r="AB34" s="2520"/>
      <c r="AC34" s="2520"/>
      <c r="AD34" s="2520"/>
      <c r="AE34" s="2520"/>
      <c r="AF34" s="2520"/>
      <c r="AG34" s="2520"/>
      <c r="AH34" s="2520"/>
      <c r="AI34" s="2520"/>
      <c r="AJ34" s="2520"/>
      <c r="AK34" s="2520"/>
      <c r="AL34" s="2520"/>
      <c r="AM34" s="2520"/>
      <c r="AN34" s="2520"/>
      <c r="AO34" s="2520"/>
      <c r="AP34" s="2520"/>
      <c r="AQ34" s="2520"/>
      <c r="AR34" s="2520"/>
      <c r="AS34" s="2520"/>
      <c r="AT34" s="365"/>
      <c r="AU34" s="365"/>
      <c r="AV34" s="365"/>
      <c r="AW34" s="365"/>
      <c r="AX34" s="365"/>
    </row>
    <row r="35" spans="1:50">
      <c r="A35" s="1580" t="s">
        <v>806</v>
      </c>
      <c r="B35" s="1580" t="s">
        <v>3869</v>
      </c>
      <c r="C35" s="1578" t="s">
        <v>81</v>
      </c>
      <c r="N35" s="1581">
        <v>600000000</v>
      </c>
      <c r="O35" s="1581">
        <v>587000000</v>
      </c>
      <c r="P35" s="1581">
        <v>611000000</v>
      </c>
      <c r="Q35" s="1592">
        <v>763000000</v>
      </c>
      <c r="R35" s="1592">
        <v>779000000</v>
      </c>
      <c r="S35" s="1592">
        <v>898000000</v>
      </c>
      <c r="T35" s="1592">
        <v>893000000</v>
      </c>
      <c r="U35" s="1592">
        <v>1049000000</v>
      </c>
      <c r="V35" s="1592">
        <v>1103000000</v>
      </c>
      <c r="W35" s="1592">
        <v>1148000000</v>
      </c>
      <c r="X35" s="1593">
        <v>1234000000</v>
      </c>
      <c r="Y35" s="1593">
        <v>1331000000</v>
      </c>
      <c r="Z35" s="1593">
        <v>1444000000</v>
      </c>
      <c r="AA35" s="2520"/>
      <c r="AB35" s="2520"/>
      <c r="AC35" s="2520"/>
      <c r="AD35" s="2520"/>
      <c r="AE35" s="2520"/>
      <c r="AF35" s="2520"/>
      <c r="AG35" s="2520"/>
      <c r="AH35" s="2520"/>
      <c r="AI35" s="2520"/>
      <c r="AJ35" s="2520"/>
      <c r="AK35" s="2520"/>
      <c r="AL35" s="2520"/>
      <c r="AM35" s="2520"/>
      <c r="AN35" s="2520"/>
      <c r="AO35" s="2520"/>
      <c r="AP35" s="2520"/>
      <c r="AQ35" s="2520"/>
      <c r="AR35" s="2520"/>
      <c r="AS35" s="2520"/>
      <c r="AT35" s="365"/>
      <c r="AU35" s="365"/>
      <c r="AV35" s="365"/>
      <c r="AW35" s="365"/>
      <c r="AX35" s="365"/>
    </row>
    <row r="36" spans="1:50">
      <c r="A36" s="1576" t="s">
        <v>391</v>
      </c>
      <c r="B36" s="1580" t="s">
        <v>3870</v>
      </c>
      <c r="C36" s="1578" t="s">
        <v>81</v>
      </c>
      <c r="N36" s="1581">
        <v>707000000</v>
      </c>
      <c r="O36" s="1581">
        <v>943000000</v>
      </c>
      <c r="P36" s="1581">
        <v>747000000</v>
      </c>
      <c r="Q36" s="1592">
        <v>772000000</v>
      </c>
      <c r="R36" s="1592">
        <v>736000000</v>
      </c>
      <c r="S36" s="1592">
        <v>878000000</v>
      </c>
      <c r="T36" s="1592">
        <v>652000000</v>
      </c>
      <c r="U36" s="1592">
        <v>830000000</v>
      </c>
      <c r="V36" s="1592">
        <v>852000000</v>
      </c>
      <c r="W36" s="1592">
        <v>872000000</v>
      </c>
      <c r="X36" s="1593">
        <v>862000000</v>
      </c>
      <c r="Y36" s="1593">
        <v>930000000</v>
      </c>
      <c r="Z36" s="1593">
        <v>1009000000</v>
      </c>
      <c r="AA36" s="2520"/>
      <c r="AB36" s="2520"/>
      <c r="AC36" s="2520"/>
      <c r="AD36" s="2520"/>
      <c r="AE36" s="2520"/>
      <c r="AF36" s="2520"/>
      <c r="AG36" s="2520"/>
      <c r="AH36" s="2520"/>
      <c r="AI36" s="2520"/>
      <c r="AJ36" s="2520"/>
      <c r="AK36" s="2520"/>
      <c r="AL36" s="2520"/>
      <c r="AM36" s="2520"/>
      <c r="AN36" s="2520"/>
      <c r="AO36" s="2520"/>
      <c r="AP36" s="2520"/>
      <c r="AQ36" s="2520"/>
      <c r="AR36" s="2520"/>
      <c r="AS36" s="2520"/>
      <c r="AT36" s="365"/>
      <c r="AU36" s="365"/>
      <c r="AV36" s="365"/>
      <c r="AW36" s="365"/>
      <c r="AX36" s="365"/>
    </row>
    <row r="37" spans="1:50">
      <c r="A37" s="1570" t="s">
        <v>76</v>
      </c>
      <c r="B37" s="1577" t="s">
        <v>3871</v>
      </c>
      <c r="C37" s="1577"/>
      <c r="N37" s="1581">
        <v>1100000000</v>
      </c>
      <c r="O37" s="1581">
        <v>936000000</v>
      </c>
      <c r="P37" s="1581">
        <v>4386000000</v>
      </c>
      <c r="Q37" s="1592">
        <v>2860000000</v>
      </c>
      <c r="R37" s="1592">
        <v>3018000000</v>
      </c>
      <c r="S37" s="1592">
        <v>3269000000</v>
      </c>
      <c r="T37" s="1592">
        <v>1147000000</v>
      </c>
      <c r="U37" s="1592">
        <v>740000000</v>
      </c>
      <c r="V37" s="1592">
        <v>1141000000</v>
      </c>
      <c r="W37" s="1592">
        <v>1292000000</v>
      </c>
      <c r="X37" s="1593">
        <v>3785000000</v>
      </c>
      <c r="Y37" s="1593">
        <v>4194000000</v>
      </c>
      <c r="Z37" s="1593">
        <v>4722000000</v>
      </c>
      <c r="AA37" s="2520"/>
      <c r="AB37" s="2520"/>
      <c r="AC37" s="2520"/>
      <c r="AD37" s="2520"/>
      <c r="AE37" s="2520"/>
      <c r="AF37" s="2520"/>
      <c r="AG37" s="2520"/>
      <c r="AH37" s="2520"/>
      <c r="AI37" s="2520"/>
      <c r="AJ37" s="2520"/>
      <c r="AK37" s="2520"/>
      <c r="AL37" s="2520"/>
      <c r="AM37" s="2520"/>
      <c r="AN37" s="2520"/>
      <c r="AO37" s="2520"/>
      <c r="AP37" s="2520"/>
      <c r="AQ37" s="2520"/>
      <c r="AR37" s="2520"/>
      <c r="AS37" s="2520"/>
      <c r="AT37" s="365"/>
      <c r="AU37" s="365"/>
      <c r="AV37" s="365"/>
      <c r="AW37" s="365"/>
      <c r="AX37" s="365"/>
    </row>
    <row r="38" spans="1:50">
      <c r="A38" s="1585" t="s">
        <v>237</v>
      </c>
      <c r="B38" s="1577" t="s">
        <v>3872</v>
      </c>
      <c r="C38" s="1578" t="s">
        <v>75</v>
      </c>
      <c r="N38" s="1581">
        <v>1923000000</v>
      </c>
      <c r="O38" s="1581">
        <v>2877000000</v>
      </c>
      <c r="P38" s="1581">
        <v>3396000000</v>
      </c>
      <c r="Q38" s="1592">
        <v>3297000000</v>
      </c>
      <c r="R38" s="1592">
        <v>2927000000</v>
      </c>
      <c r="S38" s="1592">
        <v>3594000000</v>
      </c>
      <c r="T38" s="1592">
        <v>3325000000</v>
      </c>
      <c r="U38" s="1592">
        <v>3191000000</v>
      </c>
      <c r="V38" s="1592">
        <v>3312000000</v>
      </c>
      <c r="W38" s="1592">
        <v>3436000000</v>
      </c>
      <c r="X38" s="1593">
        <v>3575000000</v>
      </c>
      <c r="Y38" s="1593">
        <v>4043000000</v>
      </c>
      <c r="Z38" s="1593">
        <v>4490000000</v>
      </c>
      <c r="AA38" s="2520"/>
      <c r="AB38" s="2520"/>
      <c r="AC38" s="2520"/>
      <c r="AD38" s="2520"/>
      <c r="AE38" s="2520"/>
      <c r="AF38" s="2520"/>
      <c r="AG38" s="2520"/>
      <c r="AH38" s="2520"/>
      <c r="AI38" s="2520"/>
      <c r="AJ38" s="2520"/>
      <c r="AK38" s="2520"/>
      <c r="AL38" s="2520"/>
      <c r="AM38" s="2520"/>
      <c r="AN38" s="2520"/>
      <c r="AO38" s="2520"/>
      <c r="AP38" s="2520"/>
      <c r="AQ38" s="2520"/>
      <c r="AR38" s="2520"/>
      <c r="AS38" s="2520"/>
      <c r="AT38" s="365"/>
      <c r="AU38" s="365"/>
      <c r="AV38" s="365"/>
      <c r="AW38" s="365"/>
      <c r="AX38" s="365"/>
    </row>
    <row r="39" spans="1:50">
      <c r="A39" s="1586" t="s">
        <v>2767</v>
      </c>
      <c r="B39" s="1586" t="s">
        <v>2767</v>
      </c>
      <c r="C39" s="1587" t="s">
        <v>3873</v>
      </c>
      <c r="N39" s="1581"/>
      <c r="O39" s="1581"/>
      <c r="P39" s="1581"/>
      <c r="Q39" s="1592">
        <v>2596000000</v>
      </c>
      <c r="R39" s="1592">
        <v>1653000000</v>
      </c>
      <c r="S39" s="1592">
        <v>3029000000</v>
      </c>
      <c r="T39" s="1592">
        <v>2735000000</v>
      </c>
      <c r="U39" s="1592">
        <v>2580000000</v>
      </c>
      <c r="V39" s="1592">
        <v>1885000000</v>
      </c>
      <c r="W39" s="1592">
        <v>2093000000</v>
      </c>
      <c r="X39" s="1593">
        <v>2478000000</v>
      </c>
      <c r="Y39" s="1593">
        <v>3189000000</v>
      </c>
      <c r="Z39" s="1593">
        <v>3580000000</v>
      </c>
      <c r="AA39" s="2520"/>
      <c r="AB39" s="2520"/>
      <c r="AC39" s="2520"/>
      <c r="AD39" s="2520"/>
      <c r="AE39" s="2520"/>
      <c r="AF39" s="2520"/>
      <c r="AG39" s="2520"/>
      <c r="AH39" s="2520"/>
      <c r="AI39" s="2520"/>
      <c r="AJ39" s="2520"/>
      <c r="AK39" s="2520"/>
      <c r="AL39" s="2520"/>
      <c r="AM39" s="2520"/>
      <c r="AN39" s="2520"/>
      <c r="AO39" s="2520"/>
      <c r="AP39" s="2520"/>
      <c r="AQ39" s="2520"/>
      <c r="AR39" s="2520"/>
      <c r="AS39" s="2520"/>
      <c r="AT39" s="365"/>
      <c r="AU39" s="365"/>
      <c r="AV39" s="365"/>
      <c r="AW39" s="365"/>
      <c r="AX39" s="365"/>
    </row>
    <row r="40" spans="1:50">
      <c r="A40" s="1586" t="s">
        <v>2769</v>
      </c>
      <c r="B40" s="1586" t="s">
        <v>2769</v>
      </c>
      <c r="C40" s="1587" t="s">
        <v>3873</v>
      </c>
      <c r="N40" s="1581"/>
      <c r="O40" s="1581"/>
      <c r="P40" s="1581"/>
      <c r="Q40" s="1592">
        <v>701000000</v>
      </c>
      <c r="R40" s="1592">
        <v>1274000000</v>
      </c>
      <c r="S40" s="1592">
        <v>565000000</v>
      </c>
      <c r="T40" s="1592">
        <v>590000000</v>
      </c>
      <c r="U40" s="1592">
        <v>611000000</v>
      </c>
      <c r="V40" s="1592">
        <v>1427000000</v>
      </c>
      <c r="W40" s="1592">
        <v>1343000000</v>
      </c>
      <c r="X40" s="1593">
        <v>1098000000</v>
      </c>
      <c r="Y40" s="1593">
        <v>855000000</v>
      </c>
      <c r="Z40" s="1593">
        <v>911000000</v>
      </c>
      <c r="AA40" s="2520"/>
      <c r="AB40" s="2520"/>
      <c r="AC40" s="2520"/>
      <c r="AD40" s="2520"/>
      <c r="AE40" s="2520"/>
      <c r="AF40" s="2520"/>
      <c r="AG40" s="2520"/>
      <c r="AH40" s="2520"/>
      <c r="AI40" s="2520"/>
      <c r="AJ40" s="2520"/>
      <c r="AK40" s="2520"/>
      <c r="AL40" s="2520"/>
      <c r="AM40" s="2520"/>
      <c r="AN40" s="2520"/>
      <c r="AO40" s="2520"/>
      <c r="AP40" s="2520"/>
      <c r="AQ40" s="2520"/>
      <c r="AR40" s="2520"/>
      <c r="AS40" s="2520"/>
      <c r="AT40" s="365"/>
      <c r="AU40" s="365"/>
      <c r="AV40" s="365"/>
      <c r="AW40" s="365"/>
      <c r="AX40" s="365"/>
    </row>
    <row r="41" spans="1:50">
      <c r="A41" s="1570" t="s">
        <v>76</v>
      </c>
      <c r="B41" s="1577" t="s">
        <v>3874</v>
      </c>
      <c r="C41" s="1577"/>
      <c r="N41" s="1581">
        <v>-822000000</v>
      </c>
      <c r="O41" s="1581">
        <v>-1941000000</v>
      </c>
      <c r="P41" s="1581">
        <v>989000000</v>
      </c>
      <c r="Q41" s="1592">
        <v>-438000000</v>
      </c>
      <c r="R41" s="1592">
        <v>91000000</v>
      </c>
      <c r="S41" s="1592">
        <v>-325000000</v>
      </c>
      <c r="T41" s="1592">
        <v>-2178000000</v>
      </c>
      <c r="U41" s="1592">
        <v>-2451000000</v>
      </c>
      <c r="V41" s="1592">
        <v>-2170000000</v>
      </c>
      <c r="W41" s="1592">
        <v>-2144000000</v>
      </c>
      <c r="X41" s="1593">
        <v>210000000</v>
      </c>
      <c r="Y41" s="1593">
        <v>151000000</v>
      </c>
      <c r="Z41" s="1593">
        <v>231000000</v>
      </c>
      <c r="AA41" s="2520"/>
      <c r="AB41" s="2520"/>
      <c r="AC41" s="2520"/>
      <c r="AD41" s="2520"/>
      <c r="AE41" s="2520"/>
      <c r="AF41" s="2520"/>
      <c r="AG41" s="2520"/>
      <c r="AH41" s="2520"/>
      <c r="AI41" s="2520"/>
      <c r="AJ41" s="2520"/>
      <c r="AK41" s="2520"/>
      <c r="AL41" s="2520"/>
      <c r="AM41" s="2520"/>
      <c r="AN41" s="2520"/>
      <c r="AO41" s="2520"/>
      <c r="AP41" s="2520"/>
      <c r="AQ41" s="2520"/>
      <c r="AR41" s="2520"/>
      <c r="AS41" s="2520"/>
      <c r="AT41" s="365"/>
      <c r="AU41" s="365"/>
      <c r="AV41" s="365"/>
      <c r="AW41" s="365"/>
      <c r="AX41" s="365"/>
    </row>
    <row r="42" spans="1:50" s="848" customFormat="1">
      <c r="A42" s="1063" t="s">
        <v>115</v>
      </c>
      <c r="B42" s="1063" t="s">
        <v>115</v>
      </c>
      <c r="C42" s="1175" t="s">
        <v>35</v>
      </c>
      <c r="N42" s="1169">
        <f>-(N44-N51)</f>
        <v>217000000</v>
      </c>
      <c r="O42" s="1169">
        <f t="shared" ref="O42:P42" si="3">-(O44-O51)</f>
        <v>1370000000</v>
      </c>
      <c r="P42" s="1169">
        <f t="shared" si="3"/>
        <v>-1497000000</v>
      </c>
      <c r="Q42" s="1169">
        <f>Q45+Q53</f>
        <v>-39000000</v>
      </c>
      <c r="R42" s="1169">
        <f t="shared" ref="R42:Z42" si="4">R45+R53</f>
        <v>-510000000</v>
      </c>
      <c r="S42" s="1169">
        <f t="shared" si="4"/>
        <v>1086000000</v>
      </c>
      <c r="T42" s="1169">
        <f t="shared" si="4"/>
        <v>2789000000</v>
      </c>
      <c r="U42" s="1169">
        <f t="shared" si="4"/>
        <v>2451000000</v>
      </c>
      <c r="V42" s="1169">
        <f t="shared" si="4"/>
        <v>2173000000</v>
      </c>
      <c r="W42" s="1169">
        <f t="shared" si="4"/>
        <v>2146000000</v>
      </c>
      <c r="X42" s="1169">
        <f t="shared" si="4"/>
        <v>-208000000</v>
      </c>
      <c r="Y42" s="1169">
        <f t="shared" si="4"/>
        <v>-151000000</v>
      </c>
      <c r="Z42" s="1169">
        <f t="shared" si="4"/>
        <v>-231000000</v>
      </c>
      <c r="AA42" s="2554"/>
      <c r="AB42" s="2554"/>
      <c r="AC42" s="2554"/>
      <c r="AD42" s="2554"/>
      <c r="AE42" s="2554"/>
      <c r="AF42" s="2554"/>
      <c r="AG42" s="2554"/>
      <c r="AH42" s="2554"/>
      <c r="AI42" s="2554"/>
      <c r="AJ42" s="2554"/>
      <c r="AK42" s="2554"/>
      <c r="AL42" s="2554"/>
      <c r="AM42" s="2554"/>
      <c r="AN42" s="2554"/>
      <c r="AO42" s="2554"/>
      <c r="AP42" s="2554"/>
      <c r="AQ42" s="2554"/>
      <c r="AR42" s="2554"/>
      <c r="AS42" s="2554"/>
      <c r="AT42" s="1594"/>
      <c r="AU42" s="1594"/>
      <c r="AV42" s="1594"/>
      <c r="AW42" s="1594"/>
      <c r="AX42" s="1594"/>
    </row>
    <row r="43" spans="1:50">
      <c r="A43" s="1570" t="s">
        <v>76</v>
      </c>
      <c r="B43" s="1577" t="s">
        <v>3875</v>
      </c>
      <c r="C43" s="1577"/>
      <c r="N43" s="1581">
        <v>-218000000</v>
      </c>
      <c r="O43" s="1581">
        <v>-1370000000</v>
      </c>
      <c r="P43" s="1581">
        <v>1496000000</v>
      </c>
      <c r="Q43" s="1592"/>
      <c r="R43" s="1592"/>
      <c r="S43" s="1592"/>
      <c r="T43" s="1592"/>
      <c r="U43" s="1592"/>
      <c r="V43" s="1592"/>
      <c r="W43" s="1592"/>
      <c r="X43" s="1593"/>
      <c r="Y43" s="1593"/>
      <c r="Z43" s="1593"/>
      <c r="AA43" s="2520"/>
      <c r="AB43" s="2520"/>
      <c r="AC43" s="2520"/>
      <c r="AD43" s="2520"/>
      <c r="AE43" s="2520"/>
      <c r="AF43" s="2520"/>
      <c r="AG43" s="2520"/>
      <c r="AH43" s="2520"/>
      <c r="AI43" s="2520"/>
      <c r="AJ43" s="2520"/>
      <c r="AK43" s="2520"/>
      <c r="AL43" s="2520"/>
      <c r="AM43" s="2520"/>
      <c r="AN43" s="2520"/>
      <c r="AO43" s="2520"/>
      <c r="AP43" s="2520"/>
      <c r="AQ43" s="2520"/>
      <c r="AR43" s="2520"/>
      <c r="AS43" s="2520"/>
      <c r="AT43" s="365"/>
      <c r="AU43" s="365"/>
      <c r="AV43" s="365"/>
      <c r="AW43" s="365"/>
      <c r="AX43" s="365"/>
    </row>
    <row r="44" spans="1:50">
      <c r="A44" s="1570" t="s">
        <v>76</v>
      </c>
      <c r="B44" s="1577" t="s">
        <v>3876</v>
      </c>
      <c r="N44" s="1581">
        <v>-663000000</v>
      </c>
      <c r="O44" s="1581">
        <v>-870000000</v>
      </c>
      <c r="P44" s="1581">
        <v>1670000000</v>
      </c>
      <c r="Q44" s="1592"/>
      <c r="R44" s="1592"/>
      <c r="S44" s="1592"/>
      <c r="T44" s="1592"/>
      <c r="U44" s="1592"/>
      <c r="V44" s="1592"/>
      <c r="W44" s="1592"/>
      <c r="X44" s="1593"/>
      <c r="Y44" s="1593"/>
      <c r="Z44" s="1593"/>
      <c r="AA44" s="2520"/>
      <c r="AB44" s="2520"/>
      <c r="AC44" s="2520"/>
      <c r="AD44" s="2520"/>
      <c r="AE44" s="2520"/>
      <c r="AF44" s="2520"/>
      <c r="AG44" s="2520"/>
      <c r="AH44" s="2520"/>
      <c r="AI44" s="2520"/>
      <c r="AJ44" s="2520"/>
      <c r="AK44" s="2520"/>
      <c r="AL44" s="2520"/>
      <c r="AM44" s="2520"/>
      <c r="AN44" s="2520"/>
      <c r="AO44" s="2520"/>
      <c r="AP44" s="2520"/>
      <c r="AQ44" s="2520"/>
      <c r="AR44" s="2520"/>
      <c r="AS44" s="2520"/>
      <c r="AT44" s="365"/>
      <c r="AU44" s="365"/>
      <c r="AV44" s="365"/>
      <c r="AW44" s="365"/>
      <c r="AX44" s="365"/>
    </row>
    <row r="45" spans="1:50">
      <c r="A45" s="1576" t="s">
        <v>120</v>
      </c>
      <c r="B45" s="1577" t="s">
        <v>209</v>
      </c>
      <c r="C45" s="1578" t="s">
        <v>119</v>
      </c>
      <c r="N45" s="1581">
        <f>-(N46-N52)</f>
        <v>290000000</v>
      </c>
      <c r="O45" s="1581">
        <f>-(O46-O52)</f>
        <v>1204000000</v>
      </c>
      <c r="P45" s="1581">
        <f t="shared" ref="P45" si="5">-(P46-P52)</f>
        <v>-2144000000</v>
      </c>
      <c r="Q45" s="1581">
        <f>Q46+Q52</f>
        <v>-429000000</v>
      </c>
      <c r="R45" s="1581">
        <f t="shared" ref="R45:Z45" si="6">R46+R52</f>
        <v>-1472000000</v>
      </c>
      <c r="S45" s="1581">
        <f t="shared" si="6"/>
        <v>958000000</v>
      </c>
      <c r="T45" s="1581">
        <f t="shared" si="6"/>
        <v>2634000000</v>
      </c>
      <c r="U45" s="1581">
        <f t="shared" si="6"/>
        <v>2100000000</v>
      </c>
      <c r="V45" s="1581">
        <f t="shared" si="6"/>
        <v>1312000000</v>
      </c>
      <c r="W45" s="1581">
        <f t="shared" si="6"/>
        <v>1487000000</v>
      </c>
      <c r="X45" s="1581">
        <f t="shared" si="6"/>
        <v>-569000000</v>
      </c>
      <c r="Y45" s="1581">
        <f t="shared" si="6"/>
        <v>-257000000</v>
      </c>
      <c r="Z45" s="1581">
        <f t="shared" si="6"/>
        <v>-342000000</v>
      </c>
      <c r="AA45" s="2520"/>
      <c r="AB45" s="2520"/>
      <c r="AC45" s="2520"/>
      <c r="AD45" s="2520"/>
      <c r="AE45" s="2520"/>
      <c r="AF45" s="2520"/>
      <c r="AG45" s="2520"/>
      <c r="AH45" s="2520"/>
      <c r="AI45" s="2520"/>
      <c r="AJ45" s="2520"/>
      <c r="AK45" s="2520"/>
      <c r="AL45" s="2520"/>
      <c r="AM45" s="2520"/>
      <c r="AN45" s="2520"/>
      <c r="AO45" s="2520"/>
      <c r="AP45" s="2520"/>
      <c r="AQ45" s="2520"/>
      <c r="AR45" s="2520"/>
      <c r="AS45" s="2520"/>
      <c r="AT45" s="365"/>
      <c r="AU45" s="365"/>
      <c r="AV45" s="365"/>
      <c r="AW45" s="365"/>
      <c r="AX45" s="365"/>
    </row>
    <row r="46" spans="1:50">
      <c r="A46" s="1576"/>
      <c r="B46" s="1577" t="s">
        <v>209</v>
      </c>
      <c r="C46" s="1578"/>
      <c r="N46" s="1581">
        <v>-663000000</v>
      </c>
      <c r="O46" s="1581">
        <v>-870000000</v>
      </c>
      <c r="P46" s="1581">
        <v>1670000000</v>
      </c>
      <c r="Q46" s="1581">
        <f>Q48+Q49+Q50</f>
        <v>-21000000</v>
      </c>
      <c r="R46" s="1581">
        <f>R48+R49+R50</f>
        <v>-1482000000</v>
      </c>
      <c r="S46" s="1581">
        <f t="shared" ref="S46:Z46" si="7">S48+S49+S50</f>
        <v>918000000</v>
      </c>
      <c r="T46" s="1581">
        <f t="shared" si="7"/>
        <v>2570000000</v>
      </c>
      <c r="U46" s="1581">
        <f t="shared" si="7"/>
        <v>1650000000</v>
      </c>
      <c r="V46" s="1581">
        <f t="shared" si="7"/>
        <v>617000000</v>
      </c>
      <c r="W46" s="1581">
        <f t="shared" si="7"/>
        <v>309000000</v>
      </c>
      <c r="X46" s="1581">
        <f t="shared" si="7"/>
        <v>-1409000000</v>
      </c>
      <c r="Y46" s="1581">
        <f t="shared" si="7"/>
        <v>-897000000</v>
      </c>
      <c r="Z46" s="1581">
        <f t="shared" si="7"/>
        <v>-982000000</v>
      </c>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1355</v>
      </c>
      <c r="C47" s="1577"/>
      <c r="N47" s="1581">
        <v>-666000000</v>
      </c>
      <c r="O47" s="1581">
        <v>-870000000</v>
      </c>
      <c r="P47" s="1581">
        <v>1670000000</v>
      </c>
      <c r="Q47" s="1581"/>
      <c r="R47" s="1581"/>
      <c r="S47" s="1581"/>
      <c r="T47" s="1581"/>
      <c r="U47" s="1581"/>
      <c r="V47" s="1581"/>
      <c r="W47" s="1581"/>
      <c r="X47" s="2497"/>
      <c r="Y47" s="2497"/>
      <c r="Z47" s="2497"/>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70" t="s">
        <v>76</v>
      </c>
      <c r="B48" s="1582" t="s">
        <v>3877</v>
      </c>
      <c r="N48" s="1581">
        <v>-646000000</v>
      </c>
      <c r="O48" s="1581">
        <v>-870000000</v>
      </c>
      <c r="P48" s="1581">
        <v>1670000000</v>
      </c>
      <c r="Q48" s="1581">
        <v>-13000000</v>
      </c>
      <c r="R48" s="1581">
        <v>-1481000000</v>
      </c>
      <c r="S48" s="1581">
        <v>959000000</v>
      </c>
      <c r="T48" s="1581">
        <v>2536000000</v>
      </c>
      <c r="U48" s="1581">
        <v>1650000000</v>
      </c>
      <c r="V48" s="1581">
        <v>617000000</v>
      </c>
      <c r="W48" s="1581">
        <v>309000000</v>
      </c>
      <c r="X48" s="1581">
        <v>-1409000000</v>
      </c>
      <c r="Y48" s="1581">
        <v>-897000000</v>
      </c>
      <c r="Z48" s="1581">
        <v>-982000000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c r="A49" s="1570" t="s">
        <v>76</v>
      </c>
      <c r="B49" s="1582" t="s">
        <v>3878</v>
      </c>
      <c r="N49" s="1581">
        <v>-21000000</v>
      </c>
      <c r="O49" s="1581">
        <v>0</v>
      </c>
      <c r="P49" s="1581">
        <v>0</v>
      </c>
      <c r="Q49" s="1581">
        <v>-8000000</v>
      </c>
      <c r="R49" s="1581">
        <v>-1000000</v>
      </c>
      <c r="S49" s="1581">
        <v>-41000000</v>
      </c>
      <c r="T49" s="1581">
        <v>34000000</v>
      </c>
      <c r="U49" s="1581">
        <v>0</v>
      </c>
      <c r="V49" s="1581">
        <v>0</v>
      </c>
      <c r="W49" s="1581">
        <v>0</v>
      </c>
      <c r="X49" s="1581">
        <v>0</v>
      </c>
      <c r="Y49" s="1581">
        <v>0</v>
      </c>
      <c r="Z49" s="1581">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c r="A50" s="1580"/>
      <c r="B50" s="1580" t="s">
        <v>444</v>
      </c>
      <c r="C50" s="1577"/>
      <c r="N50" s="1581">
        <v>3000000</v>
      </c>
      <c r="O50" s="1581">
        <v>0</v>
      </c>
      <c r="P50" s="1581">
        <v>0</v>
      </c>
      <c r="Q50" s="1581">
        <v>0</v>
      </c>
      <c r="R50" s="1581">
        <v>0</v>
      </c>
      <c r="S50" s="1581">
        <v>0</v>
      </c>
      <c r="T50" s="1581">
        <v>0</v>
      </c>
      <c r="U50" s="1581">
        <v>0</v>
      </c>
      <c r="V50" s="1581">
        <v>0</v>
      </c>
      <c r="W50" s="1581">
        <v>0</v>
      </c>
      <c r="X50" s="1581">
        <v>0</v>
      </c>
      <c r="Y50" s="1581">
        <v>0</v>
      </c>
      <c r="Z50" s="158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c r="B51" s="1577" t="s">
        <v>3879</v>
      </c>
      <c r="N51" s="1581">
        <v>-446000000</v>
      </c>
      <c r="O51" s="1581">
        <v>500000000</v>
      </c>
      <c r="P51" s="1581">
        <v>173000000</v>
      </c>
      <c r="Q51" s="1581">
        <v>-18000000</v>
      </c>
      <c r="R51" s="1581"/>
      <c r="S51" s="1581"/>
      <c r="T51" s="1581"/>
      <c r="U51" s="1581"/>
      <c r="V51" s="1581"/>
      <c r="W51" s="1581"/>
      <c r="X51" s="2497"/>
      <c r="Y51" s="2497"/>
      <c r="Z51" s="2497"/>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c r="A52" s="1570" t="s">
        <v>76</v>
      </c>
      <c r="B52" s="1577" t="s">
        <v>209</v>
      </c>
      <c r="N52" s="1581">
        <v>-373000000</v>
      </c>
      <c r="O52" s="1581">
        <v>334000000</v>
      </c>
      <c r="P52" s="1581">
        <v>-474000000</v>
      </c>
      <c r="Q52" s="1581">
        <v>-408000000</v>
      </c>
      <c r="R52" s="1581">
        <v>10000000</v>
      </c>
      <c r="S52" s="1581">
        <v>40000000</v>
      </c>
      <c r="T52" s="1581">
        <v>64000000</v>
      </c>
      <c r="U52" s="1581">
        <v>450000000</v>
      </c>
      <c r="V52" s="1581">
        <v>695000000</v>
      </c>
      <c r="W52" s="1581">
        <v>1178000000</v>
      </c>
      <c r="X52" s="1581">
        <v>840000000</v>
      </c>
      <c r="Y52" s="1581">
        <v>640000000</v>
      </c>
      <c r="Z52" s="1581">
        <v>640000000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c r="A53" s="1576" t="s">
        <v>117</v>
      </c>
      <c r="B53" s="1577" t="s">
        <v>212</v>
      </c>
      <c r="C53" s="1578" t="s">
        <v>119</v>
      </c>
      <c r="N53" s="1581">
        <v>-73000000</v>
      </c>
      <c r="O53" s="1581">
        <v>166000000</v>
      </c>
      <c r="P53" s="1581">
        <v>647000000</v>
      </c>
      <c r="Q53" s="1581">
        <v>390000000</v>
      </c>
      <c r="R53" s="1581">
        <f>R54+R55</f>
        <v>962000000</v>
      </c>
      <c r="S53" s="1581">
        <f t="shared" ref="S53:Z53" si="8">S54+S55</f>
        <v>128000000</v>
      </c>
      <c r="T53" s="1581">
        <f t="shared" si="8"/>
        <v>155000000</v>
      </c>
      <c r="U53" s="1581">
        <f t="shared" si="8"/>
        <v>351000000</v>
      </c>
      <c r="V53" s="1581">
        <f t="shared" si="8"/>
        <v>861000000</v>
      </c>
      <c r="W53" s="1581">
        <f t="shared" si="8"/>
        <v>659000000</v>
      </c>
      <c r="X53" s="1581">
        <f t="shared" si="8"/>
        <v>361000000</v>
      </c>
      <c r="Y53" s="1581">
        <f t="shared" si="8"/>
        <v>106000000</v>
      </c>
      <c r="Z53" s="1581">
        <f t="shared" si="8"/>
        <v>111000000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c r="A54" s="1580" t="s">
        <v>415</v>
      </c>
      <c r="B54" s="1580" t="s">
        <v>415</v>
      </c>
      <c r="C54" s="1577" t="s">
        <v>264</v>
      </c>
      <c r="N54" s="1581">
        <v>128000000</v>
      </c>
      <c r="O54" s="1581">
        <v>388000000</v>
      </c>
      <c r="P54" s="1581">
        <v>866000000</v>
      </c>
      <c r="Q54" s="1581">
        <v>701000000</v>
      </c>
      <c r="R54" s="125">
        <v>1274000000</v>
      </c>
      <c r="S54" s="125">
        <v>565000000</v>
      </c>
      <c r="T54" s="1581">
        <v>590000000</v>
      </c>
      <c r="U54" s="1581">
        <v>611000000</v>
      </c>
      <c r="V54" s="1581">
        <v>1427000000</v>
      </c>
      <c r="W54" s="1581">
        <v>1343000000</v>
      </c>
      <c r="X54" s="1581">
        <v>1098000000</v>
      </c>
      <c r="Y54" s="1581">
        <v>855000000</v>
      </c>
      <c r="Z54" s="1581">
        <v>911000000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c r="A55" s="1580" t="s">
        <v>258</v>
      </c>
      <c r="B55" s="1580" t="s">
        <v>258</v>
      </c>
      <c r="C55" s="1577" t="s">
        <v>264</v>
      </c>
      <c r="N55" s="1581">
        <v>-201000000</v>
      </c>
      <c r="O55" s="1581">
        <v>-222000000</v>
      </c>
      <c r="P55" s="1581">
        <v>-220000000</v>
      </c>
      <c r="Q55" s="1581">
        <v>-311000000</v>
      </c>
      <c r="R55" s="13">
        <v>-312000000</v>
      </c>
      <c r="S55" s="13">
        <v>-437000000</v>
      </c>
      <c r="T55" s="1581">
        <v>-435000000</v>
      </c>
      <c r="U55" s="1581">
        <v>-260000000</v>
      </c>
      <c r="V55" s="1581">
        <v>-566000000</v>
      </c>
      <c r="W55" s="1581">
        <v>-684000000</v>
      </c>
      <c r="X55" s="1581">
        <v>-737000000</v>
      </c>
      <c r="Y55" s="1581">
        <v>-749000000</v>
      </c>
      <c r="Z55" s="1581">
        <v>-800000000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50">
      <c r="A56" s="1570" t="s">
        <v>76</v>
      </c>
      <c r="B56" s="1577" t="s">
        <v>3880</v>
      </c>
      <c r="C56" s="1577"/>
      <c r="N56" s="1581">
        <v>-605000000</v>
      </c>
      <c r="O56" s="1581">
        <v>-572000000</v>
      </c>
      <c r="P56" s="1581">
        <v>-507000000</v>
      </c>
      <c r="Q56" s="1581"/>
      <c r="R56" s="1581"/>
      <c r="S56" s="1581"/>
      <c r="T56" s="1581"/>
      <c r="U56" s="1581"/>
      <c r="V56" s="1581"/>
      <c r="W56"/>
      <c r="X56" s="3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c r="N58" s="1570" t="s">
        <v>139</v>
      </c>
      <c r="O58" s="1570" t="s">
        <v>139</v>
      </c>
      <c r="P58" s="1570" t="s">
        <v>139</v>
      </c>
      <c r="Q58" s="1570" t="s">
        <v>139</v>
      </c>
      <c r="R58" s="1570" t="s">
        <v>139</v>
      </c>
      <c r="S58" s="1570" t="s">
        <v>139</v>
      </c>
      <c r="T58" s="1570" t="s">
        <v>139</v>
      </c>
      <c r="U58" s="1570" t="s">
        <v>139</v>
      </c>
      <c r="V58" s="1570" t="s">
        <v>139</v>
      </c>
      <c r="W58" s="1570" t="s">
        <v>139</v>
      </c>
      <c r="X58" s="1570" t="s">
        <v>139</v>
      </c>
      <c r="Y58" s="1570" t="s">
        <v>139</v>
      </c>
      <c r="Z58" s="1570" t="s">
        <v>139</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c r="U59" s="1596"/>
      <c r="X59" s="3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c r="B60" s="1570" t="s">
        <v>284</v>
      </c>
      <c r="N60" s="1588">
        <f>N6-N7-N14</f>
        <v>0</v>
      </c>
      <c r="O60" s="1588">
        <f t="shared" ref="O60:W60" si="9">O6-O7-O14</f>
        <v>0</v>
      </c>
      <c r="P60" s="1588">
        <f t="shared" si="9"/>
        <v>0</v>
      </c>
      <c r="Q60" s="1588">
        <f t="shared" si="9"/>
        <v>0</v>
      </c>
      <c r="R60" s="1588">
        <f t="shared" si="9"/>
        <v>0</v>
      </c>
      <c r="S60" s="1588">
        <f t="shared" si="9"/>
        <v>0</v>
      </c>
      <c r="T60" s="1588">
        <f t="shared" si="9"/>
        <v>0</v>
      </c>
      <c r="U60" s="1588">
        <f t="shared" si="9"/>
        <v>0</v>
      </c>
      <c r="V60" s="1588">
        <f t="shared" si="9"/>
        <v>0</v>
      </c>
      <c r="W60" s="1588">
        <f t="shared" si="9"/>
        <v>0</v>
      </c>
      <c r="X60" s="1588">
        <f t="shared" ref="X60:Z60" si="10">X6-X7-X14</f>
        <v>0</v>
      </c>
      <c r="Y60" s="1588">
        <f t="shared" si="10"/>
        <v>0</v>
      </c>
      <c r="Z60" s="1588">
        <f t="shared" si="10"/>
        <v>0</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1:50">
      <c r="B61" s="1570" t="s">
        <v>141</v>
      </c>
      <c r="N61" s="1589">
        <f>N7-N8-N18-N22</f>
        <v>0</v>
      </c>
      <c r="O61" s="1589">
        <f t="shared" ref="O61:W61" si="11">O7-O8-O18-O22</f>
        <v>0</v>
      </c>
      <c r="P61" s="1589">
        <f t="shared" si="11"/>
        <v>1000000</v>
      </c>
      <c r="Q61" s="1589">
        <f t="shared" si="11"/>
        <v>-1000000</v>
      </c>
      <c r="R61" s="1589">
        <f t="shared" si="11"/>
        <v>1000000</v>
      </c>
      <c r="S61" s="1589">
        <f t="shared" si="11"/>
        <v>0</v>
      </c>
      <c r="T61" s="1589">
        <f t="shared" si="11"/>
        <v>-1000000</v>
      </c>
      <c r="U61" s="1589">
        <f t="shared" si="11"/>
        <v>1000000</v>
      </c>
      <c r="V61" s="1589">
        <f t="shared" si="11"/>
        <v>0</v>
      </c>
      <c r="W61" s="1589">
        <f t="shared" si="11"/>
        <v>0</v>
      </c>
      <c r="X61" s="1589">
        <f t="shared" ref="X61:Z61" si="12">X7-X8-X18-X22</f>
        <v>-1000000</v>
      </c>
      <c r="Y61" s="1589">
        <f t="shared" si="12"/>
        <v>1000000</v>
      </c>
      <c r="Z61" s="1589">
        <f t="shared" si="12"/>
        <v>-1000000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1:50">
      <c r="B62" s="1570" t="s">
        <v>142</v>
      </c>
      <c r="N62" s="1589">
        <f>N8-N9-N10-N12-N11-N13</f>
        <v>0</v>
      </c>
      <c r="O62" s="1589">
        <f t="shared" ref="O62:W62" si="13">O8-O9-O10-O12-O11-O13</f>
        <v>0</v>
      </c>
      <c r="P62" s="1589">
        <f t="shared" si="13"/>
        <v>0</v>
      </c>
      <c r="Q62" s="1589">
        <f t="shared" si="13"/>
        <v>0</v>
      </c>
      <c r="R62" s="1589">
        <f t="shared" si="13"/>
        <v>0</v>
      </c>
      <c r="S62" s="1589">
        <f t="shared" si="13"/>
        <v>0</v>
      </c>
      <c r="T62" s="1589">
        <f t="shared" si="13"/>
        <v>0</v>
      </c>
      <c r="U62" s="1589">
        <f t="shared" si="13"/>
        <v>0</v>
      </c>
      <c r="V62" s="1589">
        <f t="shared" si="13"/>
        <v>0</v>
      </c>
      <c r="W62" s="1589">
        <f t="shared" si="13"/>
        <v>0</v>
      </c>
      <c r="X62" s="1589">
        <f t="shared" ref="X62:Z62" si="14">X8-X9-X10-X12-X11-X13</f>
        <v>0</v>
      </c>
      <c r="Y62" s="1589">
        <f t="shared" si="14"/>
        <v>0</v>
      </c>
      <c r="Z62" s="1589">
        <f t="shared" si="14"/>
        <v>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1:50">
      <c r="B63" s="1570" t="s">
        <v>143</v>
      </c>
      <c r="N63" s="1589">
        <f>N14-N15-N16</f>
        <v>0</v>
      </c>
      <c r="O63" s="1589">
        <f t="shared" ref="O63:W63" si="15">O14-O15-O16</f>
        <v>0</v>
      </c>
      <c r="P63" s="1589">
        <f t="shared" si="15"/>
        <v>0</v>
      </c>
      <c r="Q63" s="1589">
        <f t="shared" si="15"/>
        <v>0</v>
      </c>
      <c r="R63" s="1589">
        <f t="shared" si="15"/>
        <v>0</v>
      </c>
      <c r="S63" s="1589">
        <f t="shared" si="15"/>
        <v>-1000000</v>
      </c>
      <c r="T63" s="1589">
        <f t="shared" si="15"/>
        <v>0</v>
      </c>
      <c r="U63" s="1589">
        <f t="shared" si="15"/>
        <v>0</v>
      </c>
      <c r="V63" s="1589">
        <f t="shared" si="15"/>
        <v>0</v>
      </c>
      <c r="W63" s="1589">
        <f t="shared" si="15"/>
        <v>0</v>
      </c>
      <c r="X63" s="1589">
        <f t="shared" ref="X63:Z63" si="16">X14-X15-X16</f>
        <v>0</v>
      </c>
      <c r="Y63" s="1589">
        <f t="shared" si="16"/>
        <v>0</v>
      </c>
      <c r="Z63" s="1589">
        <f t="shared" si="16"/>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row>
    <row r="64" spans="1:50">
      <c r="B64" s="1570" t="s">
        <v>718</v>
      </c>
      <c r="N64" s="1589">
        <f>N18-N19-N20-N21</f>
        <v>0</v>
      </c>
      <c r="O64" s="1589">
        <f t="shared" ref="O64:W64" si="17">O18-O19-O20-O21</f>
        <v>0</v>
      </c>
      <c r="P64" s="1589">
        <f t="shared" si="17"/>
        <v>0</v>
      </c>
      <c r="Q64" s="1589">
        <f t="shared" si="17"/>
        <v>0</v>
      </c>
      <c r="R64" s="1589">
        <f t="shared" si="17"/>
        <v>0</v>
      </c>
      <c r="S64" s="1589">
        <f t="shared" si="17"/>
        <v>0</v>
      </c>
      <c r="T64" s="1589">
        <f t="shared" si="17"/>
        <v>-1000000</v>
      </c>
      <c r="U64" s="1589">
        <f t="shared" si="17"/>
        <v>0</v>
      </c>
      <c r="V64" s="1589">
        <f t="shared" si="17"/>
        <v>0</v>
      </c>
      <c r="W64" s="1589">
        <f t="shared" si="17"/>
        <v>-1000000</v>
      </c>
      <c r="X64" s="1589">
        <f t="shared" ref="X64:Z64" si="18">X18-X19-X20-X21</f>
        <v>1000000</v>
      </c>
      <c r="Y64" s="1589">
        <f t="shared" si="18"/>
        <v>0</v>
      </c>
      <c r="Z64" s="1589">
        <f t="shared" si="18"/>
        <v>1000000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row>
    <row r="65" spans="2:50">
      <c r="B65" s="1570" t="s">
        <v>145</v>
      </c>
      <c r="N65" s="1589">
        <f>N24-N25-N38</f>
        <v>0</v>
      </c>
      <c r="O65" s="1589">
        <f t="shared" ref="O65:W65" si="19">O24-O25-O38</f>
        <v>0</v>
      </c>
      <c r="P65" s="1589">
        <f t="shared" si="19"/>
        <v>0</v>
      </c>
      <c r="Q65" s="1589">
        <f t="shared" si="19"/>
        <v>0</v>
      </c>
      <c r="R65" s="1589">
        <f t="shared" si="19"/>
        <v>0</v>
      </c>
      <c r="S65" s="1589">
        <f t="shared" si="19"/>
        <v>0</v>
      </c>
      <c r="T65" s="1589">
        <f t="shared" si="19"/>
        <v>0</v>
      </c>
      <c r="U65" s="1589">
        <f t="shared" si="19"/>
        <v>0</v>
      </c>
      <c r="V65" s="1589">
        <f t="shared" si="19"/>
        <v>0</v>
      </c>
      <c r="W65" s="1589">
        <f t="shared" si="19"/>
        <v>0</v>
      </c>
      <c r="X65" s="1589">
        <f t="shared" ref="X65:Z65" si="20">X24-X25-X38</f>
        <v>0</v>
      </c>
      <c r="Y65" s="1589">
        <f t="shared" si="20"/>
        <v>0</v>
      </c>
      <c r="Z65" s="1589">
        <f t="shared" si="20"/>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row>
    <row r="66" spans="2:50">
      <c r="B66" s="1570" t="s">
        <v>826</v>
      </c>
      <c r="N66" s="1589">
        <f>N25-N26-N29-N30-N33-N34-N35-N36</f>
        <v>0</v>
      </c>
      <c r="O66" s="1589">
        <f t="shared" ref="O66:W66" si="21">O25-O26-O29-O30-O33-O34-O35-O36</f>
        <v>1000000</v>
      </c>
      <c r="P66" s="1589">
        <f t="shared" si="21"/>
        <v>0</v>
      </c>
      <c r="Q66" s="1589">
        <f t="shared" si="21"/>
        <v>-1000000</v>
      </c>
      <c r="R66" s="1589">
        <f t="shared" si="21"/>
        <v>1000000</v>
      </c>
      <c r="S66" s="1589">
        <f t="shared" si="21"/>
        <v>0</v>
      </c>
      <c r="T66" s="1589">
        <f t="shared" si="21"/>
        <v>-1000000</v>
      </c>
      <c r="U66" s="1589">
        <f t="shared" si="21"/>
        <v>0</v>
      </c>
      <c r="V66" s="1589">
        <f t="shared" si="21"/>
        <v>0</v>
      </c>
      <c r="W66" s="1589">
        <f t="shared" si="21"/>
        <v>1000000</v>
      </c>
      <c r="X66" s="1589">
        <f t="shared" ref="X66:Z66" si="22">X25-X26-X29-X30-X33-X34-X35-X36</f>
        <v>1000000</v>
      </c>
      <c r="Y66" s="1589">
        <f t="shared" si="22"/>
        <v>0</v>
      </c>
      <c r="Z66" s="1589">
        <f t="shared" si="22"/>
        <v>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row>
    <row r="67" spans="2:50">
      <c r="B67" s="1570" t="s">
        <v>3881</v>
      </c>
      <c r="N67" s="1589">
        <f>N26-N27-N28</f>
        <v>-1000000</v>
      </c>
      <c r="O67" s="1589">
        <f t="shared" ref="O67:W67" si="23">O26-O27-O28</f>
        <v>-1000000</v>
      </c>
      <c r="P67" s="1589">
        <f t="shared" si="23"/>
        <v>1000000</v>
      </c>
      <c r="Q67" s="1589">
        <f t="shared" si="23"/>
        <v>0</v>
      </c>
      <c r="R67" s="1589">
        <f t="shared" si="23"/>
        <v>-1000000</v>
      </c>
      <c r="S67" s="1589">
        <f t="shared" si="23"/>
        <v>-1000000</v>
      </c>
      <c r="T67" s="1589">
        <f t="shared" si="23"/>
        <v>1000000</v>
      </c>
      <c r="U67" s="1589">
        <f t="shared" si="23"/>
        <v>0</v>
      </c>
      <c r="V67" s="1589">
        <f t="shared" si="23"/>
        <v>0</v>
      </c>
      <c r="W67" s="1589">
        <f t="shared" si="23"/>
        <v>0</v>
      </c>
      <c r="X67" s="1589">
        <f t="shared" ref="X67:Z67" si="24">X26-X27-X28</f>
        <v>0</v>
      </c>
      <c r="Y67" s="1589">
        <f t="shared" si="24"/>
        <v>0</v>
      </c>
      <c r="Z67" s="1589">
        <f t="shared" si="2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row>
    <row r="68" spans="2:50">
      <c r="B68" s="1570" t="s">
        <v>936</v>
      </c>
      <c r="N68" s="1589">
        <f>N30-N31-N32</f>
        <v>0</v>
      </c>
      <c r="O68" s="1589">
        <f t="shared" ref="O68:W68" si="25">O30-O31-O32</f>
        <v>0</v>
      </c>
      <c r="P68" s="1589">
        <f t="shared" si="25"/>
        <v>0</v>
      </c>
      <c r="Q68" s="1589">
        <f t="shared" si="25"/>
        <v>1000000</v>
      </c>
      <c r="R68" s="1589">
        <f t="shared" si="25"/>
        <v>-1000000</v>
      </c>
      <c r="S68" s="1589">
        <f t="shared" si="25"/>
        <v>0</v>
      </c>
      <c r="T68" s="1589">
        <f t="shared" si="25"/>
        <v>0</v>
      </c>
      <c r="U68" s="1589">
        <f t="shared" si="25"/>
        <v>0</v>
      </c>
      <c r="V68" s="1589">
        <f t="shared" si="25"/>
        <v>0</v>
      </c>
      <c r="W68" s="1589">
        <f t="shared" si="25"/>
        <v>1000000</v>
      </c>
      <c r="X68" s="1589">
        <f t="shared" ref="X68:Z68" si="26">X30-X31-X32</f>
        <v>0</v>
      </c>
      <c r="Y68" s="1589">
        <f t="shared" si="26"/>
        <v>0</v>
      </c>
      <c r="Z68" s="1589">
        <f t="shared" si="26"/>
        <v>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row>
    <row r="69" spans="2:50">
      <c r="B69" s="1570" t="s">
        <v>148</v>
      </c>
      <c r="N69" s="1590">
        <f>N42-N45-N53</f>
        <v>0</v>
      </c>
      <c r="O69" s="1590">
        <f t="shared" ref="O69:U69" si="27">O42-O45-O53</f>
        <v>0</v>
      </c>
      <c r="P69" s="1590">
        <f t="shared" si="27"/>
        <v>0</v>
      </c>
      <c r="Q69" s="1590">
        <f t="shared" si="27"/>
        <v>0</v>
      </c>
      <c r="R69" s="1590">
        <f t="shared" si="27"/>
        <v>0</v>
      </c>
      <c r="S69" s="1590">
        <f t="shared" si="27"/>
        <v>0</v>
      </c>
      <c r="T69" s="1590">
        <f t="shared" si="27"/>
        <v>0</v>
      </c>
      <c r="U69" s="1590">
        <f t="shared" si="27"/>
        <v>0</v>
      </c>
      <c r="V69" s="1590">
        <f>V42-V45-V53</f>
        <v>0</v>
      </c>
      <c r="W69" s="1590">
        <f>W42-W45-W53</f>
        <v>0</v>
      </c>
      <c r="X69" s="1599">
        <f t="shared" ref="X69:Z69" si="28">X42-X45-X53</f>
        <v>0</v>
      </c>
      <c r="Y69" s="1599">
        <f t="shared" si="28"/>
        <v>0</v>
      </c>
      <c r="Z69" s="1599">
        <f t="shared" si="28"/>
        <v>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row>
    <row r="70" spans="2:50">
      <c r="B70" s="1570" t="s">
        <v>528</v>
      </c>
      <c r="M70" s="1590"/>
      <c r="N70" s="1590">
        <f>N53-N54-N55</f>
        <v>0</v>
      </c>
      <c r="O70" s="1590">
        <f t="shared" ref="O70:P70" si="29">O53-O54-O55</f>
        <v>0</v>
      </c>
      <c r="P70" s="1590">
        <f t="shared" si="29"/>
        <v>1000000</v>
      </c>
      <c r="Q70" s="1590">
        <f>Q53-Q54-Q55</f>
        <v>0</v>
      </c>
      <c r="R70" s="1590">
        <f t="shared" ref="R70:Z70" si="30">R53-R54-R55</f>
        <v>0</v>
      </c>
      <c r="S70" s="1590">
        <f t="shared" si="30"/>
        <v>0</v>
      </c>
      <c r="T70" s="1590">
        <f t="shared" si="30"/>
        <v>0</v>
      </c>
      <c r="U70" s="1590">
        <f t="shared" si="30"/>
        <v>0</v>
      </c>
      <c r="V70" s="1590">
        <f t="shared" si="30"/>
        <v>0</v>
      </c>
      <c r="W70" s="1590">
        <f t="shared" si="30"/>
        <v>0</v>
      </c>
      <c r="X70" s="1590">
        <f t="shared" si="30"/>
        <v>0</v>
      </c>
      <c r="Y70" s="1590">
        <f t="shared" si="30"/>
        <v>0</v>
      </c>
      <c r="Z70" s="1590">
        <f t="shared" si="30"/>
        <v>0</v>
      </c>
      <c r="AA70" s="1590"/>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row>
    <row r="71" spans="2:50">
      <c r="X71" s="3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row>
    <row r="72" spans="2:50">
      <c r="B72" s="1570" t="s">
        <v>724</v>
      </c>
      <c r="N72" s="1570">
        <v>17861000000</v>
      </c>
      <c r="O72" s="1570">
        <v>19502000000</v>
      </c>
      <c r="P72" s="1570">
        <v>21890000000</v>
      </c>
      <c r="Q72" s="1570">
        <v>24223000000</v>
      </c>
      <c r="R72" s="1570">
        <v>26941000000</v>
      </c>
      <c r="S72" s="1570">
        <v>29901000000</v>
      </c>
      <c r="T72" s="1570">
        <v>33148000000.000004</v>
      </c>
      <c r="U72" s="1570">
        <v>36753000000</v>
      </c>
      <c r="V72" s="1570">
        <v>40760000000</v>
      </c>
      <c r="X72" s="365" t="str">
        <f t="shared" ref="X72:Z74" si="31">IF(A72&lt;0,A72,"")</f>
        <v/>
      </c>
      <c r="Y72" s="365" t="str">
        <f t="shared" si="31"/>
        <v/>
      </c>
      <c r="Z72" s="365" t="str">
        <f t="shared" si="31"/>
        <v/>
      </c>
      <c r="AA72" s="365"/>
      <c r="AB72" s="365" t="str">
        <f t="shared" ref="AB72:AG74" si="32">IF(D72&lt;0,D72,"")</f>
        <v/>
      </c>
      <c r="AC72" s="365" t="str">
        <f t="shared" si="32"/>
        <v/>
      </c>
      <c r="AD72" s="365" t="str">
        <f t="shared" si="32"/>
        <v/>
      </c>
      <c r="AE72" s="365" t="str">
        <f t="shared" si="32"/>
        <v/>
      </c>
      <c r="AF72" s="365" t="str">
        <f t="shared" si="32"/>
        <v/>
      </c>
      <c r="AG72" s="365" t="str">
        <f t="shared" si="32"/>
        <v/>
      </c>
      <c r="AH72" s="365" t="str">
        <f t="shared" ref="AH72:AQ74" si="33">IF(J72&lt;0,J72,"")</f>
        <v/>
      </c>
      <c r="AI72" s="365" t="str">
        <f t="shared" si="33"/>
        <v/>
      </c>
      <c r="AJ72" s="365" t="str">
        <f t="shared" si="33"/>
        <v/>
      </c>
      <c r="AK72" s="365" t="str">
        <f t="shared" si="33"/>
        <v/>
      </c>
      <c r="AL72" s="365" t="str">
        <f t="shared" si="33"/>
        <v/>
      </c>
      <c r="AM72" s="365" t="str">
        <f t="shared" si="33"/>
        <v/>
      </c>
      <c r="AN72" s="365" t="str">
        <f t="shared" si="33"/>
        <v/>
      </c>
      <c r="AO72" s="365" t="str">
        <f t="shared" si="33"/>
        <v/>
      </c>
      <c r="AP72" s="365" t="str">
        <f t="shared" si="33"/>
        <v/>
      </c>
      <c r="AQ72" s="365" t="str">
        <f t="shared" si="33"/>
        <v/>
      </c>
      <c r="AR72" s="365" t="str">
        <f t="shared" ref="AR72:AX74" si="34">IF(T72&lt;0,T72,"")</f>
        <v/>
      </c>
      <c r="AS72" s="365" t="str">
        <f t="shared" si="34"/>
        <v/>
      </c>
      <c r="AT72" s="365" t="str">
        <f t="shared" si="34"/>
        <v/>
      </c>
      <c r="AU72" s="365" t="str">
        <f t="shared" si="34"/>
        <v/>
      </c>
      <c r="AV72" s="365" t="str">
        <f t="shared" si="34"/>
        <v/>
      </c>
      <c r="AW72" s="365" t="str">
        <f t="shared" si="34"/>
        <v/>
      </c>
      <c r="AX72" s="365" t="str">
        <f t="shared" si="34"/>
        <v/>
      </c>
    </row>
    <row r="73" spans="2:50">
      <c r="B73" s="1570" t="s">
        <v>363</v>
      </c>
      <c r="N73" s="1570">
        <f t="shared" ref="N73:V73" si="35">(N6/N72)*100</f>
        <v>47.920049269357818</v>
      </c>
      <c r="O73" s="1570">
        <f t="shared" si="35"/>
        <v>49.307763306327558</v>
      </c>
      <c r="P73" s="1570">
        <f t="shared" si="35"/>
        <v>60.073092736409315</v>
      </c>
      <c r="Q73" s="1570">
        <f t="shared" si="35"/>
        <v>54.799157825207445</v>
      </c>
      <c r="R73" s="1570">
        <f t="shared" si="35"/>
        <v>54.129393860658482</v>
      </c>
      <c r="S73" s="1570">
        <f t="shared" si="35"/>
        <v>51.168857228855224</v>
      </c>
      <c r="T73" s="1570">
        <f t="shared" si="35"/>
        <v>42.388681066731024</v>
      </c>
      <c r="U73" s="1570">
        <f t="shared" si="35"/>
        <v>40.796669659619624</v>
      </c>
      <c r="V73" s="1570">
        <f t="shared" si="35"/>
        <v>37.669283611383705</v>
      </c>
      <c r="X73" s="365" t="str">
        <f t="shared" si="31"/>
        <v/>
      </c>
      <c r="Y73" s="365" t="str">
        <f t="shared" si="31"/>
        <v/>
      </c>
      <c r="Z73" s="365" t="str">
        <f t="shared" si="31"/>
        <v/>
      </c>
      <c r="AA73" s="365"/>
      <c r="AB73" s="365" t="str">
        <f t="shared" si="32"/>
        <v/>
      </c>
      <c r="AC73" s="365" t="str">
        <f t="shared" si="32"/>
        <v/>
      </c>
      <c r="AD73" s="365" t="str">
        <f t="shared" si="32"/>
        <v/>
      </c>
      <c r="AE73" s="365" t="str">
        <f t="shared" si="32"/>
        <v/>
      </c>
      <c r="AF73" s="365" t="str">
        <f t="shared" si="32"/>
        <v/>
      </c>
      <c r="AG73" s="365" t="str">
        <f t="shared" si="32"/>
        <v/>
      </c>
      <c r="AH73" s="365" t="str">
        <f t="shared" si="33"/>
        <v/>
      </c>
      <c r="AI73" s="365" t="str">
        <f t="shared" si="33"/>
        <v/>
      </c>
      <c r="AJ73" s="365" t="str">
        <f t="shared" si="33"/>
        <v/>
      </c>
      <c r="AK73" s="365" t="str">
        <f t="shared" si="33"/>
        <v/>
      </c>
      <c r="AL73" s="365" t="str">
        <f t="shared" si="33"/>
        <v/>
      </c>
      <c r="AM73" s="365" t="str">
        <f t="shared" si="33"/>
        <v/>
      </c>
      <c r="AN73" s="365" t="str">
        <f t="shared" si="33"/>
        <v/>
      </c>
      <c r="AO73" s="365" t="str">
        <f t="shared" si="33"/>
        <v/>
      </c>
      <c r="AP73" s="365" t="str">
        <f t="shared" si="33"/>
        <v/>
      </c>
      <c r="AQ73" s="365" t="str">
        <f t="shared" si="33"/>
        <v/>
      </c>
      <c r="AR73" s="365" t="str">
        <f t="shared" si="34"/>
        <v/>
      </c>
      <c r="AS73" s="365" t="str">
        <f t="shared" si="34"/>
        <v/>
      </c>
      <c r="AT73" s="365" t="str">
        <f t="shared" si="34"/>
        <v/>
      </c>
      <c r="AU73" s="365" t="str">
        <f t="shared" si="34"/>
        <v/>
      </c>
      <c r="AV73" s="365" t="str">
        <f t="shared" si="34"/>
        <v/>
      </c>
      <c r="AW73" s="365" t="str">
        <f t="shared" si="34"/>
        <v/>
      </c>
      <c r="AX73" s="365" t="str">
        <f t="shared" si="34"/>
        <v/>
      </c>
    </row>
    <row r="74" spans="2:50">
      <c r="B74" s="1570" t="s">
        <v>152</v>
      </c>
      <c r="N74" s="1570">
        <f t="shared" ref="N74:V74" si="36">(N24/N72)*100</f>
        <v>52.527853983539551</v>
      </c>
      <c r="O74" s="1570">
        <f t="shared" si="36"/>
        <v>59.260588657573585</v>
      </c>
      <c r="P74" s="1570">
        <f t="shared" si="36"/>
        <v>55.550479671082684</v>
      </c>
      <c r="Q74" s="1570">
        <f t="shared" si="36"/>
        <v>56.60735664451142</v>
      </c>
      <c r="R74" s="1570">
        <f t="shared" si="36"/>
        <v>53.787906907687166</v>
      </c>
      <c r="S74" s="1570">
        <f t="shared" si="36"/>
        <v>52.255777398749203</v>
      </c>
      <c r="T74" s="1570">
        <f t="shared" si="36"/>
        <v>48.959213225533965</v>
      </c>
      <c r="U74" s="1570">
        <f t="shared" si="36"/>
        <v>47.609718934508749</v>
      </c>
      <c r="V74" s="1570">
        <f t="shared" si="36"/>
        <v>42.995583905789992</v>
      </c>
      <c r="X74" s="365" t="str">
        <f t="shared" si="31"/>
        <v/>
      </c>
      <c r="Y74" s="365" t="str">
        <f t="shared" si="31"/>
        <v/>
      </c>
      <c r="Z74" s="365" t="str">
        <f t="shared" si="31"/>
        <v/>
      </c>
      <c r="AA74" s="365"/>
      <c r="AB74" s="365" t="str">
        <f t="shared" si="32"/>
        <v/>
      </c>
      <c r="AC74" s="365" t="str">
        <f t="shared" si="32"/>
        <v/>
      </c>
      <c r="AD74" s="365" t="str">
        <f t="shared" si="32"/>
        <v/>
      </c>
      <c r="AE74" s="365" t="str">
        <f t="shared" si="32"/>
        <v/>
      </c>
      <c r="AF74" s="365" t="str">
        <f t="shared" si="32"/>
        <v/>
      </c>
      <c r="AG74" s="365" t="str">
        <f t="shared" si="32"/>
        <v/>
      </c>
      <c r="AH74" s="365" t="str">
        <f t="shared" si="33"/>
        <v/>
      </c>
      <c r="AI74" s="365" t="str">
        <f t="shared" si="33"/>
        <v/>
      </c>
      <c r="AJ74" s="365" t="str">
        <f t="shared" si="33"/>
        <v/>
      </c>
      <c r="AK74" s="365" t="str">
        <f t="shared" si="33"/>
        <v/>
      </c>
      <c r="AL74" s="365" t="str">
        <f t="shared" si="33"/>
        <v/>
      </c>
      <c r="AM74" s="365" t="str">
        <f t="shared" si="33"/>
        <v/>
      </c>
      <c r="AN74" s="365" t="str">
        <f t="shared" si="33"/>
        <v/>
      </c>
      <c r="AO74" s="365" t="str">
        <f t="shared" si="33"/>
        <v/>
      </c>
      <c r="AP74" s="365" t="str">
        <f t="shared" si="33"/>
        <v/>
      </c>
      <c r="AQ74" s="365" t="str">
        <f t="shared" si="33"/>
        <v/>
      </c>
      <c r="AR74" s="365" t="str">
        <f t="shared" si="34"/>
        <v/>
      </c>
      <c r="AS74" s="365" t="str">
        <f t="shared" si="34"/>
        <v/>
      </c>
      <c r="AT74" s="365" t="str">
        <f t="shared" si="34"/>
        <v/>
      </c>
      <c r="AU74" s="365" t="str">
        <f t="shared" si="34"/>
        <v/>
      </c>
      <c r="AV74" s="365" t="str">
        <f t="shared" si="34"/>
        <v/>
      </c>
      <c r="AW74" s="365" t="str">
        <f t="shared" si="34"/>
        <v/>
      </c>
      <c r="AX74" s="365"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D6" activePane="bottomRight" state="frozen"/>
      <selection pane="topRight" activeCell="C1" sqref="C1"/>
      <selection pane="bottomLeft" activeCell="A6" sqref="A6"/>
      <selection pane="bottomRight" activeCell="H39" sqref="H39:I39"/>
    </sheetView>
  </sheetViews>
  <sheetFormatPr defaultRowHeight="15.75"/>
  <cols>
    <col min="1" max="1" width="36.28515625" style="1602" customWidth="1"/>
    <col min="2" max="2" width="52" style="1602" customWidth="1"/>
    <col min="3" max="3" width="29.7109375" style="1602" customWidth="1"/>
    <col min="4" max="10" width="15.28515625" style="1602" bestFit="1" customWidth="1"/>
    <col min="11" max="12" width="16.42578125" style="1602" bestFit="1" customWidth="1"/>
    <col min="13" max="17" width="18.42578125" style="1602" bestFit="1" customWidth="1"/>
    <col min="18" max="18" width="18.7109375" style="1602" bestFit="1" customWidth="1"/>
    <col min="19" max="19" width="18.42578125" style="1602" bestFit="1" customWidth="1"/>
    <col min="20" max="20" width="20.140625" style="1602" bestFit="1" customWidth="1"/>
    <col min="21" max="21" width="18.7109375" style="1602" bestFit="1" customWidth="1"/>
    <col min="22" max="24" width="19.7109375" style="1602" bestFit="1" customWidth="1"/>
    <col min="25" max="26" width="20.140625" style="13" bestFit="1" customWidth="1"/>
    <col min="27" max="27" width="20.140625" style="13" customWidth="1"/>
  </cols>
  <sheetData>
    <row r="1" spans="1:27">
      <c r="A1" s="1602" t="s">
        <v>3882</v>
      </c>
      <c r="B1" s="1603" t="s">
        <v>3883</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7">
      <c r="B2" s="1607" t="s">
        <v>2306</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7">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row>
    <row r="4" spans="1:27">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05" t="s">
        <v>27</v>
      </c>
      <c r="AA4" s="1605" t="s">
        <v>1137</v>
      </c>
    </row>
    <row r="5" spans="1:27">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3884</v>
      </c>
      <c r="P5" s="1605" t="s">
        <v>3884</v>
      </c>
      <c r="Q5" s="1605" t="s">
        <v>369</v>
      </c>
      <c r="R5" s="1605" t="s">
        <v>369</v>
      </c>
      <c r="S5" s="1605" t="s">
        <v>369</v>
      </c>
      <c r="T5" s="1605" t="s">
        <v>369</v>
      </c>
      <c r="U5" s="1605" t="s">
        <v>369</v>
      </c>
      <c r="V5" s="1605" t="s">
        <v>32</v>
      </c>
      <c r="W5" s="1605" t="s">
        <v>32</v>
      </c>
      <c r="X5" s="1605" t="s">
        <v>32</v>
      </c>
      <c r="Y5" s="1605" t="s">
        <v>32</v>
      </c>
      <c r="Z5" s="1605" t="s">
        <v>32</v>
      </c>
      <c r="AA5" s="1605" t="s">
        <v>32</v>
      </c>
    </row>
    <row r="6" spans="1:27" s="848" customFormat="1">
      <c r="A6" s="875" t="s">
        <v>1498</v>
      </c>
      <c r="B6" s="875" t="s">
        <v>3885</v>
      </c>
      <c r="C6" s="874" t="s">
        <v>35</v>
      </c>
      <c r="D6" s="1641">
        <v>85300000</v>
      </c>
      <c r="E6" s="1641">
        <v>69500000</v>
      </c>
      <c r="F6" s="1641">
        <v>72700000</v>
      </c>
      <c r="G6" s="876">
        <v>56600000</v>
      </c>
      <c r="H6" s="876">
        <v>59000000</v>
      </c>
      <c r="I6" s="876">
        <v>80300000</v>
      </c>
      <c r="J6" s="876">
        <v>85600000</v>
      </c>
      <c r="K6" s="876">
        <v>148300000</v>
      </c>
      <c r="L6" s="876">
        <v>206900000</v>
      </c>
      <c r="M6" s="911">
        <v>234900000</v>
      </c>
      <c r="N6" s="911">
        <v>288000000</v>
      </c>
      <c r="O6" s="911">
        <v>374900000</v>
      </c>
      <c r="P6" s="911">
        <v>458900000</v>
      </c>
      <c r="Q6" s="911">
        <v>555000000</v>
      </c>
      <c r="R6" s="911">
        <v>549000000</v>
      </c>
      <c r="S6" s="911">
        <v>646000000</v>
      </c>
      <c r="T6" s="911">
        <v>1075000000</v>
      </c>
      <c r="U6" s="1642">
        <v>1006000000</v>
      </c>
      <c r="V6" s="1643">
        <v>949000000</v>
      </c>
      <c r="W6" s="913">
        <v>974000000</v>
      </c>
      <c r="X6" s="874">
        <v>1015000000</v>
      </c>
      <c r="Y6" s="1159">
        <v>1037000000</v>
      </c>
      <c r="Z6" s="1159">
        <v>1085000000</v>
      </c>
      <c r="AA6" s="1159">
        <v>1132000000</v>
      </c>
    </row>
    <row r="7" spans="1:27">
      <c r="A7" s="1602" t="s">
        <v>36</v>
      </c>
      <c r="B7" s="1612" t="s">
        <v>36</v>
      </c>
      <c r="C7" s="1613" t="s">
        <v>38</v>
      </c>
      <c r="D7" s="1614">
        <v>78900000</v>
      </c>
      <c r="E7" s="1614">
        <v>64800000</v>
      </c>
      <c r="F7" s="1614">
        <v>72700000</v>
      </c>
      <c r="G7" s="1615">
        <v>56600000</v>
      </c>
      <c r="H7" s="1615">
        <v>56000000</v>
      </c>
      <c r="I7" s="1615">
        <v>79300000</v>
      </c>
      <c r="J7" s="1615">
        <v>84600000</v>
      </c>
      <c r="K7" s="1615">
        <v>146800000</v>
      </c>
      <c r="L7" s="1615">
        <v>200800000</v>
      </c>
      <c r="M7" s="1633">
        <v>211300000</v>
      </c>
      <c r="N7" s="1633">
        <v>275000000</v>
      </c>
      <c r="O7" s="1633">
        <v>334600000</v>
      </c>
      <c r="P7" s="1633">
        <v>430600000</v>
      </c>
      <c r="Q7" s="1633">
        <v>509000000</v>
      </c>
      <c r="R7" s="1633">
        <v>471000000</v>
      </c>
      <c r="S7" s="1633">
        <v>447000000</v>
      </c>
      <c r="T7" s="1633">
        <v>452000000</v>
      </c>
      <c r="U7" s="1634">
        <v>464000000</v>
      </c>
      <c r="V7" s="1635">
        <v>436000000</v>
      </c>
      <c r="W7" s="1636">
        <v>467000000</v>
      </c>
      <c r="X7" s="1602">
        <v>520000000</v>
      </c>
      <c r="Y7" s="125">
        <v>569000000</v>
      </c>
      <c r="Z7" s="125">
        <v>623000000</v>
      </c>
      <c r="AA7" s="125">
        <v>683000000</v>
      </c>
    </row>
    <row r="8" spans="1:27">
      <c r="A8" s="1602" t="s">
        <v>39</v>
      </c>
      <c r="B8" s="1612" t="s">
        <v>3886</v>
      </c>
      <c r="C8" s="1613" t="s">
        <v>41</v>
      </c>
      <c r="D8" s="1614">
        <v>74300000</v>
      </c>
      <c r="E8" s="1614">
        <v>60700000</v>
      </c>
      <c r="F8" s="1614">
        <v>70300000</v>
      </c>
      <c r="G8" s="1615">
        <v>48500000</v>
      </c>
      <c r="H8" s="1615">
        <v>55300000</v>
      </c>
      <c r="I8" s="1615">
        <v>75700000</v>
      </c>
      <c r="J8" s="1615">
        <v>81000000</v>
      </c>
      <c r="K8" s="1615">
        <v>139800000</v>
      </c>
      <c r="L8" s="1615">
        <v>168800000</v>
      </c>
      <c r="M8" s="1633">
        <v>190000000</v>
      </c>
      <c r="N8" s="1633">
        <v>207800000</v>
      </c>
      <c r="O8" s="1633">
        <v>269200000</v>
      </c>
      <c r="P8" s="1633">
        <v>357000000</v>
      </c>
      <c r="Q8" s="1633">
        <v>369000000</v>
      </c>
      <c r="R8" s="1633">
        <v>386000000</v>
      </c>
      <c r="S8" s="1633">
        <v>369000000</v>
      </c>
      <c r="T8" s="1633">
        <v>400000000</v>
      </c>
      <c r="U8" s="1634">
        <v>385000000</v>
      </c>
      <c r="V8" s="1635">
        <v>372000000</v>
      </c>
      <c r="W8" s="1636">
        <v>400000000</v>
      </c>
      <c r="X8" s="1602">
        <v>438000000</v>
      </c>
      <c r="Y8" s="125">
        <v>474000000</v>
      </c>
      <c r="Z8" s="125">
        <v>513000000</v>
      </c>
      <c r="AA8" s="125">
        <v>561000000</v>
      </c>
    </row>
    <row r="9" spans="1:27">
      <c r="A9" s="1616" t="s">
        <v>42</v>
      </c>
      <c r="B9" s="1616" t="s">
        <v>3887</v>
      </c>
      <c r="C9" s="1602" t="s">
        <v>44</v>
      </c>
      <c r="D9" s="1614">
        <v>15900000</v>
      </c>
      <c r="E9" s="1614">
        <v>11500000</v>
      </c>
      <c r="F9" s="1614">
        <v>17500000</v>
      </c>
      <c r="G9" s="1615">
        <v>9400000</v>
      </c>
      <c r="H9" s="1615">
        <v>9400000</v>
      </c>
      <c r="I9" s="1615">
        <v>28400000</v>
      </c>
      <c r="J9" s="1615">
        <v>25100000</v>
      </c>
      <c r="K9" s="1615">
        <v>42800000</v>
      </c>
      <c r="L9" s="1615">
        <v>54100000</v>
      </c>
      <c r="M9" s="1633">
        <v>65800000</v>
      </c>
      <c r="N9" s="1633">
        <v>70200000</v>
      </c>
      <c r="O9" s="1633">
        <v>111200000</v>
      </c>
      <c r="P9" s="1633"/>
      <c r="Q9" s="1633"/>
      <c r="R9" s="1633"/>
      <c r="S9" s="1633">
        <v>147000000</v>
      </c>
      <c r="T9" s="1633">
        <v>117000000</v>
      </c>
      <c r="U9" s="1634">
        <v>114000000</v>
      </c>
      <c r="V9" s="2435">
        <v>109000000</v>
      </c>
      <c r="W9" s="1614">
        <v>117000000</v>
      </c>
      <c r="X9" s="2396">
        <v>130000000</v>
      </c>
      <c r="Y9" s="125">
        <v>141000000</v>
      </c>
      <c r="Z9" s="125">
        <v>154000000</v>
      </c>
      <c r="AA9" s="125">
        <v>169000000</v>
      </c>
    </row>
    <row r="10" spans="1:27">
      <c r="A10" s="1616" t="s">
        <v>3888</v>
      </c>
      <c r="B10" s="1616" t="s">
        <v>3101</v>
      </c>
      <c r="C10" s="1602" t="s">
        <v>44</v>
      </c>
      <c r="D10" s="1614">
        <v>17300000</v>
      </c>
      <c r="E10" s="1614">
        <v>19700000</v>
      </c>
      <c r="F10" s="1614">
        <v>3500000</v>
      </c>
      <c r="G10" s="1615">
        <v>14800000</v>
      </c>
      <c r="H10" s="1615">
        <v>21300000</v>
      </c>
      <c r="I10" s="1615">
        <v>16900000</v>
      </c>
      <c r="J10" s="1615">
        <v>20300000</v>
      </c>
      <c r="K10" s="1615">
        <v>25900000</v>
      </c>
      <c r="L10" s="1615">
        <v>33299999.999999996</v>
      </c>
      <c r="M10" s="1633">
        <v>33700000</v>
      </c>
      <c r="N10" s="1633">
        <v>39200000</v>
      </c>
      <c r="O10" s="1633">
        <v>48400000</v>
      </c>
      <c r="P10" s="1633"/>
      <c r="Q10" s="1633"/>
      <c r="R10" s="1633"/>
      <c r="S10" s="1633">
        <v>50000000</v>
      </c>
      <c r="T10" s="1633">
        <v>91000000</v>
      </c>
      <c r="U10" s="1634">
        <v>76000000</v>
      </c>
      <c r="V10" s="2435">
        <v>80000000</v>
      </c>
      <c r="W10" s="1614">
        <v>88000000</v>
      </c>
      <c r="X10" s="2396">
        <v>93000000</v>
      </c>
      <c r="Y10" s="125">
        <v>99000000</v>
      </c>
      <c r="Z10" s="125">
        <v>104000000</v>
      </c>
      <c r="AA10" s="125">
        <v>111000000</v>
      </c>
    </row>
    <row r="11" spans="1:27">
      <c r="A11" s="1617" t="s">
        <v>45</v>
      </c>
      <c r="B11" s="1616" t="s">
        <v>3889</v>
      </c>
      <c r="C11" s="1602" t="s">
        <v>44</v>
      </c>
      <c r="D11" s="1614">
        <v>23200000</v>
      </c>
      <c r="E11" s="1614">
        <v>18600000</v>
      </c>
      <c r="F11" s="1614">
        <v>17000000</v>
      </c>
      <c r="G11" s="1615">
        <v>23900000</v>
      </c>
      <c r="H11" s="1615">
        <v>24300000</v>
      </c>
      <c r="I11" s="1615">
        <v>30200000</v>
      </c>
      <c r="J11" s="1615">
        <v>35300000</v>
      </c>
      <c r="K11" s="1615">
        <v>69700000</v>
      </c>
      <c r="L11" s="1615">
        <v>79100000</v>
      </c>
      <c r="M11" s="1633">
        <v>87900000</v>
      </c>
      <c r="N11" s="1633">
        <v>91700000</v>
      </c>
      <c r="O11" s="1633">
        <v>105400000</v>
      </c>
      <c r="P11" s="1633"/>
      <c r="Q11" s="1633"/>
      <c r="R11" s="1633"/>
      <c r="S11" s="1633">
        <v>168000000</v>
      </c>
      <c r="T11" s="1633">
        <v>185000000</v>
      </c>
      <c r="U11" s="1634">
        <v>185000000</v>
      </c>
      <c r="V11" s="2435">
        <v>175000000</v>
      </c>
      <c r="W11" s="1614">
        <v>185000000</v>
      </c>
      <c r="X11" s="2396">
        <v>202000000</v>
      </c>
      <c r="Y11" s="125">
        <v>220000000</v>
      </c>
      <c r="Z11" s="125">
        <v>239000000</v>
      </c>
      <c r="AA11" s="125">
        <v>263000000</v>
      </c>
    </row>
    <row r="12" spans="1:27">
      <c r="A12" s="1616" t="s">
        <v>49</v>
      </c>
      <c r="B12" s="1646" t="s">
        <v>1772</v>
      </c>
      <c r="C12" s="1602" t="s">
        <v>44</v>
      </c>
      <c r="D12" s="1614">
        <v>17900000</v>
      </c>
      <c r="E12" s="1614">
        <v>10900000</v>
      </c>
      <c r="F12" s="1614">
        <v>32300000</v>
      </c>
      <c r="G12" s="1615">
        <v>400000</v>
      </c>
      <c r="H12" s="1615">
        <v>300000</v>
      </c>
      <c r="I12" s="1615">
        <v>300000</v>
      </c>
      <c r="J12" s="1615">
        <v>300000</v>
      </c>
      <c r="K12" s="1615">
        <v>1500000</v>
      </c>
      <c r="L12" s="1615">
        <v>2200000</v>
      </c>
      <c r="M12" s="1633">
        <v>2600000</v>
      </c>
      <c r="N12" s="1633">
        <v>6700000</v>
      </c>
      <c r="O12" s="1633">
        <v>4300000</v>
      </c>
      <c r="P12" s="1633"/>
      <c r="Q12" s="1633"/>
      <c r="R12" s="1633"/>
      <c r="S12" s="1633">
        <v>4000000</v>
      </c>
      <c r="T12" s="1633">
        <v>8000000</v>
      </c>
      <c r="U12" s="1634">
        <v>10000000</v>
      </c>
      <c r="V12" s="2435">
        <v>9000000</v>
      </c>
      <c r="W12" s="1614">
        <v>11000000</v>
      </c>
      <c r="X12" s="2396">
        <v>13000000</v>
      </c>
      <c r="Y12" s="125">
        <v>14000000</v>
      </c>
      <c r="Z12" s="125">
        <v>16000000</v>
      </c>
      <c r="AA12" s="125">
        <v>18000000</v>
      </c>
    </row>
    <row r="13" spans="1:27" ht="18.75" customHeight="1">
      <c r="A13" s="1604" t="s">
        <v>51</v>
      </c>
      <c r="B13" s="1612" t="s">
        <v>376</v>
      </c>
      <c r="C13" s="1613" t="s">
        <v>41</v>
      </c>
      <c r="D13" s="1614">
        <v>4600000</v>
      </c>
      <c r="E13" s="1614">
        <v>4099999.9999999995</v>
      </c>
      <c r="F13" s="1614">
        <v>2400000</v>
      </c>
      <c r="G13" s="1615">
        <v>8100000</v>
      </c>
      <c r="H13" s="1615">
        <v>800000</v>
      </c>
      <c r="I13" s="1615">
        <v>3600000</v>
      </c>
      <c r="J13" s="1615">
        <v>3600000</v>
      </c>
      <c r="K13" s="1615">
        <v>7100000</v>
      </c>
      <c r="L13" s="1615">
        <v>32000000</v>
      </c>
      <c r="M13" s="1633">
        <v>21300000</v>
      </c>
      <c r="N13" s="1633">
        <v>67300000</v>
      </c>
      <c r="O13" s="1633">
        <v>65400000.000000007</v>
      </c>
      <c r="P13" s="1633">
        <v>73700000</v>
      </c>
      <c r="Q13" s="1633">
        <v>140000000</v>
      </c>
      <c r="R13" s="1633">
        <v>86000000</v>
      </c>
      <c r="S13" s="1633">
        <v>78000000</v>
      </c>
      <c r="T13" s="1633">
        <v>51000000</v>
      </c>
      <c r="U13" s="1634">
        <v>79000000</v>
      </c>
      <c r="V13" s="2436">
        <v>64000000</v>
      </c>
      <c r="W13" s="1614">
        <v>67000000</v>
      </c>
      <c r="X13" s="2396">
        <v>83000000</v>
      </c>
      <c r="Y13" s="125">
        <v>95000000</v>
      </c>
      <c r="Z13" s="125">
        <v>110000000</v>
      </c>
      <c r="AA13" s="125">
        <v>122000000</v>
      </c>
    </row>
    <row r="14" spans="1:27" s="848" customFormat="1">
      <c r="A14" s="1644" t="s">
        <v>53</v>
      </c>
      <c r="B14" s="880" t="s">
        <v>53</v>
      </c>
      <c r="C14" s="875" t="s">
        <v>38</v>
      </c>
      <c r="D14" s="1641">
        <v>6300000</v>
      </c>
      <c r="E14" s="1641">
        <v>4600000</v>
      </c>
      <c r="F14" s="876">
        <v>0</v>
      </c>
      <c r="G14" s="876">
        <v>0</v>
      </c>
      <c r="H14" s="876">
        <v>3000000</v>
      </c>
      <c r="I14" s="876">
        <v>1000000</v>
      </c>
      <c r="J14" s="876">
        <v>1000000</v>
      </c>
      <c r="K14" s="876">
        <v>1500000</v>
      </c>
      <c r="L14" s="876">
        <v>6100000</v>
      </c>
      <c r="M14" s="911">
        <v>23600000</v>
      </c>
      <c r="N14" s="911">
        <v>13000000</v>
      </c>
      <c r="O14" s="911">
        <v>40300000</v>
      </c>
      <c r="P14" s="911">
        <v>28300000</v>
      </c>
      <c r="Q14" s="911">
        <v>46000000</v>
      </c>
      <c r="R14" s="911">
        <v>78000000</v>
      </c>
      <c r="S14" s="911">
        <v>199000000</v>
      </c>
      <c r="T14" s="911">
        <v>624000000</v>
      </c>
      <c r="U14" s="1642">
        <v>542000000</v>
      </c>
      <c r="V14" s="2437">
        <v>513000000</v>
      </c>
      <c r="W14" s="1641">
        <v>507000000</v>
      </c>
      <c r="X14" s="1647">
        <v>494000000</v>
      </c>
      <c r="Y14" s="1159">
        <v>469000000</v>
      </c>
      <c r="Z14" s="1159">
        <v>462000000</v>
      </c>
      <c r="AA14" s="1159">
        <v>449000000</v>
      </c>
    </row>
    <row r="15" spans="1:27" s="64" customFormat="1">
      <c r="A15" s="1616" t="s">
        <v>886</v>
      </c>
      <c r="B15" s="1612" t="s">
        <v>3890</v>
      </c>
      <c r="C15" s="1616" t="s">
        <v>57</v>
      </c>
      <c r="D15" s="1616"/>
      <c r="E15" s="1616"/>
      <c r="F15" s="1616"/>
      <c r="G15" s="1616"/>
      <c r="H15" s="1616"/>
      <c r="I15" s="1616"/>
      <c r="J15" s="1616"/>
      <c r="K15" s="1616"/>
      <c r="L15" s="1616"/>
      <c r="M15" s="1633"/>
      <c r="N15" s="1633"/>
      <c r="O15" s="1633"/>
      <c r="P15" s="1633"/>
      <c r="Q15" s="1633"/>
      <c r="R15" s="1633">
        <v>36000000</v>
      </c>
      <c r="S15" s="1633">
        <v>60000000</v>
      </c>
      <c r="T15" s="1633"/>
      <c r="U15" s="1633"/>
      <c r="V15" s="1615"/>
      <c r="W15" s="1615"/>
      <c r="X15" s="1891"/>
      <c r="Y15" s="210"/>
      <c r="Z15" s="210"/>
      <c r="AA15" s="210"/>
    </row>
    <row r="16" spans="1:27" s="64" customFormat="1">
      <c r="A16" s="1616" t="s">
        <v>3891</v>
      </c>
      <c r="B16" s="1612" t="s">
        <v>3892</v>
      </c>
      <c r="C16" s="1616" t="s">
        <v>57</v>
      </c>
      <c r="D16" s="1616"/>
      <c r="E16" s="1616"/>
      <c r="F16" s="1616"/>
      <c r="G16" s="1616"/>
      <c r="H16" s="1616"/>
      <c r="I16" s="1616"/>
      <c r="J16" s="1616"/>
      <c r="K16" s="1616"/>
      <c r="L16" s="1616"/>
      <c r="M16" s="1633"/>
      <c r="N16" s="1633"/>
      <c r="O16" s="1633"/>
      <c r="P16" s="1633"/>
      <c r="Q16" s="1633"/>
      <c r="R16" s="1633">
        <v>0</v>
      </c>
      <c r="S16" s="1633"/>
      <c r="T16" s="1633"/>
      <c r="U16" s="1633"/>
      <c r="V16" s="1615"/>
      <c r="W16" s="1615"/>
      <c r="X16" s="1891"/>
      <c r="Y16" s="210"/>
      <c r="Z16" s="210"/>
      <c r="AA16" s="210"/>
    </row>
    <row r="17" spans="1:27" s="64" customFormat="1">
      <c r="A17" s="1616" t="s">
        <v>67</v>
      </c>
      <c r="B17" s="1616" t="s">
        <v>3893</v>
      </c>
      <c r="C17" s="1616" t="s">
        <v>57</v>
      </c>
      <c r="D17" s="1616"/>
      <c r="E17" s="1616"/>
      <c r="F17" s="1616"/>
      <c r="G17" s="1616"/>
      <c r="H17" s="1616"/>
      <c r="I17" s="1616"/>
      <c r="J17" s="1616"/>
      <c r="K17" s="1616"/>
      <c r="L17" s="1616"/>
      <c r="M17" s="1633"/>
      <c r="N17" s="1633"/>
      <c r="O17" s="1633"/>
      <c r="P17" s="1633"/>
      <c r="Q17" s="1633"/>
      <c r="R17" s="1645">
        <f>R14-R15-R16</f>
        <v>42000000</v>
      </c>
      <c r="S17" s="1633">
        <f>S14-S15</f>
        <v>139000000</v>
      </c>
      <c r="T17" s="1633"/>
      <c r="U17" s="1633"/>
      <c r="V17" s="1615"/>
      <c r="W17" s="1615"/>
      <c r="X17" s="1891"/>
      <c r="Y17" s="210"/>
      <c r="Z17" s="210"/>
      <c r="AA17" s="210"/>
    </row>
    <row r="18" spans="1:27" s="848" customFormat="1">
      <c r="A18" s="874" t="s">
        <v>71</v>
      </c>
      <c r="B18" s="874" t="s">
        <v>379</v>
      </c>
      <c r="C18" s="880" t="s">
        <v>35</v>
      </c>
      <c r="D18" s="876">
        <v>83500000</v>
      </c>
      <c r="E18" s="876">
        <v>73300000</v>
      </c>
      <c r="F18" s="1641">
        <v>80100000</v>
      </c>
      <c r="G18" s="876">
        <v>69200000</v>
      </c>
      <c r="H18" s="876">
        <v>50600000</v>
      </c>
      <c r="I18" s="876">
        <f>I20+I29</f>
        <v>102600000</v>
      </c>
      <c r="J18" s="876">
        <v>73500000</v>
      </c>
      <c r="K18" s="876">
        <v>123000000</v>
      </c>
      <c r="L18" s="876">
        <v>197100000</v>
      </c>
      <c r="M18" s="911">
        <v>248900000</v>
      </c>
      <c r="N18" s="911">
        <v>282200000</v>
      </c>
      <c r="O18" s="911">
        <v>382900000</v>
      </c>
      <c r="P18" s="911">
        <v>514000000</v>
      </c>
      <c r="Q18" s="911">
        <v>584000000</v>
      </c>
      <c r="R18" s="911">
        <v>588000000</v>
      </c>
      <c r="S18" s="911">
        <v>842000000</v>
      </c>
      <c r="T18" s="911">
        <f>T20+T29</f>
        <v>1163000000</v>
      </c>
      <c r="U18" s="911">
        <f t="shared" ref="U18:AA18" si="0">U20+U29</f>
        <v>1161000000</v>
      </c>
      <c r="V18" s="876">
        <f t="shared" si="0"/>
        <v>1122000000</v>
      </c>
      <c r="W18" s="876">
        <f t="shared" si="0"/>
        <v>1150000000</v>
      </c>
      <c r="X18" s="876">
        <f t="shared" si="0"/>
        <v>1189000000</v>
      </c>
      <c r="Y18" s="876">
        <f t="shared" si="0"/>
        <v>1227000000</v>
      </c>
      <c r="Z18" s="876">
        <f t="shared" si="0"/>
        <v>1294000000</v>
      </c>
      <c r="AA18" s="876">
        <f t="shared" si="0"/>
        <v>1335000000</v>
      </c>
    </row>
    <row r="19" spans="1:27" s="1" customFormat="1">
      <c r="A19" s="1604"/>
      <c r="B19" s="1604" t="s">
        <v>3894</v>
      </c>
      <c r="C19" s="1604"/>
      <c r="D19" s="1604"/>
      <c r="E19" s="1604"/>
      <c r="F19" s="1604"/>
      <c r="G19" s="1604"/>
      <c r="H19" s="1604"/>
      <c r="I19" s="1604"/>
      <c r="J19" s="1604"/>
      <c r="K19" s="1604"/>
      <c r="L19" s="1604"/>
      <c r="M19" s="1637"/>
      <c r="N19" s="1637"/>
      <c r="O19" s="1637"/>
      <c r="P19" s="1637"/>
      <c r="Q19" s="1637"/>
      <c r="R19" s="1637">
        <v>73000000</v>
      </c>
      <c r="S19" s="1637">
        <v>241000000</v>
      </c>
      <c r="T19" s="1637"/>
      <c r="U19" s="1637"/>
      <c r="V19" s="1615"/>
      <c r="W19" s="1615"/>
      <c r="X19" s="2078"/>
      <c r="Y19" s="389"/>
      <c r="Z19" s="389"/>
      <c r="AA19" s="389"/>
    </row>
    <row r="20" spans="1:27">
      <c r="A20" s="1604" t="s">
        <v>73</v>
      </c>
      <c r="B20" s="1612" t="s">
        <v>3895</v>
      </c>
      <c r="C20" s="1613" t="s">
        <v>75</v>
      </c>
      <c r="D20" s="1614">
        <v>47800000</v>
      </c>
      <c r="E20" s="1614">
        <v>40700000</v>
      </c>
      <c r="F20" s="1614">
        <v>26000000</v>
      </c>
      <c r="G20" s="1615">
        <v>28300000</v>
      </c>
      <c r="H20" s="1615">
        <v>46900000</v>
      </c>
      <c r="I20" s="1618">
        <f>I21+I23+I25+I27+I28</f>
        <v>92000000</v>
      </c>
      <c r="J20" s="1615">
        <v>67200000</v>
      </c>
      <c r="K20" s="1615">
        <v>106400000</v>
      </c>
      <c r="L20" s="1615">
        <v>173200000</v>
      </c>
      <c r="M20" s="1633">
        <v>215100000</v>
      </c>
      <c r="N20" s="1633">
        <v>250500000</v>
      </c>
      <c r="O20" s="1633">
        <v>309400000</v>
      </c>
      <c r="P20" s="1633">
        <v>437600000</v>
      </c>
      <c r="Q20" s="1633">
        <v>493000000</v>
      </c>
      <c r="R20" s="1633">
        <v>488000000</v>
      </c>
      <c r="S20" s="1633">
        <v>646000000</v>
      </c>
      <c r="T20" s="1633">
        <v>739000000</v>
      </c>
      <c r="U20" s="1634">
        <v>742000000</v>
      </c>
      <c r="V20" s="2435">
        <v>743000000</v>
      </c>
      <c r="W20" s="1614">
        <v>759000000</v>
      </c>
      <c r="X20" s="2396">
        <v>757000000</v>
      </c>
      <c r="Y20" s="125">
        <v>760000000</v>
      </c>
      <c r="Z20" s="125">
        <v>777000000</v>
      </c>
      <c r="AA20" s="125">
        <v>772000000</v>
      </c>
    </row>
    <row r="21" spans="1:27">
      <c r="A21" s="1616" t="s">
        <v>79</v>
      </c>
      <c r="B21" s="1616" t="s">
        <v>79</v>
      </c>
      <c r="C21" s="1613" t="s">
        <v>81</v>
      </c>
      <c r="D21" s="1614"/>
      <c r="E21" s="1614"/>
      <c r="F21" s="1614">
        <v>13400000</v>
      </c>
      <c r="G21" s="1615">
        <v>13100000</v>
      </c>
      <c r="H21" s="1615">
        <v>24300000</v>
      </c>
      <c r="I21" s="1615">
        <v>42300000</v>
      </c>
      <c r="J21" s="1615">
        <v>32500000</v>
      </c>
      <c r="K21" s="1615">
        <v>40600000</v>
      </c>
      <c r="L21" s="1615">
        <v>68000000</v>
      </c>
      <c r="M21" s="1633">
        <v>91400000</v>
      </c>
      <c r="N21" s="1633">
        <v>113900000</v>
      </c>
      <c r="O21" s="1633">
        <v>138600000</v>
      </c>
      <c r="P21" s="1633"/>
      <c r="Q21" s="1633">
        <v>211000000</v>
      </c>
      <c r="R21" s="1633">
        <v>200000000</v>
      </c>
      <c r="S21" s="1633">
        <v>255000000</v>
      </c>
      <c r="T21" s="1633">
        <v>253000000</v>
      </c>
      <c r="U21" s="1634">
        <v>289000000</v>
      </c>
      <c r="V21" s="2435">
        <v>289000000</v>
      </c>
      <c r="W21" s="1614">
        <v>289000000</v>
      </c>
      <c r="X21" s="2396">
        <v>290000000</v>
      </c>
      <c r="Y21" s="125">
        <v>291000000</v>
      </c>
      <c r="Z21" s="125">
        <v>293000000</v>
      </c>
      <c r="AA21" s="125">
        <v>294000000</v>
      </c>
    </row>
    <row r="22" spans="1:27">
      <c r="A22" s="1616"/>
      <c r="B22" s="1612" t="s">
        <v>3896</v>
      </c>
      <c r="C22" s="1613"/>
      <c r="D22" s="1614"/>
      <c r="E22" s="1614"/>
      <c r="F22" s="1614"/>
      <c r="G22" s="1615"/>
      <c r="H22" s="1615"/>
      <c r="I22" s="1615"/>
      <c r="J22" s="1615"/>
      <c r="K22" s="1615"/>
      <c r="L22" s="1615"/>
      <c r="M22" s="1633"/>
      <c r="N22" s="1633"/>
      <c r="O22" s="1633"/>
      <c r="P22" s="1633"/>
      <c r="Q22" s="1633"/>
      <c r="R22" s="1633"/>
      <c r="S22" s="1633"/>
      <c r="T22" s="1633"/>
      <c r="U22" s="1634"/>
      <c r="V22" s="2435"/>
      <c r="W22" s="1614"/>
      <c r="X22" s="2396"/>
      <c r="Y22" s="125"/>
      <c r="Z22" s="125"/>
      <c r="AA22" s="125"/>
    </row>
    <row r="23" spans="1:27">
      <c r="A23" s="1616" t="s">
        <v>83</v>
      </c>
      <c r="B23" s="1616" t="s">
        <v>537</v>
      </c>
      <c r="C23" s="1613" t="s">
        <v>81</v>
      </c>
      <c r="D23" s="1614"/>
      <c r="E23" s="1614"/>
      <c r="F23" s="1614">
        <v>5900000</v>
      </c>
      <c r="G23" s="1615">
        <v>5900000</v>
      </c>
      <c r="H23" s="1615">
        <v>15800000</v>
      </c>
      <c r="I23" s="1615">
        <v>42300000</v>
      </c>
      <c r="J23" s="1615">
        <v>22000000</v>
      </c>
      <c r="K23" s="1615">
        <v>46100000</v>
      </c>
      <c r="L23" s="1615">
        <v>61200000</v>
      </c>
      <c r="M23" s="1633">
        <v>75300000</v>
      </c>
      <c r="N23" s="1633">
        <v>76700000</v>
      </c>
      <c r="O23" s="1633">
        <v>86300000</v>
      </c>
      <c r="P23" s="1633"/>
      <c r="Q23" s="1633">
        <v>162000000</v>
      </c>
      <c r="R23" s="1633">
        <v>163000000</v>
      </c>
      <c r="S23" s="1633">
        <v>267000000</v>
      </c>
      <c r="T23" s="1633">
        <v>394000000</v>
      </c>
      <c r="U23" s="1634">
        <v>377000000</v>
      </c>
      <c r="V23" s="2435">
        <v>370000000</v>
      </c>
      <c r="W23" s="1614">
        <v>376000000</v>
      </c>
      <c r="X23" s="2396">
        <v>373000000</v>
      </c>
      <c r="Y23" s="125">
        <v>371000000</v>
      </c>
      <c r="Z23" s="125">
        <v>378000000</v>
      </c>
      <c r="AA23" s="125">
        <v>364000000</v>
      </c>
    </row>
    <row r="24" spans="1:27">
      <c r="A24" s="1616"/>
      <c r="B24" s="1612" t="s">
        <v>3896</v>
      </c>
      <c r="C24" s="1613"/>
      <c r="D24" s="1614"/>
      <c r="E24" s="1614"/>
      <c r="F24" s="1614"/>
      <c r="G24" s="1615"/>
      <c r="H24" s="1615"/>
      <c r="I24" s="1615"/>
      <c r="J24" s="1615"/>
      <c r="K24" s="1615"/>
      <c r="L24" s="1615"/>
      <c r="M24" s="1633"/>
      <c r="N24" s="1633"/>
      <c r="O24" s="1633"/>
      <c r="P24" s="1633"/>
      <c r="Q24" s="1633"/>
      <c r="R24" s="1633"/>
      <c r="S24" s="1633"/>
      <c r="T24" s="1633"/>
      <c r="U24" s="1634"/>
      <c r="V24" s="2435"/>
      <c r="W24" s="1614"/>
      <c r="X24" s="2396"/>
      <c r="Y24" s="125"/>
      <c r="Z24" s="125"/>
      <c r="AA24" s="125"/>
    </row>
    <row r="25" spans="1:27">
      <c r="A25" s="1616" t="s">
        <v>85</v>
      </c>
      <c r="B25" s="1616" t="s">
        <v>85</v>
      </c>
      <c r="C25" s="1613" t="s">
        <v>81</v>
      </c>
      <c r="D25" s="1614"/>
      <c r="E25" s="1614"/>
      <c r="F25" s="1614">
        <v>400000</v>
      </c>
      <c r="G25" s="1615">
        <v>600000</v>
      </c>
      <c r="H25" s="1615">
        <v>4000000</v>
      </c>
      <c r="I25" s="1615">
        <v>6000000</v>
      </c>
      <c r="J25" s="1615">
        <v>11200000</v>
      </c>
      <c r="K25" s="1615">
        <v>19100000</v>
      </c>
      <c r="L25" s="1615">
        <v>36600000</v>
      </c>
      <c r="M25" s="1633">
        <v>40900000</v>
      </c>
      <c r="N25" s="1633">
        <v>55700000</v>
      </c>
      <c r="O25" s="1633">
        <v>80500000</v>
      </c>
      <c r="P25" s="1633"/>
      <c r="Q25" s="1633">
        <v>114000000</v>
      </c>
      <c r="R25" s="1633">
        <v>119000000</v>
      </c>
      <c r="S25" s="1633">
        <v>115000000</v>
      </c>
      <c r="T25" s="1633">
        <v>81000000</v>
      </c>
      <c r="U25" s="1634">
        <v>65000000</v>
      </c>
      <c r="V25" s="2435">
        <v>68000000</v>
      </c>
      <c r="W25" s="1614">
        <v>63000000</v>
      </c>
      <c r="X25" s="2396">
        <v>72000000</v>
      </c>
      <c r="Y25" s="125">
        <v>78000000</v>
      </c>
      <c r="Z25" s="125">
        <v>86000000</v>
      </c>
      <c r="AA25" s="125">
        <v>92000000</v>
      </c>
    </row>
    <row r="26" spans="1:27">
      <c r="A26" s="1616"/>
      <c r="B26" s="1612" t="s">
        <v>3896</v>
      </c>
      <c r="C26" s="1613"/>
      <c r="D26" s="1614"/>
      <c r="E26" s="1614"/>
      <c r="F26" s="1614"/>
      <c r="G26" s="1615"/>
      <c r="H26" s="1615"/>
      <c r="I26" s="1615"/>
      <c r="J26" s="1615"/>
      <c r="K26" s="1615"/>
      <c r="L26" s="1615"/>
      <c r="M26" s="1633"/>
      <c r="N26" s="1633"/>
      <c r="O26" s="1633"/>
      <c r="P26" s="1633"/>
      <c r="Q26" s="1633"/>
      <c r="R26" s="1633"/>
      <c r="S26" s="1633"/>
      <c r="T26" s="1633"/>
      <c r="U26" s="1634"/>
      <c r="V26" s="2435"/>
      <c r="W26" s="1614"/>
      <c r="X26" s="2396"/>
      <c r="Y26" s="125"/>
      <c r="Z26" s="125"/>
      <c r="AA26" s="125"/>
    </row>
    <row r="27" spans="1:27">
      <c r="A27" s="1617" t="s">
        <v>90</v>
      </c>
      <c r="B27" s="1616" t="s">
        <v>91</v>
      </c>
      <c r="C27" s="1613" t="s">
        <v>81</v>
      </c>
      <c r="D27" s="1614"/>
      <c r="E27" s="1614"/>
      <c r="F27" s="1614">
        <v>6300000</v>
      </c>
      <c r="G27" s="1615"/>
      <c r="H27" s="1615"/>
      <c r="I27" s="1615">
        <v>1400000</v>
      </c>
      <c r="J27" s="1615">
        <v>1400000</v>
      </c>
      <c r="K27" s="1615">
        <v>500000</v>
      </c>
      <c r="L27" s="1615">
        <v>7500000</v>
      </c>
      <c r="M27" s="1633">
        <v>7500000</v>
      </c>
      <c r="N27" s="1633">
        <v>4200000</v>
      </c>
      <c r="O27" s="1633">
        <v>4000000</v>
      </c>
      <c r="P27" s="1633"/>
      <c r="Q27" s="1633">
        <v>6000000</v>
      </c>
      <c r="R27" s="1633">
        <v>5000000</v>
      </c>
      <c r="S27" s="1633">
        <v>10000000</v>
      </c>
      <c r="T27" s="1633">
        <v>9000000</v>
      </c>
      <c r="U27" s="1634">
        <v>9000000</v>
      </c>
      <c r="V27" s="2435">
        <v>14000000</v>
      </c>
      <c r="W27" s="1614">
        <v>29000000</v>
      </c>
      <c r="X27" s="2396">
        <v>19000000</v>
      </c>
      <c r="Y27" s="125">
        <v>17000000</v>
      </c>
      <c r="Z27" s="125">
        <v>17000000</v>
      </c>
      <c r="AA27" s="125">
        <v>18000000</v>
      </c>
    </row>
    <row r="28" spans="1:27">
      <c r="A28" s="1616" t="s">
        <v>3792</v>
      </c>
      <c r="B28" s="1616" t="s">
        <v>3897</v>
      </c>
      <c r="C28" s="1613" t="s">
        <v>81</v>
      </c>
      <c r="D28" s="1614"/>
      <c r="E28" s="1614"/>
      <c r="F28" s="1614">
        <f>F20-F21-F23-F25-F27</f>
        <v>0</v>
      </c>
      <c r="G28" s="1614">
        <f>G20-G21-G23-G25-G27</f>
        <v>8700000</v>
      </c>
      <c r="H28" s="1614">
        <f>H20-H21-H23-H25-H27</f>
        <v>2800000</v>
      </c>
      <c r="I28" s="1614"/>
      <c r="J28" s="1614">
        <f t="shared" ref="J28:O28" si="1">J20-J21-J23-J25-J27</f>
        <v>100000</v>
      </c>
      <c r="K28" s="1614">
        <f>K20-K21-K23-K25-K27</f>
        <v>100000</v>
      </c>
      <c r="L28" s="1614"/>
      <c r="M28" s="1638">
        <f t="shared" si="1"/>
        <v>0</v>
      </c>
      <c r="N28" s="1638">
        <f t="shared" si="1"/>
        <v>0</v>
      </c>
      <c r="O28" s="1638">
        <f t="shared" si="1"/>
        <v>0</v>
      </c>
      <c r="P28" s="1638"/>
      <c r="Q28" s="1638">
        <f t="shared" ref="Q28:R28" si="2">Q20-Q21-Q23-Q25-Q27</f>
        <v>0</v>
      </c>
      <c r="R28" s="1638">
        <f t="shared" si="2"/>
        <v>1000000</v>
      </c>
      <c r="S28" s="1638"/>
      <c r="T28" s="1638">
        <v>1000000</v>
      </c>
      <c r="U28" s="1638">
        <v>2000000</v>
      </c>
      <c r="V28" s="1614">
        <v>2000000</v>
      </c>
      <c r="W28" s="1614">
        <v>2000000</v>
      </c>
      <c r="X28" s="2396">
        <v>3000000</v>
      </c>
      <c r="Y28" s="125">
        <v>3000000</v>
      </c>
      <c r="Z28" s="125">
        <v>4000000</v>
      </c>
      <c r="AA28" s="125">
        <v>5000000</v>
      </c>
    </row>
    <row r="29" spans="1:27">
      <c r="A29" s="1612" t="s">
        <v>237</v>
      </c>
      <c r="B29" s="1612" t="s">
        <v>3898</v>
      </c>
      <c r="C29" s="1613" t="s">
        <v>75</v>
      </c>
      <c r="D29" s="1614">
        <v>35700000</v>
      </c>
      <c r="E29" s="1614">
        <v>32600000</v>
      </c>
      <c r="F29" s="1614">
        <v>54100000</v>
      </c>
      <c r="G29" s="1615">
        <v>40900000</v>
      </c>
      <c r="H29" s="1615">
        <v>3700000</v>
      </c>
      <c r="I29" s="1615">
        <v>10600000</v>
      </c>
      <c r="J29" s="1615">
        <v>6300000</v>
      </c>
      <c r="K29" s="1615">
        <v>16600000.000000002</v>
      </c>
      <c r="L29" s="1615">
        <v>23900000</v>
      </c>
      <c r="M29" s="1633">
        <v>33800000</v>
      </c>
      <c r="N29" s="1633">
        <v>31700000</v>
      </c>
      <c r="O29" s="1633">
        <v>73500000</v>
      </c>
      <c r="P29" s="1633">
        <v>76400000</v>
      </c>
      <c r="Q29" s="1633">
        <v>91000000</v>
      </c>
      <c r="R29" s="1633">
        <v>100000000</v>
      </c>
      <c r="S29" s="1633">
        <v>195000000</v>
      </c>
      <c r="T29" s="1633">
        <v>424000000</v>
      </c>
      <c r="U29" s="1634">
        <v>419000000</v>
      </c>
      <c r="V29" s="2435">
        <v>379000000</v>
      </c>
      <c r="W29" s="1614">
        <v>391000000</v>
      </c>
      <c r="X29" s="2396">
        <v>432000000</v>
      </c>
      <c r="Y29" s="125">
        <v>467000000</v>
      </c>
      <c r="Z29" s="125">
        <v>517000000</v>
      </c>
      <c r="AA29" s="125">
        <v>563000000</v>
      </c>
    </row>
    <row r="30" spans="1:27">
      <c r="A30" s="1619" t="s">
        <v>76</v>
      </c>
      <c r="B30" s="1620" t="s">
        <v>3899</v>
      </c>
      <c r="C30" s="1612"/>
      <c r="D30" s="1615"/>
      <c r="E30" s="1615"/>
      <c r="F30" s="1615"/>
      <c r="G30" s="1614"/>
      <c r="H30" s="1614"/>
      <c r="I30" s="1614"/>
      <c r="J30" s="1614"/>
      <c r="K30" s="1614"/>
      <c r="L30" s="1614"/>
      <c r="M30" s="1638"/>
      <c r="N30" s="1638"/>
      <c r="O30" s="1638"/>
      <c r="P30" s="1633">
        <v>0</v>
      </c>
      <c r="Q30" s="1633">
        <v>0</v>
      </c>
      <c r="R30" s="1633">
        <v>61000000</v>
      </c>
      <c r="S30" s="1633">
        <v>47000000</v>
      </c>
      <c r="T30" s="2444"/>
      <c r="U30" s="1634"/>
      <c r="V30" s="2435"/>
      <c r="W30" s="1614"/>
      <c r="X30" s="2396"/>
      <c r="Y30" s="125"/>
      <c r="Z30" s="125"/>
      <c r="AA30" s="125"/>
    </row>
    <row r="31" spans="1:27">
      <c r="A31" s="1619" t="s">
        <v>395</v>
      </c>
      <c r="B31" s="1616" t="s">
        <v>3900</v>
      </c>
      <c r="C31" s="1613" t="s">
        <v>95</v>
      </c>
      <c r="D31" s="1614">
        <v>6300000</v>
      </c>
      <c r="E31" s="1614">
        <v>4600000</v>
      </c>
      <c r="F31" s="1615"/>
      <c r="G31" s="1614"/>
      <c r="H31" s="1614"/>
      <c r="I31" s="1618"/>
      <c r="J31" s="1618"/>
      <c r="K31" s="1614"/>
      <c r="L31" s="1615">
        <v>0</v>
      </c>
      <c r="M31" s="1633">
        <v>0</v>
      </c>
      <c r="N31" s="1633">
        <v>0</v>
      </c>
      <c r="O31" s="1633">
        <v>9600000</v>
      </c>
      <c r="P31" s="1633">
        <v>20100000</v>
      </c>
      <c r="Q31" s="1633">
        <v>12000000</v>
      </c>
      <c r="R31" s="1633">
        <v>39000000</v>
      </c>
      <c r="S31" s="1633">
        <v>70000000</v>
      </c>
      <c r="T31" s="1633"/>
      <c r="U31" s="1634"/>
      <c r="V31" s="2435"/>
      <c r="W31" s="1614"/>
      <c r="X31" s="2396"/>
      <c r="Y31" s="125"/>
      <c r="Z31" s="125"/>
      <c r="AA31" s="125"/>
    </row>
    <row r="32" spans="1:27">
      <c r="A32" s="1619" t="s">
        <v>3901</v>
      </c>
      <c r="B32" s="1619" t="s">
        <v>3901</v>
      </c>
      <c r="C32" s="1613" t="s">
        <v>95</v>
      </c>
      <c r="D32" s="1615"/>
      <c r="E32" s="1615"/>
      <c r="F32" s="1615"/>
      <c r="G32" s="1614"/>
      <c r="H32" s="1614"/>
      <c r="I32" s="1614"/>
      <c r="J32" s="1614"/>
      <c r="K32" s="1614"/>
      <c r="L32" s="1614"/>
      <c r="M32" s="1638"/>
      <c r="N32" s="1638"/>
      <c r="O32" s="1638"/>
      <c r="P32" s="1633"/>
      <c r="Q32" s="1633">
        <v>23000000</v>
      </c>
      <c r="R32" s="1633">
        <v>41000000</v>
      </c>
      <c r="S32" s="1633">
        <v>71000000</v>
      </c>
      <c r="T32" s="1633"/>
      <c r="U32" s="1634"/>
      <c r="V32" s="2435"/>
      <c r="W32" s="1614"/>
      <c r="X32" s="2396"/>
      <c r="Y32" s="125"/>
      <c r="Z32" s="125"/>
      <c r="AA32" s="125"/>
    </row>
    <row r="33" spans="1:27">
      <c r="A33" s="1619" t="s">
        <v>239</v>
      </c>
      <c r="B33" s="1619" t="s">
        <v>239</v>
      </c>
      <c r="C33" s="1613" t="s">
        <v>95</v>
      </c>
      <c r="D33" s="1614">
        <v>29400000</v>
      </c>
      <c r="E33" s="1614">
        <v>28000000</v>
      </c>
      <c r="F33" s="1615"/>
      <c r="G33" s="1614"/>
      <c r="H33" s="1614"/>
      <c r="I33" s="1618"/>
      <c r="J33" s="1618"/>
      <c r="K33" s="1614"/>
      <c r="L33" s="1615">
        <v>23900000</v>
      </c>
      <c r="M33" s="1633">
        <v>33800000</v>
      </c>
      <c r="N33" s="1633">
        <v>31700000</v>
      </c>
      <c r="O33" s="1638">
        <v>63900000</v>
      </c>
      <c r="P33" s="1633">
        <v>56300000</v>
      </c>
      <c r="Q33" s="1633">
        <v>56000000</v>
      </c>
      <c r="R33" s="1633">
        <v>20000000</v>
      </c>
      <c r="S33" s="1633">
        <v>54000000</v>
      </c>
      <c r="T33" s="1633"/>
      <c r="U33" s="1634"/>
      <c r="V33" s="2435"/>
      <c r="W33" s="1614"/>
      <c r="X33" s="2396"/>
      <c r="Y33" s="125"/>
      <c r="Z33" s="125"/>
      <c r="AA33" s="125"/>
    </row>
    <row r="34" spans="1:27">
      <c r="A34" s="1602" t="s">
        <v>76</v>
      </c>
      <c r="B34" s="1612" t="s">
        <v>3902</v>
      </c>
      <c r="C34" s="1612"/>
      <c r="D34" s="1615"/>
      <c r="E34" s="1615"/>
      <c r="F34" s="1615"/>
      <c r="G34" s="1614"/>
      <c r="H34" s="1614"/>
      <c r="I34" s="1614"/>
      <c r="J34" s="1614"/>
      <c r="K34" s="1614"/>
      <c r="L34" s="1614"/>
      <c r="M34" s="1633"/>
      <c r="N34" s="1638"/>
      <c r="O34" s="1638"/>
      <c r="P34" s="1633"/>
      <c r="Q34" s="1633"/>
      <c r="R34" s="1633"/>
      <c r="S34" s="1633">
        <v>0</v>
      </c>
      <c r="T34" s="1633"/>
      <c r="U34" s="1634"/>
      <c r="V34" s="2435"/>
      <c r="W34" s="1614"/>
      <c r="X34" s="2396"/>
      <c r="Y34" s="125"/>
      <c r="Z34" s="125"/>
      <c r="AA34" s="125"/>
    </row>
    <row r="35" spans="1:27">
      <c r="A35" s="1602" t="s">
        <v>76</v>
      </c>
      <c r="B35" s="1612" t="s">
        <v>3903</v>
      </c>
      <c r="C35" s="1612"/>
      <c r="D35" s="1615"/>
      <c r="E35" s="1615"/>
      <c r="F35" s="1615"/>
      <c r="G35" s="1614"/>
      <c r="H35" s="1614"/>
      <c r="I35" s="1614"/>
      <c r="J35" s="1614"/>
      <c r="K35" s="1615">
        <v>25300000</v>
      </c>
      <c r="L35" s="1615">
        <v>9800000</v>
      </c>
      <c r="M35" s="1633">
        <v>-14000000</v>
      </c>
      <c r="N35" s="1633">
        <v>5900000</v>
      </c>
      <c r="O35" s="1633">
        <v>-7900000</v>
      </c>
      <c r="P35" s="1633">
        <v>-55100000</v>
      </c>
      <c r="Q35" s="1633">
        <v>-29000000</v>
      </c>
      <c r="R35" s="1633">
        <v>-39000000</v>
      </c>
      <c r="S35" s="1633">
        <v>-195000000</v>
      </c>
      <c r="T35" s="1633"/>
      <c r="U35" s="1634"/>
      <c r="V35" s="2435"/>
      <c r="W35" s="1614"/>
      <c r="X35" s="2396"/>
      <c r="Y35" s="125"/>
      <c r="Z35" s="125"/>
      <c r="AA35" s="125"/>
    </row>
    <row r="36" spans="1:27">
      <c r="B36" s="1616" t="s">
        <v>3904</v>
      </c>
      <c r="C36" s="1612"/>
      <c r="D36" s="1615"/>
      <c r="E36" s="1615"/>
      <c r="F36" s="1615"/>
      <c r="G36" s="1614"/>
      <c r="H36" s="1614"/>
      <c r="I36" s="1614"/>
      <c r="J36" s="1614"/>
      <c r="K36" s="1615"/>
      <c r="L36" s="1615"/>
      <c r="M36" s="1633"/>
      <c r="N36" s="1633"/>
      <c r="O36" s="1633"/>
      <c r="P36" s="1633"/>
      <c r="Q36" s="1633"/>
      <c r="R36" s="1633"/>
      <c r="S36" s="1633"/>
      <c r="T36" s="1633"/>
      <c r="U36" s="1634"/>
      <c r="V36" s="2435"/>
      <c r="W36" s="1614"/>
      <c r="X36" s="2396"/>
      <c r="Y36" s="125"/>
      <c r="Z36" s="125"/>
      <c r="AA36" s="125"/>
    </row>
    <row r="37" spans="1:27">
      <c r="B37" s="1616" t="s">
        <v>3905</v>
      </c>
      <c r="C37" s="1612"/>
      <c r="D37" s="1615"/>
      <c r="E37" s="1615"/>
      <c r="F37" s="1615"/>
      <c r="G37" s="1614"/>
      <c r="H37" s="1614"/>
      <c r="I37" s="1614"/>
      <c r="J37" s="1614"/>
      <c r="K37" s="1615"/>
      <c r="L37" s="1615"/>
      <c r="M37" s="1633"/>
      <c r="N37" s="1633"/>
      <c r="O37" s="1633"/>
      <c r="P37" s="1633"/>
      <c r="Q37" s="1633"/>
      <c r="R37" s="1633">
        <v>-7000000</v>
      </c>
      <c r="S37" s="1633">
        <v>-104000000</v>
      </c>
      <c r="T37" s="1633"/>
      <c r="U37" s="1634"/>
      <c r="V37" s="2435"/>
      <c r="W37" s="1614"/>
      <c r="X37" s="2396"/>
      <c r="Y37" s="125"/>
      <c r="Z37" s="125"/>
      <c r="AA37" s="125"/>
    </row>
    <row r="38" spans="1:27">
      <c r="A38" s="1602" t="s">
        <v>76</v>
      </c>
      <c r="B38" s="1612" t="s">
        <v>3906</v>
      </c>
      <c r="C38" s="1612"/>
      <c r="D38" s="1615"/>
      <c r="E38" s="1615"/>
      <c r="F38" s="1615"/>
      <c r="G38" s="1614"/>
      <c r="H38" s="1614"/>
      <c r="I38" s="1614"/>
      <c r="J38" s="1614"/>
      <c r="K38" s="1615">
        <v>23800000</v>
      </c>
      <c r="L38" s="1615">
        <v>3700000</v>
      </c>
      <c r="M38" s="1633">
        <v>-37600000</v>
      </c>
      <c r="N38" s="1633">
        <v>-7100000</v>
      </c>
      <c r="O38" s="1633">
        <v>-48200000</v>
      </c>
      <c r="P38" s="1633">
        <v>-83400000</v>
      </c>
      <c r="Q38" s="1633">
        <v>-75000000</v>
      </c>
      <c r="R38" s="1633">
        <v>-117000000</v>
      </c>
      <c r="S38" s="1633">
        <v>-394000000</v>
      </c>
      <c r="T38" s="1633"/>
      <c r="U38" s="1634"/>
      <c r="V38" s="2435"/>
      <c r="W38" s="1614"/>
      <c r="X38" s="2396"/>
      <c r="Y38" s="125"/>
      <c r="Z38" s="125"/>
      <c r="AA38" s="125"/>
    </row>
    <row r="39" spans="1:27" s="848" customFormat="1">
      <c r="A39" s="880" t="s">
        <v>115</v>
      </c>
      <c r="B39" s="880" t="s">
        <v>3907</v>
      </c>
      <c r="C39" s="880" t="s">
        <v>35</v>
      </c>
      <c r="D39" s="876">
        <v>-3000000</v>
      </c>
      <c r="E39" s="876">
        <v>3000000</v>
      </c>
      <c r="F39" s="876">
        <v>7000000</v>
      </c>
      <c r="G39" s="1641">
        <v>-4000000</v>
      </c>
      <c r="H39" s="1641">
        <f>H18-H6</f>
        <v>-8400000</v>
      </c>
      <c r="I39" s="1641">
        <f>I18-I6</f>
        <v>22300000</v>
      </c>
      <c r="J39" s="1641">
        <v>-36000000</v>
      </c>
      <c r="K39" s="876">
        <v>-25300000</v>
      </c>
      <c r="L39" s="876">
        <v>-9800000</v>
      </c>
      <c r="M39" s="911">
        <v>14000000</v>
      </c>
      <c r="N39" s="911">
        <v>-5900000</v>
      </c>
      <c r="O39" s="911">
        <v>8000000</v>
      </c>
      <c r="P39" s="911">
        <v>55100000</v>
      </c>
      <c r="Q39" s="911">
        <v>29000000</v>
      </c>
      <c r="R39" s="911">
        <v>39000000</v>
      </c>
      <c r="S39" s="911">
        <v>195000000</v>
      </c>
      <c r="T39" s="911">
        <f>T40+T47</f>
        <v>87000000</v>
      </c>
      <c r="U39" s="911">
        <f t="shared" ref="U39:AA39" si="3">U40+U47</f>
        <v>157000000</v>
      </c>
      <c r="V39" s="911">
        <f t="shared" si="3"/>
        <v>161000000</v>
      </c>
      <c r="W39" s="911">
        <f t="shared" si="3"/>
        <v>127000000</v>
      </c>
      <c r="X39" s="911">
        <f t="shared" si="3"/>
        <v>145000000</v>
      </c>
      <c r="Y39" s="911">
        <f>Y40+Y47</f>
        <v>165000000</v>
      </c>
      <c r="Z39" s="911">
        <f t="shared" si="3"/>
        <v>188000000</v>
      </c>
      <c r="AA39" s="911">
        <f t="shared" si="3"/>
        <v>183000000</v>
      </c>
    </row>
    <row r="40" spans="1:27">
      <c r="A40" s="1602" t="s">
        <v>117</v>
      </c>
      <c r="B40" s="1602" t="s">
        <v>3908</v>
      </c>
      <c r="C40" s="1613" t="s">
        <v>119</v>
      </c>
      <c r="D40" s="1615"/>
      <c r="E40" s="1615"/>
      <c r="F40" s="1615"/>
      <c r="G40" s="1614"/>
      <c r="H40" s="1614"/>
      <c r="I40" s="1614"/>
      <c r="J40" s="1614"/>
      <c r="K40" s="1615">
        <v>-1200000</v>
      </c>
      <c r="L40" s="1615">
        <v>0</v>
      </c>
      <c r="M40" s="1633">
        <v>-3700000</v>
      </c>
      <c r="N40" s="1633">
        <v>-3300000</v>
      </c>
      <c r="O40" s="1633">
        <v>3800000</v>
      </c>
      <c r="P40" s="1633">
        <v>14700000</v>
      </c>
      <c r="Q40" s="1633">
        <v>7000000</v>
      </c>
      <c r="R40" s="1633">
        <v>44000000</v>
      </c>
      <c r="S40" s="1633">
        <v>142000000</v>
      </c>
      <c r="T40" s="1633">
        <f>T41+T46</f>
        <v>112000000</v>
      </c>
      <c r="U40" s="1633">
        <f t="shared" ref="U40:AA40" si="4">U41+U46</f>
        <v>118000000</v>
      </c>
      <c r="V40" s="1633">
        <f t="shared" si="4"/>
        <v>128000000</v>
      </c>
      <c r="W40" s="1633">
        <f t="shared" si="4"/>
        <v>156000000</v>
      </c>
      <c r="X40" s="1633">
        <f t="shared" si="4"/>
        <v>178000000</v>
      </c>
      <c r="Y40" s="1633">
        <f t="shared" si="4"/>
        <v>196000000</v>
      </c>
      <c r="Z40" s="1633">
        <f t="shared" si="4"/>
        <v>215000000</v>
      </c>
      <c r="AA40" s="1633">
        <f t="shared" si="4"/>
        <v>227000000</v>
      </c>
    </row>
    <row r="41" spans="1:27">
      <c r="A41" s="1616" t="s">
        <v>444</v>
      </c>
      <c r="B41" s="1616" t="s">
        <v>444</v>
      </c>
      <c r="C41" s="1612" t="s">
        <v>264</v>
      </c>
      <c r="D41" s="1615"/>
      <c r="E41" s="1615"/>
      <c r="F41" s="1615"/>
      <c r="G41" s="1614"/>
      <c r="H41" s="1614"/>
      <c r="I41" s="1614"/>
      <c r="J41" s="1614"/>
      <c r="K41" s="1615"/>
      <c r="L41" s="1615">
        <v>0</v>
      </c>
      <c r="M41" s="1633">
        <v>0</v>
      </c>
      <c r="N41" s="1633">
        <v>0</v>
      </c>
      <c r="O41" s="1633">
        <v>9600000</v>
      </c>
      <c r="P41" s="1633">
        <v>20100000</v>
      </c>
      <c r="Q41" s="1633">
        <v>12000000</v>
      </c>
      <c r="R41" s="1633">
        <v>49000000</v>
      </c>
      <c r="S41" s="1633">
        <v>147000000</v>
      </c>
      <c r="T41" s="1633">
        <v>113000000</v>
      </c>
      <c r="U41" s="1634">
        <v>122000000</v>
      </c>
      <c r="V41" s="2435">
        <v>135000000</v>
      </c>
      <c r="W41" s="1614">
        <v>165000000</v>
      </c>
      <c r="X41" s="2396">
        <v>188000000</v>
      </c>
      <c r="Y41" s="125">
        <v>203000000</v>
      </c>
      <c r="Z41" s="125">
        <v>221000000</v>
      </c>
      <c r="AA41" s="125">
        <v>237000000</v>
      </c>
    </row>
    <row r="42" spans="1:27">
      <c r="A42" s="1620" t="s">
        <v>1253</v>
      </c>
      <c r="B42" s="1620" t="s">
        <v>3307</v>
      </c>
      <c r="C42" s="1613" t="s">
        <v>499</v>
      </c>
      <c r="D42" s="1615"/>
      <c r="E42" s="1615"/>
      <c r="F42" s="1615"/>
      <c r="G42" s="1614"/>
      <c r="H42" s="1614"/>
      <c r="I42" s="1614"/>
      <c r="J42" s="1614"/>
      <c r="K42" s="1615"/>
      <c r="L42" s="1614"/>
      <c r="M42" s="1638"/>
      <c r="N42" s="1638"/>
      <c r="O42" s="1633">
        <v>9600000</v>
      </c>
      <c r="P42" s="1633">
        <v>20100000</v>
      </c>
      <c r="Q42" s="1633"/>
      <c r="R42" s="1633"/>
      <c r="S42" s="1633"/>
      <c r="T42" s="1633"/>
      <c r="U42" s="1634"/>
      <c r="V42" s="2435"/>
      <c r="W42" s="1614"/>
      <c r="X42" s="2396"/>
      <c r="Y42" s="125"/>
      <c r="Z42" s="125"/>
      <c r="AA42" s="125"/>
    </row>
    <row r="43" spans="1:27">
      <c r="A43" s="1620" t="s">
        <v>3909</v>
      </c>
      <c r="B43" s="1620" t="s">
        <v>3890</v>
      </c>
      <c r="C43" s="1613" t="s">
        <v>499</v>
      </c>
      <c r="D43" s="1615"/>
      <c r="E43" s="1615"/>
      <c r="F43" s="1615"/>
      <c r="G43" s="1614"/>
      <c r="H43" s="1614"/>
      <c r="I43" s="1614"/>
      <c r="J43" s="1614"/>
      <c r="K43" s="1615"/>
      <c r="L43" s="1614"/>
      <c r="M43" s="1638"/>
      <c r="N43" s="1638"/>
      <c r="O43" s="1633"/>
      <c r="P43" s="1633"/>
      <c r="Q43" s="1633"/>
      <c r="R43" s="1633">
        <v>10000000</v>
      </c>
      <c r="S43" s="1633">
        <v>48000000</v>
      </c>
      <c r="T43" s="1633"/>
      <c r="U43" s="1634"/>
      <c r="V43" s="2435"/>
      <c r="W43" s="1614"/>
      <c r="X43" s="2396"/>
      <c r="Y43" s="125"/>
      <c r="Z43" s="125"/>
      <c r="AA43" s="125"/>
    </row>
    <row r="44" spans="1:27">
      <c r="A44" s="1620" t="s">
        <v>3910</v>
      </c>
      <c r="B44" s="1620" t="s">
        <v>3911</v>
      </c>
      <c r="C44" s="1613" t="s">
        <v>499</v>
      </c>
      <c r="D44" s="1615"/>
      <c r="E44" s="1615"/>
      <c r="F44" s="1615"/>
      <c r="G44" s="1614"/>
      <c r="H44" s="1614"/>
      <c r="I44" s="1614"/>
      <c r="J44" s="1614"/>
      <c r="K44" s="1615"/>
      <c r="L44" s="1614"/>
      <c r="M44" s="1638"/>
      <c r="N44" s="1638"/>
      <c r="O44" s="1633"/>
      <c r="P44" s="1633"/>
      <c r="Q44" s="1633"/>
      <c r="R44" s="1633">
        <v>0</v>
      </c>
      <c r="S44" s="1633">
        <v>48000000</v>
      </c>
      <c r="T44" s="1633"/>
      <c r="U44" s="1634"/>
      <c r="V44" s="2435"/>
      <c r="W44" s="1614"/>
      <c r="X44" s="2396"/>
      <c r="Y44" s="125"/>
      <c r="Z44" s="125"/>
      <c r="AA44" s="125"/>
    </row>
    <row r="45" spans="1:27">
      <c r="A45" s="1620" t="s">
        <v>1260</v>
      </c>
      <c r="B45" s="1620" t="s">
        <v>3912</v>
      </c>
      <c r="C45" s="1613" t="s">
        <v>499</v>
      </c>
      <c r="E45" s="1615"/>
      <c r="F45" s="1615"/>
      <c r="G45" s="1614"/>
      <c r="H45" s="1614"/>
      <c r="I45" s="1614"/>
      <c r="J45" s="1614"/>
      <c r="K45" s="1615"/>
      <c r="L45" s="1614"/>
      <c r="M45" s="1638"/>
      <c r="N45" s="1638"/>
      <c r="O45" s="1633"/>
      <c r="P45" s="1633"/>
      <c r="Q45" s="1633"/>
      <c r="R45" s="1633">
        <f>R41-R43-R44</f>
        <v>39000000</v>
      </c>
      <c r="S45" s="1633">
        <f>S41-S43-S44</f>
        <v>51000000</v>
      </c>
      <c r="T45" s="1633"/>
      <c r="U45" s="1633"/>
      <c r="V45" s="1615"/>
      <c r="W45" s="1614"/>
      <c r="X45" s="2396"/>
      <c r="Y45" s="125"/>
      <c r="Z45" s="125"/>
      <c r="AA45" s="125"/>
    </row>
    <row r="46" spans="1:27">
      <c r="A46" s="1617" t="s">
        <v>258</v>
      </c>
      <c r="B46" s="1616" t="s">
        <v>3913</v>
      </c>
      <c r="C46" s="1612" t="s">
        <v>264</v>
      </c>
      <c r="D46" s="1615"/>
      <c r="E46" s="1615"/>
      <c r="F46" s="1615"/>
      <c r="G46" s="1614"/>
      <c r="H46" s="1614"/>
      <c r="I46" s="1614"/>
      <c r="J46" s="1614"/>
      <c r="K46" s="1615"/>
      <c r="L46" s="1615">
        <v>0</v>
      </c>
      <c r="M46" s="1633">
        <v>-3700000</v>
      </c>
      <c r="N46" s="1633">
        <v>-3300000</v>
      </c>
      <c r="O46" s="1633">
        <v>-5800000</v>
      </c>
      <c r="P46" s="1633">
        <v>-5400000</v>
      </c>
      <c r="Q46" s="1633">
        <v>-5000000</v>
      </c>
      <c r="R46" s="1633">
        <v>-5000000</v>
      </c>
      <c r="S46" s="1633">
        <v>-5000000</v>
      </c>
      <c r="T46" s="1633">
        <v>-1000000</v>
      </c>
      <c r="U46" s="1634">
        <v>-4000000</v>
      </c>
      <c r="V46" s="2435">
        <v>-7000000</v>
      </c>
      <c r="W46" s="1614">
        <v>-9000000</v>
      </c>
      <c r="X46" s="2396">
        <v>-10000000</v>
      </c>
      <c r="Y46" s="125">
        <v>-7000000</v>
      </c>
      <c r="Z46" s="125">
        <v>-6000000</v>
      </c>
      <c r="AA46" s="125">
        <v>-10000000</v>
      </c>
    </row>
    <row r="47" spans="1:27">
      <c r="A47" s="1602" t="s">
        <v>120</v>
      </c>
      <c r="B47" s="1612" t="s">
        <v>3914</v>
      </c>
      <c r="C47" s="1613" t="s">
        <v>119</v>
      </c>
      <c r="D47" s="1615"/>
      <c r="E47" s="1615"/>
      <c r="F47" s="1615"/>
      <c r="G47" s="1614"/>
      <c r="H47" s="1614"/>
      <c r="I47" s="1614"/>
      <c r="J47" s="1614"/>
      <c r="K47" s="1614">
        <v>-24100000</v>
      </c>
      <c r="L47" s="1614">
        <v>-9800000</v>
      </c>
      <c r="M47" s="1633">
        <v>17700000</v>
      </c>
      <c r="N47" s="1633">
        <v>-2600000</v>
      </c>
      <c r="O47" s="1633">
        <v>4300000</v>
      </c>
      <c r="P47" s="1633">
        <v>40400000</v>
      </c>
      <c r="Q47" s="1633">
        <v>22000000</v>
      </c>
      <c r="R47" s="1633">
        <v>-5000000</v>
      </c>
      <c r="S47" s="1633">
        <v>53000000</v>
      </c>
      <c r="T47" s="1633">
        <f>T69+T64+T72+T59</f>
        <v>-25000000</v>
      </c>
      <c r="U47" s="1633">
        <f>U69+U64+U72+U59</f>
        <v>39000000</v>
      </c>
      <c r="V47" s="1633">
        <f>V69+V64+V72+V59</f>
        <v>33000000</v>
      </c>
      <c r="W47" s="1633">
        <f t="shared" ref="W47:AA47" si="5">W69+W64+W72+W59</f>
        <v>-29000000</v>
      </c>
      <c r="X47" s="1633">
        <f t="shared" si="5"/>
        <v>-33000000</v>
      </c>
      <c r="Y47" s="1633">
        <f t="shared" si="5"/>
        <v>-31000000</v>
      </c>
      <c r="Z47" s="1633">
        <f t="shared" si="5"/>
        <v>-27000000</v>
      </c>
      <c r="AA47" s="1633">
        <f t="shared" si="5"/>
        <v>-44000000</v>
      </c>
    </row>
    <row r="48" spans="1:27">
      <c r="A48" s="1617" t="s">
        <v>122</v>
      </c>
      <c r="B48" s="1616" t="s">
        <v>3915</v>
      </c>
      <c r="C48" s="1612" t="s">
        <v>124</v>
      </c>
      <c r="D48" s="1615"/>
      <c r="E48" s="1615"/>
      <c r="F48" s="1615"/>
      <c r="G48" s="1614"/>
      <c r="H48" s="1614"/>
      <c r="I48" s="1614"/>
      <c r="J48" s="1614"/>
      <c r="K48" s="1614"/>
      <c r="L48" s="1614"/>
      <c r="M48" s="1638"/>
      <c r="N48" s="1633">
        <v>200000</v>
      </c>
      <c r="O48" s="1633">
        <v>10000000</v>
      </c>
      <c r="P48" s="1633">
        <v>43500000</v>
      </c>
      <c r="Q48" s="1633">
        <v>6000000</v>
      </c>
      <c r="R48" s="1633">
        <v>-30000000</v>
      </c>
      <c r="S48" s="1633">
        <v>40000000</v>
      </c>
      <c r="T48" s="1633">
        <f>T65+T70</f>
        <v>0</v>
      </c>
      <c r="U48" s="1633">
        <f t="shared" ref="U48:AA48" si="6">U65+U70</f>
        <v>17000000</v>
      </c>
      <c r="V48" s="1633">
        <f t="shared" si="6"/>
        <v>20000000</v>
      </c>
      <c r="W48" s="1633">
        <f t="shared" si="6"/>
        <v>-23000000</v>
      </c>
      <c r="X48" s="1633">
        <f t="shared" si="6"/>
        <v>-32000000</v>
      </c>
      <c r="Y48" s="1633">
        <f t="shared" si="6"/>
        <v>-32000000</v>
      </c>
      <c r="Z48" s="1633">
        <f t="shared" si="6"/>
        <v>-34000000</v>
      </c>
      <c r="AA48" s="1633">
        <f t="shared" si="6"/>
        <v>-36000000</v>
      </c>
    </row>
    <row r="49" spans="1:27">
      <c r="A49" s="1620" t="s">
        <v>76</v>
      </c>
      <c r="B49" s="1620" t="s">
        <v>3916</v>
      </c>
      <c r="C49" s="1612"/>
      <c r="D49" s="1615"/>
      <c r="E49" s="1615"/>
      <c r="F49" s="1615"/>
      <c r="G49" s="1614"/>
      <c r="H49" s="1614"/>
      <c r="I49" s="1614"/>
      <c r="J49" s="1614"/>
      <c r="K49" s="1614"/>
      <c r="L49" s="1614"/>
      <c r="M49" s="1638"/>
      <c r="N49" s="1633">
        <v>3800000</v>
      </c>
      <c r="O49" s="1633">
        <v>10000000</v>
      </c>
      <c r="P49" s="1633">
        <v>23500000</v>
      </c>
      <c r="Q49" s="1633">
        <v>19000000</v>
      </c>
      <c r="R49" s="1633">
        <v>-22000000</v>
      </c>
      <c r="S49" s="1633">
        <v>-53000000</v>
      </c>
      <c r="T49" s="1633"/>
      <c r="U49" s="1633"/>
      <c r="V49" s="1633"/>
      <c r="W49" s="1614"/>
      <c r="X49" s="2396"/>
      <c r="Y49" s="125"/>
      <c r="Z49" s="125"/>
      <c r="AA49" s="125"/>
    </row>
    <row r="50" spans="1:27">
      <c r="A50" s="1620" t="s">
        <v>76</v>
      </c>
      <c r="B50" s="1620" t="s">
        <v>257</v>
      </c>
      <c r="C50" s="1612"/>
      <c r="D50" s="1615"/>
      <c r="E50" s="1615"/>
      <c r="F50" s="1615"/>
      <c r="G50" s="1614"/>
      <c r="H50" s="1614"/>
      <c r="I50" s="1614"/>
      <c r="J50" s="1614"/>
      <c r="K50" s="1614"/>
      <c r="L50" s="1614" t="s">
        <v>599</v>
      </c>
      <c r="M50" s="1638"/>
      <c r="N50" s="1633">
        <v>0</v>
      </c>
      <c r="O50" s="1633">
        <v>0</v>
      </c>
      <c r="P50" s="1633">
        <v>20000000</v>
      </c>
      <c r="Q50" s="1633">
        <v>21000000</v>
      </c>
      <c r="R50" s="1633">
        <v>4000000</v>
      </c>
      <c r="S50" s="1633">
        <v>99000000</v>
      </c>
      <c r="T50" s="1633"/>
      <c r="U50" s="1634"/>
      <c r="V50" s="2435"/>
      <c r="W50" s="1614"/>
      <c r="X50" s="2396"/>
      <c r="Y50" s="125"/>
      <c r="Z50" s="125"/>
      <c r="AA50" s="125"/>
    </row>
    <row r="51" spans="1:27">
      <c r="A51" s="1620" t="s">
        <v>76</v>
      </c>
      <c r="B51" s="1620" t="s">
        <v>258</v>
      </c>
      <c r="C51" s="1612"/>
      <c r="D51" s="1615"/>
      <c r="E51" s="1615"/>
      <c r="F51" s="1615"/>
      <c r="G51" s="1614"/>
      <c r="H51" s="1614"/>
      <c r="I51" s="1614"/>
      <c r="J51" s="1614"/>
      <c r="K51" s="1614"/>
      <c r="L51" s="1614"/>
      <c r="M51" s="1638"/>
      <c r="N51" s="1633">
        <v>-3600000</v>
      </c>
      <c r="O51" s="1633">
        <v>0</v>
      </c>
      <c r="P51" s="1633">
        <v>0</v>
      </c>
      <c r="Q51" s="1633">
        <v>-34000000</v>
      </c>
      <c r="R51" s="1633">
        <v>-12000000</v>
      </c>
      <c r="S51" s="1633">
        <v>-5000000</v>
      </c>
      <c r="T51" s="1633"/>
      <c r="U51" s="1634"/>
      <c r="V51" s="2435"/>
      <c r="W51" s="1614"/>
      <c r="X51" s="2396"/>
      <c r="Y51" s="125"/>
      <c r="Z51" s="125"/>
      <c r="AA51" s="125"/>
    </row>
    <row r="52" spans="1:27">
      <c r="A52" s="1616" t="s">
        <v>3917</v>
      </c>
      <c r="B52" s="1616" t="s">
        <v>3918</v>
      </c>
      <c r="C52" s="1612" t="s">
        <v>124</v>
      </c>
      <c r="D52" s="1615"/>
      <c r="E52" s="1615"/>
      <c r="F52" s="1615"/>
      <c r="G52" s="1614"/>
      <c r="H52" s="1614"/>
      <c r="I52" s="1614"/>
      <c r="J52" s="1614"/>
      <c r="K52" s="1614"/>
      <c r="L52" s="1614"/>
      <c r="M52" s="1638"/>
      <c r="N52" s="1633">
        <v>-900000</v>
      </c>
      <c r="O52" s="1633">
        <v>-3000000</v>
      </c>
      <c r="P52" s="1633">
        <v>0</v>
      </c>
      <c r="Q52" s="1633">
        <v>14000000</v>
      </c>
      <c r="R52" s="1633">
        <v>18000000</v>
      </c>
      <c r="S52" s="1633">
        <v>13000000</v>
      </c>
      <c r="T52" s="1633">
        <f>T59</f>
        <v>7000000</v>
      </c>
      <c r="U52" s="1633">
        <f t="shared" ref="U52:AA52" si="7">U59</f>
        <v>-22000000</v>
      </c>
      <c r="V52" s="1633">
        <f t="shared" si="7"/>
        <v>3000000</v>
      </c>
      <c r="W52" s="1633">
        <f t="shared" si="7"/>
        <v>22000000</v>
      </c>
      <c r="X52" s="1633">
        <f t="shared" si="7"/>
        <v>20000000</v>
      </c>
      <c r="Y52" s="1633">
        <f t="shared" si="7"/>
        <v>0</v>
      </c>
      <c r="Z52" s="1633">
        <f t="shared" si="7"/>
        <v>0</v>
      </c>
      <c r="AA52" s="1633">
        <f t="shared" si="7"/>
        <v>0</v>
      </c>
    </row>
    <row r="53" spans="1:27">
      <c r="A53" s="1620" t="s">
        <v>76</v>
      </c>
      <c r="B53" s="1620" t="s">
        <v>3919</v>
      </c>
      <c r="C53" s="1612"/>
      <c r="D53" s="1615"/>
      <c r="E53" s="1615"/>
      <c r="F53" s="1615"/>
      <c r="G53" s="1614"/>
      <c r="H53" s="1614"/>
      <c r="I53" s="1614"/>
      <c r="J53" s="1614"/>
      <c r="K53" s="1614"/>
      <c r="L53" s="1614">
        <v>0</v>
      </c>
      <c r="M53" s="1638"/>
      <c r="N53" s="1633">
        <v>0</v>
      </c>
      <c r="O53" s="1633">
        <v>0</v>
      </c>
      <c r="P53" s="1633">
        <v>0</v>
      </c>
      <c r="Q53" s="1633">
        <v>5000000</v>
      </c>
      <c r="R53" s="1633">
        <v>5000000</v>
      </c>
      <c r="S53" s="1633">
        <v>19000000</v>
      </c>
      <c r="T53" s="1633"/>
      <c r="U53" s="1634"/>
      <c r="V53" s="2435"/>
      <c r="W53" s="1614"/>
      <c r="X53" s="2396"/>
      <c r="Y53" s="125"/>
      <c r="Z53" s="125"/>
      <c r="AA53" s="125"/>
    </row>
    <row r="54" spans="1:27">
      <c r="A54" s="1620" t="s">
        <v>76</v>
      </c>
      <c r="B54" s="1620" t="s">
        <v>3920</v>
      </c>
      <c r="C54" s="1612"/>
      <c r="D54" s="1615"/>
      <c r="E54" s="1615"/>
      <c r="F54" s="1615"/>
      <c r="G54" s="1614"/>
      <c r="H54" s="1614"/>
      <c r="I54" s="1614"/>
      <c r="J54" s="1614"/>
      <c r="K54" s="1614"/>
      <c r="L54" s="1614"/>
      <c r="M54" s="1638"/>
      <c r="N54" s="1633">
        <v>0</v>
      </c>
      <c r="O54" s="1633">
        <v>0</v>
      </c>
      <c r="P54" s="1633">
        <v>0</v>
      </c>
      <c r="Q54" s="1633">
        <v>9000000</v>
      </c>
      <c r="R54" s="1633">
        <v>12000000</v>
      </c>
      <c r="S54" s="1633">
        <v>-6000000</v>
      </c>
      <c r="T54" s="1633"/>
      <c r="U54" s="1634"/>
      <c r="V54" s="2435"/>
      <c r="W54" s="1614"/>
      <c r="X54" s="2396"/>
      <c r="Y54" s="125"/>
      <c r="Z54" s="125"/>
      <c r="AA54" s="125"/>
    </row>
    <row r="55" spans="1:27">
      <c r="A55" s="1617" t="s">
        <v>2466</v>
      </c>
      <c r="B55" s="1616" t="s">
        <v>3921</v>
      </c>
      <c r="C55" s="1612" t="s">
        <v>124</v>
      </c>
      <c r="D55" s="1615"/>
      <c r="E55" s="1615"/>
      <c r="F55" s="1615"/>
      <c r="G55" s="1614"/>
      <c r="H55" s="1614"/>
      <c r="I55" s="1614"/>
      <c r="J55" s="1614"/>
      <c r="K55" s="1614"/>
      <c r="L55" s="1614"/>
      <c r="M55" s="1638"/>
      <c r="N55" s="1633">
        <v>-1800000</v>
      </c>
      <c r="O55" s="1633">
        <v>-2700000</v>
      </c>
      <c r="P55" s="1633">
        <v>-3000000</v>
      </c>
      <c r="Q55" s="1633">
        <v>2000000</v>
      </c>
      <c r="R55" s="1633">
        <v>8000000</v>
      </c>
      <c r="S55" s="1633">
        <v>0</v>
      </c>
      <c r="T55" s="1633">
        <f>T72+T71+T66</f>
        <v>-32000000</v>
      </c>
      <c r="U55" s="1633">
        <f t="shared" ref="U55:AA55" si="8">U72+U71+U66</f>
        <v>43000000</v>
      </c>
      <c r="V55" s="1633">
        <f t="shared" si="8"/>
        <v>10000000</v>
      </c>
      <c r="W55" s="1633">
        <f t="shared" si="8"/>
        <v>-29000000</v>
      </c>
      <c r="X55" s="1633">
        <f t="shared" si="8"/>
        <v>-21000000</v>
      </c>
      <c r="Y55" s="1633">
        <f t="shared" si="8"/>
        <v>1000000</v>
      </c>
      <c r="Z55" s="1633">
        <f t="shared" si="8"/>
        <v>7000000</v>
      </c>
      <c r="AA55" s="1633">
        <f t="shared" si="8"/>
        <v>-8000000</v>
      </c>
    </row>
    <row r="56" spans="1:27">
      <c r="B56" s="1612"/>
      <c r="D56" s="1615"/>
      <c r="E56" s="1615"/>
      <c r="F56" s="1615"/>
      <c r="G56" s="1614"/>
      <c r="H56" s="1614"/>
      <c r="I56" s="1614"/>
      <c r="J56" s="1614"/>
      <c r="K56" s="1614"/>
      <c r="L56" s="1614"/>
      <c r="M56" s="1638"/>
      <c r="N56" s="1638"/>
      <c r="O56" s="1638"/>
      <c r="P56" s="1633"/>
      <c r="Q56" s="1633"/>
      <c r="R56" s="1633"/>
      <c r="S56" s="1633"/>
      <c r="T56" s="1633"/>
      <c r="U56" s="1633"/>
      <c r="V56" s="1633"/>
      <c r="W56" s="1633"/>
      <c r="X56" s="1633"/>
      <c r="Y56" s="1633"/>
      <c r="Z56" s="1633"/>
      <c r="AA56" s="1633"/>
    </row>
    <row r="57" spans="1:27">
      <c r="A57" s="1602" t="s">
        <v>3922</v>
      </c>
      <c r="B57" s="1616"/>
      <c r="D57" s="1615"/>
      <c r="E57" s="1615"/>
      <c r="F57" s="1615"/>
      <c r="G57" s="1614"/>
      <c r="H57" s="1614"/>
      <c r="I57" s="1614"/>
      <c r="J57" s="1614"/>
      <c r="K57" s="1614"/>
      <c r="L57" s="1614"/>
      <c r="M57" s="1638"/>
      <c r="N57" s="1638"/>
      <c r="O57" s="1638"/>
      <c r="P57" s="1633"/>
      <c r="Q57" s="1633"/>
      <c r="R57" s="1633"/>
      <c r="S57" s="1633"/>
      <c r="T57" s="1633">
        <v>112000000</v>
      </c>
      <c r="U57" s="1634">
        <v>117000000</v>
      </c>
      <c r="V57" s="2435">
        <v>128000000</v>
      </c>
      <c r="W57" s="1614">
        <v>156000000</v>
      </c>
      <c r="X57" s="2396">
        <v>178000000</v>
      </c>
      <c r="Y57" s="125">
        <v>196000000</v>
      </c>
      <c r="Z57" s="125">
        <v>215000000</v>
      </c>
      <c r="AA57" s="125">
        <v>227000000</v>
      </c>
    </row>
    <row r="58" spans="1:27">
      <c r="A58" s="1602" t="s">
        <v>3923</v>
      </c>
      <c r="B58" s="1616"/>
      <c r="D58" s="1615"/>
      <c r="E58" s="1615"/>
      <c r="F58" s="1615"/>
      <c r="G58" s="1614"/>
      <c r="H58" s="1614"/>
      <c r="I58" s="1614"/>
      <c r="J58" s="1614"/>
      <c r="K58" s="1614"/>
      <c r="L58" s="1614"/>
      <c r="M58" s="1638"/>
      <c r="N58" s="1638"/>
      <c r="O58" s="1638"/>
      <c r="P58" s="1633"/>
      <c r="Q58" s="1633"/>
      <c r="R58" s="1633"/>
      <c r="S58" s="1633"/>
      <c r="T58" s="1633">
        <v>7000000</v>
      </c>
      <c r="U58" s="1634">
        <v>-22000000</v>
      </c>
      <c r="V58" s="2435">
        <v>3000000</v>
      </c>
      <c r="W58" s="1614">
        <v>22000000</v>
      </c>
      <c r="X58" s="2396">
        <v>20000000</v>
      </c>
      <c r="Y58" s="125">
        <v>0</v>
      </c>
      <c r="Z58" s="125">
        <v>0</v>
      </c>
      <c r="AA58" s="125">
        <v>0</v>
      </c>
    </row>
    <row r="59" spans="1:27">
      <c r="A59" s="1602" t="s">
        <v>3924</v>
      </c>
      <c r="B59" s="1616"/>
      <c r="C59" s="1612"/>
      <c r="D59" s="1615"/>
      <c r="E59" s="1615"/>
      <c r="F59" s="1615"/>
      <c r="G59" s="1614"/>
      <c r="H59" s="1614"/>
      <c r="I59" s="1614"/>
      <c r="J59" s="1614"/>
      <c r="K59" s="1614"/>
      <c r="L59" s="1614"/>
      <c r="M59" s="1638"/>
      <c r="N59" s="1638"/>
      <c r="O59" s="1638"/>
      <c r="P59" s="1633"/>
      <c r="Q59" s="1633"/>
      <c r="R59" s="1633"/>
      <c r="S59" s="1633"/>
      <c r="T59" s="1633">
        <v>7000000</v>
      </c>
      <c r="U59" s="1637">
        <v>-22000000</v>
      </c>
      <c r="V59" s="1614">
        <v>3000000</v>
      </c>
      <c r="W59" s="1614">
        <v>22000000</v>
      </c>
      <c r="X59" s="2396">
        <v>20000000</v>
      </c>
      <c r="Y59" s="125">
        <v>0</v>
      </c>
      <c r="Z59" s="125">
        <v>0</v>
      </c>
      <c r="AA59" s="125">
        <v>0</v>
      </c>
    </row>
    <row r="60" spans="1:27">
      <c r="A60" s="1602" t="s">
        <v>3577</v>
      </c>
      <c r="B60" s="1616"/>
      <c r="C60" s="1612"/>
      <c r="D60" s="1615"/>
      <c r="E60" s="1615"/>
      <c r="F60" s="1615"/>
      <c r="G60" s="1614"/>
      <c r="H60" s="1614"/>
      <c r="I60" s="1614"/>
      <c r="J60" s="1614"/>
      <c r="K60" s="1614"/>
      <c r="L60" s="1614"/>
      <c r="M60" s="1638"/>
      <c r="N60" s="1638"/>
      <c r="O60" s="1638"/>
      <c r="P60" s="1633"/>
      <c r="Q60" s="1633"/>
      <c r="R60" s="1633"/>
      <c r="S60" s="1633"/>
      <c r="T60" s="1633">
        <v>0</v>
      </c>
      <c r="U60" s="1637">
        <v>0</v>
      </c>
      <c r="V60" s="1614">
        <v>0</v>
      </c>
      <c r="W60" s="1614">
        <v>0</v>
      </c>
      <c r="X60" s="2396">
        <v>0</v>
      </c>
      <c r="Y60" s="125">
        <v>0</v>
      </c>
      <c r="Z60" s="125">
        <v>0</v>
      </c>
      <c r="AA60" s="125">
        <v>0</v>
      </c>
    </row>
    <row r="61" spans="1:27">
      <c r="A61" s="1602" t="s">
        <v>3925</v>
      </c>
      <c r="B61" s="1620"/>
      <c r="C61" s="1612"/>
      <c r="D61" s="1615"/>
      <c r="E61" s="1615"/>
      <c r="F61" s="1615"/>
      <c r="G61" s="1614"/>
      <c r="H61" s="1614"/>
      <c r="I61" s="1614"/>
      <c r="J61" s="1614"/>
      <c r="K61" s="1614"/>
      <c r="L61" s="1614"/>
      <c r="M61" s="1638"/>
      <c r="N61" s="1638"/>
      <c r="O61" s="1638"/>
      <c r="P61" s="1633"/>
      <c r="Q61" s="1633"/>
      <c r="R61" s="1633"/>
      <c r="S61" s="1633"/>
      <c r="T61" s="1633">
        <v>80000000</v>
      </c>
      <c r="U61" s="1637">
        <v>178000000</v>
      </c>
      <c r="V61" s="1614">
        <v>159000000</v>
      </c>
      <c r="W61" s="1614">
        <v>104000000</v>
      </c>
      <c r="X61" s="2396">
        <v>124000000</v>
      </c>
      <c r="Y61" s="125">
        <v>165000000</v>
      </c>
      <c r="Z61" s="125">
        <v>188000000</v>
      </c>
      <c r="AA61" s="125">
        <v>183000000</v>
      </c>
    </row>
    <row r="62" spans="1:27">
      <c r="A62" s="1602" t="s">
        <v>3926</v>
      </c>
      <c r="B62" s="1616"/>
      <c r="C62" s="1612"/>
      <c r="D62" s="1615"/>
      <c r="E62" s="1615"/>
      <c r="F62" s="1615"/>
      <c r="G62" s="1614"/>
      <c r="H62" s="1614"/>
      <c r="I62" s="1614"/>
      <c r="J62" s="1614"/>
      <c r="K62" s="1614"/>
      <c r="L62" s="1614"/>
      <c r="M62" s="1638"/>
      <c r="N62" s="1638"/>
      <c r="O62" s="1638"/>
      <c r="P62" s="1633"/>
      <c r="Q62" s="1633"/>
      <c r="R62" s="1633"/>
      <c r="S62" s="1633"/>
      <c r="T62" s="1633">
        <v>92000000</v>
      </c>
      <c r="U62" s="1637">
        <v>183000000</v>
      </c>
      <c r="V62" s="1614">
        <v>175000000</v>
      </c>
      <c r="W62" s="1614">
        <v>155000000</v>
      </c>
      <c r="X62" s="2396">
        <v>179000000</v>
      </c>
      <c r="Y62" s="125">
        <v>217000000</v>
      </c>
      <c r="Z62" s="125">
        <v>241000000</v>
      </c>
      <c r="AA62" s="125">
        <v>247000000</v>
      </c>
    </row>
    <row r="63" spans="1:27">
      <c r="A63" s="1602" t="s">
        <v>280</v>
      </c>
      <c r="B63" s="1620"/>
      <c r="C63" s="1612"/>
      <c r="D63" s="1615"/>
      <c r="E63" s="1615"/>
      <c r="F63" s="1615"/>
      <c r="G63" s="1614"/>
      <c r="H63" s="1614"/>
      <c r="I63" s="1614"/>
      <c r="J63" s="1614"/>
      <c r="K63" s="1614"/>
      <c r="L63" s="1614"/>
      <c r="M63" s="1638"/>
      <c r="N63" s="1638"/>
      <c r="O63" s="1638"/>
      <c r="P63" s="1633"/>
      <c r="Q63" s="1633"/>
      <c r="R63" s="1633"/>
      <c r="S63" s="1633"/>
      <c r="T63" s="1633">
        <v>113000000</v>
      </c>
      <c r="U63" s="1637">
        <v>122000000</v>
      </c>
      <c r="V63" s="1614">
        <v>135000000</v>
      </c>
      <c r="W63" s="1614">
        <v>165000000</v>
      </c>
      <c r="X63" s="2396">
        <v>188000000</v>
      </c>
      <c r="Y63" s="125">
        <v>203000000</v>
      </c>
      <c r="Z63" s="125">
        <v>221000000</v>
      </c>
      <c r="AA63" s="125">
        <v>237000000</v>
      </c>
    </row>
    <row r="64" spans="1:27">
      <c r="A64" s="1602" t="s">
        <v>209</v>
      </c>
      <c r="B64" s="1620"/>
      <c r="C64" s="1612"/>
      <c r="D64" s="1615"/>
      <c r="E64" s="1615"/>
      <c r="F64" s="1615"/>
      <c r="G64" s="1614"/>
      <c r="H64" s="1614"/>
      <c r="I64" s="1614"/>
      <c r="J64" s="1614"/>
      <c r="K64" s="1614"/>
      <c r="L64" s="1614"/>
      <c r="M64" s="1638"/>
      <c r="N64" s="1638"/>
      <c r="O64" s="1638"/>
      <c r="P64" s="1633"/>
      <c r="Q64" s="1633"/>
      <c r="R64" s="1633"/>
      <c r="S64" s="1633"/>
      <c r="T64" s="1633">
        <v>-21000000</v>
      </c>
      <c r="U64" s="1637">
        <v>62000000</v>
      </c>
      <c r="V64" s="1614">
        <v>39000000</v>
      </c>
      <c r="W64" s="1614">
        <v>-10000000</v>
      </c>
      <c r="X64" s="2396">
        <v>-8000000</v>
      </c>
      <c r="Y64" s="125">
        <v>14000000</v>
      </c>
      <c r="Z64" s="125">
        <v>20000000</v>
      </c>
      <c r="AA64" s="125">
        <v>10000000</v>
      </c>
    </row>
    <row r="65" spans="1:27">
      <c r="A65" s="1602" t="s">
        <v>3927</v>
      </c>
      <c r="B65" s="1612"/>
      <c r="C65" s="1612"/>
      <c r="D65" s="1622"/>
      <c r="E65" s="1622"/>
      <c r="F65" s="1622"/>
      <c r="G65" s="1623"/>
      <c r="H65" s="1623"/>
      <c r="I65" s="1623"/>
      <c r="J65" s="1623"/>
      <c r="K65" s="1623"/>
      <c r="L65" s="1623"/>
      <c r="M65" s="1639"/>
      <c r="N65" s="1639"/>
      <c r="O65" s="1639"/>
      <c r="P65" s="1640"/>
      <c r="Q65" s="1640"/>
      <c r="R65" s="1640"/>
      <c r="S65" s="1640"/>
      <c r="T65" s="1637">
        <v>0</v>
      </c>
      <c r="U65" s="1637">
        <v>17000000</v>
      </c>
      <c r="V65" s="1614">
        <v>20000000</v>
      </c>
      <c r="W65" s="1614">
        <v>0</v>
      </c>
      <c r="X65" s="2396">
        <v>0</v>
      </c>
      <c r="Y65" s="125">
        <v>0</v>
      </c>
      <c r="Z65" s="125">
        <v>0</v>
      </c>
      <c r="AA65" s="125">
        <v>0</v>
      </c>
    </row>
    <row r="66" spans="1:27">
      <c r="A66" s="1602" t="s">
        <v>3928</v>
      </c>
      <c r="B66" s="1612"/>
      <c r="D66" s="1622"/>
      <c r="E66" s="1622"/>
      <c r="G66" s="1623"/>
      <c r="H66" s="1623"/>
      <c r="I66" s="1623"/>
      <c r="J66" s="1623"/>
      <c r="K66" s="1623"/>
      <c r="L66" s="1623"/>
      <c r="M66" s="1639"/>
      <c r="N66" s="1639"/>
      <c r="O66" s="1639"/>
      <c r="P66" s="1640"/>
      <c r="Q66" s="1640"/>
      <c r="R66" s="1640"/>
      <c r="S66" s="1640"/>
      <c r="T66" s="1637">
        <v>-21000000</v>
      </c>
      <c r="U66" s="1637">
        <v>44000000</v>
      </c>
      <c r="V66" s="1614">
        <v>19000000</v>
      </c>
      <c r="W66" s="1614">
        <v>-10000000</v>
      </c>
      <c r="X66" s="2396">
        <v>-8000000</v>
      </c>
      <c r="Y66" s="125">
        <v>14000000</v>
      </c>
      <c r="Z66" s="125">
        <v>20000000</v>
      </c>
      <c r="AA66" s="125">
        <v>10000000</v>
      </c>
    </row>
    <row r="67" spans="1:27">
      <c r="A67" s="1602" t="s">
        <v>3929</v>
      </c>
      <c r="B67" s="1612"/>
      <c r="D67" s="1622"/>
      <c r="E67" s="1622"/>
      <c r="G67" s="1623"/>
      <c r="H67" s="1623"/>
      <c r="I67" s="1623"/>
      <c r="J67" s="1623"/>
      <c r="K67" s="1623"/>
      <c r="L67" s="1623"/>
      <c r="M67" s="1639"/>
      <c r="N67" s="1639"/>
      <c r="O67" s="1639"/>
      <c r="P67" s="1640"/>
      <c r="Q67" s="1640"/>
      <c r="R67" s="1640"/>
      <c r="S67" s="1640"/>
      <c r="T67" s="1637">
        <v>-8000000</v>
      </c>
      <c r="U67" s="1637">
        <v>-4000000</v>
      </c>
      <c r="V67" s="1614">
        <v>-11000000</v>
      </c>
      <c r="W67" s="1614">
        <v>-37000000</v>
      </c>
      <c r="X67" s="2396">
        <v>-42000000</v>
      </c>
      <c r="Y67" s="125">
        <v>-39000000</v>
      </c>
      <c r="Z67" s="125">
        <v>-39000000</v>
      </c>
      <c r="AA67" s="125">
        <v>-50000000</v>
      </c>
    </row>
    <row r="68" spans="1:27">
      <c r="A68" s="1602" t="s">
        <v>280</v>
      </c>
      <c r="B68" s="1612"/>
      <c r="D68" s="1622"/>
      <c r="E68" s="1622"/>
      <c r="G68" s="1623"/>
      <c r="H68" s="1623"/>
      <c r="I68" s="1623"/>
      <c r="J68" s="1623"/>
      <c r="K68" s="1623"/>
      <c r="L68" s="1623"/>
      <c r="M68" s="1639"/>
      <c r="N68" s="1639"/>
      <c r="O68" s="1639"/>
      <c r="P68" s="1640"/>
      <c r="Q68" s="1640"/>
      <c r="R68" s="1640"/>
      <c r="S68" s="1640"/>
      <c r="T68" s="1637">
        <v>-1000000</v>
      </c>
      <c r="U68" s="1637">
        <v>-4000000</v>
      </c>
      <c r="V68" s="1614">
        <v>-7000000</v>
      </c>
      <c r="W68" s="1614">
        <v>-9000000</v>
      </c>
      <c r="X68" s="2396">
        <v>-10000000</v>
      </c>
      <c r="Y68" s="125">
        <v>-7000000</v>
      </c>
      <c r="Z68" s="125">
        <v>-6000000</v>
      </c>
      <c r="AA68" s="125">
        <v>-10000000</v>
      </c>
    </row>
    <row r="69" spans="1:27">
      <c r="A69" s="1602" t="s">
        <v>209</v>
      </c>
      <c r="B69" s="1612"/>
      <c r="D69" s="1622"/>
      <c r="E69" s="1622"/>
      <c r="G69" s="1623"/>
      <c r="H69" s="1623"/>
      <c r="I69" s="1623"/>
      <c r="J69" s="1623"/>
      <c r="K69" s="1623"/>
      <c r="L69" s="1623"/>
      <c r="M69" s="1639"/>
      <c r="N69" s="1639"/>
      <c r="O69" s="1639"/>
      <c r="P69" s="1640"/>
      <c r="Q69" s="1640"/>
      <c r="R69" s="1640"/>
      <c r="S69" s="1640"/>
      <c r="T69" s="1637">
        <v>-7000000</v>
      </c>
      <c r="U69" s="1637">
        <v>0</v>
      </c>
      <c r="V69" s="1614">
        <v>-5000000</v>
      </c>
      <c r="W69" s="1614">
        <v>-28000000</v>
      </c>
      <c r="X69" s="2396">
        <v>-32000000</v>
      </c>
      <c r="Y69" s="125">
        <v>-32000000</v>
      </c>
      <c r="Z69" s="125">
        <v>-34000000</v>
      </c>
      <c r="AA69" s="125">
        <v>-40000000</v>
      </c>
    </row>
    <row r="70" spans="1:27">
      <c r="A70" s="1602" t="s">
        <v>3927</v>
      </c>
      <c r="B70" s="1612"/>
      <c r="D70" s="1622"/>
      <c r="E70" s="1622"/>
      <c r="G70" s="1623"/>
      <c r="H70" s="1623"/>
      <c r="I70" s="1623"/>
      <c r="J70" s="1623"/>
      <c r="K70" s="1623"/>
      <c r="L70" s="1623"/>
      <c r="M70" s="1639"/>
      <c r="N70" s="1639"/>
      <c r="O70" s="1639"/>
      <c r="P70" s="1640"/>
      <c r="Q70" s="1640"/>
      <c r="R70" s="1640"/>
      <c r="S70" s="1640"/>
      <c r="T70" s="1637">
        <v>0</v>
      </c>
      <c r="U70" s="1637">
        <v>0</v>
      </c>
      <c r="V70" s="1614">
        <v>0</v>
      </c>
      <c r="W70" s="1614">
        <v>-23000000</v>
      </c>
      <c r="X70" s="2396">
        <v>-32000000</v>
      </c>
      <c r="Y70" s="125">
        <v>-32000000</v>
      </c>
      <c r="Z70" s="125">
        <v>-34000000</v>
      </c>
      <c r="AA70" s="125">
        <v>-36000000</v>
      </c>
    </row>
    <row r="71" spans="1:27">
      <c r="A71" s="1602" t="s">
        <v>3930</v>
      </c>
      <c r="B71" s="1612"/>
      <c r="D71" s="1622"/>
      <c r="E71" s="1622"/>
      <c r="G71" s="1623"/>
      <c r="H71" s="1623"/>
      <c r="I71" s="1623"/>
      <c r="J71" s="1623"/>
      <c r="K71" s="1623"/>
      <c r="L71" s="1623"/>
      <c r="M71" s="1639"/>
      <c r="N71" s="1639"/>
      <c r="O71" s="1639"/>
      <c r="P71" s="1640"/>
      <c r="Q71" s="1640"/>
      <c r="R71" s="1640"/>
      <c r="S71" s="1640"/>
      <c r="T71" s="1637">
        <v>-7000000</v>
      </c>
      <c r="U71" s="1637">
        <v>0</v>
      </c>
      <c r="V71" s="1614">
        <v>-5000000</v>
      </c>
      <c r="W71" s="1614">
        <v>-6000000</v>
      </c>
      <c r="X71" s="2396">
        <v>0</v>
      </c>
      <c r="Y71" s="125">
        <v>0</v>
      </c>
      <c r="Z71" s="125">
        <v>0</v>
      </c>
      <c r="AA71" s="125">
        <v>-4000000</v>
      </c>
    </row>
    <row r="72" spans="1:27">
      <c r="A72" s="1602" t="s">
        <v>3931</v>
      </c>
      <c r="B72" s="1612"/>
      <c r="D72" s="1622"/>
      <c r="E72" s="1622"/>
      <c r="G72" s="1623"/>
      <c r="H72" s="1623"/>
      <c r="I72" s="1623"/>
      <c r="J72" s="1623"/>
      <c r="K72" s="1623"/>
      <c r="L72" s="1623"/>
      <c r="M72" s="1639"/>
      <c r="N72" s="1639"/>
      <c r="O72" s="1639"/>
      <c r="P72" s="1640"/>
      <c r="Q72" s="1640"/>
      <c r="R72" s="1640"/>
      <c r="S72" s="1640"/>
      <c r="T72" s="1637">
        <v>-4000000</v>
      </c>
      <c r="U72" s="1637">
        <v>-1000000</v>
      </c>
      <c r="V72" s="1614">
        <v>-4000000</v>
      </c>
      <c r="W72" s="1614">
        <v>-13000000</v>
      </c>
      <c r="X72" s="2396">
        <v>-13000000</v>
      </c>
      <c r="Y72" s="125">
        <v>-13000000</v>
      </c>
      <c r="Z72" s="125">
        <v>-13000000</v>
      </c>
      <c r="AA72" s="125">
        <v>-14000000</v>
      </c>
    </row>
    <row r="73" spans="1:27">
      <c r="A73" s="1602" t="s">
        <v>3932</v>
      </c>
      <c r="B73" s="1612"/>
      <c r="D73" s="1622"/>
      <c r="E73" s="1622"/>
      <c r="F73" s="1622"/>
      <c r="G73" s="1623"/>
      <c r="H73" s="1623"/>
      <c r="I73" s="1623"/>
      <c r="J73" s="1623"/>
      <c r="K73" s="1623"/>
      <c r="L73" s="1623"/>
      <c r="M73" s="1639"/>
      <c r="N73" s="1639"/>
      <c r="O73" s="1639"/>
      <c r="P73" s="1640"/>
      <c r="Q73" s="1640"/>
      <c r="R73" s="1640"/>
      <c r="S73" s="1640"/>
      <c r="T73" s="1637">
        <v>0</v>
      </c>
      <c r="U73" s="1637">
        <v>0</v>
      </c>
      <c r="V73" s="1636">
        <v>-12000000</v>
      </c>
      <c r="W73" s="1636">
        <v>-50000000</v>
      </c>
      <c r="X73" s="1602">
        <v>-30000000</v>
      </c>
      <c r="Y73" s="13">
        <v>-25000000</v>
      </c>
      <c r="Z73" s="13">
        <v>-21000000</v>
      </c>
      <c r="AA73" s="13">
        <v>-20000000</v>
      </c>
    </row>
    <row r="74" spans="1:27">
      <c r="B74" s="1620"/>
      <c r="C74" s="1612"/>
      <c r="D74" s="1622"/>
      <c r="E74" s="1622"/>
      <c r="F74" s="1622"/>
      <c r="G74" s="1623"/>
      <c r="H74" s="1623"/>
      <c r="I74" s="1623"/>
      <c r="J74" s="1623"/>
      <c r="K74" s="1623"/>
      <c r="L74" s="1623"/>
      <c r="M74" s="1623"/>
      <c r="N74" s="1623"/>
      <c r="O74" s="1623"/>
      <c r="P74" s="1622"/>
      <c r="Q74" s="1622"/>
      <c r="R74" s="1622"/>
      <c r="S74" s="1622"/>
      <c r="T74" s="1621"/>
      <c r="U74" s="1621"/>
    </row>
    <row r="75" spans="1:27">
      <c r="B75" s="1612"/>
      <c r="C75" s="1612"/>
      <c r="D75" s="1612" t="s">
        <v>139</v>
      </c>
      <c r="E75" s="1612" t="s">
        <v>139</v>
      </c>
      <c r="F75" s="1612" t="s">
        <v>138</v>
      </c>
      <c r="G75" s="1602" t="s">
        <v>139</v>
      </c>
      <c r="H75" s="1602" t="s">
        <v>139</v>
      </c>
      <c r="I75" s="1602" t="s">
        <v>138</v>
      </c>
      <c r="J75" s="1602" t="s">
        <v>138</v>
      </c>
      <c r="K75" s="1602" t="s">
        <v>138</v>
      </c>
      <c r="L75" s="1602" t="s">
        <v>139</v>
      </c>
      <c r="M75" s="1602" t="s">
        <v>138</v>
      </c>
      <c r="N75" s="1602" t="s">
        <v>138</v>
      </c>
      <c r="O75" s="1602" t="s">
        <v>139</v>
      </c>
      <c r="P75" s="1621" t="s">
        <v>139</v>
      </c>
      <c r="Q75" s="1621" t="s">
        <v>139</v>
      </c>
      <c r="R75" s="1621" t="s">
        <v>139</v>
      </c>
      <c r="S75" s="1621" t="s">
        <v>139</v>
      </c>
      <c r="T75" s="1621" t="s">
        <v>139</v>
      </c>
      <c r="U75" s="1621" t="s">
        <v>139</v>
      </c>
      <c r="V75" s="1621" t="s">
        <v>139</v>
      </c>
      <c r="W75" s="1621" t="s">
        <v>139</v>
      </c>
      <c r="X75" s="1621" t="s">
        <v>139</v>
      </c>
      <c r="Y75" s="2438" t="s">
        <v>139</v>
      </c>
      <c r="Z75" s="2438" t="s">
        <v>139</v>
      </c>
      <c r="AA75" s="2438" t="s">
        <v>139</v>
      </c>
    </row>
    <row r="76" spans="1:27">
      <c r="B76" s="1612"/>
      <c r="C76" s="1612"/>
      <c r="D76" s="1602" t="s">
        <v>1760</v>
      </c>
      <c r="E76" s="1602" t="s">
        <v>1760</v>
      </c>
      <c r="F76" s="1602" t="s">
        <v>1760</v>
      </c>
      <c r="G76" s="1602" t="s">
        <v>1760</v>
      </c>
      <c r="H76" s="1602" t="s">
        <v>1760</v>
      </c>
      <c r="I76" s="1602" t="s">
        <v>1760</v>
      </c>
      <c r="J76" s="1602" t="s">
        <v>1760</v>
      </c>
      <c r="P76" s="1621"/>
      <c r="Q76" s="1621"/>
      <c r="R76" s="1621"/>
      <c r="S76" s="1621"/>
      <c r="T76" s="1621"/>
      <c r="U76" s="1621"/>
    </row>
    <row r="77" spans="1:27">
      <c r="B77" s="1612"/>
      <c r="C77" s="1612"/>
      <c r="D77" s="1612"/>
      <c r="E77" s="1612"/>
      <c r="F77" s="1625"/>
      <c r="G77" s="1612"/>
      <c r="H77" s="1612"/>
      <c r="I77" s="1612"/>
      <c r="J77" s="1612"/>
      <c r="K77" s="1612"/>
      <c r="L77" s="1612"/>
      <c r="M77" s="1612"/>
      <c r="N77" s="1612"/>
      <c r="O77" s="1612"/>
      <c r="P77" s="1612"/>
      <c r="Q77" s="1612"/>
      <c r="R77" s="1612"/>
      <c r="S77" s="1625"/>
      <c r="T77" s="1625"/>
      <c r="U77" s="1621"/>
    </row>
    <row r="78" spans="1:27">
      <c r="D78" s="1626"/>
      <c r="E78" s="1626"/>
      <c r="F78" s="1626"/>
      <c r="G78" s="1626"/>
      <c r="H78" s="1626"/>
      <c r="I78" s="1626"/>
      <c r="J78" s="1626"/>
      <c r="K78" s="1626"/>
      <c r="L78" s="1626"/>
      <c r="M78" s="1626"/>
      <c r="N78" s="1626"/>
      <c r="O78" s="1626"/>
      <c r="P78" s="1626"/>
      <c r="Q78" s="1626"/>
      <c r="R78" s="1626"/>
      <c r="S78" s="1626"/>
      <c r="T78" s="1626"/>
    </row>
    <row r="79" spans="1:27">
      <c r="B79" s="1602" t="s">
        <v>875</v>
      </c>
      <c r="D79" s="1626">
        <f t="shared" ref="D79:V79" si="9">D6-D7-D14</f>
        <v>100000</v>
      </c>
      <c r="E79" s="1626">
        <f t="shared" si="9"/>
        <v>100000</v>
      </c>
      <c r="F79" s="1626">
        <f t="shared" si="9"/>
        <v>0</v>
      </c>
      <c r="G79" s="1626">
        <f t="shared" si="9"/>
        <v>0</v>
      </c>
      <c r="H79" s="1626">
        <f t="shared" si="9"/>
        <v>0</v>
      </c>
      <c r="I79" s="1626">
        <f t="shared" si="9"/>
        <v>0</v>
      </c>
      <c r="J79" s="1626">
        <f t="shared" si="9"/>
        <v>0</v>
      </c>
      <c r="K79" s="1626">
        <f t="shared" si="9"/>
        <v>0</v>
      </c>
      <c r="L79" s="1626">
        <f t="shared" si="9"/>
        <v>0</v>
      </c>
      <c r="M79" s="1626">
        <f t="shared" si="9"/>
        <v>0</v>
      </c>
      <c r="N79" s="1626">
        <f t="shared" si="9"/>
        <v>0</v>
      </c>
      <c r="O79" s="1626">
        <f t="shared" si="9"/>
        <v>0</v>
      </c>
      <c r="P79" s="1626">
        <f t="shared" si="9"/>
        <v>0</v>
      </c>
      <c r="Q79" s="1626">
        <f t="shared" si="9"/>
        <v>0</v>
      </c>
      <c r="R79" s="1626">
        <f t="shared" si="9"/>
        <v>0</v>
      </c>
      <c r="S79" s="1626">
        <f t="shared" si="9"/>
        <v>0</v>
      </c>
      <c r="T79" s="1626">
        <f t="shared" si="9"/>
        <v>-1000000</v>
      </c>
      <c r="U79" s="1626">
        <f t="shared" si="9"/>
        <v>0</v>
      </c>
      <c r="V79" s="1626">
        <f t="shared" si="9"/>
        <v>0</v>
      </c>
      <c r="X79" s="1626">
        <f>X6-X7-X14</f>
        <v>1000000</v>
      </c>
      <c r="Y79" s="1626">
        <f>Y6-Y7-Y14</f>
        <v>-1000000</v>
      </c>
      <c r="Z79" s="1626">
        <f>Z6-Z7-Z14</f>
        <v>0</v>
      </c>
      <c r="AA79" s="1602"/>
    </row>
    <row r="80" spans="1:27">
      <c r="B80" s="1612" t="s">
        <v>141</v>
      </c>
      <c r="D80" s="1626">
        <f t="shared" ref="D80:AA80" si="10">D7-D8-D13</f>
        <v>0</v>
      </c>
      <c r="E80" s="1626">
        <f t="shared" si="10"/>
        <v>0</v>
      </c>
      <c r="F80" s="1626">
        <f t="shared" si="10"/>
        <v>0</v>
      </c>
      <c r="G80" s="1626">
        <f t="shared" si="10"/>
        <v>0</v>
      </c>
      <c r="H80" s="1626">
        <f t="shared" si="10"/>
        <v>-100000</v>
      </c>
      <c r="I80" s="1626">
        <f t="shared" si="10"/>
        <v>0</v>
      </c>
      <c r="J80" s="1626">
        <f t="shared" si="10"/>
        <v>0</v>
      </c>
      <c r="K80" s="1626">
        <f t="shared" si="10"/>
        <v>-100000</v>
      </c>
      <c r="L80" s="1626">
        <f t="shared" si="10"/>
        <v>0</v>
      </c>
      <c r="M80" s="1626">
        <f t="shared" si="10"/>
        <v>0</v>
      </c>
      <c r="N80" s="1626">
        <f t="shared" si="10"/>
        <v>-100000</v>
      </c>
      <c r="O80" s="1626">
        <f t="shared" si="10"/>
        <v>0</v>
      </c>
      <c r="P80" s="1626">
        <f t="shared" si="10"/>
        <v>-100000</v>
      </c>
      <c r="Q80" s="1626">
        <f t="shared" si="10"/>
        <v>0</v>
      </c>
      <c r="R80" s="1626">
        <f t="shared" si="10"/>
        <v>-1000000</v>
      </c>
      <c r="S80" s="1626">
        <f t="shared" si="10"/>
        <v>0</v>
      </c>
      <c r="T80" s="1626">
        <f t="shared" si="10"/>
        <v>1000000</v>
      </c>
      <c r="U80" s="1626">
        <f t="shared" si="10"/>
        <v>0</v>
      </c>
      <c r="V80" s="1626">
        <f t="shared" si="10"/>
        <v>0</v>
      </c>
      <c r="W80" s="1626">
        <f t="shared" si="10"/>
        <v>0</v>
      </c>
      <c r="X80" s="1626">
        <f t="shared" si="10"/>
        <v>-1000000</v>
      </c>
      <c r="Y80" s="1626">
        <f t="shared" si="10"/>
        <v>0</v>
      </c>
      <c r="Z80" s="1626">
        <f t="shared" si="10"/>
        <v>0</v>
      </c>
      <c r="AA80" s="1626">
        <f t="shared" si="10"/>
        <v>0</v>
      </c>
    </row>
    <row r="81" spans="2:27">
      <c r="B81" s="1602" t="s">
        <v>142</v>
      </c>
      <c r="D81" s="1624">
        <f t="shared" ref="D81:AA81" si="11">D8-D9-D10-D11-D12</f>
        <v>0</v>
      </c>
      <c r="E81" s="1624">
        <f t="shared" si="11"/>
        <v>0</v>
      </c>
      <c r="F81" s="1624">
        <f t="shared" si="11"/>
        <v>0</v>
      </c>
      <c r="G81" s="1624">
        <f t="shared" si="11"/>
        <v>0</v>
      </c>
      <c r="H81" s="1624">
        <f t="shared" si="11"/>
        <v>0</v>
      </c>
      <c r="I81" s="1624">
        <f t="shared" si="11"/>
        <v>-100000</v>
      </c>
      <c r="J81" s="1624">
        <f t="shared" si="11"/>
        <v>0</v>
      </c>
      <c r="K81" s="1624">
        <f t="shared" si="11"/>
        <v>-100000</v>
      </c>
      <c r="L81" s="1624">
        <f t="shared" si="11"/>
        <v>100000</v>
      </c>
      <c r="M81" s="1624">
        <f t="shared" si="11"/>
        <v>0</v>
      </c>
      <c r="N81" s="1624">
        <f t="shared" si="11"/>
        <v>0</v>
      </c>
      <c r="O81" s="1624">
        <f t="shared" si="11"/>
        <v>-100000</v>
      </c>
      <c r="P81" s="1627">
        <f t="shared" si="11"/>
        <v>357000000</v>
      </c>
      <c r="Q81" s="1627">
        <f t="shared" si="11"/>
        <v>369000000</v>
      </c>
      <c r="R81" s="1627">
        <f t="shared" si="11"/>
        <v>386000000</v>
      </c>
      <c r="S81" s="1627">
        <f t="shared" si="11"/>
        <v>0</v>
      </c>
      <c r="T81" s="1627">
        <f t="shared" si="11"/>
        <v>-1000000</v>
      </c>
      <c r="U81" s="1627">
        <f t="shared" si="11"/>
        <v>0</v>
      </c>
      <c r="V81" s="1627">
        <f t="shared" si="11"/>
        <v>-1000000</v>
      </c>
      <c r="W81" s="1627">
        <f t="shared" si="11"/>
        <v>-1000000</v>
      </c>
      <c r="X81" s="1627">
        <f t="shared" si="11"/>
        <v>0</v>
      </c>
      <c r="Y81" s="1627">
        <f t="shared" si="11"/>
        <v>0</v>
      </c>
      <c r="Z81" s="1627">
        <f t="shared" si="11"/>
        <v>0</v>
      </c>
      <c r="AA81" s="1627">
        <f t="shared" si="11"/>
        <v>0</v>
      </c>
    </row>
    <row r="82" spans="2:27">
      <c r="B82" s="1602" t="s">
        <v>618</v>
      </c>
      <c r="D82" s="1624"/>
      <c r="E82" s="1624"/>
      <c r="F82" s="1624"/>
      <c r="G82" s="1624"/>
      <c r="H82" s="1624"/>
      <c r="I82" s="1624"/>
      <c r="J82" s="1624"/>
      <c r="K82" s="1624"/>
      <c r="L82" s="1624"/>
      <c r="M82" s="1624"/>
      <c r="N82" s="1624"/>
      <c r="R82" s="1624">
        <f t="shared" ref="R82:AA82" si="12">R14-R15-R16-R17</f>
        <v>0</v>
      </c>
      <c r="S82" s="1624">
        <f t="shared" si="12"/>
        <v>0</v>
      </c>
      <c r="T82" s="1627">
        <f t="shared" si="12"/>
        <v>624000000</v>
      </c>
      <c r="U82" s="1627">
        <f t="shared" si="12"/>
        <v>542000000</v>
      </c>
      <c r="V82" s="1627">
        <f t="shared" si="12"/>
        <v>513000000</v>
      </c>
      <c r="W82" s="1627">
        <f t="shared" si="12"/>
        <v>507000000</v>
      </c>
      <c r="X82" s="1627">
        <f t="shared" si="12"/>
        <v>494000000</v>
      </c>
      <c r="Y82" s="1627">
        <f t="shared" si="12"/>
        <v>469000000</v>
      </c>
      <c r="Z82" s="1627">
        <f t="shared" si="12"/>
        <v>462000000</v>
      </c>
      <c r="AA82" s="1627">
        <f t="shared" si="12"/>
        <v>449000000</v>
      </c>
    </row>
    <row r="83" spans="2:27">
      <c r="B83" s="1602" t="s">
        <v>145</v>
      </c>
      <c r="D83" s="1624">
        <f t="shared" ref="D83:AA83" si="13">D18-D20-D29</f>
        <v>0</v>
      </c>
      <c r="E83" s="1624">
        <f t="shared" si="13"/>
        <v>0</v>
      </c>
      <c r="F83" s="1624">
        <f t="shared" si="13"/>
        <v>0</v>
      </c>
      <c r="G83" s="1624">
        <f t="shared" si="13"/>
        <v>0</v>
      </c>
      <c r="H83" s="1624">
        <f t="shared" si="13"/>
        <v>0</v>
      </c>
      <c r="I83" s="1624">
        <f t="shared" si="13"/>
        <v>0</v>
      </c>
      <c r="J83" s="1624">
        <f t="shared" si="13"/>
        <v>0</v>
      </c>
      <c r="K83" s="1624">
        <f t="shared" si="13"/>
        <v>0</v>
      </c>
      <c r="L83" s="1624">
        <f t="shared" si="13"/>
        <v>0</v>
      </c>
      <c r="M83" s="1624">
        <f t="shared" si="13"/>
        <v>0</v>
      </c>
      <c r="N83" s="1624">
        <f t="shared" si="13"/>
        <v>0</v>
      </c>
      <c r="O83" s="1624">
        <f t="shared" si="13"/>
        <v>0</v>
      </c>
      <c r="P83" s="1624">
        <f t="shared" si="13"/>
        <v>0</v>
      </c>
      <c r="Q83" s="1624">
        <f t="shared" si="13"/>
        <v>0</v>
      </c>
      <c r="R83" s="1624">
        <f t="shared" si="13"/>
        <v>0</v>
      </c>
      <c r="S83" s="1624">
        <f t="shared" si="13"/>
        <v>1000000</v>
      </c>
      <c r="T83" s="1624">
        <f t="shared" si="13"/>
        <v>0</v>
      </c>
      <c r="U83" s="1624">
        <f t="shared" si="13"/>
        <v>0</v>
      </c>
      <c r="V83" s="1624">
        <f t="shared" si="13"/>
        <v>0</v>
      </c>
      <c r="W83" s="1624">
        <f t="shared" si="13"/>
        <v>0</v>
      </c>
      <c r="X83" s="1624">
        <f t="shared" si="13"/>
        <v>0</v>
      </c>
      <c r="Y83" s="1624">
        <f t="shared" si="13"/>
        <v>0</v>
      </c>
      <c r="Z83" s="1624">
        <f t="shared" si="13"/>
        <v>0</v>
      </c>
      <c r="AA83" s="1624">
        <f t="shared" si="13"/>
        <v>0</v>
      </c>
    </row>
    <row r="84" spans="2:27">
      <c r="B84" s="1602" t="s">
        <v>361</v>
      </c>
      <c r="D84" s="1627">
        <f t="shared" ref="D84:AA84" si="14">D20-D21-D23-D25-D27-D28</f>
        <v>47800000</v>
      </c>
      <c r="E84" s="1627">
        <f t="shared" si="14"/>
        <v>40700000</v>
      </c>
      <c r="F84" s="1624">
        <f t="shared" si="14"/>
        <v>0</v>
      </c>
      <c r="G84" s="1624">
        <f t="shared" si="14"/>
        <v>0</v>
      </c>
      <c r="H84" s="1624">
        <f t="shared" si="14"/>
        <v>0</v>
      </c>
      <c r="I84" s="1624">
        <f t="shared" si="14"/>
        <v>0</v>
      </c>
      <c r="J84" s="1624">
        <f t="shared" si="14"/>
        <v>0</v>
      </c>
      <c r="K84" s="1624">
        <f t="shared" si="14"/>
        <v>0</v>
      </c>
      <c r="L84" s="1624">
        <f t="shared" si="14"/>
        <v>-100000</v>
      </c>
      <c r="M84" s="1624">
        <f t="shared" si="14"/>
        <v>0</v>
      </c>
      <c r="N84" s="1624">
        <f t="shared" si="14"/>
        <v>0</v>
      </c>
      <c r="O84" s="1624">
        <f t="shared" si="14"/>
        <v>0</v>
      </c>
      <c r="P84" s="1627">
        <f t="shared" si="14"/>
        <v>437600000</v>
      </c>
      <c r="Q84" s="1624">
        <f t="shared" si="14"/>
        <v>0</v>
      </c>
      <c r="R84" s="1624">
        <f t="shared" si="14"/>
        <v>0</v>
      </c>
      <c r="S84" s="1624">
        <f t="shared" si="14"/>
        <v>-1000000</v>
      </c>
      <c r="T84" s="1624">
        <f t="shared" si="14"/>
        <v>1000000</v>
      </c>
      <c r="U84" s="1624">
        <f t="shared" si="14"/>
        <v>0</v>
      </c>
      <c r="V84" s="1624">
        <f t="shared" si="14"/>
        <v>0</v>
      </c>
      <c r="W84" s="1624">
        <f t="shared" si="14"/>
        <v>0</v>
      </c>
      <c r="X84" s="1624">
        <f t="shared" si="14"/>
        <v>0</v>
      </c>
      <c r="Y84" s="1624">
        <f t="shared" si="14"/>
        <v>0</v>
      </c>
      <c r="Z84" s="1624">
        <f t="shared" si="14"/>
        <v>-1000000</v>
      </c>
      <c r="AA84" s="1624">
        <f t="shared" si="14"/>
        <v>-1000000</v>
      </c>
    </row>
    <row r="85" spans="2:27">
      <c r="B85" s="1602" t="s">
        <v>876</v>
      </c>
      <c r="D85" s="1624">
        <f t="shared" ref="D85:P85" si="15">D29-D31-D33</f>
        <v>0</v>
      </c>
      <c r="E85" s="1624">
        <f t="shared" si="15"/>
        <v>0</v>
      </c>
      <c r="F85" s="1627">
        <f t="shared" si="15"/>
        <v>54100000</v>
      </c>
      <c r="G85" s="1627">
        <f t="shared" si="15"/>
        <v>40900000</v>
      </c>
      <c r="H85" s="1627">
        <f t="shared" si="15"/>
        <v>3700000</v>
      </c>
      <c r="I85" s="1627">
        <f t="shared" si="15"/>
        <v>10600000</v>
      </c>
      <c r="J85" s="1627">
        <f t="shared" si="15"/>
        <v>6300000</v>
      </c>
      <c r="K85" s="1627">
        <f t="shared" si="15"/>
        <v>16600000.000000002</v>
      </c>
      <c r="L85" s="1624">
        <f t="shared" si="15"/>
        <v>0</v>
      </c>
      <c r="M85" s="1624">
        <f t="shared" si="15"/>
        <v>0</v>
      </c>
      <c r="N85" s="1624">
        <f t="shared" si="15"/>
        <v>0</v>
      </c>
      <c r="O85" s="1624">
        <f t="shared" si="15"/>
        <v>0</v>
      </c>
      <c r="P85" s="1624">
        <f t="shared" si="15"/>
        <v>0</v>
      </c>
      <c r="Q85" s="1624">
        <f t="shared" ref="Q85:AA85" si="16">Q29-Q31-Q32-Q33</f>
        <v>0</v>
      </c>
      <c r="R85" s="1624">
        <f t="shared" si="16"/>
        <v>0</v>
      </c>
      <c r="S85" s="1624">
        <f t="shared" si="16"/>
        <v>0</v>
      </c>
      <c r="T85" s="1627">
        <f t="shared" si="16"/>
        <v>424000000</v>
      </c>
      <c r="U85" s="1627">
        <f t="shared" si="16"/>
        <v>419000000</v>
      </c>
      <c r="V85" s="1627">
        <f t="shared" si="16"/>
        <v>379000000</v>
      </c>
      <c r="W85" s="1627">
        <f t="shared" si="16"/>
        <v>391000000</v>
      </c>
      <c r="X85" s="1627">
        <f t="shared" si="16"/>
        <v>432000000</v>
      </c>
      <c r="Y85" s="1627">
        <f t="shared" si="16"/>
        <v>467000000</v>
      </c>
      <c r="Z85" s="1627">
        <f t="shared" si="16"/>
        <v>517000000</v>
      </c>
      <c r="AA85" s="1627">
        <f t="shared" si="16"/>
        <v>563000000</v>
      </c>
    </row>
    <row r="86" spans="2:27">
      <c r="B86" s="1602" t="s">
        <v>148</v>
      </c>
      <c r="D86" s="1624">
        <f t="shared" ref="D86:AA86" si="17">D39-D40-D47</f>
        <v>-3000000</v>
      </c>
      <c r="E86" s="1624">
        <f t="shared" si="17"/>
        <v>3000000</v>
      </c>
      <c r="F86" s="1624">
        <f t="shared" si="17"/>
        <v>7000000</v>
      </c>
      <c r="G86" s="1624">
        <f t="shared" si="17"/>
        <v>-4000000</v>
      </c>
      <c r="H86" s="1624">
        <f t="shared" si="17"/>
        <v>-8400000</v>
      </c>
      <c r="I86" s="1624">
        <f t="shared" si="17"/>
        <v>22300000</v>
      </c>
      <c r="J86" s="1624">
        <f t="shared" si="17"/>
        <v>-36000000</v>
      </c>
      <c r="K86" s="1624">
        <f t="shared" si="17"/>
        <v>0</v>
      </c>
      <c r="L86" s="1624">
        <f t="shared" si="17"/>
        <v>0</v>
      </c>
      <c r="M86" s="1624">
        <f t="shared" si="17"/>
        <v>0</v>
      </c>
      <c r="N86" s="1624">
        <f t="shared" si="17"/>
        <v>0</v>
      </c>
      <c r="O86" s="1624">
        <f t="shared" si="17"/>
        <v>-100000</v>
      </c>
      <c r="P86" s="1624">
        <f t="shared" si="17"/>
        <v>0</v>
      </c>
      <c r="Q86" s="1624">
        <f t="shared" si="17"/>
        <v>0</v>
      </c>
      <c r="R86" s="1624">
        <f t="shared" si="17"/>
        <v>0</v>
      </c>
      <c r="S86" s="1624">
        <f t="shared" si="17"/>
        <v>0</v>
      </c>
      <c r="T86" s="1624">
        <f t="shared" si="17"/>
        <v>0</v>
      </c>
      <c r="U86" s="1624">
        <f t="shared" si="17"/>
        <v>0</v>
      </c>
      <c r="V86" s="1624">
        <f t="shared" si="17"/>
        <v>0</v>
      </c>
      <c r="W86" s="1624">
        <f t="shared" si="17"/>
        <v>0</v>
      </c>
      <c r="X86" s="1624">
        <f t="shared" si="17"/>
        <v>0</v>
      </c>
      <c r="Y86" s="1624">
        <f t="shared" si="17"/>
        <v>0</v>
      </c>
      <c r="Z86" s="1624">
        <f t="shared" si="17"/>
        <v>0</v>
      </c>
      <c r="AA86" s="1624">
        <f t="shared" si="17"/>
        <v>0</v>
      </c>
    </row>
    <row r="87" spans="2:27">
      <c r="B87" s="1602" t="s">
        <v>3933</v>
      </c>
      <c r="D87" s="1624"/>
      <c r="E87" s="1624"/>
      <c r="F87" s="1624"/>
      <c r="G87" s="1624"/>
      <c r="H87" s="1624"/>
      <c r="I87" s="1624"/>
      <c r="J87" s="1624"/>
      <c r="K87" s="1624"/>
      <c r="L87" s="1624"/>
      <c r="M87" s="1624"/>
      <c r="N87" s="1624"/>
      <c r="O87" s="1624"/>
      <c r="P87" s="1624"/>
      <c r="Q87" s="1624"/>
      <c r="R87" s="1624">
        <f t="shared" ref="R87:AA87" si="18">R41-R43-R44-R42-R45</f>
        <v>0</v>
      </c>
      <c r="S87" s="1624">
        <f t="shared" si="18"/>
        <v>0</v>
      </c>
      <c r="T87" s="1627">
        <f t="shared" si="18"/>
        <v>113000000</v>
      </c>
      <c r="U87" s="1627">
        <f t="shared" si="18"/>
        <v>122000000</v>
      </c>
      <c r="V87" s="1627">
        <f t="shared" si="18"/>
        <v>135000000</v>
      </c>
      <c r="W87" s="1627">
        <f t="shared" si="18"/>
        <v>165000000</v>
      </c>
      <c r="X87" s="1627">
        <f t="shared" si="18"/>
        <v>188000000</v>
      </c>
      <c r="Y87" s="1627">
        <f t="shared" si="18"/>
        <v>203000000</v>
      </c>
      <c r="Z87" s="1627">
        <f t="shared" si="18"/>
        <v>221000000</v>
      </c>
      <c r="AA87" s="1627">
        <f t="shared" si="18"/>
        <v>237000000</v>
      </c>
    </row>
    <row r="88" spans="2:27">
      <c r="B88" s="1602" t="s">
        <v>2934</v>
      </c>
      <c r="D88" s="1624">
        <f t="shared" ref="D88:AA88" si="19">D40-D41-D46</f>
        <v>0</v>
      </c>
      <c r="E88" s="1624">
        <f t="shared" si="19"/>
        <v>0</v>
      </c>
      <c r="F88" s="1624">
        <f t="shared" si="19"/>
        <v>0</v>
      </c>
      <c r="G88" s="1624">
        <f t="shared" si="19"/>
        <v>0</v>
      </c>
      <c r="H88" s="1624">
        <f t="shared" si="19"/>
        <v>0</v>
      </c>
      <c r="I88" s="1624">
        <f t="shared" si="19"/>
        <v>0</v>
      </c>
      <c r="J88" s="1624">
        <f t="shared" si="19"/>
        <v>0</v>
      </c>
      <c r="K88" s="1627">
        <f t="shared" si="19"/>
        <v>-1200000</v>
      </c>
      <c r="L88" s="1624">
        <f t="shared" si="19"/>
        <v>0</v>
      </c>
      <c r="M88" s="1624">
        <f t="shared" si="19"/>
        <v>0</v>
      </c>
      <c r="N88" s="1624">
        <f t="shared" si="19"/>
        <v>0</v>
      </c>
      <c r="O88" s="1624">
        <f t="shared" si="19"/>
        <v>0</v>
      </c>
      <c r="P88" s="1624">
        <f t="shared" si="19"/>
        <v>0</v>
      </c>
      <c r="Q88" s="1624">
        <f t="shared" si="19"/>
        <v>0</v>
      </c>
      <c r="R88" s="1624">
        <f t="shared" si="19"/>
        <v>0</v>
      </c>
      <c r="S88" s="1624">
        <f t="shared" si="19"/>
        <v>0</v>
      </c>
      <c r="T88" s="1624">
        <f t="shared" si="19"/>
        <v>0</v>
      </c>
      <c r="U88" s="1624">
        <f t="shared" si="19"/>
        <v>0</v>
      </c>
      <c r="V88" s="1624">
        <f t="shared" si="19"/>
        <v>0</v>
      </c>
      <c r="W88" s="1624">
        <f t="shared" si="19"/>
        <v>0</v>
      </c>
      <c r="X88" s="1624">
        <f t="shared" si="19"/>
        <v>0</v>
      </c>
      <c r="Y88" s="1624">
        <f t="shared" si="19"/>
        <v>0</v>
      </c>
      <c r="Z88" s="1624">
        <f t="shared" si="19"/>
        <v>0</v>
      </c>
      <c r="AA88" s="1624">
        <f t="shared" si="19"/>
        <v>0</v>
      </c>
    </row>
    <row r="89" spans="2:27">
      <c r="B89" s="1602" t="s">
        <v>3934</v>
      </c>
      <c r="D89" s="1624">
        <f t="shared" ref="D89:AA89" si="20">D47-D48-D52-D55</f>
        <v>0</v>
      </c>
      <c r="E89" s="1624">
        <f t="shared" si="20"/>
        <v>0</v>
      </c>
      <c r="F89" s="1624">
        <f t="shared" si="20"/>
        <v>0</v>
      </c>
      <c r="G89" s="1624">
        <f t="shared" si="20"/>
        <v>0</v>
      </c>
      <c r="H89" s="1624">
        <f t="shared" si="20"/>
        <v>0</v>
      </c>
      <c r="I89" s="1624">
        <f t="shared" si="20"/>
        <v>0</v>
      </c>
      <c r="J89" s="1624">
        <f t="shared" si="20"/>
        <v>0</v>
      </c>
      <c r="K89" s="1627">
        <f t="shared" si="20"/>
        <v>-24100000</v>
      </c>
      <c r="L89" s="1627">
        <f t="shared" si="20"/>
        <v>-9800000</v>
      </c>
      <c r="M89" s="1627">
        <f t="shared" si="20"/>
        <v>17700000</v>
      </c>
      <c r="N89" s="1624">
        <f t="shared" si="20"/>
        <v>-100000</v>
      </c>
      <c r="O89" s="1624">
        <f t="shared" si="20"/>
        <v>0</v>
      </c>
      <c r="P89" s="1624">
        <f t="shared" si="20"/>
        <v>-100000</v>
      </c>
      <c r="Q89" s="1624">
        <f t="shared" si="20"/>
        <v>0</v>
      </c>
      <c r="R89" s="1624">
        <f t="shared" si="20"/>
        <v>-1000000</v>
      </c>
      <c r="S89" s="1624">
        <f t="shared" si="20"/>
        <v>0</v>
      </c>
      <c r="T89" s="1624">
        <f t="shared" si="20"/>
        <v>0</v>
      </c>
      <c r="U89" s="1624">
        <f t="shared" si="20"/>
        <v>1000000</v>
      </c>
      <c r="V89" s="1624">
        <f t="shared" si="20"/>
        <v>0</v>
      </c>
      <c r="W89" s="1624">
        <f t="shared" si="20"/>
        <v>1000000</v>
      </c>
      <c r="X89" s="1624">
        <f t="shared" si="20"/>
        <v>0</v>
      </c>
      <c r="Y89" s="1624">
        <f t="shared" si="20"/>
        <v>0</v>
      </c>
      <c r="Z89" s="1624">
        <f t="shared" si="20"/>
        <v>0</v>
      </c>
      <c r="AA89" s="1624">
        <f t="shared" si="20"/>
        <v>0</v>
      </c>
    </row>
    <row r="92" spans="2:27" ht="16.5" thickBot="1"/>
    <row r="93" spans="2:27" ht="16.5" thickBot="1">
      <c r="B93" s="1602" t="s">
        <v>3935</v>
      </c>
      <c r="D93" s="1628">
        <v>588000000</v>
      </c>
      <c r="E93" s="1629">
        <v>613000000</v>
      </c>
      <c r="F93" s="1629">
        <v>637000000</v>
      </c>
      <c r="G93" s="1629">
        <v>510000000</v>
      </c>
      <c r="H93" s="1629">
        <v>584000000</v>
      </c>
      <c r="I93" s="1629">
        <v>673000000</v>
      </c>
      <c r="J93" s="1629">
        <v>755000000</v>
      </c>
      <c r="K93" s="1629">
        <v>939000000</v>
      </c>
      <c r="L93" s="1629">
        <v>1080000000</v>
      </c>
      <c r="M93" s="1629">
        <v>1137000000</v>
      </c>
      <c r="N93" s="1629">
        <v>1287000000</v>
      </c>
      <c r="O93" s="1629">
        <v>1540000000</v>
      </c>
      <c r="P93" s="1630">
        <v>1751000000</v>
      </c>
      <c r="Q93" s="1630">
        <v>1955000000</v>
      </c>
      <c r="R93" s="1631">
        <v>2005000000</v>
      </c>
      <c r="S93" s="1631">
        <v>1991000000</v>
      </c>
      <c r="T93" s="1631">
        <v>3233000000</v>
      </c>
      <c r="U93" s="1631">
        <v>3245000000</v>
      </c>
      <c r="V93" s="1631">
        <v>3367000000</v>
      </c>
      <c r="W93" s="1632">
        <v>3442000000</v>
      </c>
      <c r="X93" s="1602">
        <v>3676000000</v>
      </c>
      <c r="Y93" s="13">
        <v>3927000000</v>
      </c>
      <c r="Z93" s="13">
        <v>4236000000</v>
      </c>
      <c r="AA93" s="13">
        <v>4609000000</v>
      </c>
    </row>
    <row r="94" spans="2:27">
      <c r="B94" s="1602" t="s">
        <v>151</v>
      </c>
      <c r="D94" s="1602">
        <f t="shared" ref="D94:V94" si="21">(D6/D93)*100</f>
        <v>14.506802721088436</v>
      </c>
      <c r="E94" s="1602">
        <f t="shared" si="21"/>
        <v>11.33768352365416</v>
      </c>
      <c r="F94" s="1602">
        <f t="shared" si="21"/>
        <v>11.412872841444271</v>
      </c>
      <c r="G94" s="1602">
        <f t="shared" si="21"/>
        <v>11.098039215686274</v>
      </c>
      <c r="H94" s="1602">
        <f t="shared" si="21"/>
        <v>10.102739726027398</v>
      </c>
      <c r="I94" s="1602">
        <f t="shared" si="21"/>
        <v>11.931649331352155</v>
      </c>
      <c r="J94" s="1602">
        <f t="shared" si="21"/>
        <v>11.337748344370862</v>
      </c>
      <c r="K94" s="1602">
        <f t="shared" si="21"/>
        <v>15.793397231096911</v>
      </c>
      <c r="L94" s="1602">
        <f t="shared" si="21"/>
        <v>19.157407407407405</v>
      </c>
      <c r="M94" s="1602">
        <f t="shared" si="21"/>
        <v>20.659630606860159</v>
      </c>
      <c r="N94" s="1602">
        <f t="shared" si="21"/>
        <v>22.377622377622377</v>
      </c>
      <c r="O94" s="1602">
        <f t="shared" si="21"/>
        <v>24.344155844155843</v>
      </c>
      <c r="P94" s="1602">
        <f t="shared" si="21"/>
        <v>26.207881210736723</v>
      </c>
      <c r="Q94" s="1602">
        <f t="shared" si="21"/>
        <v>28.388746803069054</v>
      </c>
      <c r="R94" s="1602">
        <f t="shared" si="21"/>
        <v>27.381546134663342</v>
      </c>
      <c r="S94" s="1602">
        <f t="shared" si="21"/>
        <v>32.446007031642395</v>
      </c>
      <c r="T94" s="1602">
        <f t="shared" si="21"/>
        <v>33.250850603154966</v>
      </c>
      <c r="U94" s="1602">
        <f t="shared" si="21"/>
        <v>31.001540832049308</v>
      </c>
      <c r="V94" s="1602">
        <f t="shared" si="21"/>
        <v>28.185328185328185</v>
      </c>
      <c r="W94" s="1602">
        <f t="shared" ref="W94:AA94" si="22">(W6/W93)*100</f>
        <v>28.297501452643814</v>
      </c>
      <c r="X94" s="1602">
        <f t="shared" si="22"/>
        <v>27.611534276387378</v>
      </c>
      <c r="Y94" s="1619">
        <f t="shared" si="22"/>
        <v>26.406926406926406</v>
      </c>
      <c r="Z94" s="1619">
        <f t="shared" si="22"/>
        <v>25.613786591123699</v>
      </c>
      <c r="AA94" s="1619">
        <f t="shared" si="22"/>
        <v>24.560642221740071</v>
      </c>
    </row>
    <row r="95" spans="2:27">
      <c r="B95" s="1602" t="s">
        <v>152</v>
      </c>
      <c r="D95" s="1602">
        <f t="shared" ref="D95:V95" si="23">(D18/D93)*100</f>
        <v>14.200680272108842</v>
      </c>
      <c r="E95" s="1602">
        <f t="shared" si="23"/>
        <v>11.957585644371942</v>
      </c>
      <c r="F95" s="1602">
        <f t="shared" si="23"/>
        <v>12.574568288854005</v>
      </c>
      <c r="G95" s="1602">
        <f t="shared" si="23"/>
        <v>13.568627450980392</v>
      </c>
      <c r="H95" s="1602">
        <f t="shared" si="23"/>
        <v>8.6643835616438363</v>
      </c>
      <c r="I95" s="1602">
        <f t="shared" si="23"/>
        <v>15.245170876671621</v>
      </c>
      <c r="J95" s="1602">
        <f t="shared" si="23"/>
        <v>9.7350993377483448</v>
      </c>
      <c r="K95" s="1602">
        <f t="shared" si="23"/>
        <v>13.099041533546327</v>
      </c>
      <c r="L95" s="1602">
        <f t="shared" si="23"/>
        <v>18.25</v>
      </c>
      <c r="M95" s="1602">
        <f t="shared" si="23"/>
        <v>21.890941072999119</v>
      </c>
      <c r="N95" s="1602">
        <f t="shared" si="23"/>
        <v>21.926961926961926</v>
      </c>
      <c r="O95" s="1602">
        <f t="shared" si="23"/>
        <v>24.863636363636363</v>
      </c>
      <c r="P95" s="1602">
        <f t="shared" si="23"/>
        <v>29.354654483152487</v>
      </c>
      <c r="Q95" s="1602">
        <f t="shared" si="23"/>
        <v>29.87212276214834</v>
      </c>
      <c r="R95" s="1602">
        <f t="shared" si="23"/>
        <v>29.326683291770571</v>
      </c>
      <c r="S95" s="1602">
        <f t="shared" si="23"/>
        <v>42.290306378704166</v>
      </c>
      <c r="T95" s="1602">
        <f t="shared" si="23"/>
        <v>35.972780699041138</v>
      </c>
      <c r="U95" s="1602">
        <f t="shared" si="23"/>
        <v>35.778120184899848</v>
      </c>
      <c r="V95" s="1602">
        <f t="shared" si="23"/>
        <v>33.323433323433321</v>
      </c>
      <c r="W95" s="1602">
        <f t="shared" ref="W95:AA95" si="24">(W18/W93)*100</f>
        <v>33.410807669959325</v>
      </c>
      <c r="X95" s="1602">
        <f t="shared" si="24"/>
        <v>32.344940152339504</v>
      </c>
      <c r="Y95" s="1619">
        <f t="shared" si="24"/>
        <v>31.245225362872418</v>
      </c>
      <c r="Z95" s="1619">
        <f t="shared" si="24"/>
        <v>30.547686496694997</v>
      </c>
      <c r="AA95" s="1619">
        <f t="shared" si="24"/>
        <v>28.965068344543283</v>
      </c>
    </row>
    <row r="98" spans="2:2">
      <c r="B98" s="1602"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69" t="s">
        <v>3936</v>
      </c>
      <c r="B1" s="82" t="s">
        <v>3937</v>
      </c>
      <c r="C1" s="82"/>
      <c r="D1" s="27"/>
      <c r="E1" s="27"/>
      <c r="F1" s="27"/>
      <c r="G1" s="27"/>
      <c r="H1" s="27"/>
      <c r="I1" s="27"/>
      <c r="J1" s="27"/>
      <c r="K1" s="27"/>
      <c r="L1" s="27"/>
      <c r="M1" s="27"/>
      <c r="N1" s="27"/>
      <c r="O1" s="28"/>
      <c r="P1" s="28"/>
      <c r="Q1" s="28"/>
      <c r="R1" s="29"/>
      <c r="S1" s="28"/>
      <c r="T1" s="28"/>
      <c r="U1" s="28"/>
      <c r="V1" s="28"/>
      <c r="W1" s="28"/>
      <c r="X1" s="2"/>
    </row>
    <row r="2" spans="1:50">
      <c r="B2" s="30" t="s">
        <v>3938</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2166</v>
      </c>
      <c r="M5" s="28" t="s">
        <v>2166</v>
      </c>
      <c r="N5" s="28" t="s">
        <v>31</v>
      </c>
      <c r="O5" s="28" t="s">
        <v>2166</v>
      </c>
      <c r="P5" s="28" t="s">
        <v>2166</v>
      </c>
      <c r="Q5" s="28" t="s">
        <v>32</v>
      </c>
      <c r="R5" s="28" t="s">
        <v>32</v>
      </c>
      <c r="S5" s="28" t="s">
        <v>32</v>
      </c>
      <c r="T5" s="28" t="s">
        <v>32</v>
      </c>
      <c r="U5" s="28" t="s">
        <v>32</v>
      </c>
      <c r="V5" s="28" t="s">
        <v>32</v>
      </c>
      <c r="W5" s="28" t="s">
        <v>32</v>
      </c>
      <c r="X5" s="2" t="s">
        <v>32</v>
      </c>
    </row>
    <row r="6" spans="1:50" s="9" customFormat="1">
      <c r="A6" s="18" t="s">
        <v>3939</v>
      </c>
      <c r="B6" s="18" t="s">
        <v>3939</v>
      </c>
      <c r="C6" s="9" t="s">
        <v>35</v>
      </c>
      <c r="D6" s="391"/>
      <c r="E6" s="293">
        <v>7814000000</v>
      </c>
      <c r="F6" s="178">
        <v>12850000000</v>
      </c>
      <c r="G6" s="178">
        <v>16614000000</v>
      </c>
      <c r="H6" s="178">
        <v>23272000000</v>
      </c>
      <c r="I6" s="178">
        <v>37413000000</v>
      </c>
      <c r="J6" s="178">
        <v>45153000000</v>
      </c>
      <c r="K6" s="178">
        <v>53222000000</v>
      </c>
      <c r="L6" s="178">
        <v>72898000000</v>
      </c>
      <c r="M6" s="178">
        <v>51984000000</v>
      </c>
      <c r="N6" s="263">
        <v>61504000000</v>
      </c>
      <c r="O6" s="263">
        <v>21349000000</v>
      </c>
      <c r="P6" s="263">
        <v>74714000000</v>
      </c>
      <c r="Q6" s="178"/>
      <c r="R6" s="178"/>
      <c r="S6" s="178"/>
      <c r="T6" s="178"/>
      <c r="U6" s="178"/>
      <c r="V6" s="178"/>
      <c r="W6" s="2479"/>
      <c r="X6" s="246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c r="A7" t="s">
        <v>36</v>
      </c>
      <c r="B7" s="90" t="s">
        <v>36</v>
      </c>
      <c r="C7" s="345" t="s">
        <v>38</v>
      </c>
      <c r="D7" s="391"/>
      <c r="E7" s="293">
        <f>E8+E9</f>
        <v>7814000000</v>
      </c>
      <c r="F7" s="293">
        <f t="shared" ref="F7:K7" si="0">F8+F9</f>
        <v>12850000000</v>
      </c>
      <c r="G7" s="293">
        <f t="shared" si="0"/>
        <v>16614000000</v>
      </c>
      <c r="H7" s="293">
        <f t="shared" si="0"/>
        <v>23272000000</v>
      </c>
      <c r="I7" s="293">
        <f t="shared" si="0"/>
        <v>37414000000</v>
      </c>
      <c r="J7" s="293">
        <f t="shared" si="0"/>
        <v>45153000000</v>
      </c>
      <c r="K7" s="293">
        <f t="shared" si="0"/>
        <v>53222000000</v>
      </c>
      <c r="L7" s="293">
        <f>L8+L9</f>
        <v>72897000000</v>
      </c>
      <c r="M7" s="293">
        <f>M8+M9</f>
        <v>51985000000</v>
      </c>
      <c r="N7" s="293">
        <f>N8+N9</f>
        <v>61504000000</v>
      </c>
      <c r="O7" s="293">
        <f>O8+O9</f>
        <v>21277000000</v>
      </c>
      <c r="P7" s="293">
        <f>P8+P9</f>
        <v>74714000000</v>
      </c>
      <c r="Q7" s="293"/>
      <c r="R7" s="293"/>
      <c r="S7" s="293"/>
      <c r="T7" s="293"/>
      <c r="U7" s="293"/>
      <c r="V7" s="293"/>
      <c r="W7" s="2479"/>
      <c r="X7" s="2463"/>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90" t="s">
        <v>3940</v>
      </c>
      <c r="B8" s="90" t="s">
        <v>3941</v>
      </c>
      <c r="C8" s="58" t="s">
        <v>41</v>
      </c>
      <c r="D8" s="391"/>
      <c r="E8" s="293">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632"/>
      <c r="X8" s="263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90" t="s">
        <v>3942</v>
      </c>
      <c r="B9" s="90" t="s">
        <v>3943</v>
      </c>
      <c r="C9" s="58" t="s">
        <v>41</v>
      </c>
      <c r="D9" s="298"/>
      <c r="E9" s="293">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632"/>
      <c r="X9" s="263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99" t="s">
        <v>39</v>
      </c>
      <c r="B10" s="99" t="s">
        <v>3944</v>
      </c>
      <c r="C10" s="27" t="s">
        <v>316</v>
      </c>
      <c r="D10" s="298"/>
      <c r="E10" s="293">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632"/>
      <c r="X10" s="263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317</v>
      </c>
      <c r="B11" s="100" t="s">
        <v>3945</v>
      </c>
      <c r="C11" s="27" t="s">
        <v>319</v>
      </c>
      <c r="D11" s="298"/>
      <c r="E11" s="293">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632"/>
      <c r="X11" s="263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643</v>
      </c>
      <c r="B12" s="100" t="s">
        <v>3946</v>
      </c>
      <c r="C12" s="27" t="s">
        <v>319</v>
      </c>
      <c r="D12" s="298"/>
      <c r="E12" s="293">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632"/>
      <c r="X12" s="263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00" t="s">
        <v>3947</v>
      </c>
      <c r="B13" s="100" t="s">
        <v>3948</v>
      </c>
      <c r="C13" s="27" t="s">
        <v>319</v>
      </c>
      <c r="D13" s="298"/>
      <c r="E13" s="293">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632"/>
      <c r="X13" s="263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99" t="s">
        <v>51</v>
      </c>
      <c r="B14" s="99" t="s">
        <v>3949</v>
      </c>
      <c r="C14" s="27" t="s">
        <v>316</v>
      </c>
      <c r="D14" s="298"/>
      <c r="E14" s="293">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632"/>
      <c r="X14" s="263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99" t="s">
        <v>3950</v>
      </c>
      <c r="B15" s="99" t="s">
        <v>3951</v>
      </c>
      <c r="C15" s="27" t="s">
        <v>316</v>
      </c>
      <c r="D15" s="298"/>
      <c r="E15" s="293">
        <v>294000000</v>
      </c>
      <c r="F15" s="178"/>
      <c r="G15" s="178"/>
      <c r="H15" s="178"/>
      <c r="I15" s="178"/>
      <c r="J15" s="178"/>
      <c r="K15" s="178"/>
      <c r="L15" s="178"/>
      <c r="M15" s="178"/>
      <c r="N15" s="178"/>
      <c r="O15" s="178"/>
      <c r="P15" s="178"/>
      <c r="Q15" s="178"/>
      <c r="R15" s="178"/>
      <c r="S15" s="178"/>
      <c r="T15" s="178"/>
      <c r="U15" s="178"/>
      <c r="V15" s="178"/>
      <c r="W15" s="2632"/>
      <c r="X15" s="263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17" t="s">
        <v>53</v>
      </c>
      <c r="B16" s="117" t="s">
        <v>53</v>
      </c>
      <c r="C16" s="345" t="s">
        <v>38</v>
      </c>
      <c r="D16" s="298"/>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632"/>
      <c r="X16" s="263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9" customFormat="1">
      <c r="A17" s="18" t="s">
        <v>198</v>
      </c>
      <c r="B17" s="18" t="s">
        <v>3952</v>
      </c>
      <c r="C17" s="9" t="s">
        <v>35</v>
      </c>
      <c r="D17" s="295"/>
      <c r="E17" s="293">
        <v>8038000000</v>
      </c>
      <c r="F17" s="178">
        <v>10063000000</v>
      </c>
      <c r="G17" s="178">
        <v>13396000000</v>
      </c>
      <c r="H17" s="178">
        <v>17230000000</v>
      </c>
      <c r="I17" s="178">
        <v>19930000000</v>
      </c>
      <c r="J17" s="178">
        <v>22449000000</v>
      </c>
      <c r="K17" s="178">
        <v>30881000000</v>
      </c>
      <c r="L17" s="178">
        <v>44835000000</v>
      </c>
      <c r="M17" s="178">
        <v>43678000000</v>
      </c>
      <c r="N17" s="263">
        <v>53111000000</v>
      </c>
      <c r="O17" s="263">
        <v>27891000000</v>
      </c>
      <c r="P17" s="263">
        <v>53190000000</v>
      </c>
      <c r="Q17" s="178"/>
      <c r="R17" s="178"/>
      <c r="S17" s="178"/>
      <c r="T17" s="178"/>
      <c r="U17" s="178"/>
      <c r="V17" s="178"/>
      <c r="W17" s="2479"/>
      <c r="X17" s="2463"/>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A18" t="s">
        <v>76</v>
      </c>
      <c r="B18" s="90" t="s">
        <v>3953</v>
      </c>
      <c r="C18" s="34"/>
      <c r="D18" s="298"/>
      <c r="E18" s="293">
        <v>8038000000</v>
      </c>
      <c r="F18" s="125"/>
      <c r="G18" s="125"/>
      <c r="H18" s="125"/>
      <c r="I18" s="125"/>
      <c r="J18" s="125"/>
      <c r="K18" s="125"/>
      <c r="L18" s="125"/>
      <c r="M18" s="125"/>
      <c r="N18" s="178">
        <v>51831000000</v>
      </c>
      <c r="O18" s="178">
        <v>26891000000</v>
      </c>
      <c r="P18" s="178">
        <v>53160000000</v>
      </c>
      <c r="Q18" s="178"/>
      <c r="R18" s="178"/>
      <c r="S18" s="178"/>
      <c r="T18" s="178"/>
      <c r="U18" s="178"/>
      <c r="V18" s="178"/>
      <c r="W18" s="2632"/>
      <c r="X18" s="2633"/>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90" t="s">
        <v>73</v>
      </c>
      <c r="B19" s="90" t="s">
        <v>3954</v>
      </c>
      <c r="C19" s="58" t="s">
        <v>201</v>
      </c>
      <c r="D19" s="298"/>
      <c r="E19" s="293">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632"/>
      <c r="X19" s="2633"/>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03" t="s">
        <v>536</v>
      </c>
      <c r="B20" s="103" t="s">
        <v>536</v>
      </c>
      <c r="C20" s="58" t="s">
        <v>204</v>
      </c>
      <c r="D20" s="298"/>
      <c r="E20" s="293">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632"/>
      <c r="X20" s="2633"/>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99" t="s">
        <v>83</v>
      </c>
      <c r="B21" s="99" t="s">
        <v>1593</v>
      </c>
      <c r="C21" s="58" t="s">
        <v>204</v>
      </c>
      <c r="D21" s="298"/>
      <c r="E21" s="293">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632"/>
      <c r="X21" s="2633"/>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99" t="s">
        <v>3955</v>
      </c>
      <c r="B22" s="99" t="s">
        <v>3955</v>
      </c>
      <c r="C22" s="58" t="s">
        <v>204</v>
      </c>
      <c r="D22" s="298"/>
      <c r="E22" s="293">
        <v>75000000</v>
      </c>
      <c r="F22" s="178"/>
      <c r="G22" s="178"/>
      <c r="H22" s="178"/>
      <c r="I22" s="178"/>
      <c r="J22" s="178"/>
      <c r="K22" s="178"/>
      <c r="L22" s="178"/>
      <c r="M22" s="178"/>
      <c r="N22" s="178"/>
      <c r="O22" s="178"/>
      <c r="P22" s="178"/>
      <c r="Q22" s="178"/>
      <c r="R22" s="178"/>
      <c r="S22" s="178"/>
      <c r="T22" s="178"/>
      <c r="U22" s="178"/>
      <c r="V22" s="178"/>
      <c r="W22" s="2632"/>
      <c r="X22" s="2633"/>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9" t="s">
        <v>3956</v>
      </c>
      <c r="B23" s="99" t="s">
        <v>3957</v>
      </c>
      <c r="C23" s="58" t="s">
        <v>204</v>
      </c>
      <c r="D23" s="298"/>
      <c r="E23" s="293">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632"/>
      <c r="X23" s="2633"/>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26" t="s">
        <v>215</v>
      </c>
      <c r="B24" s="100" t="s">
        <v>3958</v>
      </c>
      <c r="C24" s="27" t="s">
        <v>218</v>
      </c>
      <c r="D24" s="298"/>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632"/>
      <c r="X24" s="263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3959</v>
      </c>
      <c r="B25" s="100" t="s">
        <v>3960</v>
      </c>
      <c r="C25" s="27" t="s">
        <v>218</v>
      </c>
      <c r="D25" s="298"/>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632"/>
      <c r="X25" s="263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487</v>
      </c>
      <c r="B26" s="100" t="s">
        <v>3961</v>
      </c>
      <c r="C26" s="27" t="s">
        <v>218</v>
      </c>
      <c r="D26" s="298"/>
      <c r="E26" s="125"/>
      <c r="F26" s="178">
        <v>67000000</v>
      </c>
      <c r="G26" s="178">
        <v>248000000</v>
      </c>
      <c r="H26" s="178">
        <v>132000000</v>
      </c>
      <c r="I26" s="328">
        <f>I23-I24</f>
        <v>447000000</v>
      </c>
      <c r="J26" s="178"/>
      <c r="K26" s="178"/>
      <c r="L26" s="178">
        <v>3337000000</v>
      </c>
      <c r="M26" s="178">
        <v>3500000000</v>
      </c>
      <c r="N26" s="178"/>
      <c r="O26" s="178"/>
      <c r="P26" s="178"/>
      <c r="Q26" s="178"/>
      <c r="R26" s="178"/>
      <c r="S26" s="178"/>
      <c r="T26" s="178"/>
      <c r="U26" s="178"/>
      <c r="V26" s="178"/>
      <c r="W26" s="2632"/>
      <c r="X26" s="263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100" t="s">
        <v>3962</v>
      </c>
      <c r="B27" s="100" t="s">
        <v>3963</v>
      </c>
      <c r="C27" s="58" t="s">
        <v>204</v>
      </c>
      <c r="D27" s="298"/>
      <c r="E27" s="293">
        <v>2689000000</v>
      </c>
      <c r="F27" s="178">
        <v>2541000000</v>
      </c>
      <c r="G27" s="178"/>
      <c r="H27" s="178"/>
      <c r="I27" s="178"/>
      <c r="J27" s="178"/>
      <c r="K27" s="178"/>
      <c r="L27" s="178"/>
      <c r="M27" s="178"/>
      <c r="N27" s="178"/>
      <c r="O27" s="178"/>
      <c r="P27" s="178"/>
      <c r="Q27" s="178"/>
      <c r="R27" s="178"/>
      <c r="S27" s="178"/>
      <c r="T27" s="178"/>
      <c r="U27" s="178"/>
      <c r="V27" s="178"/>
      <c r="W27" s="2632"/>
      <c r="X27" s="263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100" t="s">
        <v>3964</v>
      </c>
      <c r="B28" s="100" t="s">
        <v>3965</v>
      </c>
      <c r="C28" s="27" t="s">
        <v>3966</v>
      </c>
      <c r="D28" s="298"/>
      <c r="E28" s="293">
        <v>2193000000</v>
      </c>
      <c r="F28" s="178"/>
      <c r="G28" s="178"/>
      <c r="H28" s="178"/>
      <c r="I28" s="178"/>
      <c r="J28" s="178"/>
      <c r="K28" s="178"/>
      <c r="L28" s="178"/>
      <c r="M28" s="178"/>
      <c r="N28" s="178"/>
      <c r="O28" s="178"/>
      <c r="P28" s="178"/>
      <c r="Q28" s="178"/>
      <c r="R28" s="178"/>
      <c r="S28" s="178"/>
      <c r="T28" s="178"/>
      <c r="U28" s="178"/>
      <c r="V28" s="178"/>
      <c r="W28" s="2632"/>
      <c r="X28" s="263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232" t="s">
        <v>1738</v>
      </c>
      <c r="B29" s="232" t="s">
        <v>1738</v>
      </c>
      <c r="C29" s="27" t="s">
        <v>3966</v>
      </c>
      <c r="D29" s="298"/>
      <c r="E29" s="293">
        <v>496000000</v>
      </c>
      <c r="F29" s="178"/>
      <c r="G29" s="178"/>
      <c r="H29" s="178"/>
      <c r="I29" s="178"/>
      <c r="J29" s="178"/>
      <c r="K29" s="178"/>
      <c r="L29" s="178"/>
      <c r="M29" s="178"/>
      <c r="N29" s="178"/>
      <c r="O29" s="178"/>
      <c r="P29" s="178"/>
      <c r="Q29" s="178"/>
      <c r="R29" s="178"/>
      <c r="S29" s="178"/>
      <c r="T29" s="178"/>
      <c r="U29" s="178"/>
      <c r="V29" s="178"/>
      <c r="W29" s="2632"/>
      <c r="X29" s="263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338" t="s">
        <v>3967</v>
      </c>
      <c r="B30" s="338" t="s">
        <v>3967</v>
      </c>
      <c r="C30" s="58" t="s">
        <v>204</v>
      </c>
      <c r="D30" s="298"/>
      <c r="E30" s="293"/>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632"/>
      <c r="X30" s="263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338" t="s">
        <v>237</v>
      </c>
      <c r="B31" s="338" t="s">
        <v>904</v>
      </c>
      <c r="C31" s="58" t="s">
        <v>201</v>
      </c>
      <c r="D31" s="298"/>
      <c r="E31" s="293">
        <f>E32-E37</f>
        <v>1813000000</v>
      </c>
      <c r="F31" s="293">
        <f t="shared" ref="F31:M31" si="2">F32-F37</f>
        <v>3339000000</v>
      </c>
      <c r="G31" s="293">
        <f t="shared" si="2"/>
        <v>2832000000</v>
      </c>
      <c r="H31" s="293">
        <f t="shared" si="2"/>
        <v>6933000000</v>
      </c>
      <c r="I31" s="293">
        <f t="shared" si="2"/>
        <v>9265000000</v>
      </c>
      <c r="J31" s="293">
        <f t="shared" si="2"/>
        <v>12176000000</v>
      </c>
      <c r="K31" s="293">
        <f t="shared" si="2"/>
        <v>16271000000</v>
      </c>
      <c r="L31" s="293">
        <f t="shared" si="2"/>
        <v>25907000000</v>
      </c>
      <c r="M31" s="293">
        <f t="shared" si="2"/>
        <v>20789000000</v>
      </c>
      <c r="N31" s="178">
        <f>N32</f>
        <v>24279000000</v>
      </c>
      <c r="O31" s="178">
        <f>O32</f>
        <v>3503000000</v>
      </c>
      <c r="P31" s="178">
        <f>P32</f>
        <v>5500000000</v>
      </c>
      <c r="Q31" s="178"/>
      <c r="R31" s="178"/>
      <c r="S31" s="178"/>
      <c r="T31" s="178"/>
      <c r="U31" s="178"/>
      <c r="V31" s="178"/>
      <c r="W31" s="2632"/>
      <c r="X31" s="263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t="s">
        <v>76</v>
      </c>
      <c r="B32" s="90" t="s">
        <v>3968</v>
      </c>
      <c r="C32" s="34"/>
      <c r="D32" s="298"/>
      <c r="E32" s="293">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632"/>
      <c r="X32" s="263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3969</v>
      </c>
      <c r="B33" s="99" t="s">
        <v>3970</v>
      </c>
      <c r="C33" s="58" t="s">
        <v>241</v>
      </c>
      <c r="D33" s="298"/>
      <c r="E33" s="293">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632"/>
      <c r="X33" s="263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3971</v>
      </c>
      <c r="B34" s="99" t="s">
        <v>3972</v>
      </c>
      <c r="C34" s="58" t="s">
        <v>241</v>
      </c>
      <c r="D34" s="298"/>
      <c r="E34" s="293">
        <v>274000000</v>
      </c>
      <c r="F34" s="178">
        <v>403000000</v>
      </c>
      <c r="G34" s="178">
        <v>628000000</v>
      </c>
      <c r="H34" s="178">
        <v>798000000</v>
      </c>
      <c r="I34" s="178"/>
      <c r="J34" s="178"/>
      <c r="K34" s="178"/>
      <c r="L34" s="178"/>
      <c r="M34" s="178"/>
      <c r="N34" s="178"/>
      <c r="O34" s="178"/>
      <c r="P34" s="178"/>
      <c r="Q34" s="178"/>
      <c r="R34" s="178"/>
      <c r="S34" s="178"/>
      <c r="T34" s="178"/>
      <c r="U34" s="178"/>
      <c r="V34" s="178"/>
      <c r="W34" s="2632"/>
      <c r="X34" s="263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3973</v>
      </c>
      <c r="B35" s="99" t="s">
        <v>3974</v>
      </c>
      <c r="C35" s="58" t="s">
        <v>241</v>
      </c>
      <c r="D35" s="298"/>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632"/>
      <c r="X35" s="263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03" t="s">
        <v>3975</v>
      </c>
      <c r="B36" s="99" t="s">
        <v>3976</v>
      </c>
      <c r="C36" s="58" t="s">
        <v>241</v>
      </c>
      <c r="D36" s="298"/>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632"/>
      <c r="X36" s="263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0" t="s">
        <v>612</v>
      </c>
      <c r="B37" s="90" t="s">
        <v>1078</v>
      </c>
      <c r="C37" s="58" t="s">
        <v>201</v>
      </c>
      <c r="D37" s="298"/>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632"/>
      <c r="X37" s="2633"/>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t="s">
        <v>76</v>
      </c>
      <c r="B38" s="90" t="s">
        <v>1599</v>
      </c>
      <c r="C38" s="34"/>
      <c r="D38" s="298"/>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632"/>
      <c r="X38" s="2633"/>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t="s">
        <v>76</v>
      </c>
      <c r="B39" s="90" t="s">
        <v>3977</v>
      </c>
      <c r="C39" s="34"/>
      <c r="D39" s="298"/>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632"/>
      <c r="X39" s="2633"/>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s="371" customFormat="1" ht="16.5">
      <c r="A40" s="148" t="s">
        <v>115</v>
      </c>
      <c r="B40" s="392" t="s">
        <v>115</v>
      </c>
      <c r="C40" s="18" t="s">
        <v>35</v>
      </c>
      <c r="D40" s="393"/>
      <c r="E40" s="373">
        <f>E42</f>
        <v>-223000000</v>
      </c>
      <c r="F40" s="373">
        <f>F42</f>
        <v>-2788000000</v>
      </c>
      <c r="G40" s="373">
        <f>G42</f>
        <v>-3219000000</v>
      </c>
      <c r="H40" s="373">
        <f>H42</f>
        <v>-6042000000</v>
      </c>
      <c r="I40" s="394">
        <v>-17483000000</v>
      </c>
      <c r="J40" s="394">
        <v>-22704000000</v>
      </c>
      <c r="K40" s="328">
        <f>K41</f>
        <v>-23572000000</v>
      </c>
      <c r="L40" s="394">
        <v>-28062000000</v>
      </c>
      <c r="M40" s="328">
        <f>M41</f>
        <v>-15093000000</v>
      </c>
      <c r="N40" s="373">
        <f>N42</f>
        <v>-11904000000</v>
      </c>
      <c r="O40" s="373">
        <f>O42</f>
        <v>8596000000</v>
      </c>
      <c r="P40" s="373">
        <f>P42</f>
        <v>-21524000000</v>
      </c>
      <c r="Q40" s="125"/>
      <c r="R40" s="125"/>
      <c r="S40" s="125"/>
      <c r="T40" s="125"/>
      <c r="U40" s="125"/>
      <c r="V40" s="125"/>
      <c r="W40" s="2632"/>
      <c r="X40" s="263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t="s">
        <v>120</v>
      </c>
      <c r="B41" s="90" t="s">
        <v>1131</v>
      </c>
      <c r="C41" s="58" t="s">
        <v>252</v>
      </c>
      <c r="D41" s="298"/>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632"/>
      <c r="X41" s="263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t="s">
        <v>76</v>
      </c>
      <c r="B42" s="90" t="s">
        <v>3978</v>
      </c>
      <c r="C42" s="58"/>
      <c r="D42" s="298"/>
      <c r="E42" s="125">
        <v>-223000000</v>
      </c>
      <c r="F42" s="178">
        <v>-2788000000</v>
      </c>
      <c r="G42" s="178">
        <v>-3219000000</v>
      </c>
      <c r="H42" s="178">
        <v>-6042000000</v>
      </c>
      <c r="N42" s="178">
        <v>-11904000000</v>
      </c>
      <c r="O42" s="178">
        <v>8596000000</v>
      </c>
      <c r="P42" s="178">
        <v>-21524000000</v>
      </c>
      <c r="Q42" s="178"/>
      <c r="R42" s="178"/>
      <c r="S42" s="178"/>
      <c r="T42" s="178"/>
      <c r="U42" s="178"/>
      <c r="V42" s="178"/>
      <c r="W42" s="298"/>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A43" t="s">
        <v>76</v>
      </c>
      <c r="B43" s="90" t="s">
        <v>3979</v>
      </c>
      <c r="C43" s="34"/>
      <c r="D43" s="298"/>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t="s">
        <v>76</v>
      </c>
      <c r="B44" s="117" t="s">
        <v>50</v>
      </c>
      <c r="C44" s="34"/>
      <c r="D44" s="298"/>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8"/>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99" t="s">
        <v>861</v>
      </c>
      <c r="B45" s="90" t="s">
        <v>1614</v>
      </c>
      <c r="C45" s="58" t="s">
        <v>124</v>
      </c>
      <c r="D45" s="298"/>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3" t="s">
        <v>2604</v>
      </c>
      <c r="B46" s="90" t="s">
        <v>920</v>
      </c>
      <c r="C46" s="58" t="s">
        <v>124</v>
      </c>
      <c r="D46" s="298"/>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8"/>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c r="C47" s="34"/>
      <c r="D47" s="298"/>
      <c r="E47" s="125"/>
      <c r="F47" s="125"/>
      <c r="G47" s="125"/>
      <c r="H47" s="125"/>
      <c r="I47" s="125"/>
      <c r="J47" s="125"/>
      <c r="K47" s="125"/>
      <c r="L47" s="125"/>
      <c r="M47" s="125"/>
      <c r="N47" s="178"/>
      <c r="O47" s="178"/>
      <c r="P47" s="178"/>
      <c r="Q47" s="178"/>
      <c r="R47" s="178"/>
      <c r="S47" s="178"/>
      <c r="T47" s="178"/>
      <c r="U47" s="178"/>
      <c r="V47" s="178"/>
      <c r="W47" s="298"/>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c r="C48" s="34"/>
      <c r="D48" s="298"/>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8"/>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c r="C49" s="34"/>
      <c r="D49" s="298"/>
      <c r="E49" s="125"/>
      <c r="F49" s="125"/>
      <c r="G49" s="125"/>
      <c r="H49" s="125"/>
      <c r="I49" s="125"/>
      <c r="J49" s="178"/>
      <c r="K49" s="178"/>
      <c r="L49" s="178"/>
      <c r="M49" s="178"/>
      <c r="N49" s="178"/>
      <c r="O49" s="178"/>
      <c r="P49" s="178"/>
      <c r="Q49" s="178"/>
      <c r="R49" s="178"/>
      <c r="S49" s="178"/>
      <c r="T49" s="178"/>
      <c r="U49" s="178"/>
      <c r="V49" s="178"/>
      <c r="W49" s="29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2430</v>
      </c>
      <c r="C50" s="34"/>
      <c r="D50" s="298"/>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8"/>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450</v>
      </c>
      <c r="C51" s="34"/>
      <c r="D51" s="298"/>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8"/>
      <c r="X51" s="2"/>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3980</v>
      </c>
      <c r="C52" s="34"/>
      <c r="D52" s="298"/>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8"/>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142</v>
      </c>
      <c r="C53" s="34"/>
      <c r="D53" s="298"/>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3981</v>
      </c>
      <c r="C54" s="34"/>
      <c r="D54" s="298"/>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8"/>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888</v>
      </c>
      <c r="C55" s="34"/>
      <c r="D55" s="298"/>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8"/>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3982</v>
      </c>
      <c r="C56" s="34"/>
      <c r="D56" s="298"/>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8"/>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t="s">
        <v>3983</v>
      </c>
      <c r="C57" s="34"/>
      <c r="D57" s="298"/>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8"/>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t="s">
        <v>876</v>
      </c>
      <c r="C58" s="34"/>
      <c r="D58" s="298"/>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8"/>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148</v>
      </c>
      <c r="C59" s="34"/>
      <c r="D59" s="298"/>
      <c r="E59" s="125">
        <f>E40-E41</f>
        <v>0</v>
      </c>
      <c r="F59" s="125">
        <f t="shared" ref="F59:P59" si="12">F40-F41</f>
        <v>0</v>
      </c>
      <c r="G59" s="125">
        <f t="shared" si="12"/>
        <v>0</v>
      </c>
      <c r="H59" s="125">
        <f t="shared" si="12"/>
        <v>0</v>
      </c>
      <c r="I59" s="125">
        <f t="shared" si="12"/>
        <v>0</v>
      </c>
      <c r="J59" s="125">
        <f t="shared" si="12"/>
        <v>0</v>
      </c>
      <c r="K59" s="395">
        <f>K40-K41</f>
        <v>0</v>
      </c>
      <c r="L59" s="125">
        <f t="shared" si="12"/>
        <v>1000000</v>
      </c>
      <c r="M59" s="395">
        <f t="shared" si="12"/>
        <v>0</v>
      </c>
      <c r="N59" s="125">
        <f t="shared" si="12"/>
        <v>0</v>
      </c>
      <c r="O59" s="125">
        <f t="shared" si="12"/>
        <v>0</v>
      </c>
      <c r="P59" s="125">
        <f t="shared" si="12"/>
        <v>0</v>
      </c>
      <c r="Q59" s="125"/>
      <c r="R59" s="125"/>
      <c r="S59" s="125"/>
      <c r="T59" s="125"/>
      <c r="U59" s="125"/>
      <c r="V59" s="125"/>
      <c r="W59" s="298"/>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362</v>
      </c>
      <c r="C60" s="34"/>
      <c r="D60" s="298"/>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8"/>
      <c r="X60" s="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4.25" customHeight="1">
      <c r="C61" s="34"/>
      <c r="D61" s="298"/>
      <c r="E61" s="125"/>
      <c r="F61" s="125"/>
      <c r="G61" s="125"/>
      <c r="H61" s="125"/>
      <c r="I61" s="125"/>
      <c r="J61" s="125"/>
      <c r="K61" s="125"/>
      <c r="L61" s="125"/>
      <c r="M61" s="125"/>
      <c r="N61" s="125"/>
      <c r="O61" s="125"/>
      <c r="P61" s="125"/>
      <c r="Q61" s="125"/>
      <c r="R61" s="125"/>
      <c r="S61" s="125"/>
      <c r="T61" s="125"/>
      <c r="U61" s="125"/>
      <c r="V61" s="125"/>
      <c r="W61" s="298"/>
      <c r="X61" s="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2:50">
      <c r="B63" s="90" t="s">
        <v>151</v>
      </c>
      <c r="C63" s="34"/>
      <c r="D63" s="298"/>
      <c r="E63" s="396">
        <f>(E6/E62)*100</f>
        <v>37.858527131782942</v>
      </c>
      <c r="F63" s="396">
        <f t="shared" ref="F63:P63" si="14">(F6/F62)*100</f>
        <v>49.400276795325233</v>
      </c>
      <c r="G63" s="396">
        <f t="shared" si="14"/>
        <v>49.419953596287698</v>
      </c>
      <c r="H63" s="396">
        <f t="shared" si="14"/>
        <v>54.046773032350956</v>
      </c>
      <c r="I63" s="396">
        <f t="shared" si="14"/>
        <v>60.409804301491953</v>
      </c>
      <c r="J63" s="396">
        <f t="shared" si="14"/>
        <v>62.540513587634003</v>
      </c>
      <c r="K63" s="396">
        <f t="shared" si="14"/>
        <v>62.433427961429274</v>
      </c>
      <c r="L63" s="396">
        <f t="shared" si="14"/>
        <v>68.368581477139514</v>
      </c>
      <c r="M63" s="396">
        <f t="shared" si="14"/>
        <v>65.797534364478651</v>
      </c>
      <c r="N63" s="396">
        <f t="shared" si="14"/>
        <v>64.930375938262088</v>
      </c>
      <c r="O63" s="396">
        <f t="shared" si="14"/>
        <v>50.257774429718218</v>
      </c>
      <c r="P63" s="396">
        <f t="shared" si="14"/>
        <v>72.299206502806271</v>
      </c>
      <c r="Q63" s="396"/>
      <c r="R63" s="396"/>
      <c r="S63" s="396"/>
      <c r="T63" s="396"/>
      <c r="U63" s="396"/>
      <c r="V63" s="396"/>
      <c r="W63" s="298"/>
      <c r="X63" s="2"/>
    </row>
    <row r="64" spans="2:50">
      <c r="B64" s="90" t="s">
        <v>152</v>
      </c>
      <c r="C64" s="34"/>
      <c r="D64" s="298"/>
      <c r="E64" s="397">
        <f>(E17/E62)*100</f>
        <v>38.943798449612402</v>
      </c>
      <c r="F64" s="397">
        <f t="shared" ref="F64:P64" si="15">(F17/F62)*100</f>
        <v>38.685991081039525</v>
      </c>
      <c r="G64" s="397">
        <f t="shared" si="15"/>
        <v>39.847700636563744</v>
      </c>
      <c r="H64" s="397">
        <f t="shared" si="15"/>
        <v>40.014863327062869</v>
      </c>
      <c r="I64" s="397">
        <f t="shared" si="15"/>
        <v>32.180455983982434</v>
      </c>
      <c r="J64" s="397">
        <f t="shared" si="15"/>
        <v>31.093659104130307</v>
      </c>
      <c r="K64" s="397">
        <f t="shared" si="15"/>
        <v>36.225746662600002</v>
      </c>
      <c r="L64" s="397">
        <f t="shared" si="15"/>
        <v>42.049237983587339</v>
      </c>
      <c r="M64" s="397">
        <f t="shared" si="15"/>
        <v>55.284408779080074</v>
      </c>
      <c r="N64" s="397">
        <f t="shared" si="15"/>
        <v>56.069803532405018</v>
      </c>
      <c r="O64" s="397">
        <f t="shared" si="15"/>
        <v>65.658325290143367</v>
      </c>
      <c r="P64" s="397">
        <f t="shared" si="15"/>
        <v>51.47087284691311</v>
      </c>
      <c r="Q64" s="397"/>
      <c r="R64" s="397"/>
      <c r="S64" s="397"/>
      <c r="T64" s="397"/>
      <c r="U64" s="397"/>
      <c r="V64" s="397"/>
      <c r="W64" s="298"/>
      <c r="X64" s="2"/>
    </row>
    <row r="65" spans="2:16">
      <c r="B65" t="s">
        <v>3984</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K6" activePane="bottomRight" state="frozen"/>
      <selection pane="topRight" activeCell="R7" sqref="R7"/>
      <selection pane="bottomLeft" activeCell="R7" sqref="R7"/>
      <selection pane="bottomRight" activeCell="K24" sqref="K24:Z24"/>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9.5703125" bestFit="1" customWidth="1"/>
  </cols>
  <sheetData>
    <row r="1" spans="1:26">
      <c r="A1" s="369" t="s">
        <v>3985</v>
      </c>
      <c r="B1" s="82" t="s">
        <v>3986</v>
      </c>
      <c r="C1" s="82"/>
      <c r="D1" s="27"/>
      <c r="E1" s="27"/>
      <c r="F1" s="27"/>
      <c r="G1" s="27"/>
      <c r="H1" s="27"/>
      <c r="I1" s="27"/>
      <c r="J1" s="27"/>
      <c r="K1" s="27"/>
      <c r="L1" s="27"/>
      <c r="M1" s="27"/>
      <c r="N1" s="27"/>
      <c r="O1" s="28"/>
      <c r="P1" s="28"/>
      <c r="Q1" s="28"/>
      <c r="R1" s="29"/>
      <c r="S1" s="28"/>
      <c r="T1" s="28"/>
      <c r="U1" s="28"/>
      <c r="V1" s="28"/>
      <c r="W1" s="28"/>
      <c r="X1" s="2"/>
    </row>
    <row r="2" spans="1:26">
      <c r="B2" s="30" t="s">
        <v>3987</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874" customFormat="1" ht="15.75">
      <c r="A6" s="880" t="s">
        <v>33</v>
      </c>
      <c r="B6" s="880" t="s">
        <v>3988</v>
      </c>
      <c r="C6" s="880" t="s">
        <v>35</v>
      </c>
      <c r="D6" s="1170">
        <v>85533000000</v>
      </c>
      <c r="E6" s="1170">
        <v>79453000000</v>
      </c>
      <c r="F6" s="1170">
        <v>85204000000</v>
      </c>
      <c r="G6" s="1170">
        <v>96514000000</v>
      </c>
      <c r="H6" s="1647">
        <v>96800000000</v>
      </c>
      <c r="I6" s="1647">
        <v>100900000000</v>
      </c>
      <c r="J6" s="1170">
        <v>102300000000</v>
      </c>
      <c r="K6" s="1170">
        <v>117500000000</v>
      </c>
      <c r="L6" s="1170">
        <f>L7+L23</f>
        <v>133900000000</v>
      </c>
      <c r="M6" s="1170">
        <v>125300000000</v>
      </c>
      <c r="N6" s="1170">
        <v>131600000000</v>
      </c>
      <c r="O6" s="1170">
        <v>136400000000</v>
      </c>
      <c r="P6" s="1170">
        <f>P7+P23</f>
        <v>137600000000</v>
      </c>
      <c r="Q6" s="1170">
        <v>139700000000</v>
      </c>
      <c r="R6" s="1170">
        <v>145200000000</v>
      </c>
      <c r="S6" s="1170">
        <v>160700000000</v>
      </c>
      <c r="T6" s="1170">
        <v>169000000000</v>
      </c>
      <c r="U6" s="911">
        <v>178600000000</v>
      </c>
      <c r="V6" s="911">
        <v>189100000000</v>
      </c>
      <c r="W6" s="911">
        <v>200100000000</v>
      </c>
      <c r="X6" s="911">
        <v>211900000000</v>
      </c>
      <c r="Y6" s="913">
        <v>224400000000</v>
      </c>
      <c r="Z6" s="913">
        <v>238000000000</v>
      </c>
    </row>
    <row r="7" spans="1:26">
      <c r="A7" s="891" t="s">
        <v>36</v>
      </c>
      <c r="B7" s="891" t="s">
        <v>159</v>
      </c>
      <c r="C7" s="1648"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132600000000</v>
      </c>
      <c r="M7" s="210">
        <f t="shared" si="0"/>
        <v>124500000000</v>
      </c>
      <c r="N7" s="210">
        <f t="shared" si="0"/>
        <v>130100000000</v>
      </c>
      <c r="O7" s="210">
        <f t="shared" si="0"/>
        <v>135300000000</v>
      </c>
      <c r="P7" s="210">
        <f>P8+P20+P21</f>
        <v>134600000000</v>
      </c>
      <c r="Q7" s="210">
        <f t="shared" ref="Q7:Z7" si="1">Q6-Q23</f>
        <v>136200000000</v>
      </c>
      <c r="R7" s="210">
        <f t="shared" si="1"/>
        <v>141800000000</v>
      </c>
      <c r="S7" s="210">
        <f t="shared" si="1"/>
        <v>156000000000</v>
      </c>
      <c r="T7" s="210">
        <f t="shared" si="1"/>
        <v>165400000000</v>
      </c>
      <c r="U7" s="269">
        <f t="shared" si="1"/>
        <v>173300000000</v>
      </c>
      <c r="V7" s="269">
        <f t="shared" si="1"/>
        <v>183500000000</v>
      </c>
      <c r="W7" s="269">
        <f t="shared" si="1"/>
        <v>194200000000</v>
      </c>
      <c r="X7" s="269">
        <f t="shared" si="1"/>
        <v>205700000000</v>
      </c>
      <c r="Y7" s="267">
        <f t="shared" si="1"/>
        <v>217800000000</v>
      </c>
      <c r="Z7" s="267">
        <f t="shared" si="1"/>
        <v>231000000000</v>
      </c>
    </row>
    <row r="8" spans="1:26">
      <c r="A8" s="65" t="s">
        <v>3989</v>
      </c>
      <c r="B8" s="65" t="s">
        <v>3990</v>
      </c>
      <c r="C8" s="58" t="s">
        <v>41</v>
      </c>
      <c r="D8" s="210">
        <v>77009000000</v>
      </c>
      <c r="E8" s="210">
        <v>73644000000</v>
      </c>
      <c r="F8" s="210">
        <v>80569000000</v>
      </c>
      <c r="G8" s="210">
        <v>77056000000</v>
      </c>
      <c r="H8" s="125">
        <v>81600000000</v>
      </c>
      <c r="I8" s="125">
        <v>84600000000</v>
      </c>
      <c r="J8" s="210">
        <v>89200000000</v>
      </c>
      <c r="K8" s="210">
        <v>101300000000</v>
      </c>
      <c r="L8" s="210">
        <f>L10+L11+L12+L14+L13+L15+L16</f>
        <v>112800000000</v>
      </c>
      <c r="M8" s="210">
        <v>106900000000</v>
      </c>
      <c r="N8" s="210">
        <v>112400000000</v>
      </c>
      <c r="O8" s="210">
        <v>118700000000</v>
      </c>
      <c r="P8" s="210">
        <f>P10+P11+P12+P13+P14+P15+P16</f>
        <v>117600000000</v>
      </c>
      <c r="Q8" s="210">
        <v>121000000000</v>
      </c>
      <c r="R8" s="210">
        <v>129300000000.00002</v>
      </c>
      <c r="S8" s="210">
        <v>140800000000</v>
      </c>
      <c r="T8" s="210">
        <v>150400000000</v>
      </c>
      <c r="U8" s="269">
        <v>157700000000</v>
      </c>
      <c r="V8" s="269">
        <v>166400000000</v>
      </c>
      <c r="W8" s="269">
        <v>176200000000</v>
      </c>
      <c r="X8" s="269">
        <v>186600000000</v>
      </c>
      <c r="Y8" s="267">
        <v>197500000000</v>
      </c>
      <c r="Z8" s="267">
        <v>209600000000</v>
      </c>
    </row>
    <row r="9" spans="1:26">
      <c r="A9" s="221" t="s">
        <v>317</v>
      </c>
      <c r="B9" s="221" t="s">
        <v>3991</v>
      </c>
      <c r="C9" t="s">
        <v>44</v>
      </c>
      <c r="D9" s="210">
        <v>13586000000</v>
      </c>
      <c r="E9" s="210">
        <v>10253000000</v>
      </c>
      <c r="F9" s="210">
        <v>10140000000</v>
      </c>
      <c r="G9" s="210">
        <v>10773000000</v>
      </c>
      <c r="H9" s="298">
        <v>10100000000</v>
      </c>
      <c r="I9" s="125">
        <v>10900000000</v>
      </c>
      <c r="J9" s="210"/>
      <c r="K9" s="210"/>
      <c r="L9" s="210"/>
      <c r="M9" s="210"/>
      <c r="N9" s="210"/>
      <c r="O9" s="210"/>
      <c r="P9" s="210"/>
      <c r="Q9" s="210"/>
      <c r="R9" s="210"/>
      <c r="S9" s="210"/>
      <c r="T9" s="210"/>
      <c r="U9" s="269"/>
      <c r="V9" s="269"/>
      <c r="W9" s="269"/>
      <c r="X9" s="269"/>
      <c r="Y9" s="267"/>
      <c r="Z9" s="267"/>
    </row>
    <row r="10" spans="1:26">
      <c r="A10" t="s">
        <v>3992</v>
      </c>
      <c r="B10" s="65" t="s">
        <v>3993</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69">
        <v>15000000000</v>
      </c>
      <c r="V10" s="269">
        <v>15800000000</v>
      </c>
      <c r="W10" s="269">
        <v>16600000000.000002</v>
      </c>
      <c r="X10" s="269">
        <v>17600000000</v>
      </c>
      <c r="Y10" s="267">
        <v>18600000000</v>
      </c>
      <c r="Z10" s="267">
        <v>19800000000</v>
      </c>
    </row>
    <row r="11" spans="1:26">
      <c r="A11" t="s">
        <v>3994</v>
      </c>
      <c r="B11" s="65" t="s">
        <v>3995</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69">
        <v>11200000000</v>
      </c>
      <c r="V11" s="269">
        <v>11800000000</v>
      </c>
      <c r="W11" s="269">
        <v>12400000000</v>
      </c>
      <c r="X11" s="269">
        <v>13200000000</v>
      </c>
      <c r="Y11" s="267">
        <v>13900000000</v>
      </c>
      <c r="Z11" s="267">
        <v>14800000000</v>
      </c>
    </row>
    <row r="12" spans="1:26">
      <c r="A12" t="s">
        <v>3996</v>
      </c>
      <c r="B12" s="65" t="s">
        <v>3997</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69">
        <v>48100000000</v>
      </c>
      <c r="V12" s="269">
        <v>50600000000</v>
      </c>
      <c r="W12" s="269">
        <v>54100000000</v>
      </c>
      <c r="X12" s="269">
        <v>57200000000</v>
      </c>
      <c r="Y12" s="267">
        <v>60600000000</v>
      </c>
      <c r="Z12" s="267">
        <v>64300000000</v>
      </c>
    </row>
    <row r="13" spans="1:26">
      <c r="A13" s="65" t="s">
        <v>553</v>
      </c>
      <c r="B13" s="65" t="s">
        <v>553</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69">
        <v>23300000000</v>
      </c>
      <c r="V13" s="269">
        <v>24600000000</v>
      </c>
      <c r="W13" s="269">
        <v>25900000000</v>
      </c>
      <c r="X13" s="269">
        <v>27400000000</v>
      </c>
      <c r="Y13" s="267">
        <v>29000000000</v>
      </c>
      <c r="Z13" s="267">
        <v>30800000000</v>
      </c>
    </row>
    <row r="14" spans="1:26">
      <c r="A14" s="65" t="s">
        <v>2674</v>
      </c>
      <c r="B14" s="65" t="s">
        <v>3998</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69">
        <v>5000000000</v>
      </c>
      <c r="V14" s="269">
        <v>5200000000</v>
      </c>
      <c r="W14" s="269">
        <v>5500000000</v>
      </c>
      <c r="X14" s="269">
        <v>5800000000</v>
      </c>
      <c r="Y14" s="267">
        <v>6200000000</v>
      </c>
      <c r="Z14" s="267">
        <v>6500000000</v>
      </c>
    </row>
    <row r="15" spans="1:26">
      <c r="A15" s="65" t="s">
        <v>2670</v>
      </c>
      <c r="B15" s="65" t="s">
        <v>3999</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69">
        <v>2200000000</v>
      </c>
      <c r="V15" s="269">
        <v>2700000000</v>
      </c>
      <c r="W15" s="269">
        <v>2900000000</v>
      </c>
      <c r="X15" s="269">
        <v>3000000000</v>
      </c>
      <c r="Y15" s="267">
        <v>3200000000</v>
      </c>
      <c r="Z15" s="267">
        <v>3400000000</v>
      </c>
    </row>
    <row r="16" spans="1:26">
      <c r="A16" s="65" t="s">
        <v>558</v>
      </c>
      <c r="B16" s="65" t="s">
        <v>4000</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69">
        <v>53000000000</v>
      </c>
      <c r="V16" s="269">
        <v>55800000000</v>
      </c>
      <c r="W16" s="269">
        <v>58800000000</v>
      </c>
      <c r="X16" s="269">
        <v>62300000000</v>
      </c>
      <c r="Y16" s="267">
        <v>65900000000.000008</v>
      </c>
      <c r="Z16" s="267">
        <v>70000000000</v>
      </c>
    </row>
    <row r="17" spans="1:26">
      <c r="A17" s="65" t="s">
        <v>87</v>
      </c>
      <c r="B17" s="65" t="s">
        <v>87</v>
      </c>
      <c r="C17" s="27" t="s">
        <v>4001</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69">
        <v>35600000000</v>
      </c>
      <c r="V17" s="269">
        <v>37500000000</v>
      </c>
      <c r="W17" s="269">
        <v>39500000000</v>
      </c>
      <c r="X17" s="269">
        <v>41900000000</v>
      </c>
      <c r="Y17" s="267">
        <v>44300000000</v>
      </c>
      <c r="Z17" s="267">
        <v>47000000000</v>
      </c>
    </row>
    <row r="18" spans="1:26">
      <c r="A18" s="65" t="s">
        <v>4002</v>
      </c>
      <c r="B18" s="65" t="s">
        <v>4002</v>
      </c>
      <c r="C18" s="27" t="s">
        <v>4001</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69">
        <v>2300000000</v>
      </c>
      <c r="V18" s="269">
        <v>2400000000</v>
      </c>
      <c r="W18" s="269">
        <v>2500000000</v>
      </c>
      <c r="X18" s="269">
        <v>2700000000</v>
      </c>
      <c r="Y18" s="267">
        <v>2800000000</v>
      </c>
      <c r="Z18" s="267">
        <v>3000000000</v>
      </c>
    </row>
    <row r="19" spans="1:26">
      <c r="A19" s="65" t="s">
        <v>102</v>
      </c>
      <c r="B19" s="65" t="s">
        <v>102</v>
      </c>
      <c r="C19" s="27" t="s">
        <v>4001</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69">
        <v>15100000000</v>
      </c>
      <c r="V19" s="269">
        <v>15900000000</v>
      </c>
      <c r="W19" s="269">
        <v>16800000000</v>
      </c>
      <c r="X19" s="269">
        <v>17700000000</v>
      </c>
      <c r="Y19" s="267">
        <v>18800000000</v>
      </c>
      <c r="Z19" s="267">
        <v>19900000000</v>
      </c>
    </row>
    <row r="20" spans="1:26">
      <c r="A20" s="58" t="s">
        <v>4003</v>
      </c>
      <c r="B20" s="58" t="s">
        <v>4004</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69">
        <v>13700000000</v>
      </c>
      <c r="V20" s="269">
        <v>15000000000</v>
      </c>
      <c r="W20" s="269">
        <v>15900000000</v>
      </c>
      <c r="X20" s="269">
        <v>16800000000</v>
      </c>
      <c r="Y20" s="267">
        <v>17800000000</v>
      </c>
      <c r="Z20" s="267">
        <v>18900000000</v>
      </c>
    </row>
    <row r="21" spans="1:26">
      <c r="A21" s="58" t="s">
        <v>4005</v>
      </c>
      <c r="B21" s="58" t="s">
        <v>4006</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69">
        <v>1900000000</v>
      </c>
      <c r="V21" s="269">
        <v>2000000000</v>
      </c>
      <c r="W21" s="269">
        <v>2200000000</v>
      </c>
      <c r="X21" s="269">
        <v>2300000000</v>
      </c>
      <c r="Y21" s="267">
        <v>2400000000</v>
      </c>
      <c r="Z21" s="267">
        <v>2600000000</v>
      </c>
    </row>
    <row r="22" spans="1:26">
      <c r="A22" t="s">
        <v>76</v>
      </c>
      <c r="B22" s="58" t="s">
        <v>4007</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69"/>
      <c r="V22" s="269"/>
      <c r="W22" s="269"/>
      <c r="X22" s="269"/>
      <c r="Y22" s="267"/>
      <c r="Z22" s="267"/>
    </row>
    <row r="23" spans="1:26">
      <c r="A23" s="58" t="s">
        <v>53</v>
      </c>
      <c r="B23" s="58" t="s">
        <v>53</v>
      </c>
      <c r="C23" s="345"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69">
        <v>5300000000</v>
      </c>
      <c r="V23" s="269">
        <v>5600000000</v>
      </c>
      <c r="W23" s="269">
        <v>5900000000</v>
      </c>
      <c r="X23" s="269">
        <v>6200000000</v>
      </c>
      <c r="Y23" s="267">
        <v>6600000000</v>
      </c>
      <c r="Z23" s="267">
        <v>7000000000</v>
      </c>
    </row>
    <row r="24" spans="1:26" s="874" customFormat="1" ht="15.75">
      <c r="A24" s="880" t="s">
        <v>71</v>
      </c>
      <c r="B24" s="880" t="s">
        <v>4008</v>
      </c>
      <c r="C24" s="880" t="s">
        <v>35</v>
      </c>
      <c r="D24" s="1170">
        <v>79628000000</v>
      </c>
      <c r="E24" s="1170">
        <v>94299000000</v>
      </c>
      <c r="F24" s="1170">
        <v>98758000000</v>
      </c>
      <c r="G24" s="1170">
        <v>96708000000</v>
      </c>
      <c r="H24" s="1647">
        <v>95100000000</v>
      </c>
      <c r="I24" s="1647">
        <v>100200000000</v>
      </c>
      <c r="J24" s="1170">
        <v>104000000000</v>
      </c>
      <c r="K24" s="1170">
        <f>K25+K35+K36+K37</f>
        <v>115500000000</v>
      </c>
      <c r="L24" s="1170">
        <f t="shared" ref="L24:Z24" si="2">L25+L35+L36+L37</f>
        <v>137800000000</v>
      </c>
      <c r="M24" s="1170">
        <f t="shared" si="2"/>
        <v>136400000000</v>
      </c>
      <c r="N24" s="1170">
        <f t="shared" si="2"/>
        <v>142700000000</v>
      </c>
      <c r="O24" s="1170">
        <f t="shared" si="2"/>
        <v>148600000000</v>
      </c>
      <c r="P24" s="1170">
        <f t="shared" si="2"/>
        <v>155900000000</v>
      </c>
      <c r="Q24" s="1170">
        <f t="shared" si="2"/>
        <v>159500000000</v>
      </c>
      <c r="R24" s="1170">
        <f t="shared" si="2"/>
        <v>168000000000</v>
      </c>
      <c r="S24" s="1170">
        <f t="shared" si="2"/>
        <v>180700000000</v>
      </c>
      <c r="T24" s="1170">
        <f t="shared" si="2"/>
        <v>185400000000</v>
      </c>
      <c r="U24" s="1170">
        <f t="shared" si="2"/>
        <v>198000000000</v>
      </c>
      <c r="V24" s="1170">
        <f t="shared" si="2"/>
        <v>214300000000</v>
      </c>
      <c r="W24" s="1170">
        <f t="shared" si="2"/>
        <v>226600000000</v>
      </c>
      <c r="X24" s="1170">
        <f t="shared" si="2"/>
        <v>240000000000</v>
      </c>
      <c r="Y24" s="1170">
        <f t="shared" si="2"/>
        <v>254500000000</v>
      </c>
      <c r="Z24" s="1170">
        <f t="shared" si="2"/>
        <v>270200000000</v>
      </c>
    </row>
    <row r="25" spans="1:26">
      <c r="A25" s="58" t="s">
        <v>476</v>
      </c>
      <c r="B25" s="58" t="s">
        <v>4009</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69">
        <v>179100000000</v>
      </c>
      <c r="V25" s="269">
        <v>190300000000</v>
      </c>
      <c r="W25" s="269">
        <v>202400000000</v>
      </c>
      <c r="X25" s="269">
        <v>216300000000</v>
      </c>
      <c r="Y25" s="267">
        <v>229400000000</v>
      </c>
      <c r="Z25" s="267">
        <v>243600000000</v>
      </c>
    </row>
    <row r="26" spans="1:26">
      <c r="A26" s="64" t="s">
        <v>79</v>
      </c>
      <c r="B26" s="64" t="s">
        <v>1808</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69">
        <v>26600000000</v>
      </c>
      <c r="V26" s="269">
        <v>28500000000</v>
      </c>
      <c r="W26" s="269">
        <v>30500000000</v>
      </c>
      <c r="X26" s="269">
        <v>32299999999.999996</v>
      </c>
      <c r="Y26" s="267">
        <v>34200000000.000004</v>
      </c>
      <c r="Z26" s="267">
        <v>36300000000</v>
      </c>
    </row>
    <row r="27" spans="1:26">
      <c r="A27" s="64" t="s">
        <v>83</v>
      </c>
      <c r="B27" s="64" t="s">
        <v>749</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69">
        <v>16800000000</v>
      </c>
      <c r="V27" s="269">
        <v>18000000000</v>
      </c>
      <c r="W27" s="269">
        <v>18900000000</v>
      </c>
      <c r="X27" s="269">
        <v>20800000000</v>
      </c>
      <c r="Y27" s="267">
        <v>22000000000</v>
      </c>
      <c r="Z27" s="267">
        <v>23300000000</v>
      </c>
    </row>
    <row r="28" spans="1:26">
      <c r="A28" s="64" t="s">
        <v>1485</v>
      </c>
      <c r="B28" s="64" t="s">
        <v>1485</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69"/>
      <c r="V28" s="269"/>
      <c r="W28" s="269"/>
      <c r="X28" s="269"/>
      <c r="Y28" s="267"/>
      <c r="Z28" s="267"/>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69">
        <v>127500000000</v>
      </c>
      <c r="V29" s="269">
        <v>135100000000</v>
      </c>
      <c r="W29" s="269">
        <v>143400000000</v>
      </c>
      <c r="X29" s="269">
        <v>152600000000</v>
      </c>
      <c r="Y29" s="267">
        <v>161600000000</v>
      </c>
      <c r="Z29" s="267">
        <v>171500000000</v>
      </c>
    </row>
    <row r="30" spans="1:26">
      <c r="A30" s="65" t="s">
        <v>87</v>
      </c>
      <c r="B30" s="65" t="s">
        <v>87</v>
      </c>
      <c r="C30" s="27" t="s">
        <v>486</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69">
        <v>58000000000</v>
      </c>
      <c r="V30" s="269">
        <v>61400000000</v>
      </c>
      <c r="W30" s="269">
        <v>65099999999.999992</v>
      </c>
      <c r="X30" s="269">
        <v>68900000000</v>
      </c>
      <c r="Y30" s="267">
        <v>73000000000</v>
      </c>
      <c r="Z30" s="267">
        <v>77400000000</v>
      </c>
    </row>
    <row r="31" spans="1:26">
      <c r="A31" s="65" t="s">
        <v>102</v>
      </c>
      <c r="B31" s="65" t="s">
        <v>102</v>
      </c>
      <c r="C31" s="27" t="s">
        <v>486</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69">
        <v>27100000000</v>
      </c>
      <c r="V31" s="269">
        <v>28500000000</v>
      </c>
      <c r="W31" s="269">
        <v>30100000000</v>
      </c>
      <c r="X31" s="269">
        <v>31800000000</v>
      </c>
      <c r="Y31" s="267">
        <v>33700000000.000004</v>
      </c>
      <c r="Z31" s="267">
        <v>35700000000</v>
      </c>
    </row>
    <row r="32" spans="1:26">
      <c r="A32" s="65" t="s">
        <v>4010</v>
      </c>
      <c r="B32" s="65" t="s">
        <v>4011</v>
      </c>
      <c r="C32" s="27" t="s">
        <v>486</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69"/>
      <c r="V32" s="269"/>
      <c r="W32" s="269"/>
      <c r="X32" s="269"/>
      <c r="Y32" s="267"/>
      <c r="Z32" s="267"/>
    </row>
    <row r="33" spans="1:26">
      <c r="A33" s="65" t="s">
        <v>50</v>
      </c>
      <c r="B33" s="65" t="s">
        <v>50</v>
      </c>
      <c r="C33" s="27" t="s">
        <v>486</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69">
        <v>42400000000</v>
      </c>
      <c r="V33" s="269">
        <v>45200000000</v>
      </c>
      <c r="W33" s="269">
        <v>48200000000</v>
      </c>
      <c r="X33" s="269">
        <v>51900000000</v>
      </c>
      <c r="Y33" s="267">
        <v>54900000000</v>
      </c>
      <c r="Z33" s="267">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69">
        <v>8199999999.999999</v>
      </c>
      <c r="V34" s="269">
        <v>8800000000</v>
      </c>
      <c r="W34" s="269">
        <v>9600000000</v>
      </c>
      <c r="X34" s="269">
        <v>10500000000</v>
      </c>
      <c r="Y34" s="267">
        <v>11600000000</v>
      </c>
      <c r="Z34" s="267">
        <v>12500000000</v>
      </c>
    </row>
    <row r="35" spans="1:26">
      <c r="A35" s="58" t="s">
        <v>88</v>
      </c>
      <c r="B35" s="58" t="s">
        <v>4012</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69">
        <v>18900000000</v>
      </c>
      <c r="V35" s="269">
        <v>21200000000</v>
      </c>
      <c r="W35" s="269">
        <v>22300000000</v>
      </c>
      <c r="X35" s="269">
        <v>23700000000</v>
      </c>
      <c r="Y35" s="267">
        <v>25100000000</v>
      </c>
      <c r="Z35" s="267">
        <v>26600000000</v>
      </c>
    </row>
    <row r="36" spans="1:26">
      <c r="A36" s="65" t="s">
        <v>244</v>
      </c>
      <c r="B36" s="58" t="s">
        <v>4013</v>
      </c>
      <c r="C36" s="58" t="s">
        <v>201</v>
      </c>
      <c r="D36" s="125"/>
      <c r="E36" s="125"/>
      <c r="F36" s="125"/>
      <c r="G36" s="125"/>
      <c r="H36" s="125">
        <v>0</v>
      </c>
      <c r="I36" s="125">
        <v>0</v>
      </c>
      <c r="J36" s="210">
        <v>0</v>
      </c>
      <c r="K36" s="2721">
        <v>0</v>
      </c>
      <c r="L36" s="2721">
        <v>0</v>
      </c>
      <c r="M36" s="2721">
        <v>0</v>
      </c>
      <c r="N36" s="2721">
        <v>0</v>
      </c>
      <c r="O36" s="2721">
        <v>0</v>
      </c>
      <c r="P36" s="2721">
        <v>0</v>
      </c>
      <c r="Q36" s="2721">
        <v>0</v>
      </c>
      <c r="R36" s="2721">
        <v>0</v>
      </c>
      <c r="S36" s="2721">
        <v>0</v>
      </c>
      <c r="T36" s="2721">
        <v>0</v>
      </c>
      <c r="U36" s="2741">
        <v>0</v>
      </c>
      <c r="V36" s="2741">
        <v>0</v>
      </c>
      <c r="W36" s="2741">
        <v>0</v>
      </c>
      <c r="X36" s="2741">
        <v>0</v>
      </c>
      <c r="Y36" s="852">
        <v>0</v>
      </c>
      <c r="Z36" s="852">
        <v>0</v>
      </c>
    </row>
    <row r="37" spans="1:26">
      <c r="A37" s="58" t="s">
        <v>4014</v>
      </c>
      <c r="B37" s="58" t="s">
        <v>4015</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69">
        <v>0</v>
      </c>
      <c r="V37" s="269">
        <v>2800000000</v>
      </c>
      <c r="W37" s="269">
        <v>1900000000</v>
      </c>
      <c r="X37" s="269">
        <v>0</v>
      </c>
      <c r="Y37" s="267">
        <v>0</v>
      </c>
      <c r="Z37" s="267">
        <v>0</v>
      </c>
    </row>
    <row r="38" spans="1:26">
      <c r="A38" t="s">
        <v>76</v>
      </c>
      <c r="B38" s="58" t="s">
        <v>4016</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69">
        <v>-19000000000</v>
      </c>
      <c r="V38" s="269">
        <v>-24800000000</v>
      </c>
      <c r="W38" s="269">
        <v>-26200000000</v>
      </c>
      <c r="X38" s="269">
        <v>-27600000000</v>
      </c>
      <c r="Y38" s="267">
        <v>-29700000000</v>
      </c>
      <c r="Z38" s="267">
        <v>-31700000000</v>
      </c>
    </row>
    <row r="39" spans="1:26" s="874" customFormat="1" ht="15.75">
      <c r="A39" s="880" t="s">
        <v>115</v>
      </c>
      <c r="B39" s="880" t="s">
        <v>115</v>
      </c>
      <c r="C39" s="880" t="s">
        <v>35</v>
      </c>
      <c r="D39" s="1170">
        <v>-5905000000</v>
      </c>
      <c r="E39" s="1170">
        <v>14846000000</v>
      </c>
      <c r="F39" s="1170">
        <v>13554000000</v>
      </c>
      <c r="G39" s="1170">
        <v>194000000</v>
      </c>
      <c r="H39" s="1170">
        <f>H40+H45+H46</f>
        <v>-1100000000</v>
      </c>
      <c r="I39" s="1647">
        <v>-800000000</v>
      </c>
      <c r="J39" s="1170">
        <v>1100000000</v>
      </c>
      <c r="K39" s="1170">
        <v>-3600000000</v>
      </c>
      <c r="L39" s="1170">
        <v>2400000000</v>
      </c>
      <c r="M39" s="1170">
        <v>10900000000</v>
      </c>
      <c r="N39" s="1170">
        <v>10500000000</v>
      </c>
      <c r="O39" s="1170">
        <v>11500000000</v>
      </c>
      <c r="P39" s="1170">
        <v>17700000000</v>
      </c>
      <c r="Q39" s="1170">
        <v>19300000000</v>
      </c>
      <c r="R39" s="1170">
        <v>22100000000</v>
      </c>
      <c r="S39" s="1170">
        <v>19400000000</v>
      </c>
      <c r="T39" s="1170">
        <v>16100000000.000002</v>
      </c>
      <c r="U39" s="911">
        <v>19000000000</v>
      </c>
      <c r="V39" s="911">
        <v>24800000000</v>
      </c>
      <c r="W39" s="911">
        <v>26200000000</v>
      </c>
      <c r="X39" s="911">
        <v>27600000000</v>
      </c>
      <c r="Y39" s="913">
        <v>29700000000</v>
      </c>
      <c r="Z39" s="913">
        <v>31700000000</v>
      </c>
    </row>
    <row r="40" spans="1:26">
      <c r="A40" s="891" t="s">
        <v>4017</v>
      </c>
      <c r="B40" s="891" t="s">
        <v>2643</v>
      </c>
      <c r="C40" s="891" t="s">
        <v>252</v>
      </c>
      <c r="D40" s="210">
        <f>D41-D45</f>
        <v>-11992000000</v>
      </c>
      <c r="E40" s="210">
        <f>E41-E45</f>
        <v>-5546000000</v>
      </c>
      <c r="F40" s="210">
        <f>F41-F45</f>
        <v>10245000000</v>
      </c>
      <c r="G40" s="210">
        <f>G41-G45</f>
        <v>-2062000000</v>
      </c>
      <c r="H40" s="210">
        <f t="shared" ref="H40:Z40" si="3">H41</f>
        <v>-2900000000</v>
      </c>
      <c r="I40" s="210">
        <f t="shared" si="3"/>
        <v>-12900000000</v>
      </c>
      <c r="J40" s="210">
        <f t="shared" si="3"/>
        <v>-9800000000</v>
      </c>
      <c r="K40" s="210">
        <f t="shared" si="3"/>
        <v>7600000000</v>
      </c>
      <c r="L40" s="210">
        <f t="shared" si="3"/>
        <v>-100000000</v>
      </c>
      <c r="M40" s="210">
        <f t="shared" si="3"/>
        <v>100000000</v>
      </c>
      <c r="N40" s="210">
        <f t="shared" si="3"/>
        <v>5900000000</v>
      </c>
      <c r="O40" s="210">
        <f t="shared" si="3"/>
        <v>-9400000000</v>
      </c>
      <c r="P40" s="210">
        <f t="shared" si="3"/>
        <v>13300000000</v>
      </c>
      <c r="Q40" s="210">
        <f t="shared" si="3"/>
        <v>13100000000</v>
      </c>
      <c r="R40" s="210">
        <f t="shared" si="3"/>
        <v>-6100000000</v>
      </c>
      <c r="S40" s="210">
        <f t="shared" si="3"/>
        <v>21700000000</v>
      </c>
      <c r="T40" s="210">
        <f t="shared" si="3"/>
        <v>-3400000000</v>
      </c>
      <c r="U40" s="210">
        <f t="shared" si="3"/>
        <v>23000000000</v>
      </c>
      <c r="V40" s="210">
        <f t="shared" si="3"/>
        <v>-7200000000</v>
      </c>
      <c r="W40" s="210">
        <f t="shared" si="3"/>
        <v>11800000000</v>
      </c>
      <c r="X40" s="210">
        <f t="shared" si="3"/>
        <v>25300000000</v>
      </c>
      <c r="Y40" s="210">
        <f t="shared" si="3"/>
        <v>25200000000</v>
      </c>
      <c r="Z40" s="210">
        <f t="shared" si="3"/>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69">
        <v>23000000000</v>
      </c>
      <c r="V41" s="269">
        <v>-7200000000</v>
      </c>
      <c r="W41" s="269">
        <v>11800000000</v>
      </c>
      <c r="X41" s="269">
        <v>25300000000</v>
      </c>
      <c r="Y41" s="267">
        <v>25200000000</v>
      </c>
      <c r="Z41" s="267">
        <v>21600000000</v>
      </c>
    </row>
    <row r="42" spans="1:26">
      <c r="A42" s="65" t="s">
        <v>2862</v>
      </c>
      <c r="B42" s="65" t="s">
        <v>4018</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69">
        <v>11000000000</v>
      </c>
      <c r="V42" s="269">
        <v>-6900000000</v>
      </c>
      <c r="W42" s="269">
        <v>1900000000</v>
      </c>
      <c r="X42" s="269">
        <v>-6300000000</v>
      </c>
      <c r="Y42" s="267">
        <v>-2000000000</v>
      </c>
      <c r="Z42" s="267">
        <v>7100000000</v>
      </c>
    </row>
    <row r="43" spans="1:26">
      <c r="A43" s="65" t="s">
        <v>4019</v>
      </c>
      <c r="B43" s="65" t="s">
        <v>4020</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69"/>
      <c r="V43" s="269"/>
      <c r="W43" s="269"/>
      <c r="X43" s="269"/>
      <c r="Y43" s="267"/>
      <c r="Z43" s="267"/>
    </row>
    <row r="44" spans="1:26">
      <c r="A44" s="65" t="s">
        <v>1094</v>
      </c>
      <c r="B44" s="65" t="s">
        <v>4021</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69">
        <v>12000000000</v>
      </c>
      <c r="V44" s="269">
        <v>-300000000</v>
      </c>
      <c r="W44" s="269">
        <v>10000000000</v>
      </c>
      <c r="X44" s="269">
        <v>31700000000</v>
      </c>
      <c r="Y44" s="267">
        <v>27200000000</v>
      </c>
      <c r="Z44" s="267">
        <v>14500000000</v>
      </c>
    </row>
    <row r="45" spans="1:26">
      <c r="A45" s="65" t="s">
        <v>253</v>
      </c>
      <c r="B45" s="65" t="s">
        <v>4022</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69">
        <v>0</v>
      </c>
      <c r="V45" s="269">
        <v>0</v>
      </c>
      <c r="W45" s="269">
        <v>0</v>
      </c>
      <c r="X45" s="269">
        <v>0</v>
      </c>
      <c r="Y45" s="267">
        <v>0</v>
      </c>
      <c r="Z45" s="267">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69">
        <v>-4000000000</v>
      </c>
      <c r="V46" s="269">
        <v>32000000000</v>
      </c>
      <c r="W46" s="269">
        <v>14300000000</v>
      </c>
      <c r="X46" s="269">
        <v>2300000000</v>
      </c>
      <c r="Y46" s="267">
        <v>4500000000</v>
      </c>
      <c r="Z46" s="267">
        <v>10100000000</v>
      </c>
    </row>
    <row r="47" spans="1:26">
      <c r="A47" s="65" t="s">
        <v>3387</v>
      </c>
      <c r="B47" s="65" t="s">
        <v>3387</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4023</v>
      </c>
      <c r="B48" s="65" t="s">
        <v>4023</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2549</v>
      </c>
      <c r="C52" s="34"/>
      <c r="D52" s="21">
        <f>D6-D23-D7</f>
        <v>1000000</v>
      </c>
      <c r="E52" s="21">
        <f t="shared" ref="E52:V52" si="4">E6-E23-E7</f>
        <v>0</v>
      </c>
      <c r="F52" s="21">
        <f t="shared" si="4"/>
        <v>0</v>
      </c>
      <c r="G52" s="21">
        <f t="shared" si="4"/>
        <v>1000000</v>
      </c>
      <c r="H52" s="21">
        <f t="shared" si="4"/>
        <v>-100000000</v>
      </c>
      <c r="I52" s="21">
        <f t="shared" si="4"/>
        <v>0</v>
      </c>
      <c r="J52" s="21">
        <f t="shared" si="4"/>
        <v>0</v>
      </c>
      <c r="K52" s="21">
        <f t="shared" si="4"/>
        <v>0</v>
      </c>
      <c r="L52" s="21">
        <f t="shared" si="4"/>
        <v>0</v>
      </c>
      <c r="M52" s="21">
        <f t="shared" si="4"/>
        <v>0</v>
      </c>
      <c r="N52" s="21">
        <f t="shared" si="4"/>
        <v>0</v>
      </c>
      <c r="O52" s="21">
        <f t="shared" si="4"/>
        <v>0</v>
      </c>
      <c r="P52" s="21">
        <f>P6-P23-P7</f>
        <v>0</v>
      </c>
      <c r="Q52" s="21">
        <f t="shared" si="4"/>
        <v>0</v>
      </c>
      <c r="R52" s="21">
        <f t="shared" si="4"/>
        <v>0</v>
      </c>
      <c r="S52" s="21">
        <f t="shared" si="4"/>
        <v>0</v>
      </c>
      <c r="T52" s="21">
        <f t="shared" si="4"/>
        <v>0</v>
      </c>
      <c r="U52" s="21">
        <f t="shared" si="4"/>
        <v>0</v>
      </c>
      <c r="V52" s="21">
        <f t="shared" si="4"/>
        <v>0</v>
      </c>
      <c r="W52" s="21">
        <f>W6-W23-W7</f>
        <v>0</v>
      </c>
      <c r="X52" s="21">
        <f t="shared" ref="X52:Z52" si="5">X6-X23-X7</f>
        <v>0</v>
      </c>
      <c r="Y52" s="21">
        <f t="shared" si="5"/>
        <v>0</v>
      </c>
      <c r="Z52" s="21">
        <f t="shared" si="5"/>
        <v>0</v>
      </c>
    </row>
    <row r="53" spans="2:26">
      <c r="B53" s="90" t="s">
        <v>141</v>
      </c>
      <c r="C53" s="34"/>
      <c r="D53" s="21">
        <f>D7-D8-D20-D21</f>
        <v>0</v>
      </c>
      <c r="E53" s="21">
        <f t="shared" ref="E53:V53" si="6">E7-E8-E20-E21</f>
        <v>0</v>
      </c>
      <c r="F53" s="21">
        <f t="shared" si="6"/>
        <v>0</v>
      </c>
      <c r="G53" s="21">
        <f t="shared" si="6"/>
        <v>0</v>
      </c>
      <c r="H53" s="21">
        <f t="shared" si="6"/>
        <v>0</v>
      </c>
      <c r="I53" s="21">
        <f t="shared" si="6"/>
        <v>0</v>
      </c>
      <c r="J53" s="21">
        <f t="shared" si="6"/>
        <v>0</v>
      </c>
      <c r="K53" s="21">
        <f t="shared" si="6"/>
        <v>0</v>
      </c>
      <c r="L53" s="21">
        <f t="shared" si="6"/>
        <v>0</v>
      </c>
      <c r="M53" s="21">
        <f t="shared" si="6"/>
        <v>0</v>
      </c>
      <c r="N53" s="21">
        <f t="shared" si="6"/>
        <v>0</v>
      </c>
      <c r="O53" s="21">
        <f t="shared" si="6"/>
        <v>0</v>
      </c>
      <c r="P53" s="21">
        <f t="shared" si="6"/>
        <v>0</v>
      </c>
      <c r="Q53" s="21">
        <f t="shared" si="6"/>
        <v>0</v>
      </c>
      <c r="R53" s="21">
        <f t="shared" si="6"/>
        <v>-1.52587890625E-5</v>
      </c>
      <c r="S53" s="21">
        <f t="shared" si="6"/>
        <v>0</v>
      </c>
      <c r="T53" s="21">
        <f t="shared" si="6"/>
        <v>0</v>
      </c>
      <c r="U53" s="21">
        <f t="shared" si="6"/>
        <v>0</v>
      </c>
      <c r="V53" s="21">
        <f t="shared" si="6"/>
        <v>100000000</v>
      </c>
      <c r="W53" s="21">
        <f>W7-W8-W20-W21</f>
        <v>-100000000</v>
      </c>
      <c r="X53" s="21">
        <f t="shared" ref="X53:Z53" si="7">X7-X8-X20-X21</f>
        <v>0</v>
      </c>
      <c r="Y53" s="21">
        <f t="shared" si="7"/>
        <v>100000000</v>
      </c>
      <c r="Z53" s="21">
        <f t="shared" si="7"/>
        <v>-100000000</v>
      </c>
    </row>
    <row r="54" spans="2:26">
      <c r="B54" s="90" t="s">
        <v>451</v>
      </c>
      <c r="C54" s="34"/>
      <c r="D54" s="21">
        <f>D8-D9-D10-D11-D12-D13-D14-D15-D16</f>
        <v>-1000000</v>
      </c>
      <c r="E54" s="21">
        <f t="shared" ref="E54:W54" si="8">E8-E9-E10-E11-E12-E13-E14-E15-E16</f>
        <v>0</v>
      </c>
      <c r="F54" s="21">
        <f t="shared" si="8"/>
        <v>0</v>
      </c>
      <c r="G54" s="21">
        <f t="shared" si="8"/>
        <v>0</v>
      </c>
      <c r="H54" s="21">
        <f>H8-H9-H10-H11-H12-H13-H14-H15-H16</f>
        <v>0</v>
      </c>
      <c r="I54" s="21">
        <f t="shared" si="8"/>
        <v>0</v>
      </c>
      <c r="J54" s="21">
        <f t="shared" si="8"/>
        <v>100000000</v>
      </c>
      <c r="K54" s="21">
        <f t="shared" si="8"/>
        <v>-100000000</v>
      </c>
      <c r="L54" s="21">
        <f t="shared" si="8"/>
        <v>0</v>
      </c>
      <c r="M54" s="21">
        <f t="shared" si="8"/>
        <v>100000000</v>
      </c>
      <c r="N54" s="21">
        <f t="shared" si="8"/>
        <v>-100000000</v>
      </c>
      <c r="O54" s="21">
        <f t="shared" si="8"/>
        <v>0</v>
      </c>
      <c r="P54" s="21">
        <f>P8-P9-P10-P11-P12-P13-P14-P15-P16</f>
        <v>0</v>
      </c>
      <c r="Q54" s="21">
        <f t="shared" si="8"/>
        <v>0</v>
      </c>
      <c r="R54" s="21">
        <f t="shared" si="8"/>
        <v>-99999999.999984741</v>
      </c>
      <c r="S54" s="21">
        <f t="shared" si="8"/>
        <v>0</v>
      </c>
      <c r="T54" s="21">
        <f t="shared" si="8"/>
        <v>0</v>
      </c>
      <c r="U54" s="21">
        <f t="shared" si="8"/>
        <v>-100000000</v>
      </c>
      <c r="V54" s="21">
        <f t="shared" si="8"/>
        <v>-100000000</v>
      </c>
      <c r="W54" s="21">
        <f t="shared" si="8"/>
        <v>0</v>
      </c>
      <c r="X54" s="21">
        <f t="shared" ref="X54:Z54" si="9">X8-X9-X10-X11-X12-X13-X14-X15-X16</f>
        <v>100000000</v>
      </c>
      <c r="Y54" s="21">
        <f t="shared" si="9"/>
        <v>99999999.999992371</v>
      </c>
      <c r="Z54" s="21">
        <f t="shared" si="9"/>
        <v>0</v>
      </c>
    </row>
    <row r="55" spans="2:26">
      <c r="B55" s="90" t="s">
        <v>4024</v>
      </c>
      <c r="C55" s="34"/>
      <c r="D55" s="131">
        <f>D16-D17-D18-D19</f>
        <v>25091000000</v>
      </c>
      <c r="E55" s="131">
        <f t="shared" ref="E55:W55" si="10">E16-E17-E18-E19</f>
        <v>25363000000</v>
      </c>
      <c r="F55" s="131">
        <f t="shared" si="10"/>
        <v>25494000000</v>
      </c>
      <c r="G55" s="131">
        <f t="shared" si="10"/>
        <v>27217000000</v>
      </c>
      <c r="H55" s="131">
        <f t="shared" si="10"/>
        <v>28100000000</v>
      </c>
      <c r="I55" s="131">
        <f>I16-I17-I18-I19</f>
        <v>28600000000</v>
      </c>
      <c r="J55" s="21">
        <f t="shared" si="10"/>
        <v>0</v>
      </c>
      <c r="K55" s="21">
        <f t="shared" si="10"/>
        <v>0</v>
      </c>
      <c r="L55" s="21">
        <f t="shared" si="10"/>
        <v>0</v>
      </c>
      <c r="M55" s="21">
        <f t="shared" si="10"/>
        <v>0</v>
      </c>
      <c r="N55" s="21">
        <f t="shared" si="10"/>
        <v>0</v>
      </c>
      <c r="O55" s="21">
        <f t="shared" si="10"/>
        <v>0</v>
      </c>
      <c r="P55" s="21">
        <f t="shared" si="10"/>
        <v>100000000</v>
      </c>
      <c r="Q55" s="21">
        <f t="shared" si="10"/>
        <v>0</v>
      </c>
      <c r="R55" s="21">
        <f t="shared" si="10"/>
        <v>0</v>
      </c>
      <c r="S55" s="21">
        <f t="shared" si="10"/>
        <v>99999999.999996185</v>
      </c>
      <c r="T55" s="21">
        <f t="shared" si="10"/>
        <v>0</v>
      </c>
      <c r="U55" s="21">
        <f t="shared" si="10"/>
        <v>0</v>
      </c>
      <c r="V55" s="21">
        <f t="shared" si="10"/>
        <v>0</v>
      </c>
      <c r="W55" s="21">
        <f t="shared" si="10"/>
        <v>0</v>
      </c>
      <c r="X55" s="21">
        <f t="shared" ref="X55:Z55" si="11">X16-X17-X18-X19</f>
        <v>0</v>
      </c>
      <c r="Y55" s="21">
        <f t="shared" si="11"/>
        <v>0</v>
      </c>
      <c r="Z55" s="21">
        <f t="shared" si="11"/>
        <v>100000000</v>
      </c>
    </row>
    <row r="56" spans="2:26">
      <c r="B56" s="90" t="s">
        <v>1762</v>
      </c>
      <c r="D56" s="21">
        <f>D24-D25-D36-D35-D37</f>
        <v>1000000</v>
      </c>
      <c r="E56" s="21">
        <f t="shared" ref="E56:W56" si="12">E24-E25-E36-E35-E37</f>
        <v>0</v>
      </c>
      <c r="F56" s="21">
        <f t="shared" si="12"/>
        <v>-1000000</v>
      </c>
      <c r="G56" s="21">
        <f t="shared" si="12"/>
        <v>-1000000</v>
      </c>
      <c r="H56" s="21">
        <f t="shared" si="12"/>
        <v>0</v>
      </c>
      <c r="I56" s="21">
        <f t="shared" si="12"/>
        <v>0</v>
      </c>
      <c r="J56" s="21">
        <f t="shared" si="12"/>
        <v>-100000000</v>
      </c>
      <c r="K56" s="21">
        <f t="shared" si="12"/>
        <v>0</v>
      </c>
      <c r="L56" s="21">
        <f t="shared" si="12"/>
        <v>0</v>
      </c>
      <c r="M56" s="21">
        <f t="shared" si="12"/>
        <v>0</v>
      </c>
      <c r="N56" s="21">
        <f t="shared" si="12"/>
        <v>0</v>
      </c>
      <c r="O56" s="21">
        <f t="shared" si="12"/>
        <v>0</v>
      </c>
      <c r="P56" s="21">
        <f t="shared" si="12"/>
        <v>0</v>
      </c>
      <c r="Q56" s="21">
        <f t="shared" si="12"/>
        <v>-1.9073486328125E-6</v>
      </c>
      <c r="R56" s="21">
        <f t="shared" si="12"/>
        <v>0</v>
      </c>
      <c r="S56" s="21">
        <f t="shared" si="12"/>
        <v>0</v>
      </c>
      <c r="T56" s="21">
        <f t="shared" si="12"/>
        <v>0</v>
      </c>
      <c r="U56" s="21">
        <f t="shared" si="12"/>
        <v>0</v>
      </c>
      <c r="V56" s="21">
        <f t="shared" si="12"/>
        <v>0</v>
      </c>
      <c r="W56" s="21">
        <f t="shared" si="12"/>
        <v>0</v>
      </c>
      <c r="X56" s="21">
        <f t="shared" ref="X56:Z56" si="13">X24-X25-X36-X35-X37</f>
        <v>0</v>
      </c>
      <c r="Y56" s="21">
        <f t="shared" si="13"/>
        <v>0</v>
      </c>
      <c r="Z56" s="21">
        <f t="shared" si="13"/>
        <v>0</v>
      </c>
    </row>
    <row r="57" spans="2:26">
      <c r="B57" s="90" t="s">
        <v>1978</v>
      </c>
      <c r="D57" s="21">
        <f>D25-D26-D27-D28-D29-D34</f>
        <v>-1000000</v>
      </c>
      <c r="E57" s="21">
        <f t="shared" ref="E57:W57" si="14">E25-E26-E27-E28-E29-E34</f>
        <v>0</v>
      </c>
      <c r="F57" s="21">
        <f t="shared" si="14"/>
        <v>0</v>
      </c>
      <c r="G57" s="21">
        <f t="shared" si="14"/>
        <v>0</v>
      </c>
      <c r="H57" s="21">
        <f t="shared" si="14"/>
        <v>0</v>
      </c>
      <c r="I57" s="21">
        <f t="shared" si="14"/>
        <v>0</v>
      </c>
      <c r="J57" s="21">
        <f t="shared" si="14"/>
        <v>100000000</v>
      </c>
      <c r="K57" s="21">
        <f t="shared" si="14"/>
        <v>0</v>
      </c>
      <c r="L57" s="21">
        <f t="shared" si="14"/>
        <v>100000000</v>
      </c>
      <c r="M57" s="21">
        <f t="shared" si="14"/>
        <v>0</v>
      </c>
      <c r="N57" s="21">
        <f>N25-N26-N27-N28-N29-N34</f>
        <v>0</v>
      </c>
      <c r="O57" s="21">
        <f t="shared" si="14"/>
        <v>0</v>
      </c>
      <c r="P57" s="21">
        <f t="shared" si="14"/>
        <v>0</v>
      </c>
      <c r="Q57" s="21">
        <f t="shared" si="14"/>
        <v>0</v>
      </c>
      <c r="R57" s="21">
        <f t="shared" si="14"/>
        <v>-100000000</v>
      </c>
      <c r="S57" s="21">
        <f t="shared" si="14"/>
        <v>0</v>
      </c>
      <c r="T57" s="21">
        <f t="shared" si="14"/>
        <v>-100000000</v>
      </c>
      <c r="U57" s="21">
        <f t="shared" si="14"/>
        <v>0</v>
      </c>
      <c r="V57" s="21">
        <f t="shared" si="14"/>
        <v>-100000000</v>
      </c>
      <c r="W57" s="21">
        <f t="shared" si="14"/>
        <v>0</v>
      </c>
      <c r="X57" s="21">
        <f t="shared" ref="X57:Z57" si="15">X25-X26-X27-X28-X29-X34</f>
        <v>100000000</v>
      </c>
      <c r="Y57" s="21">
        <f t="shared" si="15"/>
        <v>0</v>
      </c>
      <c r="Z57" s="21">
        <f t="shared" si="15"/>
        <v>0</v>
      </c>
    </row>
    <row r="58" spans="2:26">
      <c r="B58" s="90" t="s">
        <v>1961</v>
      </c>
      <c r="D58" s="131">
        <f>D29-D30-D31-D32-D33</f>
        <v>44717000000</v>
      </c>
      <c r="E58" s="131">
        <f t="shared" ref="E58:W58" si="16">E29-E30-E31-E32-E33</f>
        <v>43597000000</v>
      </c>
      <c r="F58" s="131">
        <f t="shared" si="16"/>
        <v>51377000000</v>
      </c>
      <c r="G58" s="131">
        <f t="shared" si="16"/>
        <v>48811000000</v>
      </c>
      <c r="H58" s="131">
        <f t="shared" si="16"/>
        <v>50200000000</v>
      </c>
      <c r="I58" s="131">
        <f>I29-I30-I31-I32-I33</f>
        <v>51600000000</v>
      </c>
      <c r="J58" s="21">
        <f t="shared" si="16"/>
        <v>0</v>
      </c>
      <c r="K58" s="21">
        <f t="shared" si="16"/>
        <v>0</v>
      </c>
      <c r="L58" s="21">
        <f t="shared" si="16"/>
        <v>0</v>
      </c>
      <c r="M58" s="21">
        <f t="shared" si="16"/>
        <v>0</v>
      </c>
      <c r="N58" s="21">
        <f t="shared" si="16"/>
        <v>99999999.999998093</v>
      </c>
      <c r="O58" s="21">
        <f t="shared" si="16"/>
        <v>0</v>
      </c>
      <c r="P58" s="21">
        <f t="shared" si="16"/>
        <v>0</v>
      </c>
      <c r="Q58" s="21">
        <f t="shared" si="16"/>
        <v>-100000000</v>
      </c>
      <c r="R58" s="21">
        <f t="shared" si="16"/>
        <v>0</v>
      </c>
      <c r="S58" s="21">
        <f t="shared" si="16"/>
        <v>0</v>
      </c>
      <c r="T58" s="21">
        <f t="shared" si="16"/>
        <v>0</v>
      </c>
      <c r="U58" s="21">
        <f t="shared" si="16"/>
        <v>0</v>
      </c>
      <c r="V58" s="21">
        <f t="shared" si="16"/>
        <v>0</v>
      </c>
      <c r="W58" s="21">
        <f t="shared" si="16"/>
        <v>0</v>
      </c>
      <c r="X58" s="21">
        <f t="shared" ref="X58:Z58" si="17">X29-X30-X31-X32-X33</f>
        <v>0</v>
      </c>
      <c r="Y58" s="21">
        <f t="shared" si="17"/>
        <v>0</v>
      </c>
      <c r="Z58" s="21">
        <f t="shared" si="17"/>
        <v>100000000</v>
      </c>
    </row>
    <row r="59" spans="2:26">
      <c r="B59" s="90" t="s">
        <v>148</v>
      </c>
      <c r="D59" s="21">
        <f>D39-D40-D45-D46</f>
        <v>0</v>
      </c>
      <c r="E59" s="21">
        <f t="shared" ref="E59:W59" si="18">E39-E40-E45-E46</f>
        <v>0</v>
      </c>
      <c r="F59" s="21">
        <f t="shared" si="18"/>
        <v>0</v>
      </c>
      <c r="G59" s="21">
        <f t="shared" si="18"/>
        <v>0</v>
      </c>
      <c r="H59" s="21">
        <f t="shared" si="18"/>
        <v>0</v>
      </c>
      <c r="I59" s="21">
        <f t="shared" si="18"/>
        <v>0</v>
      </c>
      <c r="J59" s="21">
        <f t="shared" si="18"/>
        <v>0</v>
      </c>
      <c r="K59" s="21">
        <f t="shared" si="18"/>
        <v>0</v>
      </c>
      <c r="L59" s="21">
        <f t="shared" si="18"/>
        <v>0</v>
      </c>
      <c r="M59" s="21">
        <f t="shared" si="18"/>
        <v>0</v>
      </c>
      <c r="N59" s="21">
        <f t="shared" si="18"/>
        <v>0</v>
      </c>
      <c r="O59" s="21">
        <f t="shared" si="18"/>
        <v>0</v>
      </c>
      <c r="P59" s="21">
        <f t="shared" si="18"/>
        <v>0</v>
      </c>
      <c r="Q59" s="21">
        <f t="shared" si="18"/>
        <v>0</v>
      </c>
      <c r="R59" s="21">
        <f t="shared" si="18"/>
        <v>-100000000</v>
      </c>
      <c r="S59" s="21">
        <f t="shared" si="18"/>
        <v>0</v>
      </c>
      <c r="T59" s="21">
        <f t="shared" si="18"/>
        <v>0</v>
      </c>
      <c r="U59" s="21">
        <f t="shared" si="18"/>
        <v>0</v>
      </c>
      <c r="V59" s="21">
        <f t="shared" si="18"/>
        <v>0</v>
      </c>
      <c r="W59" s="21">
        <f t="shared" si="18"/>
        <v>100000000</v>
      </c>
      <c r="X59" s="21">
        <f t="shared" ref="X59:Z59" si="19">X39-X40-X45-X46</f>
        <v>0</v>
      </c>
      <c r="Y59" s="21">
        <f t="shared" si="19"/>
        <v>0</v>
      </c>
      <c r="Z59" s="21">
        <f t="shared" si="19"/>
        <v>0</v>
      </c>
    </row>
    <row r="60" spans="2:26">
      <c r="B60" s="90" t="s">
        <v>297</v>
      </c>
      <c r="D60" s="21">
        <f>D40-D42-D43-D44</f>
        <v>1000000</v>
      </c>
      <c r="E60" s="21">
        <f t="shared" ref="E60:S60" si="20">E40-E42-E43-E44</f>
        <v>0</v>
      </c>
      <c r="F60" s="21">
        <f t="shared" si="20"/>
        <v>0</v>
      </c>
      <c r="G60" s="21">
        <f t="shared" si="20"/>
        <v>0</v>
      </c>
      <c r="H60" s="21">
        <f t="shared" si="20"/>
        <v>-100000000</v>
      </c>
      <c r="I60" s="21">
        <f t="shared" si="20"/>
        <v>-100000000</v>
      </c>
      <c r="J60" s="21">
        <f t="shared" si="20"/>
        <v>0</v>
      </c>
      <c r="K60" s="21">
        <f t="shared" si="20"/>
        <v>0</v>
      </c>
      <c r="L60" s="21">
        <f t="shared" si="20"/>
        <v>0</v>
      </c>
      <c r="M60" s="21">
        <f t="shared" si="20"/>
        <v>0</v>
      </c>
      <c r="N60" s="21">
        <f t="shared" si="20"/>
        <v>0</v>
      </c>
      <c r="O60" s="21">
        <f t="shared" si="20"/>
        <v>0</v>
      </c>
      <c r="P60" s="21">
        <f t="shared" si="20"/>
        <v>0</v>
      </c>
      <c r="Q60" s="21">
        <f t="shared" si="20"/>
        <v>0</v>
      </c>
      <c r="R60" s="21">
        <f t="shared" si="20"/>
        <v>100000000</v>
      </c>
      <c r="S60" s="21">
        <f t="shared" si="20"/>
        <v>0</v>
      </c>
      <c r="T60" s="21">
        <f>T40-T42-T43-T44</f>
        <v>0</v>
      </c>
      <c r="U60" s="21">
        <f>U40-U42-U43-U44</f>
        <v>0</v>
      </c>
      <c r="V60" s="21">
        <f>V40-V42-V43-V44</f>
        <v>0</v>
      </c>
      <c r="W60" s="21">
        <f>W40-W42-W43-W44</f>
        <v>-100000000</v>
      </c>
      <c r="X60" s="21">
        <f t="shared" ref="X60:Z60" si="21">X40-X42-X43-X44</f>
        <v>-100000000</v>
      </c>
      <c r="Y60" s="21">
        <f t="shared" si="21"/>
        <v>0</v>
      </c>
      <c r="Z60" s="21">
        <f t="shared" si="21"/>
        <v>0</v>
      </c>
    </row>
    <row r="61" spans="2:26">
      <c r="B61" s="90" t="s">
        <v>1171</v>
      </c>
      <c r="D61" s="131">
        <f>D46-D47-D48</f>
        <v>3450000000</v>
      </c>
      <c r="E61" s="131">
        <f t="shared" ref="E61:V61" si="22">E46-E47-E48</f>
        <v>-4317000000</v>
      </c>
      <c r="F61" s="131">
        <f t="shared" si="22"/>
        <v>1727000000</v>
      </c>
      <c r="G61" s="131">
        <f t="shared" si="22"/>
        <v>1408000000</v>
      </c>
      <c r="H61" s="131">
        <f t="shared" si="22"/>
        <v>1300000000</v>
      </c>
      <c r="I61" s="131">
        <f t="shared" si="22"/>
        <v>11500000000</v>
      </c>
      <c r="J61" s="131">
        <f t="shared" si="22"/>
        <v>-9400000000</v>
      </c>
      <c r="K61" s="131">
        <f t="shared" si="22"/>
        <v>-10500000000</v>
      </c>
      <c r="L61" s="131">
        <f>L46-L47-L48</f>
        <v>800000000</v>
      </c>
      <c r="M61" s="21">
        <f t="shared" si="22"/>
        <v>0</v>
      </c>
      <c r="N61" s="131">
        <f t="shared" si="22"/>
        <v>4600000000</v>
      </c>
      <c r="O61" s="131">
        <f t="shared" si="22"/>
        <v>20600000000</v>
      </c>
      <c r="P61" s="131">
        <f t="shared" si="22"/>
        <v>4300000000</v>
      </c>
      <c r="Q61" s="131">
        <f t="shared" si="22"/>
        <v>5600000000</v>
      </c>
      <c r="R61" s="131">
        <f t="shared" si="22"/>
        <v>27800000000</v>
      </c>
      <c r="S61" s="131">
        <f t="shared" si="22"/>
        <v>-2300000000</v>
      </c>
      <c r="T61" s="131">
        <f t="shared" si="22"/>
        <v>19300000000</v>
      </c>
      <c r="U61" s="131">
        <f t="shared" si="22"/>
        <v>-4000000000</v>
      </c>
      <c r="V61" s="131">
        <f t="shared" si="22"/>
        <v>32000000000</v>
      </c>
      <c r="W61" s="131">
        <f>W46-W47-W48</f>
        <v>14300000000</v>
      </c>
      <c r="X61" s="131">
        <f t="shared" ref="X61:Z61" si="23">X46-X47-X48</f>
        <v>2300000000</v>
      </c>
      <c r="Y61" s="131">
        <f t="shared" si="23"/>
        <v>4500000000</v>
      </c>
      <c r="Z61" s="131">
        <f t="shared" si="23"/>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4">
        <f>(D6/D64)*100</f>
        <v>35.104719455286457</v>
      </c>
      <c r="E65" s="364">
        <f t="shared" ref="E65:W65" si="24">(E6/E64)*100</f>
        <v>32.967365822285842</v>
      </c>
      <c r="F65" s="364">
        <f t="shared" si="24"/>
        <v>33.910690121786196</v>
      </c>
      <c r="G65" s="364">
        <f t="shared" si="24"/>
        <v>36.247483700387583</v>
      </c>
      <c r="H65" s="364">
        <f t="shared" si="24"/>
        <v>34.474530516013921</v>
      </c>
      <c r="I65" s="364">
        <f t="shared" si="24"/>
        <v>32.712264992040772</v>
      </c>
      <c r="J65" s="364">
        <f t="shared" si="24"/>
        <v>30.551996631216795</v>
      </c>
      <c r="K65" s="364">
        <f t="shared" si="24"/>
        <v>31.510717666651473</v>
      </c>
      <c r="L65" s="364">
        <f t="shared" si="24"/>
        <v>32.273614693051172</v>
      </c>
      <c r="M65" s="364">
        <f t="shared" si="24"/>
        <v>30.220297041642752</v>
      </c>
      <c r="N65" s="364">
        <f t="shared" si="24"/>
        <v>30.093963599109983</v>
      </c>
      <c r="O65" s="364">
        <f t="shared" si="24"/>
        <v>29.384772483444138</v>
      </c>
      <c r="P65" s="364">
        <f t="shared" si="24"/>
        <v>29.483418790965558</v>
      </c>
      <c r="Q65" s="364">
        <f t="shared" si="24"/>
        <v>27.964608855793099</v>
      </c>
      <c r="R65" s="364">
        <f t="shared" si="24"/>
        <v>27.612804582356333</v>
      </c>
      <c r="S65" s="364">
        <f t="shared" si="24"/>
        <v>29.092554876668931</v>
      </c>
      <c r="T65" s="364">
        <f t="shared" si="24"/>
        <v>28.869198614961761</v>
      </c>
      <c r="U65" s="364">
        <f t="shared" si="24"/>
        <v>28.648331306883616</v>
      </c>
      <c r="V65" s="364">
        <f t="shared" si="24"/>
        <v>28.426771374196129</v>
      </c>
      <c r="W65" s="364">
        <f t="shared" si="24"/>
        <v>28.190483704181656</v>
      </c>
    </row>
    <row r="66" spans="2:23">
      <c r="B66" s="90" t="s">
        <v>152</v>
      </c>
      <c r="D66" s="364">
        <f>(D24/D64)*100</f>
        <v>32.681171019203695</v>
      </c>
      <c r="E66" s="364">
        <f t="shared" ref="E66:W66" si="25">(E24/E64)*100</f>
        <v>39.127403995767722</v>
      </c>
      <c r="F66" s="364">
        <f t="shared" si="25"/>
        <v>39.305102284486189</v>
      </c>
      <c r="G66" s="364">
        <f t="shared" si="25"/>
        <v>36.32034371901571</v>
      </c>
      <c r="H66" s="364">
        <f t="shared" si="25"/>
        <v>33.869089380918631</v>
      </c>
      <c r="I66" s="364">
        <f t="shared" si="25"/>
        <v>32.485321627378447</v>
      </c>
      <c r="J66" s="364">
        <f t="shared" si="25"/>
        <v>31.059703320103093</v>
      </c>
      <c r="K66" s="364">
        <f t="shared" si="25"/>
        <v>30.974365025516974</v>
      </c>
      <c r="L66" s="364">
        <f t="shared" si="25"/>
        <v>33.213622887994411</v>
      </c>
      <c r="M66" s="364">
        <f t="shared" si="25"/>
        <v>32.897434289545657</v>
      </c>
      <c r="N66" s="364">
        <f t="shared" si="25"/>
        <v>32.632284237028841</v>
      </c>
      <c r="O66" s="364">
        <f t="shared" si="25"/>
        <v>32.013029259822574</v>
      </c>
      <c r="P66" s="364">
        <f t="shared" si="25"/>
        <v>33.404542074938455</v>
      </c>
      <c r="Q66" s="364">
        <f t="shared" si="25"/>
        <v>31.928096725118106</v>
      </c>
      <c r="R66" s="364">
        <f t="shared" si="25"/>
        <v>31.948699516775925</v>
      </c>
      <c r="S66" s="364">
        <f t="shared" si="25"/>
        <v>32.713283548314095</v>
      </c>
      <c r="T66" s="364">
        <f t="shared" si="25"/>
        <v>31.670706646236159</v>
      </c>
      <c r="U66" s="364">
        <f t="shared" si="25"/>
        <v>31.760188122972881</v>
      </c>
      <c r="V66" s="364">
        <f t="shared" si="25"/>
        <v>32.215003201957856</v>
      </c>
      <c r="W66" s="364">
        <f t="shared" si="25"/>
        <v>31.923856108783426</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972" customWidth="1"/>
    <col min="2" max="2" width="53.28515625" style="972" bestFit="1" customWidth="1"/>
    <col min="3" max="3" width="25.28515625" style="972" bestFit="1" customWidth="1"/>
    <col min="4" max="7" width="24" style="972" bestFit="1" customWidth="1"/>
    <col min="8" max="8" width="24.28515625" style="972" bestFit="1" customWidth="1"/>
    <col min="9" max="14" width="25.28515625" style="972" bestFit="1" customWidth="1"/>
    <col min="15" max="16" width="27.7109375" style="972" bestFit="1" customWidth="1"/>
    <col min="17" max="18" width="28.7109375" style="972" bestFit="1" customWidth="1"/>
    <col min="19" max="20" width="34.140625" style="972" customWidth="1"/>
    <col min="21" max="23" width="25.42578125" style="972" bestFit="1" customWidth="1"/>
    <col min="24" max="24" width="29.28515625" style="972" bestFit="1" customWidth="1"/>
    <col min="25" max="26" width="30.85546875" style="972" bestFit="1" customWidth="1"/>
    <col min="27" max="27" width="24.140625" style="972" customWidth="1"/>
    <col min="28" max="28" width="19.85546875" bestFit="1" customWidth="1"/>
  </cols>
  <sheetData>
    <row r="1" spans="1:50">
      <c r="A1" s="966" t="s">
        <v>4025</v>
      </c>
      <c r="B1" s="1659" t="s">
        <v>4026</v>
      </c>
      <c r="C1" s="967"/>
      <c r="D1" s="968"/>
      <c r="E1" s="968"/>
      <c r="F1" s="968"/>
      <c r="G1" s="968"/>
      <c r="H1" s="968"/>
      <c r="I1" s="968"/>
      <c r="J1" s="968"/>
      <c r="K1" s="968"/>
      <c r="L1" s="968"/>
      <c r="M1" s="968"/>
      <c r="N1" s="968"/>
      <c r="O1" s="969"/>
      <c r="P1" s="969"/>
      <c r="Q1" s="969"/>
      <c r="R1" s="970"/>
      <c r="S1" s="21"/>
      <c r="T1" s="21"/>
      <c r="U1" s="969"/>
      <c r="V1" s="969"/>
      <c r="W1" s="969"/>
    </row>
    <row r="2" spans="1:50">
      <c r="B2" s="1660" t="s">
        <v>4027</v>
      </c>
      <c r="C2" s="973"/>
      <c r="D2" s="969"/>
      <c r="E2" s="969"/>
      <c r="F2" s="969"/>
      <c r="G2" s="969"/>
      <c r="H2" s="969"/>
      <c r="I2" s="969"/>
      <c r="J2" s="969"/>
      <c r="K2" s="969"/>
      <c r="L2" s="969"/>
      <c r="M2" s="969"/>
      <c r="N2" s="969"/>
      <c r="O2" s="969"/>
      <c r="P2" s="969"/>
      <c r="Q2" s="969"/>
      <c r="R2" s="974"/>
      <c r="S2"/>
      <c r="T2"/>
      <c r="U2" s="969"/>
      <c r="V2" s="969"/>
      <c r="W2" s="969"/>
    </row>
    <row r="3" spans="1:5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5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96" t="s">
        <v>25</v>
      </c>
      <c r="Y4" s="996" t="s">
        <v>26</v>
      </c>
      <c r="Z4" s="996" t="s">
        <v>27</v>
      </c>
      <c r="AA4" s="996" t="s">
        <v>1137</v>
      </c>
    </row>
    <row r="5" spans="1:5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31</v>
      </c>
      <c r="U5" s="969" t="s">
        <v>32</v>
      </c>
      <c r="V5" s="969" t="s">
        <v>32</v>
      </c>
      <c r="W5" s="969" t="s">
        <v>32</v>
      </c>
      <c r="X5" s="969" t="s">
        <v>32</v>
      </c>
      <c r="Y5" s="969" t="s">
        <v>32</v>
      </c>
      <c r="Z5" s="969" t="s">
        <v>32</v>
      </c>
      <c r="AA5" s="969" t="s">
        <v>32</v>
      </c>
    </row>
    <row r="6" spans="1:50" s="848" customFormat="1">
      <c r="A6" s="1373" t="s">
        <v>33</v>
      </c>
      <c r="B6" s="1012" t="s">
        <v>1412</v>
      </c>
      <c r="C6" s="1374" t="s">
        <v>35</v>
      </c>
      <c r="D6" s="1652">
        <f t="shared" ref="D6:J6" si="0">D7</f>
        <v>802900000000</v>
      </c>
      <c r="E6" s="1652">
        <f t="shared" si="0"/>
        <v>838100000000</v>
      </c>
      <c r="F6" s="1652">
        <f t="shared" si="0"/>
        <v>610600000000</v>
      </c>
      <c r="G6" s="1652">
        <f t="shared" si="0"/>
        <v>1045000000000</v>
      </c>
      <c r="H6" s="1652">
        <f t="shared" si="0"/>
        <v>1653500000000</v>
      </c>
      <c r="I6" s="1652">
        <f t="shared" si="0"/>
        <v>1682200000000</v>
      </c>
      <c r="J6" s="1652">
        <f t="shared" si="0"/>
        <v>6978400000000</v>
      </c>
      <c r="K6" s="1652">
        <f>K7</f>
        <v>2201100000000</v>
      </c>
      <c r="L6" s="1652">
        <f>L7+L13</f>
        <v>2885300000000</v>
      </c>
      <c r="M6" s="1652">
        <f>M7+M13</f>
        <v>2294800000000</v>
      </c>
      <c r="N6" s="1652">
        <f>N7+N13</f>
        <v>2831500000000</v>
      </c>
      <c r="O6" s="1652">
        <f>O7+O13</f>
        <v>2750700000000</v>
      </c>
      <c r="P6" s="1059">
        <f>P7</f>
        <v>2358000000000</v>
      </c>
      <c r="Q6" s="1653">
        <f>Q7</f>
        <v>2550000000000</v>
      </c>
      <c r="R6" s="1653">
        <f>R7</f>
        <v>3204000000000</v>
      </c>
      <c r="S6" s="1059">
        <f>S8+S18</f>
        <v>3373148000000</v>
      </c>
      <c r="T6" s="1059">
        <f>T8+T18</f>
        <v>4670484000000</v>
      </c>
      <c r="U6" s="1059">
        <f t="shared" ref="U6:AA6" si="1">U8+U18</f>
        <v>5232348000000</v>
      </c>
      <c r="V6" s="1059">
        <f t="shared" si="1"/>
        <v>6366664000000</v>
      </c>
      <c r="W6" s="1059">
        <f t="shared" si="1"/>
        <v>7009083000000</v>
      </c>
      <c r="X6" s="1059">
        <f t="shared" si="1"/>
        <v>7380432000000</v>
      </c>
      <c r="Y6" s="1059">
        <f t="shared" si="1"/>
        <v>8358273000000</v>
      </c>
      <c r="Z6" s="1059">
        <f t="shared" si="1"/>
        <v>9470418000000</v>
      </c>
      <c r="AA6" s="1059">
        <f t="shared" si="1"/>
        <v>10566792000000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50">
      <c r="B7" s="981" t="s">
        <v>1412</v>
      </c>
      <c r="D7" s="978">
        <v>802900000000</v>
      </c>
      <c r="E7" s="978">
        <v>838100000000</v>
      </c>
      <c r="F7" s="978">
        <v>610600000000</v>
      </c>
      <c r="G7" s="978">
        <v>1045000000000</v>
      </c>
      <c r="H7" s="978">
        <v>1653500000000</v>
      </c>
      <c r="I7" s="978">
        <v>1682200000000</v>
      </c>
      <c r="J7" s="978">
        <v>6978400000000</v>
      </c>
      <c r="K7" s="978">
        <v>2201100000000</v>
      </c>
      <c r="L7" s="978">
        <v>2488100000000</v>
      </c>
      <c r="M7" s="978">
        <v>1927400000000</v>
      </c>
      <c r="N7" s="978">
        <v>2403500000000</v>
      </c>
      <c r="O7" s="978">
        <v>2338900000000</v>
      </c>
      <c r="P7" s="978">
        <v>2358000000000</v>
      </c>
      <c r="Q7" s="1649">
        <v>2550000000000</v>
      </c>
      <c r="R7" s="1649">
        <v>3204000000000</v>
      </c>
      <c r="S7" s="1048"/>
      <c r="T7" s="1048"/>
      <c r="U7" s="978"/>
      <c r="V7" s="978"/>
      <c r="W7" s="978"/>
      <c r="X7" s="2563"/>
      <c r="Y7" s="2563"/>
      <c r="Z7" s="2563"/>
      <c r="AA7" s="1684"/>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50">
      <c r="A8" s="981" t="s">
        <v>36</v>
      </c>
      <c r="B8" s="981" t="s">
        <v>1413</v>
      </c>
      <c r="C8" s="982" t="s">
        <v>38</v>
      </c>
      <c r="D8" s="978">
        <f t="shared" ref="D8:J8" si="2">D9</f>
        <v>613500000000</v>
      </c>
      <c r="E8" s="978">
        <f t="shared" si="2"/>
        <v>605800000000</v>
      </c>
      <c r="F8" s="978">
        <f t="shared" si="2"/>
        <v>480600000000</v>
      </c>
      <c r="G8" s="978">
        <f t="shared" si="2"/>
        <v>698900000000</v>
      </c>
      <c r="H8" s="978">
        <f t="shared" si="2"/>
        <v>982400000000</v>
      </c>
      <c r="I8" s="978">
        <f t="shared" si="2"/>
        <v>1102700000000</v>
      </c>
      <c r="J8" s="978">
        <f t="shared" si="2"/>
        <v>1323100000000</v>
      </c>
      <c r="K8" s="978">
        <f>K9</f>
        <v>1607800000000</v>
      </c>
      <c r="L8" s="978">
        <f>L9+L13</f>
        <v>2337000000000</v>
      </c>
      <c r="M8" s="978">
        <f>M9+M13</f>
        <v>2017400000000</v>
      </c>
      <c r="N8" s="978">
        <f>N9+N13</f>
        <v>2477100000000</v>
      </c>
      <c r="O8" s="978">
        <f>O9+O13</f>
        <v>2360400000000</v>
      </c>
      <c r="P8" s="978">
        <f>P9</f>
        <v>2095000000000</v>
      </c>
      <c r="Q8" s="1650">
        <f>Q9</f>
        <v>2254000000000</v>
      </c>
      <c r="R8" s="1650">
        <f>R9</f>
        <v>2611000000000</v>
      </c>
      <c r="S8" s="978">
        <f>S10+S17</f>
        <v>2972944000000</v>
      </c>
      <c r="T8" s="978">
        <f>T10+T17</f>
        <v>3558464000000</v>
      </c>
      <c r="U8" s="978">
        <f t="shared" ref="U8:AA8" si="3">U10+U17</f>
        <v>4193046000000</v>
      </c>
      <c r="V8" s="978">
        <f t="shared" si="3"/>
        <v>4987896000000</v>
      </c>
      <c r="W8" s="978">
        <f t="shared" si="3"/>
        <v>5726375000000</v>
      </c>
      <c r="X8" s="978">
        <f t="shared" si="3"/>
        <v>6662890000000</v>
      </c>
      <c r="Y8" s="978">
        <f t="shared" si="3"/>
        <v>7562247000000</v>
      </c>
      <c r="Z8" s="978">
        <f t="shared" si="3"/>
        <v>8592366000000</v>
      </c>
      <c r="AA8" s="978">
        <f t="shared" si="3"/>
        <v>9599896000000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50">
      <c r="A9" s="972" t="s">
        <v>76</v>
      </c>
      <c r="B9" s="981" t="s">
        <v>1413</v>
      </c>
      <c r="D9" s="978">
        <v>613500000000</v>
      </c>
      <c r="E9" s="978">
        <v>605800000000</v>
      </c>
      <c r="F9" s="978">
        <v>480600000000</v>
      </c>
      <c r="G9" s="978">
        <v>698900000000</v>
      </c>
      <c r="H9" s="978">
        <v>982400000000</v>
      </c>
      <c r="I9" s="978">
        <v>1102700000000</v>
      </c>
      <c r="J9" s="978">
        <v>1323100000000</v>
      </c>
      <c r="K9" s="978">
        <v>1607800000000</v>
      </c>
      <c r="L9" s="978">
        <v>1939800000000</v>
      </c>
      <c r="M9" s="978">
        <v>1650000000000</v>
      </c>
      <c r="N9" s="978">
        <v>2049100000000</v>
      </c>
      <c r="O9" s="978">
        <v>1948600000000</v>
      </c>
      <c r="P9" s="978">
        <v>2095000000000</v>
      </c>
      <c r="Q9" s="1649">
        <v>2254000000000</v>
      </c>
      <c r="R9" s="1649">
        <v>2611000000000</v>
      </c>
      <c r="S9" s="1048"/>
      <c r="T9" s="1048"/>
      <c r="U9" s="978"/>
      <c r="V9" s="978"/>
      <c r="W9" s="978"/>
      <c r="X9" s="978"/>
      <c r="Y9" s="978"/>
      <c r="Z9" s="978"/>
      <c r="AA9" s="97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50">
      <c r="A10" s="988" t="s">
        <v>39</v>
      </c>
      <c r="B10" s="988" t="s">
        <v>2393</v>
      </c>
      <c r="C10" s="982" t="s">
        <v>41</v>
      </c>
      <c r="D10" s="978">
        <f t="shared" ref="D10:J10" si="4">D11</f>
        <v>594400000000</v>
      </c>
      <c r="E10" s="978">
        <f t="shared" si="4"/>
        <v>581300000000</v>
      </c>
      <c r="F10" s="978">
        <f t="shared" si="4"/>
        <v>460800000000</v>
      </c>
      <c r="G10" s="978">
        <f t="shared" si="4"/>
        <v>678500000000</v>
      </c>
      <c r="H10" s="978">
        <f t="shared" si="4"/>
        <v>887100000000</v>
      </c>
      <c r="I10" s="978">
        <f t="shared" si="4"/>
        <v>1020000000000</v>
      </c>
      <c r="J10" s="978">
        <f t="shared" si="4"/>
        <v>1260800000000</v>
      </c>
      <c r="K10" s="978">
        <f>K11</f>
        <v>1573100000000</v>
      </c>
      <c r="L10" s="978">
        <f>L11+L13</f>
        <v>2287300000000</v>
      </c>
      <c r="M10" s="978">
        <f>M11+M13</f>
        <v>1937200000000</v>
      </c>
      <c r="N10" s="978">
        <f>N11+N13</f>
        <v>2208800000000</v>
      </c>
      <c r="O10" s="978">
        <f>O11+O13</f>
        <v>2324100000000</v>
      </c>
      <c r="P10" s="978">
        <f>P11</f>
        <v>1978000000000</v>
      </c>
      <c r="Q10" s="1650">
        <f>Q11</f>
        <v>2182000000000</v>
      </c>
      <c r="R10" s="1650">
        <f>R11</f>
        <v>2547000000000</v>
      </c>
      <c r="S10" s="978">
        <f>S12+S14</f>
        <v>2887186000000</v>
      </c>
      <c r="T10" s="978">
        <f>T12+T14</f>
        <v>3463148000000</v>
      </c>
      <c r="U10" s="978">
        <f t="shared" ref="U10:AA10" si="5">U12+U14</f>
        <v>4085532000000</v>
      </c>
      <c r="V10" s="978">
        <f t="shared" si="5"/>
        <v>4906792000000</v>
      </c>
      <c r="W10" s="978">
        <f t="shared" si="5"/>
        <v>5634753000000</v>
      </c>
      <c r="X10" s="978">
        <f t="shared" si="5"/>
        <v>6560384000000</v>
      </c>
      <c r="Y10" s="978">
        <f t="shared" si="5"/>
        <v>7448529000000</v>
      </c>
      <c r="Z10" s="978">
        <f t="shared" si="5"/>
        <v>8466930000000</v>
      </c>
      <c r="AA10" s="978">
        <f t="shared" si="5"/>
        <v>9461768000000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50">
      <c r="A11" s="972" t="s">
        <v>76</v>
      </c>
      <c r="B11" s="988" t="s">
        <v>2393</v>
      </c>
      <c r="D11" s="978">
        <v>594400000000</v>
      </c>
      <c r="E11" s="978">
        <v>581300000000</v>
      </c>
      <c r="F11" s="978">
        <v>460800000000</v>
      </c>
      <c r="G11" s="978">
        <v>678500000000</v>
      </c>
      <c r="H11" s="978">
        <v>887100000000</v>
      </c>
      <c r="I11" s="978">
        <v>1020000000000</v>
      </c>
      <c r="J11" s="978">
        <v>1260800000000</v>
      </c>
      <c r="K11" s="978">
        <v>1573100000000</v>
      </c>
      <c r="L11" s="978">
        <v>1890100000000</v>
      </c>
      <c r="M11" s="978">
        <v>1569800000000</v>
      </c>
      <c r="N11" s="978">
        <v>1780800000000</v>
      </c>
      <c r="O11" s="978">
        <v>1912300000000</v>
      </c>
      <c r="P11" s="978">
        <v>1978000000000</v>
      </c>
      <c r="Q11" s="1649">
        <v>2182000000000</v>
      </c>
      <c r="R11" s="1649">
        <v>2547000000000</v>
      </c>
      <c r="S11" s="1048"/>
      <c r="T11" s="1048"/>
      <c r="U11" s="978"/>
      <c r="V11" s="978"/>
      <c r="W11" s="978"/>
      <c r="X11" s="978"/>
      <c r="Y11" s="978"/>
      <c r="Z11" s="978"/>
      <c r="AA11" s="97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50">
      <c r="A12" s="13" t="s">
        <v>1905</v>
      </c>
      <c r="B12" s="988" t="s">
        <v>7038</v>
      </c>
      <c r="C12" s="972" t="s">
        <v>44</v>
      </c>
      <c r="D12" s="978"/>
      <c r="E12" s="978"/>
      <c r="F12" s="978"/>
      <c r="G12" s="978"/>
      <c r="H12" s="978"/>
      <c r="I12" s="978"/>
      <c r="J12" s="978"/>
      <c r="K12" s="978"/>
      <c r="L12" s="978"/>
      <c r="M12" s="978"/>
      <c r="N12" s="978"/>
      <c r="O12" s="978"/>
      <c r="P12" s="978"/>
      <c r="Q12" s="1649"/>
      <c r="R12" s="1649"/>
      <c r="S12" s="1048">
        <v>1429300000000</v>
      </c>
      <c r="T12" s="1048">
        <v>1811004000000</v>
      </c>
      <c r="U12" s="978">
        <v>2078604000000</v>
      </c>
      <c r="V12" s="978">
        <v>2595328000000</v>
      </c>
      <c r="W12" s="978">
        <v>3115148000000</v>
      </c>
      <c r="X12" s="978">
        <v>3792722000000</v>
      </c>
      <c r="Y12" s="978">
        <v>4491861000000</v>
      </c>
      <c r="Z12" s="978">
        <v>5268312000000</v>
      </c>
      <c r="AA12" s="978">
        <v>6146696000000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997" t="s">
        <v>1291</v>
      </c>
      <c r="B13" s="997" t="s">
        <v>4028</v>
      </c>
      <c r="C13" s="972" t="s">
        <v>44</v>
      </c>
      <c r="D13" s="987"/>
      <c r="E13" s="987"/>
      <c r="F13" s="987"/>
      <c r="G13" s="987"/>
      <c r="H13" s="987"/>
      <c r="I13" s="987"/>
      <c r="J13" s="987"/>
      <c r="K13" s="987"/>
      <c r="L13" s="978">
        <v>397200000000</v>
      </c>
      <c r="M13" s="978">
        <v>367400000000</v>
      </c>
      <c r="N13" s="978">
        <v>428000000000</v>
      </c>
      <c r="O13" s="978">
        <v>411800000000</v>
      </c>
      <c r="P13" s="978">
        <v>418000000000</v>
      </c>
      <c r="Q13" s="1649">
        <v>455000000000</v>
      </c>
      <c r="R13" s="1649">
        <v>694000000000</v>
      </c>
      <c r="S13" s="1048"/>
      <c r="T13" s="1048"/>
      <c r="U13" s="978"/>
      <c r="V13" s="978"/>
      <c r="W13" s="978"/>
      <c r="X13" s="978"/>
      <c r="Y13" s="978"/>
      <c r="Z13" s="978"/>
      <c r="AA13" s="97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50">
      <c r="A14" s="980" t="s">
        <v>45</v>
      </c>
      <c r="B14" s="997" t="s">
        <v>3191</v>
      </c>
      <c r="C14" s="972" t="s">
        <v>44</v>
      </c>
      <c r="D14" s="987"/>
      <c r="E14" s="987"/>
      <c r="F14" s="987"/>
      <c r="G14" s="987"/>
      <c r="H14" s="987"/>
      <c r="I14" s="978">
        <v>491000000000</v>
      </c>
      <c r="J14" s="978">
        <v>628900000000</v>
      </c>
      <c r="K14" s="978">
        <v>774500000000</v>
      </c>
      <c r="L14" s="978">
        <v>1007400000000</v>
      </c>
      <c r="M14" s="978">
        <v>753400000000</v>
      </c>
      <c r="N14" s="978">
        <v>829700000000</v>
      </c>
      <c r="O14" s="978">
        <v>997100000000</v>
      </c>
      <c r="P14" s="978">
        <v>1049000000000</v>
      </c>
      <c r="Q14" s="1649">
        <v>1172000000000</v>
      </c>
      <c r="R14" s="1649">
        <v>1252000000000</v>
      </c>
      <c r="S14" s="1048">
        <v>1457886000000</v>
      </c>
      <c r="T14" s="1048">
        <v>1652144000000</v>
      </c>
      <c r="U14" s="978">
        <v>2006927999999.9998</v>
      </c>
      <c r="V14" s="978">
        <v>2311464000000</v>
      </c>
      <c r="W14" s="978">
        <v>2519605000000</v>
      </c>
      <c r="X14" s="978">
        <v>2767662000000</v>
      </c>
      <c r="Y14" s="978">
        <v>2956668000000</v>
      </c>
      <c r="Z14" s="978">
        <v>3198618000000</v>
      </c>
      <c r="AA14" s="978">
        <v>3315072000000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50">
      <c r="A15" s="980" t="s">
        <v>47</v>
      </c>
      <c r="B15" s="997" t="s">
        <v>4029</v>
      </c>
      <c r="C15" s="972" t="s">
        <v>44</v>
      </c>
      <c r="D15" s="987"/>
      <c r="E15" s="987"/>
      <c r="F15" s="987"/>
      <c r="G15" s="987"/>
      <c r="H15" s="987"/>
      <c r="I15" s="978">
        <v>529000000000</v>
      </c>
      <c r="J15" s="978">
        <v>631900000000</v>
      </c>
      <c r="K15" s="978">
        <v>798700000000</v>
      </c>
      <c r="L15" s="978">
        <v>882800000000</v>
      </c>
      <c r="M15" s="978">
        <v>816400000000</v>
      </c>
      <c r="N15" s="978">
        <v>951000000000</v>
      </c>
      <c r="O15" s="978">
        <v>915200000000</v>
      </c>
      <c r="P15" s="978">
        <v>511000000000</v>
      </c>
      <c r="Q15" s="1649">
        <v>556000000000</v>
      </c>
      <c r="R15" s="1649">
        <v>601000000000</v>
      </c>
      <c r="S15" s="1048"/>
      <c r="T15" s="1048"/>
      <c r="U15" s="978"/>
      <c r="V15" s="978"/>
      <c r="W15" s="978"/>
      <c r="X15" s="978"/>
      <c r="Y15" s="978"/>
      <c r="Z15" s="978"/>
      <c r="AA15" s="97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50">
      <c r="A16" s="997" t="s">
        <v>50</v>
      </c>
      <c r="B16" s="997" t="s">
        <v>50</v>
      </c>
      <c r="C16" s="972" t="s">
        <v>44</v>
      </c>
      <c r="D16" s="987"/>
      <c r="E16" s="987"/>
      <c r="F16" s="987"/>
      <c r="G16" s="987"/>
      <c r="H16" s="987"/>
      <c r="I16" s="978"/>
      <c r="J16" s="978"/>
      <c r="K16" s="978"/>
      <c r="L16" s="978"/>
      <c r="M16" s="978"/>
      <c r="N16" s="978"/>
      <c r="O16" s="978"/>
      <c r="P16" s="978"/>
      <c r="Q16" s="1649"/>
      <c r="R16" s="1649"/>
      <c r="S16" s="1048"/>
      <c r="T16" s="1048"/>
      <c r="U16" s="978"/>
      <c r="V16" s="978"/>
      <c r="W16" s="978"/>
      <c r="X16" s="978"/>
      <c r="Y16" s="978"/>
      <c r="Z16" s="978"/>
      <c r="AA16" s="97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980" t="s">
        <v>51</v>
      </c>
      <c r="B17" s="988" t="s">
        <v>1424</v>
      </c>
      <c r="C17" s="982" t="s">
        <v>41</v>
      </c>
      <c r="D17" s="1658">
        <f>D9-D11</f>
        <v>19100000000</v>
      </c>
      <c r="E17" s="1658">
        <f>E9-E11</f>
        <v>24500000000</v>
      </c>
      <c r="F17" s="1658">
        <f>F9-F11</f>
        <v>19800000000</v>
      </c>
      <c r="G17" s="987">
        <v>20400000000</v>
      </c>
      <c r="H17" s="978">
        <v>95200000000</v>
      </c>
      <c r="I17" s="978">
        <v>82800000000</v>
      </c>
      <c r="J17" s="978">
        <v>62200000000</v>
      </c>
      <c r="K17" s="978">
        <v>34600000000</v>
      </c>
      <c r="L17" s="978">
        <v>49700000000</v>
      </c>
      <c r="M17" s="978">
        <v>80200000000</v>
      </c>
      <c r="N17" s="978">
        <v>268300000000</v>
      </c>
      <c r="O17" s="978">
        <v>36300000000</v>
      </c>
      <c r="P17" s="978">
        <v>118000000000</v>
      </c>
      <c r="Q17" s="1649">
        <v>71000000000</v>
      </c>
      <c r="R17" s="1649">
        <v>64000000000</v>
      </c>
      <c r="S17" s="1048">
        <v>85758000000</v>
      </c>
      <c r="T17" s="1048">
        <v>95316000000</v>
      </c>
      <c r="U17" s="978">
        <v>107514000000</v>
      </c>
      <c r="V17" s="978">
        <v>81104000000</v>
      </c>
      <c r="W17" s="978">
        <v>91622000000</v>
      </c>
      <c r="X17" s="978">
        <v>102506000000</v>
      </c>
      <c r="Y17" s="978">
        <v>113718000000</v>
      </c>
      <c r="Z17" s="978">
        <v>125436000000</v>
      </c>
      <c r="AA17" s="978">
        <v>138128000000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012" t="s">
        <v>53</v>
      </c>
      <c r="B18" s="1012" t="s">
        <v>53</v>
      </c>
      <c r="C18" s="1058" t="s">
        <v>38</v>
      </c>
      <c r="D18" s="1016">
        <v>189300000000</v>
      </c>
      <c r="E18" s="1016">
        <v>232300000000</v>
      </c>
      <c r="F18" s="1016">
        <v>130000000000</v>
      </c>
      <c r="G18" s="1016">
        <v>346100000000</v>
      </c>
      <c r="H18" s="1016">
        <v>671100000000</v>
      </c>
      <c r="I18" s="1016">
        <v>579500000000</v>
      </c>
      <c r="J18" s="1016">
        <v>5655300000000</v>
      </c>
      <c r="K18" s="1016">
        <v>593300000000</v>
      </c>
      <c r="L18" s="1016">
        <v>548299999999.99994</v>
      </c>
      <c r="M18" s="1016">
        <v>277500000000</v>
      </c>
      <c r="N18" s="1016">
        <v>354500000000</v>
      </c>
      <c r="O18" s="1016">
        <v>390300000000</v>
      </c>
      <c r="P18" s="1016">
        <v>263000000000</v>
      </c>
      <c r="Q18" s="1654">
        <v>296000000000</v>
      </c>
      <c r="R18" s="1654">
        <v>593000000000</v>
      </c>
      <c r="S18" s="1054">
        <f>S19+S20</f>
        <v>400204000000</v>
      </c>
      <c r="T18" s="1054">
        <f>T19+T20</f>
        <v>1112020000000</v>
      </c>
      <c r="U18" s="1054">
        <f t="shared" ref="U18:AA18" si="6">U19+U20</f>
        <v>1039302000000</v>
      </c>
      <c r="V18" s="1054">
        <f t="shared" si="6"/>
        <v>1378768000000</v>
      </c>
      <c r="W18" s="1054">
        <f t="shared" si="6"/>
        <v>1282708000000</v>
      </c>
      <c r="X18" s="1054">
        <f t="shared" si="6"/>
        <v>717542000000</v>
      </c>
      <c r="Y18" s="1054">
        <f t="shared" si="6"/>
        <v>796026000000</v>
      </c>
      <c r="Z18" s="1054">
        <f t="shared" si="6"/>
        <v>878052000000</v>
      </c>
      <c r="AA18" s="1054">
        <f t="shared" si="6"/>
        <v>966895999999.99988</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c r="A19" s="988" t="s">
        <v>4030</v>
      </c>
      <c r="B19" s="988" t="s">
        <v>4031</v>
      </c>
      <c r="C19" s="1371" t="s">
        <v>57</v>
      </c>
      <c r="D19" s="978">
        <v>35800000000</v>
      </c>
      <c r="E19" s="978">
        <v>85500000000</v>
      </c>
      <c r="F19" s="978">
        <v>49900000000</v>
      </c>
      <c r="G19" s="978">
        <v>171900000000</v>
      </c>
      <c r="H19" s="978">
        <v>318700000000</v>
      </c>
      <c r="I19" s="978">
        <v>141000000000</v>
      </c>
      <c r="J19" s="978">
        <v>173200000000</v>
      </c>
      <c r="K19" s="978">
        <v>89100000000</v>
      </c>
      <c r="L19" s="978">
        <v>127500000000</v>
      </c>
      <c r="M19" s="978">
        <v>21000000000</v>
      </c>
      <c r="N19" s="978">
        <v>17800000000</v>
      </c>
      <c r="O19" s="978">
        <v>17400000000</v>
      </c>
      <c r="P19" s="978">
        <v>1000000000</v>
      </c>
      <c r="Q19" s="1649">
        <v>1000000000</v>
      </c>
      <c r="R19" s="1649">
        <v>207000000000</v>
      </c>
      <c r="S19" s="1048">
        <v>28586000000</v>
      </c>
      <c r="T19" s="1048">
        <v>222404000000</v>
      </c>
      <c r="U19" s="978">
        <v>286704000000</v>
      </c>
      <c r="V19" s="978">
        <v>527176000000</v>
      </c>
      <c r="W19" s="978">
        <v>274866000000</v>
      </c>
      <c r="X19" s="978">
        <v>0</v>
      </c>
      <c r="Y19" s="978">
        <v>0</v>
      </c>
      <c r="Z19" s="978">
        <v>0</v>
      </c>
      <c r="AA19" s="978">
        <v>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988" t="s">
        <v>473</v>
      </c>
      <c r="B20" s="988" t="s">
        <v>4032</v>
      </c>
      <c r="C20" s="1371" t="s">
        <v>57</v>
      </c>
      <c r="D20" s="978">
        <v>153600000000</v>
      </c>
      <c r="E20" s="978">
        <v>146800000000</v>
      </c>
      <c r="F20" s="978">
        <v>80100000000</v>
      </c>
      <c r="G20" s="978">
        <v>174200000000</v>
      </c>
      <c r="H20" s="978">
        <v>352400000000</v>
      </c>
      <c r="I20" s="978">
        <v>438500000000</v>
      </c>
      <c r="J20" s="978">
        <v>5482100000000</v>
      </c>
      <c r="K20" s="978">
        <v>504100000000</v>
      </c>
      <c r="L20" s="978">
        <v>420800000000</v>
      </c>
      <c r="M20" s="978">
        <v>256399999999.99997</v>
      </c>
      <c r="N20" s="978">
        <v>336700000000</v>
      </c>
      <c r="O20" s="978">
        <v>372900000000</v>
      </c>
      <c r="P20" s="978">
        <v>262000000000</v>
      </c>
      <c r="Q20" s="1649">
        <v>296000000000</v>
      </c>
      <c r="R20" s="1649">
        <v>386000000000</v>
      </c>
      <c r="S20" s="1048">
        <v>371618000000</v>
      </c>
      <c r="T20" s="1048">
        <v>889616000000</v>
      </c>
      <c r="U20" s="978">
        <v>752598000000</v>
      </c>
      <c r="V20" s="978">
        <v>851592000000</v>
      </c>
      <c r="W20" s="978">
        <v>1007842000000.0001</v>
      </c>
      <c r="X20" s="978">
        <v>717542000000</v>
      </c>
      <c r="Y20" s="978">
        <v>796026000000</v>
      </c>
      <c r="Z20" s="978">
        <v>878052000000</v>
      </c>
      <c r="AA20" s="978">
        <v>966895999999.99988</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s="848" customFormat="1">
      <c r="A21" s="1373" t="s">
        <v>76</v>
      </c>
      <c r="B21" s="1012" t="s">
        <v>4033</v>
      </c>
      <c r="C21" s="1013"/>
      <c r="D21" s="1016">
        <v>871400000000</v>
      </c>
      <c r="E21" s="1016">
        <v>1052500000000</v>
      </c>
      <c r="F21" s="1016">
        <v>941900000000</v>
      </c>
      <c r="G21" s="1016">
        <v>1324400000000</v>
      </c>
      <c r="H21" s="1016">
        <v>2045300000000</v>
      </c>
      <c r="I21" s="1016">
        <v>2145500000000</v>
      </c>
      <c r="J21" s="1016">
        <v>2521300000000</v>
      </c>
      <c r="K21" s="1016">
        <v>2570000000000</v>
      </c>
      <c r="L21" s="1016">
        <v>2803800000000</v>
      </c>
      <c r="M21" s="1016">
        <v>2353200000000</v>
      </c>
      <c r="N21" s="1016">
        <v>2562100000000</v>
      </c>
      <c r="O21" s="1016">
        <v>2816900000000</v>
      </c>
      <c r="P21" s="1016">
        <v>2927000000000</v>
      </c>
      <c r="Q21" s="1654">
        <v>3483000000000</v>
      </c>
      <c r="R21" s="1654">
        <v>3797000000000</v>
      </c>
      <c r="S21" s="2564"/>
      <c r="T21" s="2564"/>
      <c r="U21" s="978"/>
      <c r="V21" s="978"/>
      <c r="W21" s="978"/>
      <c r="X21" s="978"/>
      <c r="Y21" s="978"/>
      <c r="Z21" s="978"/>
      <c r="AA21" s="978"/>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row>
    <row r="22" spans="1:49" s="848" customFormat="1">
      <c r="A22" s="1373" t="s">
        <v>71</v>
      </c>
      <c r="B22" s="1012" t="s">
        <v>4033</v>
      </c>
      <c r="C22" s="1374" t="s">
        <v>35</v>
      </c>
      <c r="D22" s="1016">
        <f>D21-D41</f>
        <v>871400000000</v>
      </c>
      <c r="E22" s="1016">
        <f t="shared" ref="E22:R22" si="7">E21-E41</f>
        <v>1052500000000</v>
      </c>
      <c r="F22" s="1016">
        <f t="shared" si="7"/>
        <v>911100000000</v>
      </c>
      <c r="G22" s="1016">
        <f t="shared" si="7"/>
        <v>1303200000000</v>
      </c>
      <c r="H22" s="1016">
        <f t="shared" si="7"/>
        <v>2045300000000</v>
      </c>
      <c r="I22" s="1016">
        <f t="shared" si="7"/>
        <v>2145500000000</v>
      </c>
      <c r="J22" s="1016">
        <f t="shared" si="7"/>
        <v>2521300000000</v>
      </c>
      <c r="K22" s="1016">
        <f t="shared" si="7"/>
        <v>2570000000000</v>
      </c>
      <c r="L22" s="1016">
        <f t="shared" si="7"/>
        <v>2803800000000</v>
      </c>
      <c r="M22" s="1016">
        <f t="shared" si="7"/>
        <v>2353200000000</v>
      </c>
      <c r="N22" s="1016">
        <f t="shared" si="7"/>
        <v>2562100000000</v>
      </c>
      <c r="O22" s="1016">
        <f t="shared" si="7"/>
        <v>2816900000000</v>
      </c>
      <c r="P22" s="1016">
        <f t="shared" si="7"/>
        <v>2927000000000</v>
      </c>
      <c r="Q22" s="1655">
        <f t="shared" si="7"/>
        <v>3483000000000</v>
      </c>
      <c r="R22" s="1655">
        <f t="shared" si="7"/>
        <v>3797000000000</v>
      </c>
      <c r="S22" s="1016">
        <f>S23+S38</f>
        <v>4287900000000</v>
      </c>
      <c r="T22" s="1016">
        <f>T23+T38</f>
        <v>5083520000000</v>
      </c>
      <c r="U22" s="1016">
        <f t="shared" ref="U22:AA22" si="8">U23+U38</f>
        <v>6164136000000</v>
      </c>
      <c r="V22" s="1016">
        <f t="shared" si="8"/>
        <v>7258808000000</v>
      </c>
      <c r="W22" s="1016">
        <f t="shared" si="8"/>
        <v>8978956000000</v>
      </c>
      <c r="X22" s="1016">
        <f t="shared" si="8"/>
        <v>10148094000000</v>
      </c>
      <c r="Y22" s="1016">
        <f t="shared" si="8"/>
        <v>11428659000000</v>
      </c>
      <c r="Z22" s="1016">
        <f t="shared" si="8"/>
        <v>12355446000000</v>
      </c>
      <c r="AA22" s="1016">
        <f t="shared" si="8"/>
        <v>13536544000000</v>
      </c>
      <c r="AB22" s="916"/>
      <c r="AC22" s="916"/>
      <c r="AD22" s="916"/>
      <c r="AE22" s="916"/>
      <c r="AF22" s="916"/>
      <c r="AG22" s="916"/>
      <c r="AH22" s="916"/>
      <c r="AI22" s="916"/>
      <c r="AJ22" s="916"/>
      <c r="AK22" s="916"/>
      <c r="AL22" s="916"/>
      <c r="AM22" s="916"/>
      <c r="AN22" s="916"/>
      <c r="AO22" s="916"/>
      <c r="AP22" s="916"/>
      <c r="AQ22" s="916"/>
      <c r="AR22" s="916"/>
      <c r="AS22" s="916"/>
      <c r="AT22" s="916"/>
      <c r="AU22" s="916"/>
      <c r="AV22" s="916"/>
      <c r="AW22" s="916"/>
    </row>
    <row r="23" spans="1:49">
      <c r="A23" s="996" t="s">
        <v>73</v>
      </c>
      <c r="B23" s="981" t="s">
        <v>1431</v>
      </c>
      <c r="C23" s="982" t="s">
        <v>75</v>
      </c>
      <c r="D23" s="978">
        <v>503600000000</v>
      </c>
      <c r="E23" s="978">
        <v>616300000000</v>
      </c>
      <c r="F23" s="978">
        <v>621900000000</v>
      </c>
      <c r="G23" s="978">
        <v>771700000000</v>
      </c>
      <c r="H23" s="978">
        <v>1027300000000</v>
      </c>
      <c r="I23" s="978">
        <v>1107200000000</v>
      </c>
      <c r="J23" s="978">
        <v>1312500000000</v>
      </c>
      <c r="K23" s="978">
        <v>1520000000000</v>
      </c>
      <c r="L23" s="978">
        <v>1559000000000</v>
      </c>
      <c r="M23" s="978">
        <v>1540200000000</v>
      </c>
      <c r="N23" s="978">
        <v>1647600000000</v>
      </c>
      <c r="O23" s="978">
        <v>1975000000000</v>
      </c>
      <c r="P23" s="978">
        <v>2332000000000</v>
      </c>
      <c r="Q23" s="1649">
        <v>2752000000000</v>
      </c>
      <c r="R23" s="1649">
        <v>2781000000000</v>
      </c>
      <c r="S23" s="1048">
        <f>S24+S25+S29+S30+S35</f>
        <v>3315976000000</v>
      </c>
      <c r="T23" s="1048">
        <f>T24+T25+T29+T30+T35</f>
        <v>3431376000000</v>
      </c>
      <c r="U23" s="1048">
        <f t="shared" ref="U23:AA23" si="9">U24+U25+U29+U30+U35</f>
        <v>4193046000000</v>
      </c>
      <c r="V23" s="1048">
        <f t="shared" si="9"/>
        <v>4298512000000</v>
      </c>
      <c r="W23" s="1048">
        <f t="shared" si="9"/>
        <v>4489478000000</v>
      </c>
      <c r="X23" s="1048">
        <f t="shared" si="9"/>
        <v>5125300000000</v>
      </c>
      <c r="Y23" s="1048">
        <f t="shared" si="9"/>
        <v>5799618000000</v>
      </c>
      <c r="Z23" s="1048">
        <f t="shared" si="9"/>
        <v>6397236000000</v>
      </c>
      <c r="AA23" s="1048">
        <f t="shared" si="9"/>
        <v>7320784000000</v>
      </c>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988" t="s">
        <v>79</v>
      </c>
      <c r="B24" s="988" t="s">
        <v>1432</v>
      </c>
      <c r="C24" s="982" t="s">
        <v>81</v>
      </c>
      <c r="D24" s="978">
        <v>227100000000</v>
      </c>
      <c r="E24" s="978">
        <v>267500000000</v>
      </c>
      <c r="F24" s="978">
        <v>276000000000</v>
      </c>
      <c r="G24" s="978">
        <v>365400000000</v>
      </c>
      <c r="H24" s="978">
        <v>400000000000</v>
      </c>
      <c r="I24" s="978">
        <v>456400000000</v>
      </c>
      <c r="J24" s="978">
        <v>589900000000</v>
      </c>
      <c r="K24" s="978">
        <v>711200000000</v>
      </c>
      <c r="L24" s="978">
        <v>758900000000</v>
      </c>
      <c r="M24" s="978">
        <v>803200000000</v>
      </c>
      <c r="N24" s="978">
        <v>944900000000</v>
      </c>
      <c r="O24" s="978">
        <v>1060400000000.0001</v>
      </c>
      <c r="P24" s="978">
        <v>1167000000000</v>
      </c>
      <c r="Q24" s="1649">
        <v>1342000000000</v>
      </c>
      <c r="R24" s="1649">
        <v>1445000000000</v>
      </c>
      <c r="S24" s="1048">
        <v>1572230000000</v>
      </c>
      <c r="T24" s="1048">
        <v>1779232000000</v>
      </c>
      <c r="U24" s="978">
        <v>2078604000000</v>
      </c>
      <c r="V24" s="978">
        <v>2352016000000</v>
      </c>
      <c r="W24" s="978">
        <v>2611227000000</v>
      </c>
      <c r="X24" s="978">
        <v>2921421000000</v>
      </c>
      <c r="Y24" s="978">
        <v>3240963000000</v>
      </c>
      <c r="Z24" s="978">
        <v>3574926000000</v>
      </c>
      <c r="AA24" s="978">
        <v>3936648000000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988" t="s">
        <v>90</v>
      </c>
      <c r="B25" s="988" t="s">
        <v>1729</v>
      </c>
      <c r="C25" s="982" t="s">
        <v>81</v>
      </c>
      <c r="D25" s="987">
        <f>D26+D27</f>
        <v>74500000000</v>
      </c>
      <c r="E25" s="987">
        <f>E26+E27</f>
        <v>118400000000</v>
      </c>
      <c r="F25" s="987">
        <f>F26+F27</f>
        <v>131900000000</v>
      </c>
      <c r="G25" s="987">
        <f>G26+G27</f>
        <v>150100000000</v>
      </c>
      <c r="H25" s="978">
        <v>239500000000</v>
      </c>
      <c r="I25" s="978">
        <v>266600000000.00003</v>
      </c>
      <c r="J25" s="978">
        <v>284800000000</v>
      </c>
      <c r="K25" s="978">
        <v>155600000000</v>
      </c>
      <c r="L25" s="978">
        <v>127300000000</v>
      </c>
      <c r="M25" s="978">
        <v>128500000000</v>
      </c>
      <c r="N25" s="978">
        <v>147900000000</v>
      </c>
      <c r="O25" s="978">
        <v>170300000000</v>
      </c>
      <c r="P25" s="978">
        <v>155000000000</v>
      </c>
      <c r="Q25" s="1649">
        <v>159000000000</v>
      </c>
      <c r="R25" s="1649">
        <v>142000000000</v>
      </c>
      <c r="S25" s="1048">
        <f>S26+S27</f>
        <v>228688000000</v>
      </c>
      <c r="T25" s="1048">
        <f>T26+T27</f>
        <v>285948000000</v>
      </c>
      <c r="U25" s="1048">
        <f t="shared" ref="U25:AA25" si="10">U26+U27</f>
        <v>286704000000</v>
      </c>
      <c r="V25" s="1048">
        <f t="shared" si="10"/>
        <v>364968000000</v>
      </c>
      <c r="W25" s="1048">
        <f t="shared" si="10"/>
        <v>366488000000</v>
      </c>
      <c r="X25" s="1048">
        <f t="shared" si="10"/>
        <v>461277000000</v>
      </c>
      <c r="Y25" s="1048">
        <f t="shared" si="10"/>
        <v>568590000000</v>
      </c>
      <c r="Z25" s="1048">
        <f t="shared" si="10"/>
        <v>627180000000</v>
      </c>
      <c r="AA25" s="1048">
        <f t="shared" si="10"/>
        <v>759704000000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997" t="s">
        <v>212</v>
      </c>
      <c r="B26" s="997" t="s">
        <v>212</v>
      </c>
      <c r="C26" s="982" t="s">
        <v>1525</v>
      </c>
      <c r="D26" s="978">
        <v>26300000000</v>
      </c>
      <c r="E26" s="978">
        <v>69800000000</v>
      </c>
      <c r="F26" s="978">
        <v>81500000000</v>
      </c>
      <c r="G26" s="978">
        <v>60600000000</v>
      </c>
      <c r="H26" s="978">
        <v>113900000000</v>
      </c>
      <c r="I26" s="978">
        <v>97900000000</v>
      </c>
      <c r="J26" s="987">
        <v>55500000000</v>
      </c>
      <c r="K26" s="987">
        <v>21100000000</v>
      </c>
      <c r="L26" s="978">
        <v>24900000000</v>
      </c>
      <c r="M26" s="978">
        <v>33000000000</v>
      </c>
      <c r="N26" s="978">
        <v>32600000000</v>
      </c>
      <c r="O26" s="978">
        <v>37300000000</v>
      </c>
      <c r="P26" s="978">
        <v>38000000000</v>
      </c>
      <c r="Q26" s="1649">
        <v>39000000000</v>
      </c>
      <c r="R26" s="1649">
        <v>45000000000</v>
      </c>
      <c r="S26" s="1048">
        <v>57172000000</v>
      </c>
      <c r="T26" s="1048">
        <v>63544000000</v>
      </c>
      <c r="U26" s="978">
        <v>71676000000</v>
      </c>
      <c r="V26" s="978">
        <v>121656000000</v>
      </c>
      <c r="W26" s="978">
        <v>91622000000</v>
      </c>
      <c r="X26" s="978">
        <v>153759000000</v>
      </c>
      <c r="Y26" s="978">
        <v>227436000000</v>
      </c>
      <c r="Z26" s="978">
        <v>313590000000</v>
      </c>
      <c r="AA26" s="978">
        <v>414384000000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997" t="s">
        <v>209</v>
      </c>
      <c r="B27" s="997" t="s">
        <v>209</v>
      </c>
      <c r="C27" s="982" t="s">
        <v>1525</v>
      </c>
      <c r="D27" s="978">
        <v>48200000000</v>
      </c>
      <c r="E27" s="978">
        <v>48600000000</v>
      </c>
      <c r="F27" s="978">
        <v>50400000000</v>
      </c>
      <c r="G27" s="978">
        <v>89500000000</v>
      </c>
      <c r="H27" s="978">
        <v>125500000000</v>
      </c>
      <c r="I27" s="978">
        <v>168700000000</v>
      </c>
      <c r="J27" s="978">
        <v>229300000000</v>
      </c>
      <c r="K27" s="978">
        <v>134500000000</v>
      </c>
      <c r="L27" s="978">
        <v>102400000000</v>
      </c>
      <c r="M27" s="978">
        <v>95500000000</v>
      </c>
      <c r="N27" s="978">
        <v>115300000000</v>
      </c>
      <c r="O27" s="978">
        <v>133000000000</v>
      </c>
      <c r="P27" s="978">
        <v>117000000000</v>
      </c>
      <c r="Q27" s="1649">
        <v>120000000000</v>
      </c>
      <c r="R27" s="1649">
        <v>97000000000</v>
      </c>
      <c r="S27" s="1048">
        <v>171516000000</v>
      </c>
      <c r="T27" s="1048">
        <v>222404000000</v>
      </c>
      <c r="U27" s="978">
        <v>215028000000</v>
      </c>
      <c r="V27" s="978">
        <v>243312000000</v>
      </c>
      <c r="W27" s="978">
        <v>274866000000</v>
      </c>
      <c r="X27" s="978">
        <v>307518000000</v>
      </c>
      <c r="Y27" s="978">
        <v>341154000000</v>
      </c>
      <c r="Z27" s="978">
        <v>313590000000</v>
      </c>
      <c r="AA27" s="978">
        <v>345320000000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980" t="s">
        <v>391</v>
      </c>
      <c r="B28" s="988" t="s">
        <v>50</v>
      </c>
      <c r="C28" s="982" t="s">
        <v>81</v>
      </c>
      <c r="D28" s="978">
        <v>152400000000</v>
      </c>
      <c r="E28" s="978">
        <v>214300000000</v>
      </c>
      <c r="F28" s="978">
        <v>148300000000</v>
      </c>
      <c r="G28" s="978">
        <v>236100000000</v>
      </c>
      <c r="H28" s="978">
        <v>259200000000</v>
      </c>
      <c r="I28" s="978">
        <v>300000000000</v>
      </c>
      <c r="J28" s="978">
        <v>381100000000</v>
      </c>
      <c r="K28" s="978">
        <v>432600000000</v>
      </c>
      <c r="L28" s="990">
        <f>L23-L24-L25-L35-L36-L37</f>
        <v>672800000000</v>
      </c>
      <c r="M28" s="978">
        <v>514799999999.99994</v>
      </c>
      <c r="N28" s="978">
        <v>477700000000</v>
      </c>
      <c r="O28" s="978">
        <v>626500000000</v>
      </c>
      <c r="P28" s="978">
        <v>836000000000</v>
      </c>
      <c r="Q28" s="1649">
        <v>1117000000000</v>
      </c>
      <c r="R28" s="1649">
        <v>1046000000000</v>
      </c>
      <c r="S28" s="1048"/>
      <c r="T28" s="1048"/>
      <c r="U28" s="978"/>
      <c r="V28" s="978"/>
      <c r="W28" s="978"/>
      <c r="X28" s="978"/>
      <c r="Y28" s="978"/>
      <c r="Z28" s="978"/>
      <c r="AA28" s="97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2558" t="s">
        <v>537</v>
      </c>
      <c r="B29" s="2558" t="s">
        <v>537</v>
      </c>
      <c r="C29" s="982" t="s">
        <v>81</v>
      </c>
      <c r="D29" s="978"/>
      <c r="E29" s="978"/>
      <c r="F29" s="978"/>
      <c r="G29" s="978"/>
      <c r="H29" s="978"/>
      <c r="I29" s="978"/>
      <c r="J29" s="978"/>
      <c r="K29" s="978"/>
      <c r="L29" s="990"/>
      <c r="M29" s="978"/>
      <c r="N29" s="978"/>
      <c r="O29" s="978"/>
      <c r="P29" s="978"/>
      <c r="Q29" s="1649"/>
      <c r="R29" s="1649"/>
      <c r="S29" s="1048">
        <v>142930000000</v>
      </c>
      <c r="T29" s="1048">
        <v>190632000000</v>
      </c>
      <c r="U29" s="978">
        <v>286704000000</v>
      </c>
      <c r="V29" s="978">
        <v>364968000000</v>
      </c>
      <c r="W29" s="978">
        <v>458110000000</v>
      </c>
      <c r="X29" s="978">
        <v>563783000000</v>
      </c>
      <c r="Y29" s="978">
        <v>682308000000</v>
      </c>
      <c r="Z29" s="978">
        <v>815334000000</v>
      </c>
      <c r="AA29" s="978">
        <v>1035960000000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2558" t="s">
        <v>2239</v>
      </c>
      <c r="B30" s="2558" t="s">
        <v>2239</v>
      </c>
      <c r="C30" s="982" t="s">
        <v>81</v>
      </c>
      <c r="D30" s="978"/>
      <c r="E30" s="978"/>
      <c r="F30" s="978"/>
      <c r="G30" s="978"/>
      <c r="H30" s="978"/>
      <c r="I30" s="978"/>
      <c r="J30" s="978"/>
      <c r="K30" s="978"/>
      <c r="L30" s="990"/>
      <c r="M30" s="978"/>
      <c r="N30" s="978"/>
      <c r="O30" s="978"/>
      <c r="P30" s="978"/>
      <c r="Q30" s="1649"/>
      <c r="R30" s="1649"/>
      <c r="S30" s="1048">
        <v>971924000000</v>
      </c>
      <c r="T30" s="1048">
        <v>984932000000</v>
      </c>
      <c r="U30" s="978">
        <v>1469357999999.9998</v>
      </c>
      <c r="V30" s="978">
        <v>1054352000000</v>
      </c>
      <c r="W30" s="978">
        <v>1007842000000.0001</v>
      </c>
      <c r="X30" s="978">
        <v>1076313000000</v>
      </c>
      <c r="Y30" s="978">
        <v>1194039000000</v>
      </c>
      <c r="Z30" s="978">
        <v>1254360000000</v>
      </c>
      <c r="AA30" s="978">
        <v>1450344000000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559"/>
      <c r="B31" s="2558" t="s">
        <v>4034</v>
      </c>
      <c r="C31" s="982"/>
      <c r="D31" s="978"/>
      <c r="E31" s="978"/>
      <c r="F31" s="978"/>
      <c r="G31" s="978"/>
      <c r="H31" s="978"/>
      <c r="I31" s="978"/>
      <c r="J31" s="978"/>
      <c r="K31" s="978"/>
      <c r="L31" s="990"/>
      <c r="M31" s="978"/>
      <c r="N31" s="978"/>
      <c r="O31" s="978"/>
      <c r="P31" s="978"/>
      <c r="Q31" s="1649"/>
      <c r="R31" s="1649"/>
      <c r="S31" s="1048"/>
      <c r="T31" s="1048"/>
      <c r="U31" s="978"/>
      <c r="V31" s="978"/>
      <c r="W31" s="978"/>
      <c r="X31" s="978"/>
      <c r="Y31" s="978"/>
      <c r="Z31" s="978"/>
      <c r="AA31" s="97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2559"/>
      <c r="B32" s="2558" t="s">
        <v>4035</v>
      </c>
      <c r="C32" s="982"/>
      <c r="D32" s="978"/>
      <c r="E32" s="978"/>
      <c r="F32" s="978"/>
      <c r="G32" s="978"/>
      <c r="H32" s="978"/>
      <c r="I32" s="978"/>
      <c r="J32" s="978"/>
      <c r="K32" s="978"/>
      <c r="L32" s="990"/>
      <c r="M32" s="978"/>
      <c r="N32" s="978"/>
      <c r="O32" s="978"/>
      <c r="P32" s="978"/>
      <c r="Q32" s="1649"/>
      <c r="R32" s="1649"/>
      <c r="S32" s="1048"/>
      <c r="T32" s="1048"/>
      <c r="U32" s="978"/>
      <c r="V32" s="978"/>
      <c r="W32" s="978"/>
      <c r="X32" s="978"/>
      <c r="Y32" s="978"/>
      <c r="Z32" s="978"/>
      <c r="AA32" s="97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2559"/>
      <c r="B33" s="2558" t="s">
        <v>4036</v>
      </c>
      <c r="C33" s="982"/>
      <c r="D33" s="978"/>
      <c r="E33" s="978"/>
      <c r="F33" s="978"/>
      <c r="G33" s="978"/>
      <c r="H33" s="978"/>
      <c r="I33" s="978"/>
      <c r="J33" s="978"/>
      <c r="K33" s="978"/>
      <c r="L33" s="990"/>
      <c r="M33" s="978"/>
      <c r="N33" s="978"/>
      <c r="O33" s="978"/>
      <c r="P33" s="978"/>
      <c r="Q33" s="1649"/>
      <c r="R33" s="1649"/>
      <c r="S33" s="125"/>
      <c r="T33" s="125"/>
      <c r="U33" s="978"/>
      <c r="V33" s="978"/>
      <c r="W33" s="978"/>
      <c r="X33" s="978"/>
      <c r="Y33" s="978"/>
      <c r="Z33" s="978"/>
      <c r="AA33" s="97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972" t="s">
        <v>76</v>
      </c>
      <c r="B34" s="997" t="s">
        <v>4037</v>
      </c>
      <c r="D34" s="978"/>
      <c r="E34" s="978"/>
      <c r="F34" s="978"/>
      <c r="G34" s="978"/>
      <c r="H34" s="978"/>
      <c r="I34" s="978"/>
      <c r="J34" s="978"/>
      <c r="K34" s="978"/>
      <c r="L34" s="978"/>
      <c r="M34" s="978"/>
      <c r="N34" s="978"/>
      <c r="O34" s="978">
        <v>21700000000</v>
      </c>
      <c r="P34" s="978"/>
      <c r="Q34" s="1650"/>
      <c r="R34" s="1650"/>
      <c r="S34" s="978"/>
      <c r="T34" s="978"/>
      <c r="U34" s="978"/>
      <c r="V34" s="978"/>
      <c r="W34" s="978"/>
      <c r="X34" s="978"/>
      <c r="Y34" s="978"/>
      <c r="Z34" s="978"/>
      <c r="AA34" s="97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972" t="s">
        <v>4038</v>
      </c>
      <c r="B35" s="988" t="s">
        <v>4039</v>
      </c>
      <c r="C35" s="982" t="s">
        <v>81</v>
      </c>
      <c r="D35" s="978">
        <v>41500000000</v>
      </c>
      <c r="E35" s="978">
        <v>10900000000</v>
      </c>
      <c r="F35" s="978">
        <v>40400000000</v>
      </c>
      <c r="G35" s="978">
        <v>12100000000</v>
      </c>
      <c r="H35" s="978">
        <v>128600000000</v>
      </c>
      <c r="I35" s="978">
        <v>84200000000</v>
      </c>
      <c r="J35" s="978">
        <v>56700000000</v>
      </c>
      <c r="K35" s="978">
        <v>220600000000</v>
      </c>
      <c r="L35" s="990"/>
      <c r="M35" s="978">
        <v>93700000000</v>
      </c>
      <c r="N35" s="978">
        <v>77100000000</v>
      </c>
      <c r="O35" s="978">
        <v>117900000000</v>
      </c>
      <c r="P35" s="978">
        <v>173000000000</v>
      </c>
      <c r="Q35" s="1649">
        <v>135000000000</v>
      </c>
      <c r="R35" s="1649">
        <v>148000000000</v>
      </c>
      <c r="S35" s="1048">
        <v>400204000000</v>
      </c>
      <c r="T35" s="1048">
        <v>190632000000</v>
      </c>
      <c r="U35" s="978">
        <v>71676000000</v>
      </c>
      <c r="V35" s="978">
        <v>162208000000</v>
      </c>
      <c r="W35" s="978">
        <v>45811000000</v>
      </c>
      <c r="X35" s="978">
        <v>102506000000</v>
      </c>
      <c r="Y35" s="978">
        <v>113718000000</v>
      </c>
      <c r="Z35" s="978">
        <v>125436000000</v>
      </c>
      <c r="AA35" s="978">
        <v>138128000000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966" t="s">
        <v>4040</v>
      </c>
      <c r="B36" s="988" t="s">
        <v>4041</v>
      </c>
      <c r="C36" s="982" t="s">
        <v>81</v>
      </c>
      <c r="D36" s="978">
        <v>8100000000</v>
      </c>
      <c r="E36" s="978">
        <v>5000000000</v>
      </c>
      <c r="F36" s="978">
        <v>24400000000</v>
      </c>
      <c r="G36" s="978">
        <v>7100000000</v>
      </c>
      <c r="H36" s="978"/>
      <c r="I36" s="978"/>
      <c r="J36" s="978"/>
      <c r="K36" s="978"/>
      <c r="L36" s="978"/>
      <c r="M36" s="978"/>
      <c r="N36" s="978"/>
      <c r="O36" s="978"/>
      <c r="P36" s="978"/>
      <c r="Q36" s="1650"/>
      <c r="R36" s="1650"/>
      <c r="S36" s="978"/>
      <c r="T36" s="978"/>
      <c r="U36" s="978"/>
      <c r="V36" s="978"/>
      <c r="W36" s="978"/>
      <c r="X36" s="978"/>
      <c r="Y36" s="978"/>
      <c r="Z36" s="978"/>
      <c r="AA36" s="97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988" t="s">
        <v>4042</v>
      </c>
      <c r="B37" s="988" t="s">
        <v>4043</v>
      </c>
      <c r="C37" s="982" t="s">
        <v>81</v>
      </c>
      <c r="D37" s="978">
        <v>0</v>
      </c>
      <c r="E37" s="978">
        <v>300000000</v>
      </c>
      <c r="F37" s="978">
        <v>800000000</v>
      </c>
      <c r="G37" s="978">
        <v>900000000</v>
      </c>
      <c r="H37" s="978"/>
      <c r="I37" s="978"/>
      <c r="J37" s="978"/>
      <c r="K37" s="978"/>
      <c r="L37" s="978"/>
      <c r="M37" s="978"/>
      <c r="N37" s="978"/>
      <c r="O37" s="978"/>
      <c r="P37" s="978"/>
      <c r="Q37" s="1650"/>
      <c r="R37" s="1650"/>
      <c r="S37" s="978"/>
      <c r="T37" s="978"/>
      <c r="U37" s="978"/>
      <c r="V37" s="978"/>
      <c r="W37" s="978"/>
      <c r="X37" s="978"/>
      <c r="Y37" s="978"/>
      <c r="Z37" s="978"/>
      <c r="AA37" s="97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981" t="s">
        <v>237</v>
      </c>
      <c r="B38" s="981" t="s">
        <v>1442</v>
      </c>
      <c r="C38" s="982" t="s">
        <v>75</v>
      </c>
      <c r="D38" s="978">
        <v>367800000000</v>
      </c>
      <c r="E38" s="978">
        <v>436200000000</v>
      </c>
      <c r="F38" s="978">
        <v>289200000000</v>
      </c>
      <c r="G38" s="978">
        <v>531500000000</v>
      </c>
      <c r="H38" s="978">
        <v>1018000000000</v>
      </c>
      <c r="I38" s="978">
        <v>1038300000000</v>
      </c>
      <c r="J38" s="978">
        <v>1208800000000</v>
      </c>
      <c r="K38" s="978">
        <v>1049900000000.0001</v>
      </c>
      <c r="L38" s="978">
        <v>1244800000000</v>
      </c>
      <c r="M38" s="978">
        <v>813000000000</v>
      </c>
      <c r="N38" s="978">
        <v>914500000000</v>
      </c>
      <c r="O38" s="978">
        <v>841800000000</v>
      </c>
      <c r="P38" s="978">
        <v>595000000000</v>
      </c>
      <c r="Q38" s="1649">
        <v>731000000000</v>
      </c>
      <c r="R38" s="1649">
        <v>1016000000000</v>
      </c>
      <c r="S38" s="1048">
        <f>S39+S40</f>
        <v>971924000000</v>
      </c>
      <c r="T38" s="1048">
        <f>T39+T40</f>
        <v>1652144000000</v>
      </c>
      <c r="U38" s="1048">
        <f t="shared" ref="U38:Z38" si="11">U39+U40</f>
        <v>1971090000000</v>
      </c>
      <c r="V38" s="1048">
        <f t="shared" si="11"/>
        <v>2960296000000</v>
      </c>
      <c r="W38" s="1048">
        <f t="shared" si="11"/>
        <v>4489478000000</v>
      </c>
      <c r="X38" s="1048">
        <f t="shared" si="11"/>
        <v>5022794000000</v>
      </c>
      <c r="Y38" s="1048">
        <f t="shared" si="11"/>
        <v>5629041000000</v>
      </c>
      <c r="Z38" s="1048">
        <f t="shared" si="11"/>
        <v>5958210000000</v>
      </c>
      <c r="AA38" s="1048">
        <f>AA39+AA40</f>
        <v>6215760000000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980" t="s">
        <v>239</v>
      </c>
      <c r="B39" s="988" t="s">
        <v>4044</v>
      </c>
      <c r="C39" s="982" t="s">
        <v>95</v>
      </c>
      <c r="D39" s="978">
        <v>130900000000</v>
      </c>
      <c r="E39" s="978">
        <v>188500000000</v>
      </c>
      <c r="F39" s="978">
        <v>111900000000</v>
      </c>
      <c r="G39" s="978">
        <v>172300000000</v>
      </c>
      <c r="H39" s="978">
        <v>245400000000</v>
      </c>
      <c r="I39" s="978">
        <v>304800000000</v>
      </c>
      <c r="J39" s="978">
        <v>286200000000</v>
      </c>
      <c r="K39" s="978">
        <v>314900000000</v>
      </c>
      <c r="L39" s="978">
        <v>474200000000</v>
      </c>
      <c r="M39" s="978">
        <v>361300000000</v>
      </c>
      <c r="N39" s="978">
        <v>385000000000</v>
      </c>
      <c r="O39" s="978">
        <v>286500000000</v>
      </c>
      <c r="P39" s="978">
        <v>165000000000</v>
      </c>
      <c r="Q39" s="1649">
        <v>138000000000</v>
      </c>
      <c r="R39" s="1649">
        <v>302000000000</v>
      </c>
      <c r="S39" s="1048">
        <v>285860000000</v>
      </c>
      <c r="T39" s="1048">
        <v>381264000000</v>
      </c>
      <c r="U39" s="1048">
        <v>716760000000</v>
      </c>
      <c r="V39" s="1048">
        <v>1013800000000</v>
      </c>
      <c r="W39" s="1048">
        <v>1465952000000</v>
      </c>
      <c r="X39" s="1048">
        <v>1742602000000</v>
      </c>
      <c r="Y39" s="1048">
        <v>2103783000000</v>
      </c>
      <c r="Z39" s="1048">
        <v>2383284000000</v>
      </c>
      <c r="AA39" s="1048">
        <v>2693496000000</v>
      </c>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980" t="s">
        <v>395</v>
      </c>
      <c r="B40" s="988" t="s">
        <v>2952</v>
      </c>
      <c r="C40" s="982" t="s">
        <v>95</v>
      </c>
      <c r="D40" s="978">
        <v>237000000000</v>
      </c>
      <c r="E40" s="978">
        <v>247700000000</v>
      </c>
      <c r="F40" s="978">
        <v>177200000000</v>
      </c>
      <c r="G40" s="978">
        <v>359200000000</v>
      </c>
      <c r="H40" s="978">
        <v>772700000000</v>
      </c>
      <c r="I40" s="978">
        <v>733500000000</v>
      </c>
      <c r="J40" s="978">
        <v>922600000000</v>
      </c>
      <c r="K40" s="978">
        <v>735000000000</v>
      </c>
      <c r="L40" s="978">
        <v>770600000000</v>
      </c>
      <c r="M40" s="978">
        <v>451700000000</v>
      </c>
      <c r="N40" s="978">
        <v>529500000000</v>
      </c>
      <c r="O40" s="978">
        <v>555300000000</v>
      </c>
      <c r="P40" s="978">
        <v>430000000000</v>
      </c>
      <c r="Q40" s="1649">
        <v>593000000000</v>
      </c>
      <c r="R40" s="1649">
        <v>714000000000</v>
      </c>
      <c r="S40" s="1048">
        <v>686064000000</v>
      </c>
      <c r="T40" s="1048">
        <v>1270880000000</v>
      </c>
      <c r="U40" s="1048">
        <v>1254330000000</v>
      </c>
      <c r="V40" s="1048">
        <v>1946496000000</v>
      </c>
      <c r="W40" s="1048">
        <v>3023526000000</v>
      </c>
      <c r="X40" s="1048">
        <v>3280192000000</v>
      </c>
      <c r="Y40" s="1048">
        <v>3525258000000</v>
      </c>
      <c r="Z40" s="1048">
        <v>3574926000000</v>
      </c>
      <c r="AA40" s="1048">
        <v>3522263999999.9995</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980" t="s">
        <v>76</v>
      </c>
      <c r="B41" s="981" t="s">
        <v>4045</v>
      </c>
      <c r="C41" s="982"/>
      <c r="D41" s="987"/>
      <c r="E41" s="987"/>
      <c r="F41" s="1658">
        <v>30800000000</v>
      </c>
      <c r="G41" s="1658">
        <v>21200000000</v>
      </c>
      <c r="H41" s="987"/>
      <c r="I41" s="987"/>
      <c r="J41" s="987"/>
      <c r="K41" s="987"/>
      <c r="L41" s="978">
        <v>0</v>
      </c>
      <c r="M41" s="978">
        <v>0</v>
      </c>
      <c r="N41" s="978">
        <v>0</v>
      </c>
      <c r="O41" s="978">
        <v>0</v>
      </c>
      <c r="P41" s="978">
        <v>0</v>
      </c>
      <c r="Q41" s="1650">
        <v>0</v>
      </c>
      <c r="R41" s="1650">
        <v>0</v>
      </c>
      <c r="S41" s="978"/>
      <c r="T41" s="978"/>
      <c r="U41" s="978"/>
      <c r="V41" s="978"/>
      <c r="W41" s="978"/>
      <c r="X41" s="978"/>
      <c r="Y41" s="978"/>
      <c r="Z41" s="978"/>
      <c r="AA41" s="97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972" t="s">
        <v>76</v>
      </c>
      <c r="B42" s="981" t="s">
        <v>4046</v>
      </c>
      <c r="D42" s="987"/>
      <c r="E42" s="987"/>
      <c r="F42" s="987"/>
      <c r="G42" s="987"/>
      <c r="H42" s="978">
        <v>-185100000000</v>
      </c>
      <c r="I42" s="978">
        <v>-219800000000</v>
      </c>
      <c r="J42" s="978">
        <v>-230000000000</v>
      </c>
      <c r="K42" s="978">
        <v>-205800000000</v>
      </c>
      <c r="L42" s="978">
        <v>-315700000000</v>
      </c>
      <c r="M42" s="978">
        <v>-425800000000</v>
      </c>
      <c r="N42" s="978">
        <v>-158600000000</v>
      </c>
      <c r="O42" s="978">
        <v>-477900000000</v>
      </c>
      <c r="P42" s="978">
        <v>-569000000000</v>
      </c>
      <c r="Q42" s="1649">
        <v>-933000000000</v>
      </c>
      <c r="R42" s="1649">
        <v>-593000000000</v>
      </c>
      <c r="S42" s="1048"/>
      <c r="T42" s="1048"/>
      <c r="U42" s="978"/>
      <c r="V42" s="978"/>
      <c r="W42" s="978"/>
      <c r="X42" s="978"/>
      <c r="Y42" s="978"/>
      <c r="Z42" s="978"/>
      <c r="AA42" s="97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972" t="s">
        <v>76</v>
      </c>
      <c r="B43" s="981" t="s">
        <v>912</v>
      </c>
      <c r="D43" s="987"/>
      <c r="E43" s="987"/>
      <c r="F43" s="987"/>
      <c r="G43" s="987"/>
      <c r="H43" s="978">
        <v>-63200000000</v>
      </c>
      <c r="I43" s="978">
        <v>44900000000</v>
      </c>
      <c r="J43" s="978">
        <v>-28600000000</v>
      </c>
      <c r="K43" s="978">
        <v>-2100000000</v>
      </c>
      <c r="L43" s="978">
        <v>32200000000.000004</v>
      </c>
      <c r="M43" s="978">
        <v>-1000000000</v>
      </c>
      <c r="N43" s="978">
        <v>37600000000</v>
      </c>
      <c r="O43" s="978">
        <v>-13700000000</v>
      </c>
      <c r="P43" s="978">
        <v>20000000000</v>
      </c>
      <c r="Q43" s="1649">
        <v>40000000000</v>
      </c>
      <c r="R43" s="1649">
        <v>-156000000000</v>
      </c>
      <c r="S43" s="1048"/>
      <c r="T43" s="1048"/>
      <c r="U43" s="978"/>
      <c r="V43" s="978"/>
      <c r="W43" s="978"/>
      <c r="X43" s="978"/>
      <c r="Y43" s="978"/>
      <c r="Z43" s="978"/>
      <c r="AA43" s="97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972" t="s">
        <v>76</v>
      </c>
      <c r="B44" s="981" t="s">
        <v>4047</v>
      </c>
      <c r="D44" s="987"/>
      <c r="E44" s="987"/>
      <c r="F44" s="987"/>
      <c r="G44" s="987"/>
      <c r="H44" s="987"/>
      <c r="I44" s="978">
        <v>-10900000000</v>
      </c>
      <c r="J44" s="978">
        <v>-4700000000</v>
      </c>
      <c r="K44" s="978">
        <v>-22100000000</v>
      </c>
      <c r="L44" s="978">
        <v>0</v>
      </c>
      <c r="M44" s="978">
        <v>0</v>
      </c>
      <c r="N44" s="978">
        <v>0</v>
      </c>
      <c r="O44" s="978">
        <v>-140400000000</v>
      </c>
      <c r="P44" s="978">
        <v>-294000000000</v>
      </c>
      <c r="Q44" s="1649">
        <v>-516000000000</v>
      </c>
      <c r="R44" s="1649">
        <v>187000000000</v>
      </c>
      <c r="S44" s="1048"/>
      <c r="T44" s="1048"/>
      <c r="U44" s="978"/>
      <c r="V44" s="978"/>
      <c r="W44" s="978"/>
      <c r="X44" s="978"/>
      <c r="Y44" s="978"/>
      <c r="Z44" s="978"/>
      <c r="AA44" s="97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972" t="s">
        <v>76</v>
      </c>
      <c r="B45" s="2560" t="s">
        <v>4048</v>
      </c>
      <c r="D45" s="978">
        <v>-177600000000</v>
      </c>
      <c r="E45" s="978">
        <v>-264399999999.99997</v>
      </c>
      <c r="F45" s="978">
        <v>-372600000000</v>
      </c>
      <c r="G45" s="978">
        <v>-324400000000</v>
      </c>
      <c r="H45" s="978">
        <v>-463800000000</v>
      </c>
      <c r="I45" s="978">
        <v>-437700000000</v>
      </c>
      <c r="J45" s="978">
        <v>4413900000000</v>
      </c>
      <c r="K45" s="978">
        <v>-392800000000</v>
      </c>
      <c r="L45" s="978">
        <v>-345700000000</v>
      </c>
      <c r="M45" s="978">
        <v>-425000000000</v>
      </c>
      <c r="N45" s="978">
        <v>-196200000000</v>
      </c>
      <c r="O45" s="978">
        <v>-324000000000</v>
      </c>
      <c r="P45" s="978">
        <v>-295000000000</v>
      </c>
      <c r="Q45" s="1649">
        <v>-457000000000</v>
      </c>
      <c r="R45" s="1649">
        <v>-624000000000</v>
      </c>
      <c r="S45" s="1048"/>
      <c r="T45" s="1048"/>
      <c r="U45" s="978"/>
      <c r="V45" s="978"/>
      <c r="W45" s="978"/>
      <c r="X45" s="978"/>
      <c r="Y45" s="978"/>
      <c r="Z45" s="978"/>
      <c r="AA45" s="97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B46" s="2560" t="s">
        <v>4049</v>
      </c>
      <c r="D46" s="978"/>
      <c r="E46" s="978"/>
      <c r="F46" s="978"/>
      <c r="G46" s="978"/>
      <c r="H46" s="978"/>
      <c r="I46" s="978"/>
      <c r="J46" s="978"/>
      <c r="K46" s="978"/>
      <c r="L46" s="978"/>
      <c r="M46" s="978"/>
      <c r="N46" s="978"/>
      <c r="O46" s="978"/>
      <c r="P46" s="978"/>
      <c r="Q46" s="1649"/>
      <c r="R46" s="1649"/>
      <c r="S46" s="1048"/>
      <c r="T46" s="1048"/>
      <c r="U46" s="978"/>
      <c r="V46" s="978"/>
      <c r="W46" s="978"/>
      <c r="X46" s="978"/>
      <c r="Y46" s="978"/>
      <c r="Z46" s="978"/>
      <c r="AA46" s="978"/>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B47" s="2560" t="s">
        <v>4050</v>
      </c>
      <c r="D47" s="978"/>
      <c r="E47" s="978"/>
      <c r="F47" s="978"/>
      <c r="G47" s="978"/>
      <c r="H47" s="978"/>
      <c r="I47" s="978"/>
      <c r="J47" s="978"/>
      <c r="K47" s="978"/>
      <c r="L47" s="978"/>
      <c r="M47" s="978"/>
      <c r="N47" s="978"/>
      <c r="O47" s="978"/>
      <c r="P47" s="978"/>
      <c r="Q47" s="1649"/>
      <c r="R47" s="1649"/>
      <c r="S47" s="1048"/>
      <c r="T47" s="1048"/>
      <c r="U47" s="978"/>
      <c r="V47" s="978"/>
      <c r="W47" s="978"/>
      <c r="X47" s="978"/>
      <c r="Y47" s="978"/>
      <c r="Z47" s="978"/>
      <c r="AA47" s="978"/>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s="848" customFormat="1">
      <c r="A48" s="1375" t="s">
        <v>115</v>
      </c>
      <c r="B48" s="1012" t="s">
        <v>4051</v>
      </c>
      <c r="C48" s="1374" t="s">
        <v>35</v>
      </c>
      <c r="D48" s="1016">
        <v>177600000000</v>
      </c>
      <c r="E48" s="1016">
        <v>264399999999.99997</v>
      </c>
      <c r="F48" s="1016">
        <v>372600000000</v>
      </c>
      <c r="G48" s="1016">
        <v>324400000000</v>
      </c>
      <c r="H48" s="1016">
        <v>463800000000</v>
      </c>
      <c r="I48" s="1016">
        <v>437700000000</v>
      </c>
      <c r="J48" s="1016">
        <v>-4413900000000</v>
      </c>
      <c r="K48" s="1016">
        <v>392800000000</v>
      </c>
      <c r="L48" s="1016">
        <v>345500000000</v>
      </c>
      <c r="M48" s="1016">
        <v>425000000000</v>
      </c>
      <c r="N48" s="1016">
        <v>195700000000</v>
      </c>
      <c r="O48" s="1016">
        <v>324000000000</v>
      </c>
      <c r="P48" s="1016">
        <v>295000000000</v>
      </c>
      <c r="Q48" s="1654">
        <f>Q49+Q57</f>
        <v>457000000000</v>
      </c>
      <c r="R48" s="1654">
        <f>R49+R57</f>
        <v>730000000000</v>
      </c>
      <c r="S48" s="1054">
        <f>S49+S57</f>
        <v>1029096000000</v>
      </c>
      <c r="T48" s="1054">
        <f>T49+T57</f>
        <v>984932000000</v>
      </c>
      <c r="U48" s="1054">
        <f t="shared" ref="U48:AA48" si="12">U49+U57</f>
        <v>824273999999.99988</v>
      </c>
      <c r="V48" s="1054">
        <f t="shared" si="12"/>
        <v>1297664000000</v>
      </c>
      <c r="W48" s="1054">
        <f t="shared" si="12"/>
        <v>2061495000000.0002</v>
      </c>
      <c r="X48" s="1054">
        <f t="shared" si="12"/>
        <v>3126433000000</v>
      </c>
      <c r="Y48" s="1054">
        <f t="shared" si="12"/>
        <v>2842950000000</v>
      </c>
      <c r="Z48" s="1054">
        <f t="shared" si="12"/>
        <v>2822310000000</v>
      </c>
      <c r="AA48" s="1054">
        <f t="shared" si="12"/>
        <v>2624432000000</v>
      </c>
      <c r="AB48" s="916"/>
      <c r="AC48" s="916"/>
      <c r="AD48" s="916"/>
      <c r="AE48" s="916"/>
      <c r="AF48" s="916"/>
      <c r="AG48" s="916"/>
      <c r="AH48" s="916"/>
      <c r="AI48" s="916"/>
      <c r="AJ48" s="916"/>
      <c r="AK48" s="916"/>
      <c r="AL48" s="916"/>
      <c r="AM48" s="916"/>
      <c r="AN48" s="916"/>
      <c r="AO48" s="916"/>
      <c r="AP48" s="916"/>
      <c r="AQ48" s="916"/>
      <c r="AR48" s="916"/>
      <c r="AS48" s="916"/>
      <c r="AT48" s="916"/>
      <c r="AU48" s="916"/>
      <c r="AV48" s="916"/>
      <c r="AW48" s="916"/>
    </row>
    <row r="49" spans="1:49">
      <c r="A49" s="980" t="s">
        <v>117</v>
      </c>
      <c r="B49" s="981" t="s">
        <v>4052</v>
      </c>
      <c r="C49" s="982" t="s">
        <v>119</v>
      </c>
      <c r="D49" s="978">
        <v>91500000000</v>
      </c>
      <c r="E49" s="978">
        <v>127400000000</v>
      </c>
      <c r="F49" s="978">
        <v>218800000000</v>
      </c>
      <c r="G49" s="978">
        <v>191600000000</v>
      </c>
      <c r="H49" s="978">
        <v>518200000000.00006</v>
      </c>
      <c r="I49" s="978">
        <v>387800000000</v>
      </c>
      <c r="J49" s="978">
        <v>-4133100000000.0005</v>
      </c>
      <c r="K49" s="978">
        <v>307300000000</v>
      </c>
      <c r="L49" s="978">
        <v>478300000000</v>
      </c>
      <c r="M49" s="978">
        <v>123100000000</v>
      </c>
      <c r="N49" s="978">
        <v>132400000000</v>
      </c>
      <c r="O49" s="978">
        <v>95900000000</v>
      </c>
      <c r="P49" s="978">
        <v>98000000000</v>
      </c>
      <c r="Q49" s="1649">
        <v>234000000000</v>
      </c>
      <c r="R49" s="1649">
        <v>310000000000</v>
      </c>
      <c r="S49" s="1048">
        <f>S50+S53</f>
        <v>628892000000</v>
      </c>
      <c r="T49" s="1048">
        <f>T50+T53</f>
        <v>540124000000</v>
      </c>
      <c r="U49" s="1048">
        <f t="shared" ref="U49:AA49" si="13">U50+U53</f>
        <v>501731999999.99988</v>
      </c>
      <c r="V49" s="1048">
        <f t="shared" si="13"/>
        <v>1013800000000</v>
      </c>
      <c r="W49" s="1048">
        <f t="shared" si="13"/>
        <v>1878251000000.0002</v>
      </c>
      <c r="X49" s="1048">
        <f t="shared" si="13"/>
        <v>2767662000000</v>
      </c>
      <c r="Y49" s="1048">
        <f t="shared" si="13"/>
        <v>2444937000000</v>
      </c>
      <c r="Z49" s="1048">
        <f t="shared" si="13"/>
        <v>2383284000000</v>
      </c>
      <c r="AA49" s="1048">
        <f t="shared" si="13"/>
        <v>2140984000000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980" t="s">
        <v>444</v>
      </c>
      <c r="B50" s="988" t="s">
        <v>4053</v>
      </c>
      <c r="C50" s="981" t="s">
        <v>264</v>
      </c>
      <c r="D50" s="978">
        <v>90100000000</v>
      </c>
      <c r="E50" s="978">
        <v>144700000000</v>
      </c>
      <c r="F50" s="978">
        <v>230000000000</v>
      </c>
      <c r="G50" s="978">
        <v>249300000000</v>
      </c>
      <c r="H50" s="978">
        <v>579300000000</v>
      </c>
      <c r="I50" s="978">
        <v>454500000000</v>
      </c>
      <c r="J50" s="978">
        <v>467200000000</v>
      </c>
      <c r="K50" s="978">
        <v>335100000000</v>
      </c>
      <c r="L50" s="978">
        <v>504600000000</v>
      </c>
      <c r="M50" s="978">
        <v>195300000000</v>
      </c>
      <c r="N50" s="978">
        <v>192800000000</v>
      </c>
      <c r="O50" s="978">
        <v>182500000000</v>
      </c>
      <c r="P50" s="978">
        <v>168000000000</v>
      </c>
      <c r="Q50" s="1649">
        <v>297000000000</v>
      </c>
      <c r="R50" s="1649">
        <v>443000000000</v>
      </c>
      <c r="S50" s="1048">
        <f t="shared" ref="S50:T50" si="14">S51+S52</f>
        <v>743236000000</v>
      </c>
      <c r="T50" s="1048">
        <f t="shared" si="14"/>
        <v>762528000000</v>
      </c>
      <c r="U50" s="1048">
        <f>U51+U52</f>
        <v>752597999999.99988</v>
      </c>
      <c r="V50" s="1048">
        <f t="shared" ref="V50:AA50" si="15">V51+V52</f>
        <v>1257112000000</v>
      </c>
      <c r="W50" s="1048">
        <f t="shared" si="15"/>
        <v>2061495000000.0002</v>
      </c>
      <c r="X50" s="1048">
        <f t="shared" si="15"/>
        <v>2562650000000</v>
      </c>
      <c r="Y50" s="1048">
        <f t="shared" si="15"/>
        <v>2729232000000</v>
      </c>
      <c r="Z50" s="1048">
        <f t="shared" si="15"/>
        <v>2696874000000</v>
      </c>
      <c r="AA50" s="1048">
        <f t="shared" si="15"/>
        <v>2555368000000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972" t="s">
        <v>76</v>
      </c>
      <c r="B51" s="997" t="s">
        <v>4054</v>
      </c>
      <c r="C51" s="972" t="s">
        <v>499</v>
      </c>
      <c r="D51" s="978">
        <v>6700000000</v>
      </c>
      <c r="E51" s="978">
        <v>43700000000</v>
      </c>
      <c r="F51" s="978">
        <v>132900000000</v>
      </c>
      <c r="G51" s="978">
        <v>64300000000</v>
      </c>
      <c r="H51" s="978">
        <v>143200000000</v>
      </c>
      <c r="I51" s="987"/>
      <c r="J51" s="987"/>
      <c r="K51" s="987"/>
      <c r="L51" s="978">
        <v>154800000000</v>
      </c>
      <c r="M51" s="978">
        <v>0</v>
      </c>
      <c r="N51" s="978">
        <v>0</v>
      </c>
      <c r="O51" s="978">
        <v>0</v>
      </c>
      <c r="P51" s="978">
        <v>0</v>
      </c>
      <c r="Q51" s="1649">
        <v>0</v>
      </c>
      <c r="R51" s="1649">
        <v>115000000000</v>
      </c>
      <c r="S51" s="1048">
        <v>400204000000</v>
      </c>
      <c r="T51" s="1048">
        <v>381264000000</v>
      </c>
      <c r="U51" s="978">
        <v>250865999999.99997</v>
      </c>
      <c r="V51" s="978">
        <v>162208000000</v>
      </c>
      <c r="W51" s="978">
        <v>45811000000</v>
      </c>
      <c r="X51" s="978">
        <v>0</v>
      </c>
      <c r="Y51" s="978">
        <v>0</v>
      </c>
      <c r="Z51" s="978">
        <v>0</v>
      </c>
      <c r="AA51" s="978">
        <v>0</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972" t="s">
        <v>76</v>
      </c>
      <c r="B52" s="997" t="s">
        <v>4055</v>
      </c>
      <c r="C52" s="972" t="s">
        <v>499</v>
      </c>
      <c r="D52" s="978">
        <v>83400000000</v>
      </c>
      <c r="E52" s="978">
        <v>100900000000</v>
      </c>
      <c r="F52" s="978">
        <v>97100000000</v>
      </c>
      <c r="G52" s="978">
        <v>185000000000</v>
      </c>
      <c r="H52" s="978">
        <v>436100000000</v>
      </c>
      <c r="I52" s="987"/>
      <c r="J52" s="987"/>
      <c r="K52" s="987"/>
      <c r="L52" s="978">
        <v>349800000000</v>
      </c>
      <c r="M52" s="978">
        <v>195300000000</v>
      </c>
      <c r="N52" s="978">
        <v>192800000000</v>
      </c>
      <c r="O52" s="978">
        <v>182500000000</v>
      </c>
      <c r="P52" s="978">
        <v>168000000000</v>
      </c>
      <c r="Q52" s="1649">
        <v>297000000000</v>
      </c>
      <c r="R52" s="1649">
        <v>328000000000</v>
      </c>
      <c r="S52" s="1048">
        <v>343032000000</v>
      </c>
      <c r="T52" s="1048">
        <v>381264000000</v>
      </c>
      <c r="U52" s="978">
        <v>501731999999.99994</v>
      </c>
      <c r="V52" s="978">
        <v>1094904000000.0001</v>
      </c>
      <c r="W52" s="978">
        <v>2015684000000.0002</v>
      </c>
      <c r="X52" s="978">
        <v>2562650000000</v>
      </c>
      <c r="Y52" s="978">
        <v>2729232000000</v>
      </c>
      <c r="Z52" s="978">
        <v>2696874000000</v>
      </c>
      <c r="AA52" s="978">
        <v>2555368000000</v>
      </c>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s="980" t="s">
        <v>258</v>
      </c>
      <c r="B53" s="988" t="s">
        <v>4056</v>
      </c>
      <c r="C53" s="981" t="s">
        <v>264</v>
      </c>
      <c r="D53" s="978">
        <v>-57600000000</v>
      </c>
      <c r="E53" s="978">
        <v>-116200000000</v>
      </c>
      <c r="F53" s="978">
        <v>-116600000000</v>
      </c>
      <c r="G53" s="978">
        <v>-126900000000</v>
      </c>
      <c r="H53" s="978">
        <v>-188500000000</v>
      </c>
      <c r="I53" s="978">
        <v>-177000000000</v>
      </c>
      <c r="J53" s="978">
        <v>-4600300000000</v>
      </c>
      <c r="K53" s="978">
        <v>-27800000000</v>
      </c>
      <c r="L53" s="978">
        <v>-26300000000</v>
      </c>
      <c r="M53" s="978">
        <v>-72200000000</v>
      </c>
      <c r="N53" s="978">
        <v>-60400000000</v>
      </c>
      <c r="O53" s="978">
        <v>-86600000000</v>
      </c>
      <c r="P53" s="978">
        <v>-69000000000</v>
      </c>
      <c r="Q53" s="1649">
        <v>-63000000000</v>
      </c>
      <c r="R53" s="1649">
        <v>-133000000000</v>
      </c>
      <c r="S53" s="1048">
        <v>-114344000000</v>
      </c>
      <c r="T53" s="1048">
        <v>-222404000000</v>
      </c>
      <c r="U53" s="978">
        <v>-250865999999.99997</v>
      </c>
      <c r="V53" s="978">
        <v>-243312000000</v>
      </c>
      <c r="W53" s="978">
        <v>-183244000000</v>
      </c>
      <c r="X53" s="978">
        <v>205012000000</v>
      </c>
      <c r="Y53" s="978">
        <v>-284295000000</v>
      </c>
      <c r="Z53" s="978">
        <v>-313590000000</v>
      </c>
      <c r="AA53" s="978">
        <v>-414384000000</v>
      </c>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966" t="s">
        <v>4057</v>
      </c>
      <c r="B54" s="988" t="s">
        <v>4058</v>
      </c>
      <c r="C54" s="981" t="s">
        <v>264</v>
      </c>
      <c r="D54" s="978">
        <v>-9900000000</v>
      </c>
      <c r="E54" s="978">
        <v>-13600000000</v>
      </c>
      <c r="F54" s="978">
        <v>0</v>
      </c>
      <c r="G54" s="978">
        <v>-13500000000</v>
      </c>
      <c r="H54" s="978"/>
      <c r="I54" s="978"/>
      <c r="J54" s="978"/>
      <c r="K54" s="978"/>
      <c r="L54" s="978"/>
      <c r="M54" s="978"/>
      <c r="N54" s="978"/>
      <c r="O54" s="978"/>
      <c r="P54" s="978"/>
      <c r="Q54" s="1650"/>
      <c r="R54" s="1650"/>
      <c r="S54" s="978"/>
      <c r="T54" s="978"/>
      <c r="U54" s="978"/>
      <c r="V54" s="978"/>
      <c r="W54" s="978"/>
      <c r="X54" s="978"/>
      <c r="Y54" s="978"/>
      <c r="Z54" s="978"/>
      <c r="AA54" s="978"/>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980" t="s">
        <v>1348</v>
      </c>
      <c r="B55" s="988" t="s">
        <v>4059</v>
      </c>
      <c r="C55" s="981" t="s">
        <v>264</v>
      </c>
      <c r="D55" s="978">
        <v>68900000000</v>
      </c>
      <c r="E55" s="978">
        <v>0</v>
      </c>
      <c r="F55" s="978">
        <v>0</v>
      </c>
      <c r="G55" s="978">
        <v>82600000000</v>
      </c>
      <c r="H55" s="978">
        <v>127400000000</v>
      </c>
      <c r="I55" s="978">
        <v>110300000000</v>
      </c>
      <c r="J55" s="978">
        <v>0</v>
      </c>
      <c r="K55" s="978">
        <v>0</v>
      </c>
      <c r="L55" s="978"/>
      <c r="M55" s="978"/>
      <c r="N55" s="978"/>
      <c r="O55" s="978"/>
      <c r="P55" s="978"/>
      <c r="Q55" s="1650"/>
      <c r="R55" s="1650"/>
      <c r="S55" s="978"/>
      <c r="T55" s="978"/>
      <c r="U55" s="978"/>
      <c r="V55" s="978"/>
      <c r="W55" s="978"/>
      <c r="X55" s="978"/>
      <c r="Y55" s="978"/>
      <c r="Z55" s="978"/>
      <c r="AA55" s="978"/>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988" t="s">
        <v>1688</v>
      </c>
      <c r="B56" s="988" t="s">
        <v>1689</v>
      </c>
      <c r="C56" s="981" t="s">
        <v>264</v>
      </c>
      <c r="D56" s="978"/>
      <c r="E56" s="978">
        <f>E49-E50-E53-E54-E55</f>
        <v>112500000000</v>
      </c>
      <c r="F56" s="978">
        <f>F49-F50-F53-F54-F55</f>
        <v>105400000000</v>
      </c>
      <c r="G56" s="978"/>
      <c r="H56" s="978"/>
      <c r="I56" s="978"/>
      <c r="J56" s="978"/>
      <c r="K56" s="978"/>
      <c r="L56" s="978"/>
      <c r="M56" s="978"/>
      <c r="N56" s="978"/>
      <c r="O56" s="978"/>
      <c r="P56" s="978"/>
      <c r="Q56" s="1650"/>
      <c r="R56" s="1650"/>
      <c r="S56" s="978"/>
      <c r="T56" s="978"/>
      <c r="U56" s="978"/>
      <c r="V56" s="978"/>
      <c r="W56" s="978"/>
      <c r="X56" s="978"/>
      <c r="Y56" s="978"/>
      <c r="Z56" s="978"/>
      <c r="AA56" s="978"/>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980" t="s">
        <v>120</v>
      </c>
      <c r="B57" s="981" t="s">
        <v>4060</v>
      </c>
      <c r="C57" s="982" t="s">
        <v>119</v>
      </c>
      <c r="D57" s="978">
        <f>D58+D66</f>
        <v>86100000000</v>
      </c>
      <c r="E57" s="978">
        <f t="shared" ref="E57:P57" si="16">E58+E66</f>
        <v>137000000000</v>
      </c>
      <c r="F57" s="978">
        <f t="shared" si="16"/>
        <v>153800000000</v>
      </c>
      <c r="G57" s="978">
        <f t="shared" si="16"/>
        <v>132800000000</v>
      </c>
      <c r="H57" s="978">
        <f t="shared" si="16"/>
        <v>-54400000000</v>
      </c>
      <c r="I57" s="978">
        <f t="shared" si="16"/>
        <v>50000000000</v>
      </c>
      <c r="J57" s="978">
        <f t="shared" si="16"/>
        <v>-280800000000</v>
      </c>
      <c r="K57" s="978">
        <f t="shared" si="16"/>
        <v>85600000000</v>
      </c>
      <c r="L57" s="978">
        <f t="shared" si="16"/>
        <v>-132700000000</v>
      </c>
      <c r="M57" s="978">
        <f t="shared" si="16"/>
        <v>301900000000</v>
      </c>
      <c r="N57" s="978">
        <f t="shared" si="16"/>
        <v>63300000000</v>
      </c>
      <c r="O57" s="978">
        <f t="shared" si="16"/>
        <v>228100000000</v>
      </c>
      <c r="P57" s="978">
        <f t="shared" si="16"/>
        <v>197000000000</v>
      </c>
      <c r="Q57" s="1650">
        <f>Q59+Q62+Q64</f>
        <v>223000000000</v>
      </c>
      <c r="R57" s="1650">
        <f>R59+R62+R64</f>
        <v>420000000000</v>
      </c>
      <c r="S57" s="978">
        <f>S59+S62+S64</f>
        <v>400204000000</v>
      </c>
      <c r="T57" s="978">
        <f>T59+T62+T64</f>
        <v>444808000000</v>
      </c>
      <c r="U57" s="978">
        <f t="shared" ref="U57:AA57" si="17">U59+U62+U64</f>
        <v>322542000000</v>
      </c>
      <c r="V57" s="978">
        <f t="shared" si="17"/>
        <v>283864000000</v>
      </c>
      <c r="W57" s="978">
        <f t="shared" si="17"/>
        <v>183244000000</v>
      </c>
      <c r="X57" s="978">
        <f t="shared" si="17"/>
        <v>358771000000</v>
      </c>
      <c r="Y57" s="978">
        <f t="shared" si="17"/>
        <v>398013000000</v>
      </c>
      <c r="Z57" s="978">
        <f t="shared" si="17"/>
        <v>439026000000</v>
      </c>
      <c r="AA57" s="978">
        <f t="shared" si="17"/>
        <v>483448000000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980"/>
      <c r="B58" s="981" t="s">
        <v>4060</v>
      </c>
      <c r="C58" s="982"/>
      <c r="D58" s="978">
        <v>76800000000</v>
      </c>
      <c r="E58" s="978">
        <v>116200000000</v>
      </c>
      <c r="F58" s="978">
        <v>144500000000</v>
      </c>
      <c r="G58" s="978">
        <v>119300000000</v>
      </c>
      <c r="H58" s="978">
        <v>-84600000000</v>
      </c>
      <c r="I58" s="978">
        <v>49400000000</v>
      </c>
      <c r="J58" s="978">
        <v>-285800000000</v>
      </c>
      <c r="K58" s="978">
        <v>83700000000</v>
      </c>
      <c r="L58" s="978">
        <v>-136000000000</v>
      </c>
      <c r="M58" s="978">
        <v>301900000000</v>
      </c>
      <c r="N58" s="978">
        <v>63300000000</v>
      </c>
      <c r="O58" s="978">
        <v>228100000000</v>
      </c>
      <c r="P58" s="978">
        <v>196100000000</v>
      </c>
      <c r="Q58" s="1649">
        <v>223000000000</v>
      </c>
      <c r="R58" s="1649">
        <v>314000000000</v>
      </c>
      <c r="S58" s="1048"/>
      <c r="T58" s="1048"/>
      <c r="U58" s="978"/>
      <c r="V58" s="978"/>
      <c r="W58" s="978"/>
      <c r="X58" s="978"/>
      <c r="Y58" s="978"/>
      <c r="Z58" s="978"/>
      <c r="AA58" s="978"/>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980" t="s">
        <v>122</v>
      </c>
      <c r="B59" s="2558" t="s">
        <v>4061</v>
      </c>
      <c r="C59" s="981" t="s">
        <v>124</v>
      </c>
      <c r="D59" s="978">
        <v>500000000</v>
      </c>
      <c r="E59" s="978">
        <v>93700000000</v>
      </c>
      <c r="F59" s="978">
        <v>144400000000</v>
      </c>
      <c r="G59" s="978">
        <v>8800000000</v>
      </c>
      <c r="H59" s="978">
        <v>-215600000000</v>
      </c>
      <c r="I59" s="978">
        <v>-111600000000</v>
      </c>
      <c r="J59" s="978">
        <v>-352200000000</v>
      </c>
      <c r="K59" s="978">
        <v>24500000000</v>
      </c>
      <c r="L59" s="978">
        <v>-261500000000</v>
      </c>
      <c r="M59" s="978">
        <v>313500000000</v>
      </c>
      <c r="N59" s="978">
        <v>-251900000000</v>
      </c>
      <c r="O59" s="978">
        <v>369100000000</v>
      </c>
      <c r="P59" s="978">
        <v>266200000000</v>
      </c>
      <c r="Q59" s="1649">
        <v>428000000000</v>
      </c>
      <c r="R59" s="1649">
        <v>222000000000</v>
      </c>
      <c r="S59" s="1048">
        <v>457376000000</v>
      </c>
      <c r="T59" s="1048">
        <v>222404000000</v>
      </c>
      <c r="U59" s="978">
        <v>143352000000</v>
      </c>
      <c r="V59" s="978">
        <v>243312000000</v>
      </c>
      <c r="W59" s="978">
        <v>137433000000</v>
      </c>
      <c r="X59" s="978">
        <v>307518000000</v>
      </c>
      <c r="Y59" s="978">
        <v>341154000000</v>
      </c>
      <c r="Z59" s="978">
        <v>376308000000</v>
      </c>
      <c r="AA59" s="978">
        <v>414384000000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972" t="s">
        <v>76</v>
      </c>
      <c r="B60" s="2561" t="s">
        <v>4062</v>
      </c>
      <c r="D60" s="987"/>
      <c r="E60" s="987"/>
      <c r="F60" s="987"/>
      <c r="G60" s="987"/>
      <c r="H60" s="987"/>
      <c r="I60" s="987"/>
      <c r="J60" s="987"/>
      <c r="K60" s="987"/>
      <c r="L60" s="978">
        <v>-78400000000</v>
      </c>
      <c r="M60" s="978">
        <v>165100000000</v>
      </c>
      <c r="N60" s="978">
        <v>-217400000000</v>
      </c>
      <c r="O60" s="978">
        <v>245400000000</v>
      </c>
      <c r="P60" s="978">
        <v>106500000000</v>
      </c>
      <c r="Q60" s="1649"/>
      <c r="R60" s="1649"/>
      <c r="S60" s="1048"/>
      <c r="T60" s="1048"/>
      <c r="U60" s="978"/>
      <c r="V60" s="978"/>
      <c r="W60" s="978"/>
      <c r="X60" s="978"/>
      <c r="Y60" s="978"/>
      <c r="Z60" s="978"/>
      <c r="AA60" s="97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2561" t="s">
        <v>4035</v>
      </c>
      <c r="D61" s="987"/>
      <c r="E61" s="987"/>
      <c r="F61" s="987"/>
      <c r="G61" s="987"/>
      <c r="H61" s="987"/>
      <c r="I61" s="987"/>
      <c r="J61" s="987"/>
      <c r="K61" s="987"/>
      <c r="L61" s="978"/>
      <c r="M61" s="978"/>
      <c r="N61" s="978"/>
      <c r="O61" s="978"/>
      <c r="P61" s="978"/>
      <c r="Q61" s="1649"/>
      <c r="R61" s="1649"/>
      <c r="S61" s="1048"/>
      <c r="T61" s="1048"/>
      <c r="U61" s="978"/>
      <c r="V61" s="978"/>
      <c r="W61" s="978"/>
      <c r="X61" s="978"/>
      <c r="Y61" s="978"/>
      <c r="Z61" s="978"/>
      <c r="AA61" s="978"/>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66" t="s">
        <v>428</v>
      </c>
      <c r="B62" s="2558" t="s">
        <v>4063</v>
      </c>
      <c r="C62" s="981" t="s">
        <v>124</v>
      </c>
      <c r="D62" s="978">
        <v>23800000000</v>
      </c>
      <c r="E62" s="978">
        <v>22500000000</v>
      </c>
      <c r="F62" s="978">
        <v>-14400000000</v>
      </c>
      <c r="G62" s="978">
        <v>84500000000</v>
      </c>
      <c r="H62" s="978">
        <v>107900000000</v>
      </c>
      <c r="I62" s="978">
        <v>120000000000</v>
      </c>
      <c r="J62" s="978">
        <v>73500000000</v>
      </c>
      <c r="K62" s="978">
        <v>-36600000000</v>
      </c>
      <c r="L62" s="978">
        <v>-206400000000</v>
      </c>
      <c r="M62" s="978">
        <v>-43900000000</v>
      </c>
      <c r="N62" s="978">
        <v>103900000000</v>
      </c>
      <c r="O62" s="978">
        <v>-41100000000</v>
      </c>
      <c r="P62" s="978">
        <v>-100600000000</v>
      </c>
      <c r="Q62" s="1649">
        <v>63000000000</v>
      </c>
      <c r="R62" s="1649">
        <v>17000000000</v>
      </c>
      <c r="S62" s="1048">
        <v>85758000000</v>
      </c>
      <c r="T62" s="1048">
        <v>285948000000</v>
      </c>
      <c r="U62" s="978">
        <v>286704000000</v>
      </c>
      <c r="V62" s="978">
        <v>40552000000</v>
      </c>
      <c r="W62" s="978">
        <v>45811000000</v>
      </c>
      <c r="X62" s="978">
        <v>51253000000</v>
      </c>
      <c r="Y62" s="978">
        <v>56859000000</v>
      </c>
      <c r="Z62" s="978">
        <v>62718000000</v>
      </c>
      <c r="AA62" s="978">
        <v>69064000000</v>
      </c>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66"/>
      <c r="B63" s="2561" t="s">
        <v>4035</v>
      </c>
      <c r="C63" s="981"/>
      <c r="D63" s="978"/>
      <c r="E63" s="978"/>
      <c r="F63" s="978"/>
      <c r="G63" s="978"/>
      <c r="H63" s="978"/>
      <c r="I63" s="978"/>
      <c r="J63" s="978"/>
      <c r="K63" s="978"/>
      <c r="L63" s="978"/>
      <c r="M63" s="978"/>
      <c r="N63" s="978"/>
      <c r="O63" s="978"/>
      <c r="P63" s="978"/>
      <c r="Q63" s="1649"/>
      <c r="R63" s="1649"/>
      <c r="S63" s="1048"/>
      <c r="T63" s="1048"/>
      <c r="U63" s="978"/>
      <c r="V63" s="978"/>
      <c r="W63" s="978"/>
      <c r="X63" s="978"/>
      <c r="Y63" s="978"/>
      <c r="Z63" s="978"/>
      <c r="AA63" s="978"/>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972" t="s">
        <v>4064</v>
      </c>
      <c r="B64" s="2558" t="s">
        <v>4065</v>
      </c>
      <c r="C64" s="981" t="s">
        <v>124</v>
      </c>
      <c r="D64" s="1658">
        <f>D58-D59-D62</f>
        <v>52500000000</v>
      </c>
      <c r="E64" s="987"/>
      <c r="F64" s="1658">
        <v>14500000000</v>
      </c>
      <c r="G64" s="987">
        <v>26000000000</v>
      </c>
      <c r="H64" s="978">
        <v>23000000000</v>
      </c>
      <c r="I64" s="978">
        <v>41000000000</v>
      </c>
      <c r="J64" s="978">
        <v>-7100000000</v>
      </c>
      <c r="K64" s="978">
        <v>95800000000</v>
      </c>
      <c r="L64" s="978">
        <v>312600000000</v>
      </c>
      <c r="M64" s="978">
        <v>53900000000</v>
      </c>
      <c r="N64" s="978">
        <v>194300000000</v>
      </c>
      <c r="O64" s="978">
        <v>-108400000000</v>
      </c>
      <c r="P64" s="978">
        <v>38700000000</v>
      </c>
      <c r="Q64" s="1649">
        <v>-268000000000</v>
      </c>
      <c r="R64" s="1649">
        <v>181000000000</v>
      </c>
      <c r="S64" s="978">
        <v>-142930000000</v>
      </c>
      <c r="T64" s="978">
        <v>-63544000000</v>
      </c>
      <c r="U64" s="978">
        <v>-107514000000</v>
      </c>
      <c r="V64" s="978">
        <v>0</v>
      </c>
      <c r="W64" s="978">
        <v>0</v>
      </c>
      <c r="X64" s="978">
        <v>0</v>
      </c>
      <c r="Y64" s="978">
        <v>0</v>
      </c>
      <c r="Z64" s="978">
        <v>0</v>
      </c>
      <c r="AA64" s="978">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1062" t="s">
        <v>4066</v>
      </c>
      <c r="B65" s="1062" t="s">
        <v>4067</v>
      </c>
      <c r="C65" s="1235" t="s">
        <v>124</v>
      </c>
      <c r="D65" s="1658"/>
      <c r="E65" s="987"/>
      <c r="F65" s="1658"/>
      <c r="G65" s="987"/>
      <c r="H65" s="978"/>
      <c r="I65" s="978"/>
      <c r="J65" s="978"/>
      <c r="K65" s="978"/>
      <c r="L65" s="978">
        <f>L58-L59-L62-L64</f>
        <v>19300000000</v>
      </c>
      <c r="M65" s="978">
        <f>M58-M59-M62-M64</f>
        <v>-21600000000</v>
      </c>
      <c r="N65" s="978">
        <f>N58-N59-N62-N64</f>
        <v>17000000000</v>
      </c>
      <c r="O65" s="978">
        <f>O58-O59-O62-O64</f>
        <v>8500000000</v>
      </c>
      <c r="P65" s="978">
        <f>P58-P59-P62-P64</f>
        <v>-8200000000</v>
      </c>
      <c r="Q65" s="1649">
        <v>0</v>
      </c>
      <c r="R65" s="1649"/>
      <c r="S65" s="1048"/>
      <c r="T65" s="1048"/>
      <c r="U65" s="1076"/>
      <c r="V65" s="1076"/>
      <c r="W65" s="1076"/>
      <c r="X65" s="2562"/>
      <c r="Y65" s="2562"/>
      <c r="Z65" s="2562"/>
      <c r="AA65" s="1378"/>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981" t="s">
        <v>1096</v>
      </c>
      <c r="B66" s="981" t="s">
        <v>4068</v>
      </c>
      <c r="C66" s="981" t="s">
        <v>124</v>
      </c>
      <c r="D66" s="978">
        <v>9300000000</v>
      </c>
      <c r="E66" s="978">
        <v>20800000000</v>
      </c>
      <c r="F66" s="978">
        <v>9300000000</v>
      </c>
      <c r="G66" s="978">
        <v>13500000000</v>
      </c>
      <c r="H66" s="978">
        <v>30200000000</v>
      </c>
      <c r="I66" s="978">
        <v>600000000</v>
      </c>
      <c r="J66" s="978">
        <v>5000000000</v>
      </c>
      <c r="K66" s="978">
        <v>1900000000</v>
      </c>
      <c r="L66" s="978">
        <v>3300000000</v>
      </c>
      <c r="M66" s="978">
        <v>0</v>
      </c>
      <c r="N66" s="978">
        <v>0</v>
      </c>
      <c r="O66" s="978">
        <v>0</v>
      </c>
      <c r="P66" s="978">
        <v>900000000</v>
      </c>
      <c r="Q66" s="1649">
        <v>0</v>
      </c>
      <c r="R66" s="1649">
        <v>0</v>
      </c>
      <c r="S66" s="1048"/>
      <c r="T66" s="1048"/>
      <c r="U66" s="1076"/>
      <c r="V66" s="1076"/>
      <c r="W66" s="1076"/>
      <c r="X66" s="2562"/>
      <c r="Y66" s="2562"/>
      <c r="Z66" s="2562"/>
      <c r="AA66" s="1378"/>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972" t="s">
        <v>76</v>
      </c>
      <c r="B67" s="981" t="s">
        <v>4069</v>
      </c>
      <c r="D67" s="987"/>
      <c r="E67" s="987"/>
      <c r="F67" s="987"/>
      <c r="G67" s="987"/>
      <c r="H67" s="987"/>
      <c r="I67" s="987"/>
      <c r="J67" s="987"/>
      <c r="K67" s="987"/>
      <c r="L67" s="978">
        <v>-200000000</v>
      </c>
      <c r="M67" s="978">
        <v>0</v>
      </c>
      <c r="N67" s="978">
        <v>-400000000</v>
      </c>
      <c r="O67" s="978">
        <v>0</v>
      </c>
      <c r="P67" s="978"/>
      <c r="Q67" s="1050"/>
      <c r="R67" s="1050"/>
      <c r="S67" s="1050"/>
      <c r="T67" s="1050"/>
      <c r="U67" s="1078"/>
      <c r="V67" s="1078"/>
      <c r="W67" s="1078"/>
      <c r="X67" s="1008"/>
      <c r="Y67" s="1008"/>
      <c r="Z67" s="1008"/>
      <c r="AA67" s="1007"/>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D68" s="1050"/>
      <c r="E68" s="1050"/>
      <c r="F68" s="1050"/>
      <c r="G68" s="1050"/>
      <c r="H68" s="1050"/>
      <c r="I68" s="1050"/>
      <c r="J68" s="1050"/>
      <c r="K68" s="1050"/>
      <c r="L68" s="1050"/>
      <c r="M68" s="1050"/>
      <c r="N68" s="1050"/>
      <c r="O68" s="1050"/>
      <c r="P68" s="1050"/>
      <c r="Q68" s="1050" t="s">
        <v>139</v>
      </c>
      <c r="R68" s="1050" t="s">
        <v>139</v>
      </c>
      <c r="S68" s="1050" t="s">
        <v>139</v>
      </c>
      <c r="T68" s="1050" t="s">
        <v>139</v>
      </c>
      <c r="U68" s="1050" t="s">
        <v>139</v>
      </c>
      <c r="V68" s="1050" t="s">
        <v>139</v>
      </c>
      <c r="W68" s="1050" t="s">
        <v>139</v>
      </c>
      <c r="X68" s="1050" t="s">
        <v>139</v>
      </c>
      <c r="Y68" s="1050" t="s">
        <v>139</v>
      </c>
      <c r="Z68" s="1050" t="s">
        <v>139</v>
      </c>
      <c r="AA68" s="1050" t="s">
        <v>139</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D69" s="1050" t="s">
        <v>139</v>
      </c>
      <c r="E69" s="1050" t="s">
        <v>139</v>
      </c>
      <c r="F69" s="1050" t="s">
        <v>139</v>
      </c>
      <c r="G69" s="1050" t="s">
        <v>139</v>
      </c>
      <c r="H69" s="1050" t="s">
        <v>139</v>
      </c>
      <c r="I69" s="1050" t="s">
        <v>139</v>
      </c>
      <c r="J69" s="1050" t="s">
        <v>139</v>
      </c>
      <c r="K69" s="1050" t="s">
        <v>139</v>
      </c>
      <c r="L69" s="1050" t="s">
        <v>139</v>
      </c>
      <c r="M69" s="1050" t="s">
        <v>139</v>
      </c>
      <c r="N69" s="1050" t="s">
        <v>139</v>
      </c>
      <c r="O69" s="1050" t="s">
        <v>139</v>
      </c>
      <c r="P69" s="1050" t="s">
        <v>139</v>
      </c>
      <c r="Q69" s="1050"/>
      <c r="R69" s="1050"/>
      <c r="S69" s="1050"/>
      <c r="T69" s="1050"/>
      <c r="U69" s="1050"/>
      <c r="V69" s="1050"/>
      <c r="W69" s="1050"/>
      <c r="X69" s="1007"/>
      <c r="Y69" s="1007"/>
      <c r="Z69" s="1007"/>
      <c r="AA69" s="1007"/>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D70" s="1050"/>
      <c r="E70" s="1050"/>
      <c r="F70" s="1050"/>
      <c r="G70" s="1050"/>
      <c r="H70" s="1050"/>
      <c r="I70" s="1050"/>
      <c r="J70" s="1050"/>
      <c r="K70" s="1050"/>
      <c r="L70" s="1050"/>
      <c r="M70" s="1050"/>
      <c r="N70" s="1050"/>
      <c r="O70" s="1050"/>
      <c r="P70" s="1657"/>
      <c r="Q70" s="1050">
        <f>Q6-Q8-Q18</f>
        <v>0</v>
      </c>
      <c r="R70" s="1050">
        <f>R6-R8-R18</f>
        <v>0</v>
      </c>
      <c r="S70" s="1050">
        <f>S6-S8-S18</f>
        <v>0</v>
      </c>
      <c r="T70" s="1050">
        <f>T6-T8-T18</f>
        <v>0</v>
      </c>
      <c r="U70" s="1050">
        <f t="shared" ref="U70:Z70" si="18">U6-U8-U18</f>
        <v>0</v>
      </c>
      <c r="V70" s="1050">
        <f t="shared" si="18"/>
        <v>0</v>
      </c>
      <c r="W70" s="1050">
        <f t="shared" si="18"/>
        <v>0</v>
      </c>
      <c r="X70" s="1050">
        <f t="shared" si="18"/>
        <v>0</v>
      </c>
      <c r="Y70" s="1050">
        <f t="shared" si="18"/>
        <v>0</v>
      </c>
      <c r="Z70" s="1050">
        <f t="shared" si="18"/>
        <v>0</v>
      </c>
      <c r="AA70" s="1050">
        <f t="shared" ref="AA70" si="19">AA6-AA8-AA18</f>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972" t="s">
        <v>875</v>
      </c>
      <c r="D71" s="1050">
        <f t="shared" ref="D71:K71" si="20">D6-D8-D18</f>
        <v>100000000</v>
      </c>
      <c r="E71" s="1050">
        <f t="shared" si="20"/>
        <v>0</v>
      </c>
      <c r="F71" s="1050">
        <f t="shared" si="20"/>
        <v>0</v>
      </c>
      <c r="G71" s="1050">
        <f t="shared" si="20"/>
        <v>0</v>
      </c>
      <c r="H71" s="1050">
        <f t="shared" si="20"/>
        <v>0</v>
      </c>
      <c r="I71" s="1050">
        <f t="shared" si="20"/>
        <v>0</v>
      </c>
      <c r="J71" s="1050">
        <f t="shared" si="20"/>
        <v>0</v>
      </c>
      <c r="K71" s="1050">
        <f t="shared" si="20"/>
        <v>0</v>
      </c>
      <c r="L71" s="1050">
        <f>L6-L8-L18</f>
        <v>0</v>
      </c>
      <c r="M71" s="1050">
        <f>M6-M8-M18</f>
        <v>-100000000</v>
      </c>
      <c r="N71" s="1050">
        <f>N6-N8-N18</f>
        <v>-100000000</v>
      </c>
      <c r="O71" s="1050">
        <f>O6-O8-O18</f>
        <v>0</v>
      </c>
      <c r="P71" s="1050">
        <f>P6-P8-P18</f>
        <v>0</v>
      </c>
      <c r="Q71" s="1050">
        <f>Q8-Q10-Q17</f>
        <v>1000000000</v>
      </c>
      <c r="R71" s="1050">
        <f>R8-R10-R17</f>
        <v>0</v>
      </c>
      <c r="S71" s="1050">
        <f>S8-S10-S17</f>
        <v>0</v>
      </c>
      <c r="T71" s="1050">
        <f>T8-T10-T17</f>
        <v>0</v>
      </c>
      <c r="U71" s="1050">
        <f t="shared" ref="U71:Z71" si="21">U8-U10-U17</f>
        <v>0</v>
      </c>
      <c r="V71" s="1050">
        <f t="shared" si="21"/>
        <v>0</v>
      </c>
      <c r="W71" s="1050">
        <f t="shared" si="21"/>
        <v>0</v>
      </c>
      <c r="X71" s="1050">
        <f t="shared" si="21"/>
        <v>0</v>
      </c>
      <c r="Y71" s="1050">
        <f t="shared" si="21"/>
        <v>0</v>
      </c>
      <c r="Z71" s="1050">
        <f t="shared" si="21"/>
        <v>0</v>
      </c>
      <c r="AA71" s="1050">
        <f t="shared" ref="AA71" si="22">AA8-AA10-AA17</f>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972" t="s">
        <v>141</v>
      </c>
      <c r="D72" s="1050">
        <f t="shared" ref="D72:K72" si="23">D8-D10-D17</f>
        <v>0</v>
      </c>
      <c r="E72" s="1050">
        <f t="shared" si="23"/>
        <v>0</v>
      </c>
      <c r="F72" s="1050">
        <f t="shared" si="23"/>
        <v>0</v>
      </c>
      <c r="G72" s="1050">
        <f t="shared" si="23"/>
        <v>0</v>
      </c>
      <c r="H72" s="1050">
        <f t="shared" si="23"/>
        <v>100000000</v>
      </c>
      <c r="I72" s="1050">
        <f t="shared" si="23"/>
        <v>-100000000</v>
      </c>
      <c r="J72" s="1050">
        <f t="shared" si="23"/>
        <v>100000000</v>
      </c>
      <c r="K72" s="1050">
        <f t="shared" si="23"/>
        <v>100000000</v>
      </c>
      <c r="L72" s="1050">
        <f>L8-L10-L17</f>
        <v>0</v>
      </c>
      <c r="M72" s="1050">
        <f>M8-M10-M17</f>
        <v>0</v>
      </c>
      <c r="N72" s="1050">
        <f>N8-N10-N17</f>
        <v>0</v>
      </c>
      <c r="O72" s="1050">
        <f>O8-O10-O17</f>
        <v>0</v>
      </c>
      <c r="P72" s="1050">
        <f>P8-P10-P17</f>
        <v>-1000000000</v>
      </c>
      <c r="Q72" s="1050">
        <f>Q10-Q13-Q14-Q15</f>
        <v>-1000000000</v>
      </c>
      <c r="R72" s="1050">
        <f>R10-R13-R14-R15</f>
        <v>0</v>
      </c>
      <c r="S72" s="1050">
        <f>S10-S13-S14-S15-S12</f>
        <v>0</v>
      </c>
      <c r="T72" s="1050">
        <f t="shared" ref="T72" si="24">T10-T13-T14-T15-T12</f>
        <v>0</v>
      </c>
      <c r="U72" s="1050">
        <f>U10-U13-U14-U15-U12</f>
        <v>0</v>
      </c>
      <c r="V72" s="1050">
        <f t="shared" ref="V72:AA72" si="25">V10-V13-V14-V15-V12</f>
        <v>0</v>
      </c>
      <c r="W72" s="1050">
        <f t="shared" si="25"/>
        <v>0</v>
      </c>
      <c r="X72" s="1050">
        <f t="shared" si="25"/>
        <v>0</v>
      </c>
      <c r="Y72" s="1050">
        <f t="shared" si="25"/>
        <v>0</v>
      </c>
      <c r="Z72" s="1050">
        <f t="shared" si="25"/>
        <v>0</v>
      </c>
      <c r="AA72" s="1050">
        <f t="shared" si="25"/>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972" t="s">
        <v>142</v>
      </c>
      <c r="D73" s="1651">
        <f t="shared" ref="D73:K73" si="26">D10-D13-D14-D15</f>
        <v>594400000000</v>
      </c>
      <c r="E73" s="1651">
        <f t="shared" si="26"/>
        <v>581300000000</v>
      </c>
      <c r="F73" s="1651">
        <f t="shared" si="26"/>
        <v>460800000000</v>
      </c>
      <c r="G73" s="1651">
        <f t="shared" si="26"/>
        <v>678500000000</v>
      </c>
      <c r="H73" s="1651">
        <f t="shared" si="26"/>
        <v>887100000000</v>
      </c>
      <c r="I73" s="1050">
        <f t="shared" si="26"/>
        <v>0</v>
      </c>
      <c r="J73" s="1050">
        <f t="shared" si="26"/>
        <v>0</v>
      </c>
      <c r="K73" s="1050">
        <f t="shared" si="26"/>
        <v>-100000000</v>
      </c>
      <c r="L73" s="1050">
        <f>L10-L13-L14-L15</f>
        <v>-100000000</v>
      </c>
      <c r="M73" s="1050">
        <f>M10-M13-M14-M15</f>
        <v>0</v>
      </c>
      <c r="N73" s="1050">
        <f>N10-N13-N14-N15</f>
        <v>100000000</v>
      </c>
      <c r="O73" s="1050">
        <f>O10-O13-O14-O15</f>
        <v>0</v>
      </c>
      <c r="P73" s="1050">
        <f>P10-P13-P14-P15</f>
        <v>0</v>
      </c>
      <c r="Q73" s="1050">
        <f>Q18-Q19-Q20</f>
        <v>-1000000000</v>
      </c>
      <c r="R73" s="1050">
        <f>R18-R19-R20</f>
        <v>0</v>
      </c>
      <c r="S73" s="1050">
        <f>S18-S19-S20</f>
        <v>0</v>
      </c>
      <c r="T73" s="1050">
        <f>T18-T19-T20</f>
        <v>0</v>
      </c>
      <c r="U73" s="1050">
        <f t="shared" ref="U73:Z73" si="27">U18-U19-U20</f>
        <v>0</v>
      </c>
      <c r="V73" s="1050">
        <f t="shared" si="27"/>
        <v>0</v>
      </c>
      <c r="W73" s="1050">
        <f t="shared" si="27"/>
        <v>0</v>
      </c>
      <c r="X73" s="1050">
        <f t="shared" si="27"/>
        <v>0</v>
      </c>
      <c r="Y73" s="1050">
        <f t="shared" si="27"/>
        <v>0</v>
      </c>
      <c r="Z73" s="1050">
        <f t="shared" si="27"/>
        <v>0</v>
      </c>
      <c r="AA73" s="1050">
        <f t="shared" ref="AA73" si="28">AA18-AA19-AA20</f>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c r="B74" s="972" t="s">
        <v>143</v>
      </c>
      <c r="D74" s="1050">
        <f t="shared" ref="D74:P74" si="29">D18-D19-D20</f>
        <v>-100000000</v>
      </c>
      <c r="E74" s="1050">
        <f t="shared" si="29"/>
        <v>0</v>
      </c>
      <c r="F74" s="1050">
        <f t="shared" si="29"/>
        <v>0</v>
      </c>
      <c r="G74" s="1050">
        <f t="shared" si="29"/>
        <v>0</v>
      </c>
      <c r="H74" s="1050">
        <f t="shared" si="29"/>
        <v>0</v>
      </c>
      <c r="I74" s="1050">
        <f t="shared" si="29"/>
        <v>0</v>
      </c>
      <c r="J74" s="1050">
        <f t="shared" si="29"/>
        <v>0</v>
      </c>
      <c r="K74" s="1050">
        <f t="shared" si="29"/>
        <v>100000000</v>
      </c>
      <c r="L74" s="1050">
        <f t="shared" si="29"/>
        <v>0</v>
      </c>
      <c r="M74" s="1050">
        <f t="shared" si="29"/>
        <v>100000000.00003052</v>
      </c>
      <c r="N74" s="1050">
        <f t="shared" si="29"/>
        <v>0</v>
      </c>
      <c r="O74" s="1050">
        <f t="shared" si="29"/>
        <v>0</v>
      </c>
      <c r="P74" s="1050">
        <f t="shared" si="29"/>
        <v>0</v>
      </c>
      <c r="Q74" s="1050">
        <f>Q22-Q38-Q23</f>
        <v>0</v>
      </c>
      <c r="R74" s="1050">
        <f>R22-R38-R23</f>
        <v>0</v>
      </c>
      <c r="S74" s="1050">
        <f>S22-S38-S23</f>
        <v>0</v>
      </c>
      <c r="T74" s="1050">
        <f>T22-T38-T23</f>
        <v>0</v>
      </c>
      <c r="U74" s="1050">
        <f t="shared" ref="U74:Z74" si="30">U22-U38-U23</f>
        <v>0</v>
      </c>
      <c r="V74" s="1050">
        <f t="shared" si="30"/>
        <v>0</v>
      </c>
      <c r="W74" s="1050">
        <f t="shared" si="30"/>
        <v>0</v>
      </c>
      <c r="X74" s="1050">
        <f t="shared" si="30"/>
        <v>0</v>
      </c>
      <c r="Y74" s="1050">
        <f t="shared" si="30"/>
        <v>0</v>
      </c>
      <c r="Z74" s="1050">
        <f t="shared" si="30"/>
        <v>0</v>
      </c>
      <c r="AA74" s="1050">
        <f t="shared" ref="AA74" si="31">AA22-AA38-AA23</f>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c r="B75" s="972" t="s">
        <v>2342</v>
      </c>
      <c r="D75" s="1050">
        <f>D22-D38-D23</f>
        <v>0</v>
      </c>
      <c r="E75" s="1050">
        <f t="shared" ref="E75:P75" si="32">E22-E38-E23</f>
        <v>0</v>
      </c>
      <c r="F75" s="1050">
        <f t="shared" si="32"/>
        <v>0</v>
      </c>
      <c r="G75" s="1050">
        <f t="shared" si="32"/>
        <v>0</v>
      </c>
      <c r="H75" s="1050">
        <f t="shared" si="32"/>
        <v>0</v>
      </c>
      <c r="I75" s="1050">
        <f t="shared" si="32"/>
        <v>0</v>
      </c>
      <c r="J75" s="1050">
        <f t="shared" si="32"/>
        <v>0</v>
      </c>
      <c r="K75" s="1050">
        <f t="shared" si="32"/>
        <v>100000000</v>
      </c>
      <c r="L75" s="1050">
        <f t="shared" si="32"/>
        <v>0</v>
      </c>
      <c r="M75" s="1050">
        <f t="shared" si="32"/>
        <v>0</v>
      </c>
      <c r="N75" s="1050">
        <f t="shared" si="32"/>
        <v>0</v>
      </c>
      <c r="O75" s="1050">
        <f t="shared" si="32"/>
        <v>100000000</v>
      </c>
      <c r="P75" s="1050">
        <f t="shared" si="32"/>
        <v>0</v>
      </c>
      <c r="Q75" s="1050">
        <f>Q23-Q24-Q28-Q35-Q25-Q36-Q37</f>
        <v>-1000000000</v>
      </c>
      <c r="R75" s="1050">
        <f>R23-R24-R28-R35-R25-R36-R37</f>
        <v>0</v>
      </c>
      <c r="S75" s="1050">
        <f>S23-S24-S28-S35-S25-S36-S37-S30-S29</f>
        <v>0</v>
      </c>
      <c r="T75" s="1050">
        <f t="shared" ref="T75:Z75" si="33">T23-T24-T28-T35-T25-T36-T37-T30-T29</f>
        <v>0</v>
      </c>
      <c r="U75" s="1050">
        <f t="shared" si="33"/>
        <v>0</v>
      </c>
      <c r="V75" s="1050">
        <f t="shared" si="33"/>
        <v>0</v>
      </c>
      <c r="W75" s="1050">
        <f t="shared" si="33"/>
        <v>0</v>
      </c>
      <c r="X75" s="1050">
        <f t="shared" si="33"/>
        <v>0</v>
      </c>
      <c r="Y75" s="1050">
        <f t="shared" si="33"/>
        <v>0</v>
      </c>
      <c r="Z75" s="1050">
        <f t="shared" si="33"/>
        <v>0</v>
      </c>
      <c r="AA75" s="1050">
        <f t="shared" ref="AA75" si="34">AA23-AA24-AA28-AA35-AA25-AA36-AA37-AA30-AA29</f>
        <v>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c r="B76" s="972" t="s">
        <v>888</v>
      </c>
      <c r="D76" s="1050">
        <f t="shared" ref="D76:P76" si="35">D23-D24-D28-D35-D25-D36-D37</f>
        <v>0</v>
      </c>
      <c r="E76" s="1050">
        <f t="shared" si="35"/>
        <v>-100000000</v>
      </c>
      <c r="F76" s="1050">
        <f t="shared" si="35"/>
        <v>100000000</v>
      </c>
      <c r="G76" s="1050">
        <f t="shared" si="35"/>
        <v>0</v>
      </c>
      <c r="H76" s="1050">
        <f t="shared" si="35"/>
        <v>0</v>
      </c>
      <c r="I76" s="1050">
        <f t="shared" si="35"/>
        <v>-3.0517578125E-5</v>
      </c>
      <c r="J76" s="1050">
        <f t="shared" si="35"/>
        <v>0</v>
      </c>
      <c r="K76" s="1050">
        <f t="shared" si="35"/>
        <v>0</v>
      </c>
      <c r="L76" s="1050">
        <f t="shared" si="35"/>
        <v>0</v>
      </c>
      <c r="M76" s="1050">
        <f t="shared" si="35"/>
        <v>6.103515625E-5</v>
      </c>
      <c r="N76" s="1050">
        <f t="shared" si="35"/>
        <v>0</v>
      </c>
      <c r="O76" s="1050">
        <f t="shared" si="35"/>
        <v>-100000000.00012207</v>
      </c>
      <c r="P76" s="1050">
        <f t="shared" si="35"/>
        <v>1000000000</v>
      </c>
      <c r="Q76" s="1050">
        <f>Q25-Q26-Q27</f>
        <v>0</v>
      </c>
      <c r="R76" s="1050">
        <f>R25-R26-R27</f>
        <v>0</v>
      </c>
      <c r="S76" s="1050">
        <f>S25-S26-S27</f>
        <v>0</v>
      </c>
      <c r="T76" s="1050">
        <f>T25-T26-T27</f>
        <v>0</v>
      </c>
      <c r="U76" s="1050">
        <f t="shared" ref="U76:Z76" si="36">U25-U26-U27</f>
        <v>0</v>
      </c>
      <c r="V76" s="1050">
        <f t="shared" si="36"/>
        <v>0</v>
      </c>
      <c r="W76" s="1050">
        <f t="shared" si="36"/>
        <v>0</v>
      </c>
      <c r="X76" s="1050">
        <f t="shared" si="36"/>
        <v>0</v>
      </c>
      <c r="Y76" s="1050">
        <f t="shared" si="36"/>
        <v>0</v>
      </c>
      <c r="Z76" s="1050">
        <f t="shared" si="36"/>
        <v>0</v>
      </c>
      <c r="AA76" s="1050">
        <f t="shared" ref="AA76" si="37">AA25-AA26-AA27</f>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c r="B77" s="972" t="s">
        <v>291</v>
      </c>
      <c r="D77" s="1050">
        <f>D25-D26-D27</f>
        <v>0</v>
      </c>
      <c r="E77" s="1050">
        <f t="shared" ref="E77:P77" si="38">E25-E26-E27</f>
        <v>0</v>
      </c>
      <c r="F77" s="1050">
        <f t="shared" si="38"/>
        <v>0</v>
      </c>
      <c r="G77" s="1050">
        <f t="shared" si="38"/>
        <v>0</v>
      </c>
      <c r="H77" s="1050">
        <f t="shared" si="38"/>
        <v>100000000</v>
      </c>
      <c r="I77" s="1050">
        <f t="shared" si="38"/>
        <v>0</v>
      </c>
      <c r="J77" s="1050">
        <f t="shared" si="38"/>
        <v>0</v>
      </c>
      <c r="K77" s="1050">
        <f t="shared" si="38"/>
        <v>0</v>
      </c>
      <c r="L77" s="1050">
        <f t="shared" si="38"/>
        <v>0</v>
      </c>
      <c r="M77" s="1050">
        <f t="shared" si="38"/>
        <v>0</v>
      </c>
      <c r="N77" s="1050">
        <f t="shared" si="38"/>
        <v>0</v>
      </c>
      <c r="O77" s="1050">
        <f t="shared" si="38"/>
        <v>0</v>
      </c>
      <c r="P77" s="1050">
        <f t="shared" si="38"/>
        <v>0</v>
      </c>
      <c r="Q77" s="1050">
        <f>Q38-Q39-Q40</f>
        <v>0</v>
      </c>
      <c r="R77" s="1050">
        <f>R38-R39-R40</f>
        <v>0</v>
      </c>
      <c r="S77" s="1050">
        <f>S38-S39-S40</f>
        <v>0</v>
      </c>
      <c r="T77" s="1050">
        <f>T38-T39-T40</f>
        <v>0</v>
      </c>
      <c r="U77" s="1050">
        <f t="shared" ref="U77:Z77" si="39">U38-U39-U40</f>
        <v>0</v>
      </c>
      <c r="V77" s="1050">
        <f t="shared" si="39"/>
        <v>0</v>
      </c>
      <c r="W77" s="1050">
        <f t="shared" si="39"/>
        <v>0</v>
      </c>
      <c r="X77" s="1050">
        <f t="shared" si="39"/>
        <v>0</v>
      </c>
      <c r="Y77" s="1050">
        <f t="shared" si="39"/>
        <v>0</v>
      </c>
      <c r="Z77" s="1050">
        <f t="shared" si="39"/>
        <v>0</v>
      </c>
      <c r="AA77" s="1050">
        <f t="shared" ref="AA77" si="40">AA38-AA39-AA40</f>
        <v>0</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c r="B78" s="972" t="s">
        <v>295</v>
      </c>
      <c r="D78" s="1050">
        <f t="shared" ref="D78:P78" si="41">D38-D39-D40</f>
        <v>-100000000</v>
      </c>
      <c r="E78" s="1050">
        <f t="shared" si="41"/>
        <v>0</v>
      </c>
      <c r="F78" s="1050">
        <f t="shared" si="41"/>
        <v>100000000</v>
      </c>
      <c r="G78" s="1050">
        <f t="shared" si="41"/>
        <v>0</v>
      </c>
      <c r="H78" s="1050">
        <f t="shared" si="41"/>
        <v>-100000000</v>
      </c>
      <c r="I78" s="1050">
        <f t="shared" si="41"/>
        <v>0</v>
      </c>
      <c r="J78" s="1050">
        <f t="shared" si="41"/>
        <v>0</v>
      </c>
      <c r="K78" s="1050">
        <f t="shared" si="41"/>
        <v>0</v>
      </c>
      <c r="L78" s="1050">
        <f t="shared" si="41"/>
        <v>0</v>
      </c>
      <c r="M78" s="1050">
        <f t="shared" si="41"/>
        <v>0</v>
      </c>
      <c r="N78" s="1050">
        <f t="shared" si="41"/>
        <v>0</v>
      </c>
      <c r="O78" s="1050">
        <f t="shared" si="41"/>
        <v>0</v>
      </c>
      <c r="P78" s="1050">
        <f t="shared" si="41"/>
        <v>0</v>
      </c>
      <c r="Q78" s="1050">
        <f>Q48-Q49-Q57</f>
        <v>0</v>
      </c>
      <c r="R78" s="1050">
        <f>R48-R49-R57</f>
        <v>0</v>
      </c>
      <c r="S78" s="1050">
        <f>S48-S49-S57</f>
        <v>0</v>
      </c>
      <c r="T78" s="1050">
        <f>T48-T49-T57</f>
        <v>0</v>
      </c>
      <c r="U78" s="1050">
        <f t="shared" ref="U78:Z78" si="42">U48-U49-U57</f>
        <v>0</v>
      </c>
      <c r="V78" s="1050">
        <f t="shared" si="42"/>
        <v>0</v>
      </c>
      <c r="W78" s="1050">
        <f t="shared" si="42"/>
        <v>0</v>
      </c>
      <c r="X78" s="1050">
        <f t="shared" si="42"/>
        <v>0</v>
      </c>
      <c r="Y78" s="1050">
        <f t="shared" si="42"/>
        <v>0</v>
      </c>
      <c r="Z78" s="1050">
        <f t="shared" si="42"/>
        <v>0</v>
      </c>
      <c r="AA78" s="1050">
        <f t="shared" ref="AA78" si="43">AA48-AA49-AA57</f>
        <v>0</v>
      </c>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c r="B79" s="972" t="s">
        <v>148</v>
      </c>
      <c r="D79" s="1050">
        <f>D48-D49-D57</f>
        <v>0</v>
      </c>
      <c r="E79" s="1050">
        <f t="shared" ref="E79:P79" si="44">E48-E49-E57</f>
        <v>0</v>
      </c>
      <c r="F79" s="1050">
        <f t="shared" si="44"/>
        <v>0</v>
      </c>
      <c r="G79" s="1050">
        <f t="shared" si="44"/>
        <v>0</v>
      </c>
      <c r="H79" s="1050">
        <f t="shared" si="44"/>
        <v>-6.103515625E-5</v>
      </c>
      <c r="I79" s="1050">
        <f t="shared" si="44"/>
        <v>-100000000</v>
      </c>
      <c r="J79" s="1050">
        <f t="shared" si="44"/>
        <v>4.8828125E-4</v>
      </c>
      <c r="K79" s="1050">
        <f t="shared" si="44"/>
        <v>-100000000</v>
      </c>
      <c r="L79" s="1050">
        <f t="shared" si="44"/>
        <v>-100000000</v>
      </c>
      <c r="M79" s="1050">
        <f t="shared" si="44"/>
        <v>0</v>
      </c>
      <c r="N79" s="1050">
        <f t="shared" si="44"/>
        <v>0</v>
      </c>
      <c r="O79" s="1050">
        <f t="shared" si="44"/>
        <v>0</v>
      </c>
      <c r="P79" s="1050">
        <f t="shared" si="44"/>
        <v>0</v>
      </c>
      <c r="Q79" s="1050">
        <f>Q49-Q50-Q53-Q54-Q55-Q56</f>
        <v>0</v>
      </c>
      <c r="R79" s="1050">
        <f>R49-R50-R53-R54-R55-R56</f>
        <v>0</v>
      </c>
      <c r="S79" s="1050">
        <f>S49-S50-S53-S54-S55-S56</f>
        <v>0</v>
      </c>
      <c r="T79" s="1050">
        <f>T49-T50-T53-T54-T55-T56</f>
        <v>0</v>
      </c>
      <c r="U79" s="1050">
        <f t="shared" ref="U79:Z79" si="45">U49-U50-U53-U54-U55-U56</f>
        <v>-3.0517578125E-5</v>
      </c>
      <c r="V79" s="1050">
        <f t="shared" si="45"/>
        <v>0</v>
      </c>
      <c r="W79" s="1050">
        <f t="shared" si="45"/>
        <v>0</v>
      </c>
      <c r="X79" s="1050">
        <f t="shared" si="45"/>
        <v>0</v>
      </c>
      <c r="Y79" s="1050">
        <f t="shared" si="45"/>
        <v>0</v>
      </c>
      <c r="Z79" s="1050">
        <f t="shared" si="45"/>
        <v>0</v>
      </c>
      <c r="AA79" s="1050">
        <f t="shared" ref="AA79" si="46">AA49-AA50-AA53-AA54-AA55-AA56</f>
        <v>0</v>
      </c>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c r="B80" s="972" t="s">
        <v>1171</v>
      </c>
      <c r="D80" s="1050">
        <f>D49-D50-D53-D54-D55-D56</f>
        <v>0</v>
      </c>
      <c r="E80" s="1050">
        <f t="shared" ref="E80:P80" si="47">E49-E50-E53-E54-E55-E56</f>
        <v>0</v>
      </c>
      <c r="F80" s="1050">
        <f t="shared" si="47"/>
        <v>0</v>
      </c>
      <c r="G80" s="1050">
        <f t="shared" si="47"/>
        <v>100000000</v>
      </c>
      <c r="H80" s="1050">
        <f t="shared" si="47"/>
        <v>6.103515625E-5</v>
      </c>
      <c r="I80" s="1050">
        <f t="shared" si="47"/>
        <v>0</v>
      </c>
      <c r="J80" s="1050">
        <f t="shared" si="47"/>
        <v>0</v>
      </c>
      <c r="K80" s="1050">
        <f t="shared" si="47"/>
        <v>0</v>
      </c>
      <c r="L80" s="1050">
        <f t="shared" si="47"/>
        <v>0</v>
      </c>
      <c r="M80" s="1050">
        <f t="shared" si="47"/>
        <v>0</v>
      </c>
      <c r="N80" s="1050">
        <f t="shared" si="47"/>
        <v>0</v>
      </c>
      <c r="O80" s="1050">
        <f t="shared" si="47"/>
        <v>0</v>
      </c>
      <c r="P80" s="1050">
        <f t="shared" si="47"/>
        <v>-1000000000</v>
      </c>
      <c r="Q80" s="1050">
        <f>Q50-Q51-Q52</f>
        <v>0</v>
      </c>
      <c r="R80" s="1050">
        <f>R50-R51-R52</f>
        <v>0</v>
      </c>
      <c r="S80" s="1050">
        <f>S50-S51-S52-S53</f>
        <v>114344000000</v>
      </c>
      <c r="T80" s="1050">
        <f t="shared" ref="T80:Z80" si="48">T50-T51-T52-T53</f>
        <v>222404000000</v>
      </c>
      <c r="U80" s="1050">
        <f>U50-U51-U52-U53</f>
        <v>250865999999.99991</v>
      </c>
      <c r="V80" s="1050">
        <f t="shared" si="48"/>
        <v>243311999999.99988</v>
      </c>
      <c r="W80" s="1050">
        <f t="shared" si="48"/>
        <v>183244000000</v>
      </c>
      <c r="X80" s="1050">
        <f t="shared" si="48"/>
        <v>-205012000000</v>
      </c>
      <c r="Y80" s="1050">
        <f t="shared" si="48"/>
        <v>284295000000</v>
      </c>
      <c r="Z80" s="1050">
        <f t="shared" si="48"/>
        <v>313590000000</v>
      </c>
      <c r="AA80" s="1050">
        <f t="shared" ref="AA80" si="49">AA50-AA51-AA52-AA53</f>
        <v>414384000000</v>
      </c>
    </row>
    <row r="81" spans="2:27">
      <c r="B81" s="972" t="s">
        <v>2933</v>
      </c>
      <c r="D81" s="1050">
        <f t="shared" ref="D81:P81" si="50">D50-D51-D52</f>
        <v>0</v>
      </c>
      <c r="E81" s="1050">
        <f t="shared" si="50"/>
        <v>100000000</v>
      </c>
      <c r="F81" s="1050">
        <f t="shared" si="50"/>
        <v>0</v>
      </c>
      <c r="G81" s="1050">
        <f t="shared" si="50"/>
        <v>0</v>
      </c>
      <c r="H81" s="1050">
        <f t="shared" si="50"/>
        <v>0</v>
      </c>
      <c r="I81" s="1651">
        <f t="shared" si="50"/>
        <v>454500000000</v>
      </c>
      <c r="J81" s="1651">
        <f t="shared" si="50"/>
        <v>467200000000</v>
      </c>
      <c r="K81" s="1651">
        <f t="shared" si="50"/>
        <v>335100000000</v>
      </c>
      <c r="L81" s="1050">
        <f t="shared" si="50"/>
        <v>0</v>
      </c>
      <c r="M81" s="1050">
        <f t="shared" si="50"/>
        <v>0</v>
      </c>
      <c r="N81" s="1050">
        <f t="shared" si="50"/>
        <v>0</v>
      </c>
      <c r="O81" s="1050">
        <f t="shared" si="50"/>
        <v>0</v>
      </c>
      <c r="P81" s="1050">
        <f t="shared" si="50"/>
        <v>0</v>
      </c>
      <c r="Q81" s="1050">
        <f>Q57-Q59-Q60-Q62-Q64-Q65</f>
        <v>0</v>
      </c>
      <c r="R81" s="1050">
        <f>R57-R59-R60-R62-R64-R65</f>
        <v>0</v>
      </c>
      <c r="S81" s="1050">
        <f>S57-S59-S60-S62-S64-S65</f>
        <v>0</v>
      </c>
      <c r="T81" s="1050">
        <f>T57-T59-T60-T62-T64-T65</f>
        <v>0</v>
      </c>
      <c r="U81" s="1050">
        <f t="shared" ref="U81:Z81" si="51">U57-U59-U60-U62-U64-U65</f>
        <v>0</v>
      </c>
      <c r="V81" s="1050">
        <f t="shared" si="51"/>
        <v>0</v>
      </c>
      <c r="W81" s="1050">
        <f t="shared" si="51"/>
        <v>0</v>
      </c>
      <c r="X81" s="1050">
        <f t="shared" si="51"/>
        <v>0</v>
      </c>
      <c r="Y81" s="1050">
        <f t="shared" si="51"/>
        <v>0</v>
      </c>
      <c r="Z81" s="1050">
        <f t="shared" si="51"/>
        <v>0</v>
      </c>
      <c r="AA81" s="1050">
        <f t="shared" ref="AA81" si="52">AA57-AA59-AA60-AA62-AA64-AA65</f>
        <v>0</v>
      </c>
    </row>
    <row r="82" spans="2:27">
      <c r="B82" s="972" t="s">
        <v>297</v>
      </c>
      <c r="D82" s="1050">
        <f>D57-D59-D62-D64-D65-D66</f>
        <v>0</v>
      </c>
      <c r="E82" s="1050">
        <f t="shared" ref="E82:P82" si="53">E57-E59-E62-E64-E65-E66</f>
        <v>0</v>
      </c>
      <c r="F82" s="1050">
        <f t="shared" si="53"/>
        <v>0</v>
      </c>
      <c r="G82" s="1050">
        <f t="shared" si="53"/>
        <v>0</v>
      </c>
      <c r="H82" s="1050">
        <f t="shared" si="53"/>
        <v>100000000</v>
      </c>
      <c r="I82" s="1050">
        <f t="shared" si="53"/>
        <v>0</v>
      </c>
      <c r="J82" s="1050">
        <f t="shared" si="53"/>
        <v>0</v>
      </c>
      <c r="K82" s="1050">
        <f t="shared" si="53"/>
        <v>0</v>
      </c>
      <c r="L82" s="1050">
        <f t="shared" si="53"/>
        <v>0</v>
      </c>
      <c r="M82" s="1050">
        <f t="shared" si="53"/>
        <v>0</v>
      </c>
      <c r="N82" s="1050">
        <f t="shared" si="53"/>
        <v>0</v>
      </c>
      <c r="O82" s="1050">
        <f t="shared" si="53"/>
        <v>0</v>
      </c>
      <c r="P82" s="1050">
        <f t="shared" si="53"/>
        <v>0</v>
      </c>
    </row>
    <row r="83" spans="2:27">
      <c r="S83" s="995"/>
      <c r="T83" s="995"/>
    </row>
    <row r="84" spans="2:27">
      <c r="C84" s="995"/>
    </row>
    <row r="85" spans="2:27">
      <c r="B85" s="972" t="s">
        <v>724</v>
      </c>
      <c r="D85" s="1005">
        <v>5248416000000</v>
      </c>
      <c r="E85" s="1005">
        <v>5968616000000</v>
      </c>
      <c r="F85" s="1005">
        <v>6008370000000</v>
      </c>
      <c r="G85" s="1005">
        <v>6778630000000</v>
      </c>
      <c r="H85" s="1005">
        <v>8155573000000</v>
      </c>
      <c r="I85" s="1005">
        <v>10093834000000</v>
      </c>
      <c r="J85" s="1005">
        <v>11798888000000</v>
      </c>
      <c r="K85" s="1005">
        <v>13759733000000</v>
      </c>
      <c r="L85" s="1005">
        <v>16080899000000</v>
      </c>
      <c r="M85" s="1005">
        <v>16726272000000</v>
      </c>
      <c r="N85" s="1005">
        <v>18192980000000</v>
      </c>
      <c r="O85" s="1005">
        <v>19955471000000</v>
      </c>
      <c r="P85" s="1005">
        <v>21687816000000</v>
      </c>
      <c r="Q85" s="1005">
        <v>23493433000000</v>
      </c>
      <c r="R85" s="1005">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972" t="s">
        <v>151</v>
      </c>
      <c r="D86" s="972">
        <f>(D6/D85)*100</f>
        <v>15.297948943071585</v>
      </c>
      <c r="E86" s="972">
        <f t="shared" ref="E86:P86" si="54">(E6/E85)*100</f>
        <v>14.041781210250418</v>
      </c>
      <c r="F86" s="972">
        <f t="shared" si="54"/>
        <v>10.162489993126256</v>
      </c>
      <c r="G86" s="972">
        <f t="shared" si="54"/>
        <v>15.416094402556269</v>
      </c>
      <c r="H86" s="972">
        <f t="shared" si="54"/>
        <v>20.274479794368833</v>
      </c>
      <c r="I86" s="972">
        <f t="shared" si="54"/>
        <v>16.6656198229533</v>
      </c>
      <c r="J86" s="972">
        <f t="shared" si="54"/>
        <v>59.144556673476345</v>
      </c>
      <c r="K86" s="972">
        <f t="shared" si="54"/>
        <v>15.996676679700109</v>
      </c>
      <c r="L86" s="972">
        <f t="shared" si="54"/>
        <v>17.942404836943506</v>
      </c>
      <c r="M86" s="972">
        <f t="shared" si="54"/>
        <v>13.719733841468083</v>
      </c>
      <c r="N86" s="972">
        <f t="shared" si="54"/>
        <v>15.563695447364861</v>
      </c>
      <c r="O86" s="972">
        <f t="shared" si="54"/>
        <v>13.784189809401139</v>
      </c>
      <c r="P86" s="972">
        <f t="shared" si="54"/>
        <v>10.872464060004935</v>
      </c>
      <c r="Q86" s="972">
        <f>(Q6/Q85)*100</f>
        <v>10.854096972545477</v>
      </c>
      <c r="R86" s="972">
        <f>(R6/R85)*100</f>
        <v>12.324851701721972</v>
      </c>
      <c r="S86" s="972">
        <f>(S6/S85)*100</f>
        <v>11.800412803918139</v>
      </c>
      <c r="T86" s="972">
        <f t="shared" ref="T86:AA86" si="55">(T6/T85)*100</f>
        <v>14.7</v>
      </c>
      <c r="U86" s="972">
        <f t="shared" si="55"/>
        <v>14.6</v>
      </c>
      <c r="V86" s="972">
        <f t="shared" si="55"/>
        <v>15.7</v>
      </c>
      <c r="W86" s="972">
        <f t="shared" si="55"/>
        <v>15.299999999999999</v>
      </c>
      <c r="X86" s="972">
        <f t="shared" si="55"/>
        <v>14.399999999999999</v>
      </c>
      <c r="Y86" s="972">
        <f t="shared" si="55"/>
        <v>14.7</v>
      </c>
      <c r="Z86" s="972">
        <f t="shared" si="55"/>
        <v>15.1</v>
      </c>
      <c r="AA86" s="972">
        <f t="shared" si="55"/>
        <v>15.299999999999999</v>
      </c>
    </row>
    <row r="87" spans="2:27">
      <c r="B87" s="972" t="s">
        <v>152</v>
      </c>
      <c r="D87" s="972">
        <f>(D21/D85)*100</f>
        <v>16.603104631949904</v>
      </c>
      <c r="E87" s="972">
        <f t="shared" ref="E87:P87" si="56">(E21/E85)*100</f>
        <v>17.633903739158292</v>
      </c>
      <c r="F87" s="972">
        <f t="shared" si="56"/>
        <v>15.676464665125483</v>
      </c>
      <c r="G87" s="972">
        <f t="shared" si="56"/>
        <v>19.53787122176605</v>
      </c>
      <c r="H87" s="972">
        <f t="shared" si="56"/>
        <v>25.078556712078971</v>
      </c>
      <c r="I87" s="972">
        <f t="shared" si="56"/>
        <v>21.255550665881763</v>
      </c>
      <c r="J87" s="972">
        <f t="shared" si="56"/>
        <v>21.368962905656872</v>
      </c>
      <c r="K87" s="972">
        <f t="shared" si="56"/>
        <v>18.677688004556483</v>
      </c>
      <c r="L87" s="972">
        <f t="shared" si="56"/>
        <v>17.435592375774515</v>
      </c>
      <c r="M87" s="972">
        <f t="shared" si="56"/>
        <v>14.068885164608108</v>
      </c>
      <c r="N87" s="972">
        <f t="shared" si="56"/>
        <v>14.082904504924427</v>
      </c>
      <c r="O87" s="972">
        <f t="shared" si="56"/>
        <v>14.115928408805786</v>
      </c>
      <c r="P87" s="972">
        <f t="shared" si="56"/>
        <v>13.496056956587976</v>
      </c>
      <c r="Q87" s="972">
        <f>(Q21/Q85)*100</f>
        <v>14.825419511912116</v>
      </c>
      <c r="R87" s="972">
        <f>(R21/R85)*100</f>
        <v>14.605949410561275</v>
      </c>
      <c r="S87" s="972">
        <f>(S22/S85)*100</f>
        <v>15.000524750743397</v>
      </c>
      <c r="T87" s="972">
        <f t="shared" ref="T87:AA87" si="57">(T22/T85)*100</f>
        <v>16</v>
      </c>
      <c r="U87" s="972">
        <f t="shared" si="57"/>
        <v>17.2</v>
      </c>
      <c r="V87" s="972">
        <f t="shared" si="57"/>
        <v>17.899999999999999</v>
      </c>
      <c r="W87" s="972">
        <f t="shared" si="57"/>
        <v>19.600000000000001</v>
      </c>
      <c r="X87" s="972">
        <f t="shared" si="57"/>
        <v>19.8</v>
      </c>
      <c r="Y87" s="972">
        <f t="shared" si="57"/>
        <v>20.100000000000001</v>
      </c>
      <c r="Z87" s="972">
        <f t="shared" si="57"/>
        <v>19.7</v>
      </c>
      <c r="AA87" s="972">
        <f t="shared" si="57"/>
        <v>19.600000000000001</v>
      </c>
    </row>
    <row r="89" spans="2:27" ht="13.5" customHeight="1">
      <c r="B89" s="972" t="s">
        <v>153</v>
      </c>
      <c r="D89" s="972" t="b">
        <f>IF(D41&lt;0, (D41/D21)*100)</f>
        <v>0</v>
      </c>
      <c r="E89" s="972" t="b">
        <f t="shared" ref="E89:P89" si="58">IF(E41&lt;0, (E41/E21)*100)</f>
        <v>0</v>
      </c>
      <c r="F89" s="972" t="b">
        <f t="shared" si="58"/>
        <v>0</v>
      </c>
      <c r="G89" s="972" t="b">
        <f t="shared" si="58"/>
        <v>0</v>
      </c>
      <c r="H89" s="972" t="b">
        <f t="shared" si="58"/>
        <v>0</v>
      </c>
      <c r="I89" s="972" t="b">
        <f t="shared" si="58"/>
        <v>0</v>
      </c>
      <c r="J89" s="972" t="b">
        <f t="shared" si="58"/>
        <v>0</v>
      </c>
      <c r="K89" s="972" t="b">
        <f t="shared" si="58"/>
        <v>0</v>
      </c>
      <c r="L89" s="972" t="b">
        <f t="shared" si="58"/>
        <v>0</v>
      </c>
      <c r="M89" s="972" t="b">
        <f t="shared" si="58"/>
        <v>0</v>
      </c>
      <c r="N89" s="972" t="b">
        <f t="shared" si="58"/>
        <v>0</v>
      </c>
      <c r="O89" s="972" t="b">
        <f t="shared" si="58"/>
        <v>0</v>
      </c>
      <c r="P89" s="972" t="b">
        <f t="shared" si="58"/>
        <v>0</v>
      </c>
      <c r="Q89" s="972" t="b">
        <f t="shared" ref="Q89:W89" si="59">IF(Q41&lt;0, (Q41/Q21)*100)</f>
        <v>0</v>
      </c>
      <c r="R89" s="972" t="b">
        <f t="shared" si="59"/>
        <v>0</v>
      </c>
      <c r="S89" s="972" t="b">
        <f t="shared" si="59"/>
        <v>0</v>
      </c>
      <c r="T89" s="972" t="b">
        <f t="shared" si="59"/>
        <v>0</v>
      </c>
      <c r="U89" s="972" t="b">
        <f t="shared" si="59"/>
        <v>0</v>
      </c>
      <c r="V89" s="972" t="b">
        <f t="shared" si="59"/>
        <v>0</v>
      </c>
      <c r="W89" s="972" t="b">
        <f t="shared" si="59"/>
        <v>0</v>
      </c>
    </row>
    <row r="91" spans="2:27">
      <c r="S91" s="1050">
        <f>(S1/100)*S2</f>
        <v>0</v>
      </c>
      <c r="T91" s="1050">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17"/>
  <sheetViews>
    <sheetView zoomScale="60" zoomScaleNormal="60" workbookViewId="0">
      <pane xSplit="3" ySplit="5" topLeftCell="M6" activePane="bottomRight" state="frozen"/>
      <selection pane="topRight" activeCell="D1" sqref="D1"/>
      <selection pane="bottomLeft" activeCell="A6" sqref="A6"/>
      <selection pane="bottomRight" activeCell="Q31" sqref="Q31"/>
    </sheetView>
  </sheetViews>
  <sheetFormatPr defaultRowHeight="15.75"/>
  <cols>
    <col min="1" max="1" width="36.28515625" style="972" customWidth="1"/>
    <col min="2" max="2" width="43.85546875" style="972" customWidth="1"/>
    <col min="3" max="3" width="24" style="972" customWidth="1"/>
    <col min="4" max="4" width="21.5703125" style="972" bestFit="1" customWidth="1"/>
    <col min="5" max="6" width="19.28515625" style="972" bestFit="1" customWidth="1"/>
    <col min="7" max="9" width="21.5703125" style="972" bestFit="1" customWidth="1"/>
    <col min="10" max="13" width="22.7109375" style="972" bestFit="1" customWidth="1"/>
    <col min="14" max="15" width="20.42578125" style="972" bestFit="1" customWidth="1"/>
    <col min="16" max="16" width="21.28515625" style="972" bestFit="1" customWidth="1"/>
    <col min="17" max="17" width="21.7109375" style="972" customWidth="1"/>
    <col min="18" max="18" width="25.5703125" style="972" bestFit="1" customWidth="1"/>
    <col min="19" max="19" width="24" style="972" bestFit="1" customWidth="1"/>
    <col min="20" max="20" width="23.42578125" style="972" bestFit="1" customWidth="1"/>
    <col min="21" max="22" width="24" style="972" bestFit="1" customWidth="1"/>
    <col min="23" max="23" width="23" style="972" bestFit="1" customWidth="1"/>
    <col min="24" max="24" width="24" style="1677" bestFit="1" customWidth="1"/>
    <col min="25" max="26" width="23" style="1677" bestFit="1" customWidth="1"/>
    <col min="27" max="27" width="26.42578125" style="1677" customWidth="1"/>
  </cols>
  <sheetData>
    <row r="1" spans="1:48">
      <c r="A1" s="966" t="s">
        <v>4070</v>
      </c>
      <c r="B1" s="1086" t="s">
        <v>4071</v>
      </c>
      <c r="C1" s="967"/>
      <c r="D1" s="968"/>
      <c r="E1" s="968"/>
      <c r="F1" s="968"/>
      <c r="G1" s="968"/>
      <c r="H1" s="968"/>
      <c r="I1" s="968"/>
      <c r="J1" s="968"/>
      <c r="K1" s="968"/>
      <c r="L1" s="968"/>
      <c r="M1" s="968"/>
      <c r="N1" s="968"/>
      <c r="O1" s="969"/>
      <c r="P1" s="969"/>
      <c r="Q1" s="969"/>
      <c r="R1" s="970"/>
      <c r="S1" s="969"/>
      <c r="T1" s="969"/>
      <c r="U1" s="969"/>
      <c r="V1" s="969"/>
      <c r="W1" s="969"/>
      <c r="X1" s="970"/>
    </row>
    <row r="2" spans="1:48">
      <c r="B2" s="1087" t="s">
        <v>4072</v>
      </c>
      <c r="C2" s="973"/>
      <c r="D2" s="969"/>
      <c r="E2" s="969"/>
      <c r="F2" s="969"/>
      <c r="G2" s="969"/>
      <c r="H2" s="969"/>
      <c r="I2" s="969"/>
      <c r="J2" s="969"/>
      <c r="K2" s="969"/>
      <c r="L2" s="969"/>
      <c r="M2" s="969"/>
      <c r="N2" s="969"/>
      <c r="O2" s="969"/>
      <c r="P2" s="969"/>
      <c r="Q2" s="969"/>
      <c r="R2" s="974"/>
      <c r="S2" s="1046"/>
      <c r="T2" s="1047"/>
      <c r="U2" s="969"/>
      <c r="V2" s="969"/>
      <c r="W2" s="969"/>
      <c r="X2" s="970"/>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70">
        <v>2020</v>
      </c>
      <c r="Y3" s="969">
        <v>2021</v>
      </c>
      <c r="Z3" s="969">
        <v>2022</v>
      </c>
      <c r="AA3" s="969">
        <v>2023</v>
      </c>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70" t="s">
        <v>25</v>
      </c>
      <c r="Y4" s="970" t="s">
        <v>26</v>
      </c>
      <c r="Z4" s="970" t="s">
        <v>4073</v>
      </c>
      <c r="AA4" s="970" t="s">
        <v>4074</v>
      </c>
    </row>
    <row r="5" spans="1:48">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2226</v>
      </c>
      <c r="V5" s="969" t="s">
        <v>32</v>
      </c>
      <c r="W5" s="969" t="s">
        <v>32</v>
      </c>
      <c r="X5" s="970" t="s">
        <v>32</v>
      </c>
    </row>
    <row r="6" spans="1:48" s="848" customFormat="1">
      <c r="A6" s="976" t="s">
        <v>33</v>
      </c>
      <c r="B6" s="976" t="s">
        <v>4075</v>
      </c>
      <c r="C6" s="1013" t="s">
        <v>35</v>
      </c>
      <c r="D6" s="1059">
        <v>22375000000</v>
      </c>
      <c r="E6" s="1059">
        <f>E8+E18</f>
        <v>31242000000</v>
      </c>
      <c r="F6" s="1059">
        <v>32432000000</v>
      </c>
      <c r="G6" s="1059">
        <v>42684000000</v>
      </c>
      <c r="H6" s="1059">
        <v>65817000000</v>
      </c>
      <c r="I6" s="1059">
        <v>84926000000</v>
      </c>
      <c r="J6" s="1059">
        <v>116985000000</v>
      </c>
      <c r="K6" s="1059">
        <v>147632000000</v>
      </c>
      <c r="L6" s="1059">
        <v>164554000000</v>
      </c>
      <c r="M6" s="1059">
        <f t="shared" ref="M6:AA6" si="0">M8+M18</f>
        <v>213213000000</v>
      </c>
      <c r="N6" s="1059">
        <f t="shared" si="0"/>
        <v>260000000000</v>
      </c>
      <c r="O6" s="1059">
        <f t="shared" si="0"/>
        <v>273000000000</v>
      </c>
      <c r="P6" s="1059">
        <f t="shared" si="0"/>
        <v>261000000000</v>
      </c>
      <c r="Q6" s="1059">
        <f t="shared" si="0"/>
        <v>477000000000</v>
      </c>
      <c r="R6" s="1059">
        <f t="shared" si="0"/>
        <v>513000000000</v>
      </c>
      <c r="S6" s="1059">
        <f t="shared" si="0"/>
        <v>614000000000</v>
      </c>
      <c r="T6" s="1059">
        <f t="shared" si="0"/>
        <v>768000000000</v>
      </c>
      <c r="U6" s="1059">
        <f t="shared" si="0"/>
        <v>1000000000000</v>
      </c>
      <c r="V6" s="1059">
        <f t="shared" si="0"/>
        <v>1077000000000</v>
      </c>
      <c r="W6" s="1059">
        <f t="shared" si="0"/>
        <v>1228000000000</v>
      </c>
      <c r="X6" s="1059">
        <f t="shared" si="0"/>
        <v>1341000000000</v>
      </c>
      <c r="Y6" s="1059">
        <f t="shared" si="0"/>
        <v>1511000000000</v>
      </c>
      <c r="Z6" s="1059">
        <f t="shared" si="0"/>
        <v>1683000000000</v>
      </c>
      <c r="AA6" s="1059">
        <f t="shared" si="0"/>
        <v>1871000000000</v>
      </c>
      <c r="AB6"/>
      <c r="AC6"/>
      <c r="AD6"/>
      <c r="AE6"/>
      <c r="AF6"/>
      <c r="AG6"/>
      <c r="AH6"/>
      <c r="AI6"/>
      <c r="AJ6"/>
      <c r="AK6"/>
      <c r="AL6"/>
      <c r="AM6"/>
      <c r="AN6"/>
      <c r="AO6"/>
      <c r="AP6"/>
      <c r="AQ6"/>
      <c r="AR6"/>
      <c r="AS6"/>
      <c r="AT6"/>
      <c r="AU6"/>
      <c r="AV6"/>
    </row>
    <row r="7" spans="1:48" s="9" customFormat="1">
      <c r="A7" s="1661" t="s">
        <v>76</v>
      </c>
      <c r="B7" s="1661" t="s">
        <v>4076</v>
      </c>
      <c r="C7" s="972"/>
      <c r="D7" s="1662">
        <v>22104000000</v>
      </c>
      <c r="E7" s="1662">
        <v>31233000000</v>
      </c>
      <c r="F7" s="1662">
        <v>32432000000</v>
      </c>
      <c r="G7" s="1662">
        <v>42684000000</v>
      </c>
      <c r="H7" s="1662">
        <v>65817000000</v>
      </c>
      <c r="I7" s="1662">
        <v>84926000000</v>
      </c>
      <c r="J7" s="1662">
        <v>116985000000</v>
      </c>
      <c r="K7" s="1662">
        <v>147632000000</v>
      </c>
      <c r="L7" s="1662">
        <v>164554000000</v>
      </c>
      <c r="M7" s="1662">
        <v>213213000000</v>
      </c>
      <c r="N7" s="1662">
        <v>261000000000</v>
      </c>
      <c r="O7" s="1662">
        <v>274000000000</v>
      </c>
      <c r="P7" s="978"/>
      <c r="Q7" s="978"/>
      <c r="R7" s="978"/>
      <c r="S7" s="1048"/>
      <c r="T7" s="1663"/>
      <c r="U7" s="1664"/>
      <c r="V7" s="1664"/>
      <c r="W7" s="1664"/>
      <c r="X7" s="2427"/>
      <c r="Y7" s="2429"/>
      <c r="Z7" s="2429"/>
      <c r="AA7" s="2429"/>
      <c r="AB7"/>
      <c r="AC7"/>
      <c r="AD7"/>
      <c r="AE7"/>
      <c r="AF7"/>
      <c r="AG7"/>
      <c r="AH7"/>
      <c r="AI7"/>
      <c r="AJ7"/>
      <c r="AK7"/>
      <c r="AL7"/>
      <c r="AM7"/>
      <c r="AN7"/>
      <c r="AO7"/>
      <c r="AP7"/>
      <c r="AQ7"/>
      <c r="AR7"/>
      <c r="AS7"/>
      <c r="AT7"/>
      <c r="AU7"/>
      <c r="AV7"/>
    </row>
    <row r="8" spans="1:48" s="9" customFormat="1">
      <c r="A8" s="980" t="s">
        <v>370</v>
      </c>
      <c r="B8" s="1661" t="s">
        <v>1500</v>
      </c>
      <c r="C8" s="982" t="s">
        <v>38</v>
      </c>
      <c r="D8" s="1662">
        <v>16079000000</v>
      </c>
      <c r="E8" s="1662">
        <f>E11+E17</f>
        <v>20889000000</v>
      </c>
      <c r="F8" s="1662">
        <v>23288000000</v>
      </c>
      <c r="G8" s="1662">
        <v>32009000000</v>
      </c>
      <c r="H8" s="1662">
        <v>42754000000</v>
      </c>
      <c r="I8" s="1662">
        <v>56809000000</v>
      </c>
      <c r="J8" s="1662">
        <v>67315000000</v>
      </c>
      <c r="K8" s="1662">
        <v>84295000000</v>
      </c>
      <c r="L8" s="1662">
        <v>104954000000</v>
      </c>
      <c r="M8" s="1676">
        <f>M11+M17</f>
        <v>137234000000</v>
      </c>
      <c r="N8" s="1676">
        <f t="shared" ref="N8:AA8" si="1">N11+N17</f>
        <v>182000000000</v>
      </c>
      <c r="O8" s="1676">
        <f t="shared" si="1"/>
        <v>209000000000</v>
      </c>
      <c r="P8" s="1676">
        <f t="shared" si="1"/>
        <v>218000000000</v>
      </c>
      <c r="Q8" s="1676">
        <f t="shared" si="1"/>
        <v>301000000000</v>
      </c>
      <c r="R8" s="1676">
        <f t="shared" si="1"/>
        <v>443000000000</v>
      </c>
      <c r="S8" s="1676">
        <f t="shared" si="1"/>
        <v>535000000000</v>
      </c>
      <c r="T8" s="1676">
        <f t="shared" si="1"/>
        <v>637000000000</v>
      </c>
      <c r="U8" s="1676">
        <f t="shared" si="1"/>
        <v>852000000000</v>
      </c>
      <c r="V8" s="1676">
        <f t="shared" si="1"/>
        <v>943000000000</v>
      </c>
      <c r="W8" s="1676">
        <f t="shared" si="1"/>
        <v>1061000000000</v>
      </c>
      <c r="X8" s="1676">
        <f t="shared" si="1"/>
        <v>1181000000000</v>
      </c>
      <c r="Y8" s="1676">
        <f t="shared" si="1"/>
        <v>1317000000000</v>
      </c>
      <c r="Z8" s="1676">
        <f t="shared" si="1"/>
        <v>1467000000000</v>
      </c>
      <c r="AA8" s="1676">
        <f t="shared" si="1"/>
        <v>1634000000000</v>
      </c>
      <c r="AB8"/>
      <c r="AC8"/>
      <c r="AD8"/>
      <c r="AE8"/>
      <c r="AF8"/>
      <c r="AG8"/>
      <c r="AH8"/>
      <c r="AI8"/>
      <c r="AJ8"/>
      <c r="AK8"/>
      <c r="AL8"/>
      <c r="AM8"/>
      <c r="AN8"/>
      <c r="AO8"/>
      <c r="AP8"/>
      <c r="AQ8"/>
      <c r="AR8"/>
      <c r="AS8"/>
      <c r="AT8"/>
      <c r="AU8"/>
      <c r="AV8"/>
    </row>
    <row r="9" spans="1:48" s="9" customFormat="1">
      <c r="A9" s="972" t="s">
        <v>76</v>
      </c>
      <c r="B9" s="981" t="s">
        <v>4077</v>
      </c>
      <c r="C9" s="982"/>
      <c r="D9" s="1662">
        <v>15808000000</v>
      </c>
      <c r="E9" s="1662">
        <v>20880000000</v>
      </c>
      <c r="F9" s="1662">
        <v>22853000000</v>
      </c>
      <c r="G9" s="1662">
        <v>32009000000</v>
      </c>
      <c r="H9" s="1662">
        <v>42754000000</v>
      </c>
      <c r="I9" s="1662">
        <v>56809000000</v>
      </c>
      <c r="J9" s="1662">
        <v>67316000000</v>
      </c>
      <c r="K9" s="1662">
        <v>84295000000</v>
      </c>
      <c r="L9" s="1662">
        <v>104954000000</v>
      </c>
      <c r="M9" s="1665">
        <v>210270000000</v>
      </c>
      <c r="N9" s="1662">
        <v>257000000000</v>
      </c>
      <c r="O9" s="1662">
        <v>272000000000</v>
      </c>
      <c r="P9" s="1048">
        <v>214000000000</v>
      </c>
      <c r="Q9" s="1048">
        <v>472000000000</v>
      </c>
      <c r="R9" s="1048">
        <v>511000000000</v>
      </c>
      <c r="S9" s="1050"/>
      <c r="T9" s="1666"/>
      <c r="U9" s="1666"/>
      <c r="V9" s="1666"/>
      <c r="W9" s="1664"/>
      <c r="X9" s="2427"/>
      <c r="Y9" s="2429"/>
      <c r="Z9" s="2429"/>
      <c r="AA9" s="2429"/>
      <c r="AB9"/>
      <c r="AC9"/>
      <c r="AD9"/>
      <c r="AE9"/>
      <c r="AF9"/>
      <c r="AG9"/>
      <c r="AH9"/>
      <c r="AI9"/>
      <c r="AJ9"/>
      <c r="AK9"/>
      <c r="AL9"/>
      <c r="AM9"/>
      <c r="AN9"/>
      <c r="AO9"/>
      <c r="AP9"/>
      <c r="AQ9"/>
      <c r="AR9"/>
      <c r="AS9"/>
      <c r="AT9"/>
      <c r="AU9"/>
      <c r="AV9"/>
    </row>
    <row r="10" spans="1:48" ht="14.25" customHeight="1">
      <c r="A10" s="972" t="s">
        <v>76</v>
      </c>
      <c r="B10" s="981" t="s">
        <v>4078</v>
      </c>
      <c r="C10" s="981"/>
      <c r="D10" s="1665"/>
      <c r="E10" s="1665"/>
      <c r="F10" s="1665"/>
      <c r="G10" s="1665"/>
      <c r="H10" s="1665"/>
      <c r="I10" s="1665"/>
      <c r="J10" s="1665"/>
      <c r="K10" s="1662"/>
      <c r="L10" s="1662"/>
      <c r="M10" s="1665"/>
      <c r="N10" s="1662">
        <v>179000000000</v>
      </c>
      <c r="O10" s="1662">
        <v>208000000000</v>
      </c>
      <c r="P10" s="978"/>
      <c r="Q10" s="978">
        <v>297000000000</v>
      </c>
      <c r="R10" s="978">
        <v>441000000000</v>
      </c>
      <c r="S10" s="1048"/>
      <c r="T10" s="1663"/>
      <c r="U10" s="999">
        <v>841000000000</v>
      </c>
      <c r="V10" s="999">
        <v>931000000000</v>
      </c>
      <c r="W10" s="999">
        <v>1039000000000</v>
      </c>
      <c r="X10" s="2430">
        <v>1158000000000</v>
      </c>
      <c r="Y10" s="2429">
        <v>1291000000000</v>
      </c>
      <c r="Z10" s="2429">
        <v>1438000000000</v>
      </c>
      <c r="AA10" s="2429">
        <v>1601000000000</v>
      </c>
    </row>
    <row r="11" spans="1:48">
      <c r="A11" s="972" t="s">
        <v>39</v>
      </c>
      <c r="B11" s="981" t="s">
        <v>4079</v>
      </c>
      <c r="C11" s="982" t="s">
        <v>41</v>
      </c>
      <c r="D11" s="1665">
        <f>D13+D14+D15</f>
        <v>14625000000</v>
      </c>
      <c r="E11" s="1665">
        <f t="shared" ref="E11:F11" si="2">E13+E14+E15</f>
        <v>19294000000</v>
      </c>
      <c r="F11" s="1665">
        <f t="shared" si="2"/>
        <v>20816000000</v>
      </c>
      <c r="G11" s="1665">
        <v>27251000000</v>
      </c>
      <c r="H11" s="1665">
        <v>36902000000</v>
      </c>
      <c r="I11" s="1665">
        <v>49798000000</v>
      </c>
      <c r="J11" s="1665">
        <v>59884000000</v>
      </c>
      <c r="K11" s="1665">
        <v>77321000000</v>
      </c>
      <c r="L11" s="1665">
        <v>96387000000</v>
      </c>
      <c r="M11" s="1675">
        <f>M13+M14+M15+M16</f>
        <v>121965000000</v>
      </c>
      <c r="N11" s="1675">
        <f t="shared" ref="N11:AA11" si="3">N13+N14+N15+N16</f>
        <v>145000000000</v>
      </c>
      <c r="O11" s="1675">
        <f t="shared" si="3"/>
        <v>177000000000</v>
      </c>
      <c r="P11" s="1675">
        <f t="shared" si="3"/>
        <v>192000000000</v>
      </c>
      <c r="Q11" s="1675">
        <f t="shared" si="3"/>
        <v>273000000000</v>
      </c>
      <c r="R11" s="1675">
        <f t="shared" si="3"/>
        <v>390000000000</v>
      </c>
      <c r="S11" s="1675">
        <f t="shared" si="3"/>
        <v>468000000000</v>
      </c>
      <c r="T11" s="1675">
        <f t="shared" si="3"/>
        <v>567000000000</v>
      </c>
      <c r="U11" s="1675">
        <f t="shared" si="3"/>
        <v>761000000000</v>
      </c>
      <c r="V11" s="1675">
        <f t="shared" si="3"/>
        <v>851000000000</v>
      </c>
      <c r="W11" s="1675">
        <f t="shared" si="3"/>
        <v>962000000000</v>
      </c>
      <c r="X11" s="1675">
        <f t="shared" si="3"/>
        <v>1071000000000</v>
      </c>
      <c r="Y11" s="1675">
        <f t="shared" si="3"/>
        <v>1195000000000</v>
      </c>
      <c r="Z11" s="1675">
        <f t="shared" si="3"/>
        <v>1331000000000</v>
      </c>
      <c r="AA11" s="1675">
        <f t="shared" si="3"/>
        <v>1483000000000</v>
      </c>
    </row>
    <row r="12" spans="1:48">
      <c r="A12" s="972" t="s">
        <v>76</v>
      </c>
      <c r="B12" s="981" t="s">
        <v>4080</v>
      </c>
      <c r="C12" s="982"/>
      <c r="D12" s="1662">
        <v>14353000000</v>
      </c>
      <c r="E12" s="1662">
        <v>19285000000</v>
      </c>
      <c r="F12" s="1662">
        <v>20382000000</v>
      </c>
      <c r="G12" s="1662">
        <v>27251000000</v>
      </c>
      <c r="H12" s="1662">
        <v>36902000000</v>
      </c>
      <c r="I12" s="1662">
        <v>49798000000</v>
      </c>
      <c r="J12" s="1662">
        <v>59884000000</v>
      </c>
      <c r="K12" s="1662">
        <v>77321000000</v>
      </c>
      <c r="L12" s="1662">
        <v>96387000000</v>
      </c>
      <c r="M12" s="1662">
        <v>119022000000</v>
      </c>
      <c r="N12" s="1662">
        <v>142000000000</v>
      </c>
      <c r="O12" s="1662">
        <v>176000000000</v>
      </c>
      <c r="P12" s="1048">
        <v>188000000000</v>
      </c>
      <c r="Q12" s="1048"/>
      <c r="R12" s="1048"/>
      <c r="S12" s="1050"/>
      <c r="T12" s="1666"/>
      <c r="U12" s="1666"/>
      <c r="V12" s="1666"/>
      <c r="W12" s="999"/>
      <c r="X12" s="2430"/>
      <c r="Y12" s="2429"/>
      <c r="Z12" s="2429"/>
      <c r="AA12" s="2429"/>
    </row>
    <row r="13" spans="1:48">
      <c r="A13" s="988" t="s">
        <v>317</v>
      </c>
      <c r="B13" s="988" t="s">
        <v>4081</v>
      </c>
      <c r="C13" s="972" t="s">
        <v>44</v>
      </c>
      <c r="D13" s="1662">
        <v>6590000000</v>
      </c>
      <c r="E13" s="1662">
        <v>8740000000</v>
      </c>
      <c r="F13" s="1662">
        <v>9458000000</v>
      </c>
      <c r="G13" s="1662"/>
      <c r="H13" s="1662"/>
      <c r="I13" s="1662"/>
      <c r="J13" s="1662"/>
      <c r="K13" s="1662"/>
      <c r="L13" s="1662"/>
      <c r="M13" s="1662">
        <v>50549000000</v>
      </c>
      <c r="N13" s="1662">
        <v>66000000000</v>
      </c>
      <c r="O13" s="1662">
        <v>81000000000</v>
      </c>
      <c r="P13" s="1048">
        <v>90000000000</v>
      </c>
      <c r="Q13" s="1048">
        <v>129000000000</v>
      </c>
      <c r="R13" s="1048">
        <v>181000000000</v>
      </c>
      <c r="S13" s="1048">
        <v>233000000000</v>
      </c>
      <c r="T13" s="1666">
        <v>289000000000</v>
      </c>
      <c r="U13" s="1666">
        <v>383000000000</v>
      </c>
      <c r="V13" s="1666">
        <v>422000000000</v>
      </c>
      <c r="W13" s="999">
        <v>477000000000</v>
      </c>
      <c r="X13" s="2430">
        <v>531000000000</v>
      </c>
      <c r="Y13" s="2429">
        <v>594000000000</v>
      </c>
      <c r="Z13" s="2429">
        <v>662000000000</v>
      </c>
      <c r="AA13" s="2429">
        <v>736000000000</v>
      </c>
    </row>
    <row r="14" spans="1:48">
      <c r="A14" s="988" t="s">
        <v>47</v>
      </c>
      <c r="B14" s="988" t="s">
        <v>2880</v>
      </c>
      <c r="C14" s="972" t="s">
        <v>44</v>
      </c>
      <c r="D14" s="1662">
        <v>5834000000</v>
      </c>
      <c r="E14" s="1662">
        <v>8169000000</v>
      </c>
      <c r="F14" s="1662">
        <v>8935000000</v>
      </c>
      <c r="G14" s="1662"/>
      <c r="H14" s="1662"/>
      <c r="I14" s="1662"/>
      <c r="J14" s="1662"/>
      <c r="K14" s="1662"/>
      <c r="L14" s="1662"/>
      <c r="M14" s="1662">
        <v>57845000000</v>
      </c>
      <c r="N14" s="1662">
        <v>64000000000</v>
      </c>
      <c r="O14" s="1662">
        <v>79000000000</v>
      </c>
      <c r="P14" s="1048">
        <v>84000000000</v>
      </c>
      <c r="Q14" s="1048">
        <v>111000000000</v>
      </c>
      <c r="R14" s="1048">
        <v>168000000000</v>
      </c>
      <c r="S14" s="1048">
        <v>189000000000</v>
      </c>
      <c r="T14" s="1666">
        <v>225000000000</v>
      </c>
      <c r="U14" s="1666">
        <v>308000000000</v>
      </c>
      <c r="V14" s="1666">
        <v>354000000000</v>
      </c>
      <c r="W14" s="999">
        <v>401000000000</v>
      </c>
      <c r="X14" s="2430">
        <v>447000000000</v>
      </c>
      <c r="Y14" s="2429">
        <v>497000000000</v>
      </c>
      <c r="Z14" s="2429">
        <v>553000000000</v>
      </c>
      <c r="AA14" s="2429">
        <v>618000000000</v>
      </c>
    </row>
    <row r="15" spans="1:48">
      <c r="A15" s="980" t="s">
        <v>45</v>
      </c>
      <c r="B15" s="988" t="s">
        <v>1423</v>
      </c>
      <c r="C15" s="972" t="s">
        <v>44</v>
      </c>
      <c r="D15" s="1662">
        <v>2201000000</v>
      </c>
      <c r="E15" s="1662">
        <v>2385000000</v>
      </c>
      <c r="F15" s="1662">
        <v>2423000000</v>
      </c>
      <c r="G15" s="1662"/>
      <c r="H15" s="1662"/>
      <c r="I15" s="1662"/>
      <c r="J15" s="1662"/>
      <c r="K15" s="1662"/>
      <c r="L15" s="1662"/>
      <c r="M15" s="1662">
        <v>13571000000</v>
      </c>
      <c r="N15" s="1662">
        <v>15000000000</v>
      </c>
      <c r="O15" s="1662">
        <v>17000000000</v>
      </c>
      <c r="P15" s="1048">
        <v>18000000000</v>
      </c>
      <c r="Q15" s="1048">
        <v>33000000000</v>
      </c>
      <c r="R15" s="1048">
        <v>41000000000</v>
      </c>
      <c r="S15" s="1048">
        <v>46000000000</v>
      </c>
      <c r="T15" s="1666">
        <v>53000000000</v>
      </c>
      <c r="U15" s="1666">
        <v>70000000000</v>
      </c>
      <c r="V15" s="1666">
        <v>75000000000</v>
      </c>
      <c r="W15" s="999">
        <v>84000000000</v>
      </c>
      <c r="X15" s="2430">
        <v>93000000000</v>
      </c>
      <c r="Y15" s="2429">
        <v>104000000000</v>
      </c>
      <c r="Z15" s="2429">
        <v>116000000000</v>
      </c>
      <c r="AA15" s="2429">
        <v>129000000000</v>
      </c>
    </row>
    <row r="16" spans="1:48">
      <c r="A16" s="988" t="s">
        <v>4082</v>
      </c>
      <c r="B16" s="988" t="s">
        <v>4082</v>
      </c>
      <c r="C16" s="972" t="s">
        <v>44</v>
      </c>
      <c r="D16" s="1662">
        <v>0</v>
      </c>
      <c r="E16" s="1662">
        <v>0</v>
      </c>
      <c r="F16" s="1662">
        <v>0</v>
      </c>
      <c r="G16" s="1662"/>
      <c r="H16" s="1662"/>
      <c r="I16" s="1662"/>
      <c r="J16" s="1662"/>
      <c r="K16" s="1662"/>
      <c r="L16" s="1662"/>
      <c r="M16" s="2756">
        <v>0</v>
      </c>
      <c r="N16" s="2756">
        <v>0</v>
      </c>
      <c r="O16" s="2756">
        <v>0</v>
      </c>
      <c r="P16" s="2652">
        <v>0</v>
      </c>
      <c r="Q16" s="2652">
        <v>0</v>
      </c>
      <c r="R16" s="2652">
        <v>0</v>
      </c>
      <c r="S16" s="2652">
        <v>0</v>
      </c>
      <c r="T16" s="2757">
        <v>0</v>
      </c>
      <c r="U16" s="2757">
        <v>0</v>
      </c>
      <c r="V16" s="2757">
        <v>0</v>
      </c>
      <c r="W16" s="2758">
        <v>0</v>
      </c>
      <c r="X16" s="2759">
        <v>0</v>
      </c>
      <c r="Y16" s="2760">
        <v>0</v>
      </c>
      <c r="Z16" s="2760">
        <v>0</v>
      </c>
      <c r="AA16" s="2760">
        <v>0</v>
      </c>
    </row>
    <row r="17" spans="1:48">
      <c r="A17" s="968" t="s">
        <v>51</v>
      </c>
      <c r="B17" s="981" t="s">
        <v>1378</v>
      </c>
      <c r="C17" s="982" t="s">
        <v>41</v>
      </c>
      <c r="D17" s="1662">
        <v>1455000000</v>
      </c>
      <c r="E17" s="1662">
        <v>1595000000</v>
      </c>
      <c r="F17" s="1662">
        <v>2471000000</v>
      </c>
      <c r="G17" s="1662">
        <v>4758000000</v>
      </c>
      <c r="H17" s="1662">
        <v>5852000000</v>
      </c>
      <c r="I17" s="1662">
        <v>7011000000</v>
      </c>
      <c r="J17" s="1662">
        <v>7431000000</v>
      </c>
      <c r="K17" s="1662">
        <v>6974000000</v>
      </c>
      <c r="L17" s="1662">
        <v>8567000000</v>
      </c>
      <c r="M17" s="1662">
        <v>15269000000</v>
      </c>
      <c r="N17" s="1662">
        <v>37000000000</v>
      </c>
      <c r="O17" s="1662">
        <v>32000000000</v>
      </c>
      <c r="P17" s="1048">
        <v>26000000000</v>
      </c>
      <c r="Q17" s="1048">
        <v>28000000000</v>
      </c>
      <c r="R17" s="1048">
        <v>53000000000</v>
      </c>
      <c r="S17" s="1048">
        <v>67000000000</v>
      </c>
      <c r="T17" s="1666">
        <v>70000000000</v>
      </c>
      <c r="U17" s="1666">
        <v>91000000000</v>
      </c>
      <c r="V17" s="1666">
        <v>92000000000</v>
      </c>
      <c r="W17" s="999">
        <v>99000000000</v>
      </c>
      <c r="X17" s="2430">
        <v>110000000000</v>
      </c>
      <c r="Y17" s="2429">
        <v>122000000000</v>
      </c>
      <c r="Z17" s="2429">
        <v>136000000000</v>
      </c>
      <c r="AA17" s="2429">
        <v>151000000000</v>
      </c>
    </row>
    <row r="18" spans="1:48" s="848" customFormat="1">
      <c r="A18" s="1413" t="s">
        <v>53</v>
      </c>
      <c r="B18" s="1012" t="s">
        <v>53</v>
      </c>
      <c r="C18" s="1058" t="s">
        <v>38</v>
      </c>
      <c r="D18" s="1670">
        <v>6296000000</v>
      </c>
      <c r="E18" s="1670">
        <v>10353000000</v>
      </c>
      <c r="F18" s="1670">
        <v>9144000000</v>
      </c>
      <c r="G18" s="1670">
        <v>10675000000</v>
      </c>
      <c r="H18" s="1670">
        <v>23063000000</v>
      </c>
      <c r="I18" s="1670">
        <v>28117000000</v>
      </c>
      <c r="J18" s="1670">
        <v>49670000000</v>
      </c>
      <c r="K18" s="1670">
        <v>63337000000</v>
      </c>
      <c r="L18" s="1670">
        <v>59600000000</v>
      </c>
      <c r="M18" s="1670">
        <v>75979000000</v>
      </c>
      <c r="N18" s="1670">
        <v>78000000000</v>
      </c>
      <c r="O18" s="1670">
        <v>64000000000</v>
      </c>
      <c r="P18" s="1054">
        <v>43000000000</v>
      </c>
      <c r="Q18" s="1054">
        <v>176000000000</v>
      </c>
      <c r="R18" s="1054">
        <v>70000000000</v>
      </c>
      <c r="S18" s="1054">
        <v>79000000000</v>
      </c>
      <c r="T18" s="1671">
        <v>131000000000</v>
      </c>
      <c r="U18" s="1671">
        <v>148000000000</v>
      </c>
      <c r="V18" s="1671">
        <v>134000000000</v>
      </c>
      <c r="W18" s="1672">
        <v>167000000000</v>
      </c>
      <c r="X18" s="2431">
        <v>160000000000</v>
      </c>
      <c r="Y18" s="2428">
        <v>194000000000</v>
      </c>
      <c r="Z18" s="2428">
        <v>216000000000</v>
      </c>
      <c r="AA18" s="2428">
        <v>237000000000</v>
      </c>
      <c r="AB18"/>
      <c r="AC18"/>
      <c r="AD18"/>
      <c r="AE18"/>
      <c r="AF18"/>
      <c r="AG18"/>
      <c r="AH18"/>
      <c r="AI18"/>
      <c r="AJ18"/>
      <c r="AK18"/>
      <c r="AL18"/>
      <c r="AM18"/>
      <c r="AN18"/>
      <c r="AO18"/>
      <c r="AP18"/>
      <c r="AQ18"/>
      <c r="AR18"/>
      <c r="AS18"/>
      <c r="AT18"/>
      <c r="AU18"/>
      <c r="AV18"/>
    </row>
    <row r="19" spans="1:48">
      <c r="A19" s="996" t="s">
        <v>886</v>
      </c>
      <c r="B19" s="988" t="s">
        <v>4083</v>
      </c>
      <c r="C19" s="1371" t="s">
        <v>57</v>
      </c>
      <c r="D19" s="1665">
        <v>3725000000</v>
      </c>
      <c r="E19" s="1665">
        <v>6209000000</v>
      </c>
      <c r="F19" s="1665">
        <v>2544000000</v>
      </c>
      <c r="G19" s="1662">
        <v>1220000000</v>
      </c>
      <c r="H19" s="1662">
        <v>6576000000</v>
      </c>
      <c r="I19" s="1662">
        <v>5085000000</v>
      </c>
      <c r="J19" s="1662">
        <v>13930000000</v>
      </c>
      <c r="K19" s="1662">
        <v>9079000000</v>
      </c>
      <c r="L19" s="1662">
        <v>12901000000</v>
      </c>
      <c r="M19" s="1662">
        <v>19875000000</v>
      </c>
      <c r="N19" s="1662">
        <v>34000000000</v>
      </c>
      <c r="O19" s="1662">
        <v>15000000000</v>
      </c>
      <c r="P19" s="1048">
        <v>0</v>
      </c>
      <c r="Q19" s="1048">
        <v>78000000000</v>
      </c>
      <c r="R19" s="1048">
        <v>7000000000</v>
      </c>
      <c r="S19" s="1048">
        <v>0</v>
      </c>
      <c r="T19" s="1666">
        <v>17000000000</v>
      </c>
      <c r="U19" s="1666">
        <v>12000000000</v>
      </c>
      <c r="V19" s="1666">
        <v>0</v>
      </c>
      <c r="W19" s="999">
        <v>60000000000</v>
      </c>
      <c r="X19" s="2430">
        <v>0</v>
      </c>
      <c r="Y19" s="2429">
        <v>0</v>
      </c>
      <c r="Z19" s="2429">
        <v>0</v>
      </c>
      <c r="AA19" s="2429">
        <v>0</v>
      </c>
    </row>
    <row r="20" spans="1:48">
      <c r="A20" s="970" t="s">
        <v>564</v>
      </c>
      <c r="B20" s="988" t="s">
        <v>2881</v>
      </c>
      <c r="C20" s="1371" t="s">
        <v>57</v>
      </c>
      <c r="D20" s="1662">
        <v>2571000000</v>
      </c>
      <c r="E20" s="1662">
        <v>3565000000</v>
      </c>
      <c r="F20" s="1662">
        <v>3479000000</v>
      </c>
      <c r="G20" s="1662">
        <v>4604000000</v>
      </c>
      <c r="H20" s="1662">
        <v>6518000000</v>
      </c>
      <c r="I20" s="1662">
        <v>11020000000</v>
      </c>
      <c r="J20" s="1662">
        <v>11089000000</v>
      </c>
      <c r="K20" s="1662">
        <v>23853000000</v>
      </c>
      <c r="L20" s="1662">
        <v>24225000000</v>
      </c>
      <c r="M20" s="1662">
        <v>24347000000</v>
      </c>
      <c r="N20" s="1662">
        <v>26000000000</v>
      </c>
      <c r="O20" s="1662">
        <v>19000000000</v>
      </c>
      <c r="P20" s="1048">
        <v>18000000000</v>
      </c>
      <c r="Q20" s="1048">
        <v>35000000000</v>
      </c>
      <c r="R20" s="1048">
        <v>41000000000</v>
      </c>
      <c r="S20" s="1048">
        <v>48000000000</v>
      </c>
      <c r="T20" s="1666">
        <v>50000000000</v>
      </c>
      <c r="U20" s="1666">
        <v>74000000000</v>
      </c>
      <c r="V20" s="1666">
        <v>87000000000</v>
      </c>
      <c r="W20" s="999">
        <v>48000000000</v>
      </c>
      <c r="X20" s="2430">
        <v>98000000000</v>
      </c>
      <c r="Y20" s="2429">
        <v>119000000000</v>
      </c>
      <c r="Z20" s="2429">
        <v>132000000000</v>
      </c>
      <c r="AA20" s="2429">
        <v>145000000000</v>
      </c>
    </row>
    <row r="21" spans="1:48">
      <c r="A21" s="988" t="s">
        <v>4084</v>
      </c>
      <c r="B21" s="988" t="s">
        <v>4085</v>
      </c>
      <c r="C21" s="1371" t="s">
        <v>57</v>
      </c>
      <c r="D21" s="1665"/>
      <c r="E21" s="1665">
        <v>579000000</v>
      </c>
      <c r="F21" s="1665">
        <v>1718000000</v>
      </c>
      <c r="G21" s="1662">
        <v>188000000</v>
      </c>
      <c r="H21" s="1662">
        <v>4219000000</v>
      </c>
      <c r="I21" s="1662">
        <v>6933000000</v>
      </c>
      <c r="J21" s="1662">
        <v>17210000000</v>
      </c>
      <c r="K21" s="1662">
        <v>19807000000</v>
      </c>
      <c r="L21" s="1662">
        <v>22474000000</v>
      </c>
      <c r="M21" s="1662">
        <v>31757000000</v>
      </c>
      <c r="N21" s="1662">
        <v>19000000000</v>
      </c>
      <c r="O21" s="1662">
        <v>31000000000</v>
      </c>
      <c r="P21" s="1048">
        <v>25000000000</v>
      </c>
      <c r="Q21" s="1048">
        <v>64000000000</v>
      </c>
      <c r="R21" s="1048">
        <v>22000000000</v>
      </c>
      <c r="S21" s="1048">
        <v>32000000000</v>
      </c>
      <c r="T21" s="1666">
        <v>64000000000</v>
      </c>
      <c r="U21" s="1666">
        <v>62000000000</v>
      </c>
      <c r="V21" s="1666">
        <v>48000000000</v>
      </c>
      <c r="W21" s="999">
        <v>59000000000</v>
      </c>
      <c r="X21" s="2430">
        <v>63000000000</v>
      </c>
      <c r="Y21" s="2429">
        <v>76000000000</v>
      </c>
      <c r="Z21" s="2429">
        <v>84000000000</v>
      </c>
      <c r="AA21" s="2429">
        <v>91000000000</v>
      </c>
    </row>
    <row r="22" spans="1:48">
      <c r="A22" s="988" t="s">
        <v>67</v>
      </c>
      <c r="B22" s="988" t="s">
        <v>3893</v>
      </c>
      <c r="C22" s="1371" t="s">
        <v>57</v>
      </c>
      <c r="D22" s="1665"/>
      <c r="E22" s="1665"/>
      <c r="F22" s="995">
        <v>1403000000</v>
      </c>
      <c r="G22" s="1662">
        <v>4663000000</v>
      </c>
      <c r="H22" s="1662">
        <v>5750000000</v>
      </c>
      <c r="I22" s="1662">
        <v>5079000000</v>
      </c>
      <c r="J22" s="1662">
        <v>7441000000</v>
      </c>
      <c r="K22" s="1662">
        <v>10598000000</v>
      </c>
      <c r="L22" s="1662"/>
      <c r="M22" s="1662"/>
      <c r="N22" s="1662">
        <v>0</v>
      </c>
      <c r="O22" s="1662">
        <v>0</v>
      </c>
      <c r="P22" s="978">
        <v>0</v>
      </c>
      <c r="Q22" s="978"/>
      <c r="R22" s="978"/>
      <c r="S22" s="1050"/>
      <c r="T22" s="1663"/>
      <c r="U22" s="999"/>
      <c r="V22" s="999"/>
      <c r="W22" s="999"/>
      <c r="X22" s="2430"/>
      <c r="Y22" s="2429"/>
      <c r="Z22" s="2429"/>
      <c r="AA22" s="2429"/>
    </row>
    <row r="23" spans="1:48">
      <c r="B23" s="972" t="s">
        <v>4086</v>
      </c>
      <c r="D23" s="1662">
        <v>27229000000</v>
      </c>
      <c r="E23" s="1662">
        <v>37850800000</v>
      </c>
      <c r="F23" s="1662">
        <v>42490000000</v>
      </c>
      <c r="G23" s="1662">
        <v>61322000000</v>
      </c>
      <c r="H23" s="1662">
        <v>80536000000</v>
      </c>
      <c r="I23" s="1662">
        <v>97215000000</v>
      </c>
      <c r="J23" s="1662">
        <v>120010000000</v>
      </c>
      <c r="K23" s="1662">
        <v>153580000000</v>
      </c>
      <c r="L23" s="1662">
        <v>179397000000</v>
      </c>
      <c r="M23" s="1665">
        <v>247519000000</v>
      </c>
      <c r="N23" s="1662">
        <v>257000000000</v>
      </c>
      <c r="O23" s="1662">
        <v>296000000000</v>
      </c>
      <c r="P23" s="1662">
        <v>324000000000</v>
      </c>
      <c r="Q23" s="1662">
        <v>489000000000</v>
      </c>
      <c r="R23" s="1662">
        <v>647000000000</v>
      </c>
      <c r="S23" s="1048">
        <v>792000000000</v>
      </c>
      <c r="T23" s="1663">
        <v>1006000000000</v>
      </c>
      <c r="U23" s="999">
        <v>1201000000000</v>
      </c>
      <c r="V23" s="999">
        <v>1414000000000</v>
      </c>
      <c r="W23" s="999">
        <v>1387000000000</v>
      </c>
      <c r="X23" s="2430">
        <v>1472000000000</v>
      </c>
      <c r="Y23" s="2429">
        <v>1639000000000</v>
      </c>
      <c r="Z23" s="2429">
        <v>1803000000000</v>
      </c>
      <c r="AA23" s="2429">
        <v>1984000000000</v>
      </c>
    </row>
    <row r="24" spans="1:48" s="848" customFormat="1">
      <c r="A24" s="1013" t="s">
        <v>198</v>
      </c>
      <c r="B24" s="1013" t="s">
        <v>1639</v>
      </c>
      <c r="C24" s="1012" t="s">
        <v>35</v>
      </c>
      <c r="D24" s="1670">
        <f>D25+D54+D58+D57</f>
        <v>27229000000</v>
      </c>
      <c r="E24" s="1670">
        <f>E25+E54+E58+E57</f>
        <v>37850800000</v>
      </c>
      <c r="F24" s="1670">
        <f t="shared" ref="F24:R24" si="4">F25+F54+F58+F57</f>
        <v>42491000000</v>
      </c>
      <c r="G24" s="1670">
        <f t="shared" si="4"/>
        <v>61322000000</v>
      </c>
      <c r="H24" s="1670">
        <f t="shared" si="4"/>
        <v>80536000000</v>
      </c>
      <c r="I24" s="1670">
        <f t="shared" si="4"/>
        <v>97215000000</v>
      </c>
      <c r="J24" s="1670">
        <f t="shared" si="4"/>
        <v>120010000000</v>
      </c>
      <c r="K24" s="1670">
        <f t="shared" si="4"/>
        <v>153581000000</v>
      </c>
      <c r="L24" s="1670">
        <f t="shared" si="4"/>
        <v>179397000000</v>
      </c>
      <c r="M24" s="1670">
        <f t="shared" si="4"/>
        <v>247520000000</v>
      </c>
      <c r="N24" s="1670">
        <f t="shared" si="4"/>
        <v>257000000000</v>
      </c>
      <c r="O24" s="1670">
        <f t="shared" si="4"/>
        <v>296000000000</v>
      </c>
      <c r="P24" s="1016">
        <f t="shared" si="4"/>
        <v>324000000000</v>
      </c>
      <c r="Q24" s="1016">
        <f t="shared" si="4"/>
        <v>489000000000</v>
      </c>
      <c r="R24" s="1016">
        <f t="shared" si="4"/>
        <v>647000000000</v>
      </c>
      <c r="S24" s="1016">
        <f>S23</f>
        <v>792000000000</v>
      </c>
      <c r="T24" s="1016">
        <f t="shared" ref="T24:AA24" si="5">T23</f>
        <v>1006000000000</v>
      </c>
      <c r="U24" s="1016">
        <f>U25+U54+U57</f>
        <v>1201500000000</v>
      </c>
      <c r="V24" s="1016">
        <f t="shared" si="5"/>
        <v>1414000000000</v>
      </c>
      <c r="W24" s="1016">
        <f t="shared" si="5"/>
        <v>1387000000000</v>
      </c>
      <c r="X24" s="1016">
        <f t="shared" si="5"/>
        <v>1472000000000</v>
      </c>
      <c r="Y24" s="1016">
        <f t="shared" si="5"/>
        <v>1639000000000</v>
      </c>
      <c r="Z24" s="1016">
        <f t="shared" si="5"/>
        <v>1803000000000</v>
      </c>
      <c r="AA24" s="1016">
        <f t="shared" si="5"/>
        <v>1984000000000</v>
      </c>
      <c r="AB24"/>
      <c r="AC24"/>
      <c r="AD24"/>
      <c r="AE24"/>
      <c r="AF24"/>
      <c r="AG24"/>
      <c r="AH24"/>
      <c r="AI24"/>
      <c r="AJ24"/>
      <c r="AK24"/>
      <c r="AL24"/>
      <c r="AM24"/>
      <c r="AN24"/>
      <c r="AO24"/>
      <c r="AP24"/>
      <c r="AQ24"/>
      <c r="AR24"/>
      <c r="AS24"/>
      <c r="AT24"/>
      <c r="AU24"/>
      <c r="AV24"/>
    </row>
    <row r="25" spans="1:48">
      <c r="A25" s="968" t="s">
        <v>73</v>
      </c>
      <c r="B25" s="981" t="s">
        <v>1431</v>
      </c>
      <c r="C25" s="982" t="s">
        <v>75</v>
      </c>
      <c r="D25" s="1662">
        <v>17638000000</v>
      </c>
      <c r="E25" s="1662">
        <f>E26+E27+E30+E44+E51</f>
        <v>25735000000</v>
      </c>
      <c r="F25" s="1662">
        <v>32675000000</v>
      </c>
      <c r="G25" s="1662">
        <v>49473000000</v>
      </c>
      <c r="H25" s="1662">
        <v>59537000000</v>
      </c>
      <c r="I25" s="1662">
        <v>71657000000</v>
      </c>
      <c r="J25" s="1662">
        <v>93746000000</v>
      </c>
      <c r="K25" s="1662">
        <v>99464000000</v>
      </c>
      <c r="L25" s="1662">
        <v>115622000000</v>
      </c>
      <c r="M25" s="1665">
        <v>200780000000</v>
      </c>
      <c r="N25" s="1662">
        <v>196000000000</v>
      </c>
      <c r="O25" s="1662">
        <v>230000000000</v>
      </c>
      <c r="P25" s="1048">
        <v>246000000000</v>
      </c>
      <c r="Q25" s="1048">
        <v>385000000000</v>
      </c>
      <c r="R25" s="1048">
        <v>547000000000</v>
      </c>
      <c r="S25" s="1048">
        <v>640000000000</v>
      </c>
      <c r="T25" s="1666">
        <v>838000000000</v>
      </c>
      <c r="U25" s="1666">
        <f>U26+U27+U30+U44+U51</f>
        <v>924000000000</v>
      </c>
      <c r="V25" s="1666">
        <v>1093000000000</v>
      </c>
      <c r="W25" s="999">
        <v>1077000000000</v>
      </c>
      <c r="X25" s="2430">
        <v>1124000000000</v>
      </c>
      <c r="Y25" s="2429">
        <v>1234000000000</v>
      </c>
      <c r="Z25" s="2429">
        <v>1351000000000</v>
      </c>
      <c r="AA25" s="2429">
        <v>1476000000000</v>
      </c>
    </row>
    <row r="26" spans="1:48">
      <c r="A26" s="988" t="s">
        <v>79</v>
      </c>
      <c r="B26" s="988" t="s">
        <v>1432</v>
      </c>
      <c r="C26" s="982" t="s">
        <v>81</v>
      </c>
      <c r="D26" s="1662">
        <v>4296000000</v>
      </c>
      <c r="E26" s="1662">
        <v>5954000000</v>
      </c>
      <c r="F26" s="1662">
        <v>9201000000</v>
      </c>
      <c r="G26" s="1662">
        <v>10930000000</v>
      </c>
      <c r="H26" s="1662">
        <v>12337000000</v>
      </c>
      <c r="I26" s="1662">
        <v>17056000000</v>
      </c>
      <c r="J26" s="1662">
        <v>20209000000</v>
      </c>
      <c r="K26" s="1662">
        <v>23778000000</v>
      </c>
      <c r="L26" s="1662">
        <v>30018000000</v>
      </c>
      <c r="M26" s="1665"/>
      <c r="N26" s="1662">
        <v>45000000000</v>
      </c>
      <c r="O26" s="1662">
        <v>58000000000</v>
      </c>
      <c r="P26" s="1048">
        <v>70000000000</v>
      </c>
      <c r="Q26" s="1048">
        <v>97000000000</v>
      </c>
      <c r="R26" s="1048">
        <v>140000000000</v>
      </c>
      <c r="S26" s="1048">
        <v>197000000000</v>
      </c>
      <c r="T26" s="1666">
        <v>226000000000</v>
      </c>
      <c r="U26" s="1666">
        <v>265000000000</v>
      </c>
      <c r="V26" s="1666">
        <v>315000000000</v>
      </c>
      <c r="W26" s="999">
        <v>375000000000</v>
      </c>
      <c r="X26" s="2430">
        <v>418000000000</v>
      </c>
      <c r="Y26" s="2429">
        <v>465000000000</v>
      </c>
      <c r="Z26" s="2429">
        <v>515000000000</v>
      </c>
      <c r="AA26" s="2429">
        <v>567000000000</v>
      </c>
    </row>
    <row r="27" spans="1:48">
      <c r="A27" s="988" t="s">
        <v>90</v>
      </c>
      <c r="B27" s="988" t="s">
        <v>1729</v>
      </c>
      <c r="C27" s="982" t="s">
        <v>81</v>
      </c>
      <c r="D27" s="1662">
        <v>3400000000</v>
      </c>
      <c r="E27" s="1662">
        <v>5267000000</v>
      </c>
      <c r="F27" s="1662">
        <v>6820000000</v>
      </c>
      <c r="G27" s="1662">
        <v>10985000000</v>
      </c>
      <c r="H27" s="1662">
        <v>20024000000</v>
      </c>
      <c r="I27" s="1662">
        <v>19612000000</v>
      </c>
      <c r="J27" s="1662">
        <v>18209000000</v>
      </c>
      <c r="K27" s="1662">
        <v>16378000000</v>
      </c>
      <c r="L27" s="1662">
        <v>12331000000</v>
      </c>
      <c r="M27" s="1665"/>
      <c r="N27" s="1662">
        <v>21000000000</v>
      </c>
      <c r="O27" s="1662">
        <v>23000000000</v>
      </c>
      <c r="P27" s="1048">
        <v>24000000000</v>
      </c>
      <c r="Q27" s="1048">
        <v>33000000000</v>
      </c>
      <c r="R27" s="1048">
        <v>98000000000</v>
      </c>
      <c r="S27" s="1048">
        <v>115000000000</v>
      </c>
      <c r="T27" s="1666">
        <v>133000000000</v>
      </c>
      <c r="U27" s="1666">
        <v>185000000000</v>
      </c>
      <c r="V27" s="1666">
        <v>190000000000</v>
      </c>
      <c r="W27" s="999">
        <v>185000000000</v>
      </c>
      <c r="X27" s="2430">
        <v>165000000000</v>
      </c>
      <c r="Y27" s="2429">
        <v>167000000000</v>
      </c>
      <c r="Z27" s="2429">
        <v>167000000000</v>
      </c>
      <c r="AA27" s="2429">
        <v>164000000000</v>
      </c>
    </row>
    <row r="28" spans="1:48">
      <c r="A28" s="1667" t="s">
        <v>209</v>
      </c>
      <c r="B28" s="997" t="s">
        <v>209</v>
      </c>
      <c r="C28" s="981" t="s">
        <v>211</v>
      </c>
      <c r="D28" s="1662">
        <v>2081000000</v>
      </c>
      <c r="E28" s="1662">
        <v>3426000000</v>
      </c>
      <c r="F28" s="1662">
        <v>5242000000</v>
      </c>
      <c r="G28" s="1662">
        <v>8871000000</v>
      </c>
      <c r="H28" s="1662">
        <v>17253000000</v>
      </c>
      <c r="I28" s="1662">
        <v>16650000000</v>
      </c>
      <c r="J28" s="1662">
        <v>15017000000</v>
      </c>
      <c r="K28" s="1662">
        <v>14470000000</v>
      </c>
      <c r="L28" s="1662">
        <v>11625000000</v>
      </c>
      <c r="M28" s="1665"/>
      <c r="N28" s="1662">
        <v>21000000000</v>
      </c>
      <c r="O28" s="1662">
        <v>22000000000</v>
      </c>
      <c r="P28" s="1048">
        <v>22000000000</v>
      </c>
      <c r="Q28" s="1048">
        <v>29000000000</v>
      </c>
      <c r="R28" s="1048">
        <v>94000000000</v>
      </c>
      <c r="S28" s="1048">
        <v>108000000000</v>
      </c>
      <c r="T28" s="1666">
        <v>121000000000</v>
      </c>
      <c r="U28" s="1666">
        <v>173000000000</v>
      </c>
      <c r="V28" s="1666">
        <v>176000000000</v>
      </c>
      <c r="W28" s="999">
        <v>169000000000</v>
      </c>
      <c r="X28" s="2430">
        <v>146000000000</v>
      </c>
      <c r="Y28" s="2429">
        <v>146000000000</v>
      </c>
      <c r="Z28" s="2429">
        <v>143000000000</v>
      </c>
      <c r="AA28" s="2429">
        <v>138000000000</v>
      </c>
    </row>
    <row r="29" spans="1:48">
      <c r="A29" s="1667" t="s">
        <v>280</v>
      </c>
      <c r="B29" s="997" t="s">
        <v>212</v>
      </c>
      <c r="C29" s="981" t="s">
        <v>211</v>
      </c>
      <c r="D29" s="1662">
        <v>1319000000</v>
      </c>
      <c r="E29" s="1662">
        <v>1841000000</v>
      </c>
      <c r="F29" s="1662">
        <v>1578000000</v>
      </c>
      <c r="G29" s="1662">
        <v>2114000000</v>
      </c>
      <c r="H29" s="1662">
        <v>2771000000</v>
      </c>
      <c r="I29" s="1662">
        <v>2962000000</v>
      </c>
      <c r="J29" s="1662">
        <v>3192000000</v>
      </c>
      <c r="K29" s="1662">
        <v>1908000000</v>
      </c>
      <c r="L29" s="1662">
        <v>706000000</v>
      </c>
      <c r="M29" s="1665"/>
      <c r="N29" s="1662">
        <v>1000000000</v>
      </c>
      <c r="O29" s="1662">
        <v>1000000000</v>
      </c>
      <c r="P29" s="978">
        <v>2000000000</v>
      </c>
      <c r="Q29" s="978">
        <v>4000000000</v>
      </c>
      <c r="R29" s="978">
        <v>4000000000</v>
      </c>
      <c r="S29" s="1077">
        <f>S27-S28</f>
        <v>7000000000</v>
      </c>
      <c r="T29" s="1663">
        <f t="shared" ref="T29" si="6">T27-T28</f>
        <v>12000000000</v>
      </c>
      <c r="U29" s="1666">
        <v>12000000000</v>
      </c>
      <c r="V29" s="1666">
        <v>14000000000</v>
      </c>
      <c r="W29" s="999">
        <v>16000000000</v>
      </c>
      <c r="X29" s="2430">
        <v>18000000000</v>
      </c>
      <c r="Y29" s="2429">
        <v>21000000000</v>
      </c>
      <c r="Z29" s="2429">
        <v>23000000000</v>
      </c>
      <c r="AA29" s="2429">
        <v>26000000000</v>
      </c>
    </row>
    <row r="30" spans="1:48">
      <c r="A30" s="988" t="s">
        <v>83</v>
      </c>
      <c r="B30" s="988" t="s">
        <v>1433</v>
      </c>
      <c r="C30" s="982" t="s">
        <v>81</v>
      </c>
      <c r="D30" s="1662">
        <v>7043000000</v>
      </c>
      <c r="E30" s="1662">
        <v>7659000000</v>
      </c>
      <c r="F30" s="1662">
        <v>10731000000</v>
      </c>
      <c r="G30" s="1662">
        <v>20127000000</v>
      </c>
      <c r="H30" s="1662">
        <v>18416000000</v>
      </c>
      <c r="I30" s="1662">
        <v>19968000000</v>
      </c>
      <c r="J30" s="1662">
        <v>32968000000</v>
      </c>
      <c r="K30" s="1662">
        <v>30641000000</v>
      </c>
      <c r="L30" s="1662">
        <v>42042000000</v>
      </c>
      <c r="M30" s="1665">
        <v>86137000000</v>
      </c>
      <c r="N30" s="1662">
        <v>84000000000</v>
      </c>
      <c r="O30" s="1662">
        <v>95000000000</v>
      </c>
      <c r="P30" s="978">
        <v>95000000000</v>
      </c>
      <c r="Q30" s="978">
        <v>144000000000</v>
      </c>
      <c r="R30" s="978">
        <v>176000000000</v>
      </c>
      <c r="S30" s="1048">
        <f>SUM(S31:S43)</f>
        <v>157000000000</v>
      </c>
      <c r="T30" s="1663">
        <f t="shared" ref="T30" si="7">SUM(T31:T43)</f>
        <v>202000000000</v>
      </c>
      <c r="U30" s="1666">
        <f>U31+U32+U33+U34+U35+U36+U37+U38+U39+U40+U41+U42+U43</f>
        <v>252000000000</v>
      </c>
      <c r="V30" s="1666">
        <v>289000000000</v>
      </c>
      <c r="W30" s="999">
        <v>301000000000</v>
      </c>
      <c r="X30" s="2430">
        <v>303000000000</v>
      </c>
      <c r="Y30" s="2429">
        <v>342000000000</v>
      </c>
      <c r="Z30" s="2429">
        <v>386000000000</v>
      </c>
      <c r="AA30" s="2429">
        <v>433000000000</v>
      </c>
    </row>
    <row r="31" spans="1:48">
      <c r="A31" s="997" t="s">
        <v>4087</v>
      </c>
      <c r="B31" s="997" t="s">
        <v>4088</v>
      </c>
      <c r="C31" s="981" t="s">
        <v>1436</v>
      </c>
      <c r="D31" s="1665"/>
      <c r="E31" s="1665"/>
      <c r="F31" s="1665"/>
      <c r="G31" s="1665"/>
      <c r="H31" s="1665"/>
      <c r="I31" s="1665"/>
      <c r="J31" s="1665"/>
      <c r="K31" s="1665"/>
      <c r="L31" s="1665"/>
      <c r="M31" s="1665">
        <v>43877000000</v>
      </c>
      <c r="N31" s="1662">
        <v>44000000000</v>
      </c>
      <c r="O31" s="1662">
        <v>41000000000</v>
      </c>
      <c r="P31" s="1048">
        <v>53000000000</v>
      </c>
      <c r="Q31" s="1048">
        <v>60000000000</v>
      </c>
      <c r="R31" s="1048">
        <v>65000000000</v>
      </c>
      <c r="S31" s="1048">
        <v>78000000000</v>
      </c>
      <c r="T31" s="1666">
        <v>86000000000</v>
      </c>
      <c r="U31" s="1666">
        <v>96000000000</v>
      </c>
      <c r="V31" s="1666">
        <v>130000000000</v>
      </c>
      <c r="W31" s="999">
        <v>130000000000</v>
      </c>
      <c r="X31" s="2430">
        <v>141000000000</v>
      </c>
      <c r="Y31" s="2429">
        <v>157000000000</v>
      </c>
      <c r="Z31" s="2429">
        <v>174000000000</v>
      </c>
      <c r="AA31" s="2429">
        <v>193000000000</v>
      </c>
    </row>
    <row r="32" spans="1:48">
      <c r="A32" s="997" t="s">
        <v>4089</v>
      </c>
      <c r="B32" s="997" t="s">
        <v>4089</v>
      </c>
      <c r="C32" s="981" t="s">
        <v>1436</v>
      </c>
      <c r="D32" s="1665"/>
      <c r="E32" s="1665"/>
      <c r="F32" s="1665"/>
      <c r="G32" s="1665"/>
      <c r="H32" s="1665"/>
      <c r="I32" s="1665"/>
      <c r="J32" s="1665"/>
      <c r="K32" s="1665"/>
      <c r="L32" s="1665"/>
      <c r="M32" s="1665"/>
      <c r="N32" s="1662">
        <v>0</v>
      </c>
      <c r="O32" s="1662">
        <v>0</v>
      </c>
      <c r="P32" s="978">
        <v>0</v>
      </c>
      <c r="Q32" s="978"/>
      <c r="R32" s="978"/>
      <c r="S32" s="1050">
        <v>0</v>
      </c>
      <c r="T32" s="1668">
        <v>0</v>
      </c>
      <c r="U32" s="999">
        <v>0</v>
      </c>
      <c r="V32" s="999">
        <v>3000000000</v>
      </c>
      <c r="W32" s="999">
        <v>5000000000</v>
      </c>
      <c r="X32" s="2430">
        <v>6000000000</v>
      </c>
      <c r="Y32" s="2429">
        <v>7000000000</v>
      </c>
      <c r="Z32" s="2429">
        <v>7000000000</v>
      </c>
      <c r="AA32" s="2429">
        <v>7000000000</v>
      </c>
    </row>
    <row r="33" spans="1:27">
      <c r="A33" s="997" t="s">
        <v>4090</v>
      </c>
      <c r="B33" s="997" t="s">
        <v>4091</v>
      </c>
      <c r="C33" s="981" t="s">
        <v>1436</v>
      </c>
      <c r="D33" s="1665"/>
      <c r="E33" s="1665"/>
      <c r="F33" s="1665"/>
      <c r="G33" s="1665"/>
      <c r="H33" s="1665"/>
      <c r="I33" s="1665"/>
      <c r="J33" s="1665"/>
      <c r="K33" s="1665"/>
      <c r="L33" s="1665"/>
      <c r="M33" s="1665">
        <v>6257000000</v>
      </c>
      <c r="N33" s="1662">
        <v>8000000000</v>
      </c>
      <c r="O33" s="1662">
        <v>8000000000</v>
      </c>
      <c r="P33" s="1048">
        <v>7000000000</v>
      </c>
      <c r="Q33" s="1048">
        <v>7000000000</v>
      </c>
      <c r="R33" s="1048">
        <v>8000000000</v>
      </c>
      <c r="S33" s="1048">
        <v>9000000000</v>
      </c>
      <c r="T33" s="1666">
        <v>23000000000</v>
      </c>
      <c r="U33" s="1666">
        <v>26000000000</v>
      </c>
      <c r="V33" s="1666">
        <v>20000000000</v>
      </c>
      <c r="W33" s="999">
        <v>22000000000</v>
      </c>
      <c r="X33" s="2430">
        <v>25000000000</v>
      </c>
      <c r="Y33" s="2429">
        <v>29000000000</v>
      </c>
      <c r="Z33" s="2429">
        <v>31000000000</v>
      </c>
      <c r="AA33" s="2429">
        <v>36000000000</v>
      </c>
    </row>
    <row r="34" spans="1:27">
      <c r="A34" s="997" t="s">
        <v>4092</v>
      </c>
      <c r="B34" s="997" t="s">
        <v>4093</v>
      </c>
      <c r="C34" s="981" t="s">
        <v>1436</v>
      </c>
      <c r="D34" s="1665"/>
      <c r="E34" s="1665"/>
      <c r="F34" s="1665"/>
      <c r="G34" s="1665"/>
      <c r="H34" s="1665"/>
      <c r="I34" s="1665"/>
      <c r="J34" s="1665"/>
      <c r="K34" s="1665"/>
      <c r="L34" s="1665"/>
      <c r="M34" s="1665"/>
      <c r="N34" s="1662">
        <v>0</v>
      </c>
      <c r="O34" s="1662">
        <v>0</v>
      </c>
      <c r="P34" s="1048">
        <v>0</v>
      </c>
      <c r="Q34" s="1048">
        <v>0</v>
      </c>
      <c r="R34" s="1048">
        <v>9000000000</v>
      </c>
      <c r="S34" s="1048">
        <v>0</v>
      </c>
      <c r="T34" s="1666">
        <v>6000000000</v>
      </c>
      <c r="U34" s="1666">
        <v>4000000000</v>
      </c>
      <c r="V34" s="1666">
        <v>7000000000</v>
      </c>
      <c r="W34" s="999">
        <v>6000000000</v>
      </c>
      <c r="X34" s="2430">
        <v>8000000000</v>
      </c>
      <c r="Y34" s="2429">
        <v>10000000000</v>
      </c>
      <c r="Z34" s="2429">
        <v>12000000000</v>
      </c>
      <c r="AA34" s="2429">
        <v>13000000000</v>
      </c>
    </row>
    <row r="35" spans="1:27">
      <c r="A35" s="997" t="s">
        <v>4094</v>
      </c>
      <c r="B35" s="997" t="s">
        <v>4095</v>
      </c>
      <c r="C35" s="981" t="s">
        <v>1436</v>
      </c>
      <c r="D35" s="1665"/>
      <c r="E35" s="1665"/>
      <c r="F35" s="1665"/>
      <c r="G35" s="1662">
        <v>0</v>
      </c>
      <c r="H35" s="1662">
        <v>0</v>
      </c>
      <c r="I35" s="1662">
        <v>984000000</v>
      </c>
      <c r="J35" s="1662">
        <v>5077000000</v>
      </c>
      <c r="K35" s="1665"/>
      <c r="L35" s="1665"/>
      <c r="M35" s="1665">
        <v>12547000000</v>
      </c>
      <c r="N35" s="1662">
        <v>20000000000</v>
      </c>
      <c r="O35" s="1662">
        <v>19000000000</v>
      </c>
      <c r="P35" s="1048">
        <v>16000000000</v>
      </c>
      <c r="Q35" s="1048">
        <v>32000000000</v>
      </c>
      <c r="R35" s="1048">
        <v>20000000000</v>
      </c>
      <c r="S35" s="1048">
        <v>23000000000</v>
      </c>
      <c r="T35" s="1666">
        <v>31000000000</v>
      </c>
      <c r="U35" s="1666">
        <v>37000000000</v>
      </c>
      <c r="V35" s="1666">
        <v>36000000000</v>
      </c>
      <c r="W35" s="999">
        <v>43000000000</v>
      </c>
      <c r="X35" s="2430">
        <v>52000000000</v>
      </c>
      <c r="Y35" s="2429">
        <v>63000000000</v>
      </c>
      <c r="Z35" s="2429">
        <v>73000000000</v>
      </c>
      <c r="AA35" s="2429">
        <v>86000000000</v>
      </c>
    </row>
    <row r="36" spans="1:27">
      <c r="A36" s="997" t="s">
        <v>4096</v>
      </c>
      <c r="B36" s="997" t="s">
        <v>4097</v>
      </c>
      <c r="C36" s="981" t="s">
        <v>1436</v>
      </c>
      <c r="D36" s="1665"/>
      <c r="E36" s="1665"/>
      <c r="F36" s="1665"/>
      <c r="G36" s="1665"/>
      <c r="H36" s="1665"/>
      <c r="I36" s="1665"/>
      <c r="J36" s="1665"/>
      <c r="K36" s="1665"/>
      <c r="L36" s="1665"/>
      <c r="M36" s="1665"/>
      <c r="N36" s="1662">
        <v>0</v>
      </c>
      <c r="O36" s="1662">
        <v>10000000000</v>
      </c>
      <c r="P36" s="1048">
        <v>9000000000</v>
      </c>
      <c r="Q36" s="1048">
        <v>22000000000</v>
      </c>
      <c r="R36" s="1048">
        <v>19000000000</v>
      </c>
      <c r="S36" s="1048">
        <v>23000000000</v>
      </c>
      <c r="T36" s="1666">
        <v>21000000000</v>
      </c>
      <c r="U36" s="1666">
        <v>24000000000</v>
      </c>
      <c r="V36" s="1666">
        <v>25000000000</v>
      </c>
      <c r="W36" s="999">
        <v>29000000000</v>
      </c>
      <c r="X36" s="2430">
        <v>35000000000</v>
      </c>
      <c r="Y36" s="2429">
        <v>42000000000</v>
      </c>
      <c r="Z36" s="2429">
        <v>49000000000</v>
      </c>
      <c r="AA36" s="2429">
        <v>54000000000</v>
      </c>
    </row>
    <row r="37" spans="1:27">
      <c r="A37" s="997" t="s">
        <v>4098</v>
      </c>
      <c r="B37" s="997" t="s">
        <v>4099</v>
      </c>
      <c r="C37" s="981" t="s">
        <v>1436</v>
      </c>
      <c r="D37" s="1665"/>
      <c r="E37" s="1665"/>
      <c r="F37" s="1665"/>
      <c r="G37" s="1665"/>
      <c r="H37" s="1665"/>
      <c r="I37" s="1662">
        <v>63000000</v>
      </c>
      <c r="J37" s="1662">
        <v>60000000</v>
      </c>
      <c r="K37" s="1665"/>
      <c r="L37" s="1665"/>
      <c r="M37" s="1665">
        <v>7684000000</v>
      </c>
      <c r="N37" s="1665">
        <v>0</v>
      </c>
      <c r="O37" s="1662">
        <v>0</v>
      </c>
      <c r="P37" s="1048">
        <v>0</v>
      </c>
      <c r="Q37" s="1048">
        <v>1000000000</v>
      </c>
      <c r="R37" s="1048">
        <v>11000000000</v>
      </c>
      <c r="S37" s="1048">
        <v>1000000000</v>
      </c>
      <c r="T37" s="1666">
        <v>1000000000</v>
      </c>
      <c r="U37" s="1666">
        <v>1000000000</v>
      </c>
      <c r="V37" s="1666">
        <v>10000000000</v>
      </c>
      <c r="W37" s="999">
        <v>34000000000</v>
      </c>
      <c r="X37" s="2430">
        <v>4000000000</v>
      </c>
      <c r="Y37" s="2429">
        <v>0</v>
      </c>
      <c r="Z37" s="2429">
        <v>0</v>
      </c>
      <c r="AA37" s="2429">
        <v>0</v>
      </c>
    </row>
    <row r="38" spans="1:27">
      <c r="A38" s="972" t="s">
        <v>4100</v>
      </c>
      <c r="B38" s="997" t="s">
        <v>4101</v>
      </c>
      <c r="C38" s="981" t="s">
        <v>1436</v>
      </c>
      <c r="D38" s="1665"/>
      <c r="E38" s="1665"/>
      <c r="F38" s="1665"/>
      <c r="G38" s="1665"/>
      <c r="H38" s="1665"/>
      <c r="I38" s="1665"/>
      <c r="J38" s="1665"/>
      <c r="K38" s="1665"/>
      <c r="L38" s="1665"/>
      <c r="M38" s="1665"/>
      <c r="N38" s="1665">
        <v>0</v>
      </c>
      <c r="O38" s="1662">
        <v>0</v>
      </c>
      <c r="P38" s="1048">
        <v>0</v>
      </c>
      <c r="Q38" s="1048">
        <v>0</v>
      </c>
      <c r="R38" s="1048">
        <v>3000000000</v>
      </c>
      <c r="S38" s="1048">
        <v>1000000000</v>
      </c>
      <c r="T38" s="1666">
        <v>0</v>
      </c>
      <c r="U38" s="1666">
        <v>0</v>
      </c>
      <c r="V38" s="1666">
        <v>5000000000</v>
      </c>
      <c r="W38" s="999">
        <v>1000000000</v>
      </c>
      <c r="X38" s="2430">
        <v>1000000000</v>
      </c>
      <c r="Y38" s="2429">
        <v>1000000000</v>
      </c>
      <c r="Z38" s="2429">
        <v>1000000000</v>
      </c>
      <c r="AA38" s="2429">
        <v>2000000000</v>
      </c>
    </row>
    <row r="39" spans="1:27">
      <c r="A39" s="997" t="s">
        <v>4102</v>
      </c>
      <c r="B39" s="997" t="s">
        <v>4103</v>
      </c>
      <c r="C39" s="981" t="s">
        <v>1436</v>
      </c>
      <c r="D39" s="1665"/>
      <c r="E39" s="1665"/>
      <c r="F39" s="1665"/>
      <c r="G39" s="1665"/>
      <c r="H39" s="1665"/>
      <c r="I39" s="1662"/>
      <c r="J39" s="1662"/>
      <c r="K39" s="1665"/>
      <c r="L39" s="1665"/>
      <c r="M39" s="1662">
        <v>2503000000</v>
      </c>
      <c r="N39" s="1662">
        <v>2000000000</v>
      </c>
      <c r="O39" s="1662">
        <v>3000000000</v>
      </c>
      <c r="P39" s="1048">
        <v>4000000000</v>
      </c>
      <c r="Q39" s="1048">
        <v>6000000000</v>
      </c>
      <c r="R39" s="1048">
        <v>7000000000</v>
      </c>
      <c r="S39" s="1048">
        <v>8000000000</v>
      </c>
      <c r="T39" s="1666">
        <v>5000000000</v>
      </c>
      <c r="U39" s="1666">
        <v>5000000000</v>
      </c>
      <c r="V39" s="1666">
        <v>2000000000</v>
      </c>
      <c r="W39" s="999">
        <v>3000000000</v>
      </c>
      <c r="X39" s="2430">
        <v>3000000000</v>
      </c>
      <c r="Y39" s="2429">
        <v>3000000000</v>
      </c>
      <c r="Z39" s="2429">
        <v>4000000000</v>
      </c>
      <c r="AA39" s="2429">
        <v>4000000000</v>
      </c>
    </row>
    <row r="40" spans="1:27">
      <c r="A40" s="997" t="s">
        <v>4104</v>
      </c>
      <c r="B40" s="997" t="s">
        <v>4105</v>
      </c>
      <c r="C40" s="981" t="s">
        <v>1436</v>
      </c>
      <c r="D40" s="1665"/>
      <c r="E40" s="1665"/>
      <c r="F40" s="1665"/>
      <c r="G40" s="1665"/>
      <c r="H40" s="1665"/>
      <c r="I40" s="1665"/>
      <c r="J40" s="1665"/>
      <c r="K40" s="1665"/>
      <c r="L40" s="1665"/>
      <c r="M40" s="1662">
        <v>9558000000</v>
      </c>
      <c r="N40" s="1662">
        <v>8000000000</v>
      </c>
      <c r="O40" s="1662">
        <v>12000000000</v>
      </c>
      <c r="P40" s="1048">
        <v>5000000000</v>
      </c>
      <c r="Q40" s="1048">
        <v>5000000000</v>
      </c>
      <c r="R40" s="1048">
        <v>9000000000</v>
      </c>
      <c r="S40" s="1048">
        <v>3000000000</v>
      </c>
      <c r="T40" s="1666">
        <v>1000000000</v>
      </c>
      <c r="U40" s="1666">
        <v>8000000000</v>
      </c>
      <c r="V40" s="1666">
        <v>8000000000</v>
      </c>
      <c r="W40" s="999">
        <v>2000000000</v>
      </c>
      <c r="X40" s="2430">
        <v>2000000000</v>
      </c>
      <c r="Y40" s="2429">
        <v>2000000000</v>
      </c>
      <c r="Z40" s="2429">
        <v>2000000000</v>
      </c>
      <c r="AA40" s="2429">
        <v>2000000000</v>
      </c>
    </row>
    <row r="41" spans="1:27">
      <c r="A41" s="997" t="s">
        <v>4106</v>
      </c>
      <c r="B41" s="997" t="s">
        <v>4107</v>
      </c>
      <c r="C41" s="981" t="s">
        <v>1436</v>
      </c>
      <c r="D41" s="1662"/>
      <c r="E41" s="1662"/>
      <c r="F41" s="1662"/>
      <c r="G41" s="1662">
        <v>6078000000</v>
      </c>
      <c r="H41" s="1662">
        <v>0</v>
      </c>
      <c r="I41" s="1662">
        <v>2447000000</v>
      </c>
      <c r="J41" s="1662">
        <v>9123000000</v>
      </c>
      <c r="K41" s="1665"/>
      <c r="L41" s="1665"/>
      <c r="M41" s="1662">
        <v>2031000000</v>
      </c>
      <c r="N41" s="1662">
        <v>2000000000</v>
      </c>
      <c r="O41" s="1662">
        <v>2000000000</v>
      </c>
      <c r="P41" s="1048">
        <v>1000000000</v>
      </c>
      <c r="Q41" s="1048">
        <v>3000000000</v>
      </c>
      <c r="R41" s="1048">
        <v>14000000000</v>
      </c>
      <c r="S41" s="1048">
        <v>5000000000</v>
      </c>
      <c r="T41" s="1666">
        <v>26000000000</v>
      </c>
      <c r="U41" s="1666">
        <v>31000000000</v>
      </c>
      <c r="V41" s="1666">
        <v>25000000000</v>
      </c>
      <c r="W41" s="999">
        <v>10000000000</v>
      </c>
      <c r="X41" s="2430">
        <v>10000000000</v>
      </c>
      <c r="Y41" s="2429">
        <v>10000000000</v>
      </c>
      <c r="Z41" s="2429">
        <v>11000000000</v>
      </c>
      <c r="AA41" s="2429">
        <v>13000000000</v>
      </c>
    </row>
    <row r="42" spans="1:27">
      <c r="A42" s="997" t="s">
        <v>4108</v>
      </c>
      <c r="B42" s="997" t="s">
        <v>4109</v>
      </c>
      <c r="C42" s="981" t="s">
        <v>1436</v>
      </c>
      <c r="D42" s="1662"/>
      <c r="E42" s="1662"/>
      <c r="F42" s="1662"/>
      <c r="G42" s="1665"/>
      <c r="H42" s="1665"/>
      <c r="I42" s="1665"/>
      <c r="J42" s="1665"/>
      <c r="K42" s="1665"/>
      <c r="L42" s="1665"/>
      <c r="M42" s="1665"/>
      <c r="N42" s="1662">
        <v>0</v>
      </c>
      <c r="O42" s="1662">
        <v>0</v>
      </c>
      <c r="P42" s="1048">
        <v>0</v>
      </c>
      <c r="Q42" s="1048">
        <v>8000000000</v>
      </c>
      <c r="R42" s="1048">
        <v>10000000000</v>
      </c>
      <c r="S42" s="1048">
        <v>6000000000</v>
      </c>
      <c r="T42" s="1666">
        <v>2000000000</v>
      </c>
      <c r="U42" s="1666">
        <v>20000000000</v>
      </c>
      <c r="V42" s="1666">
        <v>18000000000</v>
      </c>
      <c r="W42" s="999">
        <v>15000000000</v>
      </c>
      <c r="X42" s="2430">
        <v>16000000000</v>
      </c>
      <c r="Y42" s="2429">
        <v>18000000000</v>
      </c>
      <c r="Z42" s="2429">
        <v>21000000000</v>
      </c>
      <c r="AA42" s="2429">
        <v>23000000000</v>
      </c>
    </row>
    <row r="43" spans="1:27">
      <c r="A43" s="997" t="s">
        <v>4110</v>
      </c>
      <c r="B43" s="997" t="s">
        <v>4111</v>
      </c>
      <c r="C43" s="981" t="s">
        <v>1436</v>
      </c>
      <c r="D43" s="1662"/>
      <c r="E43" s="1662"/>
      <c r="F43" s="1662"/>
      <c r="G43" s="1675">
        <f>G30-G31-G32-G33-G34-G35-G36-G37-G38-G39-G40-G41-G42</f>
        <v>14049000000</v>
      </c>
      <c r="H43" s="1675">
        <f>H30-H31-H32-H33-H34-H35-H36-H37-H38-H39-H40-H41-H42</f>
        <v>18416000000</v>
      </c>
      <c r="I43" s="1675">
        <v>16474000000</v>
      </c>
      <c r="J43" s="1675">
        <v>18708000000</v>
      </c>
      <c r="K43" s="1665"/>
      <c r="L43" s="1665"/>
      <c r="M43" s="1665">
        <f>M30-M31-M32-M33-M34-M35-M36-M37-M38-M39-M40-M41-M42</f>
        <v>1680000000</v>
      </c>
      <c r="N43" s="1662"/>
      <c r="O43" s="1662"/>
      <c r="P43" s="1656">
        <f>P14/P6</f>
        <v>0.32183908045977011</v>
      </c>
      <c r="Q43" s="1050"/>
      <c r="R43" s="1050"/>
      <c r="S43" s="1050"/>
      <c r="T43" s="999"/>
      <c r="U43" s="999"/>
      <c r="V43" s="999"/>
      <c r="W43" s="999"/>
      <c r="X43" s="2430"/>
      <c r="Y43" s="2429"/>
      <c r="Z43" s="2429"/>
      <c r="AA43" s="2429"/>
    </row>
    <row r="44" spans="1:27">
      <c r="A44" s="980" t="s">
        <v>85</v>
      </c>
      <c r="B44" s="988" t="s">
        <v>4112</v>
      </c>
      <c r="C44" s="982" t="s">
        <v>81</v>
      </c>
      <c r="D44" s="1662">
        <v>2624000000</v>
      </c>
      <c r="E44" s="1662">
        <v>6239000000</v>
      </c>
      <c r="F44" s="1662">
        <v>5543000000</v>
      </c>
      <c r="G44" s="1662">
        <v>7431000000</v>
      </c>
      <c r="H44" s="1662">
        <v>7410000000</v>
      </c>
      <c r="I44" s="1662">
        <v>13555000000</v>
      </c>
      <c r="J44" s="1662">
        <v>19183000000</v>
      </c>
      <c r="K44" s="1676">
        <v>23249000000</v>
      </c>
      <c r="L44" s="1662">
        <v>30144000000</v>
      </c>
      <c r="M44" s="1675">
        <f>M45+M46+M47+M48+M50</f>
        <v>55132000000</v>
      </c>
      <c r="N44" s="1662">
        <v>45000000000</v>
      </c>
      <c r="O44" s="1662">
        <v>54000000000</v>
      </c>
      <c r="P44" s="1048">
        <v>57000000000</v>
      </c>
      <c r="Q44" s="1048">
        <v>98000000000</v>
      </c>
      <c r="R44" s="1048">
        <v>125000000000</v>
      </c>
      <c r="S44" s="1048">
        <v>139000000000</v>
      </c>
      <c r="T44" s="1666">
        <v>172000000000</v>
      </c>
      <c r="U44" s="1666">
        <v>160000000000</v>
      </c>
      <c r="V44" s="1666">
        <v>237000000000</v>
      </c>
      <c r="W44" s="999">
        <v>212000000000</v>
      </c>
      <c r="X44" s="2430">
        <v>235000000000</v>
      </c>
      <c r="Y44" s="2429">
        <v>255000000000</v>
      </c>
      <c r="Z44" s="2429">
        <v>278000000000</v>
      </c>
      <c r="AA44" s="2429">
        <v>305000000000</v>
      </c>
    </row>
    <row r="45" spans="1:27">
      <c r="A45" s="997" t="s">
        <v>4113</v>
      </c>
      <c r="B45" s="997" t="s">
        <v>4114</v>
      </c>
      <c r="C45" s="981" t="s">
        <v>4115</v>
      </c>
      <c r="D45" s="1662">
        <v>1206000000</v>
      </c>
      <c r="E45" s="1662">
        <v>1273000000</v>
      </c>
      <c r="F45" s="1662">
        <v>1376000000</v>
      </c>
      <c r="G45" s="1662">
        <v>1431000000</v>
      </c>
      <c r="H45" s="1662">
        <v>1613000000</v>
      </c>
      <c r="I45" s="1662">
        <v>2106000000</v>
      </c>
      <c r="J45" s="1662">
        <v>3209000000</v>
      </c>
      <c r="K45" s="1665">
        <v>4763000000</v>
      </c>
      <c r="L45" s="1665"/>
      <c r="M45" s="1665">
        <v>5106000000</v>
      </c>
      <c r="N45" s="1662">
        <v>6000000000</v>
      </c>
      <c r="O45" s="1662">
        <v>12000000000</v>
      </c>
      <c r="P45" s="1048">
        <v>10000000000</v>
      </c>
      <c r="Q45" s="1048">
        <v>16000000000</v>
      </c>
      <c r="R45" s="1048">
        <v>20000000000</v>
      </c>
      <c r="S45" s="1048">
        <v>31000000000</v>
      </c>
      <c r="T45" s="1666">
        <v>42000000000</v>
      </c>
      <c r="U45" s="1666">
        <v>52000000000</v>
      </c>
      <c r="V45" s="1666">
        <v>69000000000</v>
      </c>
      <c r="W45" s="999">
        <v>82000000000</v>
      </c>
      <c r="X45" s="2430">
        <v>92000000000</v>
      </c>
      <c r="Y45" s="2429">
        <v>102000000000</v>
      </c>
      <c r="Z45" s="2429">
        <v>113000000000</v>
      </c>
      <c r="AA45" s="2429">
        <v>125000000000</v>
      </c>
    </row>
    <row r="46" spans="1:27">
      <c r="A46" s="997" t="s">
        <v>4116</v>
      </c>
      <c r="B46" s="997" t="s">
        <v>4117</v>
      </c>
      <c r="C46" s="981" t="s">
        <v>4115</v>
      </c>
      <c r="D46" s="1662">
        <v>400000000</v>
      </c>
      <c r="E46" s="1662">
        <v>552000000</v>
      </c>
      <c r="F46" s="1662">
        <v>1113000000</v>
      </c>
      <c r="G46" s="1665"/>
      <c r="H46" s="1665"/>
      <c r="I46" s="1665"/>
      <c r="J46" s="1665"/>
      <c r="K46" s="1665"/>
      <c r="L46" s="1665"/>
      <c r="M46" s="1665"/>
      <c r="N46" s="1662">
        <v>4000000000</v>
      </c>
      <c r="O46" s="1662">
        <v>5000000000</v>
      </c>
      <c r="P46" s="1048">
        <v>5000000000</v>
      </c>
      <c r="Q46" s="1048">
        <v>8000000000</v>
      </c>
      <c r="R46" s="1048">
        <v>13000000000</v>
      </c>
      <c r="S46" s="1048">
        <v>14000000000</v>
      </c>
      <c r="T46" s="1666">
        <v>16000000000</v>
      </c>
      <c r="U46" s="1666">
        <v>23000000000</v>
      </c>
      <c r="V46" s="1666">
        <v>25000000000</v>
      </c>
      <c r="W46" s="999">
        <v>28000000000</v>
      </c>
      <c r="X46" s="2430">
        <v>31000000000</v>
      </c>
      <c r="Y46" s="2429">
        <v>35000000000</v>
      </c>
      <c r="Z46" s="2429">
        <v>39000000000</v>
      </c>
      <c r="AA46" s="2429">
        <v>44000000000</v>
      </c>
    </row>
    <row r="47" spans="1:27">
      <c r="A47" s="997" t="s">
        <v>4118</v>
      </c>
      <c r="B47" s="997" t="s">
        <v>4119</v>
      </c>
      <c r="C47" s="981" t="s">
        <v>4115</v>
      </c>
      <c r="D47" s="1665"/>
      <c r="E47" s="1665"/>
      <c r="F47" s="1665"/>
      <c r="G47" s="1665"/>
      <c r="H47" s="1665"/>
      <c r="I47" s="1665"/>
      <c r="J47" s="1665"/>
      <c r="K47" s="1665"/>
      <c r="L47" s="1665"/>
      <c r="M47" s="1665">
        <v>12203000000</v>
      </c>
      <c r="N47" s="1662">
        <v>13000000000</v>
      </c>
      <c r="O47" s="1662">
        <v>15000000000</v>
      </c>
      <c r="P47" s="1048">
        <v>17000000000</v>
      </c>
      <c r="Q47" s="1048">
        <v>22000000000</v>
      </c>
      <c r="R47" s="1048">
        <v>32000000000</v>
      </c>
      <c r="S47" s="1048">
        <v>39000000000</v>
      </c>
      <c r="T47" s="1666">
        <v>49000000000</v>
      </c>
      <c r="U47" s="1666">
        <v>56000000000</v>
      </c>
      <c r="V47" s="1666">
        <v>110000000000</v>
      </c>
      <c r="W47" s="999">
        <v>69000000000</v>
      </c>
      <c r="X47" s="2430">
        <v>78000000000</v>
      </c>
      <c r="Y47" s="2429">
        <v>87000000000</v>
      </c>
      <c r="Z47" s="2429">
        <v>97000000000</v>
      </c>
      <c r="AA47" s="2429">
        <v>108000000000</v>
      </c>
    </row>
    <row r="48" spans="1:27">
      <c r="A48" s="997" t="s">
        <v>4120</v>
      </c>
      <c r="B48" s="997" t="s">
        <v>4121</v>
      </c>
      <c r="C48" s="981" t="s">
        <v>4115</v>
      </c>
      <c r="D48" s="1665"/>
      <c r="E48" s="1665"/>
      <c r="F48" s="1665"/>
      <c r="G48" s="1662">
        <v>0</v>
      </c>
      <c r="H48" s="1662">
        <v>0</v>
      </c>
      <c r="I48" s="1662">
        <v>4328000000</v>
      </c>
      <c r="J48" s="1662">
        <v>6937000000</v>
      </c>
      <c r="K48" s="1662">
        <v>8824000000</v>
      </c>
      <c r="L48" s="1662">
        <v>14681000000</v>
      </c>
      <c r="M48" s="1665">
        <v>37823000000</v>
      </c>
      <c r="N48" s="1662">
        <v>22000000000</v>
      </c>
      <c r="O48" s="1662">
        <v>22000000000</v>
      </c>
      <c r="P48" s="1048">
        <v>24000000000</v>
      </c>
      <c r="Q48" s="1048">
        <v>52000000000</v>
      </c>
      <c r="R48" s="1048">
        <v>60000000000</v>
      </c>
      <c r="S48" s="1048">
        <v>55000000000</v>
      </c>
      <c r="T48" s="1666">
        <v>64000000000</v>
      </c>
      <c r="U48" s="1666">
        <v>29000000000</v>
      </c>
      <c r="V48" s="1666">
        <v>33000000000</v>
      </c>
      <c r="W48" s="999">
        <v>33000000000</v>
      </c>
      <c r="X48" s="2430">
        <v>34000000000</v>
      </c>
      <c r="Y48" s="2429">
        <v>31000000000</v>
      </c>
      <c r="Z48" s="2429">
        <v>29000000000</v>
      </c>
      <c r="AA48" s="2429">
        <v>28000000000</v>
      </c>
    </row>
    <row r="49" spans="1:48">
      <c r="A49" s="997"/>
      <c r="B49" s="997" t="s">
        <v>4122</v>
      </c>
      <c r="C49" s="981"/>
      <c r="D49" s="1665"/>
      <c r="E49" s="1665"/>
      <c r="F49" s="1665"/>
      <c r="G49" s="1662"/>
      <c r="H49" s="1662"/>
      <c r="I49" s="1662"/>
      <c r="J49" s="1662"/>
      <c r="K49" s="1662"/>
      <c r="L49" s="1662"/>
      <c r="M49" s="1665"/>
      <c r="N49" s="1662"/>
      <c r="O49" s="1662"/>
      <c r="P49" s="1048"/>
      <c r="Q49" s="1048"/>
      <c r="R49" s="1048"/>
      <c r="S49" s="1048">
        <v>4000000000</v>
      </c>
      <c r="T49" s="1666">
        <v>9000000000</v>
      </c>
      <c r="U49" s="1666">
        <v>1000000000</v>
      </c>
      <c r="V49" s="1666">
        <v>5000000000</v>
      </c>
      <c r="W49" s="999">
        <v>5000000000</v>
      </c>
      <c r="X49" s="2430">
        <v>6000000000</v>
      </c>
      <c r="Y49" s="2429">
        <v>6000000000</v>
      </c>
      <c r="Z49" s="2429">
        <v>7000000000</v>
      </c>
      <c r="AA49" s="2429">
        <v>9000000000</v>
      </c>
    </row>
    <row r="50" spans="1:48">
      <c r="A50" s="997" t="s">
        <v>4123</v>
      </c>
      <c r="B50" s="997" t="s">
        <v>4124</v>
      </c>
      <c r="C50" s="981" t="s">
        <v>4115</v>
      </c>
      <c r="D50" s="1665">
        <v>1018000000</v>
      </c>
      <c r="E50" s="1665">
        <v>4414000000</v>
      </c>
      <c r="F50" s="1665">
        <v>3054000000</v>
      </c>
      <c r="G50" s="1665">
        <v>6000000000</v>
      </c>
      <c r="H50" s="1665">
        <v>5797000000</v>
      </c>
      <c r="I50" s="1665">
        <v>7121000000</v>
      </c>
      <c r="J50" s="1665">
        <v>9036000000</v>
      </c>
      <c r="K50" s="1665">
        <v>9662000000</v>
      </c>
      <c r="L50" s="1675">
        <f>L44-L45-L46-L47-L48</f>
        <v>15463000000</v>
      </c>
      <c r="M50" s="1665"/>
      <c r="N50" s="1665"/>
      <c r="O50" s="1665"/>
      <c r="P50" s="1658">
        <f>(P44-P45-P46-P47-P48)</f>
        <v>1000000000</v>
      </c>
      <c r="Q50" s="1658">
        <f t="shared" ref="Q50:R50" si="8">(Q44-Q45-Q46-Q47-Q48)</f>
        <v>0</v>
      </c>
      <c r="R50" s="1658">
        <f t="shared" si="8"/>
        <v>0</v>
      </c>
      <c r="S50" s="987"/>
      <c r="T50" s="987"/>
      <c r="U50" s="987"/>
      <c r="V50" s="987"/>
      <c r="W50" s="987"/>
      <c r="X50" s="2430"/>
      <c r="Y50" s="2429"/>
      <c r="Z50" s="2429"/>
      <c r="AA50" s="2429"/>
    </row>
    <row r="51" spans="1:48">
      <c r="A51" s="988" t="s">
        <v>1309</v>
      </c>
      <c r="B51" s="988" t="s">
        <v>4125</v>
      </c>
      <c r="C51" s="982" t="s">
        <v>81</v>
      </c>
      <c r="D51" s="1662">
        <v>276000000</v>
      </c>
      <c r="E51" s="1662">
        <v>616000000</v>
      </c>
      <c r="F51" s="1662">
        <v>380000000</v>
      </c>
      <c r="G51" s="1662">
        <v>0</v>
      </c>
      <c r="H51" s="1662">
        <v>1349000000</v>
      </c>
      <c r="I51" s="1662">
        <v>1467000000</v>
      </c>
      <c r="J51" s="1662">
        <v>3177000000</v>
      </c>
      <c r="K51" s="1662">
        <v>5657000000</v>
      </c>
      <c r="L51" s="1662">
        <v>1086000000</v>
      </c>
      <c r="M51" s="1665">
        <v>407000000</v>
      </c>
      <c r="N51" s="1662">
        <v>0</v>
      </c>
      <c r="O51" s="1662">
        <v>0</v>
      </c>
      <c r="P51" s="1048">
        <v>0</v>
      </c>
      <c r="Q51" s="1048">
        <v>12000000000</v>
      </c>
      <c r="R51" s="1048">
        <v>8000000000</v>
      </c>
      <c r="S51" s="1048">
        <v>31000000000</v>
      </c>
      <c r="T51" s="1666">
        <v>105000000000</v>
      </c>
      <c r="U51" s="1666">
        <v>62000000000</v>
      </c>
      <c r="V51" s="1666">
        <v>62000000000</v>
      </c>
      <c r="W51" s="999">
        <v>4000000000</v>
      </c>
      <c r="X51" s="2430">
        <v>4000000000</v>
      </c>
      <c r="Y51" s="2429">
        <v>5000000000</v>
      </c>
      <c r="Z51" s="2429">
        <v>6000000000</v>
      </c>
      <c r="AA51" s="2429">
        <v>7000000000</v>
      </c>
    </row>
    <row r="52" spans="1:48">
      <c r="A52" s="1062" t="s">
        <v>847</v>
      </c>
      <c r="B52" s="1062" t="s">
        <v>4126</v>
      </c>
      <c r="C52" s="1236" t="s">
        <v>81</v>
      </c>
      <c r="D52" s="1662"/>
      <c r="E52" s="1662"/>
      <c r="F52" s="1662"/>
      <c r="G52" s="1662"/>
      <c r="H52" s="1662"/>
      <c r="I52" s="1662"/>
      <c r="J52" s="1662"/>
      <c r="K52" s="1662">
        <f>K25-K26-K30-K44-K51-K27</f>
        <v>-239000000</v>
      </c>
      <c r="L52" s="1662"/>
      <c r="M52" s="1662">
        <f>M25-M26-M30-M44-M51-M27</f>
        <v>59104000000</v>
      </c>
      <c r="N52" s="1662"/>
      <c r="O52" s="1662"/>
      <c r="P52" s="978"/>
      <c r="Q52" s="978"/>
      <c r="R52" s="978"/>
      <c r="S52" s="1662">
        <f t="shared" ref="S52:T52" si="9">S25-S26-S30-S44-S51-S27</f>
        <v>1000000000</v>
      </c>
      <c r="T52" s="1662">
        <f t="shared" si="9"/>
        <v>0</v>
      </c>
      <c r="U52" s="978"/>
      <c r="V52" s="978"/>
      <c r="W52" s="978"/>
      <c r="X52" s="978"/>
      <c r="Y52" s="2429"/>
      <c r="Z52" s="2429"/>
      <c r="AA52" s="2429"/>
    </row>
    <row r="53" spans="1:48">
      <c r="A53" s="988"/>
      <c r="B53" s="981" t="s">
        <v>4127</v>
      </c>
      <c r="C53" s="982"/>
      <c r="D53" s="1662"/>
      <c r="E53" s="1662"/>
      <c r="F53" s="1662"/>
      <c r="G53" s="1662"/>
      <c r="H53" s="1662"/>
      <c r="I53" s="1662"/>
      <c r="J53" s="1662"/>
      <c r="K53" s="1662"/>
      <c r="L53" s="1662"/>
      <c r="M53" s="1662"/>
      <c r="N53" s="1662"/>
      <c r="O53" s="1662"/>
      <c r="P53" s="978"/>
      <c r="Q53" s="978"/>
      <c r="R53" s="978"/>
      <c r="S53" s="1048">
        <v>22000000000</v>
      </c>
      <c r="T53" s="1663">
        <v>105000000000</v>
      </c>
      <c r="U53" s="999"/>
      <c r="V53" s="999"/>
      <c r="W53" s="999"/>
      <c r="X53" s="2430"/>
      <c r="Y53" s="2429"/>
      <c r="Z53" s="2429"/>
      <c r="AA53" s="2429"/>
    </row>
    <row r="54" spans="1:48">
      <c r="A54" s="981" t="s">
        <v>92</v>
      </c>
      <c r="B54" s="981" t="s">
        <v>4128</v>
      </c>
      <c r="C54" s="982" t="s">
        <v>75</v>
      </c>
      <c r="D54" s="1662">
        <v>9583000000</v>
      </c>
      <c r="E54" s="1662">
        <v>11530000000</v>
      </c>
      <c r="F54" s="1662">
        <v>9816000000</v>
      </c>
      <c r="G54" s="1662">
        <v>11787000000</v>
      </c>
      <c r="H54" s="1662">
        <v>20999000000</v>
      </c>
      <c r="I54" s="1662">
        <v>24969000000</v>
      </c>
      <c r="J54" s="1662">
        <v>26263000000</v>
      </c>
      <c r="K54" s="1662">
        <v>53665000000</v>
      </c>
      <c r="L54" s="1662">
        <v>63775000000</v>
      </c>
      <c r="M54" s="1665">
        <v>46740000000</v>
      </c>
      <c r="N54" s="1662">
        <v>60000000000</v>
      </c>
      <c r="O54" s="1662">
        <v>65000000000</v>
      </c>
      <c r="P54" s="1048">
        <v>78000000000</v>
      </c>
      <c r="Q54" s="1048">
        <v>104000000000</v>
      </c>
      <c r="R54" s="1048">
        <v>100000000000</v>
      </c>
      <c r="S54" s="1048">
        <v>152000000000</v>
      </c>
      <c r="T54" s="1666">
        <v>167000000000</v>
      </c>
      <c r="U54" s="1666">
        <v>274000000000</v>
      </c>
      <c r="V54" s="1666">
        <v>317000000000</v>
      </c>
      <c r="W54" s="999">
        <v>306000000000</v>
      </c>
      <c r="X54" s="2430">
        <v>344000000000</v>
      </c>
      <c r="Y54" s="2429">
        <v>402000000000</v>
      </c>
      <c r="Z54" s="2429">
        <v>451000000000</v>
      </c>
      <c r="AA54" s="2429">
        <v>506000000000</v>
      </c>
    </row>
    <row r="55" spans="1:48">
      <c r="A55" s="980" t="s">
        <v>395</v>
      </c>
      <c r="B55" s="988" t="s">
        <v>2952</v>
      </c>
      <c r="C55" s="982" t="s">
        <v>95</v>
      </c>
      <c r="D55" s="1662">
        <v>7651000000</v>
      </c>
      <c r="E55" s="1662">
        <v>9789000000</v>
      </c>
      <c r="F55" s="1662">
        <v>7761000000</v>
      </c>
      <c r="G55" s="1662">
        <v>9521000000</v>
      </c>
      <c r="H55" s="1662">
        <v>17681000000</v>
      </c>
      <c r="I55" s="1662">
        <v>22556000000</v>
      </c>
      <c r="J55" s="1662">
        <v>22342000000</v>
      </c>
      <c r="K55" s="1662">
        <v>42218000000</v>
      </c>
      <c r="L55" s="1662">
        <v>45135000000</v>
      </c>
      <c r="M55" s="1665">
        <v>32167000000</v>
      </c>
      <c r="N55" s="1662">
        <v>34000000000</v>
      </c>
      <c r="O55" s="1662">
        <v>32000000000</v>
      </c>
      <c r="P55" s="1048">
        <v>35000000000</v>
      </c>
      <c r="Q55" s="1048">
        <v>72000000000</v>
      </c>
      <c r="R55" s="1048">
        <v>81000000000</v>
      </c>
      <c r="S55" s="1048">
        <v>124000000000</v>
      </c>
      <c r="T55" s="1666">
        <v>146000000000</v>
      </c>
      <c r="U55" s="1666">
        <v>246000000000</v>
      </c>
      <c r="V55" s="1666">
        <v>228000000000</v>
      </c>
      <c r="W55" s="999">
        <v>216000000000</v>
      </c>
      <c r="X55" s="2430">
        <v>225000000000</v>
      </c>
      <c r="Y55" s="2429">
        <v>266000000000</v>
      </c>
      <c r="Z55" s="2429">
        <v>299000000000</v>
      </c>
      <c r="AA55" s="2429">
        <v>331000000000</v>
      </c>
    </row>
    <row r="56" spans="1:48">
      <c r="A56" s="988" t="s">
        <v>239</v>
      </c>
      <c r="B56" s="988" t="s">
        <v>2897</v>
      </c>
      <c r="C56" s="982" t="s">
        <v>95</v>
      </c>
      <c r="D56" s="1662">
        <v>1932000000</v>
      </c>
      <c r="E56" s="1662">
        <v>1741000000</v>
      </c>
      <c r="F56" s="1662">
        <v>2055000000</v>
      </c>
      <c r="G56" s="1662">
        <v>2266000000</v>
      </c>
      <c r="H56" s="1662">
        <v>3319000000</v>
      </c>
      <c r="I56" s="1662">
        <v>2413000000</v>
      </c>
      <c r="J56" s="1662">
        <v>3921000000</v>
      </c>
      <c r="K56" s="1662">
        <v>11447000000</v>
      </c>
      <c r="L56" s="1662">
        <v>18641000000</v>
      </c>
      <c r="M56" s="1665">
        <v>14573000000</v>
      </c>
      <c r="N56" s="1662">
        <v>26000000000</v>
      </c>
      <c r="O56" s="1662">
        <v>33000000000</v>
      </c>
      <c r="P56" s="978">
        <v>42000000000</v>
      </c>
      <c r="Q56" s="978">
        <v>32000000000</v>
      </c>
      <c r="R56" s="978">
        <v>20000000000</v>
      </c>
      <c r="S56" s="1048">
        <v>28000000000</v>
      </c>
      <c r="T56" s="1663">
        <v>21000000000</v>
      </c>
      <c r="U56" s="1666">
        <v>28000000000</v>
      </c>
      <c r="V56" s="1666">
        <v>89000000000</v>
      </c>
      <c r="W56" s="999">
        <v>90000000000</v>
      </c>
      <c r="X56" s="2430">
        <v>119000000000</v>
      </c>
      <c r="Y56" s="2429">
        <v>136000000000</v>
      </c>
      <c r="Z56" s="2429">
        <v>152000000000</v>
      </c>
      <c r="AA56" s="2429">
        <v>176000000000</v>
      </c>
    </row>
    <row r="57" spans="1:48">
      <c r="A57" s="981" t="s">
        <v>612</v>
      </c>
      <c r="B57" s="981" t="s">
        <v>3115</v>
      </c>
      <c r="C57" s="982" t="s">
        <v>75</v>
      </c>
      <c r="D57" s="1662">
        <v>8000000</v>
      </c>
      <c r="E57" s="1662">
        <v>584000000</v>
      </c>
      <c r="F57" s="1662">
        <v>0</v>
      </c>
      <c r="G57" s="1662">
        <v>61000000</v>
      </c>
      <c r="H57" s="1662">
        <v>0</v>
      </c>
      <c r="I57" s="1662">
        <v>589000000</v>
      </c>
      <c r="J57" s="1662">
        <v>0</v>
      </c>
      <c r="K57" s="1662">
        <v>452000000</v>
      </c>
      <c r="L57" s="1662">
        <v>0</v>
      </c>
      <c r="M57" s="1665"/>
      <c r="N57" s="1662">
        <v>1000000000</v>
      </c>
      <c r="O57" s="1662">
        <v>1000000000</v>
      </c>
      <c r="P57" s="978">
        <v>0</v>
      </c>
      <c r="Q57" s="978">
        <v>0</v>
      </c>
      <c r="R57" s="978">
        <v>0</v>
      </c>
      <c r="S57" s="1048">
        <v>1000000000</v>
      </c>
      <c r="T57" s="1663">
        <v>1000000000</v>
      </c>
      <c r="U57" s="999">
        <v>3500000000</v>
      </c>
      <c r="V57" s="999">
        <v>4000000000</v>
      </c>
      <c r="W57" s="999">
        <v>4000000000</v>
      </c>
      <c r="X57" s="2430">
        <v>3000000000</v>
      </c>
      <c r="Y57" s="2429">
        <v>3000000000</v>
      </c>
      <c r="Z57" s="2429">
        <v>2000000000</v>
      </c>
      <c r="AA57" s="2429">
        <v>1000000000</v>
      </c>
    </row>
    <row r="58" spans="1:48">
      <c r="A58" s="1235" t="s">
        <v>579</v>
      </c>
      <c r="B58" s="1235" t="s">
        <v>579</v>
      </c>
      <c r="C58" s="1236" t="s">
        <v>75</v>
      </c>
      <c r="D58" s="1662">
        <f>D23-D25-D54-D57</f>
        <v>0</v>
      </c>
      <c r="E58" s="1662">
        <f>E23-E25-E54-E57</f>
        <v>1800000</v>
      </c>
      <c r="F58" s="1662"/>
      <c r="G58" s="1662">
        <f>G23-G25-G54-G57</f>
        <v>1000000</v>
      </c>
      <c r="H58" s="1662">
        <f>H23-H25-H54-H57</f>
        <v>0</v>
      </c>
      <c r="I58" s="1662">
        <f>I23-I25-I54-I57</f>
        <v>0</v>
      </c>
      <c r="J58" s="1662">
        <f>J23-J25-J54-J57</f>
        <v>1000000</v>
      </c>
      <c r="K58" s="1662"/>
      <c r="L58" s="1662">
        <f>L23-L25-L54-L57</f>
        <v>0</v>
      </c>
      <c r="M58" s="1662"/>
      <c r="N58" s="1662">
        <f>N23-N25-N54-N57</f>
        <v>0</v>
      </c>
      <c r="O58" s="1662">
        <f>O23-O25-O54-O57</f>
        <v>0</v>
      </c>
      <c r="P58" s="978">
        <v>0</v>
      </c>
      <c r="Q58" s="978"/>
      <c r="R58" s="978"/>
      <c r="S58" s="1050"/>
      <c r="T58" s="1663"/>
      <c r="U58" s="999"/>
      <c r="V58" s="999"/>
      <c r="W58" s="999"/>
      <c r="X58" s="2430"/>
      <c r="Y58" s="2429"/>
      <c r="Z58" s="2429"/>
      <c r="AA58" s="2429"/>
    </row>
    <row r="59" spans="1:48">
      <c r="A59" s="972" t="s">
        <v>76</v>
      </c>
      <c r="B59" s="981" t="s">
        <v>4129</v>
      </c>
      <c r="C59" s="981"/>
      <c r="D59" s="1662">
        <v>-5125000000</v>
      </c>
      <c r="E59" s="1662">
        <v>-6618000000</v>
      </c>
      <c r="F59" s="1662">
        <v>-10493000000</v>
      </c>
      <c r="G59" s="1662">
        <v>-18637000000</v>
      </c>
      <c r="H59" s="1662">
        <v>-14719000000</v>
      </c>
      <c r="I59" s="1662">
        <v>-12289000000</v>
      </c>
      <c r="J59" s="1662">
        <v>-3024000000</v>
      </c>
      <c r="K59" s="1662">
        <v>-5948000000</v>
      </c>
      <c r="L59" s="1662">
        <v>-14843000000</v>
      </c>
      <c r="M59" s="1665">
        <v>-37250000000</v>
      </c>
      <c r="N59" s="1662">
        <v>0</v>
      </c>
      <c r="O59" s="1662">
        <v>-24000000000</v>
      </c>
      <c r="P59" s="1048">
        <v>-66000000000</v>
      </c>
      <c r="Q59" s="1048">
        <v>-16000000000</v>
      </c>
      <c r="R59" s="1048">
        <v>-136000000000</v>
      </c>
      <c r="S59" s="1048">
        <v>-183000000000</v>
      </c>
      <c r="T59" s="1666">
        <v>-240000000000</v>
      </c>
      <c r="U59" s="1666">
        <v>-212000000000</v>
      </c>
      <c r="V59" s="1666">
        <v>-349000000000</v>
      </c>
      <c r="W59" s="999">
        <v>-181000000000</v>
      </c>
      <c r="X59" s="2430">
        <v>-153000000000</v>
      </c>
      <c r="Y59" s="2429">
        <v>-154000000000</v>
      </c>
      <c r="Z59" s="2429">
        <v>-150000000000</v>
      </c>
      <c r="AA59" s="2429">
        <v>-146000000000</v>
      </c>
    </row>
    <row r="60" spans="1:48">
      <c r="A60" s="972" t="s">
        <v>76</v>
      </c>
      <c r="B60" s="981" t="s">
        <v>1560</v>
      </c>
      <c r="C60" s="981"/>
      <c r="D60" s="1662">
        <v>-1133000000</v>
      </c>
      <c r="E60" s="1662">
        <v>-327000000</v>
      </c>
      <c r="F60" s="1662">
        <v>1346000000</v>
      </c>
      <c r="G60" s="1662">
        <v>538000000</v>
      </c>
      <c r="H60" s="1662">
        <v>-218000000</v>
      </c>
      <c r="I60" s="1662">
        <v>-631000000</v>
      </c>
      <c r="J60" s="1662">
        <v>-368000000</v>
      </c>
      <c r="K60" s="1662">
        <v>276000000</v>
      </c>
      <c r="L60" s="1662">
        <v>0</v>
      </c>
      <c r="M60" s="1665">
        <v>-614000000</v>
      </c>
      <c r="N60" s="1662">
        <v>0</v>
      </c>
      <c r="O60" s="1662">
        <v>-1000000000</v>
      </c>
      <c r="P60" s="1048">
        <v>-15000000000</v>
      </c>
      <c r="Q60" s="1048">
        <v>-14000000000</v>
      </c>
      <c r="R60" s="1048">
        <v>-2000000000</v>
      </c>
      <c r="S60" s="1048">
        <v>-1000000000</v>
      </c>
      <c r="T60" s="1666">
        <v>10000000000</v>
      </c>
      <c r="U60" s="1666">
        <v>0</v>
      </c>
      <c r="V60" s="1666">
        <v>14000000000</v>
      </c>
      <c r="W60" s="999">
        <v>0</v>
      </c>
      <c r="X60" s="2430">
        <v>0</v>
      </c>
      <c r="Y60" s="2429">
        <v>0</v>
      </c>
      <c r="Z60" s="2429">
        <v>0</v>
      </c>
      <c r="AA60" s="2429">
        <v>0</v>
      </c>
    </row>
    <row r="61" spans="1:48">
      <c r="A61" s="972" t="s">
        <v>76</v>
      </c>
      <c r="B61" s="981" t="s">
        <v>4130</v>
      </c>
      <c r="C61" s="981"/>
      <c r="D61" s="1665"/>
      <c r="E61" s="1665"/>
      <c r="F61" s="1665"/>
      <c r="G61" s="1665"/>
      <c r="H61" s="1665"/>
      <c r="I61" s="1665"/>
      <c r="J61" s="1665"/>
      <c r="K61" s="1662"/>
      <c r="L61" s="1662"/>
      <c r="M61" s="1665"/>
      <c r="N61" s="1662">
        <v>0</v>
      </c>
      <c r="O61" s="1662">
        <v>-25000000000</v>
      </c>
      <c r="P61" s="1048">
        <v>-81000000000</v>
      </c>
      <c r="Q61" s="1048">
        <v>-30000000000</v>
      </c>
      <c r="R61" s="1048">
        <v>-138000000000</v>
      </c>
      <c r="S61" s="1048">
        <v>-184000000000</v>
      </c>
      <c r="T61" s="1666">
        <v>-230000000000</v>
      </c>
      <c r="U61" s="1666">
        <v>-212000000000</v>
      </c>
      <c r="V61" s="1666">
        <v>-335000000000</v>
      </c>
      <c r="W61" s="999">
        <v>-181000000000</v>
      </c>
      <c r="X61" s="2430">
        <v>-153000000000</v>
      </c>
      <c r="Y61" s="2429">
        <v>-154000000000</v>
      </c>
      <c r="Z61" s="2429">
        <v>-150000000000</v>
      </c>
      <c r="AA61" s="2429">
        <v>-146000000000</v>
      </c>
    </row>
    <row r="62" spans="1:48" s="848" customFormat="1">
      <c r="A62" s="1012" t="s">
        <v>115</v>
      </c>
      <c r="B62" s="1012" t="s">
        <v>4131</v>
      </c>
      <c r="C62" s="1012" t="s">
        <v>35</v>
      </c>
      <c r="D62" s="1673">
        <f>D63+D79</f>
        <v>6258000000</v>
      </c>
      <c r="E62" s="1673">
        <f>E63+E79</f>
        <v>7059000000</v>
      </c>
      <c r="F62" s="1673">
        <f>F63+F79</f>
        <v>9309000000</v>
      </c>
      <c r="G62" s="1673">
        <f>G63+G79</f>
        <v>17792000000</v>
      </c>
      <c r="H62" s="1673">
        <f>H63+H79</f>
        <v>15000000000</v>
      </c>
      <c r="I62" s="1673">
        <f>I63</f>
        <v>12920000000</v>
      </c>
      <c r="J62" s="1673">
        <f t="shared" ref="J62:O62" si="10">J63</f>
        <v>6233000000</v>
      </c>
      <c r="K62" s="1673">
        <f t="shared" si="10"/>
        <v>5672000000</v>
      </c>
      <c r="L62" s="1673">
        <f t="shared" si="10"/>
        <v>14777000000</v>
      </c>
      <c r="M62" s="1673">
        <f t="shared" si="10"/>
        <v>36199000000</v>
      </c>
      <c r="N62" s="1673">
        <f t="shared" si="10"/>
        <v>0</v>
      </c>
      <c r="O62" s="1673">
        <f t="shared" si="10"/>
        <v>25000000000</v>
      </c>
      <c r="P62" s="1022">
        <f>(P63)</f>
        <v>81000000000</v>
      </c>
      <c r="Q62" s="1022">
        <v>30000000000</v>
      </c>
      <c r="R62" s="1022">
        <v>138000000000</v>
      </c>
      <c r="S62" s="1054">
        <v>184000000000</v>
      </c>
      <c r="T62" s="1674">
        <v>230000000000</v>
      </c>
      <c r="U62" s="1674">
        <f>U64+U75+U76+U77</f>
        <v>210000000000</v>
      </c>
      <c r="V62" s="1674">
        <v>335000000000</v>
      </c>
      <c r="W62" s="1674">
        <v>181000000000</v>
      </c>
      <c r="X62" s="1674">
        <v>154000000000</v>
      </c>
      <c r="Y62" s="1674">
        <v>154000000000</v>
      </c>
      <c r="Z62" s="1674">
        <v>150000000000</v>
      </c>
      <c r="AA62" s="1674">
        <v>146000000000</v>
      </c>
      <c r="AB62"/>
      <c r="AC62"/>
      <c r="AD62"/>
      <c r="AE62"/>
      <c r="AF62"/>
      <c r="AG62"/>
      <c r="AH62"/>
      <c r="AI62"/>
      <c r="AJ62"/>
      <c r="AK62"/>
      <c r="AL62"/>
      <c r="AM62"/>
      <c r="AN62"/>
      <c r="AO62"/>
      <c r="AP62"/>
      <c r="AQ62"/>
      <c r="AR62"/>
      <c r="AS62"/>
      <c r="AT62"/>
      <c r="AU62"/>
      <c r="AV62"/>
    </row>
    <row r="63" spans="1:48">
      <c r="A63" s="981"/>
      <c r="B63" s="981" t="s">
        <v>4131</v>
      </c>
      <c r="D63" s="1662">
        <v>6258000000</v>
      </c>
      <c r="E63" s="1662">
        <v>6945000000</v>
      </c>
      <c r="F63" s="1662">
        <v>9148000000</v>
      </c>
      <c r="G63" s="1662">
        <v>18099000000</v>
      </c>
      <c r="H63" s="1662">
        <v>14938000000</v>
      </c>
      <c r="I63" s="1662">
        <v>12920000000</v>
      </c>
      <c r="J63" s="1662">
        <v>6233000000</v>
      </c>
      <c r="K63" s="1662">
        <v>5672000000</v>
      </c>
      <c r="L63" s="1662">
        <v>14777000000</v>
      </c>
      <c r="M63" s="1665">
        <f>M64+M77+M79</f>
        <v>36199000000</v>
      </c>
      <c r="N63" s="1662">
        <v>0</v>
      </c>
      <c r="O63" s="1662">
        <v>25000000000</v>
      </c>
      <c r="P63" s="1048">
        <v>81000000000</v>
      </c>
      <c r="Q63" s="1048"/>
      <c r="R63" s="1048"/>
      <c r="S63" s="1050"/>
      <c r="T63" s="1666"/>
      <c r="U63" s="1666"/>
      <c r="V63" s="1666"/>
      <c r="W63" s="999"/>
      <c r="X63" s="2430"/>
      <c r="Y63" s="2429"/>
      <c r="Z63" s="2429"/>
      <c r="AA63" s="2429"/>
    </row>
    <row r="64" spans="1:48">
      <c r="A64" s="972" t="s">
        <v>117</v>
      </c>
      <c r="B64" s="981" t="s">
        <v>2974</v>
      </c>
      <c r="C64" s="982" t="s">
        <v>119</v>
      </c>
      <c r="D64" s="1662">
        <v>4373000000</v>
      </c>
      <c r="E64" s="1662">
        <v>5544000000</v>
      </c>
      <c r="F64" s="1662">
        <v>-268000000</v>
      </c>
      <c r="G64" s="1662">
        <v>-730000000</v>
      </c>
      <c r="H64" s="1662">
        <v>425000000</v>
      </c>
      <c r="I64" s="1662">
        <v>6102000000</v>
      </c>
      <c r="J64" s="1662">
        <v>982000000</v>
      </c>
      <c r="K64" s="1662">
        <v>3761000000</v>
      </c>
      <c r="L64" s="1662">
        <v>7822000000</v>
      </c>
      <c r="M64" s="1675">
        <f>M65+M71+M72+M73+M74</f>
        <v>12125000000</v>
      </c>
      <c r="N64" s="1662">
        <v>7000000000</v>
      </c>
      <c r="O64" s="1662">
        <v>11000000000</v>
      </c>
      <c r="P64" s="1048">
        <v>16000000000</v>
      </c>
      <c r="Q64" s="1048">
        <v>33000000000</v>
      </c>
      <c r="R64" s="1048">
        <v>45000000000</v>
      </c>
      <c r="S64" s="1048">
        <v>70000000000</v>
      </c>
      <c r="T64" s="1666">
        <v>66000000000</v>
      </c>
      <c r="U64" s="1666">
        <f>U65+U71</f>
        <v>103000000000</v>
      </c>
      <c r="V64" s="1666">
        <v>155000000000</v>
      </c>
      <c r="W64" s="999">
        <v>71000000000</v>
      </c>
      <c r="X64" s="2430">
        <v>114000000000</v>
      </c>
      <c r="Y64" s="2429">
        <v>129000000000</v>
      </c>
      <c r="Z64" s="2429">
        <v>144000000000</v>
      </c>
      <c r="AA64" s="2429">
        <v>157000000000</v>
      </c>
    </row>
    <row r="65" spans="1:27">
      <c r="A65" s="988" t="s">
        <v>444</v>
      </c>
      <c r="B65" s="988" t="s">
        <v>2546</v>
      </c>
      <c r="C65" s="981" t="s">
        <v>264</v>
      </c>
      <c r="D65" s="1662">
        <v>6473000000</v>
      </c>
      <c r="E65" s="1662">
        <v>10456000000</v>
      </c>
      <c r="F65" s="1662">
        <v>4282000000</v>
      </c>
      <c r="G65" s="1662">
        <v>4917000000</v>
      </c>
      <c r="H65" s="1662">
        <v>7185000000</v>
      </c>
      <c r="I65" s="1662">
        <v>11588000000</v>
      </c>
      <c r="J65" s="1662">
        <v>11142000000</v>
      </c>
      <c r="K65" s="1662">
        <v>11073000000</v>
      </c>
      <c r="L65" s="1662">
        <v>8686000000</v>
      </c>
      <c r="M65" s="1675">
        <f>M67+M68+M69</f>
        <v>13338000000</v>
      </c>
      <c r="N65" s="1662">
        <v>8000000000</v>
      </c>
      <c r="O65" s="1662">
        <v>13000000000</v>
      </c>
      <c r="P65" s="1048">
        <v>18000000000</v>
      </c>
      <c r="Q65" s="1048">
        <v>38000000000</v>
      </c>
      <c r="R65" s="1048">
        <v>54000000000</v>
      </c>
      <c r="S65" s="1048">
        <v>82000000000</v>
      </c>
      <c r="T65" s="1666">
        <v>84000000000</v>
      </c>
      <c r="U65" s="1666">
        <f>U67+U70</f>
        <v>128000000000</v>
      </c>
      <c r="V65" s="1666">
        <v>183000000000</v>
      </c>
      <c r="W65" s="999">
        <v>107000000000</v>
      </c>
      <c r="X65" s="2430">
        <v>155000000000</v>
      </c>
      <c r="Y65" s="2429">
        <v>177000000000</v>
      </c>
      <c r="Z65" s="2429">
        <v>198000000000</v>
      </c>
      <c r="AA65" s="2429">
        <v>218000000000</v>
      </c>
    </row>
    <row r="66" spans="1:27">
      <c r="A66" s="980" t="s">
        <v>262</v>
      </c>
      <c r="B66" s="988" t="s">
        <v>2882</v>
      </c>
      <c r="C66" s="982" t="s">
        <v>499</v>
      </c>
      <c r="D66" s="1665"/>
      <c r="E66" s="1665"/>
      <c r="F66" s="1665"/>
      <c r="G66" s="1665"/>
      <c r="H66" s="1665"/>
      <c r="I66" s="1665"/>
      <c r="J66" s="1665"/>
      <c r="K66" s="1665"/>
      <c r="L66" s="1665"/>
      <c r="M66" s="1665"/>
      <c r="N66" s="1665">
        <v>0</v>
      </c>
      <c r="O66" s="1662">
        <v>0</v>
      </c>
      <c r="P66" s="1048">
        <v>1000000000</v>
      </c>
      <c r="Q66" s="1048">
        <v>0</v>
      </c>
      <c r="R66" s="1048">
        <v>14000000000</v>
      </c>
      <c r="S66" s="1048">
        <v>0</v>
      </c>
      <c r="T66" s="1666">
        <v>0</v>
      </c>
      <c r="U66" s="1666">
        <v>0</v>
      </c>
      <c r="V66" s="1666">
        <v>63000000000</v>
      </c>
      <c r="W66" s="999">
        <v>0</v>
      </c>
      <c r="X66" s="2430">
        <v>0</v>
      </c>
      <c r="Y66" s="2429">
        <v>0</v>
      </c>
      <c r="Z66" s="2429">
        <v>0</v>
      </c>
      <c r="AA66" s="2429">
        <v>0</v>
      </c>
    </row>
    <row r="67" spans="1:27">
      <c r="A67" s="980" t="s">
        <v>1253</v>
      </c>
      <c r="B67" s="988" t="s">
        <v>1219</v>
      </c>
      <c r="C67" s="982" t="s">
        <v>499</v>
      </c>
      <c r="D67" s="1662">
        <v>5080000000</v>
      </c>
      <c r="E67" s="1662">
        <v>5936000000</v>
      </c>
      <c r="F67" s="1662">
        <v>4282000000</v>
      </c>
      <c r="G67" s="1662">
        <v>4917000000</v>
      </c>
      <c r="H67" s="1662">
        <v>5799000000</v>
      </c>
      <c r="I67" s="1662">
        <v>6406000000</v>
      </c>
      <c r="J67" s="1662">
        <v>7770000000</v>
      </c>
      <c r="K67" s="1662">
        <v>11073000000</v>
      </c>
      <c r="L67" s="1662">
        <v>8686000000</v>
      </c>
      <c r="M67" s="1665">
        <v>7252000000</v>
      </c>
      <c r="N67" s="1662">
        <v>8000000000</v>
      </c>
      <c r="O67" s="1662">
        <v>13000000000</v>
      </c>
      <c r="P67" s="1048">
        <v>17000000000</v>
      </c>
      <c r="Q67" s="1048">
        <v>38000000000</v>
      </c>
      <c r="R67" s="1048">
        <v>40000000000</v>
      </c>
      <c r="S67" s="1048">
        <v>61000000000</v>
      </c>
      <c r="T67" s="1666">
        <v>66000000000</v>
      </c>
      <c r="U67" s="1666">
        <v>106000000000</v>
      </c>
      <c r="V67" s="1666">
        <v>100000000000</v>
      </c>
      <c r="W67" s="999">
        <v>107000000000</v>
      </c>
      <c r="X67" s="2430">
        <v>127000000000</v>
      </c>
      <c r="Y67" s="2429">
        <v>147000000000</v>
      </c>
      <c r="Z67" s="2429">
        <v>167000000000</v>
      </c>
      <c r="AA67" s="2429">
        <v>185000000000</v>
      </c>
    </row>
    <row r="68" spans="1:27">
      <c r="A68" s="988" t="s">
        <v>4132</v>
      </c>
      <c r="B68" s="988" t="s">
        <v>4133</v>
      </c>
      <c r="C68" s="982" t="s">
        <v>499</v>
      </c>
      <c r="D68" s="1665"/>
      <c r="E68" s="1665"/>
      <c r="F68" s="1665"/>
      <c r="G68" s="1665"/>
      <c r="H68" s="1665"/>
      <c r="I68" s="1665"/>
      <c r="J68" s="1665"/>
      <c r="K68" s="1665"/>
      <c r="L68" s="1665"/>
      <c r="M68" s="1665">
        <v>0</v>
      </c>
      <c r="N68" s="1662">
        <v>0</v>
      </c>
      <c r="O68" s="1662">
        <v>0</v>
      </c>
      <c r="P68" s="978">
        <v>0</v>
      </c>
      <c r="Q68" s="978">
        <v>0</v>
      </c>
      <c r="R68" s="978">
        <v>0</v>
      </c>
      <c r="S68" s="1050"/>
      <c r="T68" s="1663"/>
      <c r="U68" s="999"/>
      <c r="V68" s="999"/>
      <c r="W68" s="999"/>
      <c r="X68" s="2430"/>
      <c r="Y68" s="2429"/>
      <c r="Z68" s="2429"/>
      <c r="AA68" s="2429"/>
    </row>
    <row r="69" spans="1:27">
      <c r="A69" s="988" t="s">
        <v>4134</v>
      </c>
      <c r="B69" s="988" t="s">
        <v>4135</v>
      </c>
      <c r="C69" s="982" t="s">
        <v>499</v>
      </c>
      <c r="D69" s="1665">
        <v>1393000000</v>
      </c>
      <c r="E69" s="1665">
        <v>4520000000</v>
      </c>
      <c r="F69" s="1665">
        <v>0</v>
      </c>
      <c r="G69" s="1665">
        <v>0</v>
      </c>
      <c r="H69" s="1665">
        <v>1386000000</v>
      </c>
      <c r="I69" s="1665">
        <v>5182000000</v>
      </c>
      <c r="J69" s="1665">
        <v>3372000000</v>
      </c>
      <c r="K69" s="1665">
        <v>0</v>
      </c>
      <c r="L69" s="1665">
        <v>0</v>
      </c>
      <c r="M69" s="1665">
        <v>6086000000</v>
      </c>
      <c r="N69" s="1665">
        <v>0</v>
      </c>
      <c r="O69" s="1665">
        <v>0</v>
      </c>
      <c r="P69" s="1048">
        <v>0</v>
      </c>
      <c r="Q69" s="1048">
        <v>0</v>
      </c>
      <c r="R69" s="1048">
        <v>0</v>
      </c>
      <c r="S69" s="1050"/>
      <c r="T69" s="1666"/>
      <c r="U69" s="1666"/>
      <c r="V69" s="1666"/>
      <c r="W69" s="999"/>
      <c r="X69" s="2430"/>
      <c r="Y69" s="2429"/>
      <c r="Z69" s="2429"/>
      <c r="AA69" s="2429"/>
    </row>
    <row r="70" spans="1:27">
      <c r="A70" s="988" t="s">
        <v>1030</v>
      </c>
      <c r="B70" s="988" t="s">
        <v>4136</v>
      </c>
      <c r="C70" s="982" t="s">
        <v>499</v>
      </c>
      <c r="D70" s="1665"/>
      <c r="E70" s="1665"/>
      <c r="F70" s="1665"/>
      <c r="G70" s="1665"/>
      <c r="H70" s="1665"/>
      <c r="I70" s="1665"/>
      <c r="J70" s="1665"/>
      <c r="K70" s="1665"/>
      <c r="L70" s="1665"/>
      <c r="M70" s="1665"/>
      <c r="N70" s="1665"/>
      <c r="O70" s="1665"/>
      <c r="P70" s="1048"/>
      <c r="Q70" s="1048"/>
      <c r="R70" s="1048"/>
      <c r="S70" s="1048">
        <v>20000000000</v>
      </c>
      <c r="T70" s="1666">
        <v>18000000000</v>
      </c>
      <c r="U70" s="1666">
        <v>22000000000</v>
      </c>
      <c r="V70" s="1666">
        <v>20000000000</v>
      </c>
      <c r="W70" s="999">
        <v>0</v>
      </c>
      <c r="X70" s="2430">
        <v>28000000000</v>
      </c>
      <c r="Y70" s="2429">
        <v>30000000000</v>
      </c>
      <c r="Z70" s="2429">
        <v>31000000000</v>
      </c>
      <c r="AA70" s="2429">
        <v>33000000000</v>
      </c>
    </row>
    <row r="71" spans="1:27">
      <c r="A71" s="988" t="s">
        <v>258</v>
      </c>
      <c r="B71" s="988" t="s">
        <v>258</v>
      </c>
      <c r="C71" s="981" t="s">
        <v>264</v>
      </c>
      <c r="D71" s="1662">
        <v>-2137000000</v>
      </c>
      <c r="E71" s="1662">
        <v>-5129000000</v>
      </c>
      <c r="F71" s="1662">
        <v>-3510000000</v>
      </c>
      <c r="G71" s="1662">
        <v>-5448000000</v>
      </c>
      <c r="H71" s="1662">
        <v>-7577000000</v>
      </c>
      <c r="I71" s="1662">
        <v>-8210000000</v>
      </c>
      <c r="J71" s="1662">
        <v>-10161000000</v>
      </c>
      <c r="K71" s="1662">
        <v>-7312000000</v>
      </c>
      <c r="L71" s="1662">
        <v>-864000000</v>
      </c>
      <c r="M71" s="1665">
        <v>-1213000000</v>
      </c>
      <c r="N71" s="1662">
        <v>-2000000000</v>
      </c>
      <c r="O71" s="1662">
        <v>-2000000000</v>
      </c>
      <c r="P71" s="1048">
        <v>-3000000000</v>
      </c>
      <c r="Q71" s="1048">
        <v>-5000000000</v>
      </c>
      <c r="R71" s="1048">
        <v>-9000000000</v>
      </c>
      <c r="S71" s="1048">
        <v>-12000000000</v>
      </c>
      <c r="T71" s="1666">
        <v>-18000000000</v>
      </c>
      <c r="U71" s="1666">
        <v>-25000000000</v>
      </c>
      <c r="V71" s="1666">
        <v>-28000000000</v>
      </c>
      <c r="W71" s="999">
        <v>-36000000000</v>
      </c>
      <c r="X71" s="2430">
        <v>-41000000000</v>
      </c>
      <c r="Y71" s="2429">
        <v>-47000000000</v>
      </c>
      <c r="Z71" s="2429">
        <v>-54000000000</v>
      </c>
      <c r="AA71" s="2429">
        <v>-61000000000</v>
      </c>
    </row>
    <row r="72" spans="1:27">
      <c r="A72" s="988" t="s">
        <v>4137</v>
      </c>
      <c r="B72" s="988" t="s">
        <v>4138</v>
      </c>
      <c r="C72" s="981" t="s">
        <v>264</v>
      </c>
      <c r="D72" s="1662">
        <v>37000000</v>
      </c>
      <c r="E72" s="1662">
        <v>217000000</v>
      </c>
      <c r="F72" s="1662">
        <v>-332000000</v>
      </c>
      <c r="G72" s="1662">
        <v>-323000000</v>
      </c>
      <c r="H72" s="1662">
        <v>0</v>
      </c>
      <c r="I72" s="1662">
        <v>1116000000</v>
      </c>
      <c r="J72" s="1662"/>
      <c r="K72" s="1662"/>
      <c r="L72" s="1662"/>
      <c r="M72" s="1665"/>
      <c r="N72" s="1662"/>
      <c r="O72" s="1662"/>
      <c r="P72" s="978"/>
      <c r="Q72" s="978"/>
      <c r="R72" s="978"/>
      <c r="S72" s="1048"/>
      <c r="T72" s="978"/>
      <c r="U72" s="1050"/>
      <c r="V72" s="1050"/>
      <c r="W72" s="1050"/>
      <c r="X72" s="2430"/>
      <c r="Y72" s="2429"/>
      <c r="Z72" s="2429"/>
      <c r="AA72" s="2429"/>
    </row>
    <row r="73" spans="1:27">
      <c r="A73" s="988" t="s">
        <v>4139</v>
      </c>
      <c r="B73" s="988" t="s">
        <v>4140</v>
      </c>
      <c r="C73" s="981" t="s">
        <v>264</v>
      </c>
      <c r="D73" s="1662"/>
      <c r="E73" s="1662"/>
      <c r="F73" s="1662">
        <v>-708000000</v>
      </c>
      <c r="G73" s="1662"/>
      <c r="H73" s="1662"/>
      <c r="J73" s="1662"/>
      <c r="K73" s="1662"/>
      <c r="L73" s="1662"/>
      <c r="M73" s="1665"/>
      <c r="N73" s="1662"/>
      <c r="O73" s="1662"/>
      <c r="P73" s="978"/>
      <c r="Q73" s="978"/>
      <c r="R73" s="978"/>
      <c r="S73" s="1050"/>
      <c r="T73" s="978"/>
      <c r="U73" s="1050"/>
      <c r="V73" s="1050"/>
      <c r="W73" s="1050"/>
      <c r="X73" s="2430"/>
      <c r="Y73" s="2429"/>
      <c r="Z73" s="2429"/>
      <c r="AA73" s="2429"/>
    </row>
    <row r="74" spans="1:27">
      <c r="A74" s="988" t="s">
        <v>4141</v>
      </c>
      <c r="B74" s="988" t="s">
        <v>4141</v>
      </c>
      <c r="C74" s="981" t="s">
        <v>264</v>
      </c>
      <c r="D74" s="1662"/>
      <c r="E74" s="1662"/>
      <c r="F74" s="1662"/>
      <c r="G74" s="1662">
        <v>125000000</v>
      </c>
      <c r="H74" s="1662">
        <v>817000000</v>
      </c>
      <c r="I74" s="1662">
        <v>1609000000</v>
      </c>
      <c r="J74" s="1662"/>
      <c r="K74" s="1662"/>
      <c r="L74" s="1662"/>
      <c r="M74" s="1665"/>
      <c r="N74" s="1662"/>
      <c r="O74" s="1662"/>
      <c r="P74" s="978"/>
      <c r="Q74" s="978"/>
      <c r="R74" s="978"/>
      <c r="S74" s="1050"/>
      <c r="T74" s="978"/>
      <c r="U74" s="1050"/>
      <c r="V74" s="1050"/>
      <c r="W74" s="1050"/>
      <c r="X74" s="2430"/>
      <c r="Y74" s="2429"/>
      <c r="Z74" s="2429"/>
      <c r="AA74" s="2429"/>
    </row>
    <row r="75" spans="1:27">
      <c r="A75" s="981" t="s">
        <v>4142</v>
      </c>
      <c r="B75" s="981" t="s">
        <v>4142</v>
      </c>
      <c r="C75" s="982" t="s">
        <v>119</v>
      </c>
      <c r="D75" s="1662"/>
      <c r="E75" s="1662"/>
      <c r="F75" s="1662"/>
      <c r="G75" s="1662"/>
      <c r="H75" s="1662"/>
      <c r="I75" s="1662"/>
      <c r="J75" s="1662"/>
      <c r="K75" s="1662"/>
      <c r="L75" s="1662"/>
      <c r="M75" s="1665"/>
      <c r="N75" s="1662"/>
      <c r="O75" s="1662"/>
      <c r="P75" s="978"/>
      <c r="Q75" s="978"/>
      <c r="R75" s="978"/>
      <c r="S75" s="1048">
        <v>20000000000</v>
      </c>
      <c r="T75" s="978">
        <v>105000000000</v>
      </c>
      <c r="U75" s="1050">
        <v>-15000000000</v>
      </c>
      <c r="V75" s="1050">
        <v>-45000000000</v>
      </c>
      <c r="W75" s="1050">
        <v>-54000000000</v>
      </c>
      <c r="X75" s="2430">
        <v>0</v>
      </c>
      <c r="Y75" s="2429">
        <v>0</v>
      </c>
      <c r="Z75" s="2429">
        <v>0</v>
      </c>
      <c r="AA75" s="2429">
        <v>0</v>
      </c>
    </row>
    <row r="76" spans="1:27">
      <c r="A76" s="981" t="s">
        <v>4143</v>
      </c>
      <c r="B76" s="981" t="s">
        <v>4068</v>
      </c>
      <c r="C76" s="982" t="s">
        <v>119</v>
      </c>
      <c r="D76" s="1662"/>
      <c r="E76" s="1662"/>
      <c r="F76" s="1662"/>
      <c r="G76" s="1662"/>
      <c r="H76" s="1662"/>
      <c r="I76" s="1662"/>
      <c r="J76" s="1662"/>
      <c r="K76" s="1662"/>
      <c r="L76" s="1662"/>
      <c r="M76" s="1665"/>
      <c r="N76" s="1662"/>
      <c r="O76" s="1662"/>
      <c r="P76" s="978"/>
      <c r="Q76" s="978"/>
      <c r="R76" s="978"/>
      <c r="S76" s="1048">
        <v>0</v>
      </c>
      <c r="T76" s="978">
        <v>0</v>
      </c>
      <c r="U76" s="1050">
        <v>11000000000</v>
      </c>
      <c r="V76" s="1050">
        <v>0</v>
      </c>
      <c r="W76" s="1050">
        <v>0</v>
      </c>
      <c r="X76" s="2430">
        <v>0</v>
      </c>
      <c r="Y76" s="2429">
        <v>0</v>
      </c>
      <c r="Z76" s="2429">
        <v>0</v>
      </c>
      <c r="AA76" s="2429">
        <v>0</v>
      </c>
    </row>
    <row r="77" spans="1:27">
      <c r="A77" s="972" t="s">
        <v>120</v>
      </c>
      <c r="B77" s="981" t="s">
        <v>4144</v>
      </c>
      <c r="C77" s="982" t="s">
        <v>119</v>
      </c>
      <c r="D77" s="1662">
        <v>1886000000</v>
      </c>
      <c r="E77" s="1662">
        <v>1401000000</v>
      </c>
      <c r="F77" s="1662">
        <v>9416000000</v>
      </c>
      <c r="G77" s="1662">
        <v>18829000000</v>
      </c>
      <c r="H77" s="1662">
        <v>14512000000</v>
      </c>
      <c r="I77" s="1662">
        <v>6818000000</v>
      </c>
      <c r="J77" s="1662">
        <v>905000000</v>
      </c>
      <c r="K77" s="1662">
        <v>-1453000000</v>
      </c>
      <c r="L77" s="1662">
        <v>6956000000</v>
      </c>
      <c r="M77" s="1665">
        <v>24074000000</v>
      </c>
      <c r="N77" s="1662">
        <v>-7000000000</v>
      </c>
      <c r="O77" s="1662">
        <v>14000000000</v>
      </c>
      <c r="P77" s="1048">
        <v>65000000000</v>
      </c>
      <c r="Q77" s="1048">
        <v>-2000000000</v>
      </c>
      <c r="R77" s="1048">
        <v>93000000000</v>
      </c>
      <c r="S77" s="1048">
        <v>94000000000</v>
      </c>
      <c r="T77" s="1048">
        <v>59000000000</v>
      </c>
      <c r="U77" s="1050">
        <v>111000000000</v>
      </c>
      <c r="V77" s="1050">
        <v>225000000000</v>
      </c>
      <c r="W77" s="1050">
        <v>164000000000</v>
      </c>
      <c r="X77" s="2430">
        <v>40000000000</v>
      </c>
      <c r="Y77" s="2429">
        <v>25000000000</v>
      </c>
      <c r="Z77" s="2429">
        <v>5000000000</v>
      </c>
      <c r="AA77" s="2429">
        <v>-11000000000</v>
      </c>
    </row>
    <row r="78" spans="1:27">
      <c r="A78" s="972" t="s">
        <v>3626</v>
      </c>
      <c r="B78" s="988" t="s">
        <v>3627</v>
      </c>
      <c r="C78" s="981" t="s">
        <v>124</v>
      </c>
      <c r="D78" s="1665"/>
      <c r="E78" s="1665"/>
      <c r="F78" s="1665"/>
      <c r="G78" s="1665"/>
      <c r="H78" s="1665"/>
      <c r="I78" s="1665"/>
      <c r="J78" s="1665"/>
      <c r="K78" s="1665"/>
      <c r="L78" s="1665"/>
      <c r="M78" s="1665">
        <v>24074000000</v>
      </c>
      <c r="N78" s="1665">
        <v>0</v>
      </c>
      <c r="O78" s="1662">
        <v>14000000000</v>
      </c>
      <c r="P78" s="1662"/>
      <c r="Q78" s="1662">
        <v>0</v>
      </c>
      <c r="R78" s="1662">
        <v>0</v>
      </c>
      <c r="S78" s="1050"/>
      <c r="T78" s="1662"/>
      <c r="U78" s="1050"/>
      <c r="V78" s="1050"/>
      <c r="W78" s="1050"/>
      <c r="X78" s="2430"/>
      <c r="Y78" s="2429"/>
      <c r="Z78" s="2429"/>
      <c r="AA78" s="2429"/>
    </row>
    <row r="79" spans="1:27">
      <c r="A79" s="972" t="s">
        <v>3313</v>
      </c>
      <c r="B79" s="981" t="s">
        <v>4145</v>
      </c>
      <c r="C79" s="982" t="s">
        <v>119</v>
      </c>
      <c r="D79" s="1662">
        <v>0</v>
      </c>
      <c r="E79" s="1662">
        <v>114000000</v>
      </c>
      <c r="F79" s="1662">
        <v>161000000</v>
      </c>
      <c r="G79" s="1662">
        <v>-307000000</v>
      </c>
      <c r="H79" s="1662">
        <v>62000000</v>
      </c>
      <c r="I79" s="1665">
        <v>0</v>
      </c>
      <c r="J79" s="1665">
        <v>4346000000</v>
      </c>
      <c r="K79" s="1665">
        <v>3364000000</v>
      </c>
      <c r="L79" s="1665">
        <v>0</v>
      </c>
      <c r="M79" s="1665"/>
      <c r="N79" s="1662">
        <v>0</v>
      </c>
      <c r="O79" s="1662">
        <v>0</v>
      </c>
      <c r="P79" s="1662"/>
      <c r="Q79" s="1662"/>
      <c r="R79" s="1662"/>
      <c r="S79" s="1050"/>
      <c r="T79" s="978"/>
      <c r="U79" s="1050"/>
      <c r="V79" s="1050"/>
      <c r="W79" s="1050"/>
      <c r="X79" s="2430"/>
      <c r="Y79" s="2429"/>
      <c r="Z79" s="2429"/>
      <c r="AA79" s="2429"/>
    </row>
    <row r="80" spans="1:27">
      <c r="B80" s="981" t="s">
        <v>1488</v>
      </c>
      <c r="C80" s="982"/>
      <c r="S80" s="1048">
        <v>0</v>
      </c>
      <c r="T80" s="972">
        <v>0</v>
      </c>
      <c r="U80" s="1050">
        <v>0</v>
      </c>
      <c r="V80" s="1050">
        <v>0</v>
      </c>
      <c r="W80" s="1050">
        <v>0</v>
      </c>
      <c r="X80" s="2430">
        <v>0</v>
      </c>
      <c r="Y80" s="2429">
        <v>0</v>
      </c>
      <c r="Z80" s="2429">
        <v>0</v>
      </c>
      <c r="AA80" s="2429">
        <v>0</v>
      </c>
    </row>
    <row r="81" spans="2:27">
      <c r="U81" s="1679"/>
      <c r="X81" s="1678"/>
    </row>
    <row r="82" spans="2:27">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row>
    <row r="83" spans="2:27">
      <c r="W83" s="1679"/>
      <c r="X83" s="1678"/>
    </row>
    <row r="84" spans="2:27">
      <c r="B84" s="972" t="s">
        <v>1168</v>
      </c>
      <c r="D84" s="1669">
        <f>D6-D8-D18</f>
        <v>0</v>
      </c>
      <c r="E84" s="1669">
        <f t="shared" ref="E84:T84" si="11">E6-E8-E18</f>
        <v>0</v>
      </c>
      <c r="F84" s="1669">
        <f t="shared" si="11"/>
        <v>0</v>
      </c>
      <c r="G84" s="1669">
        <f t="shared" si="11"/>
        <v>0</v>
      </c>
      <c r="H84" s="1669">
        <f t="shared" si="11"/>
        <v>0</v>
      </c>
      <c r="I84" s="1669">
        <f t="shared" si="11"/>
        <v>0</v>
      </c>
      <c r="J84" s="1669">
        <f t="shared" si="11"/>
        <v>0</v>
      </c>
      <c r="K84" s="1669">
        <f t="shared" si="11"/>
        <v>0</v>
      </c>
      <c r="L84" s="1669">
        <f t="shared" si="11"/>
        <v>0</v>
      </c>
      <c r="M84" s="1669">
        <f>M6-M8-M18</f>
        <v>0</v>
      </c>
      <c r="N84" s="1669">
        <f t="shared" si="11"/>
        <v>0</v>
      </c>
      <c r="O84" s="1669">
        <f t="shared" si="11"/>
        <v>0</v>
      </c>
      <c r="P84" s="1669">
        <f t="shared" si="11"/>
        <v>0</v>
      </c>
      <c r="Q84" s="1669">
        <f t="shared" si="11"/>
        <v>0</v>
      </c>
      <c r="R84" s="1669">
        <f t="shared" si="11"/>
        <v>0</v>
      </c>
      <c r="S84" s="1669">
        <f t="shared" si="11"/>
        <v>0</v>
      </c>
      <c r="T84" s="1669">
        <f t="shared" si="11"/>
        <v>0</v>
      </c>
      <c r="U84" s="1669">
        <f>U6-U8-U18</f>
        <v>0</v>
      </c>
      <c r="V84" s="1669">
        <f t="shared" ref="V84:Z84" si="12">V6-V8-V18</f>
        <v>0</v>
      </c>
      <c r="W84" s="1669">
        <f t="shared" si="12"/>
        <v>0</v>
      </c>
      <c r="X84" s="1669">
        <f t="shared" si="12"/>
        <v>0</v>
      </c>
      <c r="Y84" s="1669">
        <f t="shared" si="12"/>
        <v>0</v>
      </c>
      <c r="Z84" s="1669">
        <f t="shared" si="12"/>
        <v>0</v>
      </c>
      <c r="AA84" s="1669">
        <f>AA6-AA8-AA18</f>
        <v>0</v>
      </c>
    </row>
    <row r="85" spans="2:27">
      <c r="B85" s="972" t="s">
        <v>141</v>
      </c>
      <c r="D85" s="1669">
        <f>D8-D11-D17</f>
        <v>-1000000</v>
      </c>
      <c r="E85" s="1669">
        <f t="shared" ref="E85:T85" si="13">E8-E11-E17</f>
        <v>0</v>
      </c>
      <c r="F85" s="1669">
        <f t="shared" si="13"/>
        <v>1000000</v>
      </c>
      <c r="G85" s="1669">
        <f t="shared" si="13"/>
        <v>0</v>
      </c>
      <c r="H85" s="1669">
        <f t="shared" si="13"/>
        <v>0</v>
      </c>
      <c r="I85" s="1669">
        <f t="shared" si="13"/>
        <v>0</v>
      </c>
      <c r="J85" s="1669">
        <f t="shared" si="13"/>
        <v>0</v>
      </c>
      <c r="K85" s="1669">
        <f t="shared" si="13"/>
        <v>0</v>
      </c>
      <c r="L85" s="1669">
        <f t="shared" si="13"/>
        <v>0</v>
      </c>
      <c r="M85" s="1669">
        <f t="shared" si="13"/>
        <v>0</v>
      </c>
      <c r="N85" s="1669">
        <f t="shared" si="13"/>
        <v>0</v>
      </c>
      <c r="O85" s="1669">
        <f t="shared" si="13"/>
        <v>0</v>
      </c>
      <c r="P85" s="1669">
        <f t="shared" si="13"/>
        <v>0</v>
      </c>
      <c r="Q85" s="1669">
        <f t="shared" si="13"/>
        <v>0</v>
      </c>
      <c r="R85" s="1669">
        <f t="shared" si="13"/>
        <v>0</v>
      </c>
      <c r="S85" s="1669">
        <f t="shared" si="13"/>
        <v>0</v>
      </c>
      <c r="T85" s="1669">
        <f t="shared" si="13"/>
        <v>0</v>
      </c>
      <c r="U85" s="1669">
        <f>U8-U11-U17</f>
        <v>0</v>
      </c>
      <c r="V85" s="1669">
        <f t="shared" ref="V85:AA85" si="14">V8-V11-V17</f>
        <v>0</v>
      </c>
      <c r="W85" s="1669">
        <f t="shared" si="14"/>
        <v>0</v>
      </c>
      <c r="X85" s="1669">
        <f t="shared" si="14"/>
        <v>0</v>
      </c>
      <c r="Y85" s="1669">
        <f t="shared" si="14"/>
        <v>0</v>
      </c>
      <c r="Z85" s="1669">
        <f t="shared" si="14"/>
        <v>0</v>
      </c>
      <c r="AA85" s="1669">
        <f t="shared" si="14"/>
        <v>0</v>
      </c>
    </row>
    <row r="86" spans="2:27">
      <c r="B86" s="972" t="s">
        <v>142</v>
      </c>
      <c r="D86" s="995">
        <f>D11-D13-D14-D15</f>
        <v>0</v>
      </c>
      <c r="E86" s="995">
        <f t="shared" ref="E86:L86" si="15">E11-E13-E14-E15</f>
        <v>0</v>
      </c>
      <c r="F86" s="995">
        <f t="shared" si="15"/>
        <v>0</v>
      </c>
      <c r="G86" s="1003">
        <f t="shared" si="15"/>
        <v>27251000000</v>
      </c>
      <c r="H86" s="1003">
        <f t="shared" si="15"/>
        <v>36902000000</v>
      </c>
      <c r="I86" s="1003">
        <f t="shared" si="15"/>
        <v>49798000000</v>
      </c>
      <c r="J86" s="1003">
        <f t="shared" si="15"/>
        <v>59884000000</v>
      </c>
      <c r="K86" s="1003">
        <f t="shared" si="15"/>
        <v>77321000000</v>
      </c>
      <c r="L86" s="1003">
        <f t="shared" si="15"/>
        <v>96387000000</v>
      </c>
      <c r="M86" s="995">
        <f>M11-M13-M14-M15-M16</f>
        <v>0</v>
      </c>
      <c r="N86" s="995">
        <f t="shared" ref="N86:U86" si="16">N11-N13-N14-N15-N16</f>
        <v>0</v>
      </c>
      <c r="O86" s="995">
        <f t="shared" si="16"/>
        <v>0</v>
      </c>
      <c r="P86" s="995">
        <f t="shared" si="16"/>
        <v>0</v>
      </c>
      <c r="Q86" s="995">
        <f t="shared" si="16"/>
        <v>0</v>
      </c>
      <c r="R86" s="995">
        <f t="shared" si="16"/>
        <v>0</v>
      </c>
      <c r="S86" s="995">
        <f t="shared" si="16"/>
        <v>0</v>
      </c>
      <c r="T86" s="995">
        <f t="shared" si="16"/>
        <v>0</v>
      </c>
      <c r="U86" s="995">
        <f t="shared" si="16"/>
        <v>0</v>
      </c>
      <c r="V86" s="995">
        <f t="shared" ref="V86:AA86" si="17">V11-V13-V14-V15-V16</f>
        <v>0</v>
      </c>
      <c r="W86" s="995">
        <f t="shared" si="17"/>
        <v>0</v>
      </c>
      <c r="X86" s="995">
        <f t="shared" si="17"/>
        <v>0</v>
      </c>
      <c r="Y86" s="995">
        <f t="shared" si="17"/>
        <v>0</v>
      </c>
      <c r="Z86" s="995">
        <f t="shared" si="17"/>
        <v>0</v>
      </c>
      <c r="AA86" s="995">
        <f t="shared" si="17"/>
        <v>0</v>
      </c>
    </row>
    <row r="87" spans="2:27">
      <c r="B87" s="972" t="s">
        <v>4146</v>
      </c>
      <c r="D87" s="1669">
        <f t="shared" ref="D87:R87" si="18">D18-D19-D20-D21-D22</f>
        <v>0</v>
      </c>
      <c r="E87" s="1669">
        <f t="shared" si="18"/>
        <v>0</v>
      </c>
      <c r="F87" s="1669">
        <f t="shared" si="18"/>
        <v>0</v>
      </c>
      <c r="G87" s="1669">
        <f t="shared" si="18"/>
        <v>0</v>
      </c>
      <c r="H87" s="1669">
        <f t="shared" si="18"/>
        <v>0</v>
      </c>
      <c r="I87" s="1669">
        <f t="shared" si="18"/>
        <v>0</v>
      </c>
      <c r="J87" s="1669">
        <f t="shared" si="18"/>
        <v>0</v>
      </c>
      <c r="K87" s="1669">
        <f t="shared" si="18"/>
        <v>0</v>
      </c>
      <c r="L87" s="1669">
        <f t="shared" si="18"/>
        <v>0</v>
      </c>
      <c r="M87" s="1669">
        <f t="shared" si="18"/>
        <v>0</v>
      </c>
      <c r="N87" s="1669">
        <f t="shared" si="18"/>
        <v>-1000000000</v>
      </c>
      <c r="O87" s="1669">
        <f t="shared" si="18"/>
        <v>-1000000000</v>
      </c>
      <c r="P87" s="1669">
        <f t="shared" si="18"/>
        <v>0</v>
      </c>
      <c r="Q87" s="1669">
        <f t="shared" si="18"/>
        <v>-1000000000</v>
      </c>
      <c r="R87" s="1669">
        <f t="shared" si="18"/>
        <v>0</v>
      </c>
      <c r="S87" s="995">
        <f t="shared" ref="S87:U87" si="19">S18-S19-S20-S21-S22</f>
        <v>-1000000000</v>
      </c>
      <c r="T87" s="995">
        <f t="shared" si="19"/>
        <v>0</v>
      </c>
      <c r="U87" s="1669">
        <f t="shared" si="19"/>
        <v>0</v>
      </c>
      <c r="V87" s="1669">
        <f t="shared" ref="V87:AA87" si="20">V18-V19-V20-V21-V22</f>
        <v>-1000000000</v>
      </c>
      <c r="W87" s="1669">
        <f t="shared" si="20"/>
        <v>0</v>
      </c>
      <c r="X87" s="1669">
        <f t="shared" si="20"/>
        <v>-1000000000</v>
      </c>
      <c r="Y87" s="1669">
        <f t="shared" si="20"/>
        <v>-1000000000</v>
      </c>
      <c r="Z87" s="1669">
        <f t="shared" si="20"/>
        <v>0</v>
      </c>
      <c r="AA87" s="1669">
        <f t="shared" si="20"/>
        <v>1000000000</v>
      </c>
    </row>
    <row r="88" spans="2:27">
      <c r="B88" s="972" t="s">
        <v>145</v>
      </c>
      <c r="D88" s="1669">
        <f t="shared" ref="D88:U88" si="21">D24-D25-D54-D58-D57</f>
        <v>0</v>
      </c>
      <c r="E88" s="1669">
        <f t="shared" si="21"/>
        <v>0</v>
      </c>
      <c r="F88" s="1669">
        <f t="shared" si="21"/>
        <v>0</v>
      </c>
      <c r="G88" s="1669">
        <f t="shared" si="21"/>
        <v>0</v>
      </c>
      <c r="H88" s="1669">
        <f t="shared" si="21"/>
        <v>0</v>
      </c>
      <c r="I88" s="1669">
        <f t="shared" si="21"/>
        <v>0</v>
      </c>
      <c r="J88" s="1669">
        <f t="shared" si="21"/>
        <v>0</v>
      </c>
      <c r="K88" s="1669">
        <f t="shared" si="21"/>
        <v>0</v>
      </c>
      <c r="L88" s="1669">
        <f t="shared" si="21"/>
        <v>0</v>
      </c>
      <c r="M88" s="1669">
        <f t="shared" si="21"/>
        <v>0</v>
      </c>
      <c r="N88" s="1669">
        <f t="shared" si="21"/>
        <v>0</v>
      </c>
      <c r="O88" s="1669">
        <f t="shared" si="21"/>
        <v>0</v>
      </c>
      <c r="P88" s="1669">
        <f t="shared" si="21"/>
        <v>0</v>
      </c>
      <c r="Q88" s="1669">
        <f t="shared" si="21"/>
        <v>0</v>
      </c>
      <c r="R88" s="1669">
        <f t="shared" si="21"/>
        <v>0</v>
      </c>
      <c r="S88" s="1669">
        <f t="shared" si="21"/>
        <v>-1000000000</v>
      </c>
      <c r="T88" s="1669">
        <f t="shared" si="21"/>
        <v>0</v>
      </c>
      <c r="U88" s="1554">
        <f t="shared" si="21"/>
        <v>0</v>
      </c>
      <c r="V88" s="1554">
        <f t="shared" ref="V88:AA88" si="22">V24-V25-V54-V58-V57</f>
        <v>0</v>
      </c>
      <c r="W88" s="1554">
        <f t="shared" si="22"/>
        <v>0</v>
      </c>
      <c r="X88" s="1554">
        <f t="shared" si="22"/>
        <v>1000000000</v>
      </c>
      <c r="Y88" s="1554">
        <f t="shared" si="22"/>
        <v>0</v>
      </c>
      <c r="Z88" s="1554">
        <f t="shared" si="22"/>
        <v>-1000000000</v>
      </c>
      <c r="AA88" s="1554">
        <f t="shared" si="22"/>
        <v>1000000000</v>
      </c>
    </row>
    <row r="89" spans="2:27">
      <c r="B89" s="972" t="s">
        <v>361</v>
      </c>
      <c r="D89" s="995">
        <f t="shared" ref="D89:U89" si="23">D25-D26-D27-D30-D44-D51-D52</f>
        <v>-1000000</v>
      </c>
      <c r="E89" s="995">
        <f t="shared" si="23"/>
        <v>0</v>
      </c>
      <c r="F89" s="995">
        <f t="shared" si="23"/>
        <v>0</v>
      </c>
      <c r="G89" s="995">
        <f t="shared" si="23"/>
        <v>0</v>
      </c>
      <c r="H89" s="995">
        <f t="shared" si="23"/>
        <v>1000000</v>
      </c>
      <c r="I89" s="995">
        <f t="shared" si="23"/>
        <v>-1000000</v>
      </c>
      <c r="J89" s="995">
        <f t="shared" si="23"/>
        <v>0</v>
      </c>
      <c r="K89" s="995">
        <f t="shared" si="23"/>
        <v>0</v>
      </c>
      <c r="L89" s="995">
        <f t="shared" si="23"/>
        <v>1000000</v>
      </c>
      <c r="M89" s="995">
        <f t="shared" si="23"/>
        <v>0</v>
      </c>
      <c r="N89" s="995">
        <f t="shared" si="23"/>
        <v>1000000000</v>
      </c>
      <c r="O89" s="995">
        <f t="shared" si="23"/>
        <v>0</v>
      </c>
      <c r="P89" s="995">
        <f t="shared" si="23"/>
        <v>0</v>
      </c>
      <c r="Q89" s="995">
        <f t="shared" si="23"/>
        <v>1000000000</v>
      </c>
      <c r="R89" s="995">
        <f t="shared" si="23"/>
        <v>0</v>
      </c>
      <c r="S89" s="995">
        <f t="shared" si="23"/>
        <v>0</v>
      </c>
      <c r="T89" s="995">
        <f t="shared" si="23"/>
        <v>0</v>
      </c>
      <c r="U89" s="995">
        <f t="shared" si="23"/>
        <v>0</v>
      </c>
      <c r="V89" s="995">
        <f t="shared" ref="V89:AA89" si="24">V25-V26-V27-V30-V44-V51-V52</f>
        <v>0</v>
      </c>
      <c r="W89" s="995">
        <f t="shared" si="24"/>
        <v>0</v>
      </c>
      <c r="X89" s="995">
        <f t="shared" si="24"/>
        <v>-1000000000</v>
      </c>
      <c r="Y89" s="995">
        <f t="shared" si="24"/>
        <v>0</v>
      </c>
      <c r="Z89" s="995">
        <f t="shared" si="24"/>
        <v>-1000000000</v>
      </c>
      <c r="AA89" s="995">
        <f t="shared" si="24"/>
        <v>0</v>
      </c>
    </row>
    <row r="90" spans="2:27">
      <c r="B90" s="972" t="s">
        <v>454</v>
      </c>
      <c r="D90" s="1003">
        <f t="shared" ref="D90:L90" si="25">D30-D39-D31-D33-D32-D34-D35-D37-D36-D38-D40-D43-D41-D42</f>
        <v>7043000000</v>
      </c>
      <c r="E90" s="1003">
        <f t="shared" si="25"/>
        <v>7659000000</v>
      </c>
      <c r="F90" s="1003">
        <f t="shared" si="25"/>
        <v>10731000000</v>
      </c>
      <c r="G90" s="995">
        <f t="shared" si="25"/>
        <v>0</v>
      </c>
      <c r="H90" s="995">
        <f t="shared" si="25"/>
        <v>0</v>
      </c>
      <c r="I90" s="995">
        <f t="shared" si="25"/>
        <v>0</v>
      </c>
      <c r="J90" s="995">
        <f t="shared" si="25"/>
        <v>0</v>
      </c>
      <c r="K90" s="1003">
        <f t="shared" si="25"/>
        <v>30641000000</v>
      </c>
      <c r="L90" s="1003">
        <f t="shared" si="25"/>
        <v>42042000000</v>
      </c>
      <c r="M90" s="995">
        <f>M30-M39-M31-M33-M32-M34-M35-M37-M36-M38-M40-M43-M41-M42</f>
        <v>0</v>
      </c>
      <c r="N90" s="995">
        <f t="shared" ref="N90:T90" si="26">N30-N39-N31-N33-N32-N34-N35-N37-N36-N38-N40-N43-N41-N42</f>
        <v>0</v>
      </c>
      <c r="O90" s="995">
        <f t="shared" si="26"/>
        <v>0</v>
      </c>
      <c r="P90" s="995">
        <f t="shared" si="26"/>
        <v>-0.3218390941619873</v>
      </c>
      <c r="Q90" s="995">
        <f t="shared" si="26"/>
        <v>0</v>
      </c>
      <c r="R90" s="995">
        <f t="shared" si="26"/>
        <v>1000000000</v>
      </c>
      <c r="S90" s="995">
        <f t="shared" si="26"/>
        <v>0</v>
      </c>
      <c r="T90" s="995">
        <f t="shared" si="26"/>
        <v>0</v>
      </c>
      <c r="U90" s="995">
        <f>U30-U39-U31-U33-U32-U34-U35-U37-U36-U38-U40-U43-U41-U42</f>
        <v>0</v>
      </c>
      <c r="V90" s="995">
        <f t="shared" ref="V90:AA90" si="27">V30-V39-V31-V33-V32-V34-V35-V37-V36-V38-V40-V43-V41-V42</f>
        <v>0</v>
      </c>
      <c r="W90" s="995">
        <f t="shared" si="27"/>
        <v>1000000000</v>
      </c>
      <c r="X90" s="995">
        <f t="shared" si="27"/>
        <v>0</v>
      </c>
      <c r="Y90" s="995">
        <f t="shared" si="27"/>
        <v>0</v>
      </c>
      <c r="Z90" s="995">
        <f t="shared" si="27"/>
        <v>1000000000</v>
      </c>
      <c r="AA90" s="995">
        <f t="shared" si="27"/>
        <v>0</v>
      </c>
    </row>
    <row r="91" spans="2:27">
      <c r="B91" s="972" t="s">
        <v>4147</v>
      </c>
      <c r="D91" s="995">
        <f t="shared" ref="D91:T91" si="28">D44-D45-D46-D47-D48-D50</f>
        <v>0</v>
      </c>
      <c r="E91" s="995">
        <f t="shared" si="28"/>
        <v>0</v>
      </c>
      <c r="F91" s="995">
        <f t="shared" si="28"/>
        <v>0</v>
      </c>
      <c r="G91" s="995">
        <f t="shared" si="28"/>
        <v>0</v>
      </c>
      <c r="H91" s="995">
        <f t="shared" si="28"/>
        <v>0</v>
      </c>
      <c r="I91" s="995">
        <f t="shared" si="28"/>
        <v>0</v>
      </c>
      <c r="J91" s="995">
        <f t="shared" si="28"/>
        <v>1000000</v>
      </c>
      <c r="K91" s="995">
        <f t="shared" si="28"/>
        <v>0</v>
      </c>
      <c r="L91" s="995">
        <f t="shared" si="28"/>
        <v>0</v>
      </c>
      <c r="M91" s="995">
        <f>M44-M45-M46-M47-M48-M50</f>
        <v>0</v>
      </c>
      <c r="N91" s="995">
        <f t="shared" si="28"/>
        <v>0</v>
      </c>
      <c r="O91" s="995">
        <f t="shared" si="28"/>
        <v>0</v>
      </c>
      <c r="P91" s="995">
        <f t="shared" si="28"/>
        <v>0</v>
      </c>
      <c r="Q91" s="995">
        <f t="shared" si="28"/>
        <v>0</v>
      </c>
      <c r="R91" s="995">
        <f t="shared" si="28"/>
        <v>0</v>
      </c>
      <c r="S91" s="995">
        <f t="shared" si="28"/>
        <v>0</v>
      </c>
      <c r="T91" s="995">
        <f t="shared" si="28"/>
        <v>1000000000</v>
      </c>
      <c r="U91" s="995">
        <f>U44-U45-U46-U47-U48-U50</f>
        <v>0</v>
      </c>
      <c r="V91" s="995">
        <f t="shared" ref="V91:AA91" si="29">V44-V45-V46-V47-V48-V50</f>
        <v>0</v>
      </c>
      <c r="W91" s="995">
        <f t="shared" si="29"/>
        <v>0</v>
      </c>
      <c r="X91" s="995">
        <f t="shared" si="29"/>
        <v>0</v>
      </c>
      <c r="Y91" s="995">
        <f t="shared" si="29"/>
        <v>0</v>
      </c>
      <c r="Z91" s="995">
        <f t="shared" si="29"/>
        <v>0</v>
      </c>
      <c r="AA91" s="995">
        <f t="shared" si="29"/>
        <v>0</v>
      </c>
    </row>
    <row r="92" spans="2:27">
      <c r="B92" s="972" t="s">
        <v>4148</v>
      </c>
      <c r="D92" s="995">
        <f>D54-D55-D56-D79</f>
        <v>0</v>
      </c>
      <c r="E92" s="995">
        <f t="shared" ref="E92:S92" si="30">E54-E55-E56</f>
        <v>0</v>
      </c>
      <c r="F92" s="995">
        <f t="shared" si="30"/>
        <v>0</v>
      </c>
      <c r="G92" s="995">
        <f t="shared" si="30"/>
        <v>0</v>
      </c>
      <c r="H92" s="995">
        <f t="shared" si="30"/>
        <v>-1000000</v>
      </c>
      <c r="I92" s="995">
        <f t="shared" si="30"/>
        <v>0</v>
      </c>
      <c r="J92" s="995">
        <f t="shared" si="30"/>
        <v>0</v>
      </c>
      <c r="K92" s="995">
        <f t="shared" si="30"/>
        <v>0</v>
      </c>
      <c r="L92" s="995">
        <f t="shared" si="30"/>
        <v>-1000000</v>
      </c>
      <c r="M92" s="995">
        <f t="shared" si="30"/>
        <v>0</v>
      </c>
      <c r="N92" s="995">
        <f t="shared" si="30"/>
        <v>0</v>
      </c>
      <c r="O92" s="995">
        <f t="shared" si="30"/>
        <v>0</v>
      </c>
      <c r="P92" s="995">
        <f t="shared" si="30"/>
        <v>1000000000</v>
      </c>
      <c r="Q92" s="995">
        <f t="shared" si="30"/>
        <v>0</v>
      </c>
      <c r="R92" s="995">
        <f t="shared" si="30"/>
        <v>-1000000000</v>
      </c>
      <c r="S92" s="995">
        <f t="shared" si="30"/>
        <v>0</v>
      </c>
      <c r="T92" s="995">
        <f>T54-T55-T56</f>
        <v>0</v>
      </c>
      <c r="U92" s="995">
        <f>U54-U55-U56</f>
        <v>0</v>
      </c>
      <c r="V92" s="995">
        <f t="shared" ref="V92:AA92" si="31">V54-V55-V56</f>
        <v>0</v>
      </c>
      <c r="W92" s="995">
        <f t="shared" si="31"/>
        <v>0</v>
      </c>
      <c r="X92" s="995">
        <f t="shared" si="31"/>
        <v>0</v>
      </c>
      <c r="Y92" s="995">
        <f t="shared" si="31"/>
        <v>0</v>
      </c>
      <c r="Z92" s="995">
        <f t="shared" si="31"/>
        <v>0</v>
      </c>
      <c r="AA92" s="995">
        <f t="shared" si="31"/>
        <v>-1000000000</v>
      </c>
    </row>
    <row r="93" spans="2:27">
      <c r="B93" s="972" t="s">
        <v>148</v>
      </c>
      <c r="D93" s="995">
        <f t="shared" ref="D93:P93" si="32">D62-D64-D77-D79</f>
        <v>-1000000</v>
      </c>
      <c r="E93" s="995">
        <f t="shared" si="32"/>
        <v>0</v>
      </c>
      <c r="F93" s="995">
        <f t="shared" si="32"/>
        <v>0</v>
      </c>
      <c r="G93" s="995">
        <f t="shared" si="32"/>
        <v>0</v>
      </c>
      <c r="H93" s="995">
        <f t="shared" si="32"/>
        <v>1000000</v>
      </c>
      <c r="I93" s="995">
        <f t="shared" si="32"/>
        <v>0</v>
      </c>
      <c r="J93" s="995">
        <f t="shared" si="32"/>
        <v>0</v>
      </c>
      <c r="K93" s="995">
        <f t="shared" si="32"/>
        <v>0</v>
      </c>
      <c r="L93" s="995">
        <f t="shared" si="32"/>
        <v>-1000000</v>
      </c>
      <c r="M93" s="995">
        <f t="shared" si="32"/>
        <v>0</v>
      </c>
      <c r="N93" s="995">
        <f t="shared" si="32"/>
        <v>0</v>
      </c>
      <c r="O93" s="995">
        <f t="shared" si="32"/>
        <v>0</v>
      </c>
      <c r="P93" s="995">
        <f t="shared" si="32"/>
        <v>0</v>
      </c>
      <c r="Q93" s="995">
        <f>Q62-Q64-Q77-Q79</f>
        <v>-1000000000</v>
      </c>
      <c r="R93" s="995">
        <f t="shared" ref="R93:AA93" si="33">R62-R64-R75-R76-R77-R79</f>
        <v>0</v>
      </c>
      <c r="S93" s="995">
        <f t="shared" si="33"/>
        <v>0</v>
      </c>
      <c r="T93" s="995">
        <f t="shared" si="33"/>
        <v>0</v>
      </c>
      <c r="U93" s="995">
        <f t="shared" si="33"/>
        <v>0</v>
      </c>
      <c r="V93" s="995">
        <f t="shared" si="33"/>
        <v>0</v>
      </c>
      <c r="W93" s="995">
        <f t="shared" si="33"/>
        <v>0</v>
      </c>
      <c r="X93" s="995">
        <f t="shared" si="33"/>
        <v>0</v>
      </c>
      <c r="Y93" s="995">
        <f t="shared" si="33"/>
        <v>0</v>
      </c>
      <c r="Z93" s="995">
        <f t="shared" si="33"/>
        <v>1000000000</v>
      </c>
      <c r="AA93" s="995">
        <f t="shared" si="33"/>
        <v>0</v>
      </c>
    </row>
    <row r="94" spans="2:27">
      <c r="B94" s="972" t="s">
        <v>458</v>
      </c>
      <c r="D94" s="995">
        <f t="shared" ref="D94:I94" si="34">D64-D65-D71-D72-D74-D73</f>
        <v>0</v>
      </c>
      <c r="E94" s="995">
        <f t="shared" si="34"/>
        <v>0</v>
      </c>
      <c r="F94" s="995">
        <f t="shared" si="34"/>
        <v>0</v>
      </c>
      <c r="G94" s="995">
        <f t="shared" si="34"/>
        <v>-1000000</v>
      </c>
      <c r="H94" s="995">
        <f t="shared" si="34"/>
        <v>0</v>
      </c>
      <c r="I94" s="995">
        <f t="shared" si="34"/>
        <v>-1000000</v>
      </c>
      <c r="J94" s="995">
        <f t="shared" ref="J94:T94" si="35">J64-J65-J71-J72-J74-J73</f>
        <v>1000000</v>
      </c>
      <c r="K94" s="995">
        <f t="shared" si="35"/>
        <v>0</v>
      </c>
      <c r="L94" s="995">
        <f t="shared" si="35"/>
        <v>0</v>
      </c>
      <c r="M94" s="995">
        <f>M64-M65-M71-M72-M74-M73</f>
        <v>0</v>
      </c>
      <c r="N94" s="995">
        <f t="shared" si="35"/>
        <v>1000000000</v>
      </c>
      <c r="O94" s="995">
        <f t="shared" si="35"/>
        <v>0</v>
      </c>
      <c r="P94" s="995">
        <f t="shared" si="35"/>
        <v>1000000000</v>
      </c>
      <c r="Q94" s="995">
        <f t="shared" si="35"/>
        <v>0</v>
      </c>
      <c r="R94" s="995">
        <f t="shared" si="35"/>
        <v>0</v>
      </c>
      <c r="S94" s="995">
        <f>S64-S65-S71-S72-S74-S73</f>
        <v>0</v>
      </c>
      <c r="T94" s="995">
        <f t="shared" si="35"/>
        <v>0</v>
      </c>
      <c r="U94" s="995">
        <f>U64-U65-U71-U72-U74-U73</f>
        <v>0</v>
      </c>
      <c r="V94" s="995">
        <f t="shared" ref="V94:AA94" si="36">V64-V65-V71-V72-V74-V73</f>
        <v>0</v>
      </c>
      <c r="W94" s="995">
        <f t="shared" si="36"/>
        <v>0</v>
      </c>
      <c r="X94" s="995">
        <f t="shared" si="36"/>
        <v>0</v>
      </c>
      <c r="Y94" s="995">
        <f t="shared" si="36"/>
        <v>-1000000000</v>
      </c>
      <c r="Z94" s="995">
        <f t="shared" si="36"/>
        <v>0</v>
      </c>
      <c r="AA94" s="995">
        <f t="shared" si="36"/>
        <v>0</v>
      </c>
    </row>
    <row r="95" spans="2:27">
      <c r="B95" s="972" t="s">
        <v>529</v>
      </c>
      <c r="D95" s="995">
        <f>D65-D66-D67-D68-D69</f>
        <v>0</v>
      </c>
      <c r="E95" s="995">
        <f t="shared" ref="E95:R95" si="37">E65-E66-E67-E68-E69</f>
        <v>0</v>
      </c>
      <c r="F95" s="995">
        <f t="shared" si="37"/>
        <v>0</v>
      </c>
      <c r="G95" s="995">
        <f t="shared" si="37"/>
        <v>0</v>
      </c>
      <c r="H95" s="995">
        <f t="shared" si="37"/>
        <v>0</v>
      </c>
      <c r="I95" s="995">
        <f t="shared" si="37"/>
        <v>0</v>
      </c>
      <c r="J95" s="995">
        <f t="shared" si="37"/>
        <v>0</v>
      </c>
      <c r="K95" s="995">
        <f t="shared" si="37"/>
        <v>0</v>
      </c>
      <c r="L95" s="995">
        <f t="shared" si="37"/>
        <v>0</v>
      </c>
      <c r="M95" s="995">
        <f>M65-M66-M67-M68-M69</f>
        <v>0</v>
      </c>
      <c r="N95" s="995">
        <f t="shared" si="37"/>
        <v>0</v>
      </c>
      <c r="O95" s="995">
        <f t="shared" si="37"/>
        <v>0</v>
      </c>
      <c r="P95" s="995">
        <f t="shared" si="37"/>
        <v>0</v>
      </c>
      <c r="Q95" s="995">
        <f t="shared" si="37"/>
        <v>0</v>
      </c>
      <c r="R95" s="995">
        <f t="shared" si="37"/>
        <v>0</v>
      </c>
      <c r="S95" s="995">
        <f t="shared" ref="S95:U95" si="38">S65-S66-S67-S68-S69-S70</f>
        <v>1000000000</v>
      </c>
      <c r="T95" s="995">
        <f t="shared" si="38"/>
        <v>0</v>
      </c>
      <c r="U95" s="995">
        <f t="shared" si="38"/>
        <v>0</v>
      </c>
      <c r="V95" s="995">
        <f t="shared" ref="V95:AA95" si="39">V65-V66-V67-V68-V69-V70</f>
        <v>0</v>
      </c>
      <c r="W95" s="995">
        <f t="shared" si="39"/>
        <v>0</v>
      </c>
      <c r="X95" s="995">
        <f t="shared" si="39"/>
        <v>0</v>
      </c>
      <c r="Y95" s="995">
        <f t="shared" si="39"/>
        <v>0</v>
      </c>
      <c r="Z95" s="995">
        <f t="shared" si="39"/>
        <v>0</v>
      </c>
      <c r="AA95" s="995">
        <f t="shared" si="39"/>
        <v>0</v>
      </c>
    </row>
    <row r="97" spans="2:27">
      <c r="B97" s="972" t="s">
        <v>299</v>
      </c>
      <c r="D97" s="972">
        <v>78297000000</v>
      </c>
      <c r="E97" s="972">
        <v>103815000000</v>
      </c>
      <c r="F97" s="972">
        <v>123927000000</v>
      </c>
      <c r="G97" s="972">
        <v>204382000000</v>
      </c>
      <c r="H97" s="972">
        <v>236240000000</v>
      </c>
      <c r="I97" s="972">
        <v>285870000000</v>
      </c>
      <c r="J97" s="972">
        <v>326246000000</v>
      </c>
      <c r="K97" s="972">
        <v>423926000000</v>
      </c>
      <c r="L97" s="972">
        <v>510539000000</v>
      </c>
      <c r="M97" s="972">
        <v>600983000000</v>
      </c>
      <c r="N97" s="972">
        <v>710160000000</v>
      </c>
      <c r="O97" s="972">
        <v>812420000000</v>
      </c>
      <c r="P97" s="972">
        <v>881396000000</v>
      </c>
      <c r="Q97" s="1005">
        <v>1056855000000</v>
      </c>
      <c r="R97" s="1005">
        <v>1415183000000</v>
      </c>
      <c r="S97" s="1233">
        <v>2848000000000</v>
      </c>
      <c r="T97" s="979">
        <v>3532000000000</v>
      </c>
      <c r="U97" s="2432">
        <v>4183000000000</v>
      </c>
      <c r="V97" s="2432">
        <v>4764000000000</v>
      </c>
      <c r="W97" s="2432">
        <v>5339000000000</v>
      </c>
      <c r="X97" s="2432">
        <v>5953000000000</v>
      </c>
      <c r="Y97" s="2432">
        <v>6620000000000</v>
      </c>
      <c r="Z97" s="2432">
        <v>7343000000000</v>
      </c>
      <c r="AA97" s="2432">
        <v>8154000000000</v>
      </c>
    </row>
    <row r="98" spans="2:27">
      <c r="B98" s="972" t="s">
        <v>1286</v>
      </c>
      <c r="D98" s="1139">
        <f t="shared" ref="D98:Q98" si="40">(D6/D97)*100</f>
        <v>28.577084690345732</v>
      </c>
      <c r="E98" s="1139">
        <f t="shared" si="40"/>
        <v>30.093917064008092</v>
      </c>
      <c r="F98" s="1139">
        <f t="shared" si="40"/>
        <v>26.170245386396829</v>
      </c>
      <c r="G98" s="1139">
        <f t="shared" si="40"/>
        <v>20.884422307248194</v>
      </c>
      <c r="H98" s="1139">
        <f t="shared" si="40"/>
        <v>27.860226887910599</v>
      </c>
      <c r="I98" s="1139">
        <f t="shared" si="40"/>
        <v>29.707909189491726</v>
      </c>
      <c r="J98" s="1139">
        <f t="shared" si="40"/>
        <v>35.857910901589598</v>
      </c>
      <c r="K98" s="1139">
        <f t="shared" si="40"/>
        <v>34.824945863193101</v>
      </c>
      <c r="L98" s="1139">
        <f t="shared" si="40"/>
        <v>32.231426002714784</v>
      </c>
      <c r="M98" s="1139">
        <f t="shared" si="40"/>
        <v>35.477376231940006</v>
      </c>
      <c r="N98" s="1139">
        <f t="shared" si="40"/>
        <v>36.611467838233636</v>
      </c>
      <c r="O98" s="1139">
        <f t="shared" si="40"/>
        <v>33.603308633465453</v>
      </c>
      <c r="P98" s="1139">
        <f t="shared" si="40"/>
        <v>29.612115326141712</v>
      </c>
      <c r="Q98" s="1139">
        <f t="shared" si="40"/>
        <v>45.133911463729653</v>
      </c>
      <c r="R98" s="1139">
        <f t="shared" ref="R98:W98" si="41">(R6/R97)*100</f>
        <v>36.249728833656143</v>
      </c>
      <c r="S98" s="1139">
        <f t="shared" si="41"/>
        <v>21.558988764044944</v>
      </c>
      <c r="T98" s="1139">
        <f t="shared" si="41"/>
        <v>21.744054360135902</v>
      </c>
      <c r="U98" s="1139">
        <f t="shared" si="41"/>
        <v>23.90628735357399</v>
      </c>
      <c r="V98" s="1139">
        <f t="shared" si="41"/>
        <v>22.607052896725442</v>
      </c>
      <c r="W98" s="1139">
        <f t="shared" si="41"/>
        <v>23.000561902978088</v>
      </c>
      <c r="X98" s="1139">
        <f t="shared" ref="X98:AA98" si="42">(X6/X97)*100</f>
        <v>22.52645724844616</v>
      </c>
      <c r="Y98" s="1139">
        <f t="shared" si="42"/>
        <v>22.824773413897283</v>
      </c>
      <c r="Z98" s="1139">
        <f t="shared" si="42"/>
        <v>22.919787552771346</v>
      </c>
      <c r="AA98" s="1139">
        <f t="shared" si="42"/>
        <v>22.945793475594801</v>
      </c>
    </row>
    <row r="99" spans="2:27">
      <c r="B99" s="972" t="s">
        <v>1287</v>
      </c>
      <c r="D99" s="1139">
        <f t="shared" ref="D99:R99" si="43">(D23/D97)*100</f>
        <v>34.776555934454706</v>
      </c>
      <c r="E99" s="1139">
        <f t="shared" si="43"/>
        <v>36.459856475461159</v>
      </c>
      <c r="F99" s="1139">
        <f t="shared" si="43"/>
        <v>34.286313716946268</v>
      </c>
      <c r="G99" s="1139">
        <f t="shared" si="43"/>
        <v>30.003620671096282</v>
      </c>
      <c r="H99" s="1139">
        <f t="shared" si="43"/>
        <v>34.090755164239752</v>
      </c>
      <c r="I99" s="1139">
        <f t="shared" si="43"/>
        <v>34.006716339594924</v>
      </c>
      <c r="J99" s="1139">
        <f t="shared" si="43"/>
        <v>36.785125334870003</v>
      </c>
      <c r="K99" s="1139">
        <f t="shared" si="43"/>
        <v>36.228020928180861</v>
      </c>
      <c r="L99" s="1139">
        <f t="shared" si="43"/>
        <v>35.138745521889611</v>
      </c>
      <c r="M99" s="1139">
        <f t="shared" si="43"/>
        <v>41.185690776610983</v>
      </c>
      <c r="N99" s="1139">
        <f t="shared" si="43"/>
        <v>36.189027824715559</v>
      </c>
      <c r="O99" s="1139">
        <f t="shared" si="43"/>
        <v>36.434356613574259</v>
      </c>
      <c r="P99" s="1139">
        <f t="shared" si="43"/>
        <v>36.759867301417302</v>
      </c>
      <c r="Q99" s="1139">
        <f t="shared" si="43"/>
        <v>46.269355777282598</v>
      </c>
      <c r="R99" s="1139">
        <f t="shared" si="43"/>
        <v>45.718468918860673</v>
      </c>
      <c r="S99" s="1139">
        <f t="shared" ref="S99:X99" si="44">(S23/S97)*100</f>
        <v>27.808988764044944</v>
      </c>
      <c r="T99" s="1139">
        <f t="shared" si="44"/>
        <v>28.482446206115515</v>
      </c>
      <c r="U99" s="1139">
        <f t="shared" si="44"/>
        <v>28.711451111642361</v>
      </c>
      <c r="V99" s="1139">
        <f t="shared" si="44"/>
        <v>29.680940386230059</v>
      </c>
      <c r="W99" s="1139">
        <f t="shared" si="44"/>
        <v>25.978647686832741</v>
      </c>
      <c r="X99" s="1139">
        <f t="shared" si="44"/>
        <v>24.72702838904754</v>
      </c>
      <c r="Y99" s="1139">
        <f t="shared" ref="Y99:AA99" si="45">(Y23/Y97)*100</f>
        <v>24.758308157099698</v>
      </c>
      <c r="Z99" s="1139">
        <f t="shared" si="45"/>
        <v>24.553997003949341</v>
      </c>
      <c r="AA99" s="1139">
        <f t="shared" si="45"/>
        <v>24.331616384596515</v>
      </c>
    </row>
    <row r="103" spans="2:27">
      <c r="B103" s="972" t="s">
        <v>153</v>
      </c>
      <c r="D103" s="972" t="b">
        <f t="shared" ref="D103:U103" si="46">IF(D57&lt;0, (D57/D24)*100)</f>
        <v>0</v>
      </c>
      <c r="E103" s="972" t="b">
        <f t="shared" si="46"/>
        <v>0</v>
      </c>
      <c r="F103" s="972" t="b">
        <f t="shared" si="46"/>
        <v>0</v>
      </c>
      <c r="G103" s="972" t="b">
        <f t="shared" si="46"/>
        <v>0</v>
      </c>
      <c r="H103" s="972" t="b">
        <f t="shared" si="46"/>
        <v>0</v>
      </c>
      <c r="I103" s="972" t="b">
        <f t="shared" si="46"/>
        <v>0</v>
      </c>
      <c r="J103" s="972" t="b">
        <f t="shared" si="46"/>
        <v>0</v>
      </c>
      <c r="K103" s="972" t="b">
        <f t="shared" si="46"/>
        <v>0</v>
      </c>
      <c r="L103" s="972" t="b">
        <f t="shared" si="46"/>
        <v>0</v>
      </c>
      <c r="M103" s="972" t="b">
        <f t="shared" si="46"/>
        <v>0</v>
      </c>
      <c r="N103" s="972" t="b">
        <f t="shared" si="46"/>
        <v>0</v>
      </c>
      <c r="O103" s="972" t="b">
        <f t="shared" si="46"/>
        <v>0</v>
      </c>
      <c r="P103" s="972" t="b">
        <f t="shared" si="46"/>
        <v>0</v>
      </c>
      <c r="Q103" s="972" t="b">
        <f t="shared" si="46"/>
        <v>0</v>
      </c>
      <c r="R103" s="972" t="b">
        <f t="shared" si="46"/>
        <v>0</v>
      </c>
      <c r="S103" s="972" t="b">
        <f t="shared" si="46"/>
        <v>0</v>
      </c>
      <c r="T103" s="972" t="b">
        <f t="shared" si="46"/>
        <v>0</v>
      </c>
      <c r="U103" s="972" t="b">
        <f t="shared" si="46"/>
        <v>0</v>
      </c>
      <c r="V103" s="972" t="b">
        <f>IF(V57&lt;0, (V57/V24)*100)</f>
        <v>0</v>
      </c>
      <c r="W103" s="972" t="b">
        <f>IF(W57&lt;0, (W57/W24)*100)</f>
        <v>0</v>
      </c>
    </row>
    <row r="117" spans="19:19">
      <c r="S117" s="995">
        <v>66599305</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D24" sqref="D24:G24"/>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7.85546875" bestFit="1"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69" t="s">
        <v>4149</v>
      </c>
      <c r="B1" s="82" t="s">
        <v>4150</v>
      </c>
      <c r="C1" s="82"/>
      <c r="D1" s="27"/>
      <c r="E1" s="27"/>
      <c r="F1" s="27"/>
      <c r="G1" s="27"/>
      <c r="H1" s="27"/>
      <c r="I1" s="27"/>
      <c r="J1" s="27"/>
      <c r="K1" s="27"/>
      <c r="L1" s="27"/>
      <c r="M1" s="27"/>
      <c r="N1" s="27"/>
      <c r="O1" s="28"/>
      <c r="P1" s="28"/>
      <c r="Q1" s="28"/>
      <c r="R1" s="29"/>
      <c r="S1" s="28"/>
      <c r="T1" s="28"/>
      <c r="U1" s="28"/>
      <c r="V1" s="28"/>
      <c r="W1" s="28"/>
      <c r="X1" s="2"/>
    </row>
    <row r="2" spans="1:39">
      <c r="B2" s="30" t="s">
        <v>4151</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8" t="s">
        <v>785</v>
      </c>
      <c r="B6" s="258" t="s">
        <v>785</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5" t="s">
        <v>38</v>
      </c>
      <c r="D7" s="293">
        <v>61864000000</v>
      </c>
      <c r="E7" s="293">
        <v>79567000000</v>
      </c>
      <c r="F7" s="293">
        <v>83514000000</v>
      </c>
      <c r="G7" s="293">
        <v>92608000000</v>
      </c>
      <c r="H7" s="319">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3">
        <v>47173000000</v>
      </c>
      <c r="E8" s="293">
        <v>61491000000</v>
      </c>
      <c r="F8" s="293">
        <v>66859000000</v>
      </c>
      <c r="G8" s="293">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4152</v>
      </c>
      <c r="B9" s="99" t="s">
        <v>4153</v>
      </c>
      <c r="C9" s="34" t="s">
        <v>44</v>
      </c>
      <c r="D9" s="293">
        <v>40165000000</v>
      </c>
      <c r="E9" s="293">
        <v>50801000000</v>
      </c>
      <c r="F9" s="293">
        <v>58456000000</v>
      </c>
      <c r="G9" s="293">
        <v>55318000000</v>
      </c>
      <c r="H9" s="319">
        <f>H10+H11+H12</f>
        <v>59730174000</v>
      </c>
      <c r="I9" s="319">
        <f>I10+I11+I12</f>
        <v>67947125000</v>
      </c>
      <c r="J9" s="125">
        <v>66242913000</v>
      </c>
      <c r="K9" s="125"/>
      <c r="L9" s="125"/>
      <c r="M9" s="125"/>
      <c r="N9" s="142"/>
      <c r="O9" s="142"/>
      <c r="P9" s="142"/>
      <c r="Q9" s="142"/>
      <c r="V9" s="28"/>
      <c r="W9" s="28"/>
      <c r="X9" s="2"/>
    </row>
    <row r="10" spans="1:39" ht="16.5">
      <c r="A10" s="100" t="s">
        <v>4154</v>
      </c>
      <c r="B10" s="100" t="s">
        <v>4155</v>
      </c>
      <c r="C10" s="34" t="s">
        <v>4156</v>
      </c>
      <c r="D10" s="293">
        <v>23146000000</v>
      </c>
      <c r="E10" s="293">
        <v>32239000000</v>
      </c>
      <c r="F10" s="293">
        <v>36715000000</v>
      </c>
      <c r="G10" s="293">
        <v>34550000000</v>
      </c>
      <c r="H10" s="125">
        <v>37449871000</v>
      </c>
      <c r="I10" s="125">
        <v>40768275000</v>
      </c>
      <c r="J10" s="125">
        <v>42371593000.000008</v>
      </c>
      <c r="K10" s="125"/>
      <c r="L10" s="125"/>
      <c r="M10" s="125"/>
      <c r="N10" s="142"/>
      <c r="O10" s="142"/>
      <c r="P10" s="142"/>
      <c r="Q10" s="142"/>
      <c r="V10" s="28"/>
      <c r="W10" s="28"/>
      <c r="X10" s="2"/>
    </row>
    <row r="11" spans="1:39" ht="16.5">
      <c r="A11" s="100" t="s">
        <v>4157</v>
      </c>
      <c r="B11" s="100" t="s">
        <v>4158</v>
      </c>
      <c r="C11" s="34" t="s">
        <v>4156</v>
      </c>
      <c r="D11" s="293">
        <v>13386000000</v>
      </c>
      <c r="E11" s="293">
        <v>15333000000</v>
      </c>
      <c r="F11" s="293">
        <v>18037000000</v>
      </c>
      <c r="G11" s="293">
        <v>16799000000</v>
      </c>
      <c r="H11" s="125">
        <v>18487911000</v>
      </c>
      <c r="I11" s="125">
        <v>23373811000</v>
      </c>
      <c r="J11" s="125">
        <v>20887405000</v>
      </c>
      <c r="K11" s="125"/>
      <c r="L11" s="125"/>
      <c r="M11" s="125"/>
      <c r="N11" s="142"/>
      <c r="O11" s="142"/>
      <c r="P11" s="142"/>
      <c r="Q11" s="142"/>
      <c r="V11" s="28"/>
      <c r="W11" s="28"/>
      <c r="X11" s="2"/>
    </row>
    <row r="12" spans="1:39" ht="16.5">
      <c r="A12" s="100" t="s">
        <v>643</v>
      </c>
      <c r="B12" s="100" t="s">
        <v>3946</v>
      </c>
      <c r="C12" s="34" t="s">
        <v>4156</v>
      </c>
      <c r="D12" s="293">
        <v>3633000000</v>
      </c>
      <c r="E12" s="293">
        <v>3229000000</v>
      </c>
      <c r="F12" s="293">
        <v>3704000000</v>
      </c>
      <c r="G12" s="293">
        <v>3969000000</v>
      </c>
      <c r="H12" s="125">
        <v>3792392000</v>
      </c>
      <c r="I12" s="125">
        <v>3805039000</v>
      </c>
      <c r="J12" s="125">
        <v>2983915000</v>
      </c>
      <c r="K12" s="125"/>
      <c r="L12" s="125"/>
      <c r="M12" s="125"/>
      <c r="N12" s="142"/>
      <c r="O12" s="142"/>
      <c r="P12" s="142"/>
      <c r="Q12" s="142"/>
      <c r="V12" s="28"/>
      <c r="W12" s="28"/>
      <c r="X12" s="2"/>
    </row>
    <row r="13" spans="1:39" ht="16.5">
      <c r="A13" s="99" t="s">
        <v>4159</v>
      </c>
      <c r="B13" s="99" t="s">
        <v>4160</v>
      </c>
      <c r="C13" s="34" t="s">
        <v>44</v>
      </c>
      <c r="D13" s="293">
        <v>7008000000</v>
      </c>
      <c r="E13" s="293">
        <v>10690000000</v>
      </c>
      <c r="F13" s="293">
        <v>8403000000</v>
      </c>
      <c r="G13" s="293">
        <v>9573000000</v>
      </c>
      <c r="H13" s="125">
        <v>12799323000</v>
      </c>
      <c r="I13" s="125">
        <v>17394464000</v>
      </c>
      <c r="J13" s="125">
        <v>26258452000</v>
      </c>
      <c r="K13" s="125"/>
      <c r="L13" s="125"/>
      <c r="M13" s="125"/>
      <c r="N13" s="142"/>
      <c r="O13" s="142"/>
      <c r="P13" s="142"/>
      <c r="Q13" s="142"/>
      <c r="V13" s="28"/>
      <c r="W13" s="28"/>
      <c r="X13" s="2"/>
    </row>
    <row r="14" spans="1:39" ht="16.5">
      <c r="A14" s="90" t="s">
        <v>560</v>
      </c>
      <c r="B14" s="90" t="s">
        <v>378</v>
      </c>
      <c r="C14" s="58" t="s">
        <v>41</v>
      </c>
      <c r="D14" s="293">
        <v>14691000000</v>
      </c>
      <c r="E14" s="293">
        <v>18076000000</v>
      </c>
      <c r="F14" s="293">
        <v>16655000000</v>
      </c>
      <c r="G14" s="293">
        <v>27717000000</v>
      </c>
      <c r="H14" s="319">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1" t="s">
        <v>372</v>
      </c>
      <c r="B15" s="451" t="s">
        <v>4161</v>
      </c>
      <c r="C15" s="34" t="s">
        <v>1515</v>
      </c>
      <c r="D15" s="125"/>
      <c r="E15" s="125"/>
      <c r="F15" s="125"/>
      <c r="G15" s="125"/>
      <c r="H15" s="331">
        <v>11377176000</v>
      </c>
      <c r="I15" s="331">
        <v>14676579000.000002</v>
      </c>
      <c r="J15" s="331">
        <v>23274537000</v>
      </c>
      <c r="K15" s="125"/>
      <c r="L15" s="125"/>
      <c r="M15" s="125"/>
      <c r="N15" s="142"/>
      <c r="O15" s="142"/>
      <c r="P15" s="142"/>
      <c r="Q15" s="142"/>
      <c r="V15" s="28"/>
      <c r="W15" s="28"/>
      <c r="X15" s="2"/>
    </row>
    <row r="16" spans="1:39" ht="16.5">
      <c r="A16" s="451" t="s">
        <v>50</v>
      </c>
      <c r="B16" s="451" t="s">
        <v>4162</v>
      </c>
      <c r="C16" s="34" t="s">
        <v>1515</v>
      </c>
      <c r="D16" s="125"/>
      <c r="E16" s="125"/>
      <c r="F16" s="125"/>
      <c r="G16" s="125"/>
      <c r="H16" s="331">
        <v>15643617000</v>
      </c>
      <c r="I16" s="331">
        <v>11958694000</v>
      </c>
      <c r="J16" s="331">
        <v>13129226000</v>
      </c>
      <c r="K16" s="125"/>
      <c r="L16" s="125"/>
      <c r="M16" s="125"/>
      <c r="N16" s="142"/>
      <c r="O16" s="142"/>
      <c r="P16" s="142"/>
      <c r="Q16" s="142"/>
      <c r="V16" s="28"/>
      <c r="W16" s="28"/>
      <c r="X16" s="2"/>
    </row>
    <row r="17" spans="1:39" ht="16.5">
      <c r="A17" s="451"/>
      <c r="B17" s="451" t="s">
        <v>1967</v>
      </c>
      <c r="C17" s="34" t="s">
        <v>44</v>
      </c>
      <c r="D17" s="125"/>
      <c r="E17" s="125"/>
      <c r="F17" s="125"/>
      <c r="G17" s="125"/>
      <c r="H17" s="331"/>
      <c r="I17" s="331"/>
      <c r="J17" s="331"/>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1"/>
      <c r="B18" s="451" t="s">
        <v>1129</v>
      </c>
      <c r="C18" s="34" t="s">
        <v>44</v>
      </c>
      <c r="D18" s="125"/>
      <c r="E18" s="125"/>
      <c r="F18" s="125"/>
      <c r="G18" s="125"/>
      <c r="H18" s="331"/>
      <c r="I18" s="331"/>
      <c r="J18" s="331"/>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1"/>
      <c r="B19" s="451" t="s">
        <v>7160</v>
      </c>
      <c r="C19" s="34" t="s">
        <v>1515</v>
      </c>
      <c r="D19" s="125"/>
      <c r="E19" s="125"/>
      <c r="F19" s="125"/>
      <c r="G19" s="125"/>
      <c r="H19" s="331"/>
      <c r="I19" s="331"/>
      <c r="J19" s="331"/>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1"/>
      <c r="B20" s="451" t="s">
        <v>3104</v>
      </c>
      <c r="C20" s="34" t="s">
        <v>1515</v>
      </c>
      <c r="D20" s="125"/>
      <c r="E20" s="125"/>
      <c r="F20" s="125"/>
      <c r="G20" s="125"/>
      <c r="H20" s="331"/>
      <c r="I20" s="331"/>
      <c r="J20" s="331"/>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1"/>
      <c r="B21" s="451"/>
      <c r="C21" s="34"/>
      <c r="D21" s="125"/>
      <c r="E21" s="125"/>
      <c r="F21" s="125"/>
      <c r="G21" s="125"/>
      <c r="H21" s="331"/>
      <c r="I21" s="331"/>
      <c r="J21" s="331"/>
      <c r="K21" s="125"/>
      <c r="L21" s="125"/>
      <c r="M21" s="125"/>
      <c r="N21" s="142"/>
      <c r="O21" s="142"/>
      <c r="P21" s="142"/>
      <c r="Q21" s="142"/>
      <c r="T21" s="21"/>
      <c r="U21" s="21"/>
      <c r="V21" s="298"/>
      <c r="W21" s="28"/>
      <c r="X21" s="2"/>
    </row>
    <row r="22" spans="1:39" ht="16.5">
      <c r="A22" s="451"/>
      <c r="B22" s="451"/>
      <c r="C22" s="34"/>
      <c r="D22" s="125"/>
      <c r="E22" s="125"/>
      <c r="F22" s="125"/>
      <c r="G22" s="125"/>
      <c r="H22" s="331"/>
      <c r="I22" s="331"/>
      <c r="J22" s="331"/>
      <c r="K22" s="125"/>
      <c r="L22" s="125"/>
      <c r="M22" s="125"/>
      <c r="N22" s="142"/>
      <c r="O22" s="142"/>
      <c r="P22" s="142"/>
      <c r="Q22" s="142"/>
      <c r="T22" s="21"/>
      <c r="U22" s="21"/>
      <c r="V22" s="298"/>
      <c r="W22" s="28"/>
      <c r="X22" s="2"/>
    </row>
    <row r="23" spans="1:39" s="15" customFormat="1">
      <c r="A23" s="452" t="s">
        <v>795</v>
      </c>
      <c r="B23" s="452" t="s">
        <v>795</v>
      </c>
      <c r="C23" s="406" t="s">
        <v>38</v>
      </c>
      <c r="D23" s="335">
        <v>0</v>
      </c>
      <c r="E23" s="335">
        <v>0</v>
      </c>
      <c r="F23" s="335">
        <v>0</v>
      </c>
      <c r="G23" s="335">
        <v>0</v>
      </c>
      <c r="H23" s="335">
        <v>0</v>
      </c>
      <c r="I23" s="335">
        <v>0</v>
      </c>
      <c r="J23" s="335">
        <v>0</v>
      </c>
      <c r="K23" s="335">
        <v>0</v>
      </c>
      <c r="L23" s="335">
        <v>0</v>
      </c>
      <c r="M23" s="335">
        <v>0</v>
      </c>
      <c r="N23" s="335">
        <v>0</v>
      </c>
      <c r="O23" s="335">
        <v>0</v>
      </c>
      <c r="P23" s="335">
        <v>0</v>
      </c>
      <c r="Q23" s="335">
        <v>0</v>
      </c>
      <c r="R23" s="335">
        <v>0</v>
      </c>
      <c r="S23" s="335">
        <v>0</v>
      </c>
      <c r="T23" s="335">
        <v>0</v>
      </c>
      <c r="U23" s="335">
        <v>0</v>
      </c>
      <c r="V23" s="335">
        <v>0</v>
      </c>
      <c r="W23" s="335"/>
      <c r="X23" s="335"/>
      <c r="Y23"/>
      <c r="Z23"/>
      <c r="AA23"/>
      <c r="AB23"/>
      <c r="AC23"/>
      <c r="AD23"/>
      <c r="AE23"/>
      <c r="AF23"/>
      <c r="AG23"/>
      <c r="AH23"/>
      <c r="AI23"/>
      <c r="AJ23"/>
      <c r="AK23"/>
      <c r="AL23"/>
      <c r="AM23"/>
    </row>
    <row r="24" spans="1:39" s="15" customFormat="1" ht="16.5">
      <c r="A24" s="170" t="s">
        <v>71</v>
      </c>
      <c r="B24" s="252" t="s">
        <v>535</v>
      </c>
      <c r="C24" s="55" t="s">
        <v>35</v>
      </c>
      <c r="D24" s="447">
        <f>D25+D33+D34</f>
        <v>84488000000</v>
      </c>
      <c r="E24" s="447">
        <f t="shared" ref="E24:G24" si="9">E25+E33+E34</f>
        <v>98993000000</v>
      </c>
      <c r="F24" s="447">
        <f t="shared" si="9"/>
        <v>104675000000</v>
      </c>
      <c r="G24" s="447">
        <f t="shared" si="9"/>
        <v>114577000000</v>
      </c>
      <c r="H24" s="453">
        <v>118986299000</v>
      </c>
      <c r="I24" s="319">
        <f>I25+I33+I34</f>
        <v>129914903000</v>
      </c>
      <c r="J24" s="319">
        <f>J25+J33+J34</f>
        <v>148598967000</v>
      </c>
      <c r="K24" s="335">
        <v>160543000000</v>
      </c>
      <c r="L24" s="319">
        <f>L25+L33+L34</f>
        <v>192892000000</v>
      </c>
      <c r="M24" s="335">
        <v>202361000000</v>
      </c>
      <c r="N24" s="343">
        <v>200729000000</v>
      </c>
      <c r="O24" s="343">
        <v>227511000000</v>
      </c>
      <c r="P24" s="343">
        <v>250015000000</v>
      </c>
      <c r="Q24" s="343">
        <v>250574000000</v>
      </c>
      <c r="R24" s="410">
        <v>258040000000</v>
      </c>
      <c r="S24" s="410">
        <v>256374000000</v>
      </c>
      <c r="T24" s="475">
        <f>T25+T33</f>
        <v>250800000000</v>
      </c>
      <c r="U24" s="475">
        <f t="shared" ref="U24:V24" si="10">U25+U33</f>
        <v>267300000000</v>
      </c>
      <c r="V24" s="475">
        <f t="shared" si="10"/>
        <v>283500000000</v>
      </c>
      <c r="W24" s="475"/>
      <c r="X24" s="475"/>
      <c r="Y24"/>
      <c r="Z24"/>
      <c r="AA24"/>
      <c r="AB24"/>
      <c r="AC24"/>
      <c r="AD24"/>
      <c r="AE24"/>
      <c r="AF24"/>
      <c r="AG24"/>
      <c r="AH24"/>
      <c r="AI24"/>
      <c r="AJ24"/>
      <c r="AK24"/>
      <c r="AL24"/>
      <c r="AM24"/>
    </row>
    <row r="25" spans="1:39" ht="16.5">
      <c r="A25" s="448" t="s">
        <v>476</v>
      </c>
      <c r="B25" s="139" t="s">
        <v>382</v>
      </c>
      <c r="C25" s="58" t="s">
        <v>201</v>
      </c>
      <c r="D25" s="293">
        <v>57829000000</v>
      </c>
      <c r="E25" s="293">
        <v>64991000000</v>
      </c>
      <c r="F25" s="293">
        <v>71115000000</v>
      </c>
      <c r="G25" s="293">
        <v>78751000000</v>
      </c>
      <c r="H25" s="331">
        <v>93387653000</v>
      </c>
      <c r="I25" s="319">
        <f>I26+I27+I28+I29+I31+I32</f>
        <v>103823207000</v>
      </c>
      <c r="J25" s="319">
        <f>J26+J27+J28+J29+J31+J32</f>
        <v>113985553000</v>
      </c>
      <c r="K25" s="125">
        <v>124654000000</v>
      </c>
      <c r="L25" s="319">
        <f>L26+L27+L28+L29+L31+L32</f>
        <v>153936000000</v>
      </c>
      <c r="M25" s="125">
        <v>157148000000</v>
      </c>
      <c r="N25" s="142">
        <v>152429000000</v>
      </c>
      <c r="O25" s="142">
        <v>183639000000</v>
      </c>
      <c r="P25" s="142">
        <v>207357000000</v>
      </c>
      <c r="Q25" s="142">
        <v>213893000000</v>
      </c>
      <c r="R25" s="410">
        <v>219589000000</v>
      </c>
      <c r="S25" s="410">
        <v>217014000000</v>
      </c>
      <c r="T25" s="475">
        <f>T26+T27+T28+T29+T31+T32</f>
        <v>213400000000</v>
      </c>
      <c r="U25" s="475">
        <f t="shared" ref="U25:V25" si="11">U26+U27+U28+U29+U31+U32</f>
        <v>221300000000</v>
      </c>
      <c r="V25" s="475">
        <f t="shared" si="11"/>
        <v>236500000000</v>
      </c>
      <c r="W25" s="475"/>
      <c r="X25" s="475"/>
    </row>
    <row r="26" spans="1:39" ht="16.5">
      <c r="A26" s="99" t="s">
        <v>797</v>
      </c>
      <c r="B26" s="99" t="s">
        <v>383</v>
      </c>
      <c r="C26" s="34" t="s">
        <v>81</v>
      </c>
      <c r="D26" s="293">
        <v>16357000000</v>
      </c>
      <c r="E26" s="293">
        <v>17443000000</v>
      </c>
      <c r="F26" s="293">
        <v>20242000000</v>
      </c>
      <c r="G26" s="293">
        <v>21721000000</v>
      </c>
      <c r="H26" s="331">
        <v>23702450000</v>
      </c>
      <c r="I26" s="331">
        <v>26635273000</v>
      </c>
      <c r="J26" s="331">
        <v>29839150000</v>
      </c>
      <c r="K26" s="125">
        <v>32587000000</v>
      </c>
      <c r="L26" s="125">
        <v>41011000000</v>
      </c>
      <c r="M26" s="125">
        <v>42778000000</v>
      </c>
      <c r="N26" s="142">
        <v>46663000000</v>
      </c>
      <c r="O26" s="142">
        <v>50148000000</v>
      </c>
      <c r="P26" s="142">
        <v>60016000000</v>
      </c>
      <c r="Q26" s="142">
        <v>61002000000</v>
      </c>
      <c r="R26" s="410">
        <v>66947000000</v>
      </c>
      <c r="S26" s="410">
        <v>71813000000</v>
      </c>
      <c r="T26" s="125">
        <v>73100000000</v>
      </c>
      <c r="U26" s="125">
        <v>78800000000</v>
      </c>
      <c r="V26" s="125">
        <v>79100000000</v>
      </c>
      <c r="W26" s="28"/>
      <c r="X26" s="2"/>
      <c r="Y26" s="2"/>
      <c r="Z26" s="2"/>
    </row>
    <row r="27" spans="1:39" ht="16.5">
      <c r="A27" s="99" t="s">
        <v>1059</v>
      </c>
      <c r="B27" s="99" t="s">
        <v>384</v>
      </c>
      <c r="C27" s="34" t="s">
        <v>81</v>
      </c>
      <c r="D27" s="293">
        <v>9214000000</v>
      </c>
      <c r="E27" s="293">
        <v>13275000000</v>
      </c>
      <c r="F27" s="293">
        <v>14654000000</v>
      </c>
      <c r="G27" s="293">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0">
        <v>34259000000</v>
      </c>
      <c r="S27" s="410">
        <v>36638000000</v>
      </c>
      <c r="T27" s="125">
        <v>34000000000</v>
      </c>
      <c r="U27" s="142">
        <v>34600000000</v>
      </c>
      <c r="V27" s="298">
        <v>36600000000</v>
      </c>
      <c r="W27" s="28"/>
      <c r="X27" s="2"/>
      <c r="Y27" s="2"/>
      <c r="Z27" s="2"/>
    </row>
    <row r="28" spans="1:39" ht="16.5">
      <c r="A28" s="152" t="s">
        <v>91</v>
      </c>
      <c r="B28" s="152" t="s">
        <v>91</v>
      </c>
      <c r="C28" s="34" t="s">
        <v>81</v>
      </c>
      <c r="D28" s="293">
        <v>9055000000</v>
      </c>
      <c r="E28" s="293">
        <v>9634000000</v>
      </c>
      <c r="F28" s="293">
        <v>9669000000</v>
      </c>
      <c r="G28" s="293">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0">
        <v>22588000000</v>
      </c>
      <c r="S28" s="410">
        <v>24379000000</v>
      </c>
      <c r="T28" s="125">
        <v>26500000000</v>
      </c>
      <c r="U28" s="125">
        <v>28900000000</v>
      </c>
      <c r="V28" s="125">
        <v>30900000000</v>
      </c>
      <c r="W28" s="28"/>
      <c r="X28" s="2"/>
      <c r="Y28" s="2"/>
      <c r="Z28" s="2"/>
    </row>
    <row r="29" spans="1:39" ht="16.5">
      <c r="A29" s="152" t="s">
        <v>215</v>
      </c>
      <c r="B29" s="152" t="s">
        <v>215</v>
      </c>
      <c r="C29" s="34" t="s">
        <v>81</v>
      </c>
      <c r="D29" s="293">
        <v>23203000000</v>
      </c>
      <c r="E29" s="293">
        <v>24639000000</v>
      </c>
      <c r="F29" s="293">
        <v>26550000000</v>
      </c>
      <c r="G29" s="293">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0">
        <v>39703000000</v>
      </c>
      <c r="S29" s="410">
        <v>26219000000</v>
      </c>
      <c r="T29" s="125">
        <v>24700000000</v>
      </c>
      <c r="U29" s="125">
        <v>23100000000</v>
      </c>
      <c r="V29" s="125">
        <v>26500000000</v>
      </c>
      <c r="W29" s="28"/>
      <c r="X29" s="2"/>
      <c r="Y29" s="2"/>
      <c r="Z29" s="2"/>
    </row>
    <row r="30" spans="1:39" ht="16.5">
      <c r="A30" t="s">
        <v>76</v>
      </c>
      <c r="B30" s="100" t="s">
        <v>4163</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0">
        <v>20591000000</v>
      </c>
      <c r="S30" s="410">
        <v>7304000000</v>
      </c>
      <c r="T30" s="142"/>
      <c r="U30" s="142"/>
      <c r="V30" s="298"/>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0">
        <v>36538000000</v>
      </c>
      <c r="S31" s="410">
        <v>38148000000</v>
      </c>
      <c r="T31" s="125">
        <v>33299999999.999996</v>
      </c>
      <c r="U31" s="125">
        <v>31400000000</v>
      </c>
      <c r="V31" s="125">
        <v>38000000000</v>
      </c>
      <c r="W31" s="28"/>
      <c r="X31" s="2"/>
      <c r="Y31" s="2"/>
      <c r="Z31" s="2"/>
    </row>
    <row r="32" spans="1:39" ht="16.5">
      <c r="A32" s="99" t="s">
        <v>4164</v>
      </c>
      <c r="B32" s="99" t="s">
        <v>4165</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0">
        <v>19554000000</v>
      </c>
      <c r="S32" s="410">
        <v>19817000000</v>
      </c>
      <c r="T32" s="125">
        <v>21800000000</v>
      </c>
      <c r="U32" s="125">
        <v>24500000000</v>
      </c>
      <c r="V32" s="125">
        <v>25400000000</v>
      </c>
      <c r="W32" s="28"/>
      <c r="X32" s="2"/>
      <c r="Y32" s="2"/>
      <c r="Z32" s="2"/>
    </row>
    <row r="33" spans="1:26" ht="16.5">
      <c r="A33" s="152" t="s">
        <v>1069</v>
      </c>
      <c r="B33" s="90" t="s">
        <v>393</v>
      </c>
      <c r="C33" s="58" t="s">
        <v>201</v>
      </c>
      <c r="D33" s="293">
        <v>26659000000</v>
      </c>
      <c r="E33" s="293">
        <v>34002000000</v>
      </c>
      <c r="F33" s="293">
        <v>33560000000</v>
      </c>
      <c r="G33" s="293">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0">
        <v>38451000000</v>
      </c>
      <c r="S33" s="410">
        <v>39360000000</v>
      </c>
      <c r="T33" s="125">
        <v>37400000000</v>
      </c>
      <c r="U33" s="125">
        <v>46000000000</v>
      </c>
      <c r="V33" s="298">
        <v>47000000000</v>
      </c>
      <c r="W33" s="28"/>
      <c r="X33" s="2"/>
      <c r="Y33" s="2"/>
      <c r="Z33" s="2"/>
    </row>
    <row r="34" spans="1:26" ht="16.5">
      <c r="A34" s="90" t="s">
        <v>612</v>
      </c>
      <c r="B34" s="90" t="s">
        <v>588</v>
      </c>
      <c r="C34" s="58" t="s">
        <v>201</v>
      </c>
      <c r="D34" s="2753">
        <v>0</v>
      </c>
      <c r="E34" s="2753">
        <v>0</v>
      </c>
      <c r="F34" s="2753">
        <v>0</v>
      </c>
      <c r="G34" s="2753">
        <v>0</v>
      </c>
      <c r="H34" s="125"/>
      <c r="I34" s="125"/>
      <c r="J34" s="125"/>
      <c r="K34" s="125"/>
      <c r="L34" s="125"/>
      <c r="M34" s="125"/>
      <c r="N34" s="142"/>
      <c r="O34" s="142"/>
      <c r="P34" s="142"/>
      <c r="Q34" s="142"/>
      <c r="T34" s="21"/>
      <c r="U34" s="21"/>
      <c r="V34" s="298"/>
      <c r="W34" s="28"/>
      <c r="X34" s="2"/>
    </row>
    <row r="35" spans="1:26" ht="16.5">
      <c r="A35" t="s">
        <v>76</v>
      </c>
      <c r="B35" s="90" t="s">
        <v>2455</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0">
        <v>1037000000</v>
      </c>
      <c r="S35" s="410">
        <v>2141000000</v>
      </c>
      <c r="T35" s="475"/>
      <c r="U35" s="475"/>
      <c r="V35" s="298"/>
      <c r="W35" s="28"/>
      <c r="X35" s="2"/>
    </row>
    <row r="36" spans="1:26" ht="16.5">
      <c r="A36" t="s">
        <v>76</v>
      </c>
      <c r="B36" s="90" t="s">
        <v>4166</v>
      </c>
      <c r="C36" s="34"/>
      <c r="D36" s="293">
        <v>-19715000000</v>
      </c>
      <c r="E36" s="293">
        <v>-18423000000</v>
      </c>
      <c r="F36" s="293">
        <v>-20253000000</v>
      </c>
      <c r="G36" s="293">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0">
        <v>-37414000000</v>
      </c>
      <c r="S36" s="410">
        <v>-37219000000</v>
      </c>
      <c r="T36" s="475"/>
      <c r="U36" s="475"/>
      <c r="V36" s="298"/>
      <c r="W36" s="28"/>
      <c r="X36" s="2"/>
    </row>
    <row r="37" spans="1:26" ht="16.5">
      <c r="A37" t="s">
        <v>76</v>
      </c>
      <c r="B37" s="90" t="s">
        <v>4167</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0">
        <v>-37414000000</v>
      </c>
      <c r="S37" s="410">
        <v>-37219000000</v>
      </c>
      <c r="T37" s="475"/>
      <c r="U37" s="475"/>
      <c r="V37" s="298"/>
      <c r="W37" s="28"/>
      <c r="X37" s="2"/>
    </row>
    <row r="38" spans="1:26" s="15" customFormat="1">
      <c r="A38" s="96" t="s">
        <v>115</v>
      </c>
      <c r="B38" s="160" t="s">
        <v>115</v>
      </c>
      <c r="C38" s="258" t="s">
        <v>35</v>
      </c>
      <c r="D38" s="447">
        <v>19715000000</v>
      </c>
      <c r="E38" s="447">
        <v>18423000000</v>
      </c>
      <c r="F38" s="447">
        <v>20253000000</v>
      </c>
      <c r="G38" s="447">
        <v>20928000000</v>
      </c>
      <c r="H38" s="453">
        <v>18961960000</v>
      </c>
      <c r="I38" s="351">
        <f>I39+I40</f>
        <v>18481618000</v>
      </c>
      <c r="J38" s="453">
        <v>19693839000</v>
      </c>
      <c r="K38" s="335">
        <f>K41+K48</f>
        <v>21850000000</v>
      </c>
      <c r="L38" s="335">
        <f t="shared" ref="L38:S38" si="12">L41+L48</f>
        <v>36414000000</v>
      </c>
      <c r="M38" s="335">
        <f t="shared" si="12"/>
        <v>53364000000</v>
      </c>
      <c r="N38" s="335">
        <f t="shared" si="12"/>
        <v>37964000000</v>
      </c>
      <c r="O38" s="335">
        <f t="shared" si="12"/>
        <v>49146000000</v>
      </c>
      <c r="P38" s="335">
        <f t="shared" si="12"/>
        <v>37558000000</v>
      </c>
      <c r="Q38" s="335">
        <f>Q41+Q48</f>
        <v>36036000000</v>
      </c>
      <c r="R38" s="335">
        <f t="shared" si="12"/>
        <v>32638000000</v>
      </c>
      <c r="S38" s="335">
        <f t="shared" si="12"/>
        <v>34363000000</v>
      </c>
      <c r="T38" s="335">
        <f>T39+T40</f>
        <v>38400000000</v>
      </c>
      <c r="U38" s="335">
        <f t="shared" ref="U38:V38" si="13">U39+U40</f>
        <v>36600000000</v>
      </c>
      <c r="V38" s="335">
        <f t="shared" si="13"/>
        <v>50000000000</v>
      </c>
      <c r="W38" s="200"/>
      <c r="X38" s="201"/>
    </row>
    <row r="39" spans="1:26">
      <c r="A39" s="90" t="s">
        <v>117</v>
      </c>
      <c r="B39" s="58" t="s">
        <v>280</v>
      </c>
      <c r="C39" s="58" t="s">
        <v>252</v>
      </c>
      <c r="D39" s="293">
        <v>864000000</v>
      </c>
      <c r="E39" s="293">
        <v>6295000000</v>
      </c>
      <c r="F39" s="293">
        <v>8020000000</v>
      </c>
      <c r="G39" s="293">
        <v>-3709000000</v>
      </c>
      <c r="H39" s="331">
        <v>0</v>
      </c>
      <c r="I39" s="331">
        <v>-3805039000</v>
      </c>
      <c r="J39" s="331">
        <v>-2983915000</v>
      </c>
      <c r="K39" s="21">
        <f t="shared" ref="K39:O39" si="14">K47+K54</f>
        <v>10789000000</v>
      </c>
      <c r="L39" s="21">
        <f t="shared" si="14"/>
        <v>-2619000000</v>
      </c>
      <c r="M39" s="21">
        <f>M47+M54</f>
        <v>6227000000</v>
      </c>
      <c r="N39" s="21">
        <f t="shared" si="14"/>
        <v>36553000000</v>
      </c>
      <c r="O39" s="21">
        <f t="shared" si="14"/>
        <v>29808000000</v>
      </c>
      <c r="P39" s="21">
        <f>P47+P54</f>
        <v>28127000000</v>
      </c>
      <c r="Q39" s="21">
        <f>Q47+Q54</f>
        <v>9037000000</v>
      </c>
      <c r="R39" s="21">
        <f>R47+R54</f>
        <v>8742000000</v>
      </c>
      <c r="S39" s="21"/>
      <c r="T39" s="125">
        <f>T54</f>
        <v>5500000000</v>
      </c>
      <c r="U39" s="125">
        <f t="shared" ref="U39:V39" si="15">U54</f>
        <v>-21400000000</v>
      </c>
      <c r="V39" s="125">
        <f t="shared" si="15"/>
        <v>6200000000</v>
      </c>
      <c r="W39" s="28"/>
      <c r="X39" s="2"/>
    </row>
    <row r="40" spans="1:26">
      <c r="A40" s="90" t="s">
        <v>2299</v>
      </c>
      <c r="B40" s="58" t="s">
        <v>209</v>
      </c>
      <c r="C40" s="58" t="s">
        <v>252</v>
      </c>
      <c r="D40" s="293">
        <v>18851000000</v>
      </c>
      <c r="E40" s="293">
        <v>12128000000</v>
      </c>
      <c r="F40" s="293">
        <v>12233000000</v>
      </c>
      <c r="G40" s="293">
        <v>24637000000</v>
      </c>
      <c r="H40" s="331">
        <v>18961960000</v>
      </c>
      <c r="I40" s="331">
        <v>22286657000</v>
      </c>
      <c r="J40" s="331">
        <v>22677754000</v>
      </c>
      <c r="K40" s="125">
        <f t="shared" ref="K40:O40" si="16">K46+K53</f>
        <v>11061000000</v>
      </c>
      <c r="L40" s="125">
        <f t="shared" si="16"/>
        <v>39033000000</v>
      </c>
      <c r="M40" s="125">
        <f>M46+M53</f>
        <v>47136000000</v>
      </c>
      <c r="N40" s="125">
        <f t="shared" si="16"/>
        <v>1411000000</v>
      </c>
      <c r="O40" s="125">
        <f t="shared" si="16"/>
        <v>19338000000</v>
      </c>
      <c r="P40" s="125">
        <f>P46+P53</f>
        <v>9431000000</v>
      </c>
      <c r="Q40" s="125">
        <f>Q46+Q53</f>
        <v>26999000000</v>
      </c>
      <c r="R40" s="125">
        <f>R46+R53</f>
        <v>23896000000</v>
      </c>
      <c r="S40" s="125"/>
      <c r="T40" s="125">
        <f>T53</f>
        <v>32900000000</v>
      </c>
      <c r="U40" s="125">
        <f t="shared" ref="U40:V40" si="17">U53</f>
        <v>58000000000</v>
      </c>
      <c r="V40" s="125">
        <f t="shared" si="17"/>
        <v>43800000000</v>
      </c>
      <c r="W40" s="28"/>
      <c r="X40" s="2"/>
    </row>
    <row r="41" spans="1:26" ht="16.5">
      <c r="B41" s="90" t="s">
        <v>815</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0">
        <v>-4207000000</v>
      </c>
      <c r="S41" s="410">
        <v>-1428000000</v>
      </c>
      <c r="T41" s="475"/>
      <c r="U41" s="475"/>
      <c r="V41" s="298"/>
      <c r="W41" s="28"/>
      <c r="X41" s="2"/>
    </row>
    <row r="42" spans="1:26" ht="16.5">
      <c r="B42" s="90" t="s">
        <v>4168</v>
      </c>
      <c r="C42" s="34"/>
      <c r="D42" s="125"/>
      <c r="E42" s="125"/>
      <c r="F42" s="125"/>
      <c r="G42" s="125"/>
      <c r="H42" s="125"/>
      <c r="I42" s="125"/>
      <c r="J42" s="125"/>
      <c r="K42" s="125"/>
      <c r="L42" s="125"/>
      <c r="M42" s="125"/>
      <c r="N42" s="193"/>
      <c r="O42" s="193"/>
      <c r="P42" s="193"/>
      <c r="Q42" s="193"/>
      <c r="R42" s="90">
        <v>0</v>
      </c>
      <c r="S42" s="90">
        <v>0</v>
      </c>
      <c r="T42" s="247"/>
      <c r="U42" s="247"/>
      <c r="V42" s="298"/>
      <c r="W42" s="28"/>
      <c r="X42" s="2"/>
    </row>
    <row r="43" spans="1:26" ht="16.5">
      <c r="B43" s="90" t="s">
        <v>441</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0">
        <v>-1145000000</v>
      </c>
      <c r="S43" s="410">
        <v>-1428000000</v>
      </c>
      <c r="T43" s="475"/>
      <c r="U43" s="475"/>
      <c r="V43" s="298"/>
      <c r="W43" s="28"/>
      <c r="X43" s="2"/>
    </row>
    <row r="44" spans="1:26" ht="16.5">
      <c r="B44" s="90" t="s">
        <v>4169</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0">
        <v>-3062000000</v>
      </c>
      <c r="S44" s="139" t="s">
        <v>78</v>
      </c>
      <c r="T44" s="475"/>
      <c r="U44" s="475"/>
      <c r="V44" s="298"/>
      <c r="W44" s="28"/>
      <c r="X44" s="2"/>
    </row>
    <row r="45" spans="1:26" ht="16.5">
      <c r="B45" s="90" t="s">
        <v>4170</v>
      </c>
      <c r="C45" s="34"/>
      <c r="D45" s="125"/>
      <c r="E45" s="125"/>
      <c r="F45" s="125"/>
      <c r="G45" s="125"/>
      <c r="H45" s="125"/>
      <c r="I45" s="125"/>
      <c r="J45" s="125"/>
      <c r="K45" s="125"/>
      <c r="L45" s="125"/>
      <c r="M45" s="125"/>
      <c r="N45" s="193"/>
      <c r="O45" s="193"/>
      <c r="P45" s="193"/>
      <c r="Q45" s="193"/>
      <c r="R45" s="90">
        <v>0</v>
      </c>
      <c r="S45" s="90">
        <v>0</v>
      </c>
      <c r="T45" s="247"/>
      <c r="U45" s="247"/>
      <c r="V45" s="298"/>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0">
        <v>-4207000000</v>
      </c>
      <c r="S46" s="410">
        <v>-1428000000</v>
      </c>
      <c r="T46" s="21"/>
      <c r="U46" s="475"/>
      <c r="V46" s="298"/>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75"/>
      <c r="U47" s="475"/>
      <c r="V47" s="298"/>
      <c r="W47" s="28"/>
      <c r="X47" s="2"/>
    </row>
    <row r="48" spans="1:26" ht="16.5">
      <c r="B48" s="90" t="s">
        <v>821</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0">
        <v>36845000000</v>
      </c>
      <c r="S48" s="410">
        <v>35791000000</v>
      </c>
      <c r="T48" s="475"/>
      <c r="U48" s="475"/>
      <c r="V48" s="298"/>
      <c r="W48" s="28"/>
      <c r="X48" s="2"/>
    </row>
    <row r="49" spans="2:26" ht="16.5">
      <c r="B49" s="90" t="s">
        <v>4168</v>
      </c>
      <c r="C49" s="34"/>
      <c r="D49" s="125"/>
      <c r="E49" s="125"/>
      <c r="F49" s="125"/>
      <c r="G49" s="125"/>
      <c r="H49" s="125"/>
      <c r="I49" s="125"/>
      <c r="J49" s="125"/>
      <c r="K49" s="125"/>
      <c r="L49" s="125"/>
      <c r="M49" s="125"/>
      <c r="N49" s="193"/>
      <c r="O49" s="193"/>
      <c r="P49" s="193"/>
      <c r="Q49" s="193"/>
      <c r="R49" s="90">
        <v>0</v>
      </c>
      <c r="S49" s="90">
        <v>0</v>
      </c>
      <c r="T49" s="247"/>
      <c r="U49" s="247"/>
      <c r="V49" s="298"/>
      <c r="W49" s="28"/>
      <c r="X49" s="2"/>
    </row>
    <row r="50" spans="2:26" ht="16.5">
      <c r="B50" s="90" t="s">
        <v>443</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0">
        <v>37201000000</v>
      </c>
      <c r="S50" s="139" t="s">
        <v>78</v>
      </c>
      <c r="T50" s="475"/>
      <c r="U50" s="475"/>
      <c r="V50" s="298"/>
      <c r="W50" s="28"/>
      <c r="X50" s="2"/>
    </row>
    <row r="51" spans="2:26" ht="16.5">
      <c r="B51" s="139" t="s">
        <v>444</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75"/>
      <c r="U51" s="475"/>
      <c r="V51" s="298"/>
      <c r="W51" s="28"/>
      <c r="X51" s="2"/>
    </row>
    <row r="52" spans="2:26" ht="16.5">
      <c r="B52" s="90" t="s">
        <v>4170</v>
      </c>
      <c r="C52" s="34"/>
      <c r="D52" s="125"/>
      <c r="E52" s="125"/>
      <c r="F52" s="125"/>
      <c r="G52" s="125"/>
      <c r="H52" s="125"/>
      <c r="I52" s="125"/>
      <c r="J52" s="125"/>
      <c r="K52" s="125"/>
      <c r="L52" s="125"/>
      <c r="M52" s="125"/>
      <c r="N52" s="193"/>
      <c r="O52" s="193"/>
      <c r="P52" s="193"/>
      <c r="Q52" s="193"/>
      <c r="R52" s="90">
        <v>0</v>
      </c>
      <c r="S52" s="90">
        <v>0</v>
      </c>
      <c r="T52" s="247"/>
      <c r="U52" s="247"/>
      <c r="V52" s="298"/>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0">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0">
        <v>8742000000</v>
      </c>
      <c r="S54" s="139" t="s">
        <v>78</v>
      </c>
      <c r="T54" s="125">
        <v>5500000000</v>
      </c>
      <c r="U54" s="125">
        <v>-21400000000</v>
      </c>
      <c r="V54" s="298">
        <v>6200000000</v>
      </c>
      <c r="W54" s="28"/>
      <c r="X54" s="2"/>
      <c r="Y54" s="2"/>
      <c r="Z54" s="2"/>
    </row>
    <row r="55" spans="2:26" ht="16.5">
      <c r="B55" s="544" t="s">
        <v>4171</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4172</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0"/>
    </row>
    <row r="60" spans="2:26">
      <c r="B60" t="s">
        <v>2301</v>
      </c>
      <c r="D60" s="21">
        <f>D6-D7-D23</f>
        <v>0</v>
      </c>
      <c r="E60" s="21">
        <f t="shared" ref="E60:S60" si="18">E6-E7-E23</f>
        <v>0</v>
      </c>
      <c r="F60" s="21">
        <f t="shared" si="18"/>
        <v>0</v>
      </c>
      <c r="G60" s="21">
        <f t="shared" si="18"/>
        <v>0</v>
      </c>
      <c r="H60" s="21">
        <f t="shared" si="18"/>
        <v>0</v>
      </c>
      <c r="I60" s="21">
        <f t="shared" si="18"/>
        <v>0</v>
      </c>
      <c r="J60" s="21">
        <f>J6-J7-J23</f>
        <v>0</v>
      </c>
      <c r="K60" s="21">
        <f>K6-K7-K23</f>
        <v>0</v>
      </c>
      <c r="L60" s="21">
        <f t="shared" si="18"/>
        <v>0</v>
      </c>
      <c r="M60" s="21">
        <f t="shared" si="18"/>
        <v>0</v>
      </c>
      <c r="N60" s="21">
        <f t="shared" si="18"/>
        <v>0</v>
      </c>
      <c r="O60" s="21">
        <f t="shared" si="18"/>
        <v>0</v>
      </c>
      <c r="P60" s="21">
        <f t="shared" si="18"/>
        <v>0</v>
      </c>
      <c r="Q60" s="21">
        <f t="shared" si="18"/>
        <v>0</v>
      </c>
      <c r="R60" s="21">
        <f t="shared" si="18"/>
        <v>0</v>
      </c>
      <c r="S60" s="21">
        <f t="shared" si="18"/>
        <v>0</v>
      </c>
      <c r="T60" s="21">
        <f>T6-T7-T23</f>
        <v>0</v>
      </c>
      <c r="U60" s="21">
        <f>U6-U7-U23</f>
        <v>0</v>
      </c>
    </row>
    <row r="61" spans="2:26">
      <c r="B61" t="s">
        <v>450</v>
      </c>
      <c r="D61" s="21">
        <f t="shared" ref="D61:S61" si="19">D7-D8-D14</f>
        <v>0</v>
      </c>
      <c r="E61" s="21">
        <f t="shared" si="19"/>
        <v>0</v>
      </c>
      <c r="F61" s="21">
        <f t="shared" si="19"/>
        <v>0</v>
      </c>
      <c r="G61" s="21">
        <f t="shared" si="19"/>
        <v>0</v>
      </c>
      <c r="H61" s="21">
        <f t="shared" si="19"/>
        <v>0</v>
      </c>
      <c r="I61" s="21">
        <f t="shared" si="19"/>
        <v>0</v>
      </c>
      <c r="J61" s="21">
        <f>J7-J8-J14</f>
        <v>0</v>
      </c>
      <c r="K61" s="21">
        <f t="shared" si="19"/>
        <v>0</v>
      </c>
      <c r="L61" s="21">
        <f t="shared" si="19"/>
        <v>0</v>
      </c>
      <c r="M61" s="21">
        <f t="shared" si="19"/>
        <v>0</v>
      </c>
      <c r="N61" s="21">
        <f t="shared" si="19"/>
        <v>0</v>
      </c>
      <c r="O61" s="21">
        <f t="shared" si="19"/>
        <v>0</v>
      </c>
      <c r="P61" s="21">
        <f t="shared" si="19"/>
        <v>0</v>
      </c>
      <c r="Q61" s="21">
        <f t="shared" si="19"/>
        <v>0</v>
      </c>
      <c r="R61" s="21">
        <f t="shared" si="19"/>
        <v>0</v>
      </c>
      <c r="S61" s="21">
        <f t="shared" si="19"/>
        <v>0</v>
      </c>
      <c r="T61" s="21">
        <f>T7-T8-T14</f>
        <v>0</v>
      </c>
      <c r="U61" s="21">
        <f>U7-U8-U14</f>
        <v>0</v>
      </c>
    </row>
    <row r="62" spans="2:26">
      <c r="B62" t="s">
        <v>142</v>
      </c>
      <c r="D62" s="21">
        <f>D92</f>
        <v>0</v>
      </c>
      <c r="E62" s="21">
        <f t="shared" ref="E62:S62" si="20">E92</f>
        <v>0</v>
      </c>
      <c r="F62" s="21">
        <f t="shared" si="20"/>
        <v>0</v>
      </c>
      <c r="G62" s="21">
        <f t="shared" si="20"/>
        <v>0</v>
      </c>
      <c r="H62" s="21">
        <f t="shared" si="20"/>
        <v>0</v>
      </c>
      <c r="I62" s="21">
        <f t="shared" si="20"/>
        <v>0</v>
      </c>
      <c r="J62" s="21">
        <f>J92</f>
        <v>0</v>
      </c>
      <c r="K62" s="21">
        <f>K92</f>
        <v>0</v>
      </c>
      <c r="L62" s="21">
        <f t="shared" si="20"/>
        <v>0</v>
      </c>
      <c r="M62" s="21">
        <f t="shared" si="20"/>
        <v>0</v>
      </c>
      <c r="N62" s="21">
        <f t="shared" si="20"/>
        <v>0</v>
      </c>
      <c r="O62" s="21">
        <f t="shared" si="20"/>
        <v>0</v>
      </c>
      <c r="P62" s="21">
        <f t="shared" si="20"/>
        <v>0</v>
      </c>
      <c r="Q62" s="21">
        <f t="shared" si="20"/>
        <v>0</v>
      </c>
      <c r="R62" s="21">
        <f t="shared" si="20"/>
        <v>0</v>
      </c>
      <c r="S62" s="21">
        <f t="shared" si="20"/>
        <v>0</v>
      </c>
      <c r="T62" s="21">
        <f>T92</f>
        <v>0</v>
      </c>
      <c r="U62" s="21">
        <f>U92</f>
        <v>0</v>
      </c>
    </row>
    <row r="63" spans="2:26">
      <c r="B63" t="s">
        <v>1702</v>
      </c>
      <c r="D63" s="21">
        <f>D9-D10-D11-D12</f>
        <v>0</v>
      </c>
      <c r="E63" s="21">
        <f t="shared" ref="E63:S63" si="21">E9-E10-E11-E12</f>
        <v>0</v>
      </c>
      <c r="F63" s="21">
        <f t="shared" si="21"/>
        <v>0</v>
      </c>
      <c r="G63" s="21">
        <f t="shared" si="21"/>
        <v>0</v>
      </c>
      <c r="H63" s="21">
        <f>H9-H10-H11-H12</f>
        <v>0</v>
      </c>
      <c r="I63" s="21">
        <f t="shared" si="21"/>
        <v>0</v>
      </c>
      <c r="J63" s="21">
        <f>J9-J10-J11-J12</f>
        <v>-7.62939453125E-6</v>
      </c>
      <c r="K63" s="21">
        <f t="shared" si="21"/>
        <v>0</v>
      </c>
      <c r="L63" s="21">
        <f t="shared" si="21"/>
        <v>0</v>
      </c>
      <c r="M63" s="21">
        <f t="shared" si="21"/>
        <v>0</v>
      </c>
      <c r="N63" s="21">
        <f t="shared" si="21"/>
        <v>0</v>
      </c>
      <c r="O63" s="21">
        <f t="shared" si="21"/>
        <v>0</v>
      </c>
      <c r="P63" s="21">
        <f t="shared" si="21"/>
        <v>0</v>
      </c>
      <c r="Q63" s="21">
        <f t="shared" si="21"/>
        <v>0</v>
      </c>
      <c r="R63" s="21">
        <f t="shared" si="21"/>
        <v>0</v>
      </c>
      <c r="S63" s="21">
        <f t="shared" si="21"/>
        <v>0</v>
      </c>
      <c r="T63" s="21">
        <f>T9-T10-T11-T12</f>
        <v>0</v>
      </c>
      <c r="U63" s="21">
        <f>U9-U10-U11-U12</f>
        <v>0</v>
      </c>
    </row>
    <row r="64" spans="2:26">
      <c r="B64" t="s">
        <v>1761</v>
      </c>
      <c r="D64" s="131">
        <f>D14-D15-D16</f>
        <v>14691000000</v>
      </c>
      <c r="E64" s="131">
        <f t="shared" ref="E64:S64" si="22">E14-E15-E16</f>
        <v>18076000000</v>
      </c>
      <c r="F64" s="131">
        <f t="shared" si="22"/>
        <v>16655000000</v>
      </c>
      <c r="G64" s="131">
        <f t="shared" si="22"/>
        <v>27717000000</v>
      </c>
      <c r="H64" s="21">
        <f>H14-H15-H16</f>
        <v>0</v>
      </c>
      <c r="I64" s="21">
        <f t="shared" si="22"/>
        <v>0</v>
      </c>
      <c r="J64" s="21">
        <f>J14-J15-J16</f>
        <v>0</v>
      </c>
      <c r="K64" s="131">
        <f t="shared" si="22"/>
        <v>44718000000</v>
      </c>
      <c r="L64" s="131">
        <f t="shared" si="22"/>
        <v>46896000000</v>
      </c>
      <c r="M64" s="131">
        <f t="shared" si="22"/>
        <v>48035000000</v>
      </c>
      <c r="N64" s="131">
        <f t="shared" si="22"/>
        <v>48938000000</v>
      </c>
      <c r="O64" s="131">
        <f>O14-O15-O16</f>
        <v>50534000000</v>
      </c>
      <c r="P64" s="131">
        <f t="shared" si="22"/>
        <v>49270000000</v>
      </c>
      <c r="Q64" s="131">
        <f t="shared" si="22"/>
        <v>52000000000</v>
      </c>
      <c r="R64" s="131">
        <f t="shared" si="22"/>
        <v>56500000000</v>
      </c>
      <c r="S64" s="131">
        <f t="shared" si="22"/>
        <v>53600000000</v>
      </c>
      <c r="T64" s="131">
        <f>T14-T15-T16</f>
        <v>43100000000</v>
      </c>
      <c r="U64" s="131">
        <f>U14-U15-U16</f>
        <v>45200000000</v>
      </c>
    </row>
    <row r="65" spans="2:24">
      <c r="B65" t="s">
        <v>1207</v>
      </c>
      <c r="D65" s="21">
        <f>D24-D25-D33-D34</f>
        <v>0</v>
      </c>
      <c r="E65" s="21">
        <f>E24-E25-E33-E34</f>
        <v>0</v>
      </c>
      <c r="F65" s="21">
        <f>F24-F25-F33-F34</f>
        <v>0</v>
      </c>
      <c r="G65" s="21">
        <f t="shared" ref="G65:S65" si="23">G24-G25-G33-G34</f>
        <v>0</v>
      </c>
      <c r="H65" s="21">
        <f t="shared" si="23"/>
        <v>0</v>
      </c>
      <c r="I65" s="21">
        <f>I24-I25-I33-I34</f>
        <v>3.814697265625E-6</v>
      </c>
      <c r="J65" s="21">
        <f>J24-J25-J33-J34</f>
        <v>0</v>
      </c>
      <c r="K65" s="21">
        <f t="shared" si="23"/>
        <v>0</v>
      </c>
      <c r="L65" s="21">
        <f t="shared" si="23"/>
        <v>0</v>
      </c>
      <c r="M65" s="21">
        <f t="shared" si="23"/>
        <v>0</v>
      </c>
      <c r="N65" s="21">
        <f t="shared" si="23"/>
        <v>1000000</v>
      </c>
      <c r="O65" s="21">
        <f t="shared" si="23"/>
        <v>1000000</v>
      </c>
      <c r="P65" s="21">
        <f t="shared" si="23"/>
        <v>0</v>
      </c>
      <c r="Q65" s="21">
        <f t="shared" si="23"/>
        <v>0</v>
      </c>
      <c r="R65" s="21">
        <f t="shared" si="23"/>
        <v>0</v>
      </c>
      <c r="S65" s="21">
        <f t="shared" si="23"/>
        <v>0</v>
      </c>
      <c r="T65" s="21">
        <f>T24-T25-T33-T34</f>
        <v>0</v>
      </c>
      <c r="U65" s="21">
        <f>U24-U25-U33-U34</f>
        <v>0</v>
      </c>
    </row>
    <row r="66" spans="2:24">
      <c r="B66" t="s">
        <v>826</v>
      </c>
      <c r="D66" s="21">
        <f>D25-D26-D27-D28-D29-D31-D32</f>
        <v>0</v>
      </c>
      <c r="E66" s="21">
        <f t="shared" ref="E66:S66" si="24">E25-E26-E27-E28-E29-E31-E32</f>
        <v>0</v>
      </c>
      <c r="F66" s="21">
        <f t="shared" si="24"/>
        <v>0</v>
      </c>
      <c r="G66" s="21">
        <f t="shared" si="24"/>
        <v>0</v>
      </c>
      <c r="H66" s="21">
        <f t="shared" si="24"/>
        <v>0</v>
      </c>
      <c r="I66" s="21">
        <f t="shared" si="24"/>
        <v>0</v>
      </c>
      <c r="J66" s="21">
        <f t="shared" si="24"/>
        <v>0</v>
      </c>
      <c r="K66" s="21">
        <f t="shared" si="24"/>
        <v>0</v>
      </c>
      <c r="L66" s="21">
        <f>L25-L26-L27-L28-L29-L31-L32</f>
        <v>0</v>
      </c>
      <c r="M66" s="21">
        <f t="shared" si="24"/>
        <v>0</v>
      </c>
      <c r="N66" s="21">
        <f t="shared" si="24"/>
        <v>0</v>
      </c>
      <c r="O66" s="21">
        <f t="shared" si="24"/>
        <v>-1000000</v>
      </c>
      <c r="P66" s="21">
        <f t="shared" si="24"/>
        <v>0</v>
      </c>
      <c r="Q66" s="21">
        <f t="shared" si="24"/>
        <v>0</v>
      </c>
      <c r="R66" s="21">
        <f t="shared" si="24"/>
        <v>0</v>
      </c>
      <c r="S66" s="21">
        <f t="shared" si="24"/>
        <v>0</v>
      </c>
      <c r="T66" s="21">
        <f>T25-T26-T27-T28-T29-T31-T32</f>
        <v>0</v>
      </c>
      <c r="U66" s="21">
        <f>U25-U26-U27-U28-U29-U31-U32</f>
        <v>0</v>
      </c>
    </row>
    <row r="67" spans="2:24">
      <c r="B67" t="s">
        <v>457</v>
      </c>
      <c r="D67" s="21">
        <f>D38-D39-D40</f>
        <v>0</v>
      </c>
      <c r="E67" s="21">
        <f t="shared" ref="E67:R67" si="25">E38-E39-E40</f>
        <v>0</v>
      </c>
      <c r="F67" s="21">
        <f t="shared" si="25"/>
        <v>0</v>
      </c>
      <c r="G67" s="21">
        <f t="shared" si="25"/>
        <v>0</v>
      </c>
      <c r="H67" s="21">
        <f t="shared" si="25"/>
        <v>0</v>
      </c>
      <c r="I67" s="21">
        <f>I38-I39-I40</f>
        <v>0</v>
      </c>
      <c r="J67" s="21">
        <f>J38-J39-J40</f>
        <v>0</v>
      </c>
      <c r="K67" s="21">
        <f>K38-K39-K40</f>
        <v>0</v>
      </c>
      <c r="L67" s="21">
        <f t="shared" si="25"/>
        <v>0</v>
      </c>
      <c r="M67" s="21">
        <f t="shared" si="25"/>
        <v>1000000</v>
      </c>
      <c r="N67" s="21">
        <f t="shared" si="25"/>
        <v>0</v>
      </c>
      <c r="O67" s="21">
        <f t="shared" si="25"/>
        <v>0</v>
      </c>
      <c r="P67" s="21">
        <f t="shared" si="25"/>
        <v>0</v>
      </c>
      <c r="Q67" s="21">
        <f t="shared" si="25"/>
        <v>0</v>
      </c>
      <c r="R67" s="21">
        <f t="shared" si="25"/>
        <v>0</v>
      </c>
      <c r="S67" s="131">
        <f>S38-S39-S40</f>
        <v>34363000000</v>
      </c>
      <c r="T67" s="131">
        <f>T38-T39-T40</f>
        <v>0</v>
      </c>
      <c r="U67" s="131">
        <f>U38-U39-U40</f>
        <v>0</v>
      </c>
    </row>
    <row r="68" spans="2:24" ht="15" customHeight="1" thickBot="1">
      <c r="C68" s="21"/>
      <c r="E68" s="21"/>
    </row>
    <row r="69" spans="2:24" ht="17.25" thickBot="1">
      <c r="B69" t="s">
        <v>543</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0">
        <v>1106580000000</v>
      </c>
      <c r="S69" s="410">
        <v>1156883000000</v>
      </c>
      <c r="T69" s="410">
        <v>1261156000000</v>
      </c>
      <c r="U69" s="410">
        <v>1352415000000</v>
      </c>
      <c r="V69" s="24">
        <v>1447625000000</v>
      </c>
      <c r="W69" s="24">
        <v>1570329000000</v>
      </c>
      <c r="X69" s="25">
        <v>1702092000000</v>
      </c>
    </row>
    <row r="70" spans="2:24">
      <c r="B70" t="s">
        <v>151</v>
      </c>
      <c r="D70">
        <f t="shared" ref="D70:S70" si="26">(D7/D69)*100</f>
        <v>17.358024691358025</v>
      </c>
      <c r="E70">
        <f t="shared" si="26"/>
        <v>22.567076975438198</v>
      </c>
      <c r="F70">
        <f t="shared" si="26"/>
        <v>21.793158878114465</v>
      </c>
      <c r="G70">
        <f t="shared" si="26"/>
        <v>22.114445503107934</v>
      </c>
      <c r="H70">
        <f t="shared" si="26"/>
        <v>21</v>
      </c>
      <c r="I70">
        <f t="shared" si="26"/>
        <v>20.599999999999998</v>
      </c>
      <c r="J70">
        <f t="shared" si="26"/>
        <v>21.6</v>
      </c>
      <c r="K70">
        <f t="shared" si="26"/>
        <v>21.024707631124492</v>
      </c>
      <c r="L70">
        <f t="shared" si="26"/>
        <v>20.753658349687186</v>
      </c>
      <c r="M70">
        <f t="shared" si="26"/>
        <v>21.678821979723846</v>
      </c>
      <c r="N70">
        <f t="shared" si="26"/>
        <v>19.873025747278092</v>
      </c>
      <c r="O70">
        <f t="shared" si="26"/>
        <v>20.943229783778229</v>
      </c>
      <c r="P70">
        <f t="shared" si="26"/>
        <v>21.32947608684113</v>
      </c>
      <c r="Q70">
        <f t="shared" si="26"/>
        <v>21.069529447175679</v>
      </c>
      <c r="R70">
        <f t="shared" si="26"/>
        <v>19.944332989932949</v>
      </c>
      <c r="S70">
        <f t="shared" si="26"/>
        <v>18.938820952507729</v>
      </c>
      <c r="T70">
        <f>(T7/T69)*100</f>
        <v>16.841691273720301</v>
      </c>
      <c r="U70">
        <f>(U7/U69)*100</f>
        <v>16.740423612574542</v>
      </c>
    </row>
    <row r="71" spans="2:24">
      <c r="B71" t="s">
        <v>1132</v>
      </c>
      <c r="D71">
        <f t="shared" ref="D71:S71" si="27">(D24/D69)*100</f>
        <v>23.70594837261504</v>
      </c>
      <c r="E71">
        <f t="shared" si="27"/>
        <v>28.076748539338592</v>
      </c>
      <c r="F71">
        <f t="shared" si="27"/>
        <v>27.315167583478594</v>
      </c>
      <c r="G71">
        <f t="shared" si="27"/>
        <v>27.360560884692443</v>
      </c>
      <c r="H71">
        <f t="shared" si="27"/>
        <v>25.1</v>
      </c>
      <c r="I71">
        <f t="shared" si="27"/>
        <v>23.9</v>
      </c>
      <c r="J71">
        <f t="shared" si="27"/>
        <v>24.9</v>
      </c>
      <c r="K71">
        <f t="shared" si="27"/>
        <v>24.129431374287773</v>
      </c>
      <c r="L71">
        <f t="shared" si="27"/>
        <v>25.052503341121707</v>
      </c>
      <c r="M71">
        <f t="shared" si="27"/>
        <v>28.387320318100262</v>
      </c>
      <c r="N71">
        <f t="shared" si="27"/>
        <v>25.175241776586017</v>
      </c>
      <c r="O71">
        <f t="shared" si="27"/>
        <v>25.697556082910427</v>
      </c>
      <c r="P71">
        <f t="shared" si="27"/>
        <v>26.542279314188651</v>
      </c>
      <c r="Q71">
        <f t="shared" si="27"/>
        <v>25.3943062611669</v>
      </c>
      <c r="R71">
        <f t="shared" si="27"/>
        <v>23.318693632633881</v>
      </c>
      <c r="S71">
        <f t="shared" si="27"/>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K6" activePane="bottomRight" state="frozen"/>
      <selection pane="topRight" activeCell="R7" sqref="R7"/>
      <selection pane="bottomLeft" activeCell="R7" sqref="R7"/>
      <selection pane="bottomRight" activeCell="Q39" sqref="Q39"/>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69" t="s">
        <v>4173</v>
      </c>
      <c r="B1" s="1680" t="s">
        <v>4174</v>
      </c>
      <c r="C1" s="82"/>
      <c r="D1" s="27"/>
      <c r="E1" s="27"/>
      <c r="F1" s="27"/>
      <c r="G1" s="27"/>
      <c r="H1" s="27"/>
      <c r="I1" s="27"/>
      <c r="J1" s="27"/>
      <c r="K1" s="27"/>
      <c r="L1" s="27"/>
      <c r="M1" s="27"/>
      <c r="N1" s="27"/>
      <c r="O1" s="28"/>
      <c r="P1" s="28"/>
      <c r="Q1" s="28"/>
      <c r="R1" s="29"/>
      <c r="S1" s="28"/>
      <c r="T1" s="28"/>
      <c r="U1" s="28"/>
      <c r="V1" s="28"/>
      <c r="W1" s="28"/>
      <c r="X1" s="2"/>
    </row>
    <row r="2" spans="1:26">
      <c r="B2" s="1680" t="s">
        <v>4175</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848" customFormat="1">
      <c r="A6" s="909" t="s">
        <v>33</v>
      </c>
      <c r="B6" s="1063" t="s">
        <v>33</v>
      </c>
      <c r="C6" s="1063" t="s">
        <v>35</v>
      </c>
      <c r="O6" s="1556">
        <v>9370000000</v>
      </c>
      <c r="P6" s="1556">
        <v>10090000000</v>
      </c>
      <c r="Q6" s="1556">
        <f>Q7+Q23</f>
        <v>11633000000</v>
      </c>
      <c r="R6" s="1556">
        <v>15164000000</v>
      </c>
      <c r="S6" s="1556">
        <v>17134000000</v>
      </c>
      <c r="T6" s="1556">
        <v>18537000000</v>
      </c>
      <c r="U6" s="1556">
        <v>19972000000</v>
      </c>
      <c r="V6" s="1556">
        <v>21284000000</v>
      </c>
      <c r="W6" s="1556">
        <v>22534000000</v>
      </c>
      <c r="X6" s="1348">
        <v>24249000000</v>
      </c>
      <c r="Y6" s="1348">
        <v>26244000000</v>
      </c>
      <c r="Z6" s="1348">
        <v>28323000000</v>
      </c>
    </row>
    <row r="7" spans="1:26" ht="16.5">
      <c r="A7" s="139" t="s">
        <v>36</v>
      </c>
      <c r="B7" s="58" t="s">
        <v>983</v>
      </c>
      <c r="C7" s="345"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7">
        <v>24070000000</v>
      </c>
      <c r="Y7" s="267">
        <v>26065000000</v>
      </c>
      <c r="Z7" s="267">
        <v>28144000000</v>
      </c>
    </row>
    <row r="8" spans="1:26">
      <c r="A8" s="58" t="s">
        <v>731</v>
      </c>
      <c r="B8" s="58" t="s">
        <v>731</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7">
        <v>17579000000</v>
      </c>
      <c r="Y8" s="267">
        <v>18946000000</v>
      </c>
      <c r="Z8" s="267">
        <v>20255000000</v>
      </c>
    </row>
    <row r="9" spans="1:26">
      <c r="A9" s="64" t="s">
        <v>4176</v>
      </c>
      <c r="B9" s="64" t="s">
        <v>4176</v>
      </c>
      <c r="C9" s="27" t="s">
        <v>44</v>
      </c>
      <c r="O9" s="210">
        <v>35000000</v>
      </c>
      <c r="P9" s="210">
        <v>1401000000</v>
      </c>
      <c r="Q9" s="210">
        <v>1881000000</v>
      </c>
      <c r="R9" s="210"/>
      <c r="S9" s="210"/>
      <c r="T9" s="210"/>
      <c r="U9" s="210"/>
      <c r="V9" s="210"/>
      <c r="W9" s="210"/>
      <c r="X9" s="267"/>
      <c r="Y9" s="267"/>
      <c r="Z9" s="267"/>
    </row>
    <row r="10" spans="1:26">
      <c r="A10" s="65" t="s">
        <v>4177</v>
      </c>
      <c r="B10" s="65" t="s">
        <v>4177</v>
      </c>
      <c r="C10" t="s">
        <v>3750</v>
      </c>
      <c r="O10" s="210">
        <v>0</v>
      </c>
      <c r="P10" s="210">
        <v>0</v>
      </c>
      <c r="Q10" s="210">
        <v>0</v>
      </c>
      <c r="R10" s="210"/>
      <c r="S10" s="210"/>
      <c r="T10" s="210"/>
      <c r="U10" s="210"/>
      <c r="V10" s="210"/>
      <c r="W10" s="210"/>
      <c r="X10" s="267"/>
      <c r="Y10" s="267"/>
      <c r="Z10" s="267"/>
    </row>
    <row r="11" spans="1:26">
      <c r="A11" s="65" t="s">
        <v>4178</v>
      </c>
      <c r="B11" s="65" t="s">
        <v>4178</v>
      </c>
      <c r="C11" t="s">
        <v>3750</v>
      </c>
      <c r="O11" s="210">
        <v>35000000</v>
      </c>
      <c r="P11" s="210">
        <v>1401000000</v>
      </c>
      <c r="Q11" s="210">
        <v>1881000000</v>
      </c>
      <c r="R11" s="210"/>
      <c r="S11" s="210"/>
      <c r="T11" s="210"/>
      <c r="U11" s="210"/>
      <c r="V11" s="210"/>
      <c r="W11" s="210"/>
      <c r="X11" s="267"/>
      <c r="Y11" s="267"/>
      <c r="Z11" s="267"/>
    </row>
    <row r="12" spans="1:26">
      <c r="A12" s="64" t="s">
        <v>4179</v>
      </c>
      <c r="B12" s="64" t="s">
        <v>4179</v>
      </c>
      <c r="C12" s="27" t="s">
        <v>44</v>
      </c>
      <c r="O12" s="210">
        <v>908000000</v>
      </c>
      <c r="P12" s="210">
        <v>2559000000</v>
      </c>
      <c r="Q12" s="210">
        <v>3693000000</v>
      </c>
      <c r="R12" s="210">
        <v>4515000000</v>
      </c>
      <c r="S12" s="210">
        <v>6054000000</v>
      </c>
      <c r="T12" s="210">
        <v>6249000000</v>
      </c>
      <c r="U12" s="210">
        <v>6972000000</v>
      </c>
      <c r="V12" s="210">
        <v>7541000000</v>
      </c>
      <c r="W12" s="210">
        <v>7950000000</v>
      </c>
      <c r="X12" s="267">
        <v>8547000000</v>
      </c>
      <c r="Y12" s="267">
        <v>9191000000</v>
      </c>
      <c r="Z12" s="267">
        <v>9880000000</v>
      </c>
    </row>
    <row r="13" spans="1:26">
      <c r="A13" s="65" t="s">
        <v>4180</v>
      </c>
      <c r="B13" s="65" t="s">
        <v>4181</v>
      </c>
      <c r="C13" s="27" t="s">
        <v>4182</v>
      </c>
      <c r="O13" s="210">
        <v>243000000</v>
      </c>
      <c r="P13" s="210">
        <v>1006000000</v>
      </c>
      <c r="Q13" s="210">
        <v>1538000000</v>
      </c>
      <c r="R13" s="210">
        <v>1513000000</v>
      </c>
      <c r="S13" s="210">
        <v>1904000000</v>
      </c>
      <c r="T13" s="210">
        <v>2328000000</v>
      </c>
      <c r="U13" s="210">
        <v>2507000000</v>
      </c>
      <c r="V13" s="210">
        <v>2677000000</v>
      </c>
      <c r="W13" s="210">
        <v>2862000000</v>
      </c>
      <c r="X13" s="267">
        <v>3076000000</v>
      </c>
      <c r="Y13" s="267">
        <v>3310000000</v>
      </c>
      <c r="Z13" s="267">
        <v>3561000000</v>
      </c>
    </row>
    <row r="14" spans="1:26">
      <c r="A14" s="65" t="s">
        <v>4183</v>
      </c>
      <c r="B14" s="65" t="s">
        <v>4184</v>
      </c>
      <c r="C14" s="27" t="s">
        <v>4182</v>
      </c>
      <c r="O14" s="210">
        <v>665000000</v>
      </c>
      <c r="P14" s="210">
        <v>1554000000</v>
      </c>
      <c r="Q14" s="210">
        <v>2155000000</v>
      </c>
      <c r="R14" s="210">
        <v>3002000000</v>
      </c>
      <c r="S14" s="210">
        <v>4150000000</v>
      </c>
      <c r="T14" s="210">
        <v>3921000000</v>
      </c>
      <c r="U14" s="210">
        <v>4465000000</v>
      </c>
      <c r="V14" s="210">
        <v>4864000000</v>
      </c>
      <c r="W14" s="210">
        <v>5088000000</v>
      </c>
      <c r="X14" s="267">
        <v>5471000000</v>
      </c>
      <c r="Y14" s="267">
        <v>5881000000</v>
      </c>
      <c r="Z14" s="267">
        <v>6319000000</v>
      </c>
    </row>
    <row r="15" spans="1:26">
      <c r="A15" s="64" t="s">
        <v>4185</v>
      </c>
      <c r="B15" s="64" t="s">
        <v>4185</v>
      </c>
      <c r="C15" s="27" t="s">
        <v>44</v>
      </c>
      <c r="O15" s="210">
        <v>2587000000</v>
      </c>
      <c r="P15" s="210">
        <v>1369000000</v>
      </c>
      <c r="Q15" s="210">
        <v>1576000000</v>
      </c>
      <c r="R15" s="210">
        <v>1975000000</v>
      </c>
      <c r="S15" s="210">
        <v>2346000000</v>
      </c>
      <c r="T15" s="210">
        <v>2487000000</v>
      </c>
      <c r="U15" s="210">
        <v>2633000000</v>
      </c>
      <c r="V15" s="210">
        <v>2527000000</v>
      </c>
      <c r="W15" s="210">
        <v>2563000000</v>
      </c>
      <c r="X15" s="267">
        <v>2739000000</v>
      </c>
      <c r="Y15" s="267">
        <v>2944000000</v>
      </c>
      <c r="Z15" s="267">
        <v>3004000000</v>
      </c>
    </row>
    <row r="16" spans="1:26">
      <c r="A16" s="64" t="s">
        <v>4186</v>
      </c>
      <c r="B16" s="64" t="s">
        <v>4186</v>
      </c>
      <c r="C16" s="27" t="s">
        <v>44</v>
      </c>
      <c r="O16" s="210">
        <v>1363000000</v>
      </c>
      <c r="P16" s="210">
        <v>1474000000</v>
      </c>
      <c r="Q16" s="210">
        <v>1622000000</v>
      </c>
      <c r="R16" s="894">
        <f>SUM(R17:R21)</f>
        <v>1788000000</v>
      </c>
      <c r="S16" s="894">
        <f t="shared" ref="S16:Z16" si="1">SUM(S17:S21)</f>
        <v>1118000000</v>
      </c>
      <c r="T16" s="894">
        <f t="shared" si="1"/>
        <v>1736000000</v>
      </c>
      <c r="U16" s="894">
        <f t="shared" si="1"/>
        <v>1915000000</v>
      </c>
      <c r="V16" s="894">
        <f t="shared" si="1"/>
        <v>2016000000</v>
      </c>
      <c r="W16" s="894">
        <f t="shared" si="1"/>
        <v>2126000000</v>
      </c>
      <c r="X16" s="1683">
        <f t="shared" si="1"/>
        <v>2259000000</v>
      </c>
      <c r="Y16" s="1683">
        <f t="shared" si="1"/>
        <v>2401000000</v>
      </c>
      <c r="Z16" s="1683">
        <f t="shared" si="1"/>
        <v>2552000000</v>
      </c>
    </row>
    <row r="17" spans="1:26">
      <c r="A17" s="65" t="s">
        <v>4187</v>
      </c>
      <c r="B17" s="65" t="s">
        <v>4187</v>
      </c>
      <c r="C17" s="58" t="s">
        <v>4188</v>
      </c>
      <c r="O17" s="210">
        <v>338000000</v>
      </c>
      <c r="P17" s="210">
        <v>300000000</v>
      </c>
      <c r="Q17" s="210">
        <v>350000000</v>
      </c>
      <c r="R17" s="210">
        <v>432000000</v>
      </c>
      <c r="S17" s="210">
        <v>497000000</v>
      </c>
      <c r="T17" s="210">
        <v>538000000</v>
      </c>
      <c r="U17" s="210">
        <v>523000000</v>
      </c>
      <c r="V17" s="210">
        <v>546000000</v>
      </c>
      <c r="W17" s="210">
        <v>571000000</v>
      </c>
      <c r="X17" s="267">
        <v>603000000</v>
      </c>
      <c r="Y17" s="267">
        <v>636000000</v>
      </c>
      <c r="Z17" s="267">
        <v>671000000</v>
      </c>
    </row>
    <row r="18" spans="1:26">
      <c r="A18" s="65" t="s">
        <v>4189</v>
      </c>
      <c r="B18" s="65" t="s">
        <v>4190</v>
      </c>
      <c r="C18" s="58" t="s">
        <v>4188</v>
      </c>
      <c r="O18" s="210">
        <v>751000000</v>
      </c>
      <c r="P18" s="210">
        <v>805000000</v>
      </c>
      <c r="Q18" s="210">
        <v>862000000</v>
      </c>
      <c r="R18" s="210">
        <v>0</v>
      </c>
      <c r="S18" s="210">
        <v>0</v>
      </c>
      <c r="T18" s="210">
        <v>0</v>
      </c>
      <c r="U18" s="210">
        <v>0</v>
      </c>
      <c r="V18" s="210">
        <v>0</v>
      </c>
      <c r="W18" s="210">
        <v>0</v>
      </c>
      <c r="X18" s="269">
        <v>0</v>
      </c>
      <c r="Y18" s="269">
        <v>0</v>
      </c>
      <c r="Z18" s="269">
        <v>0</v>
      </c>
    </row>
    <row r="19" spans="1:26">
      <c r="A19" s="1681" t="s">
        <v>4191</v>
      </c>
      <c r="B19" s="1681" t="s">
        <v>4191</v>
      </c>
      <c r="C19" s="1681" t="s">
        <v>4188</v>
      </c>
      <c r="O19" s="210"/>
      <c r="P19" s="210"/>
      <c r="Q19" s="210"/>
      <c r="R19" s="210">
        <v>805000000</v>
      </c>
      <c r="S19" s="210">
        <v>37000000</v>
      </c>
      <c r="T19" s="210">
        <v>623000000</v>
      </c>
      <c r="U19" s="210">
        <v>690000000</v>
      </c>
      <c r="V19" s="210">
        <v>721000000</v>
      </c>
      <c r="W19" s="210">
        <v>754000000</v>
      </c>
      <c r="X19" s="267">
        <v>795000000</v>
      </c>
      <c r="Y19" s="267">
        <v>839000000</v>
      </c>
      <c r="Z19" s="267">
        <v>885000000</v>
      </c>
    </row>
    <row r="20" spans="1:26">
      <c r="A20" s="1681" t="s">
        <v>4192</v>
      </c>
      <c r="B20" s="1681" t="s">
        <v>4192</v>
      </c>
      <c r="C20" s="1681" t="s">
        <v>4188</v>
      </c>
      <c r="O20" s="210"/>
      <c r="P20" s="210"/>
      <c r="Q20" s="210"/>
      <c r="R20" s="210">
        <v>0</v>
      </c>
      <c r="S20" s="210">
        <v>0</v>
      </c>
      <c r="T20" s="210">
        <v>15000000</v>
      </c>
      <c r="U20" s="210">
        <v>94000000</v>
      </c>
      <c r="V20" s="210">
        <v>100000000</v>
      </c>
      <c r="W20" s="210">
        <v>107000000</v>
      </c>
      <c r="X20" s="267">
        <v>115000000</v>
      </c>
      <c r="Y20" s="267">
        <v>123000000</v>
      </c>
      <c r="Z20" s="267">
        <v>133000000</v>
      </c>
    </row>
    <row r="21" spans="1:26">
      <c r="A21" s="65" t="s">
        <v>50</v>
      </c>
      <c r="B21" s="65" t="s">
        <v>50</v>
      </c>
      <c r="C21" s="58" t="s">
        <v>4188</v>
      </c>
      <c r="O21" s="210">
        <v>275000000</v>
      </c>
      <c r="P21" s="210">
        <v>369000000</v>
      </c>
      <c r="Q21" s="210">
        <v>410000000</v>
      </c>
      <c r="R21" s="210">
        <v>551000000</v>
      </c>
      <c r="S21" s="210">
        <v>584000000</v>
      </c>
      <c r="T21" s="210">
        <v>560000000</v>
      </c>
      <c r="U21" s="210">
        <v>608000000</v>
      </c>
      <c r="V21" s="210">
        <v>649000000</v>
      </c>
      <c r="W21" s="210">
        <v>694000000</v>
      </c>
      <c r="X21" s="267">
        <v>746000000</v>
      </c>
      <c r="Y21" s="267">
        <v>803000000</v>
      </c>
      <c r="Z21" s="267">
        <v>863000000</v>
      </c>
    </row>
    <row r="22" spans="1:26">
      <c r="A22" s="655" t="s">
        <v>4193</v>
      </c>
      <c r="B22" s="655" t="s">
        <v>4193</v>
      </c>
      <c r="C22" s="633" t="s">
        <v>44</v>
      </c>
      <c r="O22" s="210"/>
      <c r="P22" s="210"/>
      <c r="Q22" s="210"/>
      <c r="R22" s="210">
        <v>2471000000</v>
      </c>
      <c r="S22" s="210">
        <v>2674000000</v>
      </c>
      <c r="T22" s="210">
        <v>2748000000</v>
      </c>
      <c r="U22" s="210">
        <v>3070000000</v>
      </c>
      <c r="V22" s="210">
        <v>3405000000</v>
      </c>
      <c r="W22" s="210">
        <v>3689000000</v>
      </c>
      <c r="X22" s="267">
        <v>4035000000</v>
      </c>
      <c r="Y22" s="267">
        <v>4411000000</v>
      </c>
      <c r="Z22" s="267">
        <v>4818000000</v>
      </c>
    </row>
    <row r="23" spans="1:26" s="848" customFormat="1">
      <c r="A23" s="1063" t="s">
        <v>53</v>
      </c>
      <c r="B23" s="1063" t="s">
        <v>53</v>
      </c>
      <c r="C23" s="1160" t="s">
        <v>38</v>
      </c>
      <c r="O23" s="1556">
        <v>733000000</v>
      </c>
      <c r="P23" s="1556">
        <v>367000000</v>
      </c>
      <c r="Q23" s="1556">
        <v>118000000</v>
      </c>
      <c r="R23" s="1556">
        <v>165000000</v>
      </c>
      <c r="S23" s="1556">
        <v>637000000</v>
      </c>
      <c r="T23" s="1556">
        <v>188000000</v>
      </c>
      <c r="U23" s="1556">
        <v>200000000</v>
      </c>
      <c r="V23" s="1556">
        <v>179000000</v>
      </c>
      <c r="W23" s="1556">
        <v>179000000</v>
      </c>
      <c r="X23" s="1348">
        <v>179000000</v>
      </c>
      <c r="Y23" s="1348">
        <v>179000000</v>
      </c>
      <c r="Z23" s="1348">
        <v>179000000</v>
      </c>
    </row>
    <row r="24" spans="1:26">
      <c r="A24" s="58" t="s">
        <v>997</v>
      </c>
      <c r="B24" s="58" t="s">
        <v>997</v>
      </c>
      <c r="C24" s="58" t="s">
        <v>41</v>
      </c>
      <c r="O24" s="210">
        <v>3745000000</v>
      </c>
      <c r="P24" s="210">
        <v>2920000000</v>
      </c>
      <c r="Q24" s="210">
        <v>2743000000</v>
      </c>
      <c r="R24" s="210">
        <v>4126000000</v>
      </c>
      <c r="S24" s="210">
        <v>4275000000</v>
      </c>
      <c r="T24" s="210">
        <v>5114000000</v>
      </c>
      <c r="U24" s="210">
        <v>4917000000</v>
      </c>
      <c r="V24" s="210">
        <v>5499000000</v>
      </c>
      <c r="W24" s="210">
        <v>5910000000</v>
      </c>
      <c r="X24" s="267">
        <v>6420000000</v>
      </c>
      <c r="Y24" s="267">
        <v>7097000000</v>
      </c>
      <c r="Z24" s="267">
        <v>7866000000</v>
      </c>
    </row>
    <row r="25" spans="1:26">
      <c r="A25" s="64" t="s">
        <v>4194</v>
      </c>
      <c r="B25" s="64" t="s">
        <v>4194</v>
      </c>
      <c r="C25" s="345" t="s">
        <v>192</v>
      </c>
      <c r="O25" s="210">
        <v>1387000000</v>
      </c>
      <c r="P25" s="210">
        <v>1028000000</v>
      </c>
      <c r="Q25" s="210">
        <v>930000000</v>
      </c>
      <c r="R25" s="210"/>
      <c r="S25" s="210"/>
      <c r="T25" s="210"/>
      <c r="U25" s="210"/>
      <c r="V25" s="210"/>
      <c r="W25" s="210"/>
      <c r="X25" s="267"/>
      <c r="Y25" s="267"/>
      <c r="Z25" s="267"/>
    </row>
    <row r="26" spans="1:26">
      <c r="A26" s="64" t="s">
        <v>4195</v>
      </c>
      <c r="B26" s="64" t="s">
        <v>4195</v>
      </c>
      <c r="C26" s="345" t="s">
        <v>192</v>
      </c>
      <c r="O26" s="210">
        <v>72000000</v>
      </c>
      <c r="P26" s="210">
        <v>72000000</v>
      </c>
      <c r="Q26" s="210">
        <v>51000000</v>
      </c>
      <c r="R26" s="210"/>
      <c r="S26" s="210"/>
      <c r="T26" s="210"/>
      <c r="U26" s="210"/>
      <c r="V26" s="210"/>
      <c r="W26" s="210"/>
      <c r="X26" s="267"/>
      <c r="Y26" s="267"/>
      <c r="Z26" s="267"/>
    </row>
    <row r="27" spans="1:26">
      <c r="A27" s="64" t="s">
        <v>4196</v>
      </c>
      <c r="B27" s="64" t="s">
        <v>4197</v>
      </c>
      <c r="C27" s="345" t="s">
        <v>192</v>
      </c>
      <c r="O27" s="210">
        <v>1152000000</v>
      </c>
      <c r="P27" s="210">
        <v>1031000000</v>
      </c>
      <c r="Q27" s="210">
        <v>1106000000</v>
      </c>
      <c r="R27" s="210">
        <v>1987000000</v>
      </c>
      <c r="S27" s="210">
        <v>2514000000</v>
      </c>
      <c r="T27" s="210">
        <v>2113000000</v>
      </c>
      <c r="U27" s="210">
        <v>1638000000</v>
      </c>
      <c r="V27" s="210">
        <v>1817000000</v>
      </c>
      <c r="W27" s="210">
        <v>2020000000</v>
      </c>
      <c r="X27" s="267">
        <v>2259000000</v>
      </c>
      <c r="Y27" s="267">
        <v>2642000000</v>
      </c>
      <c r="Z27" s="267">
        <v>3093000000</v>
      </c>
    </row>
    <row r="28" spans="1:26">
      <c r="A28" s="64" t="s">
        <v>4198</v>
      </c>
      <c r="B28" s="64" t="s">
        <v>4199</v>
      </c>
      <c r="C28" s="345" t="s">
        <v>192</v>
      </c>
      <c r="O28" s="210">
        <v>974000000</v>
      </c>
      <c r="P28" s="210">
        <v>633000000</v>
      </c>
      <c r="Q28" s="210">
        <v>476000000</v>
      </c>
      <c r="R28" s="210">
        <v>782000000</v>
      </c>
      <c r="S28" s="210">
        <v>491000000</v>
      </c>
      <c r="T28" s="210">
        <v>629000000</v>
      </c>
      <c r="U28" s="210">
        <v>813000000</v>
      </c>
      <c r="V28" s="210">
        <v>871000000</v>
      </c>
      <c r="W28" s="210">
        <v>908000000</v>
      </c>
      <c r="X28" s="267">
        <v>976000000</v>
      </c>
      <c r="Y28" s="267">
        <v>1050000000</v>
      </c>
      <c r="Z28" s="267">
        <v>1130000000</v>
      </c>
    </row>
    <row r="29" spans="1:26">
      <c r="A29" s="64" t="s">
        <v>50</v>
      </c>
      <c r="B29" s="64" t="s">
        <v>50</v>
      </c>
      <c r="C29" s="345" t="s">
        <v>192</v>
      </c>
      <c r="O29" s="210">
        <v>160000000</v>
      </c>
      <c r="P29" s="210">
        <v>155000000</v>
      </c>
      <c r="Q29" s="210">
        <v>180000000</v>
      </c>
      <c r="R29" s="210">
        <v>1357000000</v>
      </c>
      <c r="S29" s="210">
        <v>1270000000</v>
      </c>
      <c r="T29" s="210">
        <v>2372000000</v>
      </c>
      <c r="U29" s="210">
        <v>2466000000</v>
      </c>
      <c r="V29" s="210">
        <v>2811000000</v>
      </c>
      <c r="W29" s="210">
        <v>2981000000</v>
      </c>
      <c r="X29" s="267">
        <v>3185000000</v>
      </c>
      <c r="Y29" s="267">
        <v>3406000000</v>
      </c>
      <c r="Z29" s="267">
        <v>3643000000</v>
      </c>
    </row>
    <row r="30" spans="1:26">
      <c r="A30" s="695" t="s">
        <v>562</v>
      </c>
      <c r="B30" s="695" t="s">
        <v>562</v>
      </c>
      <c r="C30" s="1682" t="s">
        <v>41</v>
      </c>
      <c r="O30" s="210"/>
      <c r="P30" s="210"/>
      <c r="Q30" s="210"/>
      <c r="R30" s="210">
        <v>124000000</v>
      </c>
      <c r="S30" s="210">
        <v>30000000</v>
      </c>
      <c r="T30" s="210">
        <v>15000000</v>
      </c>
      <c r="U30" s="210">
        <v>266000000</v>
      </c>
      <c r="V30" s="210">
        <v>117000000</v>
      </c>
      <c r="W30" s="210">
        <v>119000000</v>
      </c>
      <c r="X30" s="267">
        <v>70000000</v>
      </c>
      <c r="Y30" s="267">
        <v>22000000</v>
      </c>
      <c r="Z30" s="267">
        <v>23000000</v>
      </c>
    </row>
    <row r="31" spans="1:26" s="848" customFormat="1">
      <c r="A31" s="848" t="s">
        <v>198</v>
      </c>
      <c r="B31" s="1063" t="s">
        <v>4200</v>
      </c>
      <c r="C31" s="1063" t="s">
        <v>35</v>
      </c>
      <c r="O31" s="1556">
        <v>12129000000</v>
      </c>
      <c r="P31" s="1556">
        <v>13152000000</v>
      </c>
      <c r="Q31" s="1556">
        <v>14967000000</v>
      </c>
      <c r="R31" s="887">
        <f>R32+R41</f>
        <v>18966000000</v>
      </c>
      <c r="S31" s="887">
        <f t="shared" ref="S31:Z31" si="2">S32+S41</f>
        <v>21436000000</v>
      </c>
      <c r="T31" s="887">
        <f t="shared" si="2"/>
        <v>24889000000</v>
      </c>
      <c r="U31" s="887">
        <f t="shared" si="2"/>
        <v>25561000000</v>
      </c>
      <c r="V31" s="887">
        <f t="shared" si="2"/>
        <v>26649000000</v>
      </c>
      <c r="W31" s="887">
        <f t="shared" si="2"/>
        <v>27627000000</v>
      </c>
      <c r="X31" s="1535">
        <f t="shared" si="2"/>
        <v>29429000000</v>
      </c>
      <c r="Y31" s="1535">
        <f t="shared" si="2"/>
        <v>31242000000</v>
      </c>
      <c r="Z31" s="1535">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4201</v>
      </c>
      <c r="B33" s="64" t="s">
        <v>4201</v>
      </c>
      <c r="C33" s="58" t="s">
        <v>204</v>
      </c>
      <c r="O33" s="210">
        <v>4281000000</v>
      </c>
      <c r="P33" s="210">
        <v>4559000000</v>
      </c>
      <c r="Q33" s="210">
        <v>5606000000</v>
      </c>
      <c r="R33" s="210">
        <v>6152000000</v>
      </c>
      <c r="S33" s="210">
        <v>6821000000</v>
      </c>
      <c r="T33" s="210">
        <v>6962000000</v>
      </c>
      <c r="U33" s="210">
        <v>7208000000</v>
      </c>
      <c r="V33" s="210">
        <v>7415000000</v>
      </c>
      <c r="W33" s="210">
        <v>7645000000</v>
      </c>
      <c r="X33" s="267">
        <v>7900000000</v>
      </c>
      <c r="Y33" s="267">
        <v>8168000000</v>
      </c>
      <c r="Z33" s="267">
        <v>8452000000</v>
      </c>
    </row>
    <row r="34" spans="1:26">
      <c r="A34" s="64" t="s">
        <v>4202</v>
      </c>
      <c r="B34" s="64" t="s">
        <v>4202</v>
      </c>
      <c r="C34" s="58" t="s">
        <v>204</v>
      </c>
      <c r="O34" s="210">
        <v>1823000000</v>
      </c>
      <c r="P34" s="210">
        <v>2241000000</v>
      </c>
      <c r="Q34" s="210">
        <v>3716000000</v>
      </c>
      <c r="R34" s="210"/>
      <c r="S34" s="210"/>
      <c r="T34" s="210"/>
      <c r="U34" s="210"/>
      <c r="V34" s="210"/>
      <c r="W34" s="210"/>
      <c r="X34" s="267"/>
      <c r="Y34" s="267"/>
      <c r="Z34" s="267"/>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7">
        <v>2900000000</v>
      </c>
      <c r="Y35" s="267">
        <v>3148000000</v>
      </c>
      <c r="Z35" s="267">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7">
        <v>1520000000</v>
      </c>
      <c r="Y36" s="267">
        <v>1578000000</v>
      </c>
      <c r="Z36" s="267">
        <v>1641000000</v>
      </c>
    </row>
    <row r="37" spans="1:26">
      <c r="A37" s="64" t="s">
        <v>4203</v>
      </c>
      <c r="B37" s="64" t="s">
        <v>4203</v>
      </c>
      <c r="C37" s="58" t="s">
        <v>204</v>
      </c>
      <c r="O37" s="210">
        <v>1480000000</v>
      </c>
      <c r="P37" s="210">
        <v>2151000000</v>
      </c>
      <c r="Q37" s="210">
        <v>1825000000</v>
      </c>
      <c r="R37" s="210">
        <v>1549000000</v>
      </c>
      <c r="S37" s="210">
        <v>1538000000</v>
      </c>
      <c r="T37" s="210">
        <v>2160000000</v>
      </c>
      <c r="U37" s="210">
        <v>2183000000</v>
      </c>
      <c r="V37" s="210">
        <v>2373000000</v>
      </c>
      <c r="W37" s="210">
        <v>2550000000</v>
      </c>
      <c r="X37" s="267">
        <v>2721000000</v>
      </c>
      <c r="Y37" s="267">
        <v>3084000000</v>
      </c>
      <c r="Z37" s="267">
        <v>3563000000</v>
      </c>
    </row>
    <row r="38" spans="1:26">
      <c r="A38" s="695" t="s">
        <v>4204</v>
      </c>
      <c r="B38" s="695" t="s">
        <v>4204</v>
      </c>
      <c r="C38" s="633" t="s">
        <v>204</v>
      </c>
      <c r="O38" s="210"/>
      <c r="P38" s="210"/>
      <c r="Q38" s="210"/>
      <c r="R38" s="210">
        <v>594000000</v>
      </c>
      <c r="S38" s="210">
        <v>386000000</v>
      </c>
      <c r="T38" s="210">
        <v>312000000</v>
      </c>
      <c r="U38" s="210">
        <v>319000000</v>
      </c>
      <c r="V38" s="210">
        <v>326000000</v>
      </c>
      <c r="W38" s="210">
        <v>367000000</v>
      </c>
      <c r="X38" s="267">
        <v>413000000</v>
      </c>
      <c r="Y38" s="267">
        <v>444000000</v>
      </c>
      <c r="Z38" s="267">
        <v>478000000</v>
      </c>
    </row>
    <row r="39" spans="1:26">
      <c r="A39" s="695" t="s">
        <v>4205</v>
      </c>
      <c r="B39" s="695" t="s">
        <v>4205</v>
      </c>
      <c r="C39" s="633" t="s">
        <v>204</v>
      </c>
      <c r="O39" s="210"/>
      <c r="P39" s="210"/>
      <c r="Q39" s="210"/>
      <c r="R39" s="210">
        <v>1377000000</v>
      </c>
      <c r="S39" s="210">
        <v>2050000000</v>
      </c>
      <c r="T39" s="210">
        <v>1653000000</v>
      </c>
      <c r="U39" s="210">
        <v>1695000000</v>
      </c>
      <c r="V39" s="210">
        <v>2249000000</v>
      </c>
      <c r="W39" s="210">
        <v>2988000000</v>
      </c>
      <c r="X39" s="267">
        <v>3365000000</v>
      </c>
      <c r="Y39" s="267">
        <v>3619000000</v>
      </c>
      <c r="Z39" s="267">
        <v>3895000000</v>
      </c>
    </row>
    <row r="40" spans="1:26">
      <c r="A40" s="64" t="s">
        <v>4206</v>
      </c>
      <c r="B40" s="64" t="s">
        <v>4206</v>
      </c>
      <c r="C40" s="58" t="s">
        <v>204</v>
      </c>
      <c r="O40" s="210">
        <v>17000000</v>
      </c>
      <c r="P40" s="210">
        <v>32000000</v>
      </c>
      <c r="Q40" s="210">
        <v>25000000</v>
      </c>
      <c r="R40" s="210">
        <v>2005000000</v>
      </c>
      <c r="S40" s="210">
        <v>2230000000</v>
      </c>
      <c r="T40" s="210">
        <v>2249000000</v>
      </c>
      <c r="U40" s="210">
        <v>2608000000</v>
      </c>
      <c r="V40" s="210">
        <v>3049000000</v>
      </c>
      <c r="W40" s="210">
        <v>3631000000</v>
      </c>
      <c r="X40" s="267">
        <v>3947000000</v>
      </c>
      <c r="Y40" s="267">
        <v>4173000000</v>
      </c>
      <c r="Z40" s="267">
        <v>4417000000</v>
      </c>
    </row>
    <row r="41" spans="1:26">
      <c r="A41" s="64" t="s">
        <v>237</v>
      </c>
      <c r="B41" s="58" t="s">
        <v>4207</v>
      </c>
      <c r="C41" s="58" t="s">
        <v>201</v>
      </c>
      <c r="O41" s="210">
        <v>3054000000</v>
      </c>
      <c r="P41" s="210">
        <v>2836000000</v>
      </c>
      <c r="Q41" s="210">
        <v>1825000000</v>
      </c>
      <c r="R41" s="210">
        <v>2585000000</v>
      </c>
      <c r="S41" s="210">
        <v>4701000000</v>
      </c>
      <c r="T41" s="210">
        <v>8614000000</v>
      </c>
      <c r="U41" s="210">
        <v>8640000000</v>
      </c>
      <c r="V41" s="210">
        <v>7975000000</v>
      </c>
      <c r="W41" s="210">
        <v>6617000000</v>
      </c>
      <c r="X41" s="267">
        <v>6663000000</v>
      </c>
      <c r="Y41" s="267">
        <v>7028000000</v>
      </c>
      <c r="Z41" s="267">
        <v>6825000000</v>
      </c>
    </row>
    <row r="42" spans="1:26">
      <c r="A42" s="64" t="s">
        <v>4208</v>
      </c>
      <c r="B42" s="58" t="s">
        <v>2767</v>
      </c>
      <c r="C42" s="58" t="s">
        <v>241</v>
      </c>
      <c r="O42" s="210">
        <v>1726000000</v>
      </c>
      <c r="P42" s="210">
        <v>1704000000</v>
      </c>
      <c r="Q42" s="210">
        <v>648000000</v>
      </c>
      <c r="R42" s="210"/>
      <c r="S42" s="210"/>
      <c r="T42" s="210"/>
      <c r="U42" s="210"/>
      <c r="V42" s="210"/>
      <c r="W42" s="210"/>
      <c r="X42" s="267"/>
      <c r="Y42" s="267"/>
      <c r="Z42" s="267"/>
    </row>
    <row r="43" spans="1:26">
      <c r="A43" s="64"/>
      <c r="B43" s="64" t="s">
        <v>4209</v>
      </c>
      <c r="C43" s="58"/>
      <c r="O43" s="210"/>
      <c r="P43" s="210"/>
      <c r="Q43" s="210"/>
      <c r="X43" s="267"/>
      <c r="Y43" s="267"/>
      <c r="Z43" s="267"/>
    </row>
    <row r="44" spans="1:26">
      <c r="A44" s="64"/>
      <c r="B44" s="64" t="s">
        <v>4210</v>
      </c>
      <c r="C44" s="58"/>
      <c r="O44" s="210"/>
      <c r="P44" s="210"/>
      <c r="Q44" s="210"/>
      <c r="R44" s="210"/>
      <c r="S44" s="210"/>
      <c r="T44" s="210"/>
      <c r="U44" s="210"/>
      <c r="V44" s="210"/>
      <c r="W44" s="210"/>
      <c r="X44" s="267"/>
      <c r="Y44" s="267"/>
      <c r="Z44" s="267"/>
    </row>
    <row r="45" spans="1:26">
      <c r="A45" s="58" t="s">
        <v>4211</v>
      </c>
      <c r="B45" s="58" t="s">
        <v>4211</v>
      </c>
      <c r="C45" s="58" t="s">
        <v>241</v>
      </c>
      <c r="O45" s="210">
        <v>1328000000</v>
      </c>
      <c r="P45" s="210">
        <v>1132000000</v>
      </c>
      <c r="Q45" s="210">
        <v>1177000000</v>
      </c>
      <c r="R45" s="210"/>
      <c r="S45" s="210"/>
      <c r="T45" s="210"/>
      <c r="U45" s="210"/>
      <c r="V45" s="210"/>
      <c r="W45" s="210"/>
      <c r="X45" s="267"/>
      <c r="Y45" s="267"/>
      <c r="Z45" s="267"/>
    </row>
    <row r="46" spans="1:26">
      <c r="B46" s="64" t="s">
        <v>4212</v>
      </c>
      <c r="C46" s="58"/>
      <c r="O46" s="210">
        <v>1328000000</v>
      </c>
      <c r="P46" s="210">
        <v>1132000000</v>
      </c>
      <c r="Q46" s="210">
        <v>1177000000</v>
      </c>
      <c r="R46" s="210"/>
      <c r="S46" s="210"/>
      <c r="T46" s="210"/>
      <c r="U46" s="210"/>
      <c r="V46" s="210"/>
      <c r="W46" s="210"/>
      <c r="X46" s="267"/>
      <c r="Y46" s="267"/>
      <c r="Z46" s="267"/>
    </row>
    <row r="47" spans="1:26">
      <c r="B47" s="58" t="s">
        <v>4213</v>
      </c>
      <c r="C47" s="58"/>
      <c r="O47" s="210">
        <v>294000000</v>
      </c>
      <c r="P47" s="210">
        <v>-227000000</v>
      </c>
      <c r="Q47" s="210">
        <v>-1510000000</v>
      </c>
      <c r="R47" s="210"/>
      <c r="S47" s="210"/>
      <c r="T47" s="210"/>
      <c r="U47" s="210"/>
      <c r="V47" s="210"/>
      <c r="W47" s="210"/>
      <c r="X47" s="267"/>
      <c r="Y47" s="267"/>
      <c r="Z47" s="267"/>
    </row>
    <row r="48" spans="1:26">
      <c r="B48" s="58" t="s">
        <v>4214</v>
      </c>
      <c r="C48" s="58"/>
      <c r="O48" s="210">
        <v>-2759000000</v>
      </c>
      <c r="P48" s="210">
        <v>-3062000000</v>
      </c>
      <c r="Q48" s="210">
        <v>-3335000000</v>
      </c>
      <c r="R48" s="210">
        <v>-4202000000</v>
      </c>
      <c r="S48" s="210">
        <v>-4204000000</v>
      </c>
      <c r="T48" s="210">
        <v>-6716000000</v>
      </c>
      <c r="U48" s="210">
        <v>-5538000000</v>
      </c>
      <c r="V48" s="210">
        <v>-5286000000</v>
      </c>
      <c r="W48" s="210">
        <v>-5013000000</v>
      </c>
      <c r="X48" s="267">
        <v>-5095000000</v>
      </c>
      <c r="Y48" s="267">
        <v>-4906000000</v>
      </c>
      <c r="Z48" s="267">
        <v>-4220000000</v>
      </c>
    </row>
    <row r="49" spans="1:26">
      <c r="B49" s="2579" t="s">
        <v>4215</v>
      </c>
      <c r="C49" s="58"/>
      <c r="O49" s="210"/>
      <c r="P49" s="210"/>
      <c r="Q49" s="210"/>
      <c r="R49" s="210">
        <v>-4367000000</v>
      </c>
      <c r="S49" s="210">
        <v>-4841000000</v>
      </c>
      <c r="T49" s="210">
        <v>-6904000000</v>
      </c>
      <c r="U49" s="210">
        <v>-5738000000</v>
      </c>
      <c r="V49" s="210">
        <v>-5465000000</v>
      </c>
      <c r="W49" s="210">
        <v>-5192000000</v>
      </c>
      <c r="X49" s="267">
        <v>-5274000000</v>
      </c>
      <c r="Y49" s="267">
        <v>-5085000000</v>
      </c>
      <c r="Z49" s="267">
        <v>-4399000000</v>
      </c>
    </row>
    <row r="50" spans="1:26" s="848" customFormat="1">
      <c r="A50" s="1063" t="s">
        <v>115</v>
      </c>
      <c r="B50" s="1063" t="s">
        <v>4216</v>
      </c>
      <c r="C50" s="1063" t="s">
        <v>35</v>
      </c>
      <c r="O50" s="1556">
        <f>O54+O64+O78</f>
        <v>2759000000</v>
      </c>
      <c r="P50" s="1556">
        <f>P54+P64+P78</f>
        <v>3063000000</v>
      </c>
      <c r="Q50" s="1556">
        <f t="shared" ref="Q50" si="4">Q54+Q64+Q78</f>
        <v>3607000000</v>
      </c>
      <c r="R50" s="1556">
        <f>R51+R52</f>
        <v>4202000000</v>
      </c>
      <c r="S50" s="1556">
        <f t="shared" ref="S50:Z50" si="5">S51+S52</f>
        <v>4205000000</v>
      </c>
      <c r="T50" s="1556">
        <f t="shared" si="5"/>
        <v>6716000000</v>
      </c>
      <c r="U50" s="1556">
        <f t="shared" si="5"/>
        <v>5538000000</v>
      </c>
      <c r="V50" s="1556">
        <f t="shared" si="5"/>
        <v>5286000000</v>
      </c>
      <c r="W50" s="1556">
        <f t="shared" si="5"/>
        <v>5013000000</v>
      </c>
      <c r="X50" s="1556">
        <f t="shared" si="5"/>
        <v>5095000000</v>
      </c>
      <c r="Y50" s="1556">
        <f t="shared" si="5"/>
        <v>4906000000</v>
      </c>
      <c r="Z50" s="1556">
        <f t="shared" si="5"/>
        <v>4221000000</v>
      </c>
    </row>
    <row r="51" spans="1:26">
      <c r="A51" s="891" t="s">
        <v>120</v>
      </c>
      <c r="B51" s="891"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7">
        <v>2186000000</v>
      </c>
      <c r="Y51" s="267">
        <v>1947000000</v>
      </c>
      <c r="Z51" s="267">
        <v>4681000000</v>
      </c>
    </row>
    <row r="52" spans="1:26">
      <c r="A52" s="891" t="s">
        <v>117</v>
      </c>
      <c r="B52" s="891"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7">
        <v>2909000000</v>
      </c>
      <c r="Y52" s="267">
        <v>2959000000</v>
      </c>
      <c r="Z52" s="267">
        <v>-460000000</v>
      </c>
    </row>
    <row r="53" spans="1:26">
      <c r="B53" s="58" t="s">
        <v>4217</v>
      </c>
      <c r="C53" s="58"/>
      <c r="O53" s="210">
        <v>-2759000000</v>
      </c>
      <c r="P53" s="210">
        <v>-3062000000</v>
      </c>
      <c r="Q53" s="210">
        <v>-3335000000</v>
      </c>
      <c r="R53" s="210"/>
      <c r="S53" s="210"/>
      <c r="T53" s="210"/>
      <c r="U53" s="210"/>
      <c r="V53" s="210"/>
      <c r="W53" s="210"/>
    </row>
    <row r="54" spans="1:26">
      <c r="B54" s="58" t="s">
        <v>1204</v>
      </c>
      <c r="C54" s="58"/>
      <c r="O54" s="210">
        <v>616000000</v>
      </c>
      <c r="P54" s="210">
        <v>-90000000</v>
      </c>
      <c r="Q54" s="210">
        <v>136000000</v>
      </c>
      <c r="R54" s="210"/>
      <c r="S54" s="210"/>
      <c r="T54" s="210"/>
      <c r="U54" s="210"/>
      <c r="V54" s="210"/>
      <c r="W54" s="210"/>
    </row>
    <row r="55" spans="1:26">
      <c r="A55" t="s">
        <v>4218</v>
      </c>
      <c r="B55" s="58" t="s">
        <v>4219</v>
      </c>
      <c r="C55" s="58" t="s">
        <v>4220</v>
      </c>
      <c r="O55" s="210">
        <v>616000000</v>
      </c>
      <c r="P55" s="210">
        <v>-90000000</v>
      </c>
      <c r="Q55" s="210">
        <v>136000000</v>
      </c>
      <c r="R55" s="210"/>
      <c r="S55" s="210"/>
      <c r="T55" s="210"/>
      <c r="U55" s="210"/>
      <c r="V55" s="210"/>
      <c r="W55" s="210"/>
      <c r="X55" s="267"/>
      <c r="Y55" s="267"/>
      <c r="Z55" s="267"/>
    </row>
    <row r="56" spans="1:26">
      <c r="B56" s="64" t="s">
        <v>4221</v>
      </c>
      <c r="C56" s="58"/>
      <c r="O56" s="210">
        <v>751000000</v>
      </c>
      <c r="P56" s="210">
        <v>0</v>
      </c>
      <c r="Q56" s="210">
        <v>0</v>
      </c>
      <c r="R56" s="210"/>
      <c r="S56" s="210"/>
      <c r="T56" s="210"/>
      <c r="U56" s="210"/>
      <c r="V56" s="210"/>
      <c r="W56" s="210"/>
    </row>
    <row r="57" spans="1:26">
      <c r="B57" s="64" t="s">
        <v>4222</v>
      </c>
      <c r="C57" s="58"/>
      <c r="O57" s="210">
        <v>-399000000</v>
      </c>
      <c r="P57" s="210">
        <v>-90000000</v>
      </c>
      <c r="Q57" s="210">
        <v>136000000</v>
      </c>
      <c r="R57" s="210"/>
      <c r="S57" s="210"/>
      <c r="T57" s="210"/>
      <c r="U57" s="210"/>
      <c r="V57" s="210"/>
      <c r="W57" s="210"/>
    </row>
    <row r="58" spans="1:26">
      <c r="B58" s="64" t="s">
        <v>4223</v>
      </c>
      <c r="C58" s="58"/>
      <c r="O58" s="210">
        <v>-113000000</v>
      </c>
      <c r="P58" s="210">
        <v>0</v>
      </c>
      <c r="Q58" s="210">
        <v>0</v>
      </c>
      <c r="R58" s="210"/>
      <c r="S58" s="210"/>
      <c r="T58" s="210"/>
      <c r="U58" s="210"/>
      <c r="V58" s="210"/>
      <c r="W58" s="210"/>
    </row>
    <row r="59" spans="1:26">
      <c r="B59" s="64" t="s">
        <v>1196</v>
      </c>
      <c r="C59" s="58"/>
      <c r="O59" s="210">
        <v>377000000</v>
      </c>
      <c r="P59" s="210">
        <v>0</v>
      </c>
      <c r="Q59" s="210">
        <v>0</v>
      </c>
      <c r="R59" s="210"/>
      <c r="S59" s="210"/>
      <c r="T59" s="210"/>
      <c r="U59" s="210"/>
      <c r="V59" s="210"/>
      <c r="W59" s="210"/>
    </row>
    <row r="60" spans="1:26">
      <c r="A60" t="s">
        <v>4224</v>
      </c>
      <c r="B60" s="58" t="s">
        <v>4225</v>
      </c>
      <c r="C60" s="58" t="s">
        <v>4226</v>
      </c>
      <c r="O60" s="210">
        <v>0</v>
      </c>
      <c r="P60" s="210">
        <v>0</v>
      </c>
      <c r="Q60" s="210">
        <v>0</v>
      </c>
      <c r="R60" s="210"/>
      <c r="S60" s="210"/>
      <c r="T60" s="210"/>
      <c r="U60" s="210"/>
      <c r="V60" s="210"/>
      <c r="W60" s="210"/>
    </row>
    <row r="61" spans="1:26">
      <c r="B61" s="64" t="s">
        <v>4221</v>
      </c>
      <c r="C61" s="58"/>
      <c r="O61" s="210">
        <v>0</v>
      </c>
      <c r="P61" s="210">
        <v>0</v>
      </c>
      <c r="Q61" s="210">
        <v>0</v>
      </c>
      <c r="R61" s="210"/>
      <c r="S61" s="210"/>
      <c r="T61" s="210"/>
      <c r="U61" s="210"/>
      <c r="V61" s="210"/>
      <c r="W61" s="210"/>
    </row>
    <row r="62" spans="1:26">
      <c r="B62" s="64" t="s">
        <v>4222</v>
      </c>
      <c r="C62" s="58"/>
      <c r="O62" s="210">
        <v>0</v>
      </c>
      <c r="P62" s="210">
        <v>0</v>
      </c>
      <c r="Q62" s="210">
        <v>0</v>
      </c>
      <c r="R62" s="210"/>
      <c r="S62" s="210"/>
      <c r="T62" s="210"/>
      <c r="U62" s="210"/>
      <c r="V62" s="210"/>
      <c r="W62" s="210"/>
    </row>
    <row r="63" spans="1:26">
      <c r="B63" s="64" t="s">
        <v>1196</v>
      </c>
      <c r="C63" s="58"/>
      <c r="O63" s="210">
        <v>0</v>
      </c>
      <c r="P63" s="210">
        <v>0</v>
      </c>
      <c r="Q63" s="210">
        <v>0</v>
      </c>
      <c r="R63" s="210"/>
      <c r="S63" s="210"/>
      <c r="T63" s="210"/>
      <c r="U63" s="210"/>
      <c r="V63" s="210"/>
      <c r="W63" s="210"/>
    </row>
    <row r="64" spans="1:26">
      <c r="B64" s="58" t="s">
        <v>4227</v>
      </c>
      <c r="C64" s="58"/>
      <c r="O64" s="210">
        <v>1705000000</v>
      </c>
      <c r="P64" s="210">
        <v>3368000000</v>
      </c>
      <c r="Q64" s="210">
        <v>6529000000</v>
      </c>
      <c r="R64" s="210"/>
      <c r="S64" s="210"/>
      <c r="T64" s="210"/>
      <c r="U64" s="210"/>
      <c r="V64" s="210"/>
      <c r="W64" s="210"/>
    </row>
    <row r="65" spans="1:26">
      <c r="A65" t="s">
        <v>4228</v>
      </c>
      <c r="B65" s="58" t="s">
        <v>4219</v>
      </c>
      <c r="C65" s="58" t="s">
        <v>4220</v>
      </c>
      <c r="O65" s="210">
        <v>220000000</v>
      </c>
      <c r="P65" s="210">
        <v>3498000000</v>
      </c>
      <c r="Q65" s="210">
        <v>7009000000</v>
      </c>
      <c r="R65" s="210"/>
      <c r="S65" s="210"/>
      <c r="T65" s="210"/>
      <c r="U65" s="210"/>
      <c r="V65" s="210"/>
      <c r="W65" s="210"/>
    </row>
    <row r="66" spans="1:26">
      <c r="B66" s="58" t="s">
        <v>4229</v>
      </c>
      <c r="C66" s="58"/>
      <c r="O66" s="210">
        <v>0</v>
      </c>
      <c r="P66" s="210">
        <v>0</v>
      </c>
      <c r="Q66" s="210">
        <v>0</v>
      </c>
      <c r="R66" s="210"/>
      <c r="S66" s="210"/>
      <c r="T66" s="210"/>
      <c r="U66" s="210"/>
      <c r="V66" s="210"/>
      <c r="W66" s="210"/>
    </row>
    <row r="67" spans="1:26">
      <c r="B67" s="58" t="s">
        <v>1195</v>
      </c>
      <c r="C67" s="58"/>
      <c r="O67" s="210">
        <v>220000000</v>
      </c>
      <c r="P67" s="210">
        <v>3498000000</v>
      </c>
      <c r="Q67" s="210">
        <v>7009000000</v>
      </c>
      <c r="R67" s="210"/>
      <c r="S67" s="210"/>
      <c r="T67" s="210"/>
      <c r="U67" s="210"/>
      <c r="V67" s="210"/>
      <c r="W67" s="210"/>
    </row>
    <row r="68" spans="1:26">
      <c r="B68" s="64" t="s">
        <v>4230</v>
      </c>
      <c r="O68" s="210">
        <v>220000000</v>
      </c>
      <c r="P68" s="210">
        <v>4132000000</v>
      </c>
      <c r="Q68" s="210">
        <v>7326000000</v>
      </c>
      <c r="R68" s="210"/>
      <c r="S68" s="210"/>
      <c r="T68" s="210"/>
      <c r="U68" s="210"/>
      <c r="V68" s="210"/>
      <c r="W68" s="210"/>
    </row>
    <row r="69" spans="1:26">
      <c r="B69" s="65" t="s">
        <v>1035</v>
      </c>
      <c r="O69" s="210">
        <v>0</v>
      </c>
      <c r="P69" s="210">
        <v>0</v>
      </c>
      <c r="Q69" s="210">
        <v>0</v>
      </c>
      <c r="R69" s="210"/>
      <c r="S69" s="210"/>
      <c r="T69" s="210"/>
      <c r="U69" s="210"/>
      <c r="V69" s="210"/>
      <c r="W69" s="210"/>
    </row>
    <row r="70" spans="1:26">
      <c r="B70" s="65" t="s">
        <v>4231</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4232</v>
      </c>
      <c r="O72" s="210">
        <v>0</v>
      </c>
      <c r="P72" s="210">
        <v>-634000000</v>
      </c>
      <c r="Q72" s="210">
        <v>-317000000</v>
      </c>
      <c r="R72" s="210"/>
      <c r="S72" s="210"/>
      <c r="T72" s="210"/>
      <c r="U72" s="210"/>
      <c r="V72" s="210"/>
      <c r="W72" s="210"/>
    </row>
    <row r="73" spans="1:26">
      <c r="B73" s="65" t="s">
        <v>4222</v>
      </c>
      <c r="O73" s="210">
        <v>0</v>
      </c>
      <c r="P73" s="210">
        <v>0</v>
      </c>
      <c r="Q73" s="210">
        <v>0</v>
      </c>
      <c r="R73" s="210"/>
      <c r="S73" s="210"/>
      <c r="T73" s="210"/>
      <c r="U73" s="210"/>
      <c r="V73" s="210"/>
      <c r="W73" s="210"/>
    </row>
    <row r="74" spans="1:26">
      <c r="B74" s="65" t="s">
        <v>1196</v>
      </c>
      <c r="O74" s="210">
        <v>0</v>
      </c>
      <c r="P74" s="210">
        <v>0</v>
      </c>
      <c r="Q74" s="210">
        <v>0</v>
      </c>
      <c r="R74" s="210"/>
      <c r="S74" s="210"/>
      <c r="T74" s="210"/>
      <c r="U74" s="210"/>
      <c r="V74" s="210"/>
      <c r="W74" s="210"/>
    </row>
    <row r="75" spans="1:26">
      <c r="A75" t="s">
        <v>4233</v>
      </c>
      <c r="B75" s="58" t="s">
        <v>4225</v>
      </c>
      <c r="C75" s="58" t="s">
        <v>4226</v>
      </c>
      <c r="O75" s="210">
        <v>1485000000</v>
      </c>
      <c r="P75" s="210">
        <v>-130000000</v>
      </c>
      <c r="Q75" s="210">
        <v>-480000000</v>
      </c>
      <c r="R75" s="210"/>
      <c r="S75" s="210"/>
      <c r="T75" s="210"/>
      <c r="U75" s="210"/>
      <c r="V75" s="210"/>
      <c r="W75" s="210"/>
    </row>
    <row r="76" spans="1:26">
      <c r="B76" s="64" t="s">
        <v>1195</v>
      </c>
      <c r="C76" s="58"/>
      <c r="O76" s="210">
        <v>260000000</v>
      </c>
      <c r="P76" s="210">
        <v>-770000000</v>
      </c>
      <c r="Q76" s="210">
        <v>-770000000</v>
      </c>
      <c r="R76" s="210"/>
      <c r="S76" s="210"/>
      <c r="T76" s="210"/>
      <c r="U76" s="210"/>
      <c r="V76" s="210"/>
      <c r="W76" s="210"/>
    </row>
    <row r="77" spans="1:26">
      <c r="B77" s="64" t="s">
        <v>4222</v>
      </c>
      <c r="C77" s="58"/>
      <c r="O77" s="210">
        <v>1225000000</v>
      </c>
      <c r="P77" s="210">
        <v>640000000</v>
      </c>
      <c r="Q77" s="210">
        <v>290000000</v>
      </c>
      <c r="R77" s="210"/>
      <c r="S77" s="210"/>
      <c r="T77" s="210"/>
      <c r="U77" s="210"/>
      <c r="V77" s="210"/>
      <c r="W77" s="210"/>
    </row>
    <row r="78" spans="1:26">
      <c r="A78" s="58" t="s">
        <v>4234</v>
      </c>
      <c r="B78" s="58" t="s">
        <v>4234</v>
      </c>
      <c r="C78" s="58" t="s">
        <v>252</v>
      </c>
      <c r="O78" s="329">
        <v>438000000</v>
      </c>
      <c r="P78" s="329">
        <v>-215000000</v>
      </c>
      <c r="Q78" s="329">
        <v>-3058000000</v>
      </c>
      <c r="R78" s="329"/>
      <c r="S78" s="329"/>
      <c r="T78" s="329"/>
      <c r="U78" s="329"/>
      <c r="V78" s="329"/>
      <c r="W78" s="329"/>
    </row>
    <row r="80" spans="1:26">
      <c r="O80" t="s">
        <v>139</v>
      </c>
      <c r="P80" t="s">
        <v>139</v>
      </c>
      <c r="Q80" t="s">
        <v>139</v>
      </c>
      <c r="R80" t="s">
        <v>139</v>
      </c>
      <c r="S80" t="s">
        <v>139</v>
      </c>
      <c r="T80" t="s">
        <v>139</v>
      </c>
      <c r="U80" t="s">
        <v>139</v>
      </c>
      <c r="V80" t="s">
        <v>139</v>
      </c>
      <c r="W80" t="s">
        <v>139</v>
      </c>
      <c r="X80" t="s">
        <v>139</v>
      </c>
      <c r="Y80" t="s">
        <v>139</v>
      </c>
      <c r="Z80" t="s">
        <v>139</v>
      </c>
    </row>
    <row r="82" spans="2:26">
      <c r="B82" t="s">
        <v>4235</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450</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4236</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4237</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1772</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1761</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2342</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826</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876</v>
      </c>
      <c r="O91" s="21">
        <f>O41-O42-O45</f>
        <v>0</v>
      </c>
      <c r="P91" s="21">
        <f t="shared" ref="P91:X91" si="26">P41-P42-P45</f>
        <v>0</v>
      </c>
      <c r="Q91" s="21">
        <f t="shared" si="26"/>
        <v>0</v>
      </c>
      <c r="R91" s="889">
        <f t="shared" si="26"/>
        <v>2585000000</v>
      </c>
      <c r="S91" s="889">
        <f t="shared" si="26"/>
        <v>4701000000</v>
      </c>
      <c r="T91" s="889">
        <f t="shared" si="26"/>
        <v>8614000000</v>
      </c>
      <c r="U91" s="889">
        <f t="shared" si="26"/>
        <v>8640000000</v>
      </c>
      <c r="V91" s="889">
        <f t="shared" si="26"/>
        <v>7975000000</v>
      </c>
      <c r="W91" s="889">
        <f t="shared" si="26"/>
        <v>6617000000</v>
      </c>
      <c r="X91" s="889">
        <f t="shared" si="26"/>
        <v>6663000000</v>
      </c>
      <c r="Y91" s="889">
        <f t="shared" ref="Y91:Z91" si="27">Y41-Y42-Y45</f>
        <v>7028000000</v>
      </c>
      <c r="Z91" s="889">
        <f t="shared" si="27"/>
        <v>6825000000</v>
      </c>
    </row>
    <row r="92" spans="2:26">
      <c r="B92" t="s">
        <v>4238</v>
      </c>
      <c r="O92" s="21">
        <f>O42-O43-O44</f>
        <v>1726000000</v>
      </c>
      <c r="P92" s="21">
        <f t="shared" ref="P92:Q92" si="28">P42-P43-P44</f>
        <v>1704000000</v>
      </c>
      <c r="Q92" s="21">
        <f t="shared" si="28"/>
        <v>648000000</v>
      </c>
      <c r="R92" s="889">
        <f t="shared" ref="R92:X92" si="29">R42-R41-R44</f>
        <v>-2585000000</v>
      </c>
      <c r="S92" s="889">
        <f t="shared" si="29"/>
        <v>-4701000000</v>
      </c>
      <c r="T92" s="889">
        <f t="shared" si="29"/>
        <v>-8614000000</v>
      </c>
      <c r="U92" s="889">
        <f t="shared" si="29"/>
        <v>-8640000000</v>
      </c>
      <c r="V92" s="889">
        <f t="shared" si="29"/>
        <v>-7975000000</v>
      </c>
      <c r="W92" s="889">
        <f t="shared" si="29"/>
        <v>-6617000000</v>
      </c>
      <c r="X92" s="889">
        <f t="shared" si="29"/>
        <v>-6663000000</v>
      </c>
      <c r="Y92" s="889">
        <f t="shared" ref="Y92:Z92" si="30">Y42-Y41-Y44</f>
        <v>-7028000000</v>
      </c>
      <c r="Z92" s="889">
        <f t="shared" si="30"/>
        <v>-6825000000</v>
      </c>
    </row>
    <row r="93" spans="2:26">
      <c r="B93" t="s">
        <v>457</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4239</v>
      </c>
      <c r="O94" s="21">
        <f>O51-O55-O65</f>
        <v>0</v>
      </c>
      <c r="P94" s="21">
        <f t="shared" ref="P94:R94" si="34">P51-P55-P65</f>
        <v>0</v>
      </c>
      <c r="Q94" s="21">
        <f t="shared" si="34"/>
        <v>0</v>
      </c>
      <c r="R94" s="889">
        <f t="shared" si="34"/>
        <v>4513000000</v>
      </c>
      <c r="S94" s="889">
        <f t="shared" ref="S94:X94" si="35">S51-S55-S65</f>
        <v>4502000000</v>
      </c>
      <c r="T94" s="889">
        <f t="shared" si="35"/>
        <v>4686000000</v>
      </c>
      <c r="U94" s="889">
        <f t="shared" si="35"/>
        <v>264000000</v>
      </c>
      <c r="V94" s="889">
        <f t="shared" si="35"/>
        <v>2677000000</v>
      </c>
      <c r="W94" s="889">
        <f t="shared" si="35"/>
        <v>2065000000</v>
      </c>
      <c r="X94" s="889">
        <f t="shared" si="35"/>
        <v>2186000000</v>
      </c>
      <c r="Y94" s="889">
        <f t="shared" ref="Y94:Z94" si="36">Y51-Y55-Y65</f>
        <v>1947000000</v>
      </c>
      <c r="Z94" s="889">
        <f t="shared" si="36"/>
        <v>4681000000</v>
      </c>
    </row>
    <row r="95" spans="2:26">
      <c r="B95" t="s">
        <v>4240</v>
      </c>
      <c r="O95" s="21">
        <f>O52-O75</f>
        <v>0</v>
      </c>
      <c r="P95" s="21">
        <f t="shared" ref="P95:R95" si="37">P52-P75</f>
        <v>0</v>
      </c>
      <c r="Q95" s="21">
        <f t="shared" si="37"/>
        <v>0</v>
      </c>
      <c r="R95" s="889">
        <f t="shared" si="37"/>
        <v>-311000000</v>
      </c>
      <c r="S95" s="889">
        <f t="shared" ref="S95:X95" si="38">S52-S75</f>
        <v>-297000000</v>
      </c>
      <c r="T95" s="889">
        <f t="shared" si="38"/>
        <v>2030000000</v>
      </c>
      <c r="U95" s="889">
        <f t="shared" si="38"/>
        <v>5274000000</v>
      </c>
      <c r="V95" s="889">
        <f t="shared" si="38"/>
        <v>2609000000</v>
      </c>
      <c r="W95" s="889">
        <f t="shared" si="38"/>
        <v>2948000000</v>
      </c>
      <c r="X95" s="889">
        <f t="shared" si="38"/>
        <v>2909000000</v>
      </c>
      <c r="Y95" s="889">
        <f t="shared" ref="Y95:Z95" si="39">Y52-Y75</f>
        <v>2959000000</v>
      </c>
      <c r="Z95" s="889">
        <f t="shared" si="39"/>
        <v>-460000000</v>
      </c>
    </row>
    <row r="97" spans="2:23">
      <c r="B97" t="s">
        <v>543</v>
      </c>
      <c r="O97" s="279">
        <v>35931000000</v>
      </c>
      <c r="P97" s="279">
        <v>38943000000</v>
      </c>
      <c r="Q97" s="193">
        <v>42952000000</v>
      </c>
      <c r="R97" s="193">
        <v>47122000000</v>
      </c>
      <c r="S97" s="193">
        <v>48209000000</v>
      </c>
      <c r="T97" s="193">
        <v>50549000000</v>
      </c>
      <c r="U97" s="193">
        <v>53836000000</v>
      </c>
      <c r="V97" s="193">
        <v>57854000000</v>
      </c>
      <c r="W97" s="279"/>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zoomScale="60" zoomScaleNormal="60" workbookViewId="0">
      <pane xSplit="3" ySplit="5" topLeftCell="E6" activePane="bottomRight" state="frozen"/>
      <selection pane="topRight" activeCell="C1" sqref="C1"/>
      <selection pane="bottomLeft" activeCell="A6" sqref="A6"/>
      <selection pane="bottomRight" activeCell="K6" sqref="K6"/>
    </sheetView>
  </sheetViews>
  <sheetFormatPr defaultRowHeight="15.75"/>
  <cols>
    <col min="1" max="1" width="32" style="534" customWidth="1"/>
    <col min="2" max="2" width="59.85546875" style="534" customWidth="1"/>
    <col min="3" max="3" width="27.7109375" style="534" customWidth="1"/>
    <col min="4" max="5" width="26.85546875" style="534" bestFit="1" customWidth="1"/>
    <col min="6" max="6" width="27.28515625" style="534" bestFit="1" customWidth="1"/>
    <col min="7" max="9" width="22.85546875" style="534" bestFit="1" customWidth="1"/>
    <col min="10" max="10" width="24.7109375" style="534" bestFit="1" customWidth="1"/>
    <col min="11" max="11" width="22.85546875" style="534" bestFit="1" customWidth="1"/>
    <col min="12" max="12" width="26.85546875" style="534" bestFit="1" customWidth="1"/>
    <col min="13" max="13" width="27.28515625" style="534" bestFit="1" customWidth="1"/>
    <col min="14" max="16" width="26.85546875" style="534" bestFit="1" customWidth="1"/>
    <col min="17" max="18" width="27.28515625" style="534" bestFit="1" customWidth="1"/>
    <col min="19" max="20" width="25.42578125" style="534" bestFit="1" customWidth="1"/>
    <col min="21" max="23" width="26.140625" style="534" bestFit="1" customWidth="1"/>
    <col min="24" max="24" width="25.42578125" style="534" bestFit="1" customWidth="1"/>
    <col min="25" max="25" width="26.140625" style="534" bestFit="1" customWidth="1"/>
    <col min="26" max="26" width="26.28515625" style="534" bestFit="1" customWidth="1"/>
    <col min="27" max="27" width="26.140625" style="867" bestFit="1" customWidth="1"/>
    <col min="28" max="28" width="8.85546875" style="534"/>
  </cols>
  <sheetData>
    <row r="1" spans="1:28">
      <c r="A1" s="534" t="s">
        <v>4241</v>
      </c>
      <c r="B1" s="2334" t="s">
        <v>4242</v>
      </c>
      <c r="C1" s="548"/>
      <c r="D1" s="549"/>
      <c r="E1" s="549"/>
      <c r="F1" s="549"/>
      <c r="G1" s="549"/>
      <c r="H1" s="549"/>
      <c r="I1" s="549"/>
      <c r="J1" s="549"/>
      <c r="K1" s="549"/>
      <c r="L1" s="549"/>
      <c r="M1" s="549"/>
      <c r="N1" s="549"/>
      <c r="O1" s="550"/>
      <c r="P1" s="550"/>
      <c r="Q1" s="550"/>
      <c r="R1" s="551"/>
      <c r="S1" s="550"/>
      <c r="T1" s="550"/>
      <c r="U1" s="550"/>
      <c r="V1" s="550"/>
      <c r="W1" s="550"/>
      <c r="X1" s="550"/>
      <c r="Y1" s="550"/>
    </row>
    <row r="2" spans="1:28">
      <c r="B2" s="552" t="s">
        <v>4243</v>
      </c>
      <c r="C2" s="552"/>
      <c r="D2" s="550"/>
      <c r="E2" s="550"/>
      <c r="F2" s="550"/>
      <c r="G2" s="550"/>
      <c r="H2" s="550"/>
      <c r="I2" s="550"/>
      <c r="J2" s="550"/>
      <c r="K2" s="550"/>
      <c r="L2" s="550"/>
      <c r="M2" s="550"/>
      <c r="N2" s="550"/>
      <c r="O2" s="550"/>
      <c r="P2" s="550"/>
      <c r="Q2" s="550"/>
      <c r="R2" s="553"/>
      <c r="S2" s="554"/>
      <c r="T2" s="555"/>
      <c r="U2" s="550"/>
      <c r="V2" s="550"/>
      <c r="W2" s="550"/>
      <c r="X2" s="550"/>
      <c r="Y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3185</v>
      </c>
      <c r="Z4" s="550" t="s">
        <v>4244</v>
      </c>
      <c r="AA4" s="550" t="s">
        <v>4245</v>
      </c>
    </row>
    <row r="5" spans="1:28">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4246</v>
      </c>
      <c r="W5" s="550" t="s">
        <v>4246</v>
      </c>
      <c r="X5" s="550" t="s">
        <v>4246</v>
      </c>
      <c r="Y5" s="550" t="s">
        <v>4246</v>
      </c>
      <c r="Z5" s="550" t="s">
        <v>4246</v>
      </c>
      <c r="AA5" s="550" t="s">
        <v>4246</v>
      </c>
    </row>
    <row r="6" spans="1:28" s="848" customFormat="1">
      <c r="A6" s="877" t="s">
        <v>1498</v>
      </c>
      <c r="B6" s="877" t="s">
        <v>881</v>
      </c>
      <c r="C6" s="874" t="s">
        <v>35</v>
      </c>
      <c r="D6" s="911">
        <v>352300000000</v>
      </c>
      <c r="E6" s="911">
        <v>394900000000</v>
      </c>
      <c r="F6" s="911">
        <v>456700000000</v>
      </c>
      <c r="G6" s="911">
        <v>536500000000</v>
      </c>
      <c r="H6" s="911">
        <v>558000000000</v>
      </c>
      <c r="I6" s="911">
        <v>621600000000</v>
      </c>
      <c r="J6" s="911">
        <f>J7+J26</f>
        <v>1820100000000</v>
      </c>
      <c r="K6" s="911">
        <f>K7+K26</f>
        <v>763200000000</v>
      </c>
      <c r="L6" s="911">
        <f>L7+L26</f>
        <v>764000000000</v>
      </c>
      <c r="M6" s="911">
        <f>M7+M26</f>
        <v>925900000000</v>
      </c>
      <c r="N6" s="911">
        <f>N7+N26</f>
        <v>947000000000</v>
      </c>
      <c r="O6" s="911">
        <v>1053000000000</v>
      </c>
      <c r="P6" s="911">
        <v>925800000000</v>
      </c>
      <c r="Q6" s="911">
        <f>Q7+Q26</f>
        <v>1188200000000</v>
      </c>
      <c r="R6" s="911">
        <f>R7+R26</f>
        <v>1276700000000</v>
      </c>
      <c r="S6" s="911">
        <f t="shared" ref="S6:AA6" si="0">S7+S26</f>
        <v>1522600000000</v>
      </c>
      <c r="T6" s="911">
        <f t="shared" si="0"/>
        <v>1594200000000</v>
      </c>
      <c r="U6" s="911">
        <f t="shared" si="0"/>
        <v>1800000000000</v>
      </c>
      <c r="V6" s="911">
        <f t="shared" si="0"/>
        <v>2016800000000</v>
      </c>
      <c r="W6" s="911">
        <f t="shared" si="0"/>
        <v>2111300000000</v>
      </c>
      <c r="X6" s="911">
        <f t="shared" si="0"/>
        <v>2296600000000</v>
      </c>
      <c r="Y6" s="911">
        <f t="shared" si="0"/>
        <v>2503200000000</v>
      </c>
      <c r="Z6" s="911">
        <f t="shared" si="0"/>
        <v>2737600000000</v>
      </c>
      <c r="AA6" s="911">
        <f t="shared" si="0"/>
        <v>3006600000000</v>
      </c>
      <c r="AB6" s="874"/>
    </row>
    <row r="7" spans="1:28">
      <c r="A7" s="534" t="s">
        <v>36</v>
      </c>
      <c r="B7" s="380" t="s">
        <v>4247</v>
      </c>
      <c r="C7" s="865" t="s">
        <v>38</v>
      </c>
      <c r="D7" s="898">
        <v>262300000000</v>
      </c>
      <c r="E7" s="898">
        <v>311200000000</v>
      </c>
      <c r="F7" s="898">
        <v>370900000000</v>
      </c>
      <c r="G7" s="898">
        <v>421800000000</v>
      </c>
      <c r="H7" s="898">
        <v>454700000000</v>
      </c>
      <c r="I7" s="898">
        <v>506600000000</v>
      </c>
      <c r="J7" s="2339">
        <f>J9+J22+J25</f>
        <v>575600000000</v>
      </c>
      <c r="K7" s="2339">
        <f>K9+K22+K25</f>
        <v>604000000000</v>
      </c>
      <c r="L7" s="2339">
        <f>L9+L22+L25</f>
        <v>629800000000</v>
      </c>
      <c r="M7" s="2339">
        <f>M9+M22+M25</f>
        <v>732000000000</v>
      </c>
      <c r="N7" s="2339">
        <f>N9+N22+N25</f>
        <v>813300000000</v>
      </c>
      <c r="O7" s="898">
        <v>859100000000</v>
      </c>
      <c r="P7" s="898">
        <v>912800000000</v>
      </c>
      <c r="Q7" s="898">
        <f>Q9+Q22+Q25</f>
        <v>1011500000000</v>
      </c>
      <c r="R7" s="898">
        <f t="shared" ref="R7:AA7" si="1">R9+R22+R25</f>
        <v>1119200000000</v>
      </c>
      <c r="S7" s="898">
        <f t="shared" si="1"/>
        <v>1357400000000</v>
      </c>
      <c r="T7" s="898">
        <f t="shared" si="1"/>
        <v>1461700000000</v>
      </c>
      <c r="U7" s="898">
        <f t="shared" si="1"/>
        <v>1622800000000</v>
      </c>
      <c r="V7" s="898">
        <f t="shared" si="1"/>
        <v>1902200000000</v>
      </c>
      <c r="W7" s="898">
        <f t="shared" si="1"/>
        <v>1947800000000</v>
      </c>
      <c r="X7" s="898">
        <f t="shared" si="1"/>
        <v>2114700000000</v>
      </c>
      <c r="Y7" s="898">
        <f t="shared" si="1"/>
        <v>2297000000000</v>
      </c>
      <c r="Z7" s="898">
        <f t="shared" si="1"/>
        <v>2517200000000</v>
      </c>
      <c r="AA7" s="898">
        <f t="shared" si="1"/>
        <v>2768700000000</v>
      </c>
    </row>
    <row r="8" spans="1:28">
      <c r="A8" s="534" t="s">
        <v>76</v>
      </c>
      <c r="B8" s="380" t="s">
        <v>4248</v>
      </c>
      <c r="C8" s="380"/>
      <c r="D8" s="898">
        <v>237900000000</v>
      </c>
      <c r="E8" s="898">
        <v>283700000000</v>
      </c>
      <c r="F8" s="898">
        <v>337200000000</v>
      </c>
      <c r="G8" s="898">
        <v>384400000000</v>
      </c>
      <c r="H8" s="898">
        <v>412000000000</v>
      </c>
      <c r="I8" s="898">
        <v>461300000000</v>
      </c>
      <c r="J8" s="898">
        <v>504500000000</v>
      </c>
      <c r="K8" s="898">
        <v>509400000000</v>
      </c>
      <c r="L8" s="900">
        <v>540600000000</v>
      </c>
      <c r="M8" s="900">
        <v>653200000000</v>
      </c>
      <c r="N8" s="898">
        <v>727600000000</v>
      </c>
      <c r="O8" s="898">
        <v>763000000000</v>
      </c>
      <c r="P8" s="898">
        <v>813300000000</v>
      </c>
      <c r="Q8" s="898">
        <v>842700000000</v>
      </c>
      <c r="R8" s="898">
        <v>940800000000</v>
      </c>
      <c r="S8" s="898">
        <v>1134200000000</v>
      </c>
      <c r="T8" s="898">
        <v>1284700000000</v>
      </c>
      <c r="U8" s="898">
        <v>1429400000000</v>
      </c>
      <c r="V8" s="898">
        <v>1711200000000</v>
      </c>
      <c r="W8" s="897">
        <v>1745000000000</v>
      </c>
      <c r="X8" s="897">
        <v>1898700000000</v>
      </c>
      <c r="Y8" s="897">
        <v>2066199999999.9998</v>
      </c>
      <c r="Z8" s="571">
        <v>2270700000000</v>
      </c>
      <c r="AA8" s="866">
        <v>2505000000000</v>
      </c>
    </row>
    <row r="9" spans="1:28">
      <c r="A9" s="534" t="s">
        <v>39</v>
      </c>
      <c r="B9" s="380" t="s">
        <v>943</v>
      </c>
      <c r="C9" s="865" t="s">
        <v>41</v>
      </c>
      <c r="D9" s="898">
        <v>225700000000</v>
      </c>
      <c r="E9" s="898">
        <v>272700000000</v>
      </c>
      <c r="F9" s="898">
        <v>306000000000</v>
      </c>
      <c r="G9" s="898">
        <v>349200000000</v>
      </c>
      <c r="H9" s="898">
        <v>393300000000</v>
      </c>
      <c r="I9" s="898">
        <v>446200000000</v>
      </c>
      <c r="J9" s="2339">
        <f>J10+J13</f>
        <v>500000000000</v>
      </c>
      <c r="K9" s="2339">
        <f>K10+K13</f>
        <v>521300000000</v>
      </c>
      <c r="L9" s="2339">
        <f>L10+L13</f>
        <v>541900000000</v>
      </c>
      <c r="M9" s="2339">
        <f>M10+M13</f>
        <v>631300000000</v>
      </c>
      <c r="N9" s="2339">
        <f>N10+N13</f>
        <v>688800000000</v>
      </c>
      <c r="O9" s="898">
        <v>726700000000</v>
      </c>
      <c r="P9" s="898">
        <v>758700000000</v>
      </c>
      <c r="Q9" s="898">
        <f>Q10+Q13</f>
        <v>864800000000</v>
      </c>
      <c r="R9" s="898">
        <f t="shared" ref="R9:AA9" si="2">R10+R13</f>
        <v>952200000000</v>
      </c>
      <c r="S9" s="898">
        <f t="shared" si="2"/>
        <v>1166500000000</v>
      </c>
      <c r="T9" s="898">
        <f t="shared" si="2"/>
        <v>1311300000000</v>
      </c>
      <c r="U9" s="898">
        <f t="shared" si="2"/>
        <v>1439900000000</v>
      </c>
      <c r="V9" s="898">
        <f t="shared" si="2"/>
        <v>1566700000000</v>
      </c>
      <c r="W9" s="898">
        <f t="shared" si="2"/>
        <v>1708400000000</v>
      </c>
      <c r="X9" s="898">
        <f t="shared" si="2"/>
        <v>1861800000000</v>
      </c>
      <c r="Y9" s="898">
        <f t="shared" si="2"/>
        <v>2037100000000</v>
      </c>
      <c r="Z9" s="898">
        <f t="shared" si="2"/>
        <v>2239600000000</v>
      </c>
      <c r="AA9" s="898">
        <f t="shared" si="2"/>
        <v>2466700000000</v>
      </c>
    </row>
    <row r="10" spans="1:28">
      <c r="A10" s="566" t="s">
        <v>989</v>
      </c>
      <c r="B10" s="566" t="s">
        <v>4249</v>
      </c>
      <c r="C10" s="534" t="s">
        <v>44</v>
      </c>
      <c r="D10" s="898">
        <v>40100000000</v>
      </c>
      <c r="E10" s="898">
        <v>46300000000</v>
      </c>
      <c r="F10" s="898">
        <v>51900000000</v>
      </c>
      <c r="G10" s="900"/>
      <c r="H10" s="900"/>
      <c r="I10" s="900"/>
      <c r="J10" s="898">
        <v>100100000000</v>
      </c>
      <c r="K10" s="898">
        <v>142800000000</v>
      </c>
      <c r="L10" s="900">
        <v>149700000000</v>
      </c>
      <c r="M10" s="900">
        <v>177100000000</v>
      </c>
      <c r="N10" s="898">
        <v>204600000000</v>
      </c>
      <c r="O10" s="898"/>
      <c r="P10" s="898"/>
      <c r="Q10" s="898">
        <v>258100000000.00003</v>
      </c>
      <c r="R10" s="898">
        <v>324000000000</v>
      </c>
      <c r="S10" s="898">
        <v>330800000000</v>
      </c>
      <c r="T10" s="898">
        <v>367700000000</v>
      </c>
      <c r="U10" s="898">
        <v>425800000000</v>
      </c>
      <c r="V10" s="900">
        <v>459600000000</v>
      </c>
      <c r="W10" s="897">
        <v>529900000000</v>
      </c>
      <c r="X10" s="897">
        <v>575600000000</v>
      </c>
      <c r="Y10" s="897">
        <v>629500000000</v>
      </c>
      <c r="Z10" s="571">
        <v>685000000000</v>
      </c>
      <c r="AA10" s="866">
        <v>751800000000</v>
      </c>
    </row>
    <row r="11" spans="1:28">
      <c r="A11" s="1156" t="s">
        <v>4250</v>
      </c>
      <c r="B11" s="566"/>
      <c r="C11" s="380" t="s">
        <v>2662</v>
      </c>
      <c r="D11" s="898"/>
      <c r="E11" s="898"/>
      <c r="F11" s="898"/>
      <c r="G11" s="900"/>
      <c r="H11" s="900"/>
      <c r="I11" s="900"/>
      <c r="J11" s="898"/>
      <c r="K11" s="898"/>
      <c r="L11" s="900"/>
      <c r="M11" s="900"/>
      <c r="N11" s="898"/>
      <c r="O11" s="898"/>
      <c r="P11" s="898"/>
      <c r="Q11" s="898">
        <v>71000000000</v>
      </c>
      <c r="R11" s="898">
        <v>56200000000</v>
      </c>
      <c r="S11" s="898">
        <v>46000000000</v>
      </c>
      <c r="T11" s="898">
        <v>63500000000</v>
      </c>
      <c r="U11" s="898">
        <v>66700000000</v>
      </c>
      <c r="V11" s="900">
        <v>80000000000</v>
      </c>
      <c r="W11" s="897">
        <v>86100000000</v>
      </c>
      <c r="X11" s="897">
        <v>86500000000</v>
      </c>
      <c r="Y11" s="897">
        <v>91000000000</v>
      </c>
      <c r="Z11" s="571">
        <v>95600000000</v>
      </c>
      <c r="AA11" s="866">
        <v>113600000000</v>
      </c>
    </row>
    <row r="12" spans="1:28">
      <c r="A12" s="1156" t="s">
        <v>4251</v>
      </c>
      <c r="B12" s="566"/>
      <c r="C12" s="380" t="s">
        <v>2662</v>
      </c>
      <c r="D12" s="898"/>
      <c r="E12" s="898"/>
      <c r="F12" s="898"/>
      <c r="G12" s="900"/>
      <c r="H12" s="900"/>
      <c r="I12" s="900"/>
      <c r="J12" s="898"/>
      <c r="K12" s="898"/>
      <c r="L12" s="900"/>
      <c r="M12" s="900"/>
      <c r="N12" s="898"/>
      <c r="O12" s="898"/>
      <c r="P12" s="898"/>
      <c r="Q12" s="898">
        <f>Q10-Q11</f>
        <v>187100000000.00003</v>
      </c>
      <c r="R12" s="898">
        <f t="shared" ref="R12:AA12" si="3">R10-R11</f>
        <v>267800000000</v>
      </c>
      <c r="S12" s="898">
        <f t="shared" si="3"/>
        <v>284800000000</v>
      </c>
      <c r="T12" s="898">
        <f t="shared" si="3"/>
        <v>304200000000</v>
      </c>
      <c r="U12" s="898">
        <f t="shared" si="3"/>
        <v>359100000000</v>
      </c>
      <c r="V12" s="898">
        <f t="shared" si="3"/>
        <v>379600000000</v>
      </c>
      <c r="W12" s="898">
        <f t="shared" si="3"/>
        <v>443800000000</v>
      </c>
      <c r="X12" s="898">
        <f t="shared" si="3"/>
        <v>489100000000</v>
      </c>
      <c r="Y12" s="898">
        <f t="shared" si="3"/>
        <v>538500000000</v>
      </c>
      <c r="Z12" s="898">
        <f t="shared" si="3"/>
        <v>589400000000</v>
      </c>
      <c r="AA12" s="898">
        <f t="shared" si="3"/>
        <v>638200000000</v>
      </c>
    </row>
    <row r="13" spans="1:28">
      <c r="A13" s="566" t="s">
        <v>992</v>
      </c>
      <c r="B13" s="566" t="s">
        <v>4252</v>
      </c>
      <c r="C13" s="534" t="s">
        <v>44</v>
      </c>
      <c r="D13" s="898">
        <v>185600000000</v>
      </c>
      <c r="E13" s="898">
        <v>226400000000</v>
      </c>
      <c r="F13" s="898">
        <v>254100000000</v>
      </c>
      <c r="G13" s="900"/>
      <c r="H13" s="900"/>
      <c r="I13" s="900"/>
      <c r="J13" s="2339">
        <f>J14+J15+J16+J17+J20+J21</f>
        <v>399900000000</v>
      </c>
      <c r="K13" s="2339">
        <f>K14+K15+K16+K17+K20+K21</f>
        <v>378500000000</v>
      </c>
      <c r="L13" s="2339">
        <f>L14+L15+L16+L17+L20+L21</f>
        <v>392200000000</v>
      </c>
      <c r="M13" s="2339">
        <f>M14+M15+M16+M17+M20+M21</f>
        <v>454200000000</v>
      </c>
      <c r="N13" s="2339">
        <f>N14+N15+N16+N17+N20+N21</f>
        <v>484200000000</v>
      </c>
      <c r="O13" s="898"/>
      <c r="P13" s="898"/>
      <c r="Q13" s="898">
        <f>Q14+Q15+Q16+Q17</f>
        <v>606700000000</v>
      </c>
      <c r="R13" s="898">
        <f t="shared" ref="R13:Z13" si="4">R14+R15+R16+R17</f>
        <v>628200000000</v>
      </c>
      <c r="S13" s="898">
        <f t="shared" si="4"/>
        <v>835700000000</v>
      </c>
      <c r="T13" s="898">
        <f t="shared" si="4"/>
        <v>943600000000</v>
      </c>
      <c r="U13" s="898">
        <f t="shared" si="4"/>
        <v>1014100000000</v>
      </c>
      <c r="V13" s="898">
        <f t="shared" si="4"/>
        <v>1107100000000</v>
      </c>
      <c r="W13" s="898">
        <f t="shared" si="4"/>
        <v>1178500000000</v>
      </c>
      <c r="X13" s="898">
        <f t="shared" si="4"/>
        <v>1286200000000</v>
      </c>
      <c r="Y13" s="898">
        <f t="shared" si="4"/>
        <v>1407600000000</v>
      </c>
      <c r="Z13" s="898">
        <f t="shared" si="4"/>
        <v>1554600000000</v>
      </c>
      <c r="AA13" s="898">
        <f>AA14+AA15+AA16+AA17</f>
        <v>1714900000000</v>
      </c>
    </row>
    <row r="14" spans="1:28">
      <c r="A14" s="566" t="s">
        <v>4253</v>
      </c>
      <c r="B14" s="1156" t="s">
        <v>162</v>
      </c>
      <c r="C14" s="380" t="s">
        <v>1049</v>
      </c>
      <c r="D14" s="898">
        <v>81600000000</v>
      </c>
      <c r="E14" s="898">
        <v>111200000000</v>
      </c>
      <c r="F14" s="898">
        <v>126700000000</v>
      </c>
      <c r="G14" s="900"/>
      <c r="H14" s="900"/>
      <c r="I14" s="900"/>
      <c r="J14" s="898">
        <v>202600000000</v>
      </c>
      <c r="K14" s="898">
        <v>194400000000</v>
      </c>
      <c r="L14" s="900">
        <v>200800000000</v>
      </c>
      <c r="M14" s="900">
        <v>247400000000</v>
      </c>
      <c r="N14" s="898">
        <v>261800000000</v>
      </c>
      <c r="O14" s="898"/>
      <c r="P14" s="898"/>
      <c r="Q14" s="898">
        <v>325700000000</v>
      </c>
      <c r="R14" s="898">
        <v>335000000000</v>
      </c>
      <c r="S14" s="898">
        <v>411300000000</v>
      </c>
      <c r="T14" s="898">
        <v>467300000000</v>
      </c>
      <c r="U14" s="898">
        <v>503600000000</v>
      </c>
      <c r="V14" s="900">
        <v>562300000000</v>
      </c>
      <c r="W14" s="897">
        <v>597500000000</v>
      </c>
      <c r="X14" s="897">
        <v>645700000000</v>
      </c>
      <c r="Y14" s="897">
        <v>706900000000</v>
      </c>
      <c r="Z14" s="571">
        <v>781200000000</v>
      </c>
      <c r="AA14" s="866">
        <v>861700000000</v>
      </c>
    </row>
    <row r="15" spans="1:28">
      <c r="A15" s="1156" t="s">
        <v>4254</v>
      </c>
      <c r="B15" s="1156" t="s">
        <v>4255</v>
      </c>
      <c r="C15" s="380" t="s">
        <v>1049</v>
      </c>
      <c r="D15" s="900"/>
      <c r="E15" s="900"/>
      <c r="F15" s="898"/>
      <c r="G15" s="900"/>
      <c r="H15" s="900"/>
      <c r="I15" s="900"/>
      <c r="J15" s="898">
        <v>21600000000</v>
      </c>
      <c r="K15" s="898">
        <v>36600000000</v>
      </c>
      <c r="L15" s="900">
        <v>35200000000</v>
      </c>
      <c r="M15" s="900">
        <v>23100000000</v>
      </c>
      <c r="N15" s="898">
        <v>25500000000</v>
      </c>
      <c r="O15" s="898"/>
      <c r="P15" s="898"/>
      <c r="Q15" s="898">
        <v>22300000000</v>
      </c>
      <c r="R15" s="898">
        <v>27800000000</v>
      </c>
      <c r="S15" s="898">
        <v>93100000000</v>
      </c>
      <c r="T15" s="898">
        <v>100900000000</v>
      </c>
      <c r="U15" s="898">
        <v>104900000000</v>
      </c>
      <c r="V15" s="900">
        <v>95200000000</v>
      </c>
      <c r="W15" s="897">
        <v>106700000000</v>
      </c>
      <c r="X15" s="897">
        <v>125900000000</v>
      </c>
      <c r="Y15" s="897">
        <v>139200000000</v>
      </c>
      <c r="Z15" s="571">
        <v>147500000000</v>
      </c>
      <c r="AA15" s="866">
        <v>171100000000</v>
      </c>
    </row>
    <row r="16" spans="1:28">
      <c r="A16" s="1156" t="s">
        <v>1584</v>
      </c>
      <c r="B16" s="1156" t="s">
        <v>4256</v>
      </c>
      <c r="C16" s="380" t="s">
        <v>1049</v>
      </c>
      <c r="D16" s="900"/>
      <c r="E16" s="900"/>
      <c r="F16" s="898"/>
      <c r="G16" s="900"/>
      <c r="H16" s="900"/>
      <c r="I16" s="900"/>
      <c r="J16" s="898">
        <v>83200000000</v>
      </c>
      <c r="K16" s="898">
        <v>62400000000</v>
      </c>
      <c r="L16" s="900">
        <v>64300000000</v>
      </c>
      <c r="M16" s="900">
        <v>90100000000</v>
      </c>
      <c r="N16" s="898">
        <v>94600000000</v>
      </c>
      <c r="O16" s="898"/>
      <c r="P16" s="898"/>
      <c r="Q16" s="898">
        <v>111800000000</v>
      </c>
      <c r="R16" s="898">
        <v>115500000000</v>
      </c>
      <c r="S16" s="898">
        <v>141800000000</v>
      </c>
      <c r="T16" s="898">
        <v>157400000000</v>
      </c>
      <c r="U16" s="898">
        <v>173400000000</v>
      </c>
      <c r="V16" s="900">
        <v>192300000000</v>
      </c>
      <c r="W16" s="897">
        <v>200300000000</v>
      </c>
      <c r="X16" s="897">
        <v>215100000000</v>
      </c>
      <c r="Y16" s="897">
        <v>233500000000</v>
      </c>
      <c r="Z16" s="571">
        <v>257899999999.99997</v>
      </c>
      <c r="AA16" s="866">
        <v>283800000000</v>
      </c>
    </row>
    <row r="17" spans="1:28">
      <c r="A17" s="1156" t="s">
        <v>1052</v>
      </c>
      <c r="B17" s="1156" t="s">
        <v>4257</v>
      </c>
      <c r="C17" s="380" t="s">
        <v>1049</v>
      </c>
      <c r="D17" s="900"/>
      <c r="E17" s="900"/>
      <c r="F17" s="898"/>
      <c r="G17" s="900"/>
      <c r="H17" s="900"/>
      <c r="I17" s="900"/>
      <c r="J17" s="898">
        <v>92500000000</v>
      </c>
      <c r="K17" s="898">
        <v>85100000000</v>
      </c>
      <c r="L17" s="900">
        <v>91900000000</v>
      </c>
      <c r="M17" s="900">
        <v>93600000000</v>
      </c>
      <c r="N17" s="898">
        <v>102300000000</v>
      </c>
      <c r="O17" s="898"/>
      <c r="P17" s="898"/>
      <c r="Q17" s="898">
        <v>146900000000</v>
      </c>
      <c r="R17" s="898">
        <v>149900000000</v>
      </c>
      <c r="S17" s="898">
        <v>189500000000</v>
      </c>
      <c r="T17" s="898">
        <v>218000000000</v>
      </c>
      <c r="U17" s="898">
        <v>232200000000</v>
      </c>
      <c r="V17" s="900">
        <v>257300000000</v>
      </c>
      <c r="W17" s="897">
        <v>274000000000</v>
      </c>
      <c r="X17" s="897">
        <v>299500000000</v>
      </c>
      <c r="Y17" s="897">
        <v>328000000000</v>
      </c>
      <c r="Z17" s="571">
        <v>368000000000</v>
      </c>
      <c r="AA17" s="866">
        <v>398300000000</v>
      </c>
    </row>
    <row r="18" spans="1:28">
      <c r="A18" s="1156" t="s">
        <v>4250</v>
      </c>
      <c r="B18" s="1156" t="s">
        <v>4250</v>
      </c>
      <c r="C18" s="380"/>
      <c r="D18" s="900"/>
      <c r="E18" s="900"/>
      <c r="F18" s="898"/>
      <c r="G18" s="900"/>
      <c r="H18" s="900"/>
      <c r="I18" s="900"/>
      <c r="J18" s="898"/>
      <c r="K18" s="898"/>
      <c r="L18" s="900"/>
      <c r="M18" s="900"/>
      <c r="N18" s="898"/>
      <c r="O18" s="898"/>
      <c r="P18" s="898"/>
      <c r="Q18" s="898">
        <v>55300000000</v>
      </c>
      <c r="R18" s="898">
        <v>51900000000</v>
      </c>
      <c r="S18" s="898">
        <v>55500000000</v>
      </c>
      <c r="T18" s="898">
        <v>65400000000.000008</v>
      </c>
      <c r="U18" s="898">
        <v>70500000000</v>
      </c>
      <c r="V18" s="900">
        <v>70900000000</v>
      </c>
      <c r="W18" s="897">
        <v>70500000000</v>
      </c>
      <c r="X18" s="897">
        <v>74500000000</v>
      </c>
      <c r="Y18" s="897">
        <v>78600000000</v>
      </c>
      <c r="Z18" s="571">
        <v>93400000000</v>
      </c>
      <c r="AA18" s="866">
        <v>95500000000</v>
      </c>
    </row>
    <row r="19" spans="1:28">
      <c r="A19" s="1156" t="s">
        <v>4258</v>
      </c>
      <c r="B19" s="1156" t="s">
        <v>4258</v>
      </c>
      <c r="C19" s="380"/>
      <c r="D19" s="900"/>
      <c r="E19" s="900"/>
      <c r="F19" s="898"/>
      <c r="G19" s="900"/>
      <c r="H19" s="900"/>
      <c r="I19" s="900"/>
      <c r="J19" s="898"/>
      <c r="K19" s="898"/>
      <c r="L19" s="900"/>
      <c r="M19" s="900"/>
      <c r="N19" s="898"/>
      <c r="O19" s="898"/>
      <c r="P19" s="898"/>
      <c r="Q19" s="898">
        <f>Q17-Q18</f>
        <v>91600000000</v>
      </c>
      <c r="R19" s="898">
        <f t="shared" ref="R19:AA19" si="5">R17-R18</f>
        <v>98000000000</v>
      </c>
      <c r="S19" s="898">
        <f t="shared" si="5"/>
        <v>134000000000</v>
      </c>
      <c r="T19" s="898">
        <f t="shared" si="5"/>
        <v>152600000000</v>
      </c>
      <c r="U19" s="898">
        <f t="shared" si="5"/>
        <v>161700000000</v>
      </c>
      <c r="V19" s="898">
        <f t="shared" si="5"/>
        <v>186400000000</v>
      </c>
      <c r="W19" s="898">
        <f t="shared" si="5"/>
        <v>203500000000</v>
      </c>
      <c r="X19" s="898">
        <f t="shared" si="5"/>
        <v>225000000000</v>
      </c>
      <c r="Y19" s="898">
        <f t="shared" si="5"/>
        <v>249400000000</v>
      </c>
      <c r="Z19" s="898">
        <f t="shared" si="5"/>
        <v>274600000000</v>
      </c>
      <c r="AA19" s="898">
        <f t="shared" si="5"/>
        <v>302800000000</v>
      </c>
    </row>
    <row r="20" spans="1:28">
      <c r="A20" s="1156" t="s">
        <v>4259</v>
      </c>
      <c r="B20" s="1156" t="s">
        <v>4260</v>
      </c>
      <c r="C20" s="380"/>
      <c r="D20" s="900"/>
      <c r="E20" s="900"/>
      <c r="F20" s="898"/>
      <c r="G20" s="900"/>
      <c r="H20" s="900"/>
      <c r="I20" s="900"/>
      <c r="J20" s="898"/>
      <c r="K20" s="898"/>
      <c r="L20" s="900"/>
      <c r="M20" s="900"/>
      <c r="N20" s="898"/>
      <c r="O20" s="898"/>
      <c r="P20" s="898"/>
      <c r="Q20" s="898">
        <v>-60300000000</v>
      </c>
      <c r="R20" s="898">
        <v>-61700000000</v>
      </c>
      <c r="S20" s="898">
        <v>-84000000000</v>
      </c>
      <c r="T20" s="898">
        <v>-72100000000</v>
      </c>
      <c r="U20" s="898">
        <v>-82000000000</v>
      </c>
      <c r="V20" s="900">
        <v>-67800000000</v>
      </c>
      <c r="W20" s="897">
        <v>-72000000000</v>
      </c>
      <c r="X20" s="897">
        <v>-76700000000</v>
      </c>
      <c r="Y20" s="897">
        <v>-81900000000</v>
      </c>
      <c r="Z20" s="571">
        <v>-87600000000</v>
      </c>
      <c r="AA20" s="866">
        <v>-93700000000</v>
      </c>
    </row>
    <row r="21" spans="1:28">
      <c r="A21" s="1156" t="s">
        <v>4261</v>
      </c>
      <c r="B21" s="2335" t="s">
        <v>4262</v>
      </c>
      <c r="C21" s="380" t="s">
        <v>1049</v>
      </c>
      <c r="D21" s="900">
        <v>104000000000</v>
      </c>
      <c r="E21" s="900">
        <v>115200000000</v>
      </c>
      <c r="F21" s="900">
        <v>127400000000</v>
      </c>
      <c r="G21" s="900"/>
      <c r="H21" s="900"/>
      <c r="I21" s="900"/>
      <c r="J21" s="898"/>
      <c r="K21" s="898"/>
      <c r="L21" s="898"/>
      <c r="M21" s="898"/>
      <c r="N21" s="898"/>
      <c r="O21" s="898"/>
      <c r="P21" s="898"/>
      <c r="Q21" s="898"/>
      <c r="R21" s="898"/>
      <c r="S21" s="898"/>
      <c r="T21" s="898"/>
      <c r="U21" s="898"/>
      <c r="V21" s="898"/>
      <c r="W21" s="898"/>
      <c r="X21" s="898"/>
      <c r="Y21" s="898"/>
      <c r="Z21" s="565"/>
      <c r="AA21" s="866"/>
    </row>
    <row r="22" spans="1:28">
      <c r="A22" s="549" t="s">
        <v>51</v>
      </c>
      <c r="B22" s="380" t="s">
        <v>952</v>
      </c>
      <c r="C22" s="865" t="s">
        <v>41</v>
      </c>
      <c r="D22" s="898">
        <v>12200000000</v>
      </c>
      <c r="E22" s="898">
        <v>11000000000</v>
      </c>
      <c r="F22" s="898">
        <v>31200000000</v>
      </c>
      <c r="G22" s="898">
        <v>35200000000</v>
      </c>
      <c r="H22" s="898">
        <v>18700000000</v>
      </c>
      <c r="I22" s="898">
        <v>15100000000</v>
      </c>
      <c r="J22" s="898">
        <v>25900000000</v>
      </c>
      <c r="K22" s="898">
        <v>22200000000</v>
      </c>
      <c r="L22" s="900">
        <v>21200000000</v>
      </c>
      <c r="M22" s="900">
        <v>28900000000</v>
      </c>
      <c r="N22" s="898">
        <v>45800000000</v>
      </c>
      <c r="O22" s="2339">
        <f>O7-O9-O25</f>
        <v>36300000000</v>
      </c>
      <c r="P22" s="898">
        <v>54700000000</v>
      </c>
      <c r="Q22" s="898">
        <v>38200000000</v>
      </c>
      <c r="R22" s="898">
        <v>50200000000</v>
      </c>
      <c r="S22" s="898">
        <v>51700000000</v>
      </c>
      <c r="T22" s="898">
        <v>45400000000</v>
      </c>
      <c r="U22" s="898">
        <v>71500000000</v>
      </c>
      <c r="V22" s="898">
        <v>212300000000</v>
      </c>
      <c r="W22" s="897">
        <v>108600000000</v>
      </c>
      <c r="X22" s="897">
        <v>113500000000</v>
      </c>
      <c r="Y22" s="897">
        <v>111100000000</v>
      </c>
      <c r="Z22" s="571">
        <v>118600000000</v>
      </c>
      <c r="AA22" s="866">
        <v>131900000000</v>
      </c>
    </row>
    <row r="23" spans="1:28">
      <c r="A23" s="534" t="s">
        <v>76</v>
      </c>
      <c r="B23" s="1156" t="s">
        <v>4250</v>
      </c>
      <c r="C23" s="380"/>
      <c r="D23" s="900"/>
      <c r="E23" s="900"/>
      <c r="F23" s="898"/>
      <c r="G23" s="900"/>
      <c r="H23" s="900"/>
      <c r="I23" s="900"/>
      <c r="J23" s="900"/>
      <c r="K23" s="900"/>
      <c r="L23" s="900"/>
      <c r="M23" s="900"/>
      <c r="N23" s="900"/>
      <c r="O23" s="898">
        <v>22800000000</v>
      </c>
      <c r="P23" s="898">
        <v>31400000000</v>
      </c>
      <c r="Q23" s="898">
        <v>17400000000</v>
      </c>
      <c r="R23" s="898">
        <v>7200000000</v>
      </c>
      <c r="S23" s="898">
        <v>0</v>
      </c>
      <c r="T23" s="898">
        <v>0</v>
      </c>
      <c r="U23" s="898">
        <v>8300000000.000001</v>
      </c>
      <c r="V23" s="898">
        <v>0</v>
      </c>
      <c r="W23" s="897">
        <v>0</v>
      </c>
      <c r="X23" s="897">
        <v>0</v>
      </c>
      <c r="Y23" s="897">
        <v>0</v>
      </c>
      <c r="Z23" s="571">
        <v>0</v>
      </c>
      <c r="AA23" s="866">
        <v>0</v>
      </c>
    </row>
    <row r="24" spans="1:28">
      <c r="B24" s="1156" t="s">
        <v>4258</v>
      </c>
      <c r="C24" s="380"/>
      <c r="D24" s="900"/>
      <c r="E24" s="900"/>
      <c r="F24" s="898"/>
      <c r="G24" s="900"/>
      <c r="H24" s="900"/>
      <c r="I24" s="900"/>
      <c r="J24" s="900"/>
      <c r="K24" s="900"/>
      <c r="L24" s="900"/>
      <c r="M24" s="900"/>
      <c r="N24" s="900"/>
      <c r="O24" s="898">
        <f>O22-O23</f>
        <v>13500000000</v>
      </c>
      <c r="P24" s="898">
        <f t="shared" ref="P24:AA24" si="6">P22-P23</f>
        <v>23300000000</v>
      </c>
      <c r="Q24" s="898">
        <f t="shared" si="6"/>
        <v>20800000000</v>
      </c>
      <c r="R24" s="898">
        <f t="shared" si="6"/>
        <v>43000000000</v>
      </c>
      <c r="S24" s="898">
        <f t="shared" si="6"/>
        <v>51700000000</v>
      </c>
      <c r="T24" s="898">
        <f t="shared" si="6"/>
        <v>45400000000</v>
      </c>
      <c r="U24" s="898">
        <f t="shared" si="6"/>
        <v>63200000000</v>
      </c>
      <c r="V24" s="898">
        <f t="shared" si="6"/>
        <v>212300000000</v>
      </c>
      <c r="W24" s="898">
        <f t="shared" si="6"/>
        <v>108600000000</v>
      </c>
      <c r="X24" s="898">
        <f t="shared" si="6"/>
        <v>113500000000</v>
      </c>
      <c r="Y24" s="898">
        <f t="shared" si="6"/>
        <v>111100000000</v>
      </c>
      <c r="Z24" s="898">
        <f t="shared" si="6"/>
        <v>118600000000</v>
      </c>
      <c r="AA24" s="898">
        <f t="shared" si="6"/>
        <v>131900000000</v>
      </c>
    </row>
    <row r="25" spans="1:28">
      <c r="A25" s="380" t="s">
        <v>4263</v>
      </c>
      <c r="B25" s="380" t="s">
        <v>4264</v>
      </c>
      <c r="C25" s="865" t="s">
        <v>41</v>
      </c>
      <c r="D25" s="898">
        <v>24400000000</v>
      </c>
      <c r="E25" s="898">
        <v>27500000000</v>
      </c>
      <c r="F25" s="898">
        <v>33700000000.000004</v>
      </c>
      <c r="G25" s="898">
        <v>37400000000</v>
      </c>
      <c r="H25" s="898">
        <v>42600000000</v>
      </c>
      <c r="I25" s="898">
        <v>45300000000</v>
      </c>
      <c r="J25" s="898">
        <v>49700000000</v>
      </c>
      <c r="K25" s="898">
        <v>60500000000</v>
      </c>
      <c r="L25" s="900">
        <v>66700000000</v>
      </c>
      <c r="M25" s="900">
        <v>71800000000</v>
      </c>
      <c r="N25" s="898">
        <v>78700000000</v>
      </c>
      <c r="O25" s="898">
        <v>96100000000</v>
      </c>
      <c r="P25" s="898">
        <v>99500000000</v>
      </c>
      <c r="Q25" s="898">
        <v>108500000000</v>
      </c>
      <c r="R25" s="898">
        <v>116800000000</v>
      </c>
      <c r="S25" s="898">
        <v>139200000000</v>
      </c>
      <c r="T25" s="898">
        <v>105000000000</v>
      </c>
      <c r="U25" s="898">
        <v>111400000000</v>
      </c>
      <c r="V25" s="898">
        <v>123200000000</v>
      </c>
      <c r="W25" s="897">
        <v>130800000000.00002</v>
      </c>
      <c r="X25" s="897">
        <v>139400000000</v>
      </c>
      <c r="Y25" s="897">
        <v>148800000000</v>
      </c>
      <c r="Z25" s="571">
        <v>159000000000</v>
      </c>
      <c r="AA25" s="866">
        <v>170100000000</v>
      </c>
    </row>
    <row r="26" spans="1:28" s="848" customFormat="1">
      <c r="A26" s="1644" t="s">
        <v>53</v>
      </c>
      <c r="B26" s="880" t="s">
        <v>53</v>
      </c>
      <c r="C26" s="875" t="s">
        <v>38</v>
      </c>
      <c r="D26" s="911">
        <v>90000000000</v>
      </c>
      <c r="E26" s="911">
        <v>83600000000</v>
      </c>
      <c r="F26" s="911">
        <v>85800000000</v>
      </c>
      <c r="G26" s="911">
        <v>114800000000</v>
      </c>
      <c r="H26" s="911">
        <v>103300000000</v>
      </c>
      <c r="I26" s="911">
        <v>115000000000</v>
      </c>
      <c r="J26" s="911">
        <v>1244500000000</v>
      </c>
      <c r="K26" s="911">
        <f>K27+K30+K31</f>
        <v>159200000000</v>
      </c>
      <c r="L26" s="921">
        <v>134199999999.99998</v>
      </c>
      <c r="M26" s="921">
        <v>193900000000</v>
      </c>
      <c r="N26" s="911">
        <v>133699999999.99998</v>
      </c>
      <c r="O26" s="911">
        <v>193900000000</v>
      </c>
      <c r="P26" s="911">
        <v>13000000000</v>
      </c>
      <c r="Q26" s="911">
        <f>Q27+Q31</f>
        <v>176700000000</v>
      </c>
      <c r="R26" s="911">
        <v>157500000000</v>
      </c>
      <c r="S26" s="911">
        <f>S27+S31</f>
        <v>165200000000</v>
      </c>
      <c r="T26" s="911">
        <v>132500000000</v>
      </c>
      <c r="U26" s="911">
        <v>177200000000</v>
      </c>
      <c r="V26" s="911">
        <v>114600000000</v>
      </c>
      <c r="W26" s="913">
        <v>163500000000</v>
      </c>
      <c r="X26" s="913">
        <v>181900000000</v>
      </c>
      <c r="Y26" s="913">
        <v>206200000000</v>
      </c>
      <c r="Z26" s="882">
        <v>220400000000</v>
      </c>
      <c r="AA26" s="1647">
        <v>237900000000</v>
      </c>
      <c r="AB26" s="874"/>
    </row>
    <row r="27" spans="1:28">
      <c r="A27" s="551" t="s">
        <v>564</v>
      </c>
      <c r="B27" s="566" t="s">
        <v>4265</v>
      </c>
      <c r="C27" s="868" t="s">
        <v>57</v>
      </c>
      <c r="D27" s="898">
        <v>57800000000</v>
      </c>
      <c r="E27" s="898">
        <v>56100000000</v>
      </c>
      <c r="F27" s="898">
        <v>69200000000</v>
      </c>
      <c r="G27" s="900">
        <v>63100000000</v>
      </c>
      <c r="H27" s="900">
        <v>70000000000</v>
      </c>
      <c r="I27" s="900"/>
      <c r="J27" s="898">
        <v>75500000000</v>
      </c>
      <c r="K27" s="898">
        <v>79600000000</v>
      </c>
      <c r="L27" s="900">
        <v>54600000000</v>
      </c>
      <c r="M27" s="900">
        <v>96500000000</v>
      </c>
      <c r="N27" s="898">
        <v>57200000000</v>
      </c>
      <c r="O27" s="898">
        <v>97100000000</v>
      </c>
      <c r="P27" s="898">
        <v>8600000000</v>
      </c>
      <c r="Q27" s="898">
        <v>56600000000</v>
      </c>
      <c r="R27" s="898">
        <v>61600000000</v>
      </c>
      <c r="S27" s="898">
        <v>98100000000</v>
      </c>
      <c r="T27" s="898">
        <v>78600000000</v>
      </c>
      <c r="U27" s="898">
        <v>96500000000</v>
      </c>
      <c r="V27" s="898">
        <v>81000000000</v>
      </c>
      <c r="W27" s="897">
        <v>94200000000</v>
      </c>
      <c r="X27" s="897">
        <v>100400000000</v>
      </c>
      <c r="Y27" s="897">
        <v>107200000000</v>
      </c>
      <c r="Z27" s="571">
        <v>114600000000</v>
      </c>
      <c r="AA27" s="866">
        <v>124800000000</v>
      </c>
    </row>
    <row r="28" spans="1:28">
      <c r="A28" s="1156" t="s">
        <v>4266</v>
      </c>
      <c r="B28" s="1156" t="s">
        <v>4266</v>
      </c>
      <c r="C28" s="380" t="s">
        <v>4267</v>
      </c>
      <c r="D28" s="900"/>
      <c r="E28" s="900"/>
      <c r="F28" s="2657"/>
      <c r="G28" s="900"/>
      <c r="H28" s="900"/>
      <c r="I28" s="900"/>
      <c r="J28" s="2339">
        <v>31500000000</v>
      </c>
      <c r="K28" s="898">
        <v>50600000000</v>
      </c>
      <c r="L28" s="900"/>
      <c r="M28" s="900"/>
      <c r="N28" s="900"/>
      <c r="O28" s="900"/>
      <c r="P28" s="900"/>
      <c r="Q28" s="900"/>
      <c r="R28" s="900"/>
      <c r="S28" s="900"/>
      <c r="T28" s="900"/>
      <c r="U28" s="900"/>
      <c r="V28" s="900"/>
      <c r="W28" s="897"/>
      <c r="X28" s="897"/>
      <c r="Y28" s="897"/>
      <c r="Z28" s="571"/>
      <c r="AA28" s="866"/>
    </row>
    <row r="29" spans="1:28">
      <c r="A29" s="1156" t="s">
        <v>4268</v>
      </c>
      <c r="B29" s="1156" t="s">
        <v>4268</v>
      </c>
      <c r="C29" s="380" t="s">
        <v>4267</v>
      </c>
      <c r="D29" s="900"/>
      <c r="E29" s="900"/>
      <c r="F29" s="2657"/>
      <c r="G29" s="900"/>
      <c r="H29" s="900"/>
      <c r="I29" s="900"/>
      <c r="J29" s="898">
        <v>44000000000</v>
      </c>
      <c r="K29" s="2339">
        <v>29000000000</v>
      </c>
      <c r="L29" s="900"/>
      <c r="M29" s="900"/>
      <c r="N29" s="900"/>
      <c r="O29" s="900"/>
      <c r="P29" s="900"/>
      <c r="Q29" s="900"/>
      <c r="R29" s="900"/>
      <c r="S29" s="900"/>
      <c r="T29" s="900"/>
      <c r="U29" s="900"/>
      <c r="V29" s="900"/>
      <c r="W29" s="897"/>
      <c r="X29" s="897"/>
      <c r="Y29" s="897"/>
      <c r="Z29" s="571"/>
      <c r="AA29" s="866"/>
    </row>
    <row r="30" spans="1:28">
      <c r="A30" s="566" t="s">
        <v>4269</v>
      </c>
      <c r="B30" s="566" t="s">
        <v>934</v>
      </c>
      <c r="C30" s="868" t="s">
        <v>57</v>
      </c>
      <c r="D30" s="900"/>
      <c r="E30" s="900"/>
      <c r="F30" s="898"/>
      <c r="G30" s="900"/>
      <c r="H30" s="900"/>
      <c r="I30" s="900"/>
      <c r="J30" s="898">
        <v>1085200000000</v>
      </c>
      <c r="K30" s="898">
        <v>2300000000</v>
      </c>
      <c r="L30" s="900"/>
      <c r="M30" s="900"/>
      <c r="N30" s="900"/>
      <c r="O30" s="900"/>
      <c r="P30" s="900"/>
      <c r="Q30" s="900"/>
      <c r="R30" s="900"/>
      <c r="S30" s="900"/>
      <c r="T30" s="900"/>
      <c r="U30" s="900"/>
      <c r="V30" s="900"/>
      <c r="W30" s="897"/>
      <c r="X30" s="897"/>
      <c r="Y30" s="897"/>
      <c r="Z30" s="571"/>
      <c r="AA30" s="866"/>
    </row>
    <row r="31" spans="1:28">
      <c r="A31" s="867" t="s">
        <v>886</v>
      </c>
      <c r="B31" s="566" t="s">
        <v>4270</v>
      </c>
      <c r="C31" s="868" t="s">
        <v>57</v>
      </c>
      <c r="D31" s="898">
        <v>32200000000.000004</v>
      </c>
      <c r="E31" s="898">
        <v>27500000000</v>
      </c>
      <c r="F31" s="898">
        <v>16600000000</v>
      </c>
      <c r="G31" s="900">
        <v>51700000000</v>
      </c>
      <c r="H31" s="900">
        <v>33300000000</v>
      </c>
      <c r="I31" s="900"/>
      <c r="J31" s="900">
        <f>J26-J27-J30</f>
        <v>83800000000</v>
      </c>
      <c r="K31" s="900">
        <f>K27-K30</f>
        <v>77300000000</v>
      </c>
      <c r="L31" s="900">
        <v>79600000000</v>
      </c>
      <c r="M31" s="900">
        <v>97400000000</v>
      </c>
      <c r="N31" s="898">
        <v>76500000000</v>
      </c>
      <c r="O31" s="898">
        <v>96900000000</v>
      </c>
      <c r="P31" s="898">
        <v>4400000000</v>
      </c>
      <c r="Q31" s="900">
        <v>120100000000</v>
      </c>
      <c r="R31" s="900">
        <v>96000000000</v>
      </c>
      <c r="S31" s="900">
        <v>67099999999.999992</v>
      </c>
      <c r="T31" s="900">
        <v>53900000000</v>
      </c>
      <c r="U31" s="900">
        <v>80700000000</v>
      </c>
      <c r="V31" s="125">
        <f>V32+V33</f>
        <v>33600000000</v>
      </c>
      <c r="W31" s="125">
        <f t="shared" ref="W31:AA31" si="7">W32+W33</f>
        <v>69400000000</v>
      </c>
      <c r="X31" s="125">
        <f t="shared" si="7"/>
        <v>81500000000</v>
      </c>
      <c r="Y31" s="125">
        <f t="shared" si="7"/>
        <v>98900000000</v>
      </c>
      <c r="Z31" s="125">
        <f t="shared" si="7"/>
        <v>105800000000</v>
      </c>
      <c r="AA31" s="125">
        <f t="shared" si="7"/>
        <v>113100000000</v>
      </c>
    </row>
    <row r="32" spans="1:28">
      <c r="A32" s="1156" t="s">
        <v>4268</v>
      </c>
      <c r="B32" s="1156" t="s">
        <v>4271</v>
      </c>
      <c r="C32" s="380" t="s">
        <v>4272</v>
      </c>
      <c r="D32" s="900"/>
      <c r="E32" s="900"/>
      <c r="F32" s="898"/>
      <c r="G32" s="900"/>
      <c r="H32" s="900"/>
      <c r="I32" s="900"/>
      <c r="J32" s="900"/>
      <c r="K32" s="900"/>
      <c r="L32" s="900">
        <v>25000000000</v>
      </c>
      <c r="M32" s="900">
        <v>51900000000</v>
      </c>
      <c r="N32" s="898">
        <v>54900000000</v>
      </c>
      <c r="O32" s="898">
        <v>55700000000</v>
      </c>
      <c r="P32" s="898">
        <v>3800000000</v>
      </c>
      <c r="Q32" s="900">
        <v>110800000000</v>
      </c>
      <c r="R32" s="900">
        <v>70200000000</v>
      </c>
      <c r="S32" s="900">
        <v>46400000000</v>
      </c>
      <c r="T32" s="900">
        <v>45500000000</v>
      </c>
      <c r="U32" s="900">
        <v>63000000000</v>
      </c>
      <c r="V32" s="900">
        <v>26200000000</v>
      </c>
      <c r="W32" s="897">
        <v>54100000000</v>
      </c>
      <c r="X32" s="897">
        <v>57600000000</v>
      </c>
      <c r="Y32" s="897">
        <v>61500000000</v>
      </c>
      <c r="Z32" s="571">
        <v>65800000000</v>
      </c>
      <c r="AA32" s="866">
        <v>70300000000</v>
      </c>
    </row>
    <row r="33" spans="1:28">
      <c r="A33" s="1156" t="s">
        <v>4266</v>
      </c>
      <c r="B33" s="1156" t="s">
        <v>4273</v>
      </c>
      <c r="C33" s="380" t="s">
        <v>4272</v>
      </c>
      <c r="D33" s="900"/>
      <c r="E33" s="900"/>
      <c r="F33" s="898"/>
      <c r="G33" s="900"/>
      <c r="H33" s="900"/>
      <c r="I33" s="900"/>
      <c r="J33" s="900"/>
      <c r="K33" s="900"/>
      <c r="L33" s="900">
        <v>54600000000</v>
      </c>
      <c r="M33" s="900">
        <v>45500000000</v>
      </c>
      <c r="N33" s="898">
        <v>21600000000</v>
      </c>
      <c r="O33" s="898">
        <v>41200000000</v>
      </c>
      <c r="P33" s="898">
        <v>600000000</v>
      </c>
      <c r="Q33" s="900">
        <v>9300000000</v>
      </c>
      <c r="R33" s="900">
        <v>25800000000</v>
      </c>
      <c r="S33" s="900">
        <v>20700000000</v>
      </c>
      <c r="T33" s="900">
        <v>8400000000</v>
      </c>
      <c r="U33" s="900">
        <v>17700000000</v>
      </c>
      <c r="V33" s="900">
        <v>7400000000</v>
      </c>
      <c r="W33" s="897">
        <v>15300000000</v>
      </c>
      <c r="X33" s="897">
        <v>23900000000</v>
      </c>
      <c r="Y33" s="897">
        <v>37400000000</v>
      </c>
      <c r="Z33" s="571">
        <v>40000000000</v>
      </c>
      <c r="AA33" s="866">
        <v>42800000000</v>
      </c>
    </row>
    <row r="34" spans="1:28">
      <c r="A34" s="1156"/>
      <c r="B34" s="380" t="s">
        <v>4274</v>
      </c>
      <c r="C34" s="380"/>
      <c r="D34" s="900"/>
      <c r="E34" s="900"/>
      <c r="F34" s="898"/>
      <c r="G34" s="900"/>
      <c r="H34" s="900"/>
      <c r="I34" s="900"/>
      <c r="J34" s="900"/>
      <c r="K34" s="900"/>
      <c r="L34" s="900"/>
      <c r="M34" s="900"/>
      <c r="N34" s="898"/>
      <c r="O34" s="898"/>
      <c r="P34" s="898"/>
      <c r="Q34" s="898"/>
      <c r="R34" s="898"/>
      <c r="S34" s="898"/>
      <c r="T34" s="898"/>
      <c r="U34" s="898"/>
      <c r="V34" s="898"/>
      <c r="W34" s="897"/>
      <c r="X34" s="897"/>
      <c r="Y34" s="897"/>
      <c r="Z34" s="571"/>
      <c r="AA34" s="866"/>
    </row>
    <row r="35" spans="1:28" ht="31.5">
      <c r="A35" s="534" t="s">
        <v>71</v>
      </c>
      <c r="B35" s="2336" t="s">
        <v>4275</v>
      </c>
      <c r="D35" s="898">
        <v>407900000000</v>
      </c>
      <c r="E35" s="898">
        <v>465900000000</v>
      </c>
      <c r="F35" s="898">
        <v>540600000000</v>
      </c>
      <c r="G35" s="898">
        <v>569000000000</v>
      </c>
      <c r="H35" s="898">
        <v>625800000000</v>
      </c>
      <c r="I35" s="898">
        <v>712700000000</v>
      </c>
      <c r="J35" s="898">
        <v>796300000000</v>
      </c>
      <c r="K35" s="898">
        <v>839000000000</v>
      </c>
      <c r="L35" s="900">
        <v>828200000000</v>
      </c>
      <c r="M35" s="900">
        <v>1097800000000</v>
      </c>
      <c r="N35" s="898">
        <v>1064400000000.0001</v>
      </c>
      <c r="O35" s="898">
        <v>1264900000000</v>
      </c>
      <c r="P35" s="898">
        <v>995500000000</v>
      </c>
      <c r="Q35" s="898">
        <v>1292400000000</v>
      </c>
      <c r="R35" s="898">
        <v>1419900000000</v>
      </c>
      <c r="S35" s="898">
        <v>1622300000000</v>
      </c>
      <c r="T35" s="898">
        <v>1850100000000</v>
      </c>
      <c r="U35" s="898">
        <v>2083900000000</v>
      </c>
      <c r="V35" s="897">
        <v>2261300000000</v>
      </c>
      <c r="W35" s="897">
        <v>2343500000000</v>
      </c>
      <c r="X35" s="897">
        <v>2541600000000</v>
      </c>
      <c r="Y35" s="897">
        <v>2762800000000</v>
      </c>
      <c r="Z35" s="571">
        <v>3013700000000</v>
      </c>
      <c r="AA35" s="866">
        <v>3302400000000</v>
      </c>
    </row>
    <row r="36" spans="1:28" s="848" customFormat="1" ht="31.5">
      <c r="A36" s="874" t="s">
        <v>71</v>
      </c>
      <c r="B36" s="2338" t="s">
        <v>4275</v>
      </c>
      <c r="C36" s="880" t="s">
        <v>35</v>
      </c>
      <c r="D36" s="911">
        <f>D38+D46+D49+D50+D51</f>
        <v>410400000000</v>
      </c>
      <c r="E36" s="911">
        <f t="shared" ref="E36:N36" si="8">E38+E46+E49+E50+E51</f>
        <v>476600000000</v>
      </c>
      <c r="F36" s="911">
        <f t="shared" si="8"/>
        <v>545500000000</v>
      </c>
      <c r="G36" s="911">
        <f t="shared" si="8"/>
        <v>572900000000</v>
      </c>
      <c r="H36" s="911">
        <f t="shared" si="8"/>
        <v>634800000000</v>
      </c>
      <c r="I36" s="911">
        <f t="shared" si="8"/>
        <v>712700000000</v>
      </c>
      <c r="J36" s="911">
        <f t="shared" si="8"/>
        <v>802300000000</v>
      </c>
      <c r="K36" s="911">
        <f t="shared" si="8"/>
        <v>886600000000</v>
      </c>
      <c r="L36" s="911">
        <f t="shared" si="8"/>
        <v>828300000000</v>
      </c>
      <c r="M36" s="911">
        <f t="shared" si="8"/>
        <v>1097800000000</v>
      </c>
      <c r="N36" s="911">
        <f t="shared" si="8"/>
        <v>1064400000000</v>
      </c>
      <c r="O36" s="911">
        <f>O38+O46+O49+O50+O51</f>
        <v>1264900000000</v>
      </c>
      <c r="P36" s="911">
        <f t="shared" ref="P36:AA36" si="9">P38+P46+P49+P50+P51</f>
        <v>995500000000</v>
      </c>
      <c r="Q36" s="911">
        <f t="shared" si="9"/>
        <v>1298600000000</v>
      </c>
      <c r="R36" s="911">
        <f t="shared" si="9"/>
        <v>1425200000000</v>
      </c>
      <c r="S36" s="911">
        <f t="shared" si="9"/>
        <v>1627200000000</v>
      </c>
      <c r="T36" s="911">
        <f t="shared" si="9"/>
        <v>1858000000000</v>
      </c>
      <c r="U36" s="911">
        <f t="shared" si="9"/>
        <v>2087400000000</v>
      </c>
      <c r="V36" s="911">
        <f t="shared" si="9"/>
        <v>2271700000000</v>
      </c>
      <c r="W36" s="911">
        <f t="shared" si="9"/>
        <v>2343500000000</v>
      </c>
      <c r="X36" s="911">
        <f t="shared" si="9"/>
        <v>2541700000000</v>
      </c>
      <c r="Y36" s="911">
        <f t="shared" si="9"/>
        <v>2762700000000</v>
      </c>
      <c r="Z36" s="911">
        <f t="shared" si="9"/>
        <v>3013700000000</v>
      </c>
      <c r="AA36" s="911">
        <f t="shared" si="9"/>
        <v>3302400000000</v>
      </c>
      <c r="AB36" s="874"/>
    </row>
    <row r="37" spans="1:28">
      <c r="A37" s="534" t="s">
        <v>76</v>
      </c>
      <c r="B37" s="380" t="s">
        <v>4276</v>
      </c>
      <c r="C37" s="380"/>
      <c r="D37" s="898">
        <v>386000000000</v>
      </c>
      <c r="E37" s="898">
        <v>449100000000</v>
      </c>
      <c r="F37" s="898">
        <v>511700000000</v>
      </c>
      <c r="G37" s="898">
        <v>535500000000</v>
      </c>
      <c r="H37" s="898">
        <v>592200000000</v>
      </c>
      <c r="I37" s="898">
        <v>644700000000</v>
      </c>
      <c r="J37" s="898">
        <v>752600000000</v>
      </c>
      <c r="K37" s="898">
        <v>826100000000</v>
      </c>
      <c r="L37" s="900">
        <v>753900000000</v>
      </c>
      <c r="M37" s="900">
        <v>1004400000000</v>
      </c>
      <c r="N37" s="898">
        <v>971000000000</v>
      </c>
      <c r="O37" s="898">
        <v>1162200000000</v>
      </c>
      <c r="P37" s="898">
        <v>889900000000</v>
      </c>
      <c r="Q37" s="898">
        <v>1190100000000</v>
      </c>
      <c r="R37" s="898">
        <v>1308400000000</v>
      </c>
      <c r="S37" s="898">
        <v>1488000000000</v>
      </c>
      <c r="T37" s="898">
        <v>1753000000000</v>
      </c>
      <c r="U37" s="898">
        <v>1976000000000</v>
      </c>
      <c r="V37" s="898">
        <v>2148500000000</v>
      </c>
      <c r="W37" s="897">
        <v>2212700000000</v>
      </c>
      <c r="X37" s="897">
        <v>2402300000000</v>
      </c>
      <c r="Y37" s="897">
        <v>2613900000000</v>
      </c>
      <c r="Z37" s="571">
        <v>2854700000000</v>
      </c>
      <c r="AA37" s="866">
        <v>3132300000000</v>
      </c>
    </row>
    <row r="38" spans="1:28">
      <c r="A38" s="549" t="s">
        <v>73</v>
      </c>
      <c r="B38" s="380" t="s">
        <v>963</v>
      </c>
      <c r="C38" s="865" t="s">
        <v>75</v>
      </c>
      <c r="D38" s="898">
        <v>200200000000</v>
      </c>
      <c r="E38" s="898">
        <v>279800000000</v>
      </c>
      <c r="F38" s="898">
        <v>308700000000</v>
      </c>
      <c r="G38" s="898">
        <v>316300000000</v>
      </c>
      <c r="H38" s="898">
        <v>350000000000</v>
      </c>
      <c r="I38" s="898">
        <v>376600000000</v>
      </c>
      <c r="J38" s="898">
        <v>411800000000</v>
      </c>
      <c r="K38" s="898">
        <v>437100000000</v>
      </c>
      <c r="L38" s="900">
        <v>459100000000</v>
      </c>
      <c r="M38" s="900">
        <v>549000000000</v>
      </c>
      <c r="N38" s="898">
        <v>601200000000</v>
      </c>
      <c r="O38" s="898">
        <v>717300000000</v>
      </c>
      <c r="P38" s="898">
        <v>719400000000</v>
      </c>
      <c r="Q38" s="898">
        <v>800500000000</v>
      </c>
      <c r="R38" s="898">
        <v>848100000000</v>
      </c>
      <c r="S38" s="898">
        <v>922000000000</v>
      </c>
      <c r="T38" s="898">
        <v>1013000000000</v>
      </c>
      <c r="U38" s="898">
        <v>1127700000000</v>
      </c>
      <c r="V38" s="898">
        <v>1251000000000</v>
      </c>
      <c r="W38" s="897">
        <v>1247900000000</v>
      </c>
      <c r="X38" s="897">
        <v>1361700000000</v>
      </c>
      <c r="Y38" s="897">
        <v>1464500000000</v>
      </c>
      <c r="Z38" s="571">
        <v>1598300000000</v>
      </c>
      <c r="AA38" s="866">
        <v>1762300000000</v>
      </c>
    </row>
    <row r="39" spans="1:28">
      <c r="A39" s="566" t="s">
        <v>79</v>
      </c>
      <c r="B39" s="566" t="s">
        <v>964</v>
      </c>
      <c r="C39" s="865" t="s">
        <v>81</v>
      </c>
      <c r="D39" s="898">
        <v>73100000000</v>
      </c>
      <c r="E39" s="898">
        <v>85800000000</v>
      </c>
      <c r="F39" s="898">
        <v>93500000000</v>
      </c>
      <c r="G39" s="898">
        <v>106200000000</v>
      </c>
      <c r="H39" s="898">
        <v>121700000000</v>
      </c>
      <c r="I39" s="898">
        <v>137800000000</v>
      </c>
      <c r="J39" s="898">
        <v>147900000000</v>
      </c>
      <c r="K39" s="898">
        <v>162900000000</v>
      </c>
      <c r="L39" s="900">
        <v>186000000000</v>
      </c>
      <c r="M39" s="900">
        <v>213500000000</v>
      </c>
      <c r="N39" s="898">
        <v>231800000000</v>
      </c>
      <c r="O39" s="898">
        <v>265100000000.00003</v>
      </c>
      <c r="P39" s="898">
        <v>291100000000</v>
      </c>
      <c r="Q39" s="898">
        <v>290800000000</v>
      </c>
      <c r="R39" s="898">
        <v>313400000000</v>
      </c>
      <c r="S39" s="898">
        <v>358200000000</v>
      </c>
      <c r="T39" s="898">
        <v>400900000000</v>
      </c>
      <c r="U39" s="898">
        <v>450700000000</v>
      </c>
      <c r="V39" s="898">
        <v>516400000000</v>
      </c>
      <c r="W39" s="897">
        <v>530900000000</v>
      </c>
      <c r="X39" s="897">
        <v>584300000000</v>
      </c>
      <c r="Y39" s="897">
        <v>624100000000</v>
      </c>
      <c r="Z39" s="571">
        <v>667000000000</v>
      </c>
      <c r="AA39" s="866">
        <v>712900000000</v>
      </c>
    </row>
    <row r="40" spans="1:28">
      <c r="A40" s="566" t="s">
        <v>83</v>
      </c>
      <c r="B40" s="566" t="s">
        <v>965</v>
      </c>
      <c r="C40" s="865" t="s">
        <v>81</v>
      </c>
      <c r="D40" s="898">
        <v>75200000000</v>
      </c>
      <c r="E40" s="898">
        <v>91800000000</v>
      </c>
      <c r="F40" s="898">
        <v>109000000000</v>
      </c>
      <c r="G40" s="900"/>
      <c r="H40" s="900"/>
      <c r="I40" s="898"/>
      <c r="J40" s="898">
        <v>148400000000</v>
      </c>
      <c r="K40" s="898">
        <v>161300000000</v>
      </c>
      <c r="L40" s="900">
        <v>164700000000</v>
      </c>
      <c r="M40" s="900">
        <v>190200000000</v>
      </c>
      <c r="N40" s="898">
        <v>213200000000</v>
      </c>
      <c r="O40" s="898">
        <v>235500000000</v>
      </c>
      <c r="P40" s="898">
        <v>208400000000</v>
      </c>
      <c r="Q40" s="898">
        <v>239600000000</v>
      </c>
      <c r="R40" s="898">
        <v>240500000000</v>
      </c>
      <c r="S40" s="898">
        <v>260899999999.99997</v>
      </c>
      <c r="T40" s="898">
        <v>268500000000</v>
      </c>
      <c r="U40" s="898">
        <v>305200000000</v>
      </c>
      <c r="V40" s="898">
        <v>323500000000</v>
      </c>
      <c r="W40" s="897">
        <v>290400000000</v>
      </c>
      <c r="X40" s="897">
        <v>310400000000</v>
      </c>
      <c r="Y40" s="897">
        <v>335500000000</v>
      </c>
      <c r="Z40" s="571">
        <v>368900000000</v>
      </c>
      <c r="AA40" s="866">
        <v>424000000000</v>
      </c>
    </row>
    <row r="41" spans="1:28">
      <c r="A41" s="566" t="s">
        <v>2238</v>
      </c>
      <c r="B41" s="566" t="s">
        <v>4277</v>
      </c>
      <c r="C41" s="865" t="s">
        <v>81</v>
      </c>
      <c r="D41" s="898">
        <v>35900000000</v>
      </c>
      <c r="E41" s="898">
        <v>87600000000</v>
      </c>
      <c r="F41" s="898">
        <v>87800000000</v>
      </c>
      <c r="G41" s="900"/>
      <c r="H41" s="900"/>
      <c r="I41" s="900"/>
      <c r="J41" s="898">
        <v>100000000000</v>
      </c>
      <c r="K41" s="898">
        <v>99100000000</v>
      </c>
      <c r="L41" s="900">
        <v>94300000000</v>
      </c>
      <c r="M41" s="900">
        <v>129600000000</v>
      </c>
      <c r="N41" s="898">
        <v>137100000000</v>
      </c>
      <c r="O41" s="898">
        <v>181400000000</v>
      </c>
      <c r="P41" s="898">
        <v>187000000000</v>
      </c>
      <c r="Q41" s="898">
        <v>237700000000</v>
      </c>
      <c r="R41" s="898">
        <v>252400000000</v>
      </c>
      <c r="S41" s="898">
        <v>257000000000</v>
      </c>
      <c r="T41" s="898">
        <v>287500000000</v>
      </c>
      <c r="U41" s="898">
        <v>308300000000</v>
      </c>
      <c r="V41" s="898">
        <v>332700000000</v>
      </c>
      <c r="W41" s="897">
        <v>339100000000</v>
      </c>
      <c r="X41" s="897">
        <v>368100000000</v>
      </c>
      <c r="Y41" s="897">
        <v>393900000000</v>
      </c>
      <c r="Z41" s="571">
        <v>439400000000</v>
      </c>
      <c r="AA41" s="866">
        <v>488200000000</v>
      </c>
    </row>
    <row r="42" spans="1:28">
      <c r="A42" s="435" t="s">
        <v>90</v>
      </c>
      <c r="B42" s="566" t="s">
        <v>91</v>
      </c>
      <c r="C42" s="865" t="s">
        <v>81</v>
      </c>
      <c r="D42" s="898">
        <v>16000000000</v>
      </c>
      <c r="E42" s="898">
        <v>14600000000</v>
      </c>
      <c r="F42" s="898">
        <v>18400000000</v>
      </c>
      <c r="G42" s="898">
        <v>18800000000</v>
      </c>
      <c r="H42" s="898">
        <v>17200000000</v>
      </c>
      <c r="I42" s="898">
        <v>18300000000</v>
      </c>
      <c r="J42" s="898">
        <v>15500000000</v>
      </c>
      <c r="K42" s="898">
        <v>13900000000</v>
      </c>
      <c r="L42" s="900">
        <v>14100000000</v>
      </c>
      <c r="M42" s="900">
        <v>15700000000</v>
      </c>
      <c r="N42" s="898">
        <v>19100000000</v>
      </c>
      <c r="O42" s="898">
        <v>35400000000</v>
      </c>
      <c r="P42" s="898">
        <v>32900000000</v>
      </c>
      <c r="Q42" s="898">
        <v>32400000000</v>
      </c>
      <c r="R42" s="898">
        <v>41700000000</v>
      </c>
      <c r="S42" s="898">
        <v>45900000000</v>
      </c>
      <c r="T42" s="898">
        <v>56100000000</v>
      </c>
      <c r="U42" s="898">
        <v>63500000000</v>
      </c>
      <c r="V42" s="898">
        <v>78300000000</v>
      </c>
      <c r="W42" s="897">
        <v>87400000000</v>
      </c>
      <c r="X42" s="897">
        <v>98900000000</v>
      </c>
      <c r="Y42" s="897">
        <v>111000000000</v>
      </c>
      <c r="Z42" s="571">
        <v>123000000000</v>
      </c>
      <c r="AA42" s="866">
        <v>137199999999.99998</v>
      </c>
    </row>
    <row r="43" spans="1:28">
      <c r="A43" s="870" t="s">
        <v>209</v>
      </c>
      <c r="B43" s="1156" t="s">
        <v>4278</v>
      </c>
      <c r="C43" s="380" t="s">
        <v>3405</v>
      </c>
      <c r="D43" s="898">
        <v>1600000000</v>
      </c>
      <c r="E43" s="898">
        <v>800000000</v>
      </c>
      <c r="F43" s="898"/>
      <c r="G43" s="900"/>
      <c r="H43" s="898">
        <v>1500000000</v>
      </c>
      <c r="I43" s="898">
        <v>2300000000</v>
      </c>
      <c r="J43" s="898">
        <v>1000000000</v>
      </c>
      <c r="K43" s="898">
        <v>2700000000</v>
      </c>
      <c r="L43" s="900">
        <v>1600000000</v>
      </c>
      <c r="M43" s="900">
        <v>3300000000</v>
      </c>
      <c r="N43" s="898">
        <v>6100000000</v>
      </c>
      <c r="O43" s="898">
        <v>17300000000</v>
      </c>
      <c r="P43" s="898">
        <v>15000000000</v>
      </c>
      <c r="Q43" s="898">
        <v>14000000000</v>
      </c>
      <c r="R43" s="898">
        <v>24500000000</v>
      </c>
      <c r="S43" s="898">
        <v>22900000000</v>
      </c>
      <c r="T43" s="898">
        <v>30000000000</v>
      </c>
      <c r="U43" s="898">
        <v>35900000000</v>
      </c>
      <c r="V43" s="898">
        <v>47300000000</v>
      </c>
      <c r="W43" s="897">
        <v>61200000000</v>
      </c>
      <c r="X43" s="897">
        <v>70300000000</v>
      </c>
      <c r="Y43" s="897">
        <v>79900000000</v>
      </c>
      <c r="Z43" s="571">
        <v>88600000000</v>
      </c>
      <c r="AA43" s="866">
        <v>98700000000</v>
      </c>
    </row>
    <row r="44" spans="1:28">
      <c r="A44" s="870" t="s">
        <v>280</v>
      </c>
      <c r="B44" s="2337" t="s">
        <v>2326</v>
      </c>
      <c r="C44" s="380" t="s">
        <v>3405</v>
      </c>
      <c r="D44" s="898">
        <f>D42-D43</f>
        <v>14400000000</v>
      </c>
      <c r="E44" s="898">
        <f>E42-E43</f>
        <v>13800000000</v>
      </c>
      <c r="F44" s="898"/>
      <c r="G44" s="900"/>
      <c r="H44" s="898">
        <v>15700000000</v>
      </c>
      <c r="I44" s="898">
        <v>16000000000</v>
      </c>
      <c r="J44" s="898">
        <v>14500000000</v>
      </c>
      <c r="K44" s="898">
        <v>11200000000</v>
      </c>
      <c r="L44" s="898">
        <v>12500000000</v>
      </c>
      <c r="M44" s="898">
        <v>12400000000</v>
      </c>
      <c r="N44" s="898">
        <v>13000000000</v>
      </c>
      <c r="O44" s="898">
        <v>18100000000</v>
      </c>
      <c r="P44" s="898">
        <v>17900000000</v>
      </c>
      <c r="Q44" s="898">
        <f>Q42-Q43</f>
        <v>18400000000</v>
      </c>
      <c r="R44" s="898">
        <f t="shared" ref="R44:AA44" si="10">R42-R43</f>
        <v>17200000000</v>
      </c>
      <c r="S44" s="898">
        <f t="shared" si="10"/>
        <v>23000000000</v>
      </c>
      <c r="T44" s="898">
        <f t="shared" si="10"/>
        <v>26100000000</v>
      </c>
      <c r="U44" s="898">
        <f t="shared" si="10"/>
        <v>27600000000</v>
      </c>
      <c r="V44" s="898">
        <f t="shared" si="10"/>
        <v>31000000000</v>
      </c>
      <c r="W44" s="898">
        <f t="shared" si="10"/>
        <v>26200000000</v>
      </c>
      <c r="X44" s="898">
        <f t="shared" si="10"/>
        <v>28600000000</v>
      </c>
      <c r="Y44" s="898">
        <f t="shared" si="10"/>
        <v>31100000000</v>
      </c>
      <c r="Z44" s="898">
        <f t="shared" si="10"/>
        <v>34400000000</v>
      </c>
      <c r="AA44" s="898">
        <f t="shared" si="10"/>
        <v>38499999999.999985</v>
      </c>
    </row>
    <row r="45" spans="1:28">
      <c r="A45" s="435" t="s">
        <v>391</v>
      </c>
      <c r="B45" s="566" t="s">
        <v>4279</v>
      </c>
      <c r="C45" s="865" t="s">
        <v>81</v>
      </c>
      <c r="D45" s="898">
        <f>D38-D39-D40-D41-D42</f>
        <v>0</v>
      </c>
      <c r="E45" s="898"/>
      <c r="F45" s="898"/>
      <c r="G45" s="898">
        <v>191300000000</v>
      </c>
      <c r="H45" s="898">
        <v>211000000000</v>
      </c>
      <c r="I45" s="898">
        <v>220500000000</v>
      </c>
      <c r="J45" s="898"/>
      <c r="K45" s="898"/>
      <c r="L45" s="898"/>
      <c r="M45" s="898"/>
      <c r="N45" s="898"/>
      <c r="O45" s="898"/>
      <c r="P45" s="898"/>
      <c r="Q45" s="898"/>
      <c r="R45" s="898"/>
      <c r="S45" s="898"/>
      <c r="T45" s="898"/>
      <c r="U45" s="898"/>
      <c r="V45" s="900"/>
      <c r="W45" s="897"/>
      <c r="X45" s="897"/>
      <c r="Y45" s="897"/>
      <c r="Z45" s="571"/>
      <c r="AA45" s="866"/>
    </row>
    <row r="46" spans="1:28">
      <c r="A46" s="380" t="s">
        <v>237</v>
      </c>
      <c r="B46" s="380" t="s">
        <v>967</v>
      </c>
      <c r="C46" s="865" t="s">
        <v>75</v>
      </c>
      <c r="D46" s="898">
        <v>185800000000</v>
      </c>
      <c r="E46" s="898">
        <v>169300000000</v>
      </c>
      <c r="F46" s="898">
        <v>203100000000</v>
      </c>
      <c r="G46" s="898">
        <v>219200000000</v>
      </c>
      <c r="H46" s="898">
        <v>242200000000</v>
      </c>
      <c r="I46" s="898">
        <v>268100000000.00003</v>
      </c>
      <c r="J46" s="898">
        <v>340800000000</v>
      </c>
      <c r="K46" s="898">
        <v>389000000000</v>
      </c>
      <c r="L46" s="900">
        <v>294900000000</v>
      </c>
      <c r="M46" s="900">
        <v>455400000000</v>
      </c>
      <c r="N46" s="898">
        <v>369800000000</v>
      </c>
      <c r="O46" s="898">
        <v>448100000000</v>
      </c>
      <c r="P46" s="898">
        <v>170500000000</v>
      </c>
      <c r="Q46" s="898">
        <v>389600000000</v>
      </c>
      <c r="R46" s="898">
        <v>460300000000</v>
      </c>
      <c r="S46" s="898">
        <v>566000000000</v>
      </c>
      <c r="T46" s="898">
        <v>740000000000</v>
      </c>
      <c r="U46" s="898">
        <v>848300000000</v>
      </c>
      <c r="V46" s="898">
        <v>897500000000</v>
      </c>
      <c r="W46" s="897">
        <v>964800000000</v>
      </c>
      <c r="X46" s="897">
        <v>1040599999999.9999</v>
      </c>
      <c r="Y46" s="897">
        <v>1149400000000</v>
      </c>
      <c r="Z46" s="571">
        <v>1256400000000</v>
      </c>
      <c r="AA46" s="866">
        <v>1370000000000</v>
      </c>
    </row>
    <row r="47" spans="1:28">
      <c r="A47" s="566" t="s">
        <v>395</v>
      </c>
      <c r="B47" s="566" t="s">
        <v>4280</v>
      </c>
      <c r="C47" s="865" t="s">
        <v>95</v>
      </c>
      <c r="D47" s="898">
        <v>133300000000.00002</v>
      </c>
      <c r="E47" s="898">
        <v>116300000000</v>
      </c>
      <c r="F47" s="898">
        <v>140300000000</v>
      </c>
      <c r="G47" s="898">
        <v>140900000000</v>
      </c>
      <c r="H47" s="898">
        <v>152800000000</v>
      </c>
      <c r="I47" s="898">
        <v>170000000000</v>
      </c>
      <c r="J47" s="898">
        <v>228700000000</v>
      </c>
      <c r="K47" s="898">
        <v>227600000000</v>
      </c>
      <c r="L47" s="900">
        <v>172800000000</v>
      </c>
      <c r="M47" s="900">
        <v>303200000000</v>
      </c>
      <c r="N47" s="898">
        <v>187600000000</v>
      </c>
      <c r="O47" s="898">
        <v>253900000000</v>
      </c>
      <c r="P47" s="898">
        <v>32100000000</v>
      </c>
      <c r="Q47" s="898">
        <v>161000000000</v>
      </c>
      <c r="R47" s="898">
        <v>190500000000</v>
      </c>
      <c r="S47" s="898">
        <v>281100000000</v>
      </c>
      <c r="T47" s="898">
        <v>240900000000</v>
      </c>
      <c r="U47" s="898">
        <v>302300000000</v>
      </c>
      <c r="V47" s="898">
        <v>257399999999.99997</v>
      </c>
      <c r="W47" s="897">
        <v>287400000000</v>
      </c>
      <c r="X47" s="897">
        <v>348500000000</v>
      </c>
      <c r="Y47" s="897">
        <v>400100000000</v>
      </c>
      <c r="Z47" s="571">
        <v>449300000000</v>
      </c>
      <c r="AA47" s="866">
        <v>491700000000</v>
      </c>
    </row>
    <row r="48" spans="1:28">
      <c r="A48" s="566" t="s">
        <v>239</v>
      </c>
      <c r="B48" s="566" t="s">
        <v>4281</v>
      </c>
      <c r="C48" s="865" t="s">
        <v>95</v>
      </c>
      <c r="D48" s="898">
        <v>52400000000</v>
      </c>
      <c r="E48" s="898">
        <v>53000000000</v>
      </c>
      <c r="F48" s="898">
        <v>62700000000</v>
      </c>
      <c r="G48" s="2340">
        <f>G46-G47</f>
        <v>78300000000</v>
      </c>
      <c r="H48" s="2340">
        <f>H46-H47</f>
        <v>89400000000</v>
      </c>
      <c r="I48" s="898">
        <v>98100000000</v>
      </c>
      <c r="J48" s="898">
        <v>112100000000</v>
      </c>
      <c r="K48" s="898">
        <v>161400000000</v>
      </c>
      <c r="L48" s="900">
        <v>122100000000</v>
      </c>
      <c r="M48" s="900">
        <v>152200000000</v>
      </c>
      <c r="N48" s="898">
        <v>182200000000</v>
      </c>
      <c r="O48" s="898">
        <v>194200000000</v>
      </c>
      <c r="P48" s="898">
        <v>138400000000</v>
      </c>
      <c r="Q48" s="898">
        <v>228600000000</v>
      </c>
      <c r="R48" s="898">
        <v>269800000000</v>
      </c>
      <c r="S48" s="898">
        <v>284900000000</v>
      </c>
      <c r="T48" s="898">
        <v>499000000000</v>
      </c>
      <c r="U48" s="898">
        <v>545900000000</v>
      </c>
      <c r="V48" s="898">
        <v>640100000000</v>
      </c>
      <c r="W48" s="897">
        <v>677500000000</v>
      </c>
      <c r="X48" s="897">
        <v>692100000000</v>
      </c>
      <c r="Y48" s="897">
        <v>749300000000</v>
      </c>
      <c r="Z48" s="571">
        <v>807100000000</v>
      </c>
      <c r="AA48" s="866">
        <v>878300000000</v>
      </c>
    </row>
    <row r="49" spans="1:28">
      <c r="A49" s="380" t="s">
        <v>4263</v>
      </c>
      <c r="B49" s="380" t="s">
        <v>4264</v>
      </c>
      <c r="C49" s="865" t="s">
        <v>75</v>
      </c>
      <c r="D49" s="898">
        <v>24400000000</v>
      </c>
      <c r="E49" s="898">
        <v>27500000000</v>
      </c>
      <c r="F49" s="898">
        <v>33700000000.000004</v>
      </c>
      <c r="G49" s="898">
        <v>37400000000</v>
      </c>
      <c r="H49" s="898">
        <v>42600000000</v>
      </c>
      <c r="I49" s="898">
        <v>45300000000</v>
      </c>
      <c r="J49" s="898">
        <v>49700000000</v>
      </c>
      <c r="K49" s="898">
        <v>60500000000</v>
      </c>
      <c r="L49" s="900">
        <v>66700000000</v>
      </c>
      <c r="M49" s="900">
        <v>71800000000</v>
      </c>
      <c r="N49" s="898">
        <v>78700000000</v>
      </c>
      <c r="O49" s="898">
        <v>96100000000</v>
      </c>
      <c r="P49" s="898">
        <v>99500000000</v>
      </c>
      <c r="Q49" s="898">
        <v>108500000000</v>
      </c>
      <c r="R49" s="898">
        <v>116800000000</v>
      </c>
      <c r="S49" s="898">
        <v>139200000000</v>
      </c>
      <c r="T49" s="898">
        <v>105000000000</v>
      </c>
      <c r="U49" s="898">
        <v>111400000000</v>
      </c>
      <c r="V49" s="898">
        <v>123200000000</v>
      </c>
      <c r="W49" s="897">
        <v>130800000000.00002</v>
      </c>
      <c r="X49" s="897">
        <v>139400000000</v>
      </c>
      <c r="Y49" s="897">
        <v>148800000000</v>
      </c>
      <c r="Z49" s="571">
        <v>159000000000</v>
      </c>
      <c r="AA49" s="866">
        <v>170100000000</v>
      </c>
    </row>
    <row r="50" spans="1:28">
      <c r="A50" s="380" t="s">
        <v>244</v>
      </c>
      <c r="B50" s="380" t="s">
        <v>968</v>
      </c>
      <c r="C50" s="865" t="s">
        <v>75</v>
      </c>
      <c r="D50" s="2658">
        <v>0</v>
      </c>
      <c r="E50" s="2658">
        <v>0</v>
      </c>
      <c r="F50" s="2658">
        <v>0</v>
      </c>
      <c r="G50" s="2658">
        <v>0</v>
      </c>
      <c r="H50" s="2658">
        <v>0</v>
      </c>
      <c r="I50" s="898">
        <v>22700000000</v>
      </c>
      <c r="J50" s="2658">
        <v>0</v>
      </c>
      <c r="K50" s="2658">
        <v>0</v>
      </c>
      <c r="L50" s="900">
        <v>7600000000</v>
      </c>
      <c r="M50" s="900">
        <v>21600000000</v>
      </c>
      <c r="N50" s="898">
        <v>14700000000</v>
      </c>
      <c r="O50" s="2658">
        <v>0</v>
      </c>
      <c r="P50" s="2658">
        <v>0</v>
      </c>
      <c r="Q50" s="2658">
        <v>0</v>
      </c>
      <c r="R50" s="2658">
        <v>0</v>
      </c>
      <c r="S50" s="2658">
        <v>0</v>
      </c>
      <c r="T50" s="2658">
        <v>0</v>
      </c>
      <c r="U50" s="2658">
        <v>0</v>
      </c>
      <c r="V50" s="2658">
        <v>0</v>
      </c>
      <c r="W50" s="2659">
        <v>0</v>
      </c>
      <c r="X50" s="2659">
        <v>0</v>
      </c>
      <c r="Y50" s="897">
        <v>0</v>
      </c>
      <c r="Z50" s="571">
        <v>0</v>
      </c>
      <c r="AA50" s="866">
        <v>0</v>
      </c>
    </row>
    <row r="51" spans="1:28">
      <c r="A51" s="380" t="s">
        <v>398</v>
      </c>
      <c r="B51" s="1154" t="s">
        <v>1222</v>
      </c>
      <c r="C51" s="865" t="s">
        <v>75</v>
      </c>
      <c r="D51" s="898"/>
      <c r="E51" s="898"/>
      <c r="F51" s="898"/>
      <c r="G51" s="898"/>
      <c r="H51" s="898"/>
      <c r="I51" s="898"/>
      <c r="J51" s="898"/>
      <c r="K51" s="898"/>
      <c r="L51" s="900"/>
      <c r="M51" s="900"/>
      <c r="N51" s="898"/>
      <c r="O51" s="898">
        <f>O35-O38-O49-O50-O46</f>
        <v>3400000000</v>
      </c>
      <c r="P51" s="898">
        <f>P35-P38-P49-P50-P46</f>
        <v>6100000000</v>
      </c>
      <c r="Q51" s="898"/>
      <c r="R51" s="898"/>
      <c r="S51" s="898"/>
      <c r="T51" s="898"/>
      <c r="U51" s="898"/>
      <c r="V51" s="900"/>
      <c r="W51" s="897"/>
      <c r="X51" s="897"/>
      <c r="Y51" s="897"/>
      <c r="Z51" s="571"/>
      <c r="AA51" s="866"/>
    </row>
    <row r="52" spans="1:28">
      <c r="A52" s="534" t="s">
        <v>76</v>
      </c>
      <c r="B52" s="380" t="s">
        <v>4282</v>
      </c>
      <c r="C52" s="380"/>
      <c r="D52" s="898">
        <v>-145600000000</v>
      </c>
      <c r="E52" s="898">
        <v>-154700000000</v>
      </c>
      <c r="F52" s="898">
        <v>-169700000000</v>
      </c>
      <c r="G52" s="898">
        <v>-147200000000</v>
      </c>
      <c r="H52" s="898">
        <v>-171200000000</v>
      </c>
      <c r="I52" s="898">
        <v>-206100000000</v>
      </c>
      <c r="J52" s="898">
        <v>-242100000000</v>
      </c>
      <c r="K52" s="898">
        <v>-269100000000.00003</v>
      </c>
      <c r="L52" s="900">
        <v>-220900000000</v>
      </c>
      <c r="M52" s="900">
        <v>-372800000000</v>
      </c>
      <c r="N52" s="898">
        <v>-258100000000.00003</v>
      </c>
      <c r="O52" s="898">
        <v>-405800000000</v>
      </c>
      <c r="P52" s="898">
        <v>-82600000000</v>
      </c>
      <c r="Q52" s="898">
        <v>-341200000000</v>
      </c>
      <c r="R52" s="898">
        <v>-362300000000</v>
      </c>
      <c r="S52" s="898">
        <v>-348800000000</v>
      </c>
      <c r="T52" s="898">
        <v>-460400000000</v>
      </c>
      <c r="U52" s="898">
        <v>-543100000000</v>
      </c>
      <c r="V52" s="898">
        <v>-426900000000</v>
      </c>
      <c r="W52" s="897">
        <v>-467700000000</v>
      </c>
      <c r="X52" s="897">
        <v>-503500000000</v>
      </c>
      <c r="Y52" s="897">
        <v>-547799999999.99994</v>
      </c>
      <c r="Z52" s="571">
        <v>-584000000000</v>
      </c>
      <c r="AA52" s="866">
        <v>-627300000000</v>
      </c>
    </row>
    <row r="53" spans="1:28">
      <c r="A53" s="534" t="s">
        <v>76</v>
      </c>
      <c r="B53" s="380" t="s">
        <v>4283</v>
      </c>
      <c r="C53" s="380"/>
      <c r="D53" s="898">
        <v>-55600000000</v>
      </c>
      <c r="E53" s="898">
        <v>-71100000000</v>
      </c>
      <c r="F53" s="898">
        <v>-83900000000</v>
      </c>
      <c r="G53" s="898">
        <v>-32500000000</v>
      </c>
      <c r="H53" s="898">
        <v>-67900000000.000008</v>
      </c>
      <c r="I53" s="898">
        <v>-91100000000</v>
      </c>
      <c r="J53" s="898">
        <v>1002400000000</v>
      </c>
      <c r="K53" s="898">
        <v>-108700000000</v>
      </c>
      <c r="L53" s="900">
        <v>-86700000000</v>
      </c>
      <c r="M53" s="900">
        <v>-178900000000</v>
      </c>
      <c r="N53" s="898">
        <v>-124400000000</v>
      </c>
      <c r="O53" s="898">
        <v>-211900000000</v>
      </c>
      <c r="P53" s="898">
        <v>-69600000000</v>
      </c>
      <c r="Q53" s="898">
        <v>-155100000000</v>
      </c>
      <c r="R53" s="898">
        <v>-204700000000</v>
      </c>
      <c r="S53" s="898">
        <v>-141100000000</v>
      </c>
      <c r="T53" s="898">
        <v>-327900000000</v>
      </c>
      <c r="U53" s="898">
        <v>-365900000000</v>
      </c>
      <c r="V53" s="898">
        <v>-312300000000</v>
      </c>
      <c r="W53" s="897">
        <v>-304100000000</v>
      </c>
      <c r="X53" s="897">
        <v>-321600000000</v>
      </c>
      <c r="Y53" s="897">
        <v>-341600000000</v>
      </c>
      <c r="Z53" s="571">
        <v>-363600000000</v>
      </c>
      <c r="AA53" s="866">
        <v>-389400000000</v>
      </c>
    </row>
    <row r="54" spans="1:28">
      <c r="A54" s="534" t="s">
        <v>76</v>
      </c>
      <c r="B54" s="380" t="s">
        <v>4284</v>
      </c>
      <c r="C54" s="380"/>
      <c r="D54" s="898"/>
      <c r="E54" s="898"/>
      <c r="F54" s="898"/>
      <c r="G54" s="900"/>
      <c r="H54" s="900"/>
      <c r="I54" s="900"/>
      <c r="J54" s="900"/>
      <c r="K54" s="900" t="s">
        <v>1333</v>
      </c>
      <c r="L54" s="900">
        <v>0</v>
      </c>
      <c r="M54" s="900">
        <v>-59100000000</v>
      </c>
      <c r="N54" s="898">
        <v>-29000000000</v>
      </c>
      <c r="O54" s="898">
        <v>16899999999.999998</v>
      </c>
      <c r="P54" s="898">
        <v>15000000000</v>
      </c>
      <c r="Q54" s="898"/>
      <c r="R54" s="898"/>
      <c r="S54" s="898"/>
      <c r="T54" s="898"/>
      <c r="U54" s="898"/>
      <c r="V54" s="898"/>
      <c r="W54" s="897"/>
      <c r="X54" s="897"/>
      <c r="Y54" s="897"/>
      <c r="Z54" s="571"/>
      <c r="AA54" s="866"/>
    </row>
    <row r="55" spans="1:28">
      <c r="A55" s="534" t="s">
        <v>76</v>
      </c>
      <c r="B55" s="380" t="s">
        <v>4285</v>
      </c>
      <c r="C55" s="380"/>
      <c r="D55" s="898"/>
      <c r="E55" s="898"/>
      <c r="F55" s="898"/>
      <c r="G55" s="900"/>
      <c r="H55" s="900"/>
      <c r="I55" s="900"/>
      <c r="J55" s="900"/>
      <c r="K55" s="900"/>
      <c r="L55" s="900"/>
      <c r="M55" s="900"/>
      <c r="N55" s="900"/>
      <c r="O55" s="898">
        <v>15800000000</v>
      </c>
      <c r="P55" s="898">
        <v>11900000000</v>
      </c>
      <c r="Q55" s="898"/>
      <c r="R55" s="898"/>
      <c r="S55" s="898"/>
      <c r="T55" s="898"/>
      <c r="U55" s="898"/>
      <c r="V55" s="898"/>
      <c r="W55" s="897"/>
      <c r="X55" s="897"/>
      <c r="Y55" s="897"/>
      <c r="Z55" s="571"/>
      <c r="AA55" s="866"/>
    </row>
    <row r="56" spans="1:28">
      <c r="A56" s="534" t="s">
        <v>76</v>
      </c>
      <c r="B56" s="380" t="s">
        <v>4286</v>
      </c>
      <c r="C56" s="380"/>
      <c r="D56" s="898"/>
      <c r="E56" s="898"/>
      <c r="F56" s="898"/>
      <c r="G56" s="900"/>
      <c r="H56" s="900"/>
      <c r="I56" s="900"/>
      <c r="J56" s="900"/>
      <c r="K56" s="900"/>
      <c r="L56" s="900"/>
      <c r="M56" s="900"/>
      <c r="N56" s="900"/>
      <c r="O56" s="898">
        <v>1000000000</v>
      </c>
      <c r="P56" s="898">
        <v>3100000000</v>
      </c>
      <c r="Q56" s="898"/>
      <c r="R56" s="898"/>
      <c r="S56" s="898"/>
      <c r="T56" s="898"/>
      <c r="U56" s="898"/>
      <c r="V56" s="898"/>
      <c r="W56" s="897"/>
      <c r="X56" s="897"/>
      <c r="Y56" s="897"/>
      <c r="Z56" s="571"/>
      <c r="AA56" s="866"/>
    </row>
    <row r="57" spans="1:28">
      <c r="A57" s="534" t="s">
        <v>76</v>
      </c>
      <c r="B57" s="380" t="s">
        <v>4287</v>
      </c>
      <c r="C57" s="380"/>
      <c r="D57" s="898"/>
      <c r="E57" s="898"/>
      <c r="F57" s="898">
        <v>-1300000000</v>
      </c>
      <c r="G57" s="898">
        <v>10800000000</v>
      </c>
      <c r="H57" s="898">
        <v>7900000000</v>
      </c>
      <c r="I57" s="898">
        <v>-10300000000</v>
      </c>
      <c r="J57" s="898">
        <v>-15600000000</v>
      </c>
      <c r="K57" s="898">
        <v>5200000000</v>
      </c>
      <c r="L57" s="900">
        <v>49200000000</v>
      </c>
      <c r="M57" s="900">
        <v>33100000000</v>
      </c>
      <c r="N57" s="898">
        <v>-53300000000</v>
      </c>
      <c r="O57" s="898">
        <v>2200000000</v>
      </c>
      <c r="P57" s="898">
        <v>-7900000000</v>
      </c>
      <c r="Q57" s="898"/>
      <c r="R57" s="898"/>
      <c r="S57" s="898"/>
      <c r="T57" s="898"/>
      <c r="U57" s="898"/>
      <c r="V57" s="898"/>
      <c r="W57" s="897"/>
      <c r="X57" s="897"/>
      <c r="Y57" s="897"/>
      <c r="Z57" s="571"/>
      <c r="AA57" s="866"/>
    </row>
    <row r="58" spans="1:28">
      <c r="A58" s="534" t="s">
        <v>76</v>
      </c>
      <c r="B58" s="380" t="s">
        <v>4288</v>
      </c>
      <c r="C58" s="380"/>
      <c r="D58" s="898">
        <v>-54000000000</v>
      </c>
      <c r="E58" s="898">
        <v>-71100000000</v>
      </c>
      <c r="F58" s="898">
        <v>-85200000000</v>
      </c>
      <c r="G58" s="898">
        <v>-21700000000</v>
      </c>
      <c r="H58" s="898">
        <v>-60000000000</v>
      </c>
      <c r="I58" s="898">
        <v>-101400000000</v>
      </c>
      <c r="J58" s="898">
        <v>986800000000</v>
      </c>
      <c r="K58" s="898">
        <v>-103500000000</v>
      </c>
      <c r="L58" s="900">
        <v>-37500000000</v>
      </c>
      <c r="M58" s="900">
        <v>-204800000000</v>
      </c>
      <c r="N58" s="898">
        <v>-206700000000</v>
      </c>
      <c r="O58" s="898">
        <v>-192800000000</v>
      </c>
      <c r="P58" s="898">
        <v>-62500000000</v>
      </c>
      <c r="Q58" s="898"/>
      <c r="R58" s="898"/>
      <c r="S58" s="898"/>
      <c r="T58" s="898"/>
      <c r="U58" s="898"/>
      <c r="V58" s="898"/>
      <c r="W58" s="897"/>
      <c r="X58" s="897"/>
      <c r="Y58" s="897"/>
      <c r="Z58" s="571"/>
      <c r="AA58" s="866"/>
    </row>
    <row r="59" spans="1:28" s="848" customFormat="1">
      <c r="A59" s="880" t="s">
        <v>115</v>
      </c>
      <c r="B59" s="880" t="s">
        <v>115</v>
      </c>
      <c r="C59" s="880" t="s">
        <v>35</v>
      </c>
      <c r="D59" s="911">
        <v>54000000000</v>
      </c>
      <c r="E59" s="911">
        <v>71100000000</v>
      </c>
      <c r="F59" s="911">
        <v>85200000000</v>
      </c>
      <c r="G59" s="911">
        <v>21700000000</v>
      </c>
      <c r="H59" s="911">
        <v>60000000000</v>
      </c>
      <c r="I59" s="911">
        <v>101400000000</v>
      </c>
      <c r="J59" s="911">
        <v>-1001400000000</v>
      </c>
      <c r="K59" s="911">
        <v>103500000000</v>
      </c>
      <c r="L59" s="921">
        <v>37500000000</v>
      </c>
      <c r="M59" s="921">
        <v>204800000000</v>
      </c>
      <c r="N59" s="911">
        <v>206700000000</v>
      </c>
      <c r="O59" s="911">
        <v>192800000000</v>
      </c>
      <c r="P59" s="911">
        <v>62500000000</v>
      </c>
      <c r="Q59" s="911">
        <v>157300000000</v>
      </c>
      <c r="R59" s="911">
        <v>175600000000</v>
      </c>
      <c r="S59" s="911">
        <v>248700000000</v>
      </c>
      <c r="T59" s="911">
        <v>326900000000</v>
      </c>
      <c r="U59" s="911">
        <v>364800000000</v>
      </c>
      <c r="V59" s="911">
        <v>337000000000</v>
      </c>
      <c r="W59" s="913">
        <v>262700000000</v>
      </c>
      <c r="X59" s="913">
        <v>276600000000</v>
      </c>
      <c r="Y59" s="913">
        <v>287500000000</v>
      </c>
      <c r="Z59" s="882">
        <v>317200000000</v>
      </c>
      <c r="AA59" s="1647">
        <v>339800000000</v>
      </c>
      <c r="AB59" s="874"/>
    </row>
    <row r="60" spans="1:28">
      <c r="A60" s="534" t="s">
        <v>117</v>
      </c>
      <c r="B60" s="380" t="s">
        <v>4289</v>
      </c>
      <c r="C60" s="865" t="s">
        <v>119</v>
      </c>
      <c r="D60" s="898">
        <v>51800000000</v>
      </c>
      <c r="E60" s="898">
        <v>65000000000</v>
      </c>
      <c r="F60" s="898">
        <v>88500000000</v>
      </c>
      <c r="G60" s="898">
        <v>106100000000</v>
      </c>
      <c r="H60" s="898">
        <v>74500000000</v>
      </c>
      <c r="I60" s="898">
        <v>108800000000</v>
      </c>
      <c r="J60" s="898">
        <v>-890500000000</v>
      </c>
      <c r="K60" s="898">
        <v>98000000000</v>
      </c>
      <c r="L60" s="900">
        <v>82500000000</v>
      </c>
      <c r="M60" s="900">
        <v>180300000000</v>
      </c>
      <c r="N60" s="898">
        <v>131199999999.99998</v>
      </c>
      <c r="O60" s="898">
        <v>136900000000</v>
      </c>
      <c r="P60" s="898">
        <v>8500000000</v>
      </c>
      <c r="Q60" s="898">
        <v>103900000000</v>
      </c>
      <c r="R60" s="898">
        <v>70500000000</v>
      </c>
      <c r="S60" s="898">
        <v>145000000000</v>
      </c>
      <c r="T60" s="898">
        <v>109200000000</v>
      </c>
      <c r="U60" s="898">
        <v>159100000000</v>
      </c>
      <c r="V60" s="898">
        <v>133300000000.00002</v>
      </c>
      <c r="W60" s="898">
        <v>153800000000</v>
      </c>
      <c r="X60" s="898">
        <v>172200000000</v>
      </c>
      <c r="Y60" s="898">
        <v>201400000000</v>
      </c>
      <c r="Z60" s="565">
        <v>238600000000</v>
      </c>
      <c r="AA60" s="866">
        <v>245700000000</v>
      </c>
    </row>
    <row r="61" spans="1:28">
      <c r="A61" s="566" t="s">
        <v>444</v>
      </c>
      <c r="B61" s="566" t="s">
        <v>444</v>
      </c>
      <c r="C61" s="380" t="s">
        <v>264</v>
      </c>
      <c r="D61" s="898">
        <v>82400000000</v>
      </c>
      <c r="E61" s="898">
        <v>78400000000</v>
      </c>
      <c r="F61" s="898">
        <v>102600000000</v>
      </c>
      <c r="G61" s="898">
        <v>112700000000</v>
      </c>
      <c r="H61" s="898">
        <v>82800000000</v>
      </c>
      <c r="I61" s="900">
        <v>119300000000</v>
      </c>
      <c r="J61" s="898">
        <v>140600000000</v>
      </c>
      <c r="K61" s="898">
        <v>118700000000</v>
      </c>
      <c r="L61" s="900">
        <v>99900000000</v>
      </c>
      <c r="M61" s="900">
        <v>200800000000</v>
      </c>
      <c r="N61" s="898">
        <v>152600000000</v>
      </c>
      <c r="O61" s="898">
        <v>165000000000</v>
      </c>
      <c r="P61" s="898">
        <v>22900000000</v>
      </c>
      <c r="Q61" s="898">
        <v>134699999999.99998</v>
      </c>
      <c r="R61" s="898">
        <v>119500000000</v>
      </c>
      <c r="S61" s="898">
        <v>225200000000</v>
      </c>
      <c r="T61" s="898">
        <v>149900000000</v>
      </c>
      <c r="U61" s="898">
        <v>223700000000</v>
      </c>
      <c r="V61" s="898">
        <v>206000000000</v>
      </c>
      <c r="W61" s="897">
        <v>216500000000</v>
      </c>
      <c r="X61" s="897">
        <v>265500000000</v>
      </c>
      <c r="Y61" s="897">
        <v>299500000000</v>
      </c>
      <c r="Z61" s="571">
        <v>341600000000</v>
      </c>
      <c r="AA61" s="866">
        <v>335700000000</v>
      </c>
    </row>
    <row r="62" spans="1:28">
      <c r="A62" s="1156" t="s">
        <v>1253</v>
      </c>
      <c r="B62" s="1156" t="s">
        <v>4290</v>
      </c>
      <c r="C62" s="865" t="s">
        <v>499</v>
      </c>
      <c r="D62" s="898">
        <v>75500000000</v>
      </c>
      <c r="E62" s="898">
        <v>60200000000</v>
      </c>
      <c r="F62" s="898">
        <v>71100000000</v>
      </c>
      <c r="G62" s="900"/>
      <c r="H62" s="900"/>
      <c r="I62" s="900"/>
      <c r="J62" s="898">
        <v>100500000000</v>
      </c>
      <c r="K62" s="898">
        <v>100700000000</v>
      </c>
      <c r="L62" s="900">
        <v>70800000000</v>
      </c>
      <c r="M62" s="900">
        <v>161100000000</v>
      </c>
      <c r="N62" s="898">
        <v>108800000000</v>
      </c>
      <c r="O62" s="898">
        <v>120000000000</v>
      </c>
      <c r="P62" s="898">
        <v>22900000000</v>
      </c>
      <c r="Q62" s="898">
        <v>95100000000</v>
      </c>
      <c r="R62" s="898">
        <v>103100000000</v>
      </c>
      <c r="S62" s="898">
        <v>160500000000</v>
      </c>
      <c r="T62" s="898">
        <v>149900000000</v>
      </c>
      <c r="U62" s="898">
        <v>188100000000</v>
      </c>
      <c r="V62" s="898">
        <v>169000000000</v>
      </c>
      <c r="W62" s="897">
        <v>177900000000</v>
      </c>
      <c r="X62" s="897">
        <v>224200000000</v>
      </c>
      <c r="Y62" s="897">
        <v>255400000000</v>
      </c>
      <c r="Z62" s="571">
        <v>294600000000</v>
      </c>
      <c r="AA62" s="866">
        <v>324100000000</v>
      </c>
    </row>
    <row r="63" spans="1:28">
      <c r="A63" s="1156" t="s">
        <v>4291</v>
      </c>
      <c r="B63" s="1156" t="s">
        <v>4291</v>
      </c>
      <c r="C63" s="865"/>
      <c r="D63" s="898"/>
      <c r="E63" s="898"/>
      <c r="F63" s="898"/>
      <c r="G63" s="900"/>
      <c r="H63" s="900"/>
      <c r="I63" s="900"/>
      <c r="J63" s="898"/>
      <c r="K63" s="898"/>
      <c r="L63" s="900"/>
      <c r="M63" s="900"/>
      <c r="N63" s="898"/>
      <c r="O63" s="898"/>
      <c r="P63" s="898"/>
      <c r="Q63" s="898">
        <v>0</v>
      </c>
      <c r="R63" s="898">
        <v>0</v>
      </c>
      <c r="S63" s="898">
        <v>0</v>
      </c>
      <c r="T63" s="898">
        <v>0</v>
      </c>
      <c r="U63" s="898">
        <v>0</v>
      </c>
      <c r="V63" s="898">
        <v>0</v>
      </c>
      <c r="W63" s="897">
        <v>0</v>
      </c>
      <c r="X63" s="897">
        <v>0</v>
      </c>
      <c r="Y63" s="897">
        <v>0</v>
      </c>
      <c r="Z63" s="571">
        <v>0</v>
      </c>
      <c r="AA63" s="866">
        <v>0</v>
      </c>
    </row>
    <row r="64" spans="1:28">
      <c r="A64" s="1156" t="s">
        <v>4292</v>
      </c>
      <c r="B64" s="1156" t="s">
        <v>4292</v>
      </c>
      <c r="C64" s="865"/>
      <c r="D64" s="898"/>
      <c r="E64" s="898"/>
      <c r="F64" s="898"/>
      <c r="G64" s="900"/>
      <c r="H64" s="900"/>
      <c r="I64" s="900"/>
      <c r="J64" s="898"/>
      <c r="K64" s="898"/>
      <c r="L64" s="900"/>
      <c r="M64" s="900"/>
      <c r="N64" s="898"/>
      <c r="O64" s="898"/>
      <c r="P64" s="898"/>
      <c r="Q64" s="898">
        <f>Q62-Q63</f>
        <v>95100000000</v>
      </c>
      <c r="R64" s="898">
        <f t="shared" ref="R64:Z64" si="11">R62-R63</f>
        <v>103100000000</v>
      </c>
      <c r="S64" s="898">
        <f t="shared" si="11"/>
        <v>160500000000</v>
      </c>
      <c r="T64" s="898">
        <f t="shared" si="11"/>
        <v>149900000000</v>
      </c>
      <c r="U64" s="898">
        <f t="shared" si="11"/>
        <v>188100000000</v>
      </c>
      <c r="V64" s="898">
        <f t="shared" si="11"/>
        <v>169000000000</v>
      </c>
      <c r="W64" s="898">
        <f t="shared" si="11"/>
        <v>177900000000</v>
      </c>
      <c r="X64" s="898">
        <f t="shared" si="11"/>
        <v>224200000000</v>
      </c>
      <c r="Y64" s="898">
        <f t="shared" si="11"/>
        <v>255400000000</v>
      </c>
      <c r="Z64" s="898">
        <f t="shared" si="11"/>
        <v>294600000000</v>
      </c>
      <c r="AA64" s="866"/>
    </row>
    <row r="65" spans="1:27">
      <c r="A65" s="1156" t="s">
        <v>4293</v>
      </c>
      <c r="B65" s="1156" t="s">
        <v>4294</v>
      </c>
      <c r="C65" s="865" t="s">
        <v>499</v>
      </c>
      <c r="D65" s="898">
        <v>6900000000</v>
      </c>
      <c r="E65" s="898">
        <v>18200000000</v>
      </c>
      <c r="F65" s="898">
        <v>31500000000</v>
      </c>
      <c r="G65" s="900"/>
      <c r="H65" s="898">
        <v>0</v>
      </c>
      <c r="I65" s="898">
        <v>119300000000</v>
      </c>
      <c r="J65" s="898">
        <v>40100000000</v>
      </c>
      <c r="K65" s="898">
        <v>18000000000</v>
      </c>
      <c r="L65" s="900">
        <v>29100000000</v>
      </c>
      <c r="M65" s="900">
        <v>39700000000</v>
      </c>
      <c r="N65" s="898">
        <v>43800000000</v>
      </c>
      <c r="O65" s="898">
        <v>45000000000</v>
      </c>
      <c r="P65" s="898">
        <v>0</v>
      </c>
      <c r="Q65" s="898">
        <v>39600000000</v>
      </c>
      <c r="R65" s="898">
        <v>16399999999.999998</v>
      </c>
      <c r="S65" s="898">
        <v>64700000000</v>
      </c>
      <c r="T65" s="898">
        <v>0</v>
      </c>
      <c r="U65" s="898">
        <v>35600000000</v>
      </c>
      <c r="V65" s="898">
        <v>37000000000</v>
      </c>
      <c r="W65" s="897">
        <v>38600000000</v>
      </c>
      <c r="X65" s="897">
        <v>41300000000</v>
      </c>
      <c r="Y65" s="897">
        <v>44000000000</v>
      </c>
      <c r="Z65" s="571">
        <v>46900000000</v>
      </c>
      <c r="AA65" s="866">
        <v>11600000000</v>
      </c>
    </row>
    <row r="66" spans="1:27">
      <c r="A66" s="1156" t="s">
        <v>1560</v>
      </c>
      <c r="B66" s="1156" t="s">
        <v>1560</v>
      </c>
      <c r="C66" s="865"/>
      <c r="D66" s="898"/>
      <c r="E66" s="898"/>
      <c r="F66" s="898"/>
      <c r="G66" s="900"/>
      <c r="H66" s="898"/>
      <c r="I66" s="898"/>
      <c r="J66" s="898"/>
      <c r="K66" s="898"/>
      <c r="L66" s="900"/>
      <c r="M66" s="900"/>
      <c r="N66" s="898"/>
      <c r="O66" s="898"/>
      <c r="P66" s="898"/>
      <c r="Q66" s="898">
        <v>0</v>
      </c>
      <c r="R66" s="906">
        <v>0</v>
      </c>
      <c r="S66" s="898">
        <v>0</v>
      </c>
      <c r="T66" s="898">
        <v>0</v>
      </c>
      <c r="U66" s="898">
        <v>0</v>
      </c>
      <c r="V66" s="898">
        <v>0</v>
      </c>
      <c r="W66" s="897">
        <v>0</v>
      </c>
      <c r="X66" s="897">
        <v>0</v>
      </c>
      <c r="Y66" s="897">
        <v>0</v>
      </c>
      <c r="Z66" s="571">
        <v>0</v>
      </c>
      <c r="AA66" s="866">
        <v>0</v>
      </c>
    </row>
    <row r="67" spans="1:27">
      <c r="A67" s="435" t="s">
        <v>258</v>
      </c>
      <c r="B67" s="566" t="s">
        <v>258</v>
      </c>
      <c r="C67" s="380" t="s">
        <v>264</v>
      </c>
      <c r="D67" s="898">
        <v>-75500000000</v>
      </c>
      <c r="E67" s="898">
        <v>-60200000000</v>
      </c>
      <c r="F67" s="898">
        <v>-41600000000</v>
      </c>
      <c r="G67" s="898">
        <v>-36800000000</v>
      </c>
      <c r="H67" s="898">
        <v>-37000000000</v>
      </c>
      <c r="I67" s="898">
        <v>-40500000000</v>
      </c>
      <c r="J67" s="898">
        <v>-1053300000000</v>
      </c>
      <c r="K67" s="898">
        <v>-31400000000</v>
      </c>
      <c r="L67" s="900">
        <v>-28300000000</v>
      </c>
      <c r="M67" s="900">
        <v>-33500000000</v>
      </c>
      <c r="N67" s="898">
        <v>-32400000000</v>
      </c>
      <c r="O67" s="898">
        <v>-46200000000</v>
      </c>
      <c r="P67" s="898">
        <v>-39500000000</v>
      </c>
      <c r="Q67" s="898">
        <v>-42900000000</v>
      </c>
      <c r="R67" s="898">
        <v>-52000000000</v>
      </c>
      <c r="S67" s="898">
        <v>-97500000000</v>
      </c>
      <c r="T67" s="898">
        <v>-58400000000</v>
      </c>
      <c r="U67" s="898">
        <v>-82500000000</v>
      </c>
      <c r="V67" s="898">
        <v>-91700000000</v>
      </c>
      <c r="W67" s="897">
        <v>-79700000000</v>
      </c>
      <c r="X67" s="897">
        <v>-93400000000</v>
      </c>
      <c r="Y67" s="897">
        <v>-98100000000</v>
      </c>
      <c r="Z67" s="571">
        <v>-102900000000</v>
      </c>
      <c r="AA67" s="866">
        <v>-90000000000</v>
      </c>
    </row>
    <row r="68" spans="1:27">
      <c r="A68" s="566" t="s">
        <v>1348</v>
      </c>
      <c r="B68" s="566" t="s">
        <v>4295</v>
      </c>
      <c r="C68" s="380" t="s">
        <v>264</v>
      </c>
      <c r="D68" s="898">
        <v>6900000000</v>
      </c>
      <c r="E68" s="898">
        <v>18200000000</v>
      </c>
      <c r="F68" s="898">
        <v>27500000000</v>
      </c>
      <c r="G68" s="898">
        <v>30100000000</v>
      </c>
      <c r="H68" s="898">
        <v>28700000000</v>
      </c>
      <c r="I68" s="900">
        <v>30000000000</v>
      </c>
      <c r="J68" s="898">
        <v>22200000000</v>
      </c>
      <c r="K68" s="898">
        <v>10700000000</v>
      </c>
      <c r="L68" s="900">
        <v>10900000000</v>
      </c>
      <c r="M68" s="900">
        <v>13000000000</v>
      </c>
      <c r="N68" s="898">
        <v>11000000000</v>
      </c>
      <c r="O68" s="898">
        <v>13600000000</v>
      </c>
      <c r="P68" s="898">
        <v>6600000000</v>
      </c>
      <c r="Q68" s="898">
        <v>25600000000</v>
      </c>
      <c r="R68" s="898">
        <v>14900000000</v>
      </c>
      <c r="S68" s="898">
        <v>17400000000</v>
      </c>
      <c r="T68" s="898">
        <v>17700000000</v>
      </c>
      <c r="U68" s="898">
        <v>17800000000</v>
      </c>
      <c r="V68" s="898">
        <v>19000000000</v>
      </c>
      <c r="W68" s="897">
        <v>17000000000</v>
      </c>
      <c r="X68" s="897">
        <v>0</v>
      </c>
      <c r="Y68" s="897">
        <v>0</v>
      </c>
      <c r="Z68" s="571">
        <v>0</v>
      </c>
      <c r="AA68" s="866">
        <v>0</v>
      </c>
    </row>
    <row r="69" spans="1:27">
      <c r="A69" s="435" t="s">
        <v>3066</v>
      </c>
      <c r="B69" s="566" t="s">
        <v>4296</v>
      </c>
      <c r="C69" s="380" t="s">
        <v>264</v>
      </c>
      <c r="D69" s="900"/>
      <c r="E69" s="900"/>
      <c r="F69" s="898"/>
      <c r="G69" s="900"/>
      <c r="H69" s="900"/>
      <c r="I69" s="900"/>
      <c r="J69" s="898"/>
      <c r="K69" s="900"/>
      <c r="L69" s="900"/>
      <c r="M69" s="900"/>
      <c r="N69" s="900"/>
      <c r="O69" s="898">
        <v>4500000000</v>
      </c>
      <c r="P69" s="898">
        <v>18500000000</v>
      </c>
      <c r="Q69" s="898">
        <v>-13500000000</v>
      </c>
      <c r="R69" s="898">
        <v>-11900000000</v>
      </c>
      <c r="S69" s="898">
        <v>0</v>
      </c>
      <c r="T69" s="898">
        <v>0</v>
      </c>
      <c r="U69" s="898">
        <v>0</v>
      </c>
      <c r="V69" s="898">
        <v>0</v>
      </c>
      <c r="W69" s="897">
        <v>0</v>
      </c>
      <c r="X69" s="897">
        <v>0</v>
      </c>
      <c r="Y69" s="897">
        <v>0</v>
      </c>
      <c r="Z69" s="571">
        <v>0</v>
      </c>
      <c r="AA69" s="866">
        <v>0</v>
      </c>
    </row>
    <row r="70" spans="1:27">
      <c r="A70" s="435" t="s">
        <v>3545</v>
      </c>
      <c r="B70" s="435" t="s">
        <v>3545</v>
      </c>
      <c r="C70" s="380" t="s">
        <v>264</v>
      </c>
      <c r="D70" s="900">
        <f>D60-D61-D67-D68-D69</f>
        <v>38000000000</v>
      </c>
      <c r="E70" s="900">
        <f>E60-E61-E67-E68-E69</f>
        <v>28600000000</v>
      </c>
      <c r="F70" s="898"/>
      <c r="G70" s="900"/>
      <c r="H70" s="900"/>
      <c r="I70" s="900"/>
      <c r="J70" s="898"/>
      <c r="K70" s="900"/>
      <c r="L70" s="900"/>
      <c r="M70" s="900"/>
      <c r="N70" s="900"/>
      <c r="O70" s="898"/>
      <c r="P70" s="898"/>
      <c r="Q70" s="898"/>
      <c r="R70" s="900"/>
      <c r="S70" s="898"/>
      <c r="T70" s="898"/>
      <c r="U70" s="898"/>
      <c r="V70" s="900"/>
      <c r="W70" s="897"/>
      <c r="X70" s="897"/>
      <c r="Y70" s="897"/>
      <c r="Z70" s="571"/>
      <c r="AA70" s="866"/>
    </row>
    <row r="71" spans="1:27">
      <c r="A71" s="534" t="s">
        <v>120</v>
      </c>
      <c r="B71" s="380" t="s">
        <v>4297</v>
      </c>
      <c r="C71" s="865" t="s">
        <v>119</v>
      </c>
      <c r="D71" s="898">
        <v>2200000000</v>
      </c>
      <c r="E71" s="898">
        <v>6100000000</v>
      </c>
      <c r="F71" s="898">
        <v>-3400000000</v>
      </c>
      <c r="G71" s="898">
        <v>-84400000000</v>
      </c>
      <c r="H71" s="898">
        <v>-14600000000</v>
      </c>
      <c r="I71" s="898">
        <v>-7400000000</v>
      </c>
      <c r="J71" s="898">
        <v>-110900000000</v>
      </c>
      <c r="K71" s="898">
        <v>5500000000</v>
      </c>
      <c r="L71" s="900">
        <v>-45000000000</v>
      </c>
      <c r="M71" s="900">
        <v>24500000000</v>
      </c>
      <c r="N71" s="898">
        <v>75500000000</v>
      </c>
      <c r="O71" s="898">
        <v>55900000000</v>
      </c>
      <c r="P71" s="898">
        <v>54000000000</v>
      </c>
      <c r="Q71" s="898">
        <v>53400000000</v>
      </c>
      <c r="R71" s="898">
        <v>105100000000</v>
      </c>
      <c r="S71" s="898">
        <v>103700000000</v>
      </c>
      <c r="T71" s="898">
        <v>217600000000</v>
      </c>
      <c r="U71" s="898">
        <v>205700000000</v>
      </c>
      <c r="V71" s="898">
        <v>203700000000</v>
      </c>
      <c r="W71" s="897">
        <v>108900000000</v>
      </c>
      <c r="X71" s="897">
        <v>104500000000</v>
      </c>
      <c r="Y71" s="897">
        <v>86100000000</v>
      </c>
      <c r="Z71" s="571">
        <v>78600000000</v>
      </c>
      <c r="AA71" s="866">
        <v>94200000000</v>
      </c>
    </row>
    <row r="72" spans="1:27">
      <c r="A72" s="534" t="s">
        <v>122</v>
      </c>
      <c r="B72" s="566" t="s">
        <v>4298</v>
      </c>
      <c r="C72" s="380" t="s">
        <v>124</v>
      </c>
      <c r="D72" s="898">
        <v>-17900000000</v>
      </c>
      <c r="E72" s="898">
        <v>17300000000</v>
      </c>
      <c r="F72" s="898">
        <v>-9900000000</v>
      </c>
      <c r="G72" s="898">
        <v>-49600000000</v>
      </c>
      <c r="H72" s="898">
        <v>14500000000</v>
      </c>
      <c r="I72" s="898">
        <v>33200000000.000004</v>
      </c>
      <c r="J72" s="898">
        <v>-99200000000</v>
      </c>
      <c r="K72" s="898">
        <v>11500000000</v>
      </c>
      <c r="L72" s="900">
        <v>-31700000000</v>
      </c>
      <c r="M72" s="900">
        <v>-142800000000</v>
      </c>
      <c r="N72" s="898">
        <v>96000000000</v>
      </c>
      <c r="O72" s="898">
        <v>71700000000</v>
      </c>
      <c r="P72" s="898">
        <v>74100000000</v>
      </c>
      <c r="Q72" s="898">
        <v>-23100000000</v>
      </c>
      <c r="R72" s="898">
        <v>61600000000</v>
      </c>
      <c r="S72" s="898">
        <v>58900000000</v>
      </c>
      <c r="T72" s="898">
        <v>165200000000</v>
      </c>
      <c r="U72" s="898">
        <v>194100000000</v>
      </c>
      <c r="V72" s="898">
        <v>374200000000</v>
      </c>
      <c r="W72" s="897">
        <v>98900000000</v>
      </c>
      <c r="X72" s="897">
        <v>104500000000</v>
      </c>
      <c r="Y72" s="897">
        <v>86100000000</v>
      </c>
      <c r="Z72" s="571">
        <v>78600000000</v>
      </c>
      <c r="AA72" s="866">
        <v>94200000000</v>
      </c>
    </row>
    <row r="73" spans="1:27">
      <c r="A73" s="1156" t="s">
        <v>76</v>
      </c>
      <c r="B73" s="1156" t="s">
        <v>4299</v>
      </c>
      <c r="C73" s="380"/>
      <c r="D73" s="900"/>
      <c r="E73" s="900"/>
      <c r="F73" s="898"/>
      <c r="G73" s="898">
        <v>-48600000000</v>
      </c>
      <c r="H73" s="898">
        <v>15200000000</v>
      </c>
      <c r="I73" s="900"/>
      <c r="J73" s="898">
        <v>-98800000000</v>
      </c>
      <c r="K73" s="898">
        <v>11500000000</v>
      </c>
      <c r="L73" s="900"/>
      <c r="M73" s="900"/>
      <c r="N73" s="900"/>
      <c r="O73" s="900"/>
      <c r="P73" s="900"/>
      <c r="Q73" s="900"/>
      <c r="R73" s="900"/>
      <c r="S73" s="900"/>
      <c r="T73" s="900"/>
      <c r="U73" s="900"/>
      <c r="V73" s="900"/>
      <c r="W73" s="897"/>
      <c r="X73" s="897"/>
      <c r="Y73" s="897"/>
      <c r="Z73" s="571"/>
      <c r="AA73" s="866"/>
    </row>
    <row r="74" spans="1:27">
      <c r="A74" s="1156" t="s">
        <v>76</v>
      </c>
      <c r="B74" s="1156" t="s">
        <v>4300</v>
      </c>
      <c r="C74" s="380"/>
      <c r="D74" s="898"/>
      <c r="E74" s="898"/>
      <c r="F74" s="898"/>
      <c r="G74" s="900"/>
      <c r="H74" s="898">
        <v>-16700000000</v>
      </c>
      <c r="I74" s="898"/>
      <c r="J74" s="898"/>
      <c r="K74" s="898"/>
      <c r="L74" s="898"/>
      <c r="M74" s="898"/>
      <c r="N74" s="898"/>
      <c r="O74" s="898"/>
      <c r="P74" s="898"/>
      <c r="Q74" s="898"/>
      <c r="R74" s="898"/>
      <c r="S74" s="898"/>
      <c r="T74" s="898"/>
      <c r="U74" s="898"/>
      <c r="V74" s="900"/>
      <c r="W74" s="897"/>
      <c r="X74" s="897"/>
      <c r="Y74" s="897"/>
      <c r="Z74" s="571"/>
      <c r="AA74" s="866"/>
    </row>
    <row r="75" spans="1:27">
      <c r="A75" s="1156" t="s">
        <v>76</v>
      </c>
      <c r="B75" s="1156" t="s">
        <v>4301</v>
      </c>
      <c r="C75" s="380"/>
      <c r="D75" s="898"/>
      <c r="E75" s="898"/>
      <c r="F75" s="898"/>
      <c r="G75" s="900"/>
      <c r="H75" s="898">
        <v>1100000000</v>
      </c>
      <c r="I75" s="898"/>
      <c r="J75" s="898"/>
      <c r="K75" s="898"/>
      <c r="L75" s="898"/>
      <c r="M75" s="898"/>
      <c r="N75" s="898"/>
      <c r="O75" s="898"/>
      <c r="P75" s="898"/>
      <c r="Q75" s="898"/>
      <c r="R75" s="898"/>
      <c r="S75" s="898"/>
      <c r="T75" s="898"/>
      <c r="U75" s="898"/>
      <c r="V75" s="900"/>
      <c r="W75" s="897"/>
      <c r="X75" s="897"/>
      <c r="Y75" s="897"/>
      <c r="Z75" s="571"/>
      <c r="AA75" s="866"/>
    </row>
    <row r="76" spans="1:27">
      <c r="A76" s="1156" t="s">
        <v>76</v>
      </c>
      <c r="B76" s="1156" t="s">
        <v>4302</v>
      </c>
      <c r="C76" s="380"/>
      <c r="D76" s="898">
        <v>-3300000000</v>
      </c>
      <c r="E76" s="898">
        <v>4099999999.9999995</v>
      </c>
      <c r="F76" s="898">
        <v>-10000000000</v>
      </c>
      <c r="G76" s="900">
        <v>-5700000000</v>
      </c>
      <c r="H76" s="900"/>
      <c r="I76" s="900"/>
      <c r="J76" s="898">
        <v>-60600000000</v>
      </c>
      <c r="K76" s="898">
        <v>1900000000</v>
      </c>
      <c r="L76" s="900"/>
      <c r="M76" s="900"/>
      <c r="N76" s="900"/>
      <c r="O76" s="900"/>
      <c r="P76" s="900"/>
      <c r="Q76" s="900"/>
      <c r="R76" s="900"/>
      <c r="S76" s="900"/>
      <c r="T76" s="900"/>
      <c r="U76" s="900"/>
      <c r="V76" s="900"/>
      <c r="W76" s="897"/>
      <c r="X76" s="897"/>
      <c r="Y76" s="897"/>
      <c r="Z76" s="571"/>
      <c r="AA76" s="866"/>
    </row>
    <row r="77" spans="1:27">
      <c r="A77" s="1156" t="s">
        <v>76</v>
      </c>
      <c r="B77" s="1156" t="s">
        <v>1891</v>
      </c>
      <c r="C77" s="380"/>
      <c r="D77" s="900"/>
      <c r="E77" s="900"/>
      <c r="F77" s="898"/>
      <c r="G77" s="900"/>
      <c r="H77" s="900"/>
      <c r="I77" s="900"/>
      <c r="J77" s="900"/>
      <c r="K77" s="898">
        <v>-1100000000</v>
      </c>
      <c r="L77" s="900"/>
      <c r="M77" s="900"/>
      <c r="N77" s="898"/>
      <c r="O77" s="898">
        <v>62900000000</v>
      </c>
      <c r="P77" s="898">
        <v>83300000000</v>
      </c>
      <c r="Q77" s="898">
        <v>-75500000000</v>
      </c>
      <c r="R77" s="898">
        <v>-65800000000</v>
      </c>
      <c r="S77" s="898">
        <v>23000000000</v>
      </c>
      <c r="T77" s="898">
        <v>77400000000</v>
      </c>
      <c r="U77" s="898">
        <v>-34100000000</v>
      </c>
      <c r="V77" s="898">
        <v>66300000000</v>
      </c>
      <c r="W77" s="2341">
        <v>-10600000000</v>
      </c>
      <c r="X77" s="897">
        <v>-11600000000</v>
      </c>
      <c r="Y77" s="897">
        <v>-11700000000</v>
      </c>
      <c r="Z77" s="571">
        <v>-16500000000</v>
      </c>
      <c r="AA77" s="866">
        <v>-8400000000</v>
      </c>
    </row>
    <row r="78" spans="1:27">
      <c r="A78" s="1156" t="s">
        <v>76</v>
      </c>
      <c r="B78" s="1156" t="s">
        <v>50</v>
      </c>
      <c r="C78" s="380"/>
      <c r="D78" s="900">
        <v>-14600000000</v>
      </c>
      <c r="E78" s="900">
        <v>13200000000</v>
      </c>
      <c r="F78" s="900">
        <v>100000000</v>
      </c>
      <c r="G78" s="900">
        <v>4700000000</v>
      </c>
      <c r="H78" s="900">
        <v>14900000000</v>
      </c>
      <c r="I78" s="900"/>
      <c r="J78" s="898">
        <v>-36600000000</v>
      </c>
      <c r="K78" s="898">
        <v>10600000000</v>
      </c>
      <c r="L78" s="900"/>
      <c r="M78" s="900"/>
      <c r="N78" s="900"/>
      <c r="O78" s="900">
        <v>0</v>
      </c>
      <c r="P78" s="900">
        <v>-150000000000</v>
      </c>
      <c r="Q78" s="900"/>
      <c r="R78" s="900"/>
      <c r="S78" s="900"/>
      <c r="T78" s="900"/>
      <c r="U78" s="900"/>
      <c r="V78" s="900"/>
      <c r="W78" s="897"/>
      <c r="X78" s="897"/>
      <c r="Y78" s="897"/>
      <c r="Z78" s="571"/>
      <c r="AA78" s="866"/>
    </row>
    <row r="79" spans="1:27">
      <c r="A79" s="1156" t="s">
        <v>76</v>
      </c>
      <c r="B79" s="1156" t="s">
        <v>4303</v>
      </c>
      <c r="C79" s="380"/>
      <c r="D79" s="900"/>
      <c r="E79" s="898"/>
      <c r="F79" s="898"/>
      <c r="G79" s="900"/>
      <c r="H79" s="900"/>
      <c r="I79" s="900"/>
      <c r="J79" s="898">
        <v>-400000000</v>
      </c>
      <c r="K79" s="898">
        <v>0</v>
      </c>
      <c r="L79" s="900"/>
      <c r="M79" s="900"/>
      <c r="N79" s="900"/>
      <c r="O79" s="900"/>
      <c r="P79" s="900"/>
      <c r="Q79" s="900"/>
      <c r="R79" s="900"/>
      <c r="S79" s="900"/>
      <c r="T79" s="900"/>
      <c r="U79" s="900"/>
      <c r="V79" s="900"/>
      <c r="W79" s="897"/>
      <c r="X79" s="897"/>
      <c r="Y79" s="897"/>
      <c r="Z79" s="571"/>
      <c r="AA79" s="866"/>
    </row>
    <row r="80" spans="1:27">
      <c r="A80" s="1156" t="s">
        <v>76</v>
      </c>
      <c r="B80" s="1156" t="s">
        <v>1895</v>
      </c>
      <c r="C80" s="380"/>
      <c r="D80" s="900"/>
      <c r="E80" s="900"/>
      <c r="F80" s="898"/>
      <c r="G80" s="900"/>
      <c r="H80" s="900"/>
      <c r="I80" s="900"/>
      <c r="J80" s="900"/>
      <c r="K80" s="900"/>
      <c r="L80" s="900"/>
      <c r="M80" s="900"/>
      <c r="N80" s="898"/>
      <c r="O80" s="898">
        <v>3300000000</v>
      </c>
      <c r="P80" s="898">
        <v>65800000000</v>
      </c>
      <c r="Q80" s="898">
        <v>29400000000</v>
      </c>
      <c r="R80" s="898">
        <v>80300000000</v>
      </c>
      <c r="S80" s="898">
        <v>7900000000</v>
      </c>
      <c r="T80" s="898">
        <v>105300000000</v>
      </c>
      <c r="U80" s="898">
        <v>228200000000</v>
      </c>
      <c r="V80" s="898">
        <v>308000000000</v>
      </c>
      <c r="W80" s="897">
        <v>99400000000</v>
      </c>
      <c r="X80" s="897">
        <v>116000000000</v>
      </c>
      <c r="Y80" s="897">
        <v>97800000000</v>
      </c>
      <c r="Z80" s="571">
        <v>95100000000</v>
      </c>
      <c r="AA80" s="866">
        <v>102500000000</v>
      </c>
    </row>
    <row r="81" spans="1:27">
      <c r="A81" s="1156" t="s">
        <v>76</v>
      </c>
      <c r="B81" s="1156" t="s">
        <v>4304</v>
      </c>
      <c r="C81" s="380"/>
      <c r="D81" s="900"/>
      <c r="E81" s="900"/>
      <c r="F81" s="898"/>
      <c r="G81" s="900"/>
      <c r="H81" s="900"/>
      <c r="I81" s="900"/>
      <c r="J81" s="900"/>
      <c r="K81" s="900"/>
      <c r="L81" s="900"/>
      <c r="M81" s="900"/>
      <c r="N81" s="900"/>
      <c r="O81" s="898">
        <v>5500000000</v>
      </c>
      <c r="P81" s="898">
        <v>75000000000</v>
      </c>
      <c r="Q81" s="898">
        <v>-23000000000</v>
      </c>
      <c r="R81" s="898">
        <v>47100000000</v>
      </c>
      <c r="S81" s="898">
        <v>-28000000000</v>
      </c>
      <c r="T81" s="898">
        <v>17500000000</v>
      </c>
      <c r="U81" s="898">
        <v>0</v>
      </c>
      <c r="V81" s="898">
        <v>0</v>
      </c>
      <c r="W81" s="897">
        <v>0</v>
      </c>
      <c r="X81" s="897">
        <v>0</v>
      </c>
      <c r="Y81" s="897">
        <v>0</v>
      </c>
      <c r="Z81" s="571">
        <v>0</v>
      </c>
      <c r="AA81" s="866">
        <v>0</v>
      </c>
    </row>
    <row r="82" spans="1:27">
      <c r="A82" s="435" t="s">
        <v>858</v>
      </c>
      <c r="B82" s="566" t="s">
        <v>4305</v>
      </c>
      <c r="C82" s="380" t="s">
        <v>124</v>
      </c>
      <c r="D82" s="898">
        <v>20300000000</v>
      </c>
      <c r="E82" s="898">
        <v>0</v>
      </c>
      <c r="F82" s="898">
        <v>29400000000</v>
      </c>
      <c r="G82" s="900">
        <v>1000000000</v>
      </c>
      <c r="H82" s="898">
        <v>1200000000</v>
      </c>
      <c r="I82" s="898">
        <v>9700000000</v>
      </c>
      <c r="J82" s="898">
        <v>900000000</v>
      </c>
      <c r="K82" s="898">
        <v>700000000</v>
      </c>
      <c r="L82" s="900">
        <v>39100000000</v>
      </c>
      <c r="M82" s="900">
        <v>180400000000</v>
      </c>
      <c r="N82" s="898">
        <v>200000000</v>
      </c>
      <c r="O82" s="898">
        <v>0</v>
      </c>
      <c r="P82" s="898">
        <v>0</v>
      </c>
      <c r="Q82" s="898">
        <v>55100000000</v>
      </c>
      <c r="R82" s="898">
        <v>0</v>
      </c>
      <c r="S82" s="898">
        <v>-11400000000</v>
      </c>
      <c r="T82" s="898">
        <v>-17500000000</v>
      </c>
      <c r="U82" s="898">
        <v>-10000000000</v>
      </c>
      <c r="V82" s="898">
        <v>-15000000000</v>
      </c>
      <c r="W82" s="897">
        <v>0</v>
      </c>
      <c r="X82" s="897">
        <v>0</v>
      </c>
      <c r="Y82" s="897">
        <v>0</v>
      </c>
      <c r="Z82" s="571">
        <v>0</v>
      </c>
      <c r="AA82" s="866">
        <v>0</v>
      </c>
    </row>
    <row r="83" spans="1:27">
      <c r="A83" s="534" t="s">
        <v>428</v>
      </c>
      <c r="B83" s="566" t="s">
        <v>4307</v>
      </c>
      <c r="C83" s="380" t="s">
        <v>124</v>
      </c>
      <c r="D83" s="898">
        <v>-200000000</v>
      </c>
      <c r="E83" s="898">
        <v>-11200000000</v>
      </c>
      <c r="F83" s="898">
        <v>-22900000000</v>
      </c>
      <c r="G83" s="900">
        <v>-35800000000</v>
      </c>
      <c r="H83" s="898">
        <v>-30200000000</v>
      </c>
      <c r="I83" s="898">
        <v>-50300000000</v>
      </c>
      <c r="J83" s="898">
        <v>-12600000000</v>
      </c>
      <c r="K83" s="898">
        <v>-6700000000</v>
      </c>
      <c r="L83" s="900">
        <v>-52400000000</v>
      </c>
      <c r="M83" s="900">
        <v>-13100000000</v>
      </c>
      <c r="N83" s="898">
        <v>-20800000000</v>
      </c>
      <c r="O83" s="898">
        <v>-15800000000</v>
      </c>
      <c r="P83" s="898">
        <v>-20100000000</v>
      </c>
      <c r="Q83" s="898">
        <v>21400000000</v>
      </c>
      <c r="R83" s="898">
        <v>43500000000</v>
      </c>
      <c r="S83" s="898">
        <v>56200000000</v>
      </c>
      <c r="T83" s="898">
        <v>69900000000</v>
      </c>
      <c r="U83" s="898">
        <v>21600000000</v>
      </c>
      <c r="V83" s="898">
        <v>-155500000000</v>
      </c>
      <c r="W83" s="897">
        <v>10000000000</v>
      </c>
      <c r="X83" s="897">
        <v>0</v>
      </c>
      <c r="Y83" s="897">
        <v>0</v>
      </c>
      <c r="Z83" s="571">
        <v>0</v>
      </c>
      <c r="AA83" s="866">
        <v>0</v>
      </c>
    </row>
    <row r="84" spans="1:27">
      <c r="B84" s="380" t="s">
        <v>4308</v>
      </c>
      <c r="C84" s="380"/>
      <c r="D84" s="898">
        <v>0</v>
      </c>
      <c r="E84" s="898">
        <v>0</v>
      </c>
      <c r="F84" s="898">
        <v>0</v>
      </c>
      <c r="G84" s="900">
        <v>0</v>
      </c>
      <c r="H84" s="900">
        <v>0</v>
      </c>
      <c r="I84" s="900">
        <v>0</v>
      </c>
      <c r="J84" s="898">
        <v>0</v>
      </c>
      <c r="K84" s="898">
        <v>0</v>
      </c>
      <c r="L84" s="900">
        <v>0</v>
      </c>
      <c r="M84" s="900">
        <v>0</v>
      </c>
      <c r="N84" s="898">
        <v>0</v>
      </c>
      <c r="O84" s="898">
        <v>0</v>
      </c>
      <c r="P84" s="898">
        <v>0</v>
      </c>
      <c r="Q84" s="898">
        <v>0</v>
      </c>
      <c r="R84" s="898">
        <v>-5500000000</v>
      </c>
      <c r="S84" s="898">
        <v>-600000000</v>
      </c>
      <c r="T84" s="898">
        <v>-700000000</v>
      </c>
      <c r="U84" s="898">
        <v>0</v>
      </c>
      <c r="V84" s="898">
        <v>0</v>
      </c>
      <c r="W84" s="897">
        <v>40000000000</v>
      </c>
      <c r="X84" s="897">
        <v>42500000000</v>
      </c>
      <c r="Y84" s="897">
        <v>35000000000</v>
      </c>
      <c r="Z84" s="571">
        <v>35000000000</v>
      </c>
      <c r="AA84" s="866">
        <v>35000000000</v>
      </c>
    </row>
    <row r="85" spans="1:27">
      <c r="B85" s="380" t="s">
        <v>4309</v>
      </c>
      <c r="C85" s="380"/>
      <c r="D85" s="896"/>
      <c r="E85" s="896"/>
      <c r="F85" s="896"/>
      <c r="G85" s="897"/>
      <c r="H85" s="897"/>
      <c r="I85" s="897"/>
      <c r="J85" s="897"/>
      <c r="K85" s="897"/>
      <c r="L85" s="897"/>
      <c r="M85" s="897"/>
      <c r="N85" s="897"/>
      <c r="O85" s="897"/>
      <c r="P85" s="897"/>
      <c r="Q85" s="897">
        <v>0</v>
      </c>
      <c r="R85" s="897">
        <v>0</v>
      </c>
      <c r="S85" s="897">
        <v>0</v>
      </c>
      <c r="T85" s="897">
        <v>0</v>
      </c>
      <c r="U85" s="897">
        <v>0</v>
      </c>
      <c r="V85" s="897">
        <v>0</v>
      </c>
      <c r="W85" s="897">
        <v>0</v>
      </c>
      <c r="X85" s="897">
        <v>0</v>
      </c>
      <c r="Y85" s="897">
        <v>0</v>
      </c>
      <c r="Z85" s="571">
        <v>0</v>
      </c>
      <c r="AA85" s="866">
        <v>0</v>
      </c>
    </row>
    <row r="86" spans="1:27">
      <c r="B86" s="380" t="s">
        <v>4310</v>
      </c>
      <c r="C86" s="380"/>
      <c r="D86" s="896"/>
      <c r="E86" s="896"/>
      <c r="F86" s="896"/>
      <c r="G86" s="897"/>
      <c r="H86" s="897"/>
      <c r="I86" s="897"/>
      <c r="J86" s="897"/>
      <c r="K86" s="897"/>
      <c r="L86" s="897"/>
      <c r="M86" s="897"/>
      <c r="N86" s="897"/>
      <c r="O86" s="897"/>
      <c r="P86" s="897"/>
      <c r="Q86" s="896">
        <v>143600000000</v>
      </c>
      <c r="R86" s="896">
        <v>115400000000</v>
      </c>
      <c r="S86" s="896">
        <v>101500000000</v>
      </c>
      <c r="T86" s="896">
        <v>128800000000.00002</v>
      </c>
      <c r="U86" s="896">
        <v>0</v>
      </c>
      <c r="V86" s="896">
        <v>150800000000</v>
      </c>
      <c r="W86" s="896">
        <v>156600000000</v>
      </c>
      <c r="X86" s="896">
        <v>161000000000</v>
      </c>
      <c r="Y86" s="896">
        <v>169600000000</v>
      </c>
      <c r="Z86" s="571">
        <v>189000000000</v>
      </c>
      <c r="AA86" s="866">
        <v>209000000000</v>
      </c>
    </row>
    <row r="87" spans="1:27">
      <c r="B87" s="380" t="s">
        <v>4311</v>
      </c>
      <c r="C87" s="380"/>
      <c r="D87" s="896"/>
      <c r="E87" s="896"/>
      <c r="F87" s="896"/>
      <c r="G87" s="897"/>
      <c r="H87" s="897"/>
      <c r="I87" s="897"/>
      <c r="J87" s="897"/>
      <c r="K87" s="897"/>
      <c r="L87" s="897"/>
      <c r="M87" s="897"/>
      <c r="N87" s="897"/>
      <c r="O87" s="897"/>
      <c r="P87" s="897"/>
      <c r="Q87" s="896">
        <v>320700000000</v>
      </c>
      <c r="R87" s="896">
        <v>277000000000</v>
      </c>
      <c r="S87" s="896">
        <v>432900000000</v>
      </c>
      <c r="T87" s="896">
        <v>282400000000</v>
      </c>
      <c r="U87" s="896">
        <v>400900000000</v>
      </c>
      <c r="V87" s="896">
        <v>320600000000</v>
      </c>
      <c r="W87" s="896">
        <v>380000000000</v>
      </c>
      <c r="X87" s="896">
        <v>447400000000</v>
      </c>
      <c r="Y87" s="896">
        <v>505700000000</v>
      </c>
      <c r="Z87" s="571">
        <v>562000000000</v>
      </c>
      <c r="AA87" s="866">
        <v>573500000000</v>
      </c>
    </row>
    <row r="88" spans="1:27">
      <c r="B88" s="380"/>
      <c r="C88" s="380"/>
      <c r="D88" s="896"/>
      <c r="E88" s="896"/>
      <c r="F88" s="896"/>
      <c r="G88" s="897"/>
      <c r="H88" s="897"/>
      <c r="I88" s="897"/>
      <c r="J88" s="897"/>
      <c r="K88" s="897"/>
      <c r="L88" s="897"/>
      <c r="M88" s="897"/>
      <c r="N88" s="897"/>
      <c r="O88" s="897"/>
      <c r="P88" s="897"/>
      <c r="Q88" s="896">
        <v>6544000000000</v>
      </c>
      <c r="R88" s="896">
        <v>7114000000000</v>
      </c>
      <c r="S88" s="897">
        <v>7748000000000</v>
      </c>
      <c r="T88" s="897">
        <v>8322000000000</v>
      </c>
      <c r="U88" s="897">
        <v>8870000000000</v>
      </c>
      <c r="V88" s="897">
        <v>9474000000000</v>
      </c>
      <c r="W88" s="897">
        <v>10057000000000</v>
      </c>
      <c r="X88" s="897">
        <v>10719000000000</v>
      </c>
      <c r="Y88" s="897">
        <v>11448000000000</v>
      </c>
      <c r="Z88" s="571">
        <v>12230000000000</v>
      </c>
      <c r="AA88" s="866">
        <v>13082000000000</v>
      </c>
    </row>
    <row r="89" spans="1:27">
      <c r="B89" s="380"/>
      <c r="C89" s="380"/>
      <c r="D89" s="898" t="s">
        <v>139</v>
      </c>
      <c r="E89" s="898" t="s">
        <v>139</v>
      </c>
      <c r="F89" s="898" t="s">
        <v>139</v>
      </c>
      <c r="G89" s="900" t="s">
        <v>138</v>
      </c>
      <c r="H89" s="900" t="s">
        <v>139</v>
      </c>
      <c r="I89" s="900" t="s">
        <v>138</v>
      </c>
      <c r="J89" s="900" t="s">
        <v>138</v>
      </c>
      <c r="K89" s="900" t="s">
        <v>138</v>
      </c>
      <c r="L89" s="900" t="s">
        <v>139</v>
      </c>
      <c r="M89" s="900" t="s">
        <v>139</v>
      </c>
      <c r="N89" s="900" t="s">
        <v>139</v>
      </c>
      <c r="O89" s="900" t="s">
        <v>139</v>
      </c>
      <c r="P89" s="900" t="s">
        <v>139</v>
      </c>
      <c r="Q89" s="900" t="s">
        <v>139</v>
      </c>
      <c r="R89" s="900" t="s">
        <v>139</v>
      </c>
      <c r="S89" s="900" t="s">
        <v>139</v>
      </c>
      <c r="T89" s="900" t="s">
        <v>139</v>
      </c>
      <c r="U89" s="900" t="s">
        <v>139</v>
      </c>
      <c r="V89" s="900" t="s">
        <v>139</v>
      </c>
      <c r="W89" s="900" t="s">
        <v>139</v>
      </c>
      <c r="X89" s="900" t="s">
        <v>139</v>
      </c>
      <c r="Y89" s="900" t="s">
        <v>139</v>
      </c>
      <c r="Z89" s="900" t="s">
        <v>139</v>
      </c>
      <c r="AA89" s="900" t="s">
        <v>139</v>
      </c>
    </row>
    <row r="90" spans="1:27">
      <c r="B90" s="380"/>
      <c r="C90" s="380"/>
      <c r="D90" s="896"/>
      <c r="E90" s="896"/>
      <c r="F90" s="896"/>
      <c r="G90" s="897"/>
      <c r="H90" s="897"/>
      <c r="I90" s="897"/>
      <c r="J90" s="897"/>
      <c r="K90" s="897"/>
      <c r="L90" s="897"/>
      <c r="M90" s="897"/>
      <c r="N90" s="897"/>
      <c r="O90" s="897"/>
      <c r="P90" s="897"/>
      <c r="Q90" s="897"/>
      <c r="R90" s="897"/>
      <c r="S90" s="897"/>
      <c r="T90" s="897"/>
      <c r="U90" s="897"/>
      <c r="V90" s="897"/>
      <c r="W90" s="897"/>
      <c r="X90" s="897"/>
      <c r="Y90" s="897"/>
    </row>
    <row r="91" spans="1:27">
      <c r="B91" s="380"/>
      <c r="C91" s="380"/>
      <c r="D91" s="896"/>
      <c r="E91" s="896"/>
      <c r="F91" s="896"/>
      <c r="G91" s="896"/>
      <c r="H91" s="896"/>
      <c r="I91" s="896"/>
      <c r="J91" s="896"/>
      <c r="K91" s="896"/>
      <c r="L91" s="896"/>
      <c r="M91" s="896"/>
      <c r="N91" s="896"/>
      <c r="O91" s="896"/>
      <c r="P91" s="896"/>
      <c r="Q91" s="896"/>
      <c r="R91" s="896"/>
      <c r="S91" s="896"/>
      <c r="T91" s="896"/>
      <c r="U91" s="896"/>
      <c r="V91" s="897"/>
      <c r="W91" s="897"/>
      <c r="X91" s="897"/>
      <c r="Y91" s="897"/>
    </row>
    <row r="92" spans="1:27">
      <c r="B92" s="380" t="s">
        <v>1700</v>
      </c>
      <c r="C92" s="380"/>
      <c r="D92" s="896">
        <f t="shared" ref="D92:V92" si="12">D6-D7-D26</f>
        <v>0</v>
      </c>
      <c r="E92" s="896">
        <f t="shared" si="12"/>
        <v>100000000</v>
      </c>
      <c r="F92" s="896">
        <f t="shared" si="12"/>
        <v>0</v>
      </c>
      <c r="G92" s="896">
        <f t="shared" si="12"/>
        <v>-100000000</v>
      </c>
      <c r="H92" s="896">
        <f t="shared" si="12"/>
        <v>0</v>
      </c>
      <c r="I92" s="896">
        <f t="shared" si="12"/>
        <v>0</v>
      </c>
      <c r="J92" s="896">
        <f t="shared" si="12"/>
        <v>0</v>
      </c>
      <c r="K92" s="896">
        <f t="shared" si="12"/>
        <v>0</v>
      </c>
      <c r="L92" s="896">
        <f t="shared" si="12"/>
        <v>0</v>
      </c>
      <c r="M92" s="896">
        <f t="shared" si="12"/>
        <v>0</v>
      </c>
      <c r="N92" s="896">
        <f t="shared" si="12"/>
        <v>0</v>
      </c>
      <c r="O92" s="896">
        <f t="shared" si="12"/>
        <v>0</v>
      </c>
      <c r="P92" s="896">
        <f t="shared" si="12"/>
        <v>0</v>
      </c>
      <c r="Q92" s="896">
        <f t="shared" si="12"/>
        <v>0</v>
      </c>
      <c r="R92" s="896">
        <f t="shared" si="12"/>
        <v>0</v>
      </c>
      <c r="S92" s="896">
        <f t="shared" si="12"/>
        <v>0</v>
      </c>
      <c r="T92" s="896">
        <f t="shared" si="12"/>
        <v>0</v>
      </c>
      <c r="U92" s="896">
        <f t="shared" si="12"/>
        <v>0</v>
      </c>
      <c r="V92" s="896">
        <f t="shared" si="12"/>
        <v>0</v>
      </c>
      <c r="W92" s="2341">
        <f>W6-W7-W26</f>
        <v>0</v>
      </c>
      <c r="X92" s="2341">
        <f>X6-X7-X26</f>
        <v>0</v>
      </c>
      <c r="Y92" s="2341">
        <f>Y6-Y7-Y26</f>
        <v>0</v>
      </c>
      <c r="Z92" s="2341">
        <f t="shared" ref="Z92:AA92" si="13">Z6-Z7-Z26</f>
        <v>0</v>
      </c>
      <c r="AA92" s="898">
        <f t="shared" si="13"/>
        <v>0</v>
      </c>
    </row>
    <row r="93" spans="1:27">
      <c r="B93" s="380" t="s">
        <v>141</v>
      </c>
      <c r="C93" s="380"/>
      <c r="D93" s="896">
        <f t="shared" ref="D93:U93" si="14">D7-D9-D22-D25</f>
        <v>0</v>
      </c>
      <c r="E93" s="896">
        <f t="shared" si="14"/>
        <v>0</v>
      </c>
      <c r="F93" s="896">
        <f t="shared" si="14"/>
        <v>0</v>
      </c>
      <c r="G93" s="896">
        <f t="shared" si="14"/>
        <v>0</v>
      </c>
      <c r="H93" s="896">
        <f t="shared" si="14"/>
        <v>100000000</v>
      </c>
      <c r="I93" s="896">
        <f t="shared" si="14"/>
        <v>0</v>
      </c>
      <c r="J93" s="896">
        <f t="shared" si="14"/>
        <v>0</v>
      </c>
      <c r="K93" s="896">
        <f t="shared" si="14"/>
        <v>0</v>
      </c>
      <c r="L93" s="896">
        <f t="shared" si="14"/>
        <v>0</v>
      </c>
      <c r="M93" s="896">
        <f t="shared" si="14"/>
        <v>0</v>
      </c>
      <c r="N93" s="896">
        <f t="shared" si="14"/>
        <v>0</v>
      </c>
      <c r="O93" s="896">
        <f t="shared" si="14"/>
        <v>0</v>
      </c>
      <c r="P93" s="896">
        <f t="shared" si="14"/>
        <v>-100000000</v>
      </c>
      <c r="Q93" s="896">
        <f t="shared" si="14"/>
        <v>0</v>
      </c>
      <c r="R93" s="896">
        <f t="shared" si="14"/>
        <v>0</v>
      </c>
      <c r="S93" s="896">
        <f t="shared" si="14"/>
        <v>0</v>
      </c>
      <c r="T93" s="896">
        <f t="shared" si="14"/>
        <v>0</v>
      </c>
      <c r="U93" s="896">
        <f t="shared" si="14"/>
        <v>0</v>
      </c>
      <c r="V93" s="896">
        <f>V7-V9-V22-V25</f>
        <v>0</v>
      </c>
      <c r="W93" s="2341">
        <f>W7-W9-W22-W25</f>
        <v>0</v>
      </c>
      <c r="X93" s="2341">
        <f>X7-X9-X22-X25</f>
        <v>0</v>
      </c>
      <c r="Y93" s="2341">
        <f>Y7-Y9-Y22-Y25</f>
        <v>0</v>
      </c>
      <c r="Z93" s="2341">
        <f t="shared" ref="Z93:AA93" si="15">Z7-Z9-Z22-Z25</f>
        <v>0</v>
      </c>
      <c r="AA93" s="898">
        <f t="shared" si="15"/>
        <v>0</v>
      </c>
    </row>
    <row r="94" spans="1:27">
      <c r="B94" s="380" t="s">
        <v>142</v>
      </c>
      <c r="C94" s="380"/>
      <c r="D94" s="896">
        <f t="shared" ref="D94:U94" si="16">D9-D10-D13</f>
        <v>0</v>
      </c>
      <c r="E94" s="896">
        <f t="shared" si="16"/>
        <v>0</v>
      </c>
      <c r="F94" s="896">
        <f t="shared" si="16"/>
        <v>0</v>
      </c>
      <c r="G94" s="2342">
        <f t="shared" si="16"/>
        <v>349200000000</v>
      </c>
      <c r="H94" s="2342">
        <f t="shared" si="16"/>
        <v>393300000000</v>
      </c>
      <c r="I94" s="2342">
        <f t="shared" si="16"/>
        <v>446200000000</v>
      </c>
      <c r="J94" s="896">
        <f t="shared" si="16"/>
        <v>0</v>
      </c>
      <c r="K94" s="896">
        <f t="shared" si="16"/>
        <v>0</v>
      </c>
      <c r="L94" s="896">
        <f t="shared" si="16"/>
        <v>0</v>
      </c>
      <c r="M94" s="896">
        <f t="shared" si="16"/>
        <v>0</v>
      </c>
      <c r="N94" s="896">
        <f t="shared" si="16"/>
        <v>0</v>
      </c>
      <c r="O94" s="2342">
        <f t="shared" si="16"/>
        <v>726700000000</v>
      </c>
      <c r="P94" s="2342">
        <f t="shared" si="16"/>
        <v>758700000000</v>
      </c>
      <c r="Q94" s="2342">
        <f t="shared" si="16"/>
        <v>0</v>
      </c>
      <c r="R94" s="2342">
        <f t="shared" si="16"/>
        <v>0</v>
      </c>
      <c r="S94" s="2342">
        <f t="shared" si="16"/>
        <v>0</v>
      </c>
      <c r="T94" s="2342">
        <f t="shared" si="16"/>
        <v>0</v>
      </c>
      <c r="U94" s="2342">
        <f t="shared" si="16"/>
        <v>0</v>
      </c>
      <c r="V94" s="2342">
        <f>V9-V10-V13</f>
        <v>0</v>
      </c>
      <c r="W94" s="2343">
        <f>W9-W10-W13</f>
        <v>0</v>
      </c>
      <c r="X94" s="2343">
        <f>X9-X10-X13</f>
        <v>0</v>
      </c>
      <c r="Y94" s="2343">
        <f>Y9-Y10-Y13</f>
        <v>0</v>
      </c>
      <c r="Z94" s="2343">
        <f t="shared" ref="Z94:AA94" si="17">Z9-Z10-Z13</f>
        <v>0</v>
      </c>
      <c r="AA94" s="2655">
        <f t="shared" si="17"/>
        <v>0</v>
      </c>
    </row>
    <row r="95" spans="1:27">
      <c r="B95" s="380" t="s">
        <v>4312</v>
      </c>
      <c r="D95" s="897">
        <f>D13-D14-D15-D16-D20-D17-D21</f>
        <v>0</v>
      </c>
      <c r="E95" s="897">
        <f t="shared" ref="E95:U95" si="18">E13-E14-E15-E16-E20-E17-E21</f>
        <v>0</v>
      </c>
      <c r="F95" s="897">
        <f t="shared" si="18"/>
        <v>0</v>
      </c>
      <c r="G95" s="897">
        <f t="shared" si="18"/>
        <v>0</v>
      </c>
      <c r="H95" s="897">
        <f t="shared" si="18"/>
        <v>0</v>
      </c>
      <c r="I95" s="897">
        <f t="shared" si="18"/>
        <v>0</v>
      </c>
      <c r="J95" s="897">
        <f t="shared" si="18"/>
        <v>0</v>
      </c>
      <c r="K95" s="897">
        <f t="shared" si="18"/>
        <v>0</v>
      </c>
      <c r="L95" s="897">
        <f t="shared" si="18"/>
        <v>0</v>
      </c>
      <c r="M95" s="897">
        <f t="shared" si="18"/>
        <v>0</v>
      </c>
      <c r="N95" s="897">
        <f>N13-N14-N15-N16-N20-N17-N21</f>
        <v>0</v>
      </c>
      <c r="O95" s="897">
        <f>O13-O14-O15-O16-O20-O17-O21</f>
        <v>0</v>
      </c>
      <c r="P95" s="897">
        <f t="shared" si="18"/>
        <v>0</v>
      </c>
      <c r="Q95" s="897">
        <f>Q13-Q14-Q15-Q16-Q20-Q17-Q21</f>
        <v>60300000000</v>
      </c>
      <c r="R95" s="897">
        <f t="shared" si="18"/>
        <v>61700000000</v>
      </c>
      <c r="S95" s="897">
        <f t="shared" si="18"/>
        <v>84000000000</v>
      </c>
      <c r="T95" s="897">
        <f t="shared" si="18"/>
        <v>72100000000</v>
      </c>
      <c r="U95" s="897">
        <f t="shared" si="18"/>
        <v>82000000000</v>
      </c>
      <c r="V95" s="897">
        <f>V13-V14-V15-V16-V20-V17-V21</f>
        <v>67800000000</v>
      </c>
      <c r="W95" s="2344">
        <f>W13-W14-W15-W16-W20-W17-W21</f>
        <v>72000000000</v>
      </c>
      <c r="X95" s="2344">
        <f>X13-X14-X15-X16-X20-X17-X21</f>
        <v>76700000000</v>
      </c>
      <c r="Y95" s="2344">
        <f>Y13-Y14-Y15-Y16-Y20-Y17-Y21</f>
        <v>81900000000</v>
      </c>
      <c r="Z95" s="2344">
        <f t="shared" ref="Z95:AA95" si="19">Z13-Z14-Z15-Z16-Z20-Z17-Z21</f>
        <v>87600000000</v>
      </c>
      <c r="AA95" s="900">
        <f t="shared" si="19"/>
        <v>93700000000</v>
      </c>
    </row>
    <row r="96" spans="1:27">
      <c r="B96" s="380" t="s">
        <v>1362</v>
      </c>
      <c r="D96" s="897">
        <f>D2</f>
        <v>0</v>
      </c>
      <c r="E96" s="897">
        <f t="shared" ref="E96:U96" si="20">E2</f>
        <v>0</v>
      </c>
      <c r="F96" s="897">
        <f t="shared" si="20"/>
        <v>0</v>
      </c>
      <c r="G96" s="897">
        <f t="shared" si="20"/>
        <v>0</v>
      </c>
      <c r="H96" s="897">
        <f t="shared" si="20"/>
        <v>0</v>
      </c>
      <c r="I96" s="897">
        <f t="shared" si="20"/>
        <v>0</v>
      </c>
      <c r="J96" s="897">
        <f t="shared" si="20"/>
        <v>0</v>
      </c>
      <c r="K96" s="897">
        <f t="shared" si="20"/>
        <v>0</v>
      </c>
      <c r="L96" s="897">
        <f t="shared" si="20"/>
        <v>0</v>
      </c>
      <c r="M96" s="897">
        <f t="shared" si="20"/>
        <v>0</v>
      </c>
      <c r="N96" s="897">
        <f t="shared" si="20"/>
        <v>0</v>
      </c>
      <c r="O96" s="897">
        <f t="shared" si="20"/>
        <v>0</v>
      </c>
      <c r="P96" s="897">
        <f t="shared" si="20"/>
        <v>0</v>
      </c>
      <c r="Q96" s="897">
        <f t="shared" si="20"/>
        <v>0</v>
      </c>
      <c r="R96" s="897">
        <f t="shared" si="20"/>
        <v>0</v>
      </c>
      <c r="S96" s="897">
        <f t="shared" si="20"/>
        <v>0</v>
      </c>
      <c r="T96" s="897">
        <f t="shared" si="20"/>
        <v>0</v>
      </c>
      <c r="U96" s="897">
        <f t="shared" si="20"/>
        <v>0</v>
      </c>
      <c r="V96" s="897">
        <f>V2</f>
        <v>0</v>
      </c>
      <c r="W96" s="2344">
        <f>W2</f>
        <v>0</v>
      </c>
      <c r="X96" s="2344">
        <f>X2</f>
        <v>0</v>
      </c>
      <c r="Y96" s="2344">
        <f>Y2</f>
        <v>0</v>
      </c>
      <c r="Z96" s="2344">
        <f t="shared" ref="Z96:AA96" si="21">Z2</f>
        <v>0</v>
      </c>
      <c r="AA96" s="900">
        <f t="shared" si="21"/>
        <v>0</v>
      </c>
    </row>
    <row r="97" spans="2:27">
      <c r="B97" s="380" t="s">
        <v>4313</v>
      </c>
      <c r="D97" s="901">
        <f t="shared" ref="D97:U97" si="22">D27-D28-D29</f>
        <v>57800000000</v>
      </c>
      <c r="E97" s="901">
        <f t="shared" si="22"/>
        <v>56100000000</v>
      </c>
      <c r="F97" s="897">
        <f t="shared" si="22"/>
        <v>69200000000</v>
      </c>
      <c r="G97" s="897">
        <f t="shared" si="22"/>
        <v>63100000000</v>
      </c>
      <c r="H97" s="897">
        <f t="shared" si="22"/>
        <v>70000000000</v>
      </c>
      <c r="I97" s="897">
        <f t="shared" si="22"/>
        <v>0</v>
      </c>
      <c r="J97" s="897">
        <f t="shared" si="22"/>
        <v>0</v>
      </c>
      <c r="K97" s="897">
        <f t="shared" si="22"/>
        <v>0</v>
      </c>
      <c r="L97" s="901">
        <f t="shared" si="22"/>
        <v>54600000000</v>
      </c>
      <c r="M97" s="901">
        <f t="shared" si="22"/>
        <v>96500000000</v>
      </c>
      <c r="N97" s="901">
        <f t="shared" si="22"/>
        <v>57200000000</v>
      </c>
      <c r="O97" s="901">
        <f t="shared" si="22"/>
        <v>97100000000</v>
      </c>
      <c r="P97" s="901">
        <f t="shared" si="22"/>
        <v>8600000000</v>
      </c>
      <c r="Q97" s="901">
        <f>Q27-Q28-Q29</f>
        <v>56600000000</v>
      </c>
      <c r="R97" s="901">
        <f t="shared" si="22"/>
        <v>61600000000</v>
      </c>
      <c r="S97" s="901">
        <f t="shared" si="22"/>
        <v>98100000000</v>
      </c>
      <c r="T97" s="901">
        <f>T27-T28-T29</f>
        <v>78600000000</v>
      </c>
      <c r="U97" s="901">
        <f t="shared" si="22"/>
        <v>96500000000</v>
      </c>
      <c r="V97" s="901">
        <f>V27-V28-V29</f>
        <v>81000000000</v>
      </c>
      <c r="W97" s="2345">
        <f>W27-W28-W29</f>
        <v>94200000000</v>
      </c>
      <c r="X97" s="2345">
        <f>X27-X28-X29</f>
        <v>100400000000</v>
      </c>
      <c r="Y97" s="2345">
        <f>Y27-Y28-Y29</f>
        <v>107200000000</v>
      </c>
      <c r="Z97" s="2345">
        <f t="shared" ref="Z97:AA97" si="23">Z27-Z28-Z29</f>
        <v>114600000000</v>
      </c>
      <c r="AA97" s="2656">
        <f t="shared" si="23"/>
        <v>124800000000</v>
      </c>
    </row>
    <row r="98" spans="2:27">
      <c r="B98" s="380" t="s">
        <v>4314</v>
      </c>
      <c r="D98" s="901">
        <f>D31-D32-D33</f>
        <v>32200000000.000004</v>
      </c>
      <c r="E98" s="901">
        <f t="shared" ref="E98:U98" si="24">E31-E32-E33</f>
        <v>27500000000</v>
      </c>
      <c r="F98" s="897">
        <f t="shared" si="24"/>
        <v>16600000000</v>
      </c>
      <c r="G98" s="897">
        <f t="shared" si="24"/>
        <v>51700000000</v>
      </c>
      <c r="H98" s="897">
        <f t="shared" si="24"/>
        <v>33300000000</v>
      </c>
      <c r="I98" s="897">
        <f t="shared" si="24"/>
        <v>0</v>
      </c>
      <c r="J98" s="897">
        <f t="shared" si="24"/>
        <v>83800000000</v>
      </c>
      <c r="K98" s="897">
        <f t="shared" si="24"/>
        <v>77300000000</v>
      </c>
      <c r="L98" s="897">
        <f t="shared" si="24"/>
        <v>0</v>
      </c>
      <c r="M98" s="897">
        <f t="shared" si="24"/>
        <v>0</v>
      </c>
      <c r="N98" s="897">
        <f t="shared" si="24"/>
        <v>0</v>
      </c>
      <c r="O98" s="897">
        <f t="shared" si="24"/>
        <v>0</v>
      </c>
      <c r="P98" s="897">
        <f t="shared" si="24"/>
        <v>0</v>
      </c>
      <c r="Q98" s="897">
        <f t="shared" si="24"/>
        <v>0</v>
      </c>
      <c r="R98" s="897">
        <f t="shared" si="24"/>
        <v>0</v>
      </c>
      <c r="S98" s="897">
        <f t="shared" si="24"/>
        <v>0</v>
      </c>
      <c r="T98" s="897">
        <f t="shared" si="24"/>
        <v>0</v>
      </c>
      <c r="U98" s="897">
        <f t="shared" si="24"/>
        <v>0</v>
      </c>
      <c r="V98" s="897">
        <f>V31-V32-V33</f>
        <v>0</v>
      </c>
      <c r="W98" s="2344">
        <f>W31-W32-W33</f>
        <v>0</v>
      </c>
      <c r="X98" s="2344">
        <f>X31-X32-X33</f>
        <v>0</v>
      </c>
      <c r="Y98" s="2344">
        <f>Y31-Y32-Y33</f>
        <v>0</v>
      </c>
      <c r="Z98" s="2344">
        <f t="shared" ref="Z98:AA98" si="25">Z31-Z32-Z33</f>
        <v>0</v>
      </c>
      <c r="AA98" s="900">
        <f t="shared" si="25"/>
        <v>0</v>
      </c>
    </row>
    <row r="99" spans="2:27">
      <c r="B99" s="380" t="s">
        <v>145</v>
      </c>
      <c r="D99" s="897">
        <f>D36-D38-D46-D49-D51-D50</f>
        <v>0</v>
      </c>
      <c r="E99" s="897">
        <f t="shared" ref="E99:U99" si="26">E36-E38-E46-E49-E51-E50</f>
        <v>0</v>
      </c>
      <c r="F99" s="897">
        <f t="shared" si="26"/>
        <v>-3.814697265625E-6</v>
      </c>
      <c r="G99" s="897">
        <f t="shared" si="26"/>
        <v>0</v>
      </c>
      <c r="H99" s="897">
        <f t="shared" si="26"/>
        <v>0</v>
      </c>
      <c r="I99" s="897">
        <f t="shared" si="26"/>
        <v>-3.0517578125E-5</v>
      </c>
      <c r="J99" s="897">
        <f t="shared" si="26"/>
        <v>0</v>
      </c>
      <c r="K99" s="897">
        <f t="shared" si="26"/>
        <v>0</v>
      </c>
      <c r="L99" s="897">
        <f t="shared" si="26"/>
        <v>0</v>
      </c>
      <c r="M99" s="897">
        <f t="shared" si="26"/>
        <v>0</v>
      </c>
      <c r="N99" s="897">
        <f t="shared" si="26"/>
        <v>0</v>
      </c>
      <c r="O99" s="897">
        <f t="shared" si="26"/>
        <v>0</v>
      </c>
      <c r="P99" s="897">
        <f t="shared" si="26"/>
        <v>0</v>
      </c>
      <c r="Q99" s="897">
        <f t="shared" si="26"/>
        <v>0</v>
      </c>
      <c r="R99" s="897">
        <f t="shared" si="26"/>
        <v>0</v>
      </c>
      <c r="S99" s="897">
        <f t="shared" si="26"/>
        <v>0</v>
      </c>
      <c r="T99" s="897">
        <f t="shared" si="26"/>
        <v>0</v>
      </c>
      <c r="U99" s="897">
        <f t="shared" si="26"/>
        <v>0</v>
      </c>
      <c r="V99" s="897">
        <f>V36-V38-V46-V49-V51-V50</f>
        <v>0</v>
      </c>
      <c r="W99" s="2344">
        <f>W36-W38-W46-W49-W51-W50</f>
        <v>-1.52587890625E-5</v>
      </c>
      <c r="X99" s="2344">
        <f>X36-X38-X46-X49-X51-X50</f>
        <v>1.220703125E-4</v>
      </c>
      <c r="Y99" s="2344">
        <f>Y36-Y38-Y46-Y49-Y51-Y50</f>
        <v>0</v>
      </c>
      <c r="Z99" s="2344">
        <f t="shared" ref="Z99:AA99" si="27">Z36-Z38-Z46-Z49-Z51-Z50</f>
        <v>0</v>
      </c>
      <c r="AA99" s="900">
        <f t="shared" si="27"/>
        <v>0</v>
      </c>
    </row>
    <row r="100" spans="2:27">
      <c r="B100" s="380" t="s">
        <v>361</v>
      </c>
      <c r="D100" s="897">
        <f>D38-D39-D40-D41-D42-D45</f>
        <v>0</v>
      </c>
      <c r="E100" s="897">
        <f t="shared" ref="E100:U100" si="28">E38-E39-E40-E41-E42-E45</f>
        <v>0</v>
      </c>
      <c r="F100" s="897">
        <f t="shared" si="28"/>
        <v>0</v>
      </c>
      <c r="G100" s="897">
        <f t="shared" si="28"/>
        <v>0</v>
      </c>
      <c r="H100" s="897">
        <f t="shared" si="28"/>
        <v>100000000</v>
      </c>
      <c r="I100" s="897">
        <f t="shared" si="28"/>
        <v>0</v>
      </c>
      <c r="J100" s="897">
        <f t="shared" si="28"/>
        <v>0</v>
      </c>
      <c r="K100" s="897">
        <f t="shared" si="28"/>
        <v>-100000000</v>
      </c>
      <c r="L100" s="897">
        <f t="shared" si="28"/>
        <v>0</v>
      </c>
      <c r="M100" s="897">
        <f t="shared" si="28"/>
        <v>0</v>
      </c>
      <c r="N100" s="897">
        <f t="shared" si="28"/>
        <v>0</v>
      </c>
      <c r="O100" s="897">
        <f t="shared" si="28"/>
        <v>-100000000</v>
      </c>
      <c r="P100" s="897">
        <f t="shared" si="28"/>
        <v>0</v>
      </c>
      <c r="Q100" s="897">
        <f t="shared" si="28"/>
        <v>0</v>
      </c>
      <c r="R100" s="897">
        <f t="shared" si="28"/>
        <v>100000000</v>
      </c>
      <c r="S100" s="897">
        <f t="shared" si="28"/>
        <v>0</v>
      </c>
      <c r="T100" s="897">
        <f t="shared" si="28"/>
        <v>0</v>
      </c>
      <c r="U100" s="897">
        <f t="shared" si="28"/>
        <v>0</v>
      </c>
      <c r="V100" s="897">
        <f>V38-V39-V40-V41-V42-V45</f>
        <v>100000000</v>
      </c>
      <c r="W100" s="2344">
        <f>W38-W39-W40-W41-W42-W45</f>
        <v>100000000</v>
      </c>
      <c r="X100" s="2344">
        <f>X38-X39-X40-X41-X42-X45</f>
        <v>0</v>
      </c>
      <c r="Y100" s="2344">
        <f>Y38-Y39-Y40-Y41-Y42-Y45</f>
        <v>0</v>
      </c>
      <c r="Z100" s="2344">
        <f t="shared" ref="Z100:AA100" si="29">Z38-Z39-Z40-Z41-Z42-Z45</f>
        <v>0</v>
      </c>
      <c r="AA100" s="900">
        <f t="shared" si="29"/>
        <v>1.52587890625E-5</v>
      </c>
    </row>
    <row r="101" spans="2:27">
      <c r="B101" s="380" t="s">
        <v>291</v>
      </c>
      <c r="D101" s="897">
        <f>D42-D43-D44</f>
        <v>0</v>
      </c>
      <c r="E101" s="897">
        <f t="shared" ref="E101:U101" si="30">E42-E43-E44</f>
        <v>0</v>
      </c>
      <c r="F101" s="901">
        <f t="shared" si="30"/>
        <v>18400000000</v>
      </c>
      <c r="G101" s="901">
        <f t="shared" si="30"/>
        <v>18800000000</v>
      </c>
      <c r="H101" s="897">
        <f t="shared" si="30"/>
        <v>0</v>
      </c>
      <c r="I101" s="897">
        <f t="shared" si="30"/>
        <v>0</v>
      </c>
      <c r="J101" s="897">
        <f t="shared" si="30"/>
        <v>0</v>
      </c>
      <c r="K101" s="897">
        <f t="shared" si="30"/>
        <v>0</v>
      </c>
      <c r="L101" s="897">
        <f t="shared" si="30"/>
        <v>0</v>
      </c>
      <c r="M101" s="897">
        <f t="shared" si="30"/>
        <v>0</v>
      </c>
      <c r="N101" s="897">
        <f t="shared" si="30"/>
        <v>0</v>
      </c>
      <c r="O101" s="897">
        <f t="shared" si="30"/>
        <v>0</v>
      </c>
      <c r="P101" s="897">
        <f t="shared" si="30"/>
        <v>0</v>
      </c>
      <c r="Q101" s="897">
        <f>Q42-Q43-Q44</f>
        <v>0</v>
      </c>
      <c r="R101" s="897">
        <f t="shared" si="30"/>
        <v>0</v>
      </c>
      <c r="S101" s="897">
        <f t="shared" si="30"/>
        <v>0</v>
      </c>
      <c r="T101" s="897">
        <f t="shared" si="30"/>
        <v>0</v>
      </c>
      <c r="U101" s="897">
        <f t="shared" si="30"/>
        <v>0</v>
      </c>
      <c r="V101" s="897">
        <f>V42-V43-V44</f>
        <v>0</v>
      </c>
      <c r="W101" s="2344">
        <f>W42-W43-W44</f>
        <v>0</v>
      </c>
      <c r="X101" s="2344">
        <f>X42-X43-X44</f>
        <v>0</v>
      </c>
      <c r="Y101" s="2344">
        <f>Y42-Y43-Y44</f>
        <v>0</v>
      </c>
      <c r="Z101" s="2344">
        <f t="shared" ref="Z101:AA101" si="31">Z42-Z43-Z44</f>
        <v>0</v>
      </c>
      <c r="AA101" s="900">
        <f t="shared" si="31"/>
        <v>0</v>
      </c>
    </row>
    <row r="102" spans="2:27">
      <c r="B102" s="380" t="s">
        <v>876</v>
      </c>
      <c r="D102" s="897">
        <f t="shared" ref="D102:U102" si="32">D46-D47-D48</f>
        <v>99999999.999984741</v>
      </c>
      <c r="E102" s="897">
        <f t="shared" si="32"/>
        <v>0</v>
      </c>
      <c r="F102" s="897">
        <f t="shared" si="32"/>
        <v>100000000</v>
      </c>
      <c r="G102" s="897">
        <f t="shared" si="32"/>
        <v>0</v>
      </c>
      <c r="H102" s="897">
        <f t="shared" si="32"/>
        <v>0</v>
      </c>
      <c r="I102" s="897">
        <f t="shared" si="32"/>
        <v>0</v>
      </c>
      <c r="J102" s="897">
        <f t="shared" si="32"/>
        <v>0</v>
      </c>
      <c r="K102" s="897">
        <f t="shared" si="32"/>
        <v>0</v>
      </c>
      <c r="L102" s="897">
        <f t="shared" si="32"/>
        <v>0</v>
      </c>
      <c r="M102" s="897">
        <f t="shared" si="32"/>
        <v>0</v>
      </c>
      <c r="N102" s="897">
        <f t="shared" si="32"/>
        <v>0</v>
      </c>
      <c r="O102" s="897">
        <f t="shared" si="32"/>
        <v>0</v>
      </c>
      <c r="P102" s="897">
        <f t="shared" si="32"/>
        <v>0</v>
      </c>
      <c r="Q102" s="897">
        <f t="shared" si="32"/>
        <v>0</v>
      </c>
      <c r="R102" s="897">
        <f t="shared" si="32"/>
        <v>0</v>
      </c>
      <c r="S102" s="897">
        <f t="shared" si="32"/>
        <v>0</v>
      </c>
      <c r="T102" s="897">
        <f t="shared" si="32"/>
        <v>100000000</v>
      </c>
      <c r="U102" s="897">
        <f t="shared" si="32"/>
        <v>100000000</v>
      </c>
      <c r="V102" s="897">
        <f>V46-V47-V48</f>
        <v>0</v>
      </c>
      <c r="W102" s="2344">
        <f>W46-W47-W48</f>
        <v>-100000000</v>
      </c>
      <c r="X102" s="2344">
        <f>X46-X47-X48</f>
        <v>0</v>
      </c>
      <c r="Y102" s="2344">
        <f>Y46-Y47-Y48</f>
        <v>0</v>
      </c>
      <c r="Z102" s="2344">
        <f t="shared" ref="Z102:AA102" si="33">Z46-Z47-Z48</f>
        <v>0</v>
      </c>
      <c r="AA102" s="900">
        <f t="shared" si="33"/>
        <v>0</v>
      </c>
    </row>
    <row r="103" spans="2:27">
      <c r="B103" s="380" t="s">
        <v>148</v>
      </c>
      <c r="D103" s="897">
        <f>D59-D71-D60</f>
        <v>0</v>
      </c>
      <c r="E103" s="897">
        <f t="shared" ref="E103:U103" si="34">E59-E71-E60</f>
        <v>0</v>
      </c>
      <c r="F103" s="897">
        <f t="shared" si="34"/>
        <v>100000000</v>
      </c>
      <c r="G103" s="897">
        <f t="shared" si="34"/>
        <v>0</v>
      </c>
      <c r="H103" s="897">
        <f t="shared" si="34"/>
        <v>100000000</v>
      </c>
      <c r="I103" s="897">
        <f t="shared" si="34"/>
        <v>0</v>
      </c>
      <c r="J103" s="897">
        <f t="shared" si="34"/>
        <v>0</v>
      </c>
      <c r="K103" s="897">
        <f t="shared" si="34"/>
        <v>0</v>
      </c>
      <c r="L103" s="897">
        <f t="shared" si="34"/>
        <v>0</v>
      </c>
      <c r="M103" s="897">
        <f t="shared" si="34"/>
        <v>0</v>
      </c>
      <c r="N103" s="897">
        <f t="shared" si="34"/>
        <v>0</v>
      </c>
      <c r="O103" s="897">
        <f t="shared" si="34"/>
        <v>0</v>
      </c>
      <c r="P103" s="897">
        <f t="shared" si="34"/>
        <v>0</v>
      </c>
      <c r="Q103" s="897">
        <f t="shared" si="34"/>
        <v>0</v>
      </c>
      <c r="R103" s="897">
        <f t="shared" si="34"/>
        <v>0</v>
      </c>
      <c r="S103" s="897">
        <f t="shared" si="34"/>
        <v>0</v>
      </c>
      <c r="T103" s="897">
        <f t="shared" si="34"/>
        <v>100000000</v>
      </c>
      <c r="U103" s="897">
        <f t="shared" si="34"/>
        <v>0</v>
      </c>
      <c r="V103" s="897">
        <f>V59-V71-V60</f>
        <v>0</v>
      </c>
      <c r="W103" s="2344">
        <f>W59-W71-W60</f>
        <v>0</v>
      </c>
      <c r="X103" s="2344">
        <f>X59-X71-X60</f>
        <v>-100000000</v>
      </c>
      <c r="Y103" s="2344">
        <f>Y59-Y71-Y60</f>
        <v>0</v>
      </c>
      <c r="Z103" s="2344">
        <f t="shared" ref="Z103:AA103" si="35">Z59-Z71-Z60</f>
        <v>0</v>
      </c>
      <c r="AA103" s="900">
        <f t="shared" si="35"/>
        <v>-100000000</v>
      </c>
    </row>
    <row r="104" spans="2:27">
      <c r="B104" s="380" t="s">
        <v>4315</v>
      </c>
      <c r="D104" s="897">
        <f>D60-D61-D67-D68-D69-D70</f>
        <v>0</v>
      </c>
      <c r="E104" s="897">
        <f>E60-E61-E67-E68-E69-E70</f>
        <v>0</v>
      </c>
      <c r="F104" s="897">
        <f t="shared" ref="F104:U104" si="36">F60-F61-F67-F68-F69</f>
        <v>0</v>
      </c>
      <c r="G104" s="897">
        <f t="shared" si="36"/>
        <v>100000000</v>
      </c>
      <c r="H104" s="897">
        <f t="shared" si="36"/>
        <v>0</v>
      </c>
      <c r="I104" s="897">
        <f t="shared" si="36"/>
        <v>0</v>
      </c>
      <c r="J104" s="897">
        <f t="shared" si="36"/>
        <v>0</v>
      </c>
      <c r="K104" s="897">
        <f t="shared" si="36"/>
        <v>0</v>
      </c>
      <c r="L104" s="897">
        <f t="shared" si="36"/>
        <v>0</v>
      </c>
      <c r="M104" s="897">
        <f t="shared" si="36"/>
        <v>0</v>
      </c>
      <c r="N104" s="897">
        <f t="shared" si="36"/>
        <v>-1.52587890625E-5</v>
      </c>
      <c r="O104" s="897">
        <f t="shared" si="36"/>
        <v>0</v>
      </c>
      <c r="P104" s="897">
        <f t="shared" si="36"/>
        <v>0</v>
      </c>
      <c r="Q104" s="897">
        <f t="shared" si="36"/>
        <v>1.52587890625E-5</v>
      </c>
      <c r="R104" s="897">
        <f t="shared" si="36"/>
        <v>0</v>
      </c>
      <c r="S104" s="897">
        <f t="shared" si="36"/>
        <v>-100000000</v>
      </c>
      <c r="T104" s="897">
        <f t="shared" si="36"/>
        <v>0</v>
      </c>
      <c r="U104" s="897">
        <f t="shared" si="36"/>
        <v>100000000</v>
      </c>
      <c r="V104" s="897">
        <f>V60-V61-V67-V68-V69</f>
        <v>1.52587890625E-5</v>
      </c>
      <c r="W104" s="2344">
        <f>W60-W61-W67-W68-W69</f>
        <v>0</v>
      </c>
      <c r="X104" s="2344">
        <f>X60-X61-X67-X68-X69</f>
        <v>100000000</v>
      </c>
      <c r="Y104" s="2344">
        <f>Y60-Y61-Y67-Y68-Y69</f>
        <v>0</v>
      </c>
      <c r="Z104" s="2344">
        <f t="shared" ref="Z104:AA104" si="37">Z60-Z61-Z67-Z68-Z69</f>
        <v>-100000000</v>
      </c>
      <c r="AA104" s="900">
        <f t="shared" si="37"/>
        <v>0</v>
      </c>
    </row>
    <row r="105" spans="2:27">
      <c r="B105" s="380" t="s">
        <v>529</v>
      </c>
      <c r="D105" s="897">
        <f t="shared" ref="D105:Q105" si="38">D61-D62-D65</f>
        <v>0</v>
      </c>
      <c r="E105" s="897">
        <f t="shared" si="38"/>
        <v>0</v>
      </c>
      <c r="F105" s="897">
        <f t="shared" si="38"/>
        <v>0</v>
      </c>
      <c r="G105" s="901">
        <f t="shared" si="38"/>
        <v>112700000000</v>
      </c>
      <c r="H105" s="901">
        <f t="shared" si="38"/>
        <v>82800000000</v>
      </c>
      <c r="I105" s="901">
        <f t="shared" si="38"/>
        <v>0</v>
      </c>
      <c r="J105" s="897">
        <f t="shared" si="38"/>
        <v>0</v>
      </c>
      <c r="K105" s="897">
        <f t="shared" si="38"/>
        <v>0</v>
      </c>
      <c r="L105" s="897">
        <f t="shared" si="38"/>
        <v>0</v>
      </c>
      <c r="M105" s="897">
        <f t="shared" si="38"/>
        <v>0</v>
      </c>
      <c r="N105" s="897">
        <f t="shared" si="38"/>
        <v>0</v>
      </c>
      <c r="O105" s="897">
        <f t="shared" si="38"/>
        <v>0</v>
      </c>
      <c r="P105" s="897">
        <f t="shared" si="38"/>
        <v>0</v>
      </c>
      <c r="Q105" s="897">
        <f t="shared" si="38"/>
        <v>0</v>
      </c>
      <c r="R105" s="897">
        <f>R61-R62-R65-R66</f>
        <v>1.9073486328125E-6</v>
      </c>
      <c r="S105" s="897">
        <f t="shared" ref="S105:Y105" si="39">S61-S62-S65-S66</f>
        <v>0</v>
      </c>
      <c r="T105" s="897">
        <f t="shared" si="39"/>
        <v>0</v>
      </c>
      <c r="U105" s="897">
        <f t="shared" si="39"/>
        <v>0</v>
      </c>
      <c r="V105" s="897">
        <f t="shared" si="39"/>
        <v>0</v>
      </c>
      <c r="W105" s="897">
        <f t="shared" si="39"/>
        <v>0</v>
      </c>
      <c r="X105" s="897">
        <f t="shared" si="39"/>
        <v>0</v>
      </c>
      <c r="Y105" s="897">
        <f t="shared" si="39"/>
        <v>100000000</v>
      </c>
      <c r="Z105" s="897">
        <f t="shared" ref="Z105:AA105" si="40">Z61-Z62-Z65-Z66</f>
        <v>100000000</v>
      </c>
      <c r="AA105" s="900">
        <f t="shared" si="40"/>
        <v>0</v>
      </c>
    </row>
    <row r="106" spans="2:27">
      <c r="B106" s="380" t="s">
        <v>362</v>
      </c>
      <c r="D106" s="897">
        <f>D71-D72-D82-D83</f>
        <v>0</v>
      </c>
      <c r="E106" s="897">
        <f t="shared" ref="E106:U106" si="41">E71-E72-E82-E83</f>
        <v>0</v>
      </c>
      <c r="F106" s="897">
        <f t="shared" si="41"/>
        <v>0</v>
      </c>
      <c r="G106" s="897">
        <f t="shared" si="41"/>
        <v>0</v>
      </c>
      <c r="H106" s="897">
        <f t="shared" si="41"/>
        <v>-100000000</v>
      </c>
      <c r="I106" s="897">
        <f t="shared" si="41"/>
        <v>0</v>
      </c>
      <c r="J106" s="897">
        <f t="shared" si="41"/>
        <v>0</v>
      </c>
      <c r="K106" s="897">
        <f t="shared" si="41"/>
        <v>0</v>
      </c>
      <c r="L106" s="897">
        <f t="shared" si="41"/>
        <v>0</v>
      </c>
      <c r="M106" s="897">
        <f t="shared" si="41"/>
        <v>0</v>
      </c>
      <c r="N106" s="897">
        <f t="shared" si="41"/>
        <v>100000000</v>
      </c>
      <c r="O106" s="897">
        <f t="shared" si="41"/>
        <v>0</v>
      </c>
      <c r="P106" s="897">
        <f t="shared" si="41"/>
        <v>0</v>
      </c>
      <c r="Q106" s="897">
        <f t="shared" si="41"/>
        <v>0</v>
      </c>
      <c r="R106" s="897">
        <f t="shared" si="41"/>
        <v>0</v>
      </c>
      <c r="S106" s="897">
        <f t="shared" si="41"/>
        <v>0</v>
      </c>
      <c r="T106" s="897">
        <f t="shared" si="41"/>
        <v>0</v>
      </c>
      <c r="U106" s="897">
        <f t="shared" si="41"/>
        <v>0</v>
      </c>
      <c r="V106" s="897">
        <f>V71-V72-V82-V83</f>
        <v>0</v>
      </c>
      <c r="W106" s="2344">
        <f>W71-W72-W82-W83</f>
        <v>0</v>
      </c>
      <c r="X106" s="2344">
        <f>X71-X72-X82-X83</f>
        <v>0</v>
      </c>
      <c r="Y106" s="2344">
        <f>Y71-Y72-Y82-Y83</f>
        <v>0</v>
      </c>
      <c r="Z106" s="2344">
        <f t="shared" ref="Z106:AA106" si="42">Z71-Z72-Z82-Z83</f>
        <v>0</v>
      </c>
      <c r="AA106" s="900">
        <f t="shared" si="42"/>
        <v>0</v>
      </c>
    </row>
    <row r="108" spans="2:27">
      <c r="D108" s="571"/>
      <c r="S108" s="425"/>
    </row>
    <row r="109" spans="2:27">
      <c r="B109" s="380" t="s">
        <v>724</v>
      </c>
      <c r="D109" s="872">
        <v>1890590000000</v>
      </c>
      <c r="E109" s="872">
        <v>2212050000000</v>
      </c>
      <c r="F109" s="872">
        <v>2222754000000</v>
      </c>
      <c r="G109" s="872">
        <v>2453570000000</v>
      </c>
      <c r="H109" s="872">
        <v>2632050000000</v>
      </c>
      <c r="I109" s="872">
        <v>2893850000000</v>
      </c>
      <c r="J109" s="872">
        <v>3201470000000</v>
      </c>
      <c r="K109" s="872">
        <v>3424550000000</v>
      </c>
      <c r="L109" s="872">
        <v>3912782000000</v>
      </c>
      <c r="M109" s="872">
        <v>4232904999999.9995</v>
      </c>
      <c r="N109" s="872">
        <v>4662751000000</v>
      </c>
      <c r="O109" s="872">
        <v>5031823000000</v>
      </c>
      <c r="P109" s="872">
        <v>5231996000000</v>
      </c>
      <c r="Q109" s="872">
        <v>6544000000000</v>
      </c>
      <c r="R109" s="872">
        <v>7114000000000</v>
      </c>
      <c r="S109" s="425">
        <v>7748000000000</v>
      </c>
      <c r="T109" s="425">
        <v>8322000000000</v>
      </c>
      <c r="U109" s="425">
        <v>8870000000000</v>
      </c>
      <c r="V109" s="425">
        <v>9474000000000</v>
      </c>
      <c r="W109" s="425">
        <v>10057000000000</v>
      </c>
      <c r="X109" s="425">
        <v>10719000000000</v>
      </c>
      <c r="Y109" s="425">
        <v>11448000000000</v>
      </c>
      <c r="Z109" s="534">
        <v>12230000000000</v>
      </c>
      <c r="AA109" s="867">
        <v>13082000000000</v>
      </c>
    </row>
    <row r="110" spans="2:27">
      <c r="B110" s="380" t="s">
        <v>151</v>
      </c>
      <c r="D110" s="534">
        <f>(D6/D109)*100</f>
        <v>18.634394554081002</v>
      </c>
      <c r="E110" s="534">
        <f t="shared" ref="E110:S110" si="43">(E6/E109)*100</f>
        <v>17.852218530322553</v>
      </c>
      <c r="F110" s="534">
        <f t="shared" si="43"/>
        <v>20.54658320263961</v>
      </c>
      <c r="G110" s="534">
        <f t="shared" si="43"/>
        <v>21.866097156388445</v>
      </c>
      <c r="H110" s="534">
        <f t="shared" si="43"/>
        <v>21.200205163275772</v>
      </c>
      <c r="I110" s="534">
        <f t="shared" si="43"/>
        <v>21.480035247162085</v>
      </c>
      <c r="J110" s="534">
        <f t="shared" si="43"/>
        <v>56.852008608545447</v>
      </c>
      <c r="K110" s="534">
        <f t="shared" si="43"/>
        <v>22.286139784789242</v>
      </c>
      <c r="L110" s="534">
        <f t="shared" si="43"/>
        <v>19.525749198396436</v>
      </c>
      <c r="M110" s="534">
        <f t="shared" si="43"/>
        <v>21.873866765259322</v>
      </c>
      <c r="N110" s="534">
        <f t="shared" si="43"/>
        <v>20.309898598488317</v>
      </c>
      <c r="O110" s="534">
        <f t="shared" si="43"/>
        <v>20.926809229974904</v>
      </c>
      <c r="P110" s="534">
        <f t="shared" si="43"/>
        <v>17.694967656703099</v>
      </c>
      <c r="Q110" s="534">
        <f t="shared" si="43"/>
        <v>18.157090464547675</v>
      </c>
      <c r="R110" s="534">
        <f t="shared" si="43"/>
        <v>17.946303064380096</v>
      </c>
      <c r="S110" s="534">
        <f t="shared" si="43"/>
        <v>19.651522973670623</v>
      </c>
      <c r="T110" s="534">
        <f t="shared" ref="T110:Y110" si="44">(T6/T109)*100</f>
        <v>19.156452775775055</v>
      </c>
      <c r="U110" s="534">
        <f t="shared" si="44"/>
        <v>20.293122886133034</v>
      </c>
      <c r="V110" s="534">
        <f t="shared" si="44"/>
        <v>21.287734853282668</v>
      </c>
      <c r="W110" s="534">
        <f t="shared" si="44"/>
        <v>20.993337973550759</v>
      </c>
      <c r="X110" s="534">
        <f t="shared" si="44"/>
        <v>21.425506110644648</v>
      </c>
      <c r="Y110" s="534">
        <f t="shared" si="44"/>
        <v>21.865828092243188</v>
      </c>
    </row>
    <row r="111" spans="2:27">
      <c r="B111" s="380" t="s">
        <v>152</v>
      </c>
      <c r="D111" s="534">
        <f>(D35/D109)*100</f>
        <v>21.57527544311564</v>
      </c>
      <c r="E111" s="534">
        <f t="shared" ref="E111:S111" si="45">(E35/E109)*100</f>
        <v>21.061910897131618</v>
      </c>
      <c r="F111" s="534">
        <f t="shared" si="45"/>
        <v>24.321179941639965</v>
      </c>
      <c r="G111" s="534">
        <f t="shared" si="45"/>
        <v>23.190697636505174</v>
      </c>
      <c r="H111" s="534">
        <f t="shared" si="45"/>
        <v>23.776144070211434</v>
      </c>
      <c r="I111" s="534">
        <f t="shared" si="45"/>
        <v>24.628090605940184</v>
      </c>
      <c r="J111" s="534">
        <f t="shared" si="45"/>
        <v>24.872948989058152</v>
      </c>
      <c r="K111" s="534">
        <f t="shared" si="45"/>
        <v>24.499569286475595</v>
      </c>
      <c r="L111" s="534">
        <f t="shared" si="45"/>
        <v>21.166525505382104</v>
      </c>
      <c r="M111" s="534">
        <f t="shared" si="45"/>
        <v>25.93490758710626</v>
      </c>
      <c r="N111" s="534">
        <f t="shared" si="45"/>
        <v>22.827725520835234</v>
      </c>
      <c r="O111" s="534">
        <f t="shared" si="45"/>
        <v>25.13800664292047</v>
      </c>
      <c r="P111" s="534">
        <f t="shared" si="45"/>
        <v>19.027155219537629</v>
      </c>
      <c r="Q111" s="534">
        <f t="shared" si="45"/>
        <v>19.749388753056234</v>
      </c>
      <c r="R111" s="534">
        <f t="shared" si="45"/>
        <v>19.959235310655046</v>
      </c>
      <c r="S111" s="534">
        <f t="shared" si="45"/>
        <v>20.938306659783169</v>
      </c>
      <c r="T111" s="534">
        <f t="shared" ref="T111:Y111" si="46">(T35/T109)*100</f>
        <v>22.231434751261716</v>
      </c>
      <c r="U111" s="534">
        <f t="shared" si="46"/>
        <v>23.49379932356257</v>
      </c>
      <c r="V111" s="534">
        <f t="shared" si="46"/>
        <v>23.868482161705721</v>
      </c>
      <c r="W111" s="534">
        <f t="shared" si="46"/>
        <v>23.302177587749824</v>
      </c>
      <c r="X111" s="534">
        <f t="shared" si="46"/>
        <v>23.71116708648195</v>
      </c>
      <c r="Y111" s="534">
        <f t="shared" si="46"/>
        <v>24.133473095737244</v>
      </c>
    </row>
    <row r="113" spans="2:25">
      <c r="B113" s="534" t="s">
        <v>153</v>
      </c>
      <c r="D113" s="534" t="b">
        <f>IF(D50&lt;0, (D50/D35)*100)</f>
        <v>0</v>
      </c>
      <c r="E113" s="534" t="b">
        <f t="shared" ref="E113:Y113" si="47">IF(E50&lt;0, (E50/E35)*100)</f>
        <v>0</v>
      </c>
      <c r="F113" s="534" t="b">
        <f t="shared" si="47"/>
        <v>0</v>
      </c>
      <c r="G113" s="534" t="b">
        <f t="shared" si="47"/>
        <v>0</v>
      </c>
      <c r="H113" s="534" t="b">
        <f t="shared" si="47"/>
        <v>0</v>
      </c>
      <c r="I113" s="534" t="b">
        <f t="shared" si="47"/>
        <v>0</v>
      </c>
      <c r="J113" s="534" t="b">
        <f t="shared" si="47"/>
        <v>0</v>
      </c>
      <c r="K113" s="534" t="b">
        <f>IF(K50&lt;0, (K50/K35)*100)</f>
        <v>0</v>
      </c>
      <c r="L113" s="534" t="b">
        <f t="shared" si="47"/>
        <v>0</v>
      </c>
      <c r="M113" s="534" t="b">
        <f t="shared" si="47"/>
        <v>0</v>
      </c>
      <c r="N113" s="534" t="b">
        <f t="shared" si="47"/>
        <v>0</v>
      </c>
      <c r="O113" s="534" t="b">
        <f t="shared" si="47"/>
        <v>0</v>
      </c>
      <c r="P113" s="534" t="b">
        <f t="shared" si="47"/>
        <v>0</v>
      </c>
      <c r="Q113" s="534" t="b">
        <f t="shared" si="47"/>
        <v>0</v>
      </c>
      <c r="R113" s="534" t="b">
        <f t="shared" si="47"/>
        <v>0</v>
      </c>
      <c r="S113" s="534" t="b">
        <f t="shared" si="47"/>
        <v>0</v>
      </c>
      <c r="T113" s="534" t="b">
        <f t="shared" si="47"/>
        <v>0</v>
      </c>
      <c r="U113" s="534" t="b">
        <f t="shared" si="47"/>
        <v>0</v>
      </c>
      <c r="V113" s="534" t="b">
        <f t="shared" si="47"/>
        <v>0</v>
      </c>
      <c r="W113" s="534" t="b">
        <f t="shared" si="47"/>
        <v>0</v>
      </c>
      <c r="X113" s="534" t="b">
        <f t="shared" si="47"/>
        <v>0</v>
      </c>
      <c r="Y113" s="534" t="b">
        <f t="shared" si="47"/>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3"/>
  <sheetViews>
    <sheetView zoomScale="70" zoomScaleNormal="70" workbookViewId="0">
      <pane xSplit="3" ySplit="5" topLeftCell="D6" activePane="bottomRight" state="frozen"/>
      <selection pane="topRight" activeCell="D1" sqref="D1"/>
      <selection pane="bottomLeft" activeCell="A6" sqref="A6"/>
      <selection pane="bottomRight" activeCell="J37" sqref="J37"/>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4316</v>
      </c>
      <c r="B1" s="82" t="s">
        <v>4317</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4318</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v>2015</v>
      </c>
      <c r="AB3" s="365">
        <v>2016</v>
      </c>
      <c r="AC3" s="365">
        <v>2017</v>
      </c>
      <c r="AD3" s="365">
        <v>2018</v>
      </c>
      <c r="AE3" s="365">
        <v>2019</v>
      </c>
      <c r="AF3" s="365">
        <v>2020</v>
      </c>
      <c r="AG3" s="365">
        <v>2021</v>
      </c>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15" customFormat="1" ht="16.5">
      <c r="A6" s="252" t="s">
        <v>33</v>
      </c>
      <c r="B6" s="252" t="s">
        <v>4319</v>
      </c>
      <c r="C6" s="368" t="s">
        <v>35</v>
      </c>
      <c r="D6" s="200"/>
      <c r="E6" s="200"/>
      <c r="F6" s="200"/>
      <c r="G6" s="200"/>
      <c r="H6" s="343">
        <v>76100000</v>
      </c>
      <c r="I6" s="343">
        <v>85600000</v>
      </c>
      <c r="J6" s="343">
        <v>94800000</v>
      </c>
      <c r="K6" s="343">
        <v>108200000</v>
      </c>
      <c r="L6" s="343">
        <v>107100000</v>
      </c>
      <c r="M6" s="343">
        <v>97700000</v>
      </c>
      <c r="N6" s="343">
        <v>101000000</v>
      </c>
      <c r="O6" s="343">
        <v>100000000</v>
      </c>
      <c r="P6" s="343">
        <f>P7+P14</f>
        <v>93400000</v>
      </c>
      <c r="Q6" s="343">
        <f t="shared" ref="Q6:R6" si="0">Q7+Q14</f>
        <v>100400000</v>
      </c>
      <c r="R6" s="343">
        <f t="shared" si="0"/>
        <v>97200000</v>
      </c>
      <c r="S6" s="343">
        <f>S7+S14</f>
        <v>107600000</v>
      </c>
      <c r="T6" s="343">
        <f t="shared" ref="T6:Y6" si="1">T7+T14</f>
        <v>121700000</v>
      </c>
      <c r="U6" s="343">
        <f t="shared" si="1"/>
        <v>150500000</v>
      </c>
      <c r="V6" s="343">
        <f t="shared" si="1"/>
        <v>146600000</v>
      </c>
      <c r="W6" s="343">
        <f t="shared" si="1"/>
        <v>151800000</v>
      </c>
      <c r="X6" s="343">
        <f t="shared" si="1"/>
        <v>156900000</v>
      </c>
      <c r="Y6" s="343">
        <f t="shared" si="1"/>
        <v>161100000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ht="16.5">
      <c r="A7" s="333" t="s">
        <v>36</v>
      </c>
      <c r="B7" s="333" t="s">
        <v>36</v>
      </c>
      <c r="C7" s="11" t="s">
        <v>38</v>
      </c>
      <c r="D7" s="28"/>
      <c r="E7" s="28"/>
      <c r="F7" s="28"/>
      <c r="G7" s="28"/>
      <c r="H7" s="142">
        <f>H8+H17+H13</f>
        <v>33400000</v>
      </c>
      <c r="I7" s="142">
        <f t="shared" ref="I7:R7" si="2">I8+I17+I13</f>
        <v>35500000</v>
      </c>
      <c r="J7" s="142">
        <f t="shared" si="2"/>
        <v>36300000</v>
      </c>
      <c r="K7" s="142">
        <f t="shared" si="2"/>
        <v>38600000</v>
      </c>
      <c r="L7" s="142">
        <f t="shared" si="2"/>
        <v>39100000</v>
      </c>
      <c r="M7" s="142">
        <f t="shared" si="2"/>
        <v>30800000</v>
      </c>
      <c r="N7" s="142">
        <f t="shared" si="2"/>
        <v>32800000</v>
      </c>
      <c r="O7" s="142">
        <f t="shared" si="2"/>
        <v>34500000</v>
      </c>
      <c r="P7" s="142">
        <f t="shared" si="2"/>
        <v>34500000</v>
      </c>
      <c r="Q7" s="142">
        <f t="shared" si="2"/>
        <v>39500000</v>
      </c>
      <c r="R7" s="142">
        <f t="shared" si="2"/>
        <v>43600000</v>
      </c>
      <c r="S7" s="142">
        <f>S8+S17</f>
        <v>49100000</v>
      </c>
      <c r="T7" s="142">
        <f t="shared" ref="T7:Y7" si="3">T8+T17</f>
        <v>62700000</v>
      </c>
      <c r="U7" s="142">
        <f t="shared" si="3"/>
        <v>85200000</v>
      </c>
      <c r="V7" s="142">
        <f t="shared" si="3"/>
        <v>71300000</v>
      </c>
      <c r="W7" s="142">
        <f t="shared" si="3"/>
        <v>72400000</v>
      </c>
      <c r="X7" s="142">
        <f t="shared" si="3"/>
        <v>73500000</v>
      </c>
      <c r="Y7" s="142">
        <f t="shared" si="3"/>
        <v>74800000</v>
      </c>
      <c r="Z7" s="46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f>P9+P10+P11+P12</f>
        <v>28800000</v>
      </c>
      <c r="Q8" s="142">
        <f>Q9+Q10+Q11+Q12</f>
        <v>30000000</v>
      </c>
      <c r="R8" s="142">
        <v>29100000</v>
      </c>
      <c r="S8" s="142">
        <f>S9+S10+S11+S12</f>
        <v>30700000</v>
      </c>
      <c r="T8" s="142">
        <f t="shared" ref="T8:Y8" si="4">T9+T10+T11+T12</f>
        <v>34000000</v>
      </c>
      <c r="U8" s="142">
        <f t="shared" si="4"/>
        <v>40600000</v>
      </c>
      <c r="V8" s="142">
        <f t="shared" si="4"/>
        <v>41600000</v>
      </c>
      <c r="W8" s="142">
        <f t="shared" si="4"/>
        <v>42700000</v>
      </c>
      <c r="X8" s="142">
        <f t="shared" si="4"/>
        <v>43800000</v>
      </c>
      <c r="Y8" s="142">
        <f t="shared" si="4"/>
        <v>45100000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0" t="s">
        <v>42</v>
      </c>
      <c r="B9" s="100" t="s">
        <v>2444</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3">
        <v>11900000</v>
      </c>
      <c r="T9" s="13">
        <v>13800000</v>
      </c>
      <c r="U9" s="13">
        <v>15700000</v>
      </c>
      <c r="V9" s="13">
        <v>16300000</v>
      </c>
      <c r="W9" s="13">
        <v>16800000</v>
      </c>
      <c r="X9" s="13">
        <v>17400000</v>
      </c>
      <c r="Y9" s="13">
        <v>18000000</v>
      </c>
      <c r="Z9" s="365"/>
      <c r="AA9" s="365">
        <f>S9*1000000</f>
        <v>11900000000000</v>
      </c>
      <c r="AB9" s="365">
        <f t="shared" ref="AB9:AG9" si="5">T9*1000000</f>
        <v>13800000000000</v>
      </c>
      <c r="AC9" s="365">
        <f t="shared" si="5"/>
        <v>15700000000000</v>
      </c>
      <c r="AD9" s="365">
        <f t="shared" si="5"/>
        <v>16300000000000</v>
      </c>
      <c r="AE9" s="365">
        <f t="shared" si="5"/>
        <v>16800000000000</v>
      </c>
      <c r="AF9" s="365">
        <f t="shared" si="5"/>
        <v>17400000000000</v>
      </c>
      <c r="AG9" s="365">
        <f t="shared" si="5"/>
        <v>18000000000000</v>
      </c>
      <c r="AH9" s="365"/>
      <c r="AI9" s="365"/>
      <c r="AJ9" s="365"/>
      <c r="AK9" s="365"/>
      <c r="AL9" s="365"/>
      <c r="AM9" s="365"/>
      <c r="AN9" s="365"/>
      <c r="AO9" s="365"/>
      <c r="AP9" s="365"/>
      <c r="AQ9" s="365"/>
      <c r="AR9" s="365"/>
      <c r="AS9" s="365"/>
      <c r="AT9" s="365"/>
      <c r="AU9" s="365"/>
      <c r="AV9" s="365"/>
      <c r="AW9" s="365"/>
      <c r="AX9" s="365"/>
    </row>
    <row r="10" spans="1:50" ht="16.5">
      <c r="A10" s="100" t="s">
        <v>47</v>
      </c>
      <c r="B10" s="100" t="s">
        <v>320</v>
      </c>
      <c r="C10" s="27" t="s">
        <v>44</v>
      </c>
      <c r="D10" s="28"/>
      <c r="E10" s="28"/>
      <c r="F10" s="28"/>
      <c r="G10" s="28"/>
      <c r="H10" s="298"/>
      <c r="I10" s="298"/>
      <c r="J10" s="298"/>
      <c r="K10" s="298"/>
      <c r="L10" s="298"/>
      <c r="M10" s="142">
        <v>8600000</v>
      </c>
      <c r="N10" s="142">
        <v>9200000</v>
      </c>
      <c r="O10" s="142">
        <v>9000000</v>
      </c>
      <c r="P10" s="142">
        <v>10500000</v>
      </c>
      <c r="Q10" s="142">
        <v>10500000</v>
      </c>
      <c r="R10" s="142">
        <v>10600000</v>
      </c>
      <c r="S10" s="13">
        <v>11100000</v>
      </c>
      <c r="T10" s="13">
        <v>11900000</v>
      </c>
      <c r="U10" s="142">
        <v>15200000</v>
      </c>
      <c r="V10" s="142">
        <v>15300000</v>
      </c>
      <c r="W10" s="142">
        <v>15500000</v>
      </c>
      <c r="X10" s="142">
        <v>15700000</v>
      </c>
      <c r="Y10" s="142">
        <v>16000000</v>
      </c>
      <c r="Z10" s="365"/>
      <c r="AA10" s="365">
        <f>S10*1000000</f>
        <v>11100000000000</v>
      </c>
      <c r="AB10" s="365">
        <f t="shared" ref="AB10:AB12" si="6">T10*1000000</f>
        <v>11900000000000</v>
      </c>
      <c r="AC10" s="365">
        <f t="shared" ref="AC10:AC12" si="7">U10*1000000</f>
        <v>15200000000000</v>
      </c>
      <c r="AD10" s="365">
        <f t="shared" ref="AD10:AD12" si="8">V10*1000000</f>
        <v>15300000000000</v>
      </c>
      <c r="AE10" s="365">
        <f t="shared" ref="AE10:AE12" si="9">W10*1000000</f>
        <v>15500000000000</v>
      </c>
      <c r="AF10" s="365">
        <f t="shared" ref="AF10:AF12" si="10">X10*1000000</f>
        <v>15700000000000</v>
      </c>
      <c r="AG10" s="365">
        <f t="shared" ref="AG10:AG12" si="11">Y10*1000000</f>
        <v>16000000000000</v>
      </c>
      <c r="AH10" s="365"/>
      <c r="AI10" s="365"/>
      <c r="AJ10" s="365"/>
      <c r="AK10" s="365"/>
      <c r="AL10" s="365"/>
      <c r="AM10" s="365"/>
      <c r="AN10" s="365"/>
      <c r="AO10" s="365"/>
      <c r="AP10" s="365"/>
      <c r="AQ10" s="365"/>
      <c r="AR10" s="365"/>
      <c r="AS10" s="365"/>
      <c r="AT10" s="365"/>
      <c r="AU10" s="365"/>
      <c r="AV10" s="365"/>
      <c r="AW10" s="365"/>
      <c r="AX10" s="365"/>
    </row>
    <row r="11" spans="1:50" ht="16.5">
      <c r="A11" s="100" t="s">
        <v>2448</v>
      </c>
      <c r="B11" s="100" t="s">
        <v>2449</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7700000</v>
      </c>
      <c r="T11" s="142">
        <v>8199999.9999999991</v>
      </c>
      <c r="U11" s="142">
        <v>9600000</v>
      </c>
      <c r="V11" s="142">
        <v>9900000</v>
      </c>
      <c r="W11" s="142">
        <v>10300000</v>
      </c>
      <c r="X11" s="142">
        <v>10600000</v>
      </c>
      <c r="Y11" s="142">
        <v>11000000</v>
      </c>
      <c r="Z11" s="365"/>
      <c r="AA11" s="365">
        <f>S11*1000000</f>
        <v>7700000000000</v>
      </c>
      <c r="AB11" s="365">
        <f t="shared" si="6"/>
        <v>8199999999999.999</v>
      </c>
      <c r="AC11" s="365">
        <f t="shared" si="7"/>
        <v>9600000000000</v>
      </c>
      <c r="AD11" s="365">
        <f t="shared" si="8"/>
        <v>9900000000000</v>
      </c>
      <c r="AE11" s="365">
        <f t="shared" si="9"/>
        <v>10300000000000</v>
      </c>
      <c r="AF11" s="365">
        <f t="shared" si="10"/>
        <v>10600000000000</v>
      </c>
      <c r="AG11" s="365">
        <f t="shared" si="11"/>
        <v>11000000000000</v>
      </c>
      <c r="AH11" s="365"/>
      <c r="AI11" s="365"/>
      <c r="AJ11" s="365"/>
      <c r="AK11" s="365"/>
      <c r="AL11" s="365"/>
      <c r="AM11" s="365"/>
      <c r="AN11" s="365"/>
      <c r="AO11" s="365"/>
      <c r="AP11" s="365"/>
      <c r="AQ11" s="365"/>
      <c r="AR11" s="365"/>
      <c r="AS11" s="365"/>
      <c r="AT11" s="365"/>
      <c r="AU11" s="365"/>
      <c r="AV11" s="365"/>
      <c r="AW11" s="365"/>
      <c r="AX11" s="365"/>
    </row>
    <row r="12" spans="1:50" ht="16.5">
      <c r="A12" s="100" t="s">
        <v>49</v>
      </c>
      <c r="B12" s="100" t="s">
        <v>1054</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0</v>
      </c>
      <c r="T12" s="142">
        <v>100000</v>
      </c>
      <c r="U12" s="142">
        <v>100000</v>
      </c>
      <c r="V12" s="142">
        <v>100000</v>
      </c>
      <c r="W12" s="142">
        <v>100000</v>
      </c>
      <c r="X12" s="142">
        <v>100000</v>
      </c>
      <c r="Y12" s="142">
        <v>100000</v>
      </c>
      <c r="Z12" s="365"/>
      <c r="AA12" s="365">
        <f>S12*1000000</f>
        <v>0</v>
      </c>
      <c r="AB12" s="365">
        <f t="shared" si="6"/>
        <v>100000000000</v>
      </c>
      <c r="AC12" s="365">
        <f t="shared" si="7"/>
        <v>100000000000</v>
      </c>
      <c r="AD12" s="365">
        <f t="shared" si="8"/>
        <v>100000000000</v>
      </c>
      <c r="AE12" s="365">
        <f t="shared" si="9"/>
        <v>100000000000</v>
      </c>
      <c r="AF12" s="365">
        <f t="shared" si="10"/>
        <v>100000000000</v>
      </c>
      <c r="AG12" s="365">
        <f t="shared" si="11"/>
        <v>100000000000</v>
      </c>
      <c r="AH12" s="365"/>
      <c r="AI12" s="365"/>
      <c r="AJ12" s="365"/>
      <c r="AK12" s="365"/>
      <c r="AL12" s="365"/>
      <c r="AM12" s="365"/>
      <c r="AN12" s="365"/>
      <c r="AO12" s="365"/>
      <c r="AP12" s="365"/>
      <c r="AQ12" s="365"/>
      <c r="AR12" s="365"/>
      <c r="AS12" s="365"/>
      <c r="AT12" s="365"/>
      <c r="AU12" s="365"/>
      <c r="AV12" s="365"/>
      <c r="AW12" s="365"/>
      <c r="AX12" s="365"/>
    </row>
    <row r="13" spans="1:50" ht="16.5">
      <c r="A13" s="99" t="s">
        <v>558</v>
      </c>
      <c r="B13" s="99" t="s">
        <v>3103</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s="15" customFormat="1" ht="16.5">
      <c r="A14" s="96" t="s">
        <v>795</v>
      </c>
      <c r="B14" s="96" t="s">
        <v>4320</v>
      </c>
      <c r="C14" s="11" t="s">
        <v>38</v>
      </c>
      <c r="D14" s="200"/>
      <c r="E14" s="200"/>
      <c r="F14" s="200"/>
      <c r="G14" s="200"/>
      <c r="H14" s="343">
        <v>42600000</v>
      </c>
      <c r="I14" s="343">
        <v>50100000</v>
      </c>
      <c r="J14" s="343">
        <v>58500000</v>
      </c>
      <c r="K14" s="343">
        <v>69600000</v>
      </c>
      <c r="L14" s="343">
        <v>68000000</v>
      </c>
      <c r="M14" s="343">
        <v>66900000.000000007</v>
      </c>
      <c r="N14" s="343">
        <v>68200000</v>
      </c>
      <c r="O14" s="343">
        <v>65500000</v>
      </c>
      <c r="P14" s="343">
        <f t="shared" ref="P14:Q14" si="12">P15+P16</f>
        <v>58900000</v>
      </c>
      <c r="Q14" s="343">
        <f t="shared" si="12"/>
        <v>60900000</v>
      </c>
      <c r="R14" s="343">
        <f>R15+R16</f>
        <v>53600000</v>
      </c>
      <c r="S14" s="343">
        <f>S15+S16</f>
        <v>58500000</v>
      </c>
      <c r="T14" s="343">
        <f t="shared" ref="T14:Y14" si="13">T15+T16</f>
        <v>59000000</v>
      </c>
      <c r="U14" s="343">
        <f t="shared" si="13"/>
        <v>65300000</v>
      </c>
      <c r="V14" s="343">
        <f t="shared" si="13"/>
        <v>75300000</v>
      </c>
      <c r="W14" s="343">
        <f t="shared" si="13"/>
        <v>79400000</v>
      </c>
      <c r="X14" s="343">
        <f t="shared" si="13"/>
        <v>83400000</v>
      </c>
      <c r="Y14" s="343">
        <f t="shared" si="13"/>
        <v>86300000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2453" t="s">
        <v>541</v>
      </c>
      <c r="B15" s="2453" t="s">
        <v>541</v>
      </c>
      <c r="C15" s="2579" t="s">
        <v>57</v>
      </c>
      <c r="D15" s="28"/>
      <c r="E15" s="28"/>
      <c r="F15" s="28"/>
      <c r="G15" s="28"/>
      <c r="H15" s="142"/>
      <c r="I15" s="142"/>
      <c r="J15" s="142"/>
      <c r="K15" s="142"/>
      <c r="L15" s="142"/>
      <c r="M15" s="142"/>
      <c r="N15" s="142"/>
      <c r="O15" s="142"/>
      <c r="P15" s="142">
        <v>53500000</v>
      </c>
      <c r="Q15" s="142">
        <v>56700000</v>
      </c>
      <c r="R15" s="142">
        <v>51700000</v>
      </c>
      <c r="S15" s="142">
        <v>55900000</v>
      </c>
      <c r="T15">
        <v>55200000</v>
      </c>
      <c r="U15" s="142">
        <v>57000000</v>
      </c>
      <c r="V15" s="142">
        <v>58300000</v>
      </c>
      <c r="W15" s="142">
        <v>59900000</v>
      </c>
      <c r="X15" s="142">
        <v>61400000</v>
      </c>
      <c r="Y15" s="142">
        <v>62800000</v>
      </c>
      <c r="Z15" s="365"/>
      <c r="AA15" s="365">
        <f>S15*1000000</f>
        <v>55900000000000</v>
      </c>
      <c r="AB15" s="365">
        <f t="shared" ref="AB15:AB18" si="14">T15*1000000</f>
        <v>55200000000000</v>
      </c>
      <c r="AC15" s="365">
        <f t="shared" ref="AC15:AC18" si="15">U15*1000000</f>
        <v>57000000000000</v>
      </c>
      <c r="AD15" s="365">
        <f t="shared" ref="AD15:AD18" si="16">V15*1000000</f>
        <v>58300000000000</v>
      </c>
      <c r="AE15" s="365">
        <f t="shared" ref="AE15:AE18" si="17">W15*1000000</f>
        <v>59900000000000</v>
      </c>
      <c r="AF15" s="365">
        <f t="shared" ref="AF15:AF18" si="18">X15*1000000</f>
        <v>61400000000000</v>
      </c>
      <c r="AG15" s="365">
        <f t="shared" ref="AG15:AG18" si="19">Y15*1000000</f>
        <v>62800000000000</v>
      </c>
      <c r="AH15" s="365"/>
      <c r="AI15" s="365"/>
      <c r="AJ15" s="365"/>
      <c r="AK15" s="365"/>
      <c r="AL15" s="365"/>
      <c r="AM15" s="365"/>
      <c r="AN15" s="365"/>
      <c r="AO15" s="365"/>
      <c r="AP15" s="365"/>
      <c r="AQ15" s="365"/>
      <c r="AR15" s="365"/>
      <c r="AS15" s="365"/>
      <c r="AT15" s="365"/>
      <c r="AU15" s="365"/>
      <c r="AV15" s="365"/>
      <c r="AW15" s="365"/>
      <c r="AX15" s="365"/>
    </row>
    <row r="16" spans="1:50" ht="16.5">
      <c r="A16" s="2453" t="s">
        <v>540</v>
      </c>
      <c r="B16" s="2453" t="s">
        <v>540</v>
      </c>
      <c r="C16" s="2579" t="s">
        <v>57</v>
      </c>
      <c r="D16" s="28"/>
      <c r="E16" s="28"/>
      <c r="F16" s="28"/>
      <c r="G16" s="28"/>
      <c r="H16" s="142"/>
      <c r="I16" s="142"/>
      <c r="J16" s="142"/>
      <c r="K16" s="142"/>
      <c r="L16" s="142"/>
      <c r="M16" s="142"/>
      <c r="N16" s="142"/>
      <c r="O16" s="142"/>
      <c r="P16" s="142">
        <v>5400000</v>
      </c>
      <c r="Q16" s="142">
        <v>4200000</v>
      </c>
      <c r="R16" s="142">
        <v>1900000</v>
      </c>
      <c r="S16" s="142">
        <v>2600000</v>
      </c>
      <c r="T16" s="142">
        <v>3800000</v>
      </c>
      <c r="U16" s="142">
        <v>8300000.0000000009</v>
      </c>
      <c r="V16" s="142">
        <v>17000000</v>
      </c>
      <c r="W16" s="142">
        <v>19500000</v>
      </c>
      <c r="X16" s="142">
        <v>22000000</v>
      </c>
      <c r="Y16" s="142">
        <v>23500000</v>
      </c>
      <c r="Z16" s="365"/>
      <c r="AA16" s="365">
        <f>S16*1000000</f>
        <v>2600000000000</v>
      </c>
      <c r="AB16" s="365">
        <f t="shared" si="14"/>
        <v>3800000000000</v>
      </c>
      <c r="AC16" s="365">
        <f t="shared" si="15"/>
        <v>8300000000000.001</v>
      </c>
      <c r="AD16" s="365">
        <f t="shared" si="16"/>
        <v>17000000000000</v>
      </c>
      <c r="AE16" s="365">
        <f t="shared" si="17"/>
        <v>19500000000000</v>
      </c>
      <c r="AF16" s="365">
        <f t="shared" si="18"/>
        <v>22000000000000</v>
      </c>
      <c r="AG16" s="365">
        <f t="shared" si="19"/>
        <v>23500000000000</v>
      </c>
      <c r="AH16" s="365"/>
      <c r="AI16" s="365"/>
      <c r="AJ16" s="365"/>
      <c r="AK16" s="365"/>
      <c r="AL16" s="365"/>
      <c r="AM16" s="365"/>
      <c r="AN16" s="365"/>
      <c r="AO16" s="365"/>
      <c r="AP16" s="365"/>
      <c r="AQ16" s="365"/>
      <c r="AR16" s="365"/>
      <c r="AS16" s="365"/>
      <c r="AT16" s="365"/>
      <c r="AU16" s="365"/>
      <c r="AV16" s="365"/>
      <c r="AW16" s="365"/>
      <c r="AX16" s="365"/>
    </row>
    <row r="17" spans="1:50" ht="16.5">
      <c r="A17" s="99" t="s">
        <v>560</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f>P19+P20</f>
        <v>5700000</v>
      </c>
      <c r="Q17" s="142">
        <f>Q19+Q20</f>
        <v>9500000</v>
      </c>
      <c r="R17" s="142">
        <v>14500000</v>
      </c>
      <c r="S17" s="142">
        <v>18400000</v>
      </c>
      <c r="T17" s="142">
        <v>28700000</v>
      </c>
      <c r="U17" s="142">
        <v>44600000</v>
      </c>
      <c r="V17" s="142">
        <v>29700000</v>
      </c>
      <c r="W17" s="142">
        <v>29700000</v>
      </c>
      <c r="X17" s="142">
        <v>29700000</v>
      </c>
      <c r="Y17" s="142">
        <v>29700000</v>
      </c>
      <c r="Z17" s="365"/>
      <c r="AA17" s="365">
        <f>S17*1000000</f>
        <v>18400000000000</v>
      </c>
      <c r="AB17" s="365">
        <f t="shared" si="14"/>
        <v>28700000000000</v>
      </c>
      <c r="AC17" s="365">
        <f t="shared" si="15"/>
        <v>44600000000000</v>
      </c>
      <c r="AD17" s="365">
        <f t="shared" si="16"/>
        <v>29700000000000</v>
      </c>
      <c r="AE17" s="365">
        <f t="shared" si="17"/>
        <v>29700000000000</v>
      </c>
      <c r="AF17" s="365">
        <f t="shared" si="18"/>
        <v>29700000000000</v>
      </c>
      <c r="AG17" s="365">
        <f t="shared" si="19"/>
        <v>29700000000000</v>
      </c>
      <c r="AH17" s="365"/>
      <c r="AI17" s="365"/>
      <c r="AJ17" s="365"/>
      <c r="AK17" s="365"/>
      <c r="AL17" s="365"/>
      <c r="AM17" s="365"/>
      <c r="AN17" s="365"/>
      <c r="AO17" s="365"/>
      <c r="AP17" s="365"/>
      <c r="AQ17" s="365"/>
      <c r="AR17" s="365"/>
      <c r="AS17" s="365"/>
      <c r="AT17" s="365"/>
      <c r="AU17" s="365"/>
      <c r="AV17" s="365"/>
      <c r="AW17" s="365"/>
      <c r="AX17" s="365"/>
    </row>
    <row r="18" spans="1:50" ht="16.5">
      <c r="A18" s="99" t="s">
        <v>7169</v>
      </c>
      <c r="B18" s="99" t="s">
        <v>7169</v>
      </c>
      <c r="C18" s="27" t="s">
        <v>1515</v>
      </c>
      <c r="D18" s="28"/>
      <c r="E18" s="28"/>
      <c r="F18" s="28"/>
      <c r="G18" s="28"/>
      <c r="H18" s="142"/>
      <c r="I18" s="142"/>
      <c r="J18" s="142"/>
      <c r="K18" s="142"/>
      <c r="L18" s="142"/>
      <c r="M18" s="142"/>
      <c r="N18" s="142"/>
      <c r="O18" s="142"/>
      <c r="P18" s="142"/>
      <c r="Q18" s="142"/>
      <c r="R18" s="142">
        <v>11500000</v>
      </c>
      <c r="S18" s="142">
        <v>15800000</v>
      </c>
      <c r="T18" s="142">
        <v>26300000</v>
      </c>
      <c r="U18" s="142">
        <v>40000000</v>
      </c>
      <c r="V18" s="142">
        <v>26300000</v>
      </c>
      <c r="W18" s="142">
        <v>26300000</v>
      </c>
      <c r="X18" s="142">
        <v>26300000</v>
      </c>
      <c r="Y18" s="142">
        <v>26300000</v>
      </c>
      <c r="Z18" s="365"/>
      <c r="AA18" s="365">
        <f>S18*1000000</f>
        <v>15800000000000</v>
      </c>
      <c r="AB18" s="365">
        <f t="shared" si="14"/>
        <v>26300000000000</v>
      </c>
      <c r="AC18" s="365">
        <f t="shared" si="15"/>
        <v>40000000000000</v>
      </c>
      <c r="AD18" s="365">
        <f t="shared" si="16"/>
        <v>26300000000000</v>
      </c>
      <c r="AE18" s="365">
        <f t="shared" si="17"/>
        <v>26300000000000</v>
      </c>
      <c r="AF18" s="365">
        <f t="shared" si="18"/>
        <v>26300000000000</v>
      </c>
      <c r="AG18" s="365">
        <f t="shared" si="19"/>
        <v>26300000000000</v>
      </c>
      <c r="AH18" s="365"/>
      <c r="AI18" s="365"/>
      <c r="AJ18" s="365"/>
      <c r="AK18" s="365"/>
      <c r="AL18" s="365"/>
      <c r="AM18" s="365"/>
      <c r="AN18" s="365"/>
      <c r="AO18" s="365"/>
      <c r="AP18" s="365"/>
      <c r="AQ18" s="365"/>
      <c r="AR18" s="365"/>
      <c r="AS18" s="365"/>
      <c r="AT18" s="365"/>
      <c r="AU18" s="365"/>
      <c r="AV18" s="365"/>
      <c r="AW18" s="365"/>
      <c r="AX18" s="365"/>
    </row>
    <row r="19" spans="1:50" ht="16.5">
      <c r="A19" s="100" t="s">
        <v>2231</v>
      </c>
      <c r="B19" s="100" t="s">
        <v>1150</v>
      </c>
      <c r="C19" s="27" t="s">
        <v>1515</v>
      </c>
      <c r="D19" s="28"/>
      <c r="E19" s="28"/>
      <c r="F19" s="28"/>
      <c r="G19" s="28"/>
      <c r="H19" s="142">
        <v>1100000</v>
      </c>
      <c r="I19" s="142">
        <v>1400000</v>
      </c>
      <c r="J19" s="142">
        <v>1600000</v>
      </c>
      <c r="K19" s="142">
        <v>1500000</v>
      </c>
      <c r="L19" s="142">
        <v>1900000</v>
      </c>
      <c r="M19" s="142">
        <v>1600000</v>
      </c>
      <c r="N19" s="142">
        <v>2100000</v>
      </c>
      <c r="O19" s="142">
        <v>3200000</v>
      </c>
      <c r="P19" s="142">
        <v>4300000</v>
      </c>
      <c r="Q19" s="142">
        <v>8100000</v>
      </c>
      <c r="R19" s="142"/>
      <c r="S19" s="142"/>
      <c r="T19" s="142"/>
      <c r="U19" s="142"/>
      <c r="V19" s="142"/>
      <c r="W19" s="142"/>
      <c r="X19" s="142"/>
      <c r="Y19" s="142"/>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0" t="s">
        <v>4321</v>
      </c>
      <c r="B20" s="100" t="s">
        <v>4322</v>
      </c>
      <c r="C20" s="27" t="s">
        <v>1515</v>
      </c>
      <c r="D20" s="28"/>
      <c r="E20" s="28"/>
      <c r="F20" s="28"/>
      <c r="G20" s="28"/>
      <c r="H20" s="142">
        <v>1400000</v>
      </c>
      <c r="I20" s="142">
        <v>1400000</v>
      </c>
      <c r="J20" s="142">
        <v>1300000</v>
      </c>
      <c r="K20" s="142">
        <v>1200000</v>
      </c>
      <c r="L20" s="142">
        <v>1500000</v>
      </c>
      <c r="M20" s="142">
        <v>1600000</v>
      </c>
      <c r="N20" s="142">
        <v>2500000</v>
      </c>
      <c r="O20" s="142">
        <v>2300000</v>
      </c>
      <c r="P20" s="142">
        <v>1400000</v>
      </c>
      <c r="Q20" s="142">
        <v>1400000</v>
      </c>
      <c r="R20" s="142"/>
      <c r="S20" s="142"/>
      <c r="T20" s="142"/>
      <c r="U20" s="142"/>
      <c r="V20" s="142"/>
      <c r="W20" s="142"/>
      <c r="X20" s="142"/>
      <c r="Y20" s="142"/>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ht="16.5">
      <c r="A21" s="100" t="s">
        <v>4323</v>
      </c>
      <c r="B21" s="100" t="s">
        <v>4324</v>
      </c>
      <c r="C21" s="27" t="s">
        <v>1515</v>
      </c>
      <c r="D21" s="28"/>
      <c r="E21" s="28"/>
      <c r="F21" s="28"/>
      <c r="G21" s="28"/>
      <c r="H21" s="142">
        <v>2100000</v>
      </c>
      <c r="I21" s="142">
        <v>2200000</v>
      </c>
      <c r="J21" s="142">
        <v>1800000</v>
      </c>
      <c r="K21" s="142">
        <v>2400000</v>
      </c>
      <c r="L21" s="142">
        <v>2700000</v>
      </c>
      <c r="M21" s="142"/>
      <c r="N21" s="142"/>
      <c r="O21" s="142"/>
      <c r="P21" s="142"/>
      <c r="Q21" s="142"/>
      <c r="R21" s="142">
        <f>R17-R18</f>
        <v>3000000</v>
      </c>
      <c r="S21" s="142">
        <f t="shared" ref="S21:Y21" si="20">S17-S18</f>
        <v>2600000</v>
      </c>
      <c r="T21" s="142">
        <f t="shared" si="20"/>
        <v>2400000</v>
      </c>
      <c r="U21" s="142">
        <f t="shared" si="20"/>
        <v>4600000</v>
      </c>
      <c r="V21" s="142">
        <f t="shared" si="20"/>
        <v>3400000</v>
      </c>
      <c r="W21" s="142">
        <f t="shared" si="20"/>
        <v>3400000</v>
      </c>
      <c r="X21" s="142">
        <f t="shared" si="20"/>
        <v>3400000</v>
      </c>
      <c r="Y21" s="142">
        <f t="shared" si="20"/>
        <v>3400000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s="15" customFormat="1" ht="16.5">
      <c r="A22" s="252" t="s">
        <v>198</v>
      </c>
      <c r="B22" s="252" t="s">
        <v>535</v>
      </c>
      <c r="C22" s="368" t="s">
        <v>35</v>
      </c>
      <c r="D22" s="200"/>
      <c r="E22" s="200"/>
      <c r="F22" s="200"/>
      <c r="G22" s="200"/>
      <c r="H22" s="343">
        <v>77800000</v>
      </c>
      <c r="I22" s="343">
        <v>90200000</v>
      </c>
      <c r="J22" s="343">
        <v>92900000</v>
      </c>
      <c r="K22" s="343">
        <v>107800000</v>
      </c>
      <c r="L22" s="343">
        <v>101300000</v>
      </c>
      <c r="M22" s="343">
        <v>95400000</v>
      </c>
      <c r="N22" s="343">
        <v>95400000</v>
      </c>
      <c r="O22" s="343">
        <v>96300000</v>
      </c>
      <c r="P22" s="343">
        <v>96200000</v>
      </c>
      <c r="Q22" s="343">
        <v>102500000</v>
      </c>
      <c r="R22" s="343">
        <v>91500000</v>
      </c>
      <c r="S22" s="343">
        <f>S23+S31</f>
        <v>92800000</v>
      </c>
      <c r="T22" s="343">
        <f t="shared" ref="T22:Y22" si="21">T23+T31</f>
        <v>103400000</v>
      </c>
      <c r="U22" s="343">
        <f t="shared" si="21"/>
        <v>131400000</v>
      </c>
      <c r="V22" s="343">
        <f t="shared" si="21"/>
        <v>129300000</v>
      </c>
      <c r="W22" s="343">
        <f t="shared" si="21"/>
        <v>135800000</v>
      </c>
      <c r="X22" s="343">
        <f t="shared" si="21"/>
        <v>142500000</v>
      </c>
      <c r="Y22" s="343">
        <f t="shared" si="21"/>
        <v>147600000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t="s">
        <v>73</v>
      </c>
      <c r="B23" s="139" t="s">
        <v>382</v>
      </c>
      <c r="C23" s="58" t="s">
        <v>201</v>
      </c>
      <c r="D23" s="28"/>
      <c r="E23" s="28"/>
      <c r="F23" s="28"/>
      <c r="G23" s="28"/>
      <c r="H23" s="142">
        <v>66700000</v>
      </c>
      <c r="I23" s="142">
        <v>77500000</v>
      </c>
      <c r="J23" s="142">
        <v>78300000</v>
      </c>
      <c r="K23" s="142">
        <v>82100000</v>
      </c>
      <c r="L23" s="142">
        <v>82900000</v>
      </c>
      <c r="M23" s="142">
        <v>79100000</v>
      </c>
      <c r="N23" s="142">
        <v>78900000</v>
      </c>
      <c r="O23" s="142">
        <v>83200000</v>
      </c>
      <c r="P23" s="142">
        <v>88900000</v>
      </c>
      <c r="Q23" s="142">
        <v>95300000</v>
      </c>
      <c r="R23" s="142">
        <v>86100000</v>
      </c>
      <c r="S23" s="142">
        <f>S24+S26+S27+S28+S30</f>
        <v>85800000</v>
      </c>
      <c r="T23" s="142">
        <f t="shared" ref="T23:Y23" si="22">T24+T26+T27+T28+T30</f>
        <v>97200000</v>
      </c>
      <c r="U23" s="142">
        <f t="shared" si="22"/>
        <v>114400000</v>
      </c>
      <c r="V23" s="142">
        <f t="shared" si="22"/>
        <v>109900000</v>
      </c>
      <c r="W23" s="142">
        <f t="shared" si="22"/>
        <v>113800000</v>
      </c>
      <c r="X23" s="142">
        <f t="shared" si="22"/>
        <v>117900000</v>
      </c>
      <c r="Y23" s="142">
        <f t="shared" si="22"/>
        <v>121200000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99" t="s">
        <v>797</v>
      </c>
      <c r="B24" s="99" t="s">
        <v>383</v>
      </c>
      <c r="C24" s="58" t="s">
        <v>204</v>
      </c>
      <c r="D24" s="28"/>
      <c r="E24" s="28"/>
      <c r="F24" s="28"/>
      <c r="G24" s="28"/>
      <c r="H24" s="142">
        <v>30100000</v>
      </c>
      <c r="I24" s="142">
        <v>32799999.999999996</v>
      </c>
      <c r="J24" s="142">
        <v>34100000</v>
      </c>
      <c r="K24" s="142">
        <v>33500000</v>
      </c>
      <c r="L24" s="142">
        <v>34200000</v>
      </c>
      <c r="M24" s="142">
        <v>37000000</v>
      </c>
      <c r="N24" s="142">
        <v>37600000</v>
      </c>
      <c r="O24" s="142">
        <v>37700000</v>
      </c>
      <c r="P24" s="142">
        <v>38600000</v>
      </c>
      <c r="Q24" s="142">
        <v>40500000</v>
      </c>
      <c r="R24" s="142">
        <v>40300000</v>
      </c>
      <c r="S24" s="142">
        <v>41400000</v>
      </c>
      <c r="T24">
        <v>42400000</v>
      </c>
      <c r="U24" s="142">
        <v>49000000</v>
      </c>
      <c r="V24" s="142">
        <v>49500000</v>
      </c>
      <c r="W24" s="142">
        <v>50000000</v>
      </c>
      <c r="X24" s="142">
        <v>50600000</v>
      </c>
      <c r="Y24" s="142">
        <v>51200000</v>
      </c>
      <c r="Z24" s="365"/>
      <c r="AA24" s="365">
        <f>S24*1000000</f>
        <v>41400000000000</v>
      </c>
      <c r="AB24" s="365">
        <f t="shared" ref="AB24" si="23">T24*1000000</f>
        <v>42400000000000</v>
      </c>
      <c r="AC24" s="365">
        <f t="shared" ref="AC24" si="24">U24*1000000</f>
        <v>49000000000000</v>
      </c>
      <c r="AD24" s="365">
        <f t="shared" ref="AD24" si="25">V24*1000000</f>
        <v>49500000000000</v>
      </c>
      <c r="AE24" s="365">
        <f t="shared" ref="AE24" si="26">W24*1000000</f>
        <v>50000000000000</v>
      </c>
      <c r="AF24" s="365">
        <f t="shared" ref="AF24" si="27">X24*1000000</f>
        <v>50600000000000</v>
      </c>
      <c r="AG24" s="365">
        <f t="shared" ref="AG24" si="28">Y24*1000000</f>
        <v>51200000000000</v>
      </c>
      <c r="AH24" s="365"/>
      <c r="AI24" s="365"/>
      <c r="AJ24" s="365"/>
      <c r="AK24" s="365"/>
      <c r="AL24" s="365"/>
      <c r="AM24" s="365"/>
      <c r="AN24" s="365"/>
      <c r="AO24" s="365"/>
      <c r="AP24" s="365"/>
      <c r="AQ24" s="365"/>
      <c r="AR24" s="365"/>
      <c r="AS24" s="365"/>
      <c r="AT24" s="365"/>
      <c r="AU24" s="365"/>
      <c r="AV24" s="365"/>
      <c r="AW24" s="365"/>
      <c r="AX24" s="365"/>
    </row>
    <row r="25" spans="1:50" ht="16.5">
      <c r="A25" t="s">
        <v>76</v>
      </c>
      <c r="B25" s="100" t="s">
        <v>80</v>
      </c>
      <c r="C25" s="27"/>
      <c r="D25" s="28"/>
      <c r="E25" s="28"/>
      <c r="F25" s="28"/>
      <c r="G25" s="28"/>
      <c r="H25" s="142">
        <v>30100000</v>
      </c>
      <c r="I25" s="142">
        <v>32799999.999999996</v>
      </c>
      <c r="J25" s="142">
        <v>34100000</v>
      </c>
      <c r="K25" s="142">
        <v>33500000</v>
      </c>
      <c r="L25" s="142">
        <v>34200000</v>
      </c>
      <c r="M25" s="142">
        <v>37000000</v>
      </c>
      <c r="N25" s="142">
        <v>37600000</v>
      </c>
      <c r="O25" s="142">
        <v>37700000</v>
      </c>
      <c r="P25" s="142">
        <v>33200000.000000004</v>
      </c>
      <c r="Q25" s="142">
        <v>34700000</v>
      </c>
      <c r="R25" s="142">
        <v>34400000</v>
      </c>
      <c r="S25" s="142"/>
      <c r="T25" s="142"/>
      <c r="U25" s="142"/>
      <c r="V25" s="142"/>
      <c r="W25" s="142"/>
      <c r="X25" s="142"/>
      <c r="Y25" s="142"/>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ht="16.5">
      <c r="A26" s="99" t="s">
        <v>1059</v>
      </c>
      <c r="B26" s="99" t="s">
        <v>384</v>
      </c>
      <c r="C26" s="58" t="s">
        <v>204</v>
      </c>
      <c r="D26" s="28"/>
      <c r="E26" s="28"/>
      <c r="F26" s="28"/>
      <c r="G26" s="28"/>
      <c r="H26" s="142">
        <v>26800000</v>
      </c>
      <c r="I26" s="142">
        <v>31200000</v>
      </c>
      <c r="J26" s="142">
        <v>32900000</v>
      </c>
      <c r="K26" s="142">
        <v>31700000</v>
      </c>
      <c r="L26" s="142">
        <v>34900000</v>
      </c>
      <c r="M26" s="142">
        <v>22900000</v>
      </c>
      <c r="N26" s="142">
        <v>22200000</v>
      </c>
      <c r="O26" s="142">
        <v>24400000</v>
      </c>
      <c r="P26" s="142">
        <v>28100000</v>
      </c>
      <c r="Q26" s="142">
        <v>28500000</v>
      </c>
      <c r="R26" s="142">
        <v>25400000</v>
      </c>
      <c r="S26" s="142">
        <v>26300000</v>
      </c>
      <c r="T26">
        <v>32000000</v>
      </c>
      <c r="U26">
        <v>36700000</v>
      </c>
      <c r="V26" s="142">
        <v>38200000</v>
      </c>
      <c r="W26" s="142">
        <v>41300000</v>
      </c>
      <c r="X26" s="142">
        <v>44400000</v>
      </c>
      <c r="Y26" s="142">
        <v>46700000</v>
      </c>
      <c r="Z26" s="365"/>
      <c r="AA26" s="365">
        <f>S26*1000000</f>
        <v>26300000000000</v>
      </c>
      <c r="AB26" s="365">
        <f t="shared" ref="AB26:AB28" si="29">T26*1000000</f>
        <v>32000000000000</v>
      </c>
      <c r="AC26" s="365">
        <f t="shared" ref="AC26:AC28" si="30">U26*1000000</f>
        <v>36700000000000</v>
      </c>
      <c r="AD26" s="365">
        <f t="shared" ref="AD26:AD28" si="31">V26*1000000</f>
        <v>38200000000000</v>
      </c>
      <c r="AE26" s="365">
        <f t="shared" ref="AE26:AE28" si="32">W26*1000000</f>
        <v>41300000000000</v>
      </c>
      <c r="AF26" s="365">
        <f t="shared" ref="AF26:AF28" si="33">X26*1000000</f>
        <v>44400000000000</v>
      </c>
      <c r="AG26" s="365">
        <f t="shared" ref="AG26:AG28" si="34">Y26*1000000</f>
        <v>46700000000000</v>
      </c>
      <c r="AH26" s="365"/>
      <c r="AI26" s="365"/>
      <c r="AJ26" s="365"/>
      <c r="AK26" s="365"/>
      <c r="AL26" s="365"/>
      <c r="AM26" s="365"/>
      <c r="AN26" s="365"/>
      <c r="AO26" s="365"/>
      <c r="AP26" s="365"/>
      <c r="AQ26" s="365"/>
      <c r="AR26" s="365"/>
      <c r="AS26" s="365"/>
      <c r="AT26" s="365"/>
      <c r="AU26" s="365"/>
      <c r="AV26" s="365"/>
      <c r="AW26" s="365"/>
      <c r="AX26" s="365"/>
    </row>
    <row r="27" spans="1:50" ht="16.5">
      <c r="A27" s="152" t="s">
        <v>91</v>
      </c>
      <c r="B27" s="152" t="s">
        <v>91</v>
      </c>
      <c r="C27" s="58" t="s">
        <v>204</v>
      </c>
      <c r="D27" s="28"/>
      <c r="E27" s="28"/>
      <c r="F27" s="28"/>
      <c r="G27" s="28"/>
      <c r="H27" s="142">
        <v>800000</v>
      </c>
      <c r="I27" s="142">
        <v>900000</v>
      </c>
      <c r="J27" s="142">
        <v>900000</v>
      </c>
      <c r="K27" s="142">
        <v>900000</v>
      </c>
      <c r="L27" s="142">
        <v>1300000</v>
      </c>
      <c r="M27" s="142">
        <v>900000</v>
      </c>
      <c r="N27" s="142">
        <v>900000</v>
      </c>
      <c r="O27" s="142">
        <v>1400000</v>
      </c>
      <c r="P27" s="142">
        <v>1400000</v>
      </c>
      <c r="Q27" s="142">
        <v>1200000</v>
      </c>
      <c r="R27" s="142">
        <v>700000</v>
      </c>
      <c r="S27" s="142">
        <v>700000</v>
      </c>
      <c r="T27" s="142">
        <v>800000</v>
      </c>
      <c r="U27">
        <v>700000</v>
      </c>
      <c r="V27">
        <v>600000</v>
      </c>
      <c r="W27" s="142">
        <v>500000</v>
      </c>
      <c r="X27" s="142">
        <v>500000</v>
      </c>
      <c r="Y27" s="142">
        <v>500000</v>
      </c>
      <c r="Z27" s="365"/>
      <c r="AA27" s="365">
        <f>S27*1000000</f>
        <v>700000000000</v>
      </c>
      <c r="AB27" s="365">
        <f t="shared" si="29"/>
        <v>800000000000</v>
      </c>
      <c r="AC27" s="365">
        <f t="shared" si="30"/>
        <v>700000000000</v>
      </c>
      <c r="AD27" s="365">
        <f t="shared" si="31"/>
        <v>600000000000</v>
      </c>
      <c r="AE27" s="365">
        <f t="shared" si="32"/>
        <v>500000000000</v>
      </c>
      <c r="AF27" s="365">
        <f t="shared" si="33"/>
        <v>500000000000</v>
      </c>
      <c r="AG27" s="365">
        <f t="shared" si="34"/>
        <v>500000000000</v>
      </c>
      <c r="AH27" s="365"/>
      <c r="AI27" s="365"/>
      <c r="AJ27" s="365"/>
      <c r="AK27" s="365"/>
      <c r="AL27" s="365"/>
      <c r="AM27" s="365"/>
      <c r="AN27" s="365"/>
      <c r="AO27" s="365"/>
      <c r="AP27" s="365"/>
      <c r="AQ27" s="365"/>
      <c r="AR27" s="365"/>
      <c r="AS27" s="365"/>
      <c r="AT27" s="365"/>
      <c r="AU27" s="365"/>
      <c r="AV27" s="365"/>
      <c r="AW27" s="365"/>
      <c r="AX27" s="365"/>
    </row>
    <row r="28" spans="1:50" ht="16.5">
      <c r="A28" s="152" t="s">
        <v>215</v>
      </c>
      <c r="B28" s="152" t="s">
        <v>215</v>
      </c>
      <c r="C28" s="58" t="s">
        <v>204</v>
      </c>
      <c r="D28" s="28"/>
      <c r="E28" s="28"/>
      <c r="F28" s="28"/>
      <c r="G28" s="28"/>
      <c r="H28" s="142">
        <v>3100000</v>
      </c>
      <c r="I28" s="142">
        <v>2700000</v>
      </c>
      <c r="J28" s="142">
        <v>4000000</v>
      </c>
      <c r="K28" s="142">
        <v>7900000</v>
      </c>
      <c r="L28" s="142">
        <v>6900000</v>
      </c>
      <c r="M28" s="142">
        <v>8500000</v>
      </c>
      <c r="N28" s="142">
        <v>6600000</v>
      </c>
      <c r="O28" s="142">
        <v>6100000</v>
      </c>
      <c r="P28" s="142">
        <v>8800000</v>
      </c>
      <c r="Q28" s="142">
        <v>9700000</v>
      </c>
      <c r="R28" s="142">
        <v>5800000</v>
      </c>
      <c r="S28" s="142">
        <v>10300000</v>
      </c>
      <c r="T28" s="142">
        <v>10400000</v>
      </c>
      <c r="U28" s="142">
        <v>16600000.000000002</v>
      </c>
      <c r="V28" s="142">
        <v>11200000</v>
      </c>
      <c r="W28" s="142">
        <v>11600000</v>
      </c>
      <c r="X28" s="142">
        <v>12000000</v>
      </c>
      <c r="Y28" s="142">
        <v>12400000</v>
      </c>
      <c r="Z28" s="365"/>
      <c r="AA28" s="365">
        <f>S28*1000000</f>
        <v>10300000000000</v>
      </c>
      <c r="AB28" s="365">
        <f t="shared" si="29"/>
        <v>10400000000000</v>
      </c>
      <c r="AC28" s="365">
        <f t="shared" si="30"/>
        <v>16600000000000.002</v>
      </c>
      <c r="AD28" s="365">
        <f t="shared" si="31"/>
        <v>11200000000000</v>
      </c>
      <c r="AE28" s="365">
        <f t="shared" si="32"/>
        <v>11600000000000</v>
      </c>
      <c r="AF28" s="365">
        <f t="shared" si="33"/>
        <v>12000000000000</v>
      </c>
      <c r="AG28" s="365">
        <f t="shared" si="34"/>
        <v>12400000000000</v>
      </c>
      <c r="AH28" s="365"/>
      <c r="AI28" s="365"/>
      <c r="AJ28" s="365"/>
      <c r="AK28" s="365"/>
      <c r="AL28" s="365"/>
      <c r="AM28" s="365"/>
      <c r="AN28" s="365"/>
      <c r="AO28" s="365"/>
      <c r="AP28" s="365"/>
      <c r="AQ28" s="365"/>
      <c r="AR28" s="365"/>
      <c r="AS28" s="365"/>
      <c r="AT28" s="365"/>
      <c r="AU28" s="365"/>
      <c r="AV28" s="365"/>
      <c r="AW28" s="365"/>
      <c r="AX28" s="365"/>
    </row>
    <row r="29" spans="1:50" ht="16.5">
      <c r="A29" s="152" t="s">
        <v>53</v>
      </c>
      <c r="B29" s="152" t="s">
        <v>53</v>
      </c>
      <c r="C29" s="58" t="s">
        <v>204</v>
      </c>
      <c r="D29" s="28"/>
      <c r="E29" s="28"/>
      <c r="F29" s="28"/>
      <c r="G29" s="28"/>
      <c r="H29" s="142">
        <v>5900000</v>
      </c>
      <c r="I29" s="142">
        <v>9800000</v>
      </c>
      <c r="J29" s="142">
        <v>6400000</v>
      </c>
      <c r="K29" s="142">
        <v>8199999.9999999991</v>
      </c>
      <c r="L29" s="142">
        <v>5600000</v>
      </c>
      <c r="M29" s="142">
        <v>300000</v>
      </c>
      <c r="N29" s="142">
        <v>0</v>
      </c>
      <c r="O29" s="142">
        <v>1300000</v>
      </c>
      <c r="P29" s="142">
        <v>5000000</v>
      </c>
      <c r="Q29" s="142">
        <v>4700000</v>
      </c>
      <c r="R29" s="142">
        <v>5800000</v>
      </c>
      <c r="S29" s="142"/>
      <c r="T29" s="142"/>
      <c r="U29" s="142"/>
      <c r="V29" s="142"/>
      <c r="W29" s="142"/>
      <c r="X29" s="142"/>
      <c r="Y29" s="142"/>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99" t="s">
        <v>1011</v>
      </c>
      <c r="B30" s="99" t="s">
        <v>392</v>
      </c>
      <c r="C30" s="58" t="s">
        <v>204</v>
      </c>
      <c r="D30" s="28"/>
      <c r="E30" s="28"/>
      <c r="F30" s="28"/>
      <c r="G30" s="28"/>
      <c r="H30" s="298"/>
      <c r="I30" s="298"/>
      <c r="J30" s="298"/>
      <c r="K30" s="298"/>
      <c r="L30" s="298"/>
      <c r="M30" s="142">
        <v>9600000</v>
      </c>
      <c r="N30" s="142">
        <v>11500000</v>
      </c>
      <c r="O30" s="142">
        <v>12200000</v>
      </c>
      <c r="P30" s="142">
        <v>7000000</v>
      </c>
      <c r="Q30" s="142">
        <v>10800000</v>
      </c>
      <c r="R30" s="142">
        <v>8199999.9999999991</v>
      </c>
      <c r="S30" s="142">
        <v>7100000</v>
      </c>
      <c r="T30" s="142">
        <v>11600000</v>
      </c>
      <c r="U30" s="142">
        <v>11400000</v>
      </c>
      <c r="V30" s="142">
        <v>10400000</v>
      </c>
      <c r="W30" s="142">
        <v>10400000</v>
      </c>
      <c r="X30" s="142">
        <v>10400000</v>
      </c>
      <c r="Y30" s="142">
        <v>10400000</v>
      </c>
      <c r="Z30" s="365"/>
      <c r="AA30" s="365">
        <f>S30*1000000</f>
        <v>7100000000000</v>
      </c>
      <c r="AB30" s="365">
        <f t="shared" ref="AB30:AB31" si="35">T30*1000000</f>
        <v>11600000000000</v>
      </c>
      <c r="AC30" s="365">
        <f t="shared" ref="AC30:AC31" si="36">U30*1000000</f>
        <v>11400000000000</v>
      </c>
      <c r="AD30" s="365">
        <f t="shared" ref="AD30:AD31" si="37">V30*1000000</f>
        <v>10400000000000</v>
      </c>
      <c r="AE30" s="365">
        <f t="shared" ref="AE30:AE31" si="38">W30*1000000</f>
        <v>10400000000000</v>
      </c>
      <c r="AF30" s="365">
        <f t="shared" ref="AF30:AF31" si="39">X30*1000000</f>
        <v>10400000000000</v>
      </c>
      <c r="AG30" s="365">
        <f t="shared" ref="AG30:AG31" si="40">Y30*1000000</f>
        <v>10400000000000</v>
      </c>
      <c r="AH30" s="365"/>
      <c r="AI30" s="365"/>
      <c r="AJ30" s="365"/>
      <c r="AK30" s="365"/>
      <c r="AL30" s="365"/>
      <c r="AM30" s="365"/>
      <c r="AN30" s="365"/>
      <c r="AO30" s="365"/>
      <c r="AP30" s="365"/>
      <c r="AQ30" s="365"/>
      <c r="AR30" s="365"/>
      <c r="AS30" s="365"/>
      <c r="AT30" s="365"/>
      <c r="AU30" s="365"/>
      <c r="AV30" s="365"/>
      <c r="AW30" s="365"/>
      <c r="AX30" s="365"/>
    </row>
    <row r="31" spans="1:50" ht="16.5">
      <c r="A31" s="139" t="s">
        <v>237</v>
      </c>
      <c r="B31" s="90" t="s">
        <v>393</v>
      </c>
      <c r="C31" s="58" t="s">
        <v>201</v>
      </c>
      <c r="D31" s="28"/>
      <c r="E31" s="28"/>
      <c r="F31" s="28"/>
      <c r="G31" s="28"/>
      <c r="H31" s="142">
        <v>11100000</v>
      </c>
      <c r="I31" s="142">
        <v>12700000</v>
      </c>
      <c r="J31" s="142">
        <v>14500000</v>
      </c>
      <c r="K31" s="142">
        <v>25700000</v>
      </c>
      <c r="L31" s="142">
        <v>18500000</v>
      </c>
      <c r="M31" s="142">
        <v>16200000</v>
      </c>
      <c r="N31" s="142">
        <v>16500000</v>
      </c>
      <c r="O31" s="142">
        <v>13100000</v>
      </c>
      <c r="P31" s="142">
        <v>7300000</v>
      </c>
      <c r="Q31" s="142">
        <v>7200000</v>
      </c>
      <c r="R31" s="142">
        <v>5400000</v>
      </c>
      <c r="S31" s="142">
        <v>7000000</v>
      </c>
      <c r="T31" s="142">
        <v>6200000</v>
      </c>
      <c r="U31" s="142">
        <v>17000000</v>
      </c>
      <c r="V31" s="142">
        <v>19400000</v>
      </c>
      <c r="W31" s="142">
        <v>22000000</v>
      </c>
      <c r="X31" s="142">
        <v>24600000</v>
      </c>
      <c r="Y31" s="142">
        <v>26400000</v>
      </c>
      <c r="Z31" s="365"/>
      <c r="AA31" s="365">
        <f>S31*1000000</f>
        <v>7000000000000</v>
      </c>
      <c r="AB31" s="365">
        <f t="shared" si="35"/>
        <v>6200000000000</v>
      </c>
      <c r="AC31" s="365">
        <f t="shared" si="36"/>
        <v>17000000000000</v>
      </c>
      <c r="AD31" s="365">
        <f t="shared" si="37"/>
        <v>19400000000000</v>
      </c>
      <c r="AE31" s="365">
        <f t="shared" si="38"/>
        <v>22000000000000</v>
      </c>
      <c r="AF31" s="365">
        <f t="shared" si="39"/>
        <v>24600000000000</v>
      </c>
      <c r="AG31" s="365">
        <f t="shared" si="40"/>
        <v>26400000000000</v>
      </c>
      <c r="AH31" s="365"/>
      <c r="AI31" s="365"/>
      <c r="AJ31" s="365"/>
      <c r="AK31" s="365"/>
      <c r="AL31" s="365"/>
      <c r="AM31" s="365"/>
      <c r="AN31" s="365"/>
      <c r="AO31" s="365"/>
      <c r="AP31" s="365"/>
      <c r="AQ31" s="365"/>
      <c r="AR31" s="365"/>
      <c r="AS31" s="365"/>
      <c r="AT31" s="365"/>
      <c r="AU31" s="365"/>
      <c r="AV31" s="365"/>
      <c r="AW31" s="365"/>
      <c r="AX31" s="365"/>
    </row>
    <row r="32" spans="1:50" ht="16.5">
      <c r="A32" t="s">
        <v>76</v>
      </c>
      <c r="B32" s="90" t="s">
        <v>4325</v>
      </c>
      <c r="C32" s="27"/>
      <c r="D32" s="28"/>
      <c r="E32" s="28"/>
      <c r="F32" s="28"/>
      <c r="G32" s="28"/>
      <c r="H32" s="298"/>
      <c r="I32" s="298"/>
      <c r="J32" s="298"/>
      <c r="K32" s="298"/>
      <c r="L32" s="298"/>
      <c r="M32" s="142">
        <v>18500000</v>
      </c>
      <c r="N32" s="142">
        <v>22100000</v>
      </c>
      <c r="O32" s="142">
        <v>16800000</v>
      </c>
      <c r="P32" s="142"/>
      <c r="Q32" s="142"/>
      <c r="R32" s="142"/>
      <c r="S32" s="142"/>
      <c r="T32" s="142"/>
      <c r="U32" s="142"/>
      <c r="V32" s="142"/>
      <c r="W32" s="142"/>
      <c r="X32" s="142"/>
      <c r="Y32" s="142"/>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t="s">
        <v>76</v>
      </c>
      <c r="B33" s="90" t="s">
        <v>4326</v>
      </c>
      <c r="C33" s="27"/>
      <c r="D33" s="28"/>
      <c r="E33" s="28"/>
      <c r="F33" s="28"/>
      <c r="G33" s="28"/>
      <c r="H33" s="298"/>
      <c r="I33" s="298"/>
      <c r="J33" s="298"/>
      <c r="K33" s="298"/>
      <c r="L33" s="298"/>
      <c r="M33" s="142">
        <v>18500000</v>
      </c>
      <c r="N33" s="142">
        <v>22100000</v>
      </c>
      <c r="O33" s="142">
        <v>16800000</v>
      </c>
      <c r="P33" s="142">
        <v>5900000</v>
      </c>
      <c r="Q33" s="142">
        <v>6700000</v>
      </c>
      <c r="R33" s="142">
        <v>11400000</v>
      </c>
      <c r="S33" s="142"/>
      <c r="T33" s="142"/>
      <c r="U33" s="142"/>
      <c r="V33" s="142"/>
      <c r="W33" s="142"/>
      <c r="X33" s="142"/>
      <c r="Y33" s="142"/>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t="s">
        <v>76</v>
      </c>
      <c r="B34" s="90" t="s">
        <v>4327</v>
      </c>
      <c r="C34" s="27"/>
      <c r="D34" s="28"/>
      <c r="E34" s="28"/>
      <c r="F34" s="28"/>
      <c r="G34" s="28"/>
      <c r="H34" s="142">
        <v>-1800000</v>
      </c>
      <c r="I34" s="142">
        <v>-4700000</v>
      </c>
      <c r="J34" s="142">
        <v>1900000</v>
      </c>
      <c r="K34" s="142">
        <v>400000</v>
      </c>
      <c r="L34" s="142">
        <v>5700000</v>
      </c>
      <c r="M34" s="142">
        <v>2300000</v>
      </c>
      <c r="N34" s="142">
        <v>5700000</v>
      </c>
      <c r="O34" s="142">
        <v>3700000</v>
      </c>
      <c r="P34" s="142">
        <v>-1400000</v>
      </c>
      <c r="Q34" s="142">
        <v>-400000</v>
      </c>
      <c r="R34" s="142">
        <v>5900000</v>
      </c>
      <c r="S34" s="142"/>
      <c r="T34" s="142"/>
      <c r="U34" s="142"/>
      <c r="V34" s="142"/>
      <c r="W34" s="142"/>
      <c r="X34" s="142"/>
      <c r="Y34" s="142"/>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58" t="s">
        <v>3178</v>
      </c>
      <c r="B35" s="90" t="s">
        <v>815</v>
      </c>
      <c r="C35" s="58" t="s">
        <v>252</v>
      </c>
      <c r="D35" s="28"/>
      <c r="E35" s="28"/>
      <c r="F35" s="28"/>
      <c r="G35" s="28"/>
      <c r="H35" s="142">
        <v>300000</v>
      </c>
      <c r="I35" s="142">
        <v>-4099999.9999999995</v>
      </c>
      <c r="J35" s="142">
        <v>1300000</v>
      </c>
      <c r="K35" s="142">
        <v>-1400000</v>
      </c>
      <c r="L35" s="142">
        <v>4600000</v>
      </c>
      <c r="M35" s="142">
        <v>-5200000</v>
      </c>
      <c r="N35" s="142">
        <v>-7600000</v>
      </c>
      <c r="O35" s="142">
        <v>10000000</v>
      </c>
      <c r="P35" s="142">
        <v>4200000</v>
      </c>
      <c r="Q35" s="142">
        <v>-6400000</v>
      </c>
      <c r="R35" s="142">
        <v>-1800000</v>
      </c>
      <c r="S35" s="142"/>
      <c r="T35" s="142"/>
      <c r="U35" s="142"/>
      <c r="V35" s="142"/>
      <c r="W35" s="142"/>
      <c r="X35" s="142"/>
      <c r="Y35" s="142"/>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58" t="s">
        <v>3180</v>
      </c>
      <c r="B36" s="90" t="s">
        <v>821</v>
      </c>
      <c r="C36" s="58" t="s">
        <v>252</v>
      </c>
      <c r="D36" s="28"/>
      <c r="E36" s="28"/>
      <c r="F36" s="28"/>
      <c r="G36" s="28"/>
      <c r="H36" s="142">
        <v>-2100000</v>
      </c>
      <c r="I36" s="142">
        <v>500000</v>
      </c>
      <c r="J36" s="142">
        <v>600000</v>
      </c>
      <c r="K36" s="142">
        <v>-1700000</v>
      </c>
      <c r="L36" s="142">
        <v>1100000</v>
      </c>
      <c r="M36" s="142">
        <v>-3800000</v>
      </c>
      <c r="N36" s="142">
        <v>-1900000</v>
      </c>
      <c r="O36" s="142">
        <v>13700000</v>
      </c>
      <c r="P36" s="142">
        <v>-2800000</v>
      </c>
      <c r="Q36" s="142">
        <v>6800000</v>
      </c>
      <c r="R36" s="142">
        <v>-4200000</v>
      </c>
      <c r="S36" s="142"/>
      <c r="T36" s="142"/>
      <c r="U36" s="142"/>
      <c r="V36" s="142"/>
      <c r="W36" s="142"/>
      <c r="X36" s="142"/>
      <c r="Y36" s="142"/>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15" customFormat="1" ht="16.5">
      <c r="A37" s="15" t="s">
        <v>592</v>
      </c>
      <c r="B37" s="344" t="s">
        <v>4328</v>
      </c>
      <c r="C37" s="368" t="s">
        <v>35</v>
      </c>
      <c r="D37" s="200"/>
      <c r="E37" s="200"/>
      <c r="F37" s="200"/>
      <c r="G37" s="200"/>
      <c r="H37" s="343">
        <v>-1800000</v>
      </c>
      <c r="I37" s="343">
        <v>-4700000</v>
      </c>
      <c r="J37" s="343">
        <v>1900000</v>
      </c>
      <c r="K37" s="343">
        <v>400000</v>
      </c>
      <c r="L37" s="343">
        <v>5700000</v>
      </c>
      <c r="M37" s="343">
        <f>M35+M36</f>
        <v>-9000000</v>
      </c>
      <c r="N37" s="343">
        <f t="shared" ref="N37:Q37" si="41">N35+N36</f>
        <v>-9500000</v>
      </c>
      <c r="O37" s="343">
        <f t="shared" si="41"/>
        <v>23700000</v>
      </c>
      <c r="P37" s="343">
        <f t="shared" si="41"/>
        <v>1400000</v>
      </c>
      <c r="Q37" s="343">
        <f t="shared" si="41"/>
        <v>400000</v>
      </c>
      <c r="R37" s="343">
        <f>R35+R36</f>
        <v>-6000000</v>
      </c>
      <c r="S37" s="343">
        <v>-5200000</v>
      </c>
      <c r="T37" s="343">
        <v>-7800000</v>
      </c>
      <c r="U37" s="343">
        <v>-6600000</v>
      </c>
      <c r="V37" s="343">
        <v>-4099999.9999999995</v>
      </c>
      <c r="W37" s="343">
        <v>-2300000</v>
      </c>
      <c r="X37" s="343">
        <v>-300000</v>
      </c>
      <c r="Y37" s="343">
        <v>1100000</v>
      </c>
      <c r="Z37" s="365"/>
      <c r="AA37" s="365">
        <f>S37*1000000</f>
        <v>-5200000000000</v>
      </c>
      <c r="AB37" s="365">
        <f t="shared" ref="AB37" si="42">T37*1000000</f>
        <v>-7800000000000</v>
      </c>
      <c r="AC37" s="365">
        <f t="shared" ref="AC37" si="43">U37*1000000</f>
        <v>-6600000000000</v>
      </c>
      <c r="AD37" s="365">
        <f t="shared" ref="AD37" si="44">V37*1000000</f>
        <v>-4099999999999.9995</v>
      </c>
      <c r="AE37" s="365">
        <f t="shared" ref="AE37" si="45">W37*1000000</f>
        <v>-2300000000000</v>
      </c>
      <c r="AF37" s="365">
        <f t="shared" ref="AF37" si="46">X37*1000000</f>
        <v>-300000000000</v>
      </c>
      <c r="AG37" s="365">
        <f t="shared" ref="AG37" si="47">Y37*1000000</f>
        <v>1100000000000</v>
      </c>
      <c r="AH37" s="365"/>
      <c r="AI37" s="365"/>
      <c r="AJ37" s="365"/>
      <c r="AK37" s="365"/>
      <c r="AL37" s="365"/>
      <c r="AM37" s="365"/>
      <c r="AN37" s="365"/>
      <c r="AO37" s="365"/>
      <c r="AP37" s="365"/>
      <c r="AQ37" s="365"/>
      <c r="AR37" s="365"/>
      <c r="AS37" s="365"/>
      <c r="AT37" s="365"/>
      <c r="AU37" s="365"/>
      <c r="AV37" s="365"/>
      <c r="AW37" s="365"/>
      <c r="AX37" s="365"/>
    </row>
    <row r="38" spans="1:50">
      <c r="B38" s="90" t="s">
        <v>614</v>
      </c>
      <c r="C38" s="34"/>
      <c r="D38" s="28"/>
      <c r="E38" s="28"/>
      <c r="F38" s="28"/>
      <c r="G38" s="28"/>
      <c r="H38">
        <f t="shared" ref="H38:R38" si="48">(H14/H6)*100</f>
        <v>55.978975032851508</v>
      </c>
      <c r="I38">
        <f t="shared" si="48"/>
        <v>58.528037383177569</v>
      </c>
      <c r="J38">
        <f t="shared" si="48"/>
        <v>61.708860759493668</v>
      </c>
      <c r="K38">
        <f t="shared" si="48"/>
        <v>64.325323475046218</v>
      </c>
      <c r="L38">
        <f t="shared" si="48"/>
        <v>63.492063492063487</v>
      </c>
      <c r="M38">
        <f t="shared" si="48"/>
        <v>68.474923234390999</v>
      </c>
      <c r="N38">
        <f t="shared" si="48"/>
        <v>67.524752475247524</v>
      </c>
      <c r="O38">
        <f t="shared" si="48"/>
        <v>65.5</v>
      </c>
      <c r="P38">
        <f t="shared" si="48"/>
        <v>63.062098501070665</v>
      </c>
      <c r="Q38">
        <f t="shared" si="48"/>
        <v>60.657370517928285</v>
      </c>
      <c r="R38">
        <f t="shared" si="48"/>
        <v>55.144032921810705</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34"/>
      <c r="D39" s="28"/>
      <c r="E39" s="28"/>
      <c r="F39" s="28"/>
      <c r="G39" s="28"/>
      <c r="H39" s="28"/>
      <c r="I39" s="298">
        <f>I35-I36</f>
        <v>-4600000</v>
      </c>
      <c r="J39" s="298">
        <f>J35-J36</f>
        <v>700000</v>
      </c>
      <c r="K39" s="298">
        <f>K35-K36</f>
        <v>300000</v>
      </c>
      <c r="L39" s="298">
        <f>L35-L36</f>
        <v>3500000</v>
      </c>
      <c r="M39" s="298"/>
      <c r="N39" s="298"/>
      <c r="O39" s="298"/>
      <c r="P39" s="298"/>
      <c r="Q39" s="298"/>
      <c r="R39" s="28"/>
      <c r="S39" s="28"/>
      <c r="T39" s="28"/>
      <c r="U39" s="28"/>
      <c r="V39" s="28"/>
      <c r="W39" s="28"/>
      <c r="X39" s="28"/>
      <c r="Y39" s="28"/>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c r="C40" s="34"/>
      <c r="D40" s="28"/>
      <c r="E40" s="28"/>
      <c r="F40" s="28"/>
      <c r="G40" s="28"/>
      <c r="H40" s="28"/>
      <c r="I40" s="298"/>
      <c r="J40" s="298"/>
      <c r="K40" s="298"/>
      <c r="L40" s="298"/>
      <c r="M40" s="298"/>
      <c r="N40" s="298"/>
      <c r="O40" s="298"/>
      <c r="P40" s="298"/>
      <c r="Q40" s="298"/>
      <c r="R40" s="28"/>
      <c r="S40" s="28"/>
      <c r="T40" s="28"/>
      <c r="U40" s="28"/>
      <c r="V40" s="28"/>
      <c r="W40" s="28"/>
      <c r="X40" s="28"/>
      <c r="Y40" s="28"/>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c r="C41" s="34"/>
      <c r="D41" s="28"/>
      <c r="E41" s="28"/>
      <c r="F41" s="28"/>
      <c r="G41" s="28"/>
      <c r="H41" t="s">
        <v>139</v>
      </c>
      <c r="I41" t="s">
        <v>139</v>
      </c>
      <c r="J41" t="s">
        <v>139</v>
      </c>
      <c r="K41" t="s">
        <v>139</v>
      </c>
      <c r="L41" t="s">
        <v>139</v>
      </c>
      <c r="M41" t="s">
        <v>139</v>
      </c>
      <c r="N41" t="s">
        <v>139</v>
      </c>
      <c r="O41" t="s">
        <v>139</v>
      </c>
      <c r="P41" t="s">
        <v>139</v>
      </c>
      <c r="Q41" t="s">
        <v>139</v>
      </c>
      <c r="R41" t="s">
        <v>139</v>
      </c>
      <c r="S41" t="s">
        <v>139</v>
      </c>
      <c r="T41" t="s">
        <v>139</v>
      </c>
      <c r="U41" t="s">
        <v>139</v>
      </c>
      <c r="V41" t="s">
        <v>139</v>
      </c>
      <c r="W41" t="s">
        <v>139</v>
      </c>
      <c r="X41" t="s">
        <v>139</v>
      </c>
      <c r="Y41" t="s">
        <v>139</v>
      </c>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90"/>
      <c r="C42" s="34"/>
      <c r="D42" s="28"/>
      <c r="E42" s="28"/>
      <c r="F42" s="28"/>
      <c r="G42" s="28"/>
      <c r="H42" s="28"/>
      <c r="I42" s="28"/>
      <c r="J42" s="28"/>
      <c r="K42" s="28"/>
      <c r="L42" s="28"/>
      <c r="M42" s="28"/>
      <c r="N42" s="28"/>
      <c r="O42" s="28"/>
      <c r="P42" s="28"/>
      <c r="Q42" s="28"/>
      <c r="R42" s="28"/>
      <c r="S42" s="28"/>
      <c r="T42" s="28"/>
      <c r="U42" s="28"/>
      <c r="V42" s="28"/>
      <c r="W42" s="28"/>
      <c r="X42" s="28"/>
      <c r="Y42" s="28"/>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t="s">
        <v>615</v>
      </c>
      <c r="C43" s="34"/>
      <c r="D43" s="28"/>
      <c r="E43" s="28"/>
      <c r="F43" s="28"/>
      <c r="G43" s="28"/>
      <c r="H43" s="78">
        <f t="shared" ref="H43:Y43" si="49">H6-H7-H14</f>
        <v>100000</v>
      </c>
      <c r="I43" s="78">
        <f t="shared" si="49"/>
        <v>0</v>
      </c>
      <c r="J43" s="78">
        <f t="shared" si="49"/>
        <v>0</v>
      </c>
      <c r="K43" s="78">
        <f t="shared" si="49"/>
        <v>0</v>
      </c>
      <c r="L43" s="78">
        <f t="shared" si="49"/>
        <v>0</v>
      </c>
      <c r="M43" s="78">
        <f t="shared" si="49"/>
        <v>0</v>
      </c>
      <c r="N43" s="78">
        <f t="shared" si="49"/>
        <v>0</v>
      </c>
      <c r="O43" s="78">
        <f t="shared" si="49"/>
        <v>0</v>
      </c>
      <c r="P43" s="78">
        <f t="shared" si="49"/>
        <v>0</v>
      </c>
      <c r="Q43" s="78">
        <f t="shared" si="49"/>
        <v>0</v>
      </c>
      <c r="R43" s="78">
        <f t="shared" si="49"/>
        <v>0</v>
      </c>
      <c r="S43" s="78">
        <f t="shared" si="49"/>
        <v>0</v>
      </c>
      <c r="T43" s="78">
        <f t="shared" si="49"/>
        <v>0</v>
      </c>
      <c r="U43" s="78">
        <f t="shared" si="49"/>
        <v>0</v>
      </c>
      <c r="V43" s="78">
        <f t="shared" si="49"/>
        <v>0</v>
      </c>
      <c r="W43" s="78">
        <f t="shared" si="49"/>
        <v>0</v>
      </c>
      <c r="X43" s="78">
        <f t="shared" si="49"/>
        <v>0</v>
      </c>
      <c r="Y43" s="78">
        <f t="shared" si="49"/>
        <v>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90" t="s">
        <v>141</v>
      </c>
      <c r="C44" s="34"/>
      <c r="D44" s="28"/>
      <c r="E44" s="28"/>
      <c r="F44" s="28"/>
      <c r="G44" s="28"/>
      <c r="H44" s="298">
        <f t="shared" ref="H44:Y44" si="50">H7-H8-H13-H17</f>
        <v>0</v>
      </c>
      <c r="I44" s="298">
        <f t="shared" si="50"/>
        <v>0</v>
      </c>
      <c r="J44" s="298">
        <f t="shared" si="50"/>
        <v>0</v>
      </c>
      <c r="K44" s="298">
        <f t="shared" si="50"/>
        <v>0</v>
      </c>
      <c r="L44" s="298">
        <f t="shared" si="50"/>
        <v>0</v>
      </c>
      <c r="M44" s="298">
        <f t="shared" si="50"/>
        <v>0</v>
      </c>
      <c r="N44" s="298">
        <f t="shared" si="50"/>
        <v>0</v>
      </c>
      <c r="O44" s="298">
        <f t="shared" si="50"/>
        <v>0</v>
      </c>
      <c r="P44" s="298">
        <f t="shared" si="50"/>
        <v>0</v>
      </c>
      <c r="Q44" s="298">
        <f t="shared" si="50"/>
        <v>0</v>
      </c>
      <c r="R44" s="298">
        <f t="shared" si="50"/>
        <v>0</v>
      </c>
      <c r="S44" s="298">
        <f t="shared" si="50"/>
        <v>0</v>
      </c>
      <c r="T44" s="298">
        <f t="shared" si="50"/>
        <v>0</v>
      </c>
      <c r="U44" s="298">
        <f t="shared" si="50"/>
        <v>0</v>
      </c>
      <c r="V44" s="298">
        <f t="shared" si="50"/>
        <v>0</v>
      </c>
      <c r="W44" s="298">
        <f t="shared" si="50"/>
        <v>0</v>
      </c>
      <c r="X44" s="298">
        <f t="shared" si="50"/>
        <v>0</v>
      </c>
      <c r="Y44" s="298">
        <f t="shared" si="50"/>
        <v>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3639</v>
      </c>
      <c r="C45" s="34"/>
      <c r="D45" s="28"/>
      <c r="E45" s="28"/>
      <c r="F45" s="28"/>
      <c r="G45" s="28"/>
      <c r="H45" s="298">
        <f t="shared" ref="H45:Y45" si="51">H8-H9-H10-H11-H12</f>
        <v>0</v>
      </c>
      <c r="I45" s="298">
        <f t="shared" si="51"/>
        <v>100000</v>
      </c>
      <c r="J45" s="298">
        <f t="shared" si="51"/>
        <v>0</v>
      </c>
      <c r="K45" s="298">
        <f t="shared" si="51"/>
        <v>0</v>
      </c>
      <c r="L45" s="298">
        <f t="shared" si="51"/>
        <v>0</v>
      </c>
      <c r="M45" s="298">
        <f t="shared" si="51"/>
        <v>100000</v>
      </c>
      <c r="N45" s="298">
        <f t="shared" si="51"/>
        <v>0</v>
      </c>
      <c r="O45" s="298">
        <f t="shared" si="51"/>
        <v>0</v>
      </c>
      <c r="P45" s="298">
        <f t="shared" si="51"/>
        <v>0</v>
      </c>
      <c r="Q45" s="298">
        <f t="shared" si="51"/>
        <v>0</v>
      </c>
      <c r="R45" s="298">
        <f t="shared" si="51"/>
        <v>0</v>
      </c>
      <c r="S45" s="298">
        <f t="shared" si="51"/>
        <v>0</v>
      </c>
      <c r="T45" s="298">
        <f t="shared" si="51"/>
        <v>9.3132257461547852E-10</v>
      </c>
      <c r="U45" s="298">
        <f t="shared" si="51"/>
        <v>0</v>
      </c>
      <c r="V45" s="298">
        <f t="shared" si="51"/>
        <v>0</v>
      </c>
      <c r="W45" s="298">
        <f t="shared" si="51"/>
        <v>0</v>
      </c>
      <c r="X45" s="298">
        <f t="shared" si="51"/>
        <v>0</v>
      </c>
      <c r="Y45" s="298">
        <f t="shared" si="51"/>
        <v>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1571</v>
      </c>
      <c r="C46" s="34"/>
      <c r="D46" s="28"/>
      <c r="E46" s="28"/>
      <c r="F46" s="28"/>
      <c r="G46" s="28"/>
      <c r="H46" s="298">
        <f t="shared" ref="H46:Y46" si="52">H17-H19-H20-H21</f>
        <v>0</v>
      </c>
      <c r="I46" s="298">
        <f t="shared" si="52"/>
        <v>0</v>
      </c>
      <c r="J46" s="298">
        <f t="shared" si="52"/>
        <v>100000</v>
      </c>
      <c r="K46" s="298">
        <f t="shared" si="52"/>
        <v>100000</v>
      </c>
      <c r="L46" s="298">
        <f t="shared" si="52"/>
        <v>-100000</v>
      </c>
      <c r="M46" s="298">
        <f t="shared" si="52"/>
        <v>0</v>
      </c>
      <c r="N46" s="298">
        <f t="shared" si="52"/>
        <v>0</v>
      </c>
      <c r="O46" s="298">
        <f t="shared" si="52"/>
        <v>0</v>
      </c>
      <c r="P46" s="298">
        <f t="shared" si="52"/>
        <v>0</v>
      </c>
      <c r="Q46" s="298">
        <f t="shared" si="52"/>
        <v>0</v>
      </c>
      <c r="R46" s="298">
        <f t="shared" si="52"/>
        <v>11500000</v>
      </c>
      <c r="S46" s="298">
        <f t="shared" si="52"/>
        <v>15800000</v>
      </c>
      <c r="T46" s="298">
        <f t="shared" si="52"/>
        <v>26300000</v>
      </c>
      <c r="U46" s="298">
        <f t="shared" si="52"/>
        <v>40000000</v>
      </c>
      <c r="V46" s="298">
        <f t="shared" si="52"/>
        <v>26300000</v>
      </c>
      <c r="W46" s="298">
        <f t="shared" si="52"/>
        <v>26300000</v>
      </c>
      <c r="X46" s="298">
        <f t="shared" si="52"/>
        <v>26300000</v>
      </c>
      <c r="Y46" s="298">
        <f t="shared" si="52"/>
        <v>26300000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145</v>
      </c>
      <c r="H47" s="21">
        <f>H22-H23-H31</f>
        <v>0</v>
      </c>
      <c r="I47" s="21">
        <f t="shared" ref="I47:V47" si="53">I22-I23-I31</f>
        <v>0</v>
      </c>
      <c r="J47" s="21">
        <f t="shared" si="53"/>
        <v>100000</v>
      </c>
      <c r="K47" s="21">
        <f t="shared" si="53"/>
        <v>0</v>
      </c>
      <c r="L47" s="21">
        <f t="shared" si="53"/>
        <v>-100000</v>
      </c>
      <c r="M47" s="21">
        <f t="shared" si="53"/>
        <v>100000</v>
      </c>
      <c r="N47" s="21">
        <f t="shared" si="53"/>
        <v>0</v>
      </c>
      <c r="O47" s="21">
        <f t="shared" si="53"/>
        <v>0</v>
      </c>
      <c r="P47" s="21">
        <f t="shared" si="53"/>
        <v>0</v>
      </c>
      <c r="Q47" s="21">
        <f t="shared" si="53"/>
        <v>0</v>
      </c>
      <c r="R47" s="21">
        <f t="shared" si="53"/>
        <v>0</v>
      </c>
      <c r="S47" s="21">
        <f t="shared" si="53"/>
        <v>0</v>
      </c>
      <c r="T47" s="21">
        <f t="shared" si="53"/>
        <v>0</v>
      </c>
      <c r="U47" s="21">
        <f t="shared" si="53"/>
        <v>0</v>
      </c>
      <c r="V47" s="21">
        <f t="shared" si="53"/>
        <v>0</v>
      </c>
      <c r="W47" s="21">
        <f t="shared" ref="W47:Y47" si="54">W22-W23-W31</f>
        <v>0</v>
      </c>
      <c r="X47" s="21">
        <f t="shared" si="54"/>
        <v>0</v>
      </c>
      <c r="Y47" s="21">
        <f t="shared" si="54"/>
        <v>0</v>
      </c>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t="s">
        <v>826</v>
      </c>
      <c r="F48" s="21"/>
      <c r="H48" s="21">
        <f>H23-H24-H26-H27-H28-H29-H30</f>
        <v>0</v>
      </c>
      <c r="I48" s="21">
        <f t="shared" ref="I48:V48" si="55">I23-I24-I26-I27-I28-I29-I30</f>
        <v>100000</v>
      </c>
      <c r="J48" s="21">
        <f t="shared" si="55"/>
        <v>0</v>
      </c>
      <c r="K48" s="21">
        <f t="shared" si="55"/>
        <v>-99999.999999999069</v>
      </c>
      <c r="L48" s="21">
        <f t="shared" si="55"/>
        <v>0</v>
      </c>
      <c r="M48" s="21">
        <f t="shared" si="55"/>
        <v>-100000</v>
      </c>
      <c r="N48" s="21">
        <f t="shared" si="55"/>
        <v>100000</v>
      </c>
      <c r="O48" s="21">
        <f t="shared" si="55"/>
        <v>100000</v>
      </c>
      <c r="P48" s="21">
        <f t="shared" si="55"/>
        <v>0</v>
      </c>
      <c r="Q48" s="21">
        <f t="shared" si="55"/>
        <v>-100000</v>
      </c>
      <c r="R48" s="21">
        <f t="shared" si="55"/>
        <v>-99999.999999999069</v>
      </c>
      <c r="S48" s="21">
        <f t="shared" si="55"/>
        <v>0</v>
      </c>
      <c r="T48" s="21">
        <f t="shared" si="55"/>
        <v>0</v>
      </c>
      <c r="U48" s="21">
        <f t="shared" si="55"/>
        <v>0</v>
      </c>
      <c r="V48" s="21">
        <f t="shared" si="55"/>
        <v>0</v>
      </c>
      <c r="W48" s="21">
        <f t="shared" ref="W48:Y48" si="56">W23-W24-W26-W27-W28-W29-W30</f>
        <v>0</v>
      </c>
      <c r="X48" s="21">
        <f t="shared" si="56"/>
        <v>0</v>
      </c>
      <c r="Y48" s="21">
        <f t="shared" si="56"/>
        <v>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t="s">
        <v>148</v>
      </c>
      <c r="H49" s="21">
        <f>H36+H37-H35</f>
        <v>-4200000</v>
      </c>
      <c r="I49" s="21">
        <f>I36+I37-I35</f>
        <v>-100000.00000000047</v>
      </c>
      <c r="J49" s="21">
        <f>J36+J37-J35</f>
        <v>1200000</v>
      </c>
      <c r="K49" s="21">
        <f>K36+K37-K35</f>
        <v>100000</v>
      </c>
      <c r="L49" s="21">
        <f>L36+L37-L35</f>
        <v>2200000</v>
      </c>
      <c r="M49" s="21">
        <f>M37-M35-M36</f>
        <v>0</v>
      </c>
      <c r="N49" s="21">
        <f t="shared" ref="N49:R49" si="57">N37-N35-N36</f>
        <v>0</v>
      </c>
      <c r="O49" s="21">
        <f t="shared" si="57"/>
        <v>0</v>
      </c>
      <c r="P49" s="21">
        <f t="shared" si="57"/>
        <v>0</v>
      </c>
      <c r="Q49" s="21">
        <f t="shared" si="57"/>
        <v>0</v>
      </c>
      <c r="R49" s="21">
        <f t="shared" si="57"/>
        <v>0</v>
      </c>
      <c r="S49" s="131">
        <f>S36+S37-S35</f>
        <v>-5200000</v>
      </c>
      <c r="T49" s="131">
        <f t="shared" ref="T49:Y49" si="58">T36+T37-T35</f>
        <v>-7800000</v>
      </c>
      <c r="U49" s="131">
        <f t="shared" si="58"/>
        <v>-6600000</v>
      </c>
      <c r="V49" s="131">
        <f t="shared" si="58"/>
        <v>-4099999.9999999995</v>
      </c>
      <c r="W49" s="131">
        <f t="shared" si="58"/>
        <v>-2300000</v>
      </c>
      <c r="X49" s="131">
        <f t="shared" si="58"/>
        <v>-300000</v>
      </c>
      <c r="Y49" s="131">
        <f t="shared" si="58"/>
        <v>1100000</v>
      </c>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s="90" t="s">
        <v>623</v>
      </c>
      <c r="H51">
        <v>131000000</v>
      </c>
      <c r="I51">
        <v>138000000</v>
      </c>
      <c r="J51">
        <v>144000000</v>
      </c>
      <c r="K51">
        <v>150000000</v>
      </c>
      <c r="L51">
        <v>153000000</v>
      </c>
      <c r="M51">
        <v>152000000</v>
      </c>
      <c r="N51">
        <v>163000000</v>
      </c>
      <c r="O51">
        <v>171000000</v>
      </c>
      <c r="P51">
        <v>172000000</v>
      </c>
      <c r="Q51">
        <v>175000000</v>
      </c>
      <c r="R51">
        <v>186700000</v>
      </c>
      <c r="S51">
        <v>184600000</v>
      </c>
      <c r="T51">
        <v>188000000</v>
      </c>
      <c r="U51">
        <v>192800000</v>
      </c>
      <c r="V51">
        <v>198600000</v>
      </c>
      <c r="W51">
        <v>204500000</v>
      </c>
      <c r="X51">
        <v>210800000</v>
      </c>
      <c r="Y51">
        <v>216700000</v>
      </c>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s="90" t="s">
        <v>363</v>
      </c>
      <c r="H52">
        <f t="shared" ref="H52:Y52" si="59">(H6/H51)*100</f>
        <v>58.091603053435115</v>
      </c>
      <c r="I52">
        <f t="shared" si="59"/>
        <v>62.028985507246382</v>
      </c>
      <c r="J52">
        <f t="shared" si="59"/>
        <v>65.833333333333329</v>
      </c>
      <c r="K52">
        <f t="shared" si="59"/>
        <v>72.13333333333334</v>
      </c>
      <c r="L52">
        <f t="shared" si="59"/>
        <v>70</v>
      </c>
      <c r="M52">
        <f t="shared" si="59"/>
        <v>64.276315789473685</v>
      </c>
      <c r="N52">
        <f t="shared" si="59"/>
        <v>61.963190184049076</v>
      </c>
      <c r="O52">
        <f t="shared" si="59"/>
        <v>58.479532163742689</v>
      </c>
      <c r="P52">
        <f t="shared" si="59"/>
        <v>54.302325581395351</v>
      </c>
      <c r="Q52">
        <f t="shared" si="59"/>
        <v>57.371428571428574</v>
      </c>
      <c r="R52">
        <f t="shared" si="59"/>
        <v>52.062131762185324</v>
      </c>
      <c r="S52">
        <f t="shared" si="59"/>
        <v>58.288190682556888</v>
      </c>
      <c r="T52">
        <f t="shared" si="59"/>
        <v>64.734042553191486</v>
      </c>
      <c r="U52">
        <f t="shared" si="59"/>
        <v>78.060165975103729</v>
      </c>
      <c r="V52">
        <f t="shared" si="59"/>
        <v>73.816717019133932</v>
      </c>
      <c r="W52">
        <f t="shared" si="59"/>
        <v>74.229828850855753</v>
      </c>
      <c r="X52">
        <f t="shared" si="59"/>
        <v>74.430740037950656</v>
      </c>
      <c r="Y52">
        <f t="shared" si="59"/>
        <v>74.342408860175354</v>
      </c>
    </row>
    <row r="53" spans="2:50">
      <c r="B53" s="90" t="s">
        <v>152</v>
      </c>
      <c r="H53">
        <f>(H22/H51)*100</f>
        <v>59.389312977099237</v>
      </c>
      <c r="I53">
        <f t="shared" ref="I53:U53" si="60">(I22/I51)*100</f>
        <v>65.362318840579718</v>
      </c>
      <c r="J53">
        <f t="shared" si="60"/>
        <v>64.513888888888886</v>
      </c>
      <c r="K53">
        <f t="shared" si="60"/>
        <v>71.866666666666674</v>
      </c>
      <c r="L53">
        <f t="shared" si="60"/>
        <v>66.209150326797385</v>
      </c>
      <c r="M53">
        <f t="shared" si="60"/>
        <v>62.763157894736842</v>
      </c>
      <c r="N53">
        <f t="shared" si="60"/>
        <v>58.527607361963184</v>
      </c>
      <c r="O53">
        <f t="shared" si="60"/>
        <v>56.315789473684205</v>
      </c>
      <c r="P53">
        <f t="shared" si="60"/>
        <v>55.930232558139537</v>
      </c>
      <c r="Q53">
        <f t="shared" si="60"/>
        <v>58.571428571428577</v>
      </c>
      <c r="R53">
        <f t="shared" si="60"/>
        <v>49.009105516871983</v>
      </c>
      <c r="S53">
        <f t="shared" si="60"/>
        <v>50.270855904658717</v>
      </c>
      <c r="T53">
        <f t="shared" si="60"/>
        <v>55.000000000000007</v>
      </c>
      <c r="U53">
        <f t="shared" si="60"/>
        <v>68.15352697095436</v>
      </c>
      <c r="V53">
        <f>(V22/V51)*100</f>
        <v>65.105740181268885</v>
      </c>
      <c r="W53">
        <f t="shared" ref="W53:Y53" si="61">(W22/W51)*100</f>
        <v>66.405867970660154</v>
      </c>
      <c r="X53">
        <f t="shared" si="61"/>
        <v>67.599620493358643</v>
      </c>
      <c r="Y53">
        <f t="shared" si="61"/>
        <v>68.112598061836636</v>
      </c>
    </row>
  </sheetData>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A88"/>
  <sheetViews>
    <sheetView zoomScale="60" zoomScaleNormal="60" workbookViewId="0">
      <pane xSplit="3" ySplit="5" topLeftCell="Q6" activePane="bottomRight" state="frozen"/>
      <selection pane="topRight" activeCell="D1" sqref="D1"/>
      <selection pane="bottomLeft" activeCell="A6" sqref="A6"/>
      <selection pane="bottomRight" activeCell="T22" sqref="T22"/>
    </sheetView>
  </sheetViews>
  <sheetFormatPr defaultRowHeight="15.75"/>
  <cols>
    <col min="1" max="1" width="39.5703125" style="972" bestFit="1" customWidth="1"/>
    <col min="2" max="2" width="41.140625" style="972" bestFit="1" customWidth="1"/>
    <col min="3" max="3" width="36.5703125" style="972" bestFit="1" customWidth="1"/>
    <col min="4" max="4" width="9" style="972" bestFit="1" customWidth="1"/>
    <col min="5" max="5" width="15" style="972" bestFit="1" customWidth="1"/>
    <col min="6" max="6" width="9" style="972" bestFit="1" customWidth="1"/>
    <col min="7" max="14" width="21.140625" style="972" bestFit="1" customWidth="1"/>
    <col min="15" max="17" width="24" style="972" bestFit="1" customWidth="1"/>
    <col min="18" max="24" width="21.5703125" style="972" customWidth="1"/>
    <col min="25" max="25" width="21.5703125" style="996" customWidth="1"/>
    <col min="26" max="26" width="23.7109375" style="972" bestFit="1" customWidth="1"/>
    <col min="27" max="27" width="8.85546875" style="972"/>
  </cols>
  <sheetData>
    <row r="1" spans="1:27">
      <c r="A1" s="966" t="s">
        <v>4329</v>
      </c>
      <c r="B1" s="1086" t="s">
        <v>4330</v>
      </c>
      <c r="C1" s="967"/>
      <c r="D1" s="968"/>
      <c r="E1" s="968"/>
      <c r="F1" s="968"/>
      <c r="G1" s="968"/>
      <c r="H1" s="968"/>
      <c r="I1" s="968"/>
      <c r="J1" s="968"/>
      <c r="K1" s="968"/>
      <c r="L1" s="968"/>
      <c r="M1" s="968"/>
      <c r="N1" s="968"/>
      <c r="O1" s="969"/>
      <c r="P1" s="969"/>
      <c r="Q1" s="969"/>
      <c r="R1" s="970"/>
      <c r="S1" s="969"/>
      <c r="T1" s="969"/>
      <c r="U1" s="969"/>
      <c r="V1" s="969"/>
      <c r="W1" s="969"/>
    </row>
    <row r="2" spans="1:27">
      <c r="B2" s="1087" t="s">
        <v>4331</v>
      </c>
      <c r="C2" s="973"/>
      <c r="D2" s="969"/>
      <c r="E2" s="969"/>
      <c r="F2" s="969"/>
      <c r="G2" s="969"/>
      <c r="H2" s="969"/>
      <c r="I2" s="969"/>
      <c r="J2" s="969"/>
      <c r="K2" s="969"/>
      <c r="L2" s="969"/>
      <c r="M2" s="969"/>
      <c r="N2" s="969"/>
      <c r="O2" s="969"/>
      <c r="P2" s="969"/>
      <c r="Q2" s="969">
        <f>(Q15/Q6)*100</f>
        <v>2.6732907499408562</v>
      </c>
      <c r="R2" s="969">
        <f t="shared" ref="R2" si="0">(R15/R6)*100</f>
        <v>0.54187192118226601</v>
      </c>
      <c r="S2" s="969"/>
      <c r="T2" s="1047"/>
      <c r="U2" s="969"/>
      <c r="V2" s="969"/>
      <c r="W2" s="969"/>
    </row>
    <row r="3" spans="1:27">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96">
        <v>2022</v>
      </c>
    </row>
    <row r="4" spans="1:27">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96" t="s">
        <v>27</v>
      </c>
    </row>
    <row r="5" spans="1:27">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369</v>
      </c>
      <c r="Q5" s="969" t="s">
        <v>31</v>
      </c>
      <c r="R5" s="969" t="s">
        <v>31</v>
      </c>
      <c r="S5" s="969" t="s">
        <v>31</v>
      </c>
      <c r="T5" s="969" t="s">
        <v>31</v>
      </c>
      <c r="U5" s="969" t="s">
        <v>369</v>
      </c>
      <c r="V5" s="969" t="s">
        <v>1211</v>
      </c>
      <c r="W5" s="969" t="s">
        <v>1211</v>
      </c>
      <c r="X5" s="969" t="s">
        <v>32</v>
      </c>
      <c r="Y5" s="969" t="s">
        <v>32</v>
      </c>
      <c r="Z5" s="996" t="s">
        <v>32</v>
      </c>
    </row>
    <row r="6" spans="1:27" s="848" customFormat="1">
      <c r="A6" s="1373" t="s">
        <v>33</v>
      </c>
      <c r="B6" s="1012" t="s">
        <v>449</v>
      </c>
      <c r="C6" s="1374" t="s">
        <v>35</v>
      </c>
      <c r="D6" s="1013"/>
      <c r="E6" s="1013"/>
      <c r="F6" s="1013"/>
      <c r="G6" s="1016">
        <f t="shared" ref="G6:P6" si="1">G7+G15</f>
        <v>119600000000</v>
      </c>
      <c r="H6" s="1016">
        <f t="shared" si="1"/>
        <v>130400000000</v>
      </c>
      <c r="I6" s="1016">
        <f t="shared" si="1"/>
        <v>131300000000</v>
      </c>
      <c r="J6" s="1016">
        <f t="shared" si="1"/>
        <v>406000000000</v>
      </c>
      <c r="K6" s="1016">
        <f t="shared" si="1"/>
        <v>185400000000</v>
      </c>
      <c r="L6" s="1016">
        <f t="shared" si="1"/>
        <v>189000000000</v>
      </c>
      <c r="M6" s="1016">
        <f t="shared" si="1"/>
        <v>188500000000</v>
      </c>
      <c r="N6" s="1016">
        <f t="shared" si="1"/>
        <v>250300000000</v>
      </c>
      <c r="O6" s="1016">
        <f t="shared" si="1"/>
        <v>301200000000</v>
      </c>
      <c r="P6" s="1016">
        <f t="shared" si="1"/>
        <v>465600000000</v>
      </c>
      <c r="Q6" s="1016">
        <v>422700000000</v>
      </c>
      <c r="R6" s="1016">
        <v>406000000000</v>
      </c>
      <c r="S6" s="1016">
        <v>460200000000</v>
      </c>
      <c r="T6" s="1016">
        <v>461300000000</v>
      </c>
      <c r="U6" s="1016">
        <v>491000000000</v>
      </c>
      <c r="V6" s="1016">
        <v>526299999999.99994</v>
      </c>
      <c r="W6" s="1016">
        <v>572600000000</v>
      </c>
      <c r="X6" s="1016">
        <v>631100000000</v>
      </c>
      <c r="Y6" s="1688">
        <v>707600000000</v>
      </c>
      <c r="Z6" s="1069">
        <v>784400000000</v>
      </c>
      <c r="AA6" s="1013"/>
    </row>
    <row r="7" spans="1:27">
      <c r="A7" s="981" t="s">
        <v>36</v>
      </c>
      <c r="B7" s="981" t="s">
        <v>3444</v>
      </c>
      <c r="C7" s="982" t="s">
        <v>38</v>
      </c>
      <c r="G7" s="978">
        <f>G8+G21+G18</f>
        <v>103900000000</v>
      </c>
      <c r="H7" s="978">
        <f t="shared" ref="H7:P7" si="2">H8+H21+H18</f>
        <v>117900000000</v>
      </c>
      <c r="I7" s="978">
        <f t="shared" si="2"/>
        <v>121000000000</v>
      </c>
      <c r="J7" s="978">
        <f t="shared" si="2"/>
        <v>153500000000</v>
      </c>
      <c r="K7" s="978">
        <f t="shared" si="2"/>
        <v>169100000000</v>
      </c>
      <c r="L7" s="978">
        <f t="shared" si="2"/>
        <v>182500000000</v>
      </c>
      <c r="M7" s="978">
        <f>M8+M21+M18</f>
        <v>182400000000</v>
      </c>
      <c r="N7" s="978">
        <f>N8+N21+N18</f>
        <v>238700000000</v>
      </c>
      <c r="O7" s="978">
        <f t="shared" si="2"/>
        <v>293500000000</v>
      </c>
      <c r="P7" s="978">
        <f t="shared" si="2"/>
        <v>397800000000</v>
      </c>
      <c r="Q7" s="978">
        <v>411400000000</v>
      </c>
      <c r="R7" s="978">
        <v>403800000000</v>
      </c>
      <c r="S7" s="978">
        <v>431900000000</v>
      </c>
      <c r="T7" s="978">
        <v>430000000000</v>
      </c>
      <c r="U7" s="978">
        <v>478200000000</v>
      </c>
      <c r="V7" s="978">
        <v>510500000000</v>
      </c>
      <c r="W7" s="978">
        <v>551800000000</v>
      </c>
      <c r="X7" s="978">
        <v>610900000000</v>
      </c>
      <c r="Y7" s="978">
        <v>692300000000</v>
      </c>
      <c r="Z7" s="1010">
        <v>767900000000</v>
      </c>
    </row>
    <row r="8" spans="1:27">
      <c r="A8" s="980" t="s">
        <v>313</v>
      </c>
      <c r="B8" s="981" t="s">
        <v>4332</v>
      </c>
      <c r="C8" s="982" t="s">
        <v>41</v>
      </c>
      <c r="G8" s="978">
        <v>103900000000</v>
      </c>
      <c r="H8" s="978">
        <v>117900000000</v>
      </c>
      <c r="I8" s="978">
        <v>121000000000</v>
      </c>
      <c r="J8" s="978">
        <v>153500000000</v>
      </c>
      <c r="K8" s="978">
        <v>169100000000</v>
      </c>
      <c r="L8" s="978">
        <v>182500000000</v>
      </c>
      <c r="M8" s="978">
        <v>182400000000</v>
      </c>
      <c r="N8" s="990">
        <f>N9+N14</f>
        <v>228700000000</v>
      </c>
      <c r="O8" s="978">
        <v>293500000000</v>
      </c>
      <c r="P8" s="978">
        <v>240200000000</v>
      </c>
      <c r="Q8" s="978">
        <v>281700000000</v>
      </c>
      <c r="R8" s="978">
        <v>293900000000</v>
      </c>
      <c r="S8" s="978">
        <v>378300000000</v>
      </c>
      <c r="T8" s="978">
        <v>404900000000</v>
      </c>
      <c r="U8" s="978">
        <v>431800000000</v>
      </c>
      <c r="V8" s="978">
        <v>462800000000</v>
      </c>
      <c r="W8" s="978">
        <v>521500000000</v>
      </c>
      <c r="X8" s="978">
        <v>570800000000</v>
      </c>
      <c r="Y8" s="1684">
        <v>642100000000</v>
      </c>
      <c r="Z8" s="1010">
        <v>715200000000</v>
      </c>
    </row>
    <row r="9" spans="1:27">
      <c r="A9" s="988" t="s">
        <v>39</v>
      </c>
      <c r="B9" s="988" t="s">
        <v>2393</v>
      </c>
      <c r="C9" s="1389" t="s">
        <v>1906</v>
      </c>
      <c r="G9" s="978">
        <v>44900000000</v>
      </c>
      <c r="H9" s="978">
        <v>59200000000</v>
      </c>
      <c r="I9" s="978">
        <v>76000000000</v>
      </c>
      <c r="J9" s="978">
        <v>97100000000</v>
      </c>
      <c r="K9" s="978">
        <v>106900000000</v>
      </c>
      <c r="L9" s="978">
        <v>114700000000</v>
      </c>
      <c r="M9" s="978">
        <v>106600000000</v>
      </c>
      <c r="N9" s="978">
        <v>145600000000</v>
      </c>
      <c r="O9" s="978">
        <v>183700000000</v>
      </c>
      <c r="P9" s="978">
        <v>178100000000</v>
      </c>
      <c r="Q9" s="978">
        <v>203800000000</v>
      </c>
      <c r="R9" s="978">
        <v>222700000000</v>
      </c>
      <c r="S9" s="978">
        <v>237800000000</v>
      </c>
      <c r="T9" s="978">
        <v>272100000000</v>
      </c>
      <c r="U9" s="978">
        <v>299100000000</v>
      </c>
      <c r="V9" s="978">
        <v>325700000000</v>
      </c>
      <c r="W9" s="978">
        <v>368000000000</v>
      </c>
      <c r="X9" s="978">
        <v>414300000000</v>
      </c>
      <c r="Y9" s="1684">
        <v>464100000000</v>
      </c>
      <c r="Z9" s="1010">
        <v>519299999999.99994</v>
      </c>
    </row>
    <row r="10" spans="1:27">
      <c r="A10" s="997" t="s">
        <v>4333</v>
      </c>
      <c r="B10" s="997" t="s">
        <v>4334</v>
      </c>
      <c r="C10" s="1685" t="s">
        <v>319</v>
      </c>
      <c r="G10" s="987"/>
      <c r="H10" s="987"/>
      <c r="I10" s="987"/>
      <c r="J10" s="987"/>
      <c r="K10" s="978">
        <v>32900000000</v>
      </c>
      <c r="L10" s="978"/>
      <c r="M10" s="978"/>
      <c r="N10" s="978"/>
      <c r="O10" s="978"/>
      <c r="P10" s="978"/>
      <c r="Q10" s="978"/>
      <c r="R10" s="978"/>
      <c r="S10" s="978"/>
      <c r="T10" s="978"/>
      <c r="U10" s="978"/>
      <c r="V10" s="978"/>
      <c r="W10" s="978"/>
      <c r="X10" s="978"/>
      <c r="Y10" s="1684"/>
      <c r="Z10" s="1010"/>
    </row>
    <row r="11" spans="1:27">
      <c r="A11" s="997" t="s">
        <v>47</v>
      </c>
      <c r="B11" s="997" t="s">
        <v>2880</v>
      </c>
      <c r="C11" s="1685" t="s">
        <v>319</v>
      </c>
      <c r="G11" s="987"/>
      <c r="H11" s="987"/>
      <c r="I11" s="987"/>
      <c r="J11" s="987"/>
      <c r="K11" s="978">
        <v>52700000000</v>
      </c>
      <c r="L11" s="978"/>
      <c r="M11" s="978"/>
      <c r="N11" s="978"/>
      <c r="O11" s="978"/>
      <c r="P11" s="978"/>
      <c r="Q11" s="978"/>
      <c r="R11" s="978"/>
      <c r="S11" s="978"/>
      <c r="T11" s="978"/>
      <c r="U11" s="978"/>
      <c r="V11" s="978"/>
      <c r="W11" s="978"/>
      <c r="X11" s="978"/>
      <c r="Y11" s="1684"/>
      <c r="Z11" s="1010"/>
    </row>
    <row r="12" spans="1:27">
      <c r="A12" s="997" t="s">
        <v>643</v>
      </c>
      <c r="B12" s="997" t="s">
        <v>1423</v>
      </c>
      <c r="C12" s="1685" t="s">
        <v>319</v>
      </c>
      <c r="G12" s="987"/>
      <c r="H12" s="987"/>
      <c r="I12" s="987"/>
      <c r="J12" s="987"/>
      <c r="K12" s="978">
        <v>19100000000</v>
      </c>
      <c r="L12" s="978"/>
      <c r="M12" s="978"/>
      <c r="N12" s="978"/>
      <c r="O12" s="978"/>
      <c r="P12" s="978"/>
      <c r="Q12" s="978"/>
      <c r="R12" s="978"/>
      <c r="S12" s="978"/>
      <c r="T12" s="978"/>
      <c r="U12" s="978"/>
      <c r="V12" s="978"/>
      <c r="W12" s="978"/>
      <c r="X12" s="978"/>
      <c r="Y12" s="1684"/>
      <c r="Z12" s="1010"/>
    </row>
    <row r="13" spans="1:27">
      <c r="A13" s="997" t="s">
        <v>50</v>
      </c>
      <c r="B13" s="997" t="s">
        <v>50</v>
      </c>
      <c r="C13" s="1685" t="s">
        <v>319</v>
      </c>
      <c r="G13" s="987"/>
      <c r="H13" s="987"/>
      <c r="I13" s="987"/>
      <c r="J13" s="987"/>
      <c r="K13" s="978">
        <v>2100000000</v>
      </c>
      <c r="L13" s="978"/>
      <c r="M13" s="978"/>
      <c r="N13" s="978"/>
      <c r="O13" s="978"/>
      <c r="P13" s="978"/>
      <c r="Q13" s="978"/>
      <c r="R13" s="978"/>
      <c r="S13" s="978"/>
      <c r="T13" s="978"/>
      <c r="U13" s="978"/>
      <c r="V13" s="978"/>
      <c r="W13" s="978"/>
      <c r="X13" s="978"/>
      <c r="Y13" s="1684"/>
      <c r="Z13" s="1010"/>
    </row>
    <row r="14" spans="1:27">
      <c r="A14" s="988" t="s">
        <v>51</v>
      </c>
      <c r="B14" s="988" t="s">
        <v>1378</v>
      </c>
      <c r="C14" s="1389" t="s">
        <v>1906</v>
      </c>
      <c r="G14" s="978">
        <v>59100000000</v>
      </c>
      <c r="H14" s="978">
        <v>58700000000</v>
      </c>
      <c r="I14" s="978">
        <v>45000000000</v>
      </c>
      <c r="J14" s="978">
        <v>56400000000</v>
      </c>
      <c r="K14" s="978">
        <v>62200000000</v>
      </c>
      <c r="L14" s="978">
        <v>67800000000</v>
      </c>
      <c r="M14" s="978">
        <v>75800000000</v>
      </c>
      <c r="N14" s="978">
        <v>83100000000</v>
      </c>
      <c r="O14" s="978">
        <v>109800000000</v>
      </c>
      <c r="P14" s="978">
        <v>62200000000</v>
      </c>
      <c r="Q14" s="978">
        <v>77900000000</v>
      </c>
      <c r="R14" s="978">
        <v>71200000000</v>
      </c>
      <c r="S14" s="978">
        <v>140500000000</v>
      </c>
      <c r="T14" s="978">
        <v>132900000000</v>
      </c>
      <c r="U14" s="978">
        <v>132699999999.99998</v>
      </c>
      <c r="V14" s="978">
        <v>137100000000</v>
      </c>
      <c r="W14" s="978">
        <v>153500000000</v>
      </c>
      <c r="X14" s="978">
        <v>156600000000</v>
      </c>
      <c r="Y14" s="1684">
        <v>178000000000</v>
      </c>
      <c r="Z14" s="1010">
        <v>195900000000</v>
      </c>
    </row>
    <row r="15" spans="1:27" s="848" customFormat="1">
      <c r="A15" s="1013" t="s">
        <v>53</v>
      </c>
      <c r="B15" s="1012" t="s">
        <v>1426</v>
      </c>
      <c r="C15" s="1058" t="s">
        <v>38</v>
      </c>
      <c r="D15" s="1013"/>
      <c r="E15" s="1013"/>
      <c r="F15" s="1013"/>
      <c r="G15" s="1016">
        <v>15700000000</v>
      </c>
      <c r="H15" s="1016">
        <v>12500000000</v>
      </c>
      <c r="I15" s="1016">
        <v>10300000000</v>
      </c>
      <c r="J15" s="1016">
        <v>252500000000</v>
      </c>
      <c r="K15" s="1016">
        <v>16300000000</v>
      </c>
      <c r="L15" s="1016">
        <v>6500000000</v>
      </c>
      <c r="M15" s="1016">
        <v>6100000000</v>
      </c>
      <c r="N15" s="1016">
        <v>11600000000</v>
      </c>
      <c r="O15" s="1016">
        <v>7700000000</v>
      </c>
      <c r="P15" s="1016">
        <v>67800000000</v>
      </c>
      <c r="Q15" s="1016">
        <v>11300000000</v>
      </c>
      <c r="R15" s="1016">
        <v>2200000000</v>
      </c>
      <c r="S15" s="1016">
        <v>28300000000</v>
      </c>
      <c r="T15" s="1016">
        <v>31300000000</v>
      </c>
      <c r="U15" s="1016">
        <v>12800000000</v>
      </c>
      <c r="V15" s="1016">
        <v>15900000000</v>
      </c>
      <c r="W15" s="1016">
        <v>20800000000</v>
      </c>
      <c r="X15" s="1016">
        <v>20200000000</v>
      </c>
      <c r="Y15" s="1688">
        <v>15200000000</v>
      </c>
      <c r="Z15" s="1069">
        <v>16600000000.000002</v>
      </c>
      <c r="AA15" s="1013"/>
    </row>
    <row r="16" spans="1:27">
      <c r="A16" s="980" t="s">
        <v>564</v>
      </c>
      <c r="B16" s="988" t="s">
        <v>4335</v>
      </c>
      <c r="C16" s="1371" t="s">
        <v>57</v>
      </c>
      <c r="G16" s="987"/>
      <c r="H16" s="987"/>
      <c r="I16" s="987"/>
      <c r="J16" s="987"/>
      <c r="K16" s="978">
        <v>10000000000</v>
      </c>
      <c r="L16" s="978">
        <v>4000000000</v>
      </c>
      <c r="M16" s="978">
        <v>3700000000</v>
      </c>
      <c r="N16" s="978">
        <v>600000000</v>
      </c>
      <c r="O16" s="978">
        <v>6700000000</v>
      </c>
      <c r="P16" s="978">
        <v>2900000000</v>
      </c>
      <c r="Q16" s="978">
        <v>1800000000</v>
      </c>
      <c r="R16" s="978">
        <v>1600000000</v>
      </c>
      <c r="S16" s="978">
        <v>7800000000</v>
      </c>
      <c r="T16" s="978">
        <v>6300000000</v>
      </c>
      <c r="U16" s="978">
        <v>4400000000</v>
      </c>
      <c r="V16" s="978">
        <v>3400000000</v>
      </c>
      <c r="W16" s="978">
        <v>3700000000</v>
      </c>
      <c r="X16" s="978">
        <v>4099999999.9999995</v>
      </c>
      <c r="Y16" s="1684">
        <v>4099999999.9999995</v>
      </c>
      <c r="Z16" s="1010">
        <v>4099999999.9999995</v>
      </c>
    </row>
    <row r="17" spans="1:27">
      <c r="A17" s="980" t="s">
        <v>50</v>
      </c>
      <c r="B17" s="988" t="s">
        <v>4935</v>
      </c>
      <c r="C17" s="1371" t="s">
        <v>57</v>
      </c>
      <c r="G17" s="987"/>
      <c r="H17" s="987"/>
      <c r="I17" s="987"/>
      <c r="J17" s="987"/>
      <c r="K17" s="978">
        <f>K15-K16</f>
        <v>6300000000</v>
      </c>
      <c r="L17" s="978">
        <f t="shared" ref="L17:P17" si="3">L15-L16</f>
        <v>2500000000</v>
      </c>
      <c r="M17" s="978">
        <f t="shared" si="3"/>
        <v>2400000000</v>
      </c>
      <c r="N17" s="978">
        <f t="shared" si="3"/>
        <v>11000000000</v>
      </c>
      <c r="O17" s="978">
        <f t="shared" si="3"/>
        <v>1000000000</v>
      </c>
      <c r="P17" s="978">
        <f t="shared" si="3"/>
        <v>64900000000</v>
      </c>
      <c r="Q17" s="978">
        <f>Q15-Q16</f>
        <v>9500000000</v>
      </c>
      <c r="R17" s="978">
        <f t="shared" ref="R17:Z17" si="4">R15-R16</f>
        <v>600000000</v>
      </c>
      <c r="S17" s="978">
        <f t="shared" si="4"/>
        <v>20500000000</v>
      </c>
      <c r="T17" s="978">
        <f t="shared" si="4"/>
        <v>25000000000</v>
      </c>
      <c r="U17" s="978">
        <f t="shared" si="4"/>
        <v>8400000000</v>
      </c>
      <c r="V17" s="978">
        <f t="shared" si="4"/>
        <v>12500000000</v>
      </c>
      <c r="W17" s="978">
        <f t="shared" si="4"/>
        <v>17100000000</v>
      </c>
      <c r="X17" s="978">
        <f t="shared" si="4"/>
        <v>16100000000</v>
      </c>
      <c r="Y17" s="978">
        <f t="shared" si="4"/>
        <v>11100000000</v>
      </c>
      <c r="Z17" s="978">
        <f t="shared" si="4"/>
        <v>12500000000.000002</v>
      </c>
    </row>
    <row r="18" spans="1:27">
      <c r="A18" s="972" t="s">
        <v>305</v>
      </c>
      <c r="B18" s="988" t="s">
        <v>4336</v>
      </c>
      <c r="C18" s="982" t="s">
        <v>41</v>
      </c>
      <c r="G18" s="987"/>
      <c r="H18" s="987"/>
      <c r="I18" s="987"/>
      <c r="J18" s="987"/>
      <c r="K18" s="987"/>
      <c r="L18" s="987"/>
      <c r="M18" s="987"/>
      <c r="N18" s="987"/>
      <c r="O18" s="987"/>
      <c r="P18" s="978">
        <v>157600000000</v>
      </c>
      <c r="Q18" s="978">
        <v>129699999999.99998</v>
      </c>
      <c r="R18" s="978">
        <v>109900000000</v>
      </c>
      <c r="S18" s="978">
        <v>53700000000</v>
      </c>
      <c r="T18" s="978">
        <v>25000000000</v>
      </c>
      <c r="U18" s="978">
        <v>46400000000</v>
      </c>
      <c r="V18" s="978">
        <v>47700000000</v>
      </c>
      <c r="W18" s="978">
        <v>30300000000</v>
      </c>
      <c r="X18" s="978">
        <v>40000000000</v>
      </c>
      <c r="Y18" s="1684">
        <v>50300000000</v>
      </c>
      <c r="Z18" s="1010">
        <v>52700000000</v>
      </c>
    </row>
    <row r="19" spans="1:27">
      <c r="A19" s="972" t="s">
        <v>1902</v>
      </c>
      <c r="B19" s="997" t="s">
        <v>4337</v>
      </c>
      <c r="C19" s="972" t="s">
        <v>1630</v>
      </c>
      <c r="G19" s="987"/>
      <c r="H19" s="987"/>
      <c r="I19" s="987"/>
      <c r="J19" s="987"/>
      <c r="K19" s="987"/>
      <c r="L19" s="987"/>
      <c r="M19" s="987"/>
      <c r="N19" s="987"/>
      <c r="O19" s="987"/>
      <c r="P19" s="978">
        <v>21500000000</v>
      </c>
      <c r="Q19" s="978">
        <v>20700000000</v>
      </c>
      <c r="R19" s="978">
        <v>6100000000</v>
      </c>
      <c r="S19" s="978">
        <v>13200000000</v>
      </c>
      <c r="T19" s="978">
        <v>10900000000</v>
      </c>
      <c r="U19" s="978">
        <v>20000000000</v>
      </c>
      <c r="V19" s="978">
        <v>15000000000</v>
      </c>
      <c r="W19" s="978">
        <v>2800000000</v>
      </c>
      <c r="X19" s="978">
        <v>2800000000</v>
      </c>
      <c r="Y19" s="1684">
        <v>2900000000</v>
      </c>
      <c r="Z19" s="1010">
        <v>2900000000</v>
      </c>
    </row>
    <row r="20" spans="1:27">
      <c r="A20" s="997" t="s">
        <v>4338</v>
      </c>
      <c r="B20" s="997" t="s">
        <v>4339</v>
      </c>
      <c r="C20" s="972" t="s">
        <v>1630</v>
      </c>
      <c r="G20" s="987"/>
      <c r="H20" s="987"/>
      <c r="I20" s="987"/>
      <c r="J20" s="987"/>
      <c r="K20" s="987"/>
      <c r="L20" s="987"/>
      <c r="M20" s="987"/>
      <c r="N20" s="987"/>
      <c r="O20" s="987"/>
      <c r="P20" s="978">
        <v>136100000000</v>
      </c>
      <c r="Q20" s="978">
        <v>108900000000</v>
      </c>
      <c r="R20" s="978">
        <v>103800000000</v>
      </c>
      <c r="S20" s="978">
        <v>40400000000</v>
      </c>
      <c r="T20" s="978">
        <v>14100000000</v>
      </c>
      <c r="U20" s="978">
        <v>26400000000</v>
      </c>
      <c r="V20" s="978">
        <v>32700000000.000004</v>
      </c>
      <c r="W20" s="978">
        <v>27500000000</v>
      </c>
      <c r="X20" s="978">
        <v>37200000000</v>
      </c>
      <c r="Y20" s="1684">
        <v>47400000000</v>
      </c>
      <c r="Z20" s="1010">
        <v>49800000000</v>
      </c>
    </row>
    <row r="21" spans="1:27">
      <c r="A21" s="980" t="s">
        <v>377</v>
      </c>
      <c r="B21" s="981" t="s">
        <v>4340</v>
      </c>
      <c r="C21" s="982" t="s">
        <v>41</v>
      </c>
      <c r="G21" s="987">
        <v>0</v>
      </c>
      <c r="H21" s="987">
        <v>0</v>
      </c>
      <c r="I21" s="987">
        <v>0</v>
      </c>
      <c r="J21" s="987">
        <v>0</v>
      </c>
      <c r="K21" s="987">
        <v>0</v>
      </c>
      <c r="L21" s="987">
        <v>0</v>
      </c>
      <c r="M21" s="978">
        <v>0</v>
      </c>
      <c r="N21" s="978">
        <v>10000000000</v>
      </c>
      <c r="O21" s="978">
        <v>0</v>
      </c>
      <c r="P21" s="978">
        <v>0</v>
      </c>
      <c r="Q21" s="978"/>
      <c r="R21" s="978"/>
      <c r="S21" s="978"/>
      <c r="T21" s="978"/>
      <c r="U21" s="978"/>
      <c r="V21" s="978"/>
      <c r="W21" s="978"/>
      <c r="X21" s="978"/>
      <c r="Y21" s="1684"/>
      <c r="Z21" s="1010"/>
    </row>
    <row r="22" spans="1:27" s="848" customFormat="1">
      <c r="A22" s="1373" t="s">
        <v>71</v>
      </c>
      <c r="B22" s="1012" t="s">
        <v>4341</v>
      </c>
      <c r="C22" s="1374" t="s">
        <v>35</v>
      </c>
      <c r="D22" s="1013"/>
      <c r="E22" s="1013"/>
      <c r="F22" s="1013"/>
      <c r="G22" s="1016">
        <v>159600000000</v>
      </c>
      <c r="H22" s="1016">
        <v>149400000000</v>
      </c>
      <c r="I22" s="1016">
        <v>166300000000</v>
      </c>
      <c r="J22" s="1016">
        <v>206400000000</v>
      </c>
      <c r="K22" s="1016">
        <v>217300000000</v>
      </c>
      <c r="L22" s="1016">
        <v>262000000000</v>
      </c>
      <c r="M22" s="1016">
        <v>242900000000</v>
      </c>
      <c r="N22" s="1016">
        <v>282900000000</v>
      </c>
      <c r="O22" s="1016">
        <v>341400000000</v>
      </c>
      <c r="P22" s="1016">
        <v>430000000000</v>
      </c>
      <c r="Q22" s="1016">
        <v>436700000000</v>
      </c>
      <c r="R22" s="1016">
        <v>479100000000</v>
      </c>
      <c r="S22" s="1016">
        <v>513700000000.00006</v>
      </c>
      <c r="T22" s="1016">
        <f>T23+T34+T37</f>
        <v>470100000000</v>
      </c>
      <c r="U22" s="1016">
        <v>493000000000</v>
      </c>
      <c r="V22" s="1016">
        <v>530100000000</v>
      </c>
      <c r="W22" s="1016">
        <v>572200000000</v>
      </c>
      <c r="X22" s="1016">
        <v>624000000000</v>
      </c>
      <c r="Y22" s="1688">
        <v>695600000000</v>
      </c>
      <c r="Z22" s="1069">
        <v>769800000000</v>
      </c>
      <c r="AA22" s="1013"/>
    </row>
    <row r="23" spans="1:27">
      <c r="A23" s="996" t="s">
        <v>73</v>
      </c>
      <c r="B23" s="981" t="s">
        <v>1431</v>
      </c>
      <c r="C23" s="982" t="s">
        <v>75</v>
      </c>
      <c r="G23" s="978">
        <v>114200000000</v>
      </c>
      <c r="H23" s="978">
        <v>106200000000</v>
      </c>
      <c r="I23" s="978">
        <v>126700000000</v>
      </c>
      <c r="J23" s="978">
        <v>157900000000</v>
      </c>
      <c r="K23" s="978">
        <v>158900000000</v>
      </c>
      <c r="L23" s="978">
        <v>206400000000</v>
      </c>
      <c r="M23" s="978">
        <v>186700000000</v>
      </c>
      <c r="N23" s="978">
        <v>204400000000</v>
      </c>
      <c r="O23" s="978">
        <v>247400000000</v>
      </c>
      <c r="P23" s="978">
        <v>293000000000</v>
      </c>
      <c r="Q23" s="978">
        <v>267200000000</v>
      </c>
      <c r="R23" s="978">
        <v>287600000000</v>
      </c>
      <c r="S23" s="978">
        <v>290900000000</v>
      </c>
      <c r="T23" s="978">
        <v>276400000000</v>
      </c>
      <c r="U23" s="978">
        <v>290600000000</v>
      </c>
      <c r="V23" s="978">
        <v>309600000000</v>
      </c>
      <c r="W23" s="978">
        <v>338900000000</v>
      </c>
      <c r="X23" s="978">
        <v>370100000000</v>
      </c>
      <c r="Y23" s="1684">
        <v>404000000000</v>
      </c>
      <c r="Z23" s="1010">
        <v>446700000000</v>
      </c>
    </row>
    <row r="24" spans="1:27">
      <c r="A24" s="988" t="s">
        <v>797</v>
      </c>
      <c r="B24" s="988" t="s">
        <v>1383</v>
      </c>
      <c r="C24" s="982" t="s">
        <v>81</v>
      </c>
      <c r="G24" s="978">
        <v>30800000000</v>
      </c>
      <c r="H24" s="978">
        <v>33700000000.000004</v>
      </c>
      <c r="I24" s="978">
        <v>38900000000</v>
      </c>
      <c r="J24" s="978">
        <v>52800000000</v>
      </c>
      <c r="K24" s="978">
        <v>64599999999.999992</v>
      </c>
      <c r="L24" s="978">
        <v>71300000000</v>
      </c>
      <c r="M24" s="978">
        <v>77000000000</v>
      </c>
      <c r="N24" s="978">
        <v>83600000000</v>
      </c>
      <c r="O24" s="978">
        <v>90100000000</v>
      </c>
      <c r="P24" s="978">
        <v>94700000000</v>
      </c>
      <c r="Q24" s="978">
        <v>103700000000</v>
      </c>
      <c r="R24" s="978">
        <v>110400000000</v>
      </c>
      <c r="S24" s="978">
        <v>119400000000</v>
      </c>
      <c r="T24" s="978">
        <v>123100000000</v>
      </c>
      <c r="U24" s="978">
        <v>131000000000</v>
      </c>
      <c r="V24" s="978">
        <v>145100000000</v>
      </c>
      <c r="W24" s="978">
        <v>156900000000</v>
      </c>
      <c r="X24" s="978">
        <v>170900000000</v>
      </c>
      <c r="Y24" s="1684">
        <v>186700000000</v>
      </c>
      <c r="Z24" s="1010">
        <v>205800000000</v>
      </c>
    </row>
    <row r="25" spans="1:27">
      <c r="A25" s="980" t="s">
        <v>83</v>
      </c>
      <c r="B25" s="988" t="s">
        <v>1433</v>
      </c>
      <c r="C25" s="982" t="s">
        <v>81</v>
      </c>
      <c r="G25" s="978">
        <v>49100000000</v>
      </c>
      <c r="H25" s="978">
        <v>51800000000</v>
      </c>
      <c r="I25" s="978">
        <v>65599999999.999992</v>
      </c>
      <c r="J25" s="978">
        <v>71600000000</v>
      </c>
      <c r="K25" s="978">
        <v>63800000000</v>
      </c>
      <c r="L25" s="978">
        <v>54000000000</v>
      </c>
      <c r="M25" s="978">
        <v>51600000000</v>
      </c>
      <c r="N25" s="978">
        <v>47200000000</v>
      </c>
      <c r="O25" s="978">
        <v>51600000000</v>
      </c>
      <c r="P25" s="978">
        <v>54600000000</v>
      </c>
      <c r="Q25" s="978">
        <v>60100000000</v>
      </c>
      <c r="R25" s="978">
        <v>64700000000</v>
      </c>
      <c r="S25" s="978">
        <v>62400000000</v>
      </c>
      <c r="T25" s="978">
        <v>58700000000</v>
      </c>
      <c r="U25" s="978">
        <v>66300000000</v>
      </c>
      <c r="V25" s="978">
        <v>66000000000</v>
      </c>
      <c r="W25" s="978">
        <v>71600000000</v>
      </c>
      <c r="X25" s="978">
        <v>76600000000</v>
      </c>
      <c r="Y25" s="1684">
        <v>83800000000</v>
      </c>
      <c r="Z25" s="1010">
        <v>93800000000</v>
      </c>
    </row>
    <row r="26" spans="1:27">
      <c r="A26" s="972" t="s">
        <v>85</v>
      </c>
      <c r="B26" s="988" t="s">
        <v>4342</v>
      </c>
      <c r="C26" s="982" t="s">
        <v>81</v>
      </c>
      <c r="G26" s="978">
        <v>23400000000</v>
      </c>
      <c r="H26" s="978">
        <v>6400000000</v>
      </c>
      <c r="I26" s="978">
        <v>5000000000</v>
      </c>
      <c r="J26" s="978">
        <v>15100000000</v>
      </c>
      <c r="K26" s="978">
        <v>15200000000</v>
      </c>
      <c r="L26" s="978">
        <v>42800000000</v>
      </c>
      <c r="M26" s="978">
        <v>20300000000</v>
      </c>
      <c r="N26" s="978">
        <v>27000000000</v>
      </c>
      <c r="O26" s="978">
        <v>65400000000.000008</v>
      </c>
      <c r="P26" s="978">
        <v>105700000000</v>
      </c>
      <c r="Q26" s="978">
        <v>70200000000</v>
      </c>
      <c r="R26" s="978">
        <v>72500000000</v>
      </c>
      <c r="S26" s="978">
        <v>67800000000</v>
      </c>
      <c r="T26" s="978">
        <v>55800000000</v>
      </c>
      <c r="U26" s="978">
        <v>56100000000</v>
      </c>
      <c r="V26" s="978">
        <v>58600000000</v>
      </c>
      <c r="W26" s="978">
        <v>63900000000</v>
      </c>
      <c r="X26" s="978">
        <v>70900000000</v>
      </c>
      <c r="Y26" s="1684">
        <v>78500000000</v>
      </c>
      <c r="Z26" s="1010">
        <v>88400000000</v>
      </c>
    </row>
    <row r="27" spans="1:27">
      <c r="A27" s="972" t="s">
        <v>76</v>
      </c>
      <c r="B27" s="997" t="s">
        <v>4343</v>
      </c>
      <c r="G27" s="987"/>
      <c r="H27" s="987"/>
      <c r="I27" s="987"/>
      <c r="J27" s="987"/>
      <c r="K27" s="987"/>
      <c r="L27" s="978">
        <v>11000000000</v>
      </c>
      <c r="M27" s="978">
        <v>0</v>
      </c>
      <c r="N27" s="978">
        <v>0</v>
      </c>
      <c r="O27" s="978">
        <v>8400000000</v>
      </c>
      <c r="P27" s="978">
        <v>32700000000.000004</v>
      </c>
      <c r="Q27" s="978">
        <v>12300000000</v>
      </c>
      <c r="R27" s="978">
        <v>18000000000</v>
      </c>
      <c r="S27" s="978">
        <v>21000000000</v>
      </c>
      <c r="T27" s="978">
        <v>16000000000</v>
      </c>
      <c r="U27" s="978">
        <v>16000000000</v>
      </c>
      <c r="V27" s="978">
        <v>22100000000</v>
      </c>
      <c r="W27" s="978">
        <v>24800000000</v>
      </c>
      <c r="X27" s="978">
        <v>27700000000</v>
      </c>
      <c r="Y27" s="1684">
        <v>30200000000</v>
      </c>
      <c r="Z27" s="1010">
        <v>32200000000.000004</v>
      </c>
    </row>
    <row r="28" spans="1:27">
      <c r="A28" s="972" t="s">
        <v>76</v>
      </c>
      <c r="B28" s="997" t="s">
        <v>4344</v>
      </c>
      <c r="G28" s="987"/>
      <c r="H28" s="987"/>
      <c r="I28" s="987"/>
      <c r="J28" s="987"/>
      <c r="K28" s="987"/>
      <c r="L28" s="978">
        <v>8000000000</v>
      </c>
      <c r="M28" s="978">
        <v>6400000000</v>
      </c>
      <c r="N28" s="978">
        <v>0</v>
      </c>
      <c r="O28" s="978">
        <v>19100000000</v>
      </c>
      <c r="P28" s="978">
        <v>24600000000</v>
      </c>
      <c r="Q28" s="978">
        <v>14100000000</v>
      </c>
      <c r="R28" s="978">
        <v>14000000000</v>
      </c>
      <c r="S28" s="978">
        <v>6900000000</v>
      </c>
      <c r="T28" s="978">
        <v>1900000000</v>
      </c>
      <c r="U28" s="978">
        <v>3500000000</v>
      </c>
      <c r="V28" s="978">
        <v>0</v>
      </c>
      <c r="W28" s="978">
        <v>0</v>
      </c>
      <c r="X28" s="978">
        <v>0</v>
      </c>
      <c r="Y28" s="1684">
        <v>0</v>
      </c>
      <c r="Z28" s="1010">
        <v>0</v>
      </c>
    </row>
    <row r="29" spans="1:27">
      <c r="A29" s="972" t="s">
        <v>76</v>
      </c>
      <c r="B29" s="997" t="s">
        <v>4345</v>
      </c>
      <c r="G29" s="987"/>
      <c r="H29" s="987"/>
      <c r="I29" s="987"/>
      <c r="J29" s="987"/>
      <c r="K29" s="987"/>
      <c r="L29" s="978">
        <v>0</v>
      </c>
      <c r="M29" s="978">
        <v>0</v>
      </c>
      <c r="N29" s="978">
        <v>0</v>
      </c>
      <c r="O29" s="978">
        <v>9800000000</v>
      </c>
      <c r="P29" s="978">
        <v>13600000000</v>
      </c>
      <c r="Q29" s="978">
        <v>13300000000</v>
      </c>
      <c r="R29" s="978">
        <v>3600000000</v>
      </c>
      <c r="S29" s="978">
        <v>3600000000</v>
      </c>
      <c r="T29" s="978">
        <v>3600000000</v>
      </c>
      <c r="U29" s="978">
        <v>3600000000</v>
      </c>
      <c r="V29" s="978">
        <v>0</v>
      </c>
      <c r="W29" s="978">
        <v>0</v>
      </c>
      <c r="X29" s="978">
        <v>0</v>
      </c>
      <c r="Y29" s="1684">
        <v>0</v>
      </c>
      <c r="Z29" s="1010">
        <v>0</v>
      </c>
    </row>
    <row r="30" spans="1:27">
      <c r="A30" s="988" t="s">
        <v>90</v>
      </c>
      <c r="B30" s="988" t="s">
        <v>91</v>
      </c>
      <c r="C30" s="982" t="s">
        <v>81</v>
      </c>
      <c r="G30" s="978">
        <v>9300000000</v>
      </c>
      <c r="H30" s="978">
        <v>11900000000</v>
      </c>
      <c r="I30" s="978">
        <v>16100000000.000002</v>
      </c>
      <c r="J30" s="978">
        <v>13500000000</v>
      </c>
      <c r="K30" s="978">
        <v>13500000000</v>
      </c>
      <c r="L30" s="978">
        <v>16500000000</v>
      </c>
      <c r="M30" s="978">
        <v>16200000000</v>
      </c>
      <c r="N30" s="978">
        <v>19400000000</v>
      </c>
      <c r="O30" s="978">
        <v>18400000000</v>
      </c>
      <c r="P30" s="978">
        <v>12600000000</v>
      </c>
      <c r="Q30" s="978">
        <v>15700000000</v>
      </c>
      <c r="R30" s="978">
        <v>15800000000</v>
      </c>
      <c r="S30" s="978">
        <v>17800000000</v>
      </c>
      <c r="T30" s="978">
        <v>17400000000</v>
      </c>
      <c r="U30" s="978">
        <v>18000000000</v>
      </c>
      <c r="V30" s="978">
        <v>25200000000</v>
      </c>
      <c r="W30" s="978">
        <v>30600000000</v>
      </c>
      <c r="X30" s="978">
        <v>32700000000.000004</v>
      </c>
      <c r="Y30" s="1684">
        <v>33700000000</v>
      </c>
      <c r="Z30" s="1010">
        <v>34000000000</v>
      </c>
    </row>
    <row r="31" spans="1:27">
      <c r="A31" s="997" t="s">
        <v>280</v>
      </c>
      <c r="B31" s="997" t="s">
        <v>280</v>
      </c>
      <c r="C31" s="972" t="s">
        <v>211</v>
      </c>
      <c r="G31" s="978">
        <v>6700000000</v>
      </c>
      <c r="H31" s="978">
        <v>7300000000</v>
      </c>
      <c r="I31" s="978">
        <v>8300000000.000001</v>
      </c>
      <c r="J31" s="978">
        <v>5000000000</v>
      </c>
      <c r="K31" s="978">
        <v>4400000000</v>
      </c>
      <c r="L31" s="978">
        <v>5800000000</v>
      </c>
      <c r="M31" s="978">
        <v>5100000000</v>
      </c>
      <c r="N31" s="978">
        <v>7500000000</v>
      </c>
      <c r="O31" s="978">
        <v>8400000000</v>
      </c>
      <c r="P31" s="978">
        <v>9900000000</v>
      </c>
      <c r="Q31" s="978">
        <v>12000000000</v>
      </c>
      <c r="R31" s="978">
        <v>11900000000</v>
      </c>
      <c r="S31" s="978">
        <v>12700000000</v>
      </c>
      <c r="T31" s="978">
        <v>13400000000</v>
      </c>
      <c r="U31" s="978">
        <v>14000000000</v>
      </c>
      <c r="V31" s="978">
        <v>17900000000</v>
      </c>
      <c r="W31" s="978">
        <v>20300000000</v>
      </c>
      <c r="X31" s="978">
        <v>22900000000</v>
      </c>
      <c r="Y31" s="1684">
        <v>24500000000</v>
      </c>
      <c r="Z31" s="1010">
        <v>26000000000</v>
      </c>
    </row>
    <row r="32" spans="1:27">
      <c r="A32" s="997" t="s">
        <v>209</v>
      </c>
      <c r="B32" s="997" t="s">
        <v>209</v>
      </c>
      <c r="C32" s="972" t="s">
        <v>211</v>
      </c>
      <c r="G32" s="978">
        <v>2600000000</v>
      </c>
      <c r="H32" s="978">
        <v>4700000000</v>
      </c>
      <c r="I32" s="978">
        <v>7800000000</v>
      </c>
      <c r="J32" s="978">
        <v>8500000000</v>
      </c>
      <c r="K32" s="978">
        <v>9100000000</v>
      </c>
      <c r="L32" s="978">
        <v>10700000000</v>
      </c>
      <c r="M32" s="978">
        <v>11100000000</v>
      </c>
      <c r="N32" s="978">
        <v>11900000000</v>
      </c>
      <c r="O32" s="978">
        <v>10000000000</v>
      </c>
      <c r="P32" s="978">
        <v>2700000000</v>
      </c>
      <c r="Q32" s="978">
        <v>3600000000</v>
      </c>
      <c r="R32" s="978">
        <v>3900000000</v>
      </c>
      <c r="S32" s="978">
        <v>5100000000</v>
      </c>
      <c r="T32" s="978">
        <v>4000000000</v>
      </c>
      <c r="U32" s="978">
        <v>4000000000</v>
      </c>
      <c r="V32" s="978">
        <v>7200000000</v>
      </c>
      <c r="W32" s="978">
        <v>10300000000</v>
      </c>
      <c r="X32" s="978">
        <v>9800000000</v>
      </c>
      <c r="Y32" s="1684">
        <v>9200000000</v>
      </c>
      <c r="Z32" s="1010">
        <v>8100000000</v>
      </c>
    </row>
    <row r="33" spans="1:27">
      <c r="A33" s="980" t="s">
        <v>4346</v>
      </c>
      <c r="B33" s="988" t="s">
        <v>4347</v>
      </c>
      <c r="C33" s="982" t="s">
        <v>81</v>
      </c>
      <c r="G33" s="978">
        <v>1700000000</v>
      </c>
      <c r="H33" s="978">
        <v>2400000000</v>
      </c>
      <c r="I33" s="978">
        <v>1100000000</v>
      </c>
      <c r="J33" s="978">
        <v>4800000000</v>
      </c>
      <c r="K33" s="978">
        <v>1800000000</v>
      </c>
      <c r="L33" s="978">
        <v>6800000000</v>
      </c>
      <c r="M33" s="978">
        <v>4900000000</v>
      </c>
      <c r="N33" s="990">
        <f>N23-N24-N25-N26-N30-N38</f>
        <v>14000000000</v>
      </c>
      <c r="O33" s="978">
        <v>11000000000</v>
      </c>
      <c r="P33" s="990">
        <f>P23-P24-P25-P26-P30-P38</f>
        <v>14600000000</v>
      </c>
      <c r="Q33" s="990">
        <v>6800000000</v>
      </c>
      <c r="R33" s="978">
        <v>10300000000</v>
      </c>
      <c r="S33" s="978">
        <v>3200000000</v>
      </c>
      <c r="T33" s="978">
        <v>9300000000</v>
      </c>
      <c r="U33" s="978">
        <v>7000000000</v>
      </c>
      <c r="V33" s="978">
        <v>2500000000</v>
      </c>
      <c r="W33" s="978">
        <v>2500000000</v>
      </c>
      <c r="X33" s="978">
        <v>2500000000</v>
      </c>
      <c r="Y33" s="1684">
        <v>2500000000</v>
      </c>
      <c r="Z33" s="1010">
        <v>2500000000</v>
      </c>
    </row>
    <row r="34" spans="1:27">
      <c r="A34" s="981" t="s">
        <v>237</v>
      </c>
      <c r="B34" s="981" t="s">
        <v>1442</v>
      </c>
      <c r="C34" s="982" t="s">
        <v>75</v>
      </c>
      <c r="G34" s="978">
        <v>44000000000</v>
      </c>
      <c r="H34" s="978">
        <v>43000000000</v>
      </c>
      <c r="I34" s="978">
        <v>36600000000</v>
      </c>
      <c r="J34" s="978">
        <v>44600000000</v>
      </c>
      <c r="K34" s="978">
        <v>58500000000</v>
      </c>
      <c r="L34" s="978">
        <v>55600000000</v>
      </c>
      <c r="M34" s="978">
        <v>51800000000</v>
      </c>
      <c r="N34" s="978">
        <v>65099999999.999992</v>
      </c>
      <c r="O34" s="978">
        <v>91800000000</v>
      </c>
      <c r="P34" s="978">
        <v>136900000000</v>
      </c>
      <c r="Q34" s="978">
        <v>169600000000</v>
      </c>
      <c r="R34" s="978">
        <v>191500000000</v>
      </c>
      <c r="S34" s="978">
        <v>219900000000</v>
      </c>
      <c r="T34" s="978">
        <v>193700000000</v>
      </c>
      <c r="U34" s="978">
        <v>199400000000</v>
      </c>
      <c r="V34" s="978">
        <v>215900000000</v>
      </c>
      <c r="W34" s="978">
        <v>233300000000</v>
      </c>
      <c r="X34" s="978">
        <v>253900000000</v>
      </c>
      <c r="Y34" s="1684">
        <v>291600000000</v>
      </c>
      <c r="Z34" s="1010">
        <v>323100000000</v>
      </c>
    </row>
    <row r="35" spans="1:27">
      <c r="A35" s="980" t="s">
        <v>395</v>
      </c>
      <c r="B35" s="988" t="s">
        <v>1451</v>
      </c>
      <c r="C35" s="982" t="s">
        <v>95</v>
      </c>
      <c r="G35" s="978">
        <v>18600000000</v>
      </c>
      <c r="H35" s="978">
        <v>18500000000</v>
      </c>
      <c r="I35" s="978">
        <v>15200000000</v>
      </c>
      <c r="J35" s="978">
        <v>20700000000</v>
      </c>
      <c r="K35" s="978">
        <v>28600000000</v>
      </c>
      <c r="L35" s="978">
        <v>12000000000</v>
      </c>
      <c r="M35" s="978">
        <v>14900000000</v>
      </c>
      <c r="N35" s="978">
        <v>13700000000</v>
      </c>
      <c r="O35" s="978">
        <v>37100000000</v>
      </c>
      <c r="P35" s="978">
        <v>50800000000</v>
      </c>
      <c r="Q35" s="978">
        <v>48700000000</v>
      </c>
      <c r="R35" s="978">
        <v>57900000000</v>
      </c>
      <c r="S35" s="978">
        <v>78200000000</v>
      </c>
      <c r="T35" s="978">
        <v>44600000000</v>
      </c>
      <c r="U35" s="978">
        <v>52700000000</v>
      </c>
      <c r="V35" s="978">
        <v>74100000000</v>
      </c>
      <c r="W35" s="978">
        <v>78400000000</v>
      </c>
      <c r="X35" s="978">
        <v>84200000000</v>
      </c>
      <c r="Y35" s="1684">
        <v>84200000000</v>
      </c>
      <c r="Z35" s="1010">
        <v>93300000000</v>
      </c>
    </row>
    <row r="36" spans="1:27">
      <c r="A36" s="980" t="s">
        <v>239</v>
      </c>
      <c r="B36" s="988" t="s">
        <v>1444</v>
      </c>
      <c r="C36" s="982" t="s">
        <v>95</v>
      </c>
      <c r="G36" s="978">
        <v>25400000000</v>
      </c>
      <c r="H36" s="978">
        <v>24600000000</v>
      </c>
      <c r="I36" s="978">
        <v>21400000000</v>
      </c>
      <c r="J36" s="978">
        <v>23900000000</v>
      </c>
      <c r="K36" s="978">
        <v>29900000000</v>
      </c>
      <c r="L36" s="978">
        <v>43600000000</v>
      </c>
      <c r="M36" s="978">
        <v>36900000000</v>
      </c>
      <c r="N36" s="978">
        <v>51500000000</v>
      </c>
      <c r="O36" s="978">
        <v>54700000000</v>
      </c>
      <c r="P36" s="978">
        <v>86100000000</v>
      </c>
      <c r="Q36" s="978">
        <v>120900000000</v>
      </c>
      <c r="R36" s="978">
        <v>133600000000</v>
      </c>
      <c r="S36" s="978">
        <v>141700000000</v>
      </c>
      <c r="T36" s="978">
        <v>149100000000</v>
      </c>
      <c r="U36" s="978">
        <v>146700000000</v>
      </c>
      <c r="V36" s="978">
        <v>141800000000</v>
      </c>
      <c r="W36" s="978">
        <v>154900000000</v>
      </c>
      <c r="X36" s="978">
        <v>169700000000</v>
      </c>
      <c r="Y36" s="1684">
        <v>207400000000</v>
      </c>
      <c r="Z36" s="1010">
        <v>229800000000</v>
      </c>
    </row>
    <row r="37" spans="1:27">
      <c r="A37" s="981" t="s">
        <v>4348</v>
      </c>
      <c r="B37" s="981" t="s">
        <v>4349</v>
      </c>
      <c r="C37" s="982" t="s">
        <v>75</v>
      </c>
      <c r="G37" s="978">
        <v>1400000000</v>
      </c>
      <c r="H37" s="978">
        <v>200000000</v>
      </c>
      <c r="I37" s="978">
        <v>2900000000</v>
      </c>
      <c r="J37" s="978">
        <v>3800000000</v>
      </c>
      <c r="K37" s="978">
        <v>0</v>
      </c>
      <c r="L37" s="978">
        <v>0</v>
      </c>
      <c r="M37" s="978">
        <v>4400000000</v>
      </c>
      <c r="N37" s="978">
        <v>13400000000</v>
      </c>
      <c r="O37" s="978">
        <v>2200000000</v>
      </c>
      <c r="P37" s="978">
        <v>0</v>
      </c>
      <c r="Q37" s="978">
        <v>0</v>
      </c>
      <c r="R37" s="978">
        <v>0</v>
      </c>
      <c r="S37" s="978">
        <v>2900000000</v>
      </c>
      <c r="T37" s="2755">
        <v>0</v>
      </c>
      <c r="U37" s="978">
        <v>3000000000</v>
      </c>
      <c r="V37" s="978">
        <v>4500000000</v>
      </c>
      <c r="W37" s="978">
        <v>0</v>
      </c>
      <c r="X37" s="978">
        <v>0</v>
      </c>
      <c r="Y37" s="1684">
        <v>0</v>
      </c>
      <c r="Z37" s="1010">
        <v>0</v>
      </c>
    </row>
    <row r="38" spans="1:27">
      <c r="A38" s="981" t="s">
        <v>4350</v>
      </c>
      <c r="B38" s="981" t="s">
        <v>4351</v>
      </c>
      <c r="C38" s="982" t="s">
        <v>81</v>
      </c>
      <c r="G38" s="987"/>
      <c r="H38" s="987"/>
      <c r="I38" s="987"/>
      <c r="J38" s="987"/>
      <c r="K38" s="978">
        <v>0</v>
      </c>
      <c r="L38" s="978">
        <v>15100000000</v>
      </c>
      <c r="M38" s="978">
        <v>16600000000.000002</v>
      </c>
      <c r="N38" s="978">
        <v>13200000000</v>
      </c>
      <c r="O38" s="978">
        <v>10900000000</v>
      </c>
      <c r="P38" s="978">
        <v>10800000000</v>
      </c>
      <c r="Q38" s="978">
        <v>10700000000</v>
      </c>
      <c r="R38" s="978">
        <v>11300000000</v>
      </c>
      <c r="S38" s="978">
        <v>11900000000</v>
      </c>
      <c r="T38" s="978">
        <v>11400000000</v>
      </c>
      <c r="U38" s="978">
        <v>12200000000</v>
      </c>
      <c r="V38" s="978">
        <v>12200000000</v>
      </c>
      <c r="W38" s="978">
        <v>13300000000</v>
      </c>
      <c r="X38" s="978">
        <v>16600000000.000002</v>
      </c>
      <c r="Y38" s="1684">
        <v>18800000000</v>
      </c>
      <c r="Z38" s="1010">
        <v>22200000000</v>
      </c>
    </row>
    <row r="39" spans="1:27">
      <c r="A39" s="981" t="s">
        <v>391</v>
      </c>
      <c r="B39" s="981" t="s">
        <v>3722</v>
      </c>
      <c r="C39" s="982" t="s">
        <v>81</v>
      </c>
      <c r="G39" s="987"/>
      <c r="H39" s="987"/>
      <c r="I39" s="987"/>
      <c r="J39" s="987"/>
      <c r="K39" s="978"/>
      <c r="L39" s="978"/>
      <c r="M39" s="978"/>
      <c r="N39" s="978"/>
      <c r="O39" s="978"/>
      <c r="P39" s="978"/>
      <c r="Q39" s="978">
        <v>0</v>
      </c>
      <c r="R39" s="978">
        <v>2600000000</v>
      </c>
      <c r="S39" s="978">
        <v>8500000000</v>
      </c>
      <c r="T39" s="978">
        <v>800000000</v>
      </c>
      <c r="U39" s="978">
        <v>0</v>
      </c>
      <c r="V39" s="978">
        <v>0</v>
      </c>
      <c r="W39" s="978">
        <v>0</v>
      </c>
      <c r="X39" s="978">
        <v>0</v>
      </c>
      <c r="Y39" s="978">
        <v>0</v>
      </c>
      <c r="Z39" s="1010">
        <v>0</v>
      </c>
    </row>
    <row r="40" spans="1:27">
      <c r="A40" s="981"/>
      <c r="B40" s="981" t="s">
        <v>3620</v>
      </c>
      <c r="C40" s="982"/>
      <c r="G40" s="987"/>
      <c r="H40" s="987"/>
      <c r="I40" s="987"/>
      <c r="J40" s="987"/>
      <c r="K40" s="978"/>
      <c r="L40" s="978"/>
      <c r="M40" s="978"/>
      <c r="N40" s="978"/>
      <c r="O40" s="978"/>
      <c r="P40" s="978"/>
      <c r="Q40" s="978">
        <v>1600000000</v>
      </c>
      <c r="R40" s="978">
        <v>-57300000000</v>
      </c>
      <c r="S40" s="978">
        <v>-35700000000</v>
      </c>
      <c r="T40" s="978">
        <v>8900000000</v>
      </c>
      <c r="U40" s="978">
        <v>16000000000</v>
      </c>
      <c r="V40" s="978">
        <v>21400000000</v>
      </c>
      <c r="W40" s="978">
        <v>31000000000</v>
      </c>
      <c r="X40" s="978">
        <v>39700000000</v>
      </c>
      <c r="Y40" s="1684">
        <v>45600000000</v>
      </c>
      <c r="Z40" s="1010">
        <v>48700000000</v>
      </c>
    </row>
    <row r="41" spans="1:27">
      <c r="A41" s="972" t="s">
        <v>76</v>
      </c>
      <c r="B41" s="981" t="s">
        <v>4352</v>
      </c>
      <c r="G41" s="978">
        <v>-55600000000</v>
      </c>
      <c r="H41" s="978">
        <v>-31600000000</v>
      </c>
      <c r="I41" s="978">
        <v>-45300000000</v>
      </c>
      <c r="J41" s="978">
        <v>-52900000000</v>
      </c>
      <c r="K41" s="987">
        <v>0</v>
      </c>
      <c r="L41" s="978">
        <v>-79500000000</v>
      </c>
      <c r="M41" s="978">
        <v>-60500000000</v>
      </c>
      <c r="N41" s="978">
        <v>-44200000000</v>
      </c>
      <c r="O41" s="978">
        <v>-47900000000</v>
      </c>
      <c r="P41" s="978">
        <v>-32200000000.000004</v>
      </c>
      <c r="Q41" s="978">
        <v>-25400000000</v>
      </c>
      <c r="R41" s="978">
        <v>-75300000000</v>
      </c>
      <c r="S41" s="978">
        <v>-81800000000</v>
      </c>
      <c r="T41" s="978">
        <v>-39800000000</v>
      </c>
      <c r="U41" s="978">
        <v>-14800000000</v>
      </c>
      <c r="V41" s="978">
        <v>-19600000000</v>
      </c>
      <c r="W41" s="978">
        <v>-20500000000</v>
      </c>
      <c r="X41" s="978">
        <v>-13100000000</v>
      </c>
      <c r="Y41" s="1684">
        <v>-3300000000</v>
      </c>
      <c r="Z41" s="1010">
        <v>-1900000000</v>
      </c>
    </row>
    <row r="42" spans="1:27">
      <c r="A42" s="972" t="s">
        <v>76</v>
      </c>
      <c r="B42" s="981" t="s">
        <v>4353</v>
      </c>
      <c r="G42" s="978">
        <v>-39900000000</v>
      </c>
      <c r="H42" s="978">
        <v>-19200000000</v>
      </c>
      <c r="I42" s="978">
        <v>-34900000000</v>
      </c>
      <c r="J42" s="978">
        <v>199600000000</v>
      </c>
      <c r="K42" s="978">
        <v>-12000000000</v>
      </c>
      <c r="L42" s="978">
        <v>-73000000000</v>
      </c>
      <c r="M42" s="978">
        <v>-54400000000</v>
      </c>
      <c r="N42" s="978">
        <v>-32600000000</v>
      </c>
      <c r="O42" s="978">
        <v>-40200000000</v>
      </c>
      <c r="P42" s="978">
        <v>35700000000</v>
      </c>
      <c r="Q42" s="978">
        <v>-14100000000</v>
      </c>
      <c r="R42" s="978">
        <v>-73200000000</v>
      </c>
      <c r="S42" s="978">
        <v>-53500000000</v>
      </c>
      <c r="T42" s="978">
        <v>-8500000000</v>
      </c>
      <c r="U42" s="978">
        <v>-2000000000</v>
      </c>
      <c r="V42" s="978">
        <v>-3700000000</v>
      </c>
      <c r="W42" s="978">
        <v>300000000</v>
      </c>
      <c r="X42" s="978">
        <v>7100000000</v>
      </c>
      <c r="Y42" s="1684">
        <v>11900000000</v>
      </c>
      <c r="Z42" s="1010">
        <v>14600000000</v>
      </c>
    </row>
    <row r="43" spans="1:27" s="848" customFormat="1">
      <c r="A43" s="1375" t="s">
        <v>115</v>
      </c>
      <c r="B43" s="1012" t="s">
        <v>4354</v>
      </c>
      <c r="C43" s="1374" t="s">
        <v>35</v>
      </c>
      <c r="D43" s="1013"/>
      <c r="E43" s="1013"/>
      <c r="F43" s="1013"/>
      <c r="G43" s="1016">
        <v>39900000000</v>
      </c>
      <c r="H43" s="1016">
        <v>19300000000</v>
      </c>
      <c r="I43" s="1016">
        <v>34900000000</v>
      </c>
      <c r="J43" s="1016">
        <v>-260100000000.00003</v>
      </c>
      <c r="K43" s="1016">
        <v>12000000000</v>
      </c>
      <c r="L43" s="1016">
        <f>L44+L64</f>
        <v>56100000000</v>
      </c>
      <c r="M43" s="1016">
        <f>M44+M64</f>
        <v>49700000000</v>
      </c>
      <c r="N43" s="1016">
        <f>N44+N64</f>
        <v>22000000000</v>
      </c>
      <c r="O43" s="1016">
        <f>O44+O64</f>
        <v>23900000000</v>
      </c>
      <c r="P43" s="1016">
        <v>-35700000000</v>
      </c>
      <c r="Q43" s="1016">
        <v>14100000000</v>
      </c>
      <c r="R43" s="1016">
        <v>73200000000</v>
      </c>
      <c r="S43" s="1016">
        <v>53500000000</v>
      </c>
      <c r="T43" s="1016">
        <v>8500000000</v>
      </c>
      <c r="U43" s="1016">
        <v>2000000000</v>
      </c>
      <c r="V43" s="1016">
        <v>3700000000</v>
      </c>
      <c r="W43" s="1016">
        <v>-300000000</v>
      </c>
      <c r="X43" s="1016">
        <v>-7100000000</v>
      </c>
      <c r="Y43" s="1688">
        <v>-11900000000</v>
      </c>
      <c r="Z43" s="1069">
        <v>-14600000000</v>
      </c>
      <c r="AA43" s="1013"/>
    </row>
    <row r="44" spans="1:27">
      <c r="A44" s="972" t="s">
        <v>76</v>
      </c>
      <c r="B44" s="981" t="s">
        <v>115</v>
      </c>
      <c r="C44" s="975"/>
      <c r="G44" s="978">
        <v>39900000000</v>
      </c>
      <c r="H44" s="978">
        <v>19300000000</v>
      </c>
      <c r="I44" s="978">
        <v>34900000000</v>
      </c>
      <c r="J44" s="978">
        <v>-260100000000.00003</v>
      </c>
      <c r="K44" s="978">
        <v>12000000000</v>
      </c>
      <c r="L44" s="978">
        <v>55800000000</v>
      </c>
      <c r="M44" s="978">
        <v>45200000000</v>
      </c>
      <c r="N44" s="978">
        <v>20600000000</v>
      </c>
      <c r="O44" s="978">
        <v>20600000000</v>
      </c>
      <c r="P44" s="978">
        <v>-35700000000</v>
      </c>
      <c r="Q44" s="978"/>
      <c r="R44" s="978"/>
      <c r="S44" s="978"/>
      <c r="T44" s="978"/>
      <c r="U44" s="978"/>
      <c r="V44" s="978"/>
      <c r="W44" s="978"/>
      <c r="X44" s="978"/>
      <c r="Y44" s="1684"/>
      <c r="Z44" s="1010"/>
    </row>
    <row r="45" spans="1:27">
      <c r="A45" s="980" t="s">
        <v>120</v>
      </c>
      <c r="B45" s="981" t="s">
        <v>2768</v>
      </c>
      <c r="C45" s="982" t="s">
        <v>119</v>
      </c>
      <c r="G45" s="978">
        <v>25100000000</v>
      </c>
      <c r="H45" s="978">
        <v>-5300000000</v>
      </c>
      <c r="I45" s="978">
        <v>20600000000</v>
      </c>
      <c r="J45" s="978">
        <v>-38700000000</v>
      </c>
      <c r="K45" s="978">
        <v>3000000000</v>
      </c>
      <c r="L45" s="978">
        <v>44300000000</v>
      </c>
      <c r="M45" s="978">
        <v>27700000000</v>
      </c>
      <c r="N45" s="978">
        <v>12200000000</v>
      </c>
      <c r="O45" s="978">
        <v>-600000000</v>
      </c>
      <c r="P45" s="978">
        <v>-83900000000</v>
      </c>
      <c r="Q45" s="978">
        <v>-5500000000</v>
      </c>
      <c r="R45" s="978">
        <v>11000000000</v>
      </c>
      <c r="S45" s="978">
        <v>-1200000000</v>
      </c>
      <c r="T45" s="978">
        <v>-23800000000</v>
      </c>
      <c r="U45" s="978">
        <v>4400000000</v>
      </c>
      <c r="V45" s="978">
        <v>3500000000</v>
      </c>
      <c r="W45" s="978">
        <v>-3600000000</v>
      </c>
      <c r="X45" s="978">
        <v>-9000000000</v>
      </c>
      <c r="Y45" s="1684">
        <v>-16100000000.000002</v>
      </c>
      <c r="Z45" s="1010">
        <v>-28700000000</v>
      </c>
    </row>
    <row r="46" spans="1:27">
      <c r="A46" s="980" t="s">
        <v>122</v>
      </c>
      <c r="B46" s="988" t="s">
        <v>1471</v>
      </c>
      <c r="C46" s="981" t="s">
        <v>124</v>
      </c>
      <c r="G46" s="978">
        <v>20500000000</v>
      </c>
      <c r="H46" s="978">
        <v>-4000000000</v>
      </c>
      <c r="I46" s="978">
        <v>33100000000</v>
      </c>
      <c r="J46" s="978">
        <v>-47700000000</v>
      </c>
      <c r="K46" s="978">
        <v>7700000000</v>
      </c>
      <c r="L46" s="978">
        <v>19200000000</v>
      </c>
      <c r="M46" s="978">
        <v>31300000000</v>
      </c>
      <c r="N46" s="978">
        <v>14800000000</v>
      </c>
      <c r="O46" s="978">
        <v>-12400000000</v>
      </c>
      <c r="P46" s="978">
        <v>-141900000000</v>
      </c>
      <c r="Q46" s="978">
        <v>58100000000</v>
      </c>
      <c r="R46" s="978">
        <v>50000000000</v>
      </c>
      <c r="S46" s="978">
        <v>12200000000</v>
      </c>
      <c r="T46" s="978">
        <v>-16000000000</v>
      </c>
      <c r="U46" s="978">
        <v>-7600000000</v>
      </c>
      <c r="V46" s="978">
        <v>3500000000</v>
      </c>
      <c r="W46" s="978">
        <v>-3600000000</v>
      </c>
      <c r="X46" s="978">
        <v>-9000000000</v>
      </c>
      <c r="Y46" s="1684">
        <v>-4099999999.9999995</v>
      </c>
      <c r="Z46" s="1010">
        <v>-16700000000</v>
      </c>
    </row>
    <row r="47" spans="1:27">
      <c r="A47" s="972" t="s">
        <v>76</v>
      </c>
      <c r="B47" s="997" t="s">
        <v>4355</v>
      </c>
      <c r="G47" s="978">
        <v>18700000000</v>
      </c>
      <c r="H47" s="978">
        <v>-6300000000</v>
      </c>
      <c r="I47" s="978">
        <v>-6300000000</v>
      </c>
      <c r="J47" s="978">
        <v>-27300000000</v>
      </c>
      <c r="K47" s="978">
        <v>-200000000</v>
      </c>
      <c r="L47" s="978">
        <v>20000000000</v>
      </c>
      <c r="M47" s="978">
        <v>23100000000</v>
      </c>
      <c r="N47" s="978">
        <v>-1000000000</v>
      </c>
      <c r="O47" s="978">
        <v>8500000000</v>
      </c>
      <c r="P47" s="978">
        <v>-151700000000</v>
      </c>
      <c r="Q47" s="978">
        <v>83700000000</v>
      </c>
      <c r="R47" s="978">
        <v>49200000000</v>
      </c>
      <c r="S47" s="978">
        <v>36900000000</v>
      </c>
      <c r="T47" s="978">
        <v>-10100000000</v>
      </c>
      <c r="U47" s="978">
        <v>-7600000000</v>
      </c>
      <c r="V47" s="978">
        <v>3500000000</v>
      </c>
      <c r="W47" s="978">
        <v>-3600000000</v>
      </c>
      <c r="X47" s="978">
        <v>-9000000000</v>
      </c>
      <c r="Y47" s="1684">
        <v>900000000</v>
      </c>
      <c r="Z47" s="1010">
        <v>-8700000000</v>
      </c>
    </row>
    <row r="48" spans="1:27">
      <c r="A48" s="972" t="s">
        <v>76</v>
      </c>
      <c r="B48" s="997" t="s">
        <v>2910</v>
      </c>
      <c r="G48" s="978">
        <v>1800000000</v>
      </c>
      <c r="H48" s="978">
        <v>2200000000</v>
      </c>
      <c r="I48" s="978">
        <v>39300000000</v>
      </c>
      <c r="J48" s="978">
        <v>-20300000000</v>
      </c>
      <c r="K48" s="978">
        <v>7900000000</v>
      </c>
      <c r="L48" s="978">
        <v>12500000000</v>
      </c>
      <c r="M48" s="978">
        <v>3000000000</v>
      </c>
      <c r="N48" s="978">
        <v>15800000000</v>
      </c>
      <c r="O48" s="978">
        <v>-20900000000</v>
      </c>
      <c r="P48" s="978">
        <v>9800000000</v>
      </c>
      <c r="Q48" s="978">
        <v>-25600000000</v>
      </c>
      <c r="R48" s="978">
        <v>900000000</v>
      </c>
      <c r="S48" s="978">
        <v>-24700000000</v>
      </c>
      <c r="T48" s="978">
        <v>-5900000000</v>
      </c>
      <c r="U48" s="978">
        <v>0</v>
      </c>
      <c r="V48" s="978">
        <v>0</v>
      </c>
      <c r="W48" s="978">
        <v>0</v>
      </c>
      <c r="X48" s="978">
        <v>0</v>
      </c>
      <c r="Y48" s="1684">
        <v>-5000000000</v>
      </c>
      <c r="Z48" s="1010">
        <v>-8000000000</v>
      </c>
    </row>
    <row r="49" spans="1:26">
      <c r="A49" s="980" t="s">
        <v>428</v>
      </c>
      <c r="B49" s="988" t="s">
        <v>597</v>
      </c>
      <c r="C49" s="981" t="s">
        <v>124</v>
      </c>
      <c r="G49" s="978">
        <v>100000000</v>
      </c>
      <c r="H49" s="978">
        <v>200000000</v>
      </c>
      <c r="I49" s="978">
        <v>2900000000</v>
      </c>
      <c r="J49" s="978">
        <v>4600000000</v>
      </c>
      <c r="K49" s="978">
        <v>5500000000</v>
      </c>
      <c r="L49" s="978">
        <v>14800000000</v>
      </c>
      <c r="M49" s="978">
        <v>-5900000000</v>
      </c>
      <c r="N49" s="978">
        <v>-2500000000</v>
      </c>
      <c r="O49" s="978">
        <v>9800000000</v>
      </c>
      <c r="P49" s="978">
        <v>-1300000000</v>
      </c>
      <c r="Q49" s="978">
        <v>8300000000.000001</v>
      </c>
      <c r="R49" s="978">
        <v>5300000000</v>
      </c>
      <c r="S49" s="978">
        <v>8900000000</v>
      </c>
      <c r="T49" s="978">
        <v>-7100000000</v>
      </c>
      <c r="U49" s="978">
        <v>12000000000</v>
      </c>
      <c r="V49" s="978">
        <v>0</v>
      </c>
      <c r="W49" s="978">
        <v>0</v>
      </c>
      <c r="X49" s="978">
        <v>0</v>
      </c>
      <c r="Y49" s="1684">
        <v>-12000000000</v>
      </c>
      <c r="Z49" s="1010">
        <v>-12000000000</v>
      </c>
    </row>
    <row r="50" spans="1:26">
      <c r="A50" s="980" t="s">
        <v>858</v>
      </c>
      <c r="B50" s="988" t="s">
        <v>4356</v>
      </c>
      <c r="C50" s="981" t="s">
        <v>124</v>
      </c>
      <c r="G50" s="978">
        <v>0</v>
      </c>
      <c r="H50" s="978">
        <v>0</v>
      </c>
      <c r="I50" s="978">
        <v>0</v>
      </c>
      <c r="J50" s="978">
        <v>22200000000</v>
      </c>
      <c r="K50" s="978">
        <v>0</v>
      </c>
      <c r="L50" s="978">
        <v>-2800000000</v>
      </c>
      <c r="M50" s="978">
        <v>-2800000000</v>
      </c>
      <c r="N50" s="978">
        <v>-2800000000</v>
      </c>
      <c r="O50" s="978">
        <v>-2800000000</v>
      </c>
      <c r="P50" s="978">
        <v>-2200000000</v>
      </c>
      <c r="Q50" s="978">
        <v>0</v>
      </c>
      <c r="R50" s="978">
        <v>0</v>
      </c>
      <c r="S50" s="978">
        <v>0</v>
      </c>
      <c r="T50" s="978">
        <v>0</v>
      </c>
      <c r="U50" s="978">
        <v>0</v>
      </c>
      <c r="V50" s="978">
        <v>0</v>
      </c>
      <c r="W50" s="978">
        <v>0</v>
      </c>
      <c r="X50" s="978">
        <v>0</v>
      </c>
      <c r="Y50" s="1684">
        <v>0</v>
      </c>
      <c r="Z50" s="1010">
        <v>0</v>
      </c>
    </row>
    <row r="51" spans="1:26" ht="21.75" customHeight="1">
      <c r="A51" s="988" t="s">
        <v>1558</v>
      </c>
      <c r="B51" s="988" t="s">
        <v>4357</v>
      </c>
      <c r="C51" s="981" t="s">
        <v>124</v>
      </c>
      <c r="G51" s="978">
        <v>4400000000</v>
      </c>
      <c r="H51" s="978">
        <v>-1500000000</v>
      </c>
      <c r="I51" s="978">
        <v>-15400000000</v>
      </c>
      <c r="J51" s="978">
        <v>-17800000000</v>
      </c>
      <c r="K51" s="978">
        <v>-10200000000</v>
      </c>
      <c r="L51" s="978">
        <v>-1800000000</v>
      </c>
      <c r="M51" s="978">
        <v>300000000</v>
      </c>
      <c r="N51" s="978">
        <v>2700000000</v>
      </c>
      <c r="O51" s="978">
        <v>3000000000</v>
      </c>
      <c r="P51" s="978">
        <v>-5400000000</v>
      </c>
      <c r="Q51" s="978">
        <v>-5500000000</v>
      </c>
      <c r="R51" s="978">
        <v>-8800000000</v>
      </c>
      <c r="S51" s="978">
        <v>-1300000000</v>
      </c>
      <c r="T51" s="978">
        <v>0</v>
      </c>
      <c r="U51" s="978">
        <v>0</v>
      </c>
      <c r="V51" s="978">
        <v>0</v>
      </c>
      <c r="W51" s="978">
        <v>0</v>
      </c>
      <c r="X51" s="978">
        <v>0</v>
      </c>
      <c r="Y51" s="1684">
        <v>0</v>
      </c>
      <c r="Z51" s="1010">
        <v>0</v>
      </c>
    </row>
    <row r="52" spans="1:26" ht="15.75" customHeight="1">
      <c r="A52" s="1062" t="s">
        <v>1036</v>
      </c>
      <c r="B52" s="1062" t="s">
        <v>4358</v>
      </c>
      <c r="C52" s="1235" t="s">
        <v>124</v>
      </c>
      <c r="G52" s="978"/>
      <c r="H52" s="978"/>
      <c r="I52" s="978"/>
      <c r="J52" s="978"/>
      <c r="K52" s="978"/>
      <c r="L52" s="978">
        <f>L45-L46-L49-L50-L51</f>
        <v>14900000000</v>
      </c>
      <c r="M52" s="978">
        <f>M45-M46-M49-M50-M51</f>
        <v>4800000000</v>
      </c>
      <c r="N52" s="978">
        <f t="shared" ref="N52:O52" si="5">N45-N46-N49-N50-N51</f>
        <v>0</v>
      </c>
      <c r="O52" s="978">
        <f t="shared" si="5"/>
        <v>1800000000</v>
      </c>
      <c r="P52" s="978">
        <f>P45-P46-P49-P50-P51</f>
        <v>66900000000</v>
      </c>
      <c r="Q52" s="978">
        <f>Q45-Q46-Q49-Q50-Q51</f>
        <v>-66400000000</v>
      </c>
      <c r="R52" s="978">
        <f t="shared" ref="R52:Z52" si="6">R45-R46-R49-R50-R51</f>
        <v>-35500000000</v>
      </c>
      <c r="S52" s="978">
        <f>S45-S46-S49-S50-S51</f>
        <v>-21000000000</v>
      </c>
      <c r="T52" s="978">
        <f t="shared" si="6"/>
        <v>-700000000</v>
      </c>
      <c r="U52" s="978">
        <f t="shared" si="6"/>
        <v>0</v>
      </c>
      <c r="V52" s="978">
        <f t="shared" si="6"/>
        <v>0</v>
      </c>
      <c r="W52" s="978">
        <f t="shared" si="6"/>
        <v>0</v>
      </c>
      <c r="X52" s="978">
        <f t="shared" si="6"/>
        <v>0</v>
      </c>
      <c r="Y52" s="978">
        <f t="shared" si="6"/>
        <v>-1.9073486328125E-6</v>
      </c>
      <c r="Z52" s="978">
        <f t="shared" si="6"/>
        <v>0</v>
      </c>
    </row>
    <row r="53" spans="1:26" ht="14.25" customHeight="1">
      <c r="A53" s="988"/>
      <c r="B53" s="981" t="s">
        <v>4359</v>
      </c>
      <c r="C53" s="981"/>
      <c r="G53" s="978"/>
      <c r="H53" s="978"/>
      <c r="I53" s="978"/>
      <c r="J53" s="978"/>
      <c r="K53" s="978"/>
      <c r="L53" s="978"/>
      <c r="M53" s="978"/>
      <c r="N53" s="978"/>
      <c r="O53" s="978"/>
      <c r="P53" s="978"/>
      <c r="Q53" s="978">
        <v>0</v>
      </c>
      <c r="R53" s="978">
        <v>0</v>
      </c>
      <c r="S53" s="978">
        <v>0</v>
      </c>
      <c r="T53" s="978">
        <v>0</v>
      </c>
      <c r="U53" s="978">
        <v>0</v>
      </c>
      <c r="V53" s="978">
        <v>0</v>
      </c>
      <c r="W53" s="978">
        <v>0</v>
      </c>
      <c r="X53" s="978">
        <v>0</v>
      </c>
      <c r="Y53" s="1684">
        <v>0</v>
      </c>
      <c r="Z53" s="1010">
        <v>0</v>
      </c>
    </row>
    <row r="54" spans="1:26">
      <c r="A54" s="980" t="s">
        <v>117</v>
      </c>
      <c r="B54" s="981" t="s">
        <v>4360</v>
      </c>
      <c r="C54" s="982" t="s">
        <v>119</v>
      </c>
      <c r="G54" s="978">
        <v>14000000000</v>
      </c>
      <c r="H54" s="978">
        <v>13600000000</v>
      </c>
      <c r="I54" s="978">
        <v>11100000000</v>
      </c>
      <c r="J54" s="978">
        <v>-223900000000</v>
      </c>
      <c r="K54" s="978">
        <v>14600000000</v>
      </c>
      <c r="L54" s="978">
        <v>11600000000</v>
      </c>
      <c r="M54" s="978">
        <v>17500000000</v>
      </c>
      <c r="N54" s="978">
        <v>8400000000</v>
      </c>
      <c r="O54" s="978">
        <v>21200000000</v>
      </c>
      <c r="P54" s="978">
        <v>50400000000</v>
      </c>
      <c r="Q54" s="978">
        <v>25800000000</v>
      </c>
      <c r="R54" s="978">
        <v>68200000000</v>
      </c>
      <c r="S54" s="978">
        <v>57100000000</v>
      </c>
      <c r="T54" s="978">
        <v>38100000000</v>
      </c>
      <c r="U54" s="978">
        <v>-2400000000</v>
      </c>
      <c r="V54" s="978">
        <v>200000000</v>
      </c>
      <c r="W54" s="978">
        <v>3200000000</v>
      </c>
      <c r="X54" s="978">
        <v>1900000000</v>
      </c>
      <c r="Y54" s="1684">
        <v>4200000000</v>
      </c>
      <c r="Z54" s="1010">
        <v>14000000000</v>
      </c>
    </row>
    <row r="55" spans="1:26">
      <c r="A55" s="972" t="s">
        <v>4361</v>
      </c>
      <c r="B55" s="988" t="s">
        <v>4362</v>
      </c>
      <c r="C55" s="981" t="s">
        <v>264</v>
      </c>
      <c r="G55" s="978"/>
      <c r="H55" s="978"/>
      <c r="I55" s="978"/>
      <c r="J55" s="978">
        <v>-13100000000</v>
      </c>
      <c r="K55" s="978">
        <v>-2800000000</v>
      </c>
      <c r="L55" s="978">
        <v>3300000000</v>
      </c>
      <c r="M55" s="978">
        <v>3400000000</v>
      </c>
      <c r="N55" s="978">
        <v>-500000000</v>
      </c>
      <c r="O55" s="978">
        <v>-13300000000</v>
      </c>
      <c r="P55" s="978">
        <v>-4200000000</v>
      </c>
      <c r="Q55" s="978">
        <v>-1300000000</v>
      </c>
      <c r="R55" s="978">
        <v>18900000000</v>
      </c>
      <c r="S55" s="978">
        <v>4800000000</v>
      </c>
      <c r="T55" s="978">
        <v>8500000000</v>
      </c>
      <c r="U55" s="978">
        <v>-2000000000</v>
      </c>
      <c r="V55" s="978">
        <v>-3400000000</v>
      </c>
      <c r="W55" s="978">
        <v>0</v>
      </c>
      <c r="X55" s="978">
        <v>0</v>
      </c>
      <c r="Y55" s="1684">
        <v>0</v>
      </c>
      <c r="Z55" s="1010">
        <v>0</v>
      </c>
    </row>
    <row r="56" spans="1:26">
      <c r="A56" s="972" t="s">
        <v>4363</v>
      </c>
      <c r="B56" s="997" t="s">
        <v>4364</v>
      </c>
      <c r="C56" s="981" t="s">
        <v>7140</v>
      </c>
      <c r="G56" s="978"/>
      <c r="H56" s="978"/>
      <c r="I56" s="978"/>
      <c r="J56" s="978">
        <v>-60500000000</v>
      </c>
      <c r="K56" s="978">
        <v>-19900000000</v>
      </c>
      <c r="L56" s="978">
        <v>-17400000000</v>
      </c>
      <c r="M56" s="978">
        <v>-13700000000</v>
      </c>
      <c r="N56" s="978">
        <v>-13500000000</v>
      </c>
      <c r="O56" s="978">
        <v>-22900000000</v>
      </c>
      <c r="P56" s="978">
        <v>-21500000000</v>
      </c>
      <c r="Q56" s="978">
        <v>-20700000000</v>
      </c>
      <c r="R56" s="978">
        <v>-6100000000</v>
      </c>
      <c r="S56" s="978">
        <v>-13200000000</v>
      </c>
      <c r="T56" s="978">
        <v>-10900000000</v>
      </c>
      <c r="U56" s="978">
        <v>-20000000000</v>
      </c>
      <c r="V56" s="978">
        <v>-15000000000</v>
      </c>
      <c r="W56" s="978">
        <v>-2800000000</v>
      </c>
      <c r="X56" s="978">
        <v>-2800000000</v>
      </c>
      <c r="Y56" s="1684">
        <v>-2900000000</v>
      </c>
      <c r="Z56" s="1010">
        <v>-2900000000</v>
      </c>
    </row>
    <row r="57" spans="1:26">
      <c r="A57" s="972" t="s">
        <v>4365</v>
      </c>
      <c r="B57" s="997" t="s">
        <v>4366</v>
      </c>
      <c r="C57" s="981" t="s">
        <v>7140</v>
      </c>
      <c r="G57" s="978"/>
      <c r="H57" s="978"/>
      <c r="I57" s="978"/>
      <c r="J57" s="978">
        <v>47400000000</v>
      </c>
      <c r="K57" s="978">
        <v>17100000000.000002</v>
      </c>
      <c r="L57" s="978">
        <v>20700000000</v>
      </c>
      <c r="M57" s="978">
        <v>17100000000.000002</v>
      </c>
      <c r="N57" s="978">
        <v>13000000000</v>
      </c>
      <c r="O57" s="978">
        <v>9600000000</v>
      </c>
      <c r="P57" s="978">
        <v>17300000000</v>
      </c>
      <c r="Q57" s="978">
        <v>19400000000</v>
      </c>
      <c r="R57" s="978">
        <v>25000000000</v>
      </c>
      <c r="S57" s="978">
        <v>18000000000</v>
      </c>
      <c r="T57" s="978">
        <v>19400000000</v>
      </c>
      <c r="U57" s="978">
        <v>18000000000</v>
      </c>
      <c r="V57" s="978">
        <v>11600000000</v>
      </c>
      <c r="W57" s="978">
        <v>2800000000</v>
      </c>
      <c r="X57" s="978">
        <v>2800000000</v>
      </c>
      <c r="Y57" s="1684">
        <v>2900000000</v>
      </c>
      <c r="Z57" s="1010">
        <v>2900000000</v>
      </c>
    </row>
    <row r="58" spans="1:26">
      <c r="A58" s="972" t="s">
        <v>50</v>
      </c>
      <c r="B58" s="988" t="s">
        <v>4367</v>
      </c>
      <c r="C58" s="981" t="s">
        <v>264</v>
      </c>
      <c r="G58" s="978">
        <v>14000000000</v>
      </c>
      <c r="H58" s="978">
        <v>13600000000</v>
      </c>
      <c r="I58" s="978">
        <v>11100000000</v>
      </c>
      <c r="J58" s="978">
        <v>-210800000000</v>
      </c>
      <c r="K58" s="978">
        <v>17300000000</v>
      </c>
      <c r="L58" s="978">
        <v>8300000000.000001</v>
      </c>
      <c r="M58" s="978">
        <v>14200000000</v>
      </c>
      <c r="N58" s="978">
        <v>8900000000</v>
      </c>
      <c r="O58" s="978">
        <v>34500000000</v>
      </c>
      <c r="P58" s="978">
        <v>54600000000</v>
      </c>
      <c r="Q58" s="978">
        <v>27100000000</v>
      </c>
      <c r="R58" s="978">
        <v>49300000000</v>
      </c>
      <c r="S58" s="978">
        <v>52300000000</v>
      </c>
      <c r="T58" s="978">
        <v>29600000000</v>
      </c>
      <c r="U58" s="978">
        <v>-400000000</v>
      </c>
      <c r="V58" s="978">
        <v>3600000000</v>
      </c>
      <c r="W58" s="978">
        <v>3200000000</v>
      </c>
      <c r="X58" s="978">
        <v>1900000000</v>
      </c>
      <c r="Y58" s="1684">
        <v>4200000000</v>
      </c>
      <c r="Z58" s="1010">
        <v>14000000000</v>
      </c>
    </row>
    <row r="59" spans="1:26">
      <c r="A59" s="997" t="s">
        <v>4368</v>
      </c>
      <c r="B59" s="997" t="s">
        <v>4369</v>
      </c>
      <c r="C59" s="981" t="s">
        <v>7141</v>
      </c>
      <c r="G59" s="978">
        <v>700000000</v>
      </c>
      <c r="H59" s="978">
        <v>-100000000</v>
      </c>
      <c r="I59" s="978">
        <v>-3800000000</v>
      </c>
      <c r="J59" s="978">
        <v>6400000000</v>
      </c>
      <c r="K59" s="978">
        <v>9200000000</v>
      </c>
      <c r="L59" s="978">
        <v>1900000000</v>
      </c>
      <c r="M59" s="978">
        <v>9000000000</v>
      </c>
      <c r="N59" s="978">
        <v>3200000000</v>
      </c>
      <c r="O59" s="978">
        <v>30400000000</v>
      </c>
      <c r="P59" s="978">
        <v>53000000000</v>
      </c>
      <c r="Q59" s="978">
        <v>23800000000</v>
      </c>
      <c r="R59" s="978">
        <v>46100000000</v>
      </c>
      <c r="S59" s="978">
        <v>48700000000</v>
      </c>
      <c r="T59" s="978">
        <v>27700000000</v>
      </c>
      <c r="U59" s="978">
        <v>-400000000</v>
      </c>
      <c r="V59" s="978">
        <v>3600000000</v>
      </c>
      <c r="W59" s="978">
        <v>3200000000</v>
      </c>
      <c r="X59" s="978">
        <v>1900000000</v>
      </c>
      <c r="Y59" s="1684">
        <v>4200000000</v>
      </c>
      <c r="Z59" s="1010">
        <v>14000000000</v>
      </c>
    </row>
    <row r="60" spans="1:26">
      <c r="A60" s="972" t="s">
        <v>76</v>
      </c>
      <c r="B60" s="997" t="s">
        <v>415</v>
      </c>
      <c r="C60" s="981" t="s">
        <v>4370</v>
      </c>
      <c r="G60" s="978"/>
      <c r="H60" s="978"/>
      <c r="I60" s="978"/>
      <c r="J60" s="978"/>
      <c r="K60" s="978"/>
      <c r="L60" s="1050"/>
      <c r="M60" s="978"/>
      <c r="N60" s="978"/>
      <c r="O60" s="978"/>
      <c r="P60" s="978">
        <v>68400000000.000008</v>
      </c>
      <c r="Q60" s="978">
        <v>46900000000</v>
      </c>
      <c r="R60" s="978">
        <v>69900000000</v>
      </c>
      <c r="S60" s="978">
        <v>77000000000</v>
      </c>
      <c r="T60" s="978">
        <v>63400000000</v>
      </c>
      <c r="U60" s="978">
        <v>48300000000</v>
      </c>
      <c r="V60" s="978">
        <v>70700000000</v>
      </c>
      <c r="W60" s="978">
        <v>74700000000</v>
      </c>
      <c r="X60" s="978">
        <v>80100000000</v>
      </c>
      <c r="Y60" s="1684">
        <v>80100000000</v>
      </c>
      <c r="Z60" s="1010">
        <v>89200000000</v>
      </c>
    </row>
    <row r="61" spans="1:26">
      <c r="A61" s="972" t="s">
        <v>76</v>
      </c>
      <c r="B61" s="997" t="s">
        <v>258</v>
      </c>
      <c r="C61" s="981" t="s">
        <v>4370</v>
      </c>
      <c r="G61" s="978"/>
      <c r="H61" s="978"/>
      <c r="I61" s="978"/>
      <c r="J61" s="978"/>
      <c r="K61" s="978"/>
      <c r="L61" s="978"/>
      <c r="M61" s="978"/>
      <c r="N61" s="978"/>
      <c r="O61" s="978"/>
      <c r="P61" s="978">
        <v>-15400000000</v>
      </c>
      <c r="Q61" s="978">
        <v>-23100000000</v>
      </c>
      <c r="R61" s="978">
        <v>-23900000000</v>
      </c>
      <c r="S61" s="978">
        <v>-28300000000</v>
      </c>
      <c r="T61" s="978">
        <v>-35600000000</v>
      </c>
      <c r="U61" s="978">
        <v>-48700000000</v>
      </c>
      <c r="V61" s="978">
        <v>-67099999999.999992</v>
      </c>
      <c r="W61" s="978">
        <v>-71500000000</v>
      </c>
      <c r="X61" s="978">
        <v>-78100000000</v>
      </c>
      <c r="Y61" s="1684">
        <v>-75900000000</v>
      </c>
      <c r="Z61" s="1010">
        <v>-75200000000</v>
      </c>
    </row>
    <row r="62" spans="1:26">
      <c r="A62" s="997" t="s">
        <v>1468</v>
      </c>
      <c r="B62" s="997" t="s">
        <v>4371</v>
      </c>
      <c r="C62" s="981" t="s">
        <v>7141</v>
      </c>
      <c r="G62" s="978">
        <v>13300000000</v>
      </c>
      <c r="H62" s="978">
        <v>13600000000</v>
      </c>
      <c r="I62" s="978">
        <v>14900000000</v>
      </c>
      <c r="J62" s="978">
        <v>10700000000</v>
      </c>
      <c r="K62" s="978">
        <v>8100000000</v>
      </c>
      <c r="L62" s="978">
        <v>6400000000</v>
      </c>
      <c r="M62" s="978">
        <v>5200000000</v>
      </c>
      <c r="N62" s="978">
        <v>5700000000</v>
      </c>
      <c r="O62" s="978">
        <v>4099999999.9999995</v>
      </c>
      <c r="P62" s="978">
        <v>3300000000</v>
      </c>
      <c r="Q62" s="978">
        <v>3700000000</v>
      </c>
      <c r="R62" s="978">
        <v>3100000000</v>
      </c>
      <c r="S62" s="978">
        <v>3000000000</v>
      </c>
      <c r="T62" s="978">
        <v>2500000000</v>
      </c>
      <c r="U62" s="978">
        <v>0</v>
      </c>
      <c r="V62" s="978">
        <v>0</v>
      </c>
      <c r="W62" s="978">
        <v>0</v>
      </c>
      <c r="X62" s="978">
        <v>0</v>
      </c>
      <c r="Y62" s="1684">
        <v>0</v>
      </c>
      <c r="Z62" s="1010">
        <v>0</v>
      </c>
    </row>
    <row r="63" spans="1:26">
      <c r="A63" s="1416" t="s">
        <v>4372</v>
      </c>
      <c r="B63" s="1416" t="s">
        <v>4373</v>
      </c>
      <c r="C63" s="981" t="s">
        <v>7141</v>
      </c>
      <c r="G63" s="978"/>
      <c r="H63" s="978"/>
      <c r="I63" s="978"/>
      <c r="J63" s="978">
        <v>-227900000000</v>
      </c>
      <c r="K63" s="978"/>
      <c r="L63" s="978"/>
      <c r="M63" s="978"/>
      <c r="N63" s="978"/>
      <c r="O63" s="978"/>
      <c r="P63" s="978">
        <f>P58-P59-P62</f>
        <v>-1700000000</v>
      </c>
      <c r="Q63" s="978">
        <v>-400000000</v>
      </c>
      <c r="R63" s="978">
        <v>100000000</v>
      </c>
      <c r="S63" s="978">
        <v>600000000</v>
      </c>
      <c r="T63" s="978">
        <v>-600000000</v>
      </c>
      <c r="U63" s="978">
        <v>0</v>
      </c>
      <c r="V63" s="978">
        <v>0</v>
      </c>
      <c r="W63" s="978">
        <v>0</v>
      </c>
      <c r="X63" s="978">
        <v>0</v>
      </c>
      <c r="Y63" s="978">
        <v>0</v>
      </c>
      <c r="Z63" s="1010">
        <v>0</v>
      </c>
    </row>
    <row r="64" spans="1:26">
      <c r="A64" s="980" t="s">
        <v>4374</v>
      </c>
      <c r="B64" s="981" t="s">
        <v>1487</v>
      </c>
      <c r="C64" s="982" t="s">
        <v>119</v>
      </c>
      <c r="G64" s="978">
        <v>800000000</v>
      </c>
      <c r="H64" s="978">
        <v>10900000000</v>
      </c>
      <c r="I64" s="978">
        <v>3300000000</v>
      </c>
      <c r="J64" s="978">
        <v>2500000000</v>
      </c>
      <c r="K64" s="990">
        <f>K43-K45-K54</f>
        <v>-5600000000</v>
      </c>
      <c r="L64" s="978">
        <v>300000000</v>
      </c>
      <c r="M64" s="978">
        <v>4500000000</v>
      </c>
      <c r="N64" s="978">
        <v>1400000000</v>
      </c>
      <c r="O64" s="978">
        <v>3300000000</v>
      </c>
      <c r="P64" s="978">
        <v>-2100000000</v>
      </c>
      <c r="Q64" s="978">
        <v>-6200000000</v>
      </c>
      <c r="R64" s="978">
        <v>-6100000000</v>
      </c>
      <c r="S64" s="978">
        <v>-2500000000</v>
      </c>
      <c r="T64" s="978">
        <v>-5800000000</v>
      </c>
      <c r="U64" s="978">
        <v>0</v>
      </c>
      <c r="V64" s="978">
        <v>0</v>
      </c>
      <c r="W64" s="978">
        <v>0</v>
      </c>
      <c r="X64" s="978">
        <v>0</v>
      </c>
      <c r="Y64" s="1684">
        <v>0</v>
      </c>
      <c r="Z64" s="1010">
        <v>0</v>
      </c>
    </row>
    <row r="65" spans="2:26">
      <c r="S65" s="995"/>
      <c r="Y65" s="1684"/>
    </row>
    <row r="66" spans="2:26">
      <c r="G66" s="972" t="s">
        <v>139</v>
      </c>
      <c r="H66" s="972" t="s">
        <v>139</v>
      </c>
      <c r="I66" s="972" t="s">
        <v>139</v>
      </c>
      <c r="J66" s="972" t="s">
        <v>139</v>
      </c>
      <c r="K66" s="972" t="s">
        <v>139</v>
      </c>
      <c r="L66" s="972" t="s">
        <v>139</v>
      </c>
      <c r="M66" s="972" t="s">
        <v>139</v>
      </c>
      <c r="N66" s="972" t="s">
        <v>139</v>
      </c>
      <c r="O66" s="972" t="s">
        <v>139</v>
      </c>
      <c r="P66" s="972" t="s">
        <v>139</v>
      </c>
      <c r="Q66" s="972" t="s">
        <v>139</v>
      </c>
      <c r="R66" s="972" t="s">
        <v>139</v>
      </c>
      <c r="S66" s="972" t="s">
        <v>139</v>
      </c>
      <c r="T66" s="972" t="s">
        <v>139</v>
      </c>
      <c r="U66" s="972" t="s">
        <v>139</v>
      </c>
      <c r="V66" s="972" t="s">
        <v>139</v>
      </c>
      <c r="W66" s="972" t="s">
        <v>139</v>
      </c>
      <c r="X66" s="972" t="s">
        <v>139</v>
      </c>
      <c r="Y66" s="972" t="s">
        <v>139</v>
      </c>
      <c r="Z66" s="972" t="s">
        <v>139</v>
      </c>
    </row>
    <row r="67" spans="2:26">
      <c r="P67" s="1689"/>
      <c r="S67" s="1689"/>
      <c r="Y67" s="972"/>
    </row>
    <row r="68" spans="2:26">
      <c r="B68" s="972" t="s">
        <v>4375</v>
      </c>
      <c r="C68" s="1398"/>
      <c r="D68" s="983"/>
      <c r="E68" s="983"/>
      <c r="F68" s="983"/>
      <c r="G68" s="1001">
        <f t="shared" ref="G68:Y68" si="7">G6-G7-G15</f>
        <v>0</v>
      </c>
      <c r="H68" s="1001">
        <f t="shared" si="7"/>
        <v>0</v>
      </c>
      <c r="I68" s="1001">
        <f t="shared" si="7"/>
        <v>0</v>
      </c>
      <c r="J68" s="1001">
        <f t="shared" si="7"/>
        <v>0</v>
      </c>
      <c r="K68" s="1001">
        <f t="shared" si="7"/>
        <v>0</v>
      </c>
      <c r="L68" s="1001">
        <f t="shared" si="7"/>
        <v>0</v>
      </c>
      <c r="M68" s="1001">
        <f t="shared" si="7"/>
        <v>0</v>
      </c>
      <c r="N68" s="1001">
        <f t="shared" si="7"/>
        <v>0</v>
      </c>
      <c r="O68" s="1001">
        <f t="shared" si="7"/>
        <v>0</v>
      </c>
      <c r="P68" s="1001">
        <f t="shared" si="7"/>
        <v>0</v>
      </c>
      <c r="Q68" s="1001">
        <f t="shared" si="7"/>
        <v>0</v>
      </c>
      <c r="R68" s="1001">
        <f t="shared" si="7"/>
        <v>0</v>
      </c>
      <c r="S68" s="1001">
        <f t="shared" si="7"/>
        <v>0</v>
      </c>
      <c r="T68" s="1001">
        <f t="shared" si="7"/>
        <v>0</v>
      </c>
      <c r="U68" s="1001">
        <f t="shared" si="7"/>
        <v>0</v>
      </c>
      <c r="V68" s="1001">
        <f t="shared" si="7"/>
        <v>-100000000.00006104</v>
      </c>
      <c r="W68" s="1001">
        <f t="shared" si="7"/>
        <v>0</v>
      </c>
      <c r="X68" s="1001">
        <f t="shared" si="7"/>
        <v>0</v>
      </c>
      <c r="Y68" s="1001">
        <f t="shared" si="7"/>
        <v>100000000</v>
      </c>
      <c r="Z68" s="1001">
        <f t="shared" ref="Z68" si="8">Z6-Z7-Z15</f>
        <v>-100000000.00000191</v>
      </c>
    </row>
    <row r="69" spans="2:26">
      <c r="B69" s="972" t="s">
        <v>141</v>
      </c>
      <c r="C69" s="1398"/>
      <c r="D69" s="983"/>
      <c r="E69" s="983"/>
      <c r="F69" s="983"/>
      <c r="G69" s="1001">
        <f t="shared" ref="G69:Y69" si="9">G7-G8-G18-G21</f>
        <v>0</v>
      </c>
      <c r="H69" s="1001">
        <f t="shared" si="9"/>
        <v>0</v>
      </c>
      <c r="I69" s="1001">
        <f t="shared" si="9"/>
        <v>0</v>
      </c>
      <c r="J69" s="1001">
        <f t="shared" si="9"/>
        <v>0</v>
      </c>
      <c r="K69" s="1001">
        <f t="shared" si="9"/>
        <v>0</v>
      </c>
      <c r="L69" s="1001">
        <f t="shared" si="9"/>
        <v>0</v>
      </c>
      <c r="M69" s="1001">
        <f t="shared" si="9"/>
        <v>0</v>
      </c>
      <c r="N69" s="1001">
        <f t="shared" si="9"/>
        <v>0</v>
      </c>
      <c r="O69" s="1001">
        <f t="shared" si="9"/>
        <v>0</v>
      </c>
      <c r="P69" s="1001">
        <f t="shared" si="9"/>
        <v>0</v>
      </c>
      <c r="Q69" s="1001">
        <f t="shared" si="9"/>
        <v>1.52587890625E-5</v>
      </c>
      <c r="R69" s="1001">
        <f t="shared" si="9"/>
        <v>0</v>
      </c>
      <c r="S69" s="1001">
        <f t="shared" si="9"/>
        <v>-100000000</v>
      </c>
      <c r="T69" s="1001">
        <f t="shared" si="9"/>
        <v>100000000</v>
      </c>
      <c r="U69" s="1001">
        <f t="shared" si="9"/>
        <v>0</v>
      </c>
      <c r="V69" s="1001">
        <f t="shared" si="9"/>
        <v>0</v>
      </c>
      <c r="W69" s="1001">
        <f t="shared" si="9"/>
        <v>0</v>
      </c>
      <c r="X69" s="1001">
        <f t="shared" si="9"/>
        <v>100000000</v>
      </c>
      <c r="Y69" s="1001">
        <f t="shared" si="9"/>
        <v>-100000000</v>
      </c>
      <c r="Z69" s="1001">
        <f t="shared" ref="Z69" si="10">Z7-Z8-Z18-Z21</f>
        <v>0</v>
      </c>
    </row>
    <row r="70" spans="2:26">
      <c r="B70" s="972" t="s">
        <v>4376</v>
      </c>
      <c r="C70" s="1398"/>
      <c r="D70" s="983"/>
      <c r="E70" s="983"/>
      <c r="F70" s="983"/>
      <c r="G70" s="1001">
        <f>G8-G9-G14</f>
        <v>-100000000</v>
      </c>
      <c r="H70" s="1001">
        <f t="shared" ref="H70:W70" si="11">H8-H9-H14</f>
        <v>0</v>
      </c>
      <c r="I70" s="1001">
        <f t="shared" si="11"/>
        <v>0</v>
      </c>
      <c r="J70" s="1001">
        <f t="shared" si="11"/>
        <v>0</v>
      </c>
      <c r="K70" s="1001">
        <f t="shared" si="11"/>
        <v>0</v>
      </c>
      <c r="L70" s="1001">
        <f t="shared" si="11"/>
        <v>0</v>
      </c>
      <c r="M70" s="1001">
        <f t="shared" si="11"/>
        <v>0</v>
      </c>
      <c r="N70" s="1001">
        <f>N8-N9-N14</f>
        <v>0</v>
      </c>
      <c r="O70" s="1001">
        <f t="shared" si="11"/>
        <v>0</v>
      </c>
      <c r="P70" s="1001">
        <f t="shared" si="11"/>
        <v>-100000000</v>
      </c>
      <c r="Q70" s="1001">
        <f t="shared" si="11"/>
        <v>0</v>
      </c>
      <c r="R70" s="1001">
        <f t="shared" si="11"/>
        <v>0</v>
      </c>
      <c r="S70" s="1001">
        <f t="shared" si="11"/>
        <v>0</v>
      </c>
      <c r="T70" s="1001">
        <f t="shared" si="11"/>
        <v>-100000000</v>
      </c>
      <c r="U70" s="1001">
        <f t="shared" si="11"/>
        <v>0</v>
      </c>
      <c r="V70" s="1001">
        <f t="shared" si="11"/>
        <v>0</v>
      </c>
      <c r="W70" s="1001">
        <f t="shared" si="11"/>
        <v>0</v>
      </c>
      <c r="X70" s="1001">
        <f>X8-X9-X14</f>
        <v>-100000000</v>
      </c>
      <c r="Y70" s="1001">
        <f>Y8-Y9-Y14</f>
        <v>0</v>
      </c>
      <c r="Z70" s="1001">
        <f>Z8-Z9-Z14</f>
        <v>0</v>
      </c>
    </row>
    <row r="71" spans="2:26">
      <c r="B71" s="972" t="s">
        <v>142</v>
      </c>
      <c r="C71" s="1398"/>
      <c r="D71" s="983"/>
      <c r="E71" s="983"/>
      <c r="F71" s="983"/>
      <c r="G71" s="1686">
        <f t="shared" ref="G71:Y71" si="12">G9-G10-G11-G12-G13</f>
        <v>44900000000</v>
      </c>
      <c r="H71" s="1686">
        <f t="shared" si="12"/>
        <v>59200000000</v>
      </c>
      <c r="I71" s="1686">
        <f t="shared" si="12"/>
        <v>76000000000</v>
      </c>
      <c r="J71" s="1686">
        <f t="shared" si="12"/>
        <v>97100000000</v>
      </c>
      <c r="K71" s="1001">
        <f t="shared" si="12"/>
        <v>100000000</v>
      </c>
      <c r="L71" s="1686">
        <f t="shared" si="12"/>
        <v>114700000000</v>
      </c>
      <c r="M71" s="1686">
        <f t="shared" si="12"/>
        <v>106600000000</v>
      </c>
      <c r="N71" s="1686">
        <f t="shared" si="12"/>
        <v>145600000000</v>
      </c>
      <c r="O71" s="1686">
        <f t="shared" si="12"/>
        <v>183700000000</v>
      </c>
      <c r="P71" s="1686">
        <f t="shared" si="12"/>
        <v>178100000000</v>
      </c>
      <c r="Q71" s="1686">
        <f t="shared" si="12"/>
        <v>203800000000</v>
      </c>
      <c r="R71" s="1686">
        <f t="shared" si="12"/>
        <v>222700000000</v>
      </c>
      <c r="S71" s="1686">
        <f t="shared" si="12"/>
        <v>237800000000</v>
      </c>
      <c r="T71" s="1686">
        <f t="shared" si="12"/>
        <v>272100000000</v>
      </c>
      <c r="U71" s="1686">
        <f t="shared" si="12"/>
        <v>299100000000</v>
      </c>
      <c r="V71" s="1686">
        <f t="shared" si="12"/>
        <v>325700000000</v>
      </c>
      <c r="W71" s="1686">
        <f t="shared" si="12"/>
        <v>368000000000</v>
      </c>
      <c r="X71" s="1686">
        <f t="shared" si="12"/>
        <v>414300000000</v>
      </c>
      <c r="Y71" s="1686">
        <f t="shared" si="12"/>
        <v>464100000000</v>
      </c>
      <c r="Z71" s="1686">
        <f t="shared" ref="Z71" si="13">Z9-Z10-Z11-Z12-Z13</f>
        <v>519299999999.99994</v>
      </c>
    </row>
    <row r="72" spans="2:26">
      <c r="B72" s="972" t="s">
        <v>4377</v>
      </c>
      <c r="G72" s="1001">
        <f t="shared" ref="G72:W72" si="14">G18-G19-G20</f>
        <v>0</v>
      </c>
      <c r="H72" s="1001">
        <f t="shared" si="14"/>
        <v>0</v>
      </c>
      <c r="I72" s="1001">
        <f t="shared" si="14"/>
        <v>0</v>
      </c>
      <c r="J72" s="1001">
        <f t="shared" si="14"/>
        <v>0</v>
      </c>
      <c r="K72" s="1001">
        <f t="shared" si="14"/>
        <v>0</v>
      </c>
      <c r="L72" s="1001">
        <f t="shared" si="14"/>
        <v>0</v>
      </c>
      <c r="M72" s="1001">
        <f t="shared" si="14"/>
        <v>0</v>
      </c>
      <c r="N72" s="1001">
        <f t="shared" si="14"/>
        <v>0</v>
      </c>
      <c r="O72" s="1001">
        <f t="shared" si="14"/>
        <v>0</v>
      </c>
      <c r="P72" s="1001">
        <f t="shared" si="14"/>
        <v>0</v>
      </c>
      <c r="Q72" s="1001">
        <f t="shared" si="14"/>
        <v>99999999.999984741</v>
      </c>
      <c r="R72" s="1001">
        <f t="shared" si="14"/>
        <v>0</v>
      </c>
      <c r="S72" s="1001">
        <f t="shared" si="14"/>
        <v>100000000</v>
      </c>
      <c r="T72" s="1001">
        <f t="shared" si="14"/>
        <v>0</v>
      </c>
      <c r="U72" s="1001">
        <f t="shared" si="14"/>
        <v>0</v>
      </c>
      <c r="V72" s="1001">
        <f t="shared" si="14"/>
        <v>0</v>
      </c>
      <c r="W72" s="1001">
        <f t="shared" si="14"/>
        <v>0</v>
      </c>
      <c r="X72" s="1001">
        <f>X18-X19-X20</f>
        <v>0</v>
      </c>
      <c r="Y72" s="1001">
        <f>Y18-Y19-Y20</f>
        <v>0</v>
      </c>
      <c r="Z72" s="1001">
        <f>Z18-Z19-Z20</f>
        <v>0</v>
      </c>
    </row>
    <row r="73" spans="2:26">
      <c r="B73" s="972" t="s">
        <v>145</v>
      </c>
      <c r="C73" s="1376"/>
      <c r="D73" s="1376"/>
      <c r="E73" s="1376"/>
      <c r="F73" s="1376"/>
      <c r="G73" s="995">
        <f>G22-G23-G34-G37</f>
        <v>0</v>
      </c>
      <c r="H73" s="995">
        <f t="shared" ref="H73:X73" si="15">H22-H23-H34-H37</f>
        <v>0</v>
      </c>
      <c r="I73" s="995">
        <f t="shared" si="15"/>
        <v>100000000</v>
      </c>
      <c r="J73" s="995">
        <f t="shared" si="15"/>
        <v>100000000</v>
      </c>
      <c r="K73" s="995">
        <f t="shared" si="15"/>
        <v>-100000000</v>
      </c>
      <c r="L73" s="995">
        <f t="shared" si="15"/>
        <v>0</v>
      </c>
      <c r="M73" s="995">
        <f t="shared" si="15"/>
        <v>0</v>
      </c>
      <c r="N73" s="995">
        <f t="shared" si="15"/>
        <v>0</v>
      </c>
      <c r="O73" s="995">
        <f t="shared" si="15"/>
        <v>0</v>
      </c>
      <c r="P73" s="995">
        <f t="shared" si="15"/>
        <v>100000000</v>
      </c>
      <c r="Q73" s="995">
        <f t="shared" si="15"/>
        <v>-100000000</v>
      </c>
      <c r="R73" s="995">
        <f t="shared" si="15"/>
        <v>0</v>
      </c>
      <c r="S73" s="995">
        <f t="shared" si="15"/>
        <v>6.103515625E-5</v>
      </c>
      <c r="T73" s="995">
        <f t="shared" si="15"/>
        <v>0</v>
      </c>
      <c r="U73" s="995">
        <f t="shared" si="15"/>
        <v>0</v>
      </c>
      <c r="V73" s="995">
        <f t="shared" si="15"/>
        <v>100000000</v>
      </c>
      <c r="W73" s="995">
        <f t="shared" si="15"/>
        <v>0</v>
      </c>
      <c r="X73" s="995">
        <f t="shared" si="15"/>
        <v>0</v>
      </c>
      <c r="Y73" s="995">
        <f>Y22-Y23-Y34-Y37</f>
        <v>0</v>
      </c>
      <c r="Z73" s="995">
        <f>Z22-Z23-Z34-Z37</f>
        <v>0</v>
      </c>
    </row>
    <row r="74" spans="2:26">
      <c r="B74" s="972" t="s">
        <v>361</v>
      </c>
      <c r="E74" s="1376"/>
      <c r="F74" s="1376"/>
      <c r="G74" s="995">
        <f>G23-G24-G25-G26-G30-G33</f>
        <v>-100000000</v>
      </c>
      <c r="H74" s="995">
        <f>H23-H24-H25-H26-H30-H33</f>
        <v>0</v>
      </c>
      <c r="I74" s="995">
        <f>I23-I24-I25-I26-I30-I33</f>
        <v>5.7220458984375E-6</v>
      </c>
      <c r="J74" s="995">
        <f>J23-J24-J25-J26-J30-J33</f>
        <v>100000000</v>
      </c>
      <c r="K74" s="995">
        <f t="shared" ref="K74:P74" si="16">K23-K24-K25-K26-K30-K33-K38</f>
        <v>0</v>
      </c>
      <c r="L74" s="995">
        <f t="shared" si="16"/>
        <v>-100000000</v>
      </c>
      <c r="M74" s="995">
        <f t="shared" si="16"/>
        <v>99999999.999998093</v>
      </c>
      <c r="N74" s="995">
        <f t="shared" si="16"/>
        <v>0</v>
      </c>
      <c r="O74" s="995">
        <f t="shared" si="16"/>
        <v>0</v>
      </c>
      <c r="P74" s="995">
        <f t="shared" si="16"/>
        <v>0</v>
      </c>
      <c r="Q74" s="995">
        <f>Q23-Q24-Q25-Q26-Q30-Q33-Q38</f>
        <v>0</v>
      </c>
      <c r="R74" s="995">
        <f>R23-R24-R25-R26-R30-R33-R38-R39</f>
        <v>0</v>
      </c>
      <c r="S74" s="995">
        <f t="shared" ref="S74:Y74" si="17">S23-S24-S25-S26-S30-S33-S38-S39</f>
        <v>-100000000</v>
      </c>
      <c r="T74" s="995">
        <f t="shared" si="17"/>
        <v>-100000000</v>
      </c>
      <c r="U74" s="995">
        <f t="shared" si="17"/>
        <v>0</v>
      </c>
      <c r="V74" s="995">
        <f t="shared" si="17"/>
        <v>0</v>
      </c>
      <c r="W74" s="995">
        <f t="shared" si="17"/>
        <v>100000000</v>
      </c>
      <c r="X74" s="995">
        <f t="shared" si="17"/>
        <v>-100000000.00000572</v>
      </c>
      <c r="Y74" s="995">
        <f t="shared" si="17"/>
        <v>0</v>
      </c>
      <c r="Z74" s="995">
        <f t="shared" ref="Z74" si="18">Z23-Z24-Z25-Z26-Z30-Z33-Z38-Z39</f>
        <v>0</v>
      </c>
    </row>
    <row r="75" spans="2:26">
      <c r="B75" s="972" t="s">
        <v>876</v>
      </c>
      <c r="F75" s="1376"/>
      <c r="G75" s="995">
        <f t="shared" ref="G75:X75" si="19">G34-G35-G36</f>
        <v>0</v>
      </c>
      <c r="H75" s="995">
        <f t="shared" si="19"/>
        <v>-100000000</v>
      </c>
      <c r="I75" s="995">
        <f t="shared" si="19"/>
        <v>0</v>
      </c>
      <c r="J75" s="995">
        <f t="shared" si="19"/>
        <v>0</v>
      </c>
      <c r="K75" s="995">
        <f t="shared" si="19"/>
        <v>0</v>
      </c>
      <c r="L75" s="995">
        <f t="shared" si="19"/>
        <v>0</v>
      </c>
      <c r="M75" s="995">
        <f t="shared" si="19"/>
        <v>0</v>
      </c>
      <c r="N75" s="995">
        <f t="shared" si="19"/>
        <v>-100000000.00000763</v>
      </c>
      <c r="O75" s="995">
        <f t="shared" si="19"/>
        <v>0</v>
      </c>
      <c r="P75" s="995">
        <f t="shared" si="19"/>
        <v>0</v>
      </c>
      <c r="Q75" s="995">
        <f t="shared" si="19"/>
        <v>0</v>
      </c>
      <c r="R75" s="995">
        <f t="shared" si="19"/>
        <v>0</v>
      </c>
      <c r="S75" s="995">
        <f t="shared" si="19"/>
        <v>0</v>
      </c>
      <c r="T75" s="995">
        <f t="shared" si="19"/>
        <v>0</v>
      </c>
      <c r="U75" s="995">
        <f t="shared" si="19"/>
        <v>0</v>
      </c>
      <c r="V75" s="995">
        <f t="shared" si="19"/>
        <v>0</v>
      </c>
      <c r="W75" s="995">
        <f t="shared" si="19"/>
        <v>0</v>
      </c>
      <c r="X75" s="995">
        <f t="shared" si="19"/>
        <v>0</v>
      </c>
      <c r="Y75" s="995">
        <f>Y34-Y35-Y36</f>
        <v>0</v>
      </c>
      <c r="Z75" s="995">
        <f>Z34-Z35-Z36</f>
        <v>0</v>
      </c>
    </row>
    <row r="76" spans="2:26">
      <c r="B76" s="972" t="s">
        <v>936</v>
      </c>
      <c r="F76" s="1376"/>
      <c r="G76" s="995">
        <f>G30-G31-G32</f>
        <v>0</v>
      </c>
      <c r="H76" s="995">
        <f t="shared" ref="H76:X76" si="20">H30-H31-H32</f>
        <v>-100000000</v>
      </c>
      <c r="I76" s="995">
        <f t="shared" si="20"/>
        <v>0</v>
      </c>
      <c r="J76" s="995">
        <f t="shared" si="20"/>
        <v>0</v>
      </c>
      <c r="K76" s="995">
        <f t="shared" si="20"/>
        <v>0</v>
      </c>
      <c r="L76" s="995">
        <f t="shared" si="20"/>
        <v>0</v>
      </c>
      <c r="M76" s="995">
        <f t="shared" si="20"/>
        <v>0</v>
      </c>
      <c r="N76" s="995">
        <f t="shared" si="20"/>
        <v>0</v>
      </c>
      <c r="O76" s="995">
        <f t="shared" si="20"/>
        <v>0</v>
      </c>
      <c r="P76" s="995">
        <f t="shared" si="20"/>
        <v>0</v>
      </c>
      <c r="Q76" s="995">
        <f t="shared" si="20"/>
        <v>100000000</v>
      </c>
      <c r="R76" s="995">
        <f t="shared" si="20"/>
        <v>0</v>
      </c>
      <c r="S76" s="995">
        <f t="shared" si="20"/>
        <v>0</v>
      </c>
      <c r="T76" s="995">
        <f t="shared" si="20"/>
        <v>0</v>
      </c>
      <c r="U76" s="995">
        <f t="shared" si="20"/>
        <v>0</v>
      </c>
      <c r="V76" s="995">
        <f t="shared" si="20"/>
        <v>100000000</v>
      </c>
      <c r="W76" s="995">
        <f t="shared" si="20"/>
        <v>0</v>
      </c>
      <c r="X76" s="995">
        <f t="shared" si="20"/>
        <v>0</v>
      </c>
      <c r="Y76" s="995">
        <f>Y30-Y31-Y32</f>
        <v>0</v>
      </c>
      <c r="Z76" s="995">
        <f>Z30-Z31-Z32</f>
        <v>-100000000</v>
      </c>
    </row>
    <row r="77" spans="2:26">
      <c r="B77" s="972" t="s">
        <v>148</v>
      </c>
      <c r="F77" s="983"/>
      <c r="G77" s="1001">
        <f t="shared" ref="G77:X77" si="21">G43-G45-G54-G64</f>
        <v>0</v>
      </c>
      <c r="H77" s="1001">
        <f t="shared" si="21"/>
        <v>100000000</v>
      </c>
      <c r="I77" s="1001">
        <f t="shared" si="21"/>
        <v>-100000000</v>
      </c>
      <c r="J77" s="1001">
        <f t="shared" si="21"/>
        <v>-3.0517578125E-5</v>
      </c>
      <c r="K77" s="1001">
        <f t="shared" si="21"/>
        <v>0</v>
      </c>
      <c r="L77" s="1001">
        <f t="shared" si="21"/>
        <v>-100000000</v>
      </c>
      <c r="M77" s="1001">
        <f t="shared" si="21"/>
        <v>0</v>
      </c>
      <c r="N77" s="1001">
        <f t="shared" si="21"/>
        <v>0</v>
      </c>
      <c r="O77" s="1001">
        <f t="shared" si="21"/>
        <v>0</v>
      </c>
      <c r="P77" s="1001">
        <f t="shared" si="21"/>
        <v>-100000000</v>
      </c>
      <c r="Q77" s="1001">
        <f t="shared" si="21"/>
        <v>0</v>
      </c>
      <c r="R77" s="1001">
        <f t="shared" si="21"/>
        <v>100000000</v>
      </c>
      <c r="S77" s="1001">
        <f t="shared" si="21"/>
        <v>100000000</v>
      </c>
      <c r="T77" s="1001">
        <f t="shared" si="21"/>
        <v>0</v>
      </c>
      <c r="U77" s="1001">
        <f t="shared" si="21"/>
        <v>0</v>
      </c>
      <c r="V77" s="1001">
        <f t="shared" si="21"/>
        <v>0</v>
      </c>
      <c r="W77" s="1001">
        <f t="shared" si="21"/>
        <v>100000000</v>
      </c>
      <c r="X77" s="1001">
        <f t="shared" si="21"/>
        <v>0</v>
      </c>
      <c r="Y77" s="1001">
        <f>Y43-Y45-Y54-Y64</f>
        <v>1.9073486328125E-6</v>
      </c>
      <c r="Z77" s="1001">
        <f>Z43-Z45-Z54-Z64</f>
        <v>100000000</v>
      </c>
    </row>
    <row r="78" spans="2:26">
      <c r="B78" s="972" t="s">
        <v>297</v>
      </c>
      <c r="D78" s="1376"/>
      <c r="E78" s="1376"/>
      <c r="F78" s="1376"/>
      <c r="G78" s="995">
        <f>G45-G46-G49-G50-G51</f>
        <v>100000000</v>
      </c>
      <c r="H78" s="995">
        <f>H45-H46-H49-H50-H51</f>
        <v>0</v>
      </c>
      <c r="I78" s="995">
        <f>I45-I46-I49-I50-I51</f>
        <v>0</v>
      </c>
      <c r="J78" s="995">
        <f>J45-J46-J49-J50-J51</f>
        <v>0</v>
      </c>
      <c r="K78" s="995">
        <f>K45-K46-K49-K50-K51</f>
        <v>0</v>
      </c>
      <c r="L78" s="995">
        <f>L45-L46-L49-L50-L51-L52</f>
        <v>0</v>
      </c>
      <c r="M78" s="995">
        <f t="shared" ref="M78:X78" si="22">M45-M46-M49-M50-M51-M52</f>
        <v>0</v>
      </c>
      <c r="N78" s="995">
        <f t="shared" si="22"/>
        <v>0</v>
      </c>
      <c r="O78" s="995">
        <f t="shared" si="22"/>
        <v>0</v>
      </c>
      <c r="P78" s="995">
        <f t="shared" si="22"/>
        <v>0</v>
      </c>
      <c r="Q78" s="995">
        <f>Q45-Q46-Q49-Q50-Q51-Q52</f>
        <v>0</v>
      </c>
      <c r="R78" s="995">
        <f t="shared" si="22"/>
        <v>0</v>
      </c>
      <c r="S78" s="995">
        <f t="shared" si="22"/>
        <v>0</v>
      </c>
      <c r="T78" s="995">
        <f t="shared" si="22"/>
        <v>0</v>
      </c>
      <c r="U78" s="995">
        <f t="shared" si="22"/>
        <v>0</v>
      </c>
      <c r="V78" s="995">
        <f t="shared" si="22"/>
        <v>0</v>
      </c>
      <c r="W78" s="995">
        <f t="shared" si="22"/>
        <v>0</v>
      </c>
      <c r="X78" s="995">
        <f t="shared" si="22"/>
        <v>0</v>
      </c>
      <c r="Y78" s="995">
        <f>Y45-Y46-Y49-Y50-Y51-Y52</f>
        <v>0</v>
      </c>
      <c r="Z78" s="995">
        <f>Z45-Z46-Z49-Z50-Z51-Z52</f>
        <v>0</v>
      </c>
    </row>
    <row r="79" spans="2:26">
      <c r="B79" s="972" t="s">
        <v>528</v>
      </c>
      <c r="D79" s="1396"/>
      <c r="E79" s="1396"/>
      <c r="F79" s="1396"/>
      <c r="G79" s="995">
        <f t="shared" ref="G79:X79" si="23">G55+G58-G54</f>
        <v>0</v>
      </c>
      <c r="H79" s="995">
        <f t="shared" si="23"/>
        <v>0</v>
      </c>
      <c r="I79" s="995">
        <f t="shared" si="23"/>
        <v>0</v>
      </c>
      <c r="J79" s="995">
        <f t="shared" si="23"/>
        <v>0</v>
      </c>
      <c r="K79" s="995">
        <f t="shared" si="23"/>
        <v>-100000000</v>
      </c>
      <c r="L79" s="995">
        <f t="shared" si="23"/>
        <v>0</v>
      </c>
      <c r="M79" s="995">
        <f t="shared" si="23"/>
        <v>100000000</v>
      </c>
      <c r="N79" s="995">
        <f t="shared" si="23"/>
        <v>0</v>
      </c>
      <c r="O79" s="995">
        <f t="shared" si="23"/>
        <v>0</v>
      </c>
      <c r="P79" s="995">
        <f t="shared" si="23"/>
        <v>0</v>
      </c>
      <c r="Q79" s="995">
        <f t="shared" si="23"/>
        <v>0</v>
      </c>
      <c r="R79" s="995">
        <f t="shared" si="23"/>
        <v>0</v>
      </c>
      <c r="S79" s="995">
        <f t="shared" si="23"/>
        <v>0</v>
      </c>
      <c r="T79" s="995">
        <f t="shared" si="23"/>
        <v>0</v>
      </c>
      <c r="U79" s="995">
        <f t="shared" si="23"/>
        <v>0</v>
      </c>
      <c r="V79" s="995">
        <f t="shared" si="23"/>
        <v>0</v>
      </c>
      <c r="W79" s="995">
        <f t="shared" si="23"/>
        <v>0</v>
      </c>
      <c r="X79" s="995">
        <f t="shared" si="23"/>
        <v>0</v>
      </c>
      <c r="Y79" s="995">
        <f>Y55+Y58-Y54</f>
        <v>0</v>
      </c>
      <c r="Z79" s="995">
        <f>Z55+Z58-Z54</f>
        <v>0</v>
      </c>
    </row>
    <row r="80" spans="2:26">
      <c r="B80" s="972" t="s">
        <v>4378</v>
      </c>
      <c r="D80" s="1396"/>
      <c r="E80" s="1396"/>
      <c r="F80" s="1396"/>
      <c r="G80" s="995">
        <f>G55-G56-G57</f>
        <v>0</v>
      </c>
      <c r="H80" s="995">
        <f t="shared" ref="H80:X80" si="24">H55-H56-H57</f>
        <v>0</v>
      </c>
      <c r="I80" s="995">
        <f t="shared" si="24"/>
        <v>0</v>
      </c>
      <c r="J80" s="995">
        <f t="shared" si="24"/>
        <v>0</v>
      </c>
      <c r="K80" s="995">
        <f t="shared" si="24"/>
        <v>0</v>
      </c>
      <c r="L80" s="995">
        <f t="shared" si="24"/>
        <v>0</v>
      </c>
      <c r="M80" s="995">
        <f t="shared" si="24"/>
        <v>0</v>
      </c>
      <c r="N80" s="995">
        <f t="shared" si="24"/>
        <v>0</v>
      </c>
      <c r="O80" s="995">
        <f t="shared" si="24"/>
        <v>0</v>
      </c>
      <c r="P80" s="995">
        <f t="shared" si="24"/>
        <v>0</v>
      </c>
      <c r="Q80" s="995">
        <f t="shared" si="24"/>
        <v>0</v>
      </c>
      <c r="R80" s="995">
        <f t="shared" si="24"/>
        <v>0</v>
      </c>
      <c r="S80" s="995">
        <f t="shared" si="24"/>
        <v>0</v>
      </c>
      <c r="T80" s="995">
        <f t="shared" si="24"/>
        <v>0</v>
      </c>
      <c r="U80" s="995">
        <f t="shared" si="24"/>
        <v>0</v>
      </c>
      <c r="V80" s="995">
        <f t="shared" si="24"/>
        <v>0</v>
      </c>
      <c r="W80" s="995">
        <f t="shared" si="24"/>
        <v>0</v>
      </c>
      <c r="X80" s="995">
        <f t="shared" si="24"/>
        <v>0</v>
      </c>
      <c r="Y80" s="995">
        <f>Y55-Y56-Y57</f>
        <v>0</v>
      </c>
      <c r="Z80" s="995">
        <f>Z55-Z56-Z57</f>
        <v>0</v>
      </c>
    </row>
    <row r="81" spans="2:26">
      <c r="B81" s="972" t="s">
        <v>4379</v>
      </c>
      <c r="G81" s="995">
        <f>G58-G59-G62-G63</f>
        <v>0</v>
      </c>
      <c r="H81" s="995">
        <f>H58-H59-H62-H63</f>
        <v>100000000</v>
      </c>
      <c r="I81" s="995">
        <f>I58-I59-I62-I63</f>
        <v>0</v>
      </c>
      <c r="J81" s="995">
        <f>J58-J59-J62-J63</f>
        <v>0</v>
      </c>
      <c r="K81" s="995">
        <f t="shared" ref="K81:X81" si="25">K58-K59-K62-K63</f>
        <v>0</v>
      </c>
      <c r="L81" s="995">
        <f t="shared" si="25"/>
        <v>9.5367431640625E-7</v>
      </c>
      <c r="M81" s="995">
        <f t="shared" si="25"/>
        <v>0</v>
      </c>
      <c r="N81" s="995">
        <f t="shared" si="25"/>
        <v>0</v>
      </c>
      <c r="O81" s="995">
        <f t="shared" si="25"/>
        <v>4.76837158203125E-7</v>
      </c>
      <c r="P81" s="995">
        <f>P58-P59-P62-P63</f>
        <v>0</v>
      </c>
      <c r="Q81" s="995">
        <f t="shared" si="25"/>
        <v>0</v>
      </c>
      <c r="R81" s="995">
        <f t="shared" si="25"/>
        <v>0</v>
      </c>
      <c r="S81" s="995">
        <f t="shared" si="25"/>
        <v>0</v>
      </c>
      <c r="T81" s="995">
        <f t="shared" si="25"/>
        <v>0</v>
      </c>
      <c r="U81" s="995">
        <f t="shared" si="25"/>
        <v>0</v>
      </c>
      <c r="V81" s="995">
        <f t="shared" si="25"/>
        <v>0</v>
      </c>
      <c r="W81" s="995">
        <f t="shared" si="25"/>
        <v>0</v>
      </c>
      <c r="X81" s="995">
        <f t="shared" si="25"/>
        <v>0</v>
      </c>
      <c r="Y81" s="995">
        <f>Y58-Y59-Y62-Y63</f>
        <v>0</v>
      </c>
      <c r="Z81" s="995">
        <f>Z58-Z59-Z62-Z63</f>
        <v>0</v>
      </c>
    </row>
    <row r="82" spans="2:26">
      <c r="B82" s="972" t="s">
        <v>4380</v>
      </c>
      <c r="G82" s="1003">
        <f>G59-G60-G61</f>
        <v>700000000</v>
      </c>
      <c r="H82" s="1003">
        <f t="shared" ref="H82:X82" si="26">H59-H60-H61</f>
        <v>-100000000</v>
      </c>
      <c r="I82" s="1003">
        <f t="shared" si="26"/>
        <v>-3800000000</v>
      </c>
      <c r="J82" s="1003">
        <f t="shared" si="26"/>
        <v>6400000000</v>
      </c>
      <c r="K82" s="1003">
        <f t="shared" si="26"/>
        <v>9200000000</v>
      </c>
      <c r="L82" s="1003">
        <f t="shared" si="26"/>
        <v>1900000000</v>
      </c>
      <c r="M82" s="1003">
        <f t="shared" si="26"/>
        <v>9000000000</v>
      </c>
      <c r="N82" s="1003">
        <f t="shared" si="26"/>
        <v>3200000000</v>
      </c>
      <c r="O82" s="1003">
        <f t="shared" si="26"/>
        <v>30400000000</v>
      </c>
      <c r="P82" s="995">
        <f t="shared" si="26"/>
        <v>0</v>
      </c>
      <c r="Q82" s="995">
        <f t="shared" si="26"/>
        <v>0</v>
      </c>
      <c r="R82" s="995">
        <f t="shared" si="26"/>
        <v>100000000</v>
      </c>
      <c r="S82" s="995">
        <f>S59-S60-S61</f>
        <v>0</v>
      </c>
      <c r="T82" s="995">
        <f t="shared" si="26"/>
        <v>-100000000</v>
      </c>
      <c r="U82" s="995">
        <f t="shared" si="26"/>
        <v>0</v>
      </c>
      <c r="V82" s="995">
        <f t="shared" si="26"/>
        <v>0</v>
      </c>
      <c r="W82" s="995">
        <f t="shared" si="26"/>
        <v>0</v>
      </c>
      <c r="X82" s="995">
        <f t="shared" si="26"/>
        <v>-100000000</v>
      </c>
      <c r="Y82" s="995">
        <f>Y59-Y60-Y61</f>
        <v>0</v>
      </c>
      <c r="Z82" s="995">
        <f>Z59-Z60-Z61</f>
        <v>0</v>
      </c>
    </row>
    <row r="83" spans="2:26">
      <c r="Y83" s="1050"/>
    </row>
    <row r="84" spans="2:26">
      <c r="E84" s="995"/>
      <c r="Y84" s="1050"/>
    </row>
    <row r="86" spans="2:26">
      <c r="B86" s="972" t="s">
        <v>623</v>
      </c>
      <c r="G86" s="972">
        <v>338040000000</v>
      </c>
      <c r="H86" s="972">
        <v>396562000000</v>
      </c>
      <c r="I86" s="972">
        <v>493308000000</v>
      </c>
      <c r="J86" s="972">
        <v>725000000000</v>
      </c>
      <c r="K86" s="972">
        <v>733748000000</v>
      </c>
      <c r="L86" s="972">
        <v>854027000000</v>
      </c>
      <c r="M86" s="972">
        <v>794187000000</v>
      </c>
      <c r="N86" s="972">
        <v>973064000000</v>
      </c>
      <c r="O86" s="1005">
        <v>1163175000000</v>
      </c>
      <c r="P86" s="1005">
        <v>1174667000000</v>
      </c>
      <c r="Q86" s="1005">
        <v>1252129000000</v>
      </c>
      <c r="R86" s="1687">
        <v>1599000000000</v>
      </c>
      <c r="S86" s="1687">
        <v>1539200000000</v>
      </c>
      <c r="T86" s="1687">
        <v>1577500000000</v>
      </c>
      <c r="U86" s="1687">
        <v>1648600000000</v>
      </c>
      <c r="V86" s="1687">
        <v>1761100000000</v>
      </c>
      <c r="W86" s="1687">
        <v>1925500000000</v>
      </c>
      <c r="X86" s="1687">
        <v>2093699999999.9998</v>
      </c>
      <c r="Y86" s="1687">
        <v>2256900000000</v>
      </c>
    </row>
    <row r="87" spans="2:26">
      <c r="B87" s="972" t="s">
        <v>151</v>
      </c>
      <c r="G87" s="1006">
        <f t="shared" ref="G87:Q87" si="27">(G6/G86)*100</f>
        <v>35.380428351674361</v>
      </c>
      <c r="H87" s="1006">
        <f t="shared" si="27"/>
        <v>32.882626171947891</v>
      </c>
      <c r="I87" s="1006">
        <f t="shared" si="27"/>
        <v>26.61623164432768</v>
      </c>
      <c r="J87" s="1006">
        <f t="shared" si="27"/>
        <v>56.000000000000007</v>
      </c>
      <c r="K87" s="1006">
        <f t="shared" si="27"/>
        <v>25.2675305418209</v>
      </c>
      <c r="L87" s="1006">
        <f t="shared" si="27"/>
        <v>22.130447866402349</v>
      </c>
      <c r="M87" s="1006">
        <f t="shared" si="27"/>
        <v>23.734964183498345</v>
      </c>
      <c r="N87" s="1006">
        <f t="shared" si="27"/>
        <v>25.72287126026654</v>
      </c>
      <c r="O87" s="1006">
        <f t="shared" si="27"/>
        <v>25.894641820878199</v>
      </c>
      <c r="P87" s="1006">
        <f t="shared" si="27"/>
        <v>39.636765142802169</v>
      </c>
      <c r="Q87" s="1006">
        <f t="shared" si="27"/>
        <v>33.758502518510475</v>
      </c>
      <c r="R87" s="1006">
        <f t="shared" ref="R87:Y87" si="28">(R6/R86)*100</f>
        <v>25.390869293308317</v>
      </c>
      <c r="S87" s="1006">
        <f t="shared" si="28"/>
        <v>29.898648648648653</v>
      </c>
      <c r="T87" s="1006">
        <f t="shared" si="28"/>
        <v>29.242472266244057</v>
      </c>
      <c r="U87" s="1006">
        <f t="shared" si="28"/>
        <v>29.782846051194955</v>
      </c>
      <c r="V87" s="1006">
        <f t="shared" si="28"/>
        <v>29.884731133950371</v>
      </c>
      <c r="W87" s="1006">
        <f t="shared" si="28"/>
        <v>29.737730459620877</v>
      </c>
      <c r="X87" s="1006">
        <f t="shared" si="28"/>
        <v>30.142809380522522</v>
      </c>
      <c r="Y87" s="1006">
        <f t="shared" si="28"/>
        <v>31.352740484735698</v>
      </c>
    </row>
    <row r="88" spans="2:26">
      <c r="B88" s="972" t="s">
        <v>152</v>
      </c>
      <c r="G88" s="1006">
        <f t="shared" ref="G88:Q88" si="29">(G22/G86)*100</f>
        <v>47.213347532836352</v>
      </c>
      <c r="H88" s="1006">
        <f t="shared" si="29"/>
        <v>37.673806365713311</v>
      </c>
      <c r="I88" s="1006">
        <f t="shared" si="29"/>
        <v>33.711190574651127</v>
      </c>
      <c r="J88" s="1006">
        <f t="shared" si="29"/>
        <v>28.468965517241379</v>
      </c>
      <c r="K88" s="1006">
        <f t="shared" si="29"/>
        <v>29.615072204626113</v>
      </c>
      <c r="L88" s="1006">
        <f t="shared" si="29"/>
        <v>30.678186989404317</v>
      </c>
      <c r="M88" s="1006">
        <f t="shared" si="29"/>
        <v>30.584736340433675</v>
      </c>
      <c r="N88" s="1006">
        <f t="shared" si="29"/>
        <v>29.073113382059145</v>
      </c>
      <c r="O88" s="1006">
        <f t="shared" si="29"/>
        <v>29.350699593784253</v>
      </c>
      <c r="P88" s="1006">
        <f t="shared" si="29"/>
        <v>36.606119010749424</v>
      </c>
      <c r="Q88" s="1006">
        <f t="shared" si="29"/>
        <v>34.876598177983261</v>
      </c>
      <c r="R88" s="1006">
        <f t="shared" ref="R88:Y88" si="30">(R22/R86)*100</f>
        <v>29.962476547842403</v>
      </c>
      <c r="S88" s="1006">
        <f t="shared" si="30"/>
        <v>33.374480249480257</v>
      </c>
      <c r="T88" s="1006">
        <f t="shared" si="30"/>
        <v>29.800316957210775</v>
      </c>
      <c r="U88" s="1006">
        <f t="shared" si="30"/>
        <v>29.9041611063933</v>
      </c>
      <c r="V88" s="1006">
        <f t="shared" si="30"/>
        <v>30.100505365964452</v>
      </c>
      <c r="W88" s="1006">
        <f t="shared" si="30"/>
        <v>29.716956634640351</v>
      </c>
      <c r="X88" s="1006">
        <f t="shared" si="30"/>
        <v>29.803696804699818</v>
      </c>
      <c r="Y88" s="1006">
        <f t="shared" si="30"/>
        <v>30.821037706588683</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69" t="s">
        <v>4381</v>
      </c>
      <c r="B1" s="82" t="s">
        <v>4382</v>
      </c>
      <c r="C1" s="82"/>
      <c r="D1" s="27"/>
      <c r="E1" s="27"/>
      <c r="F1" s="27"/>
      <c r="G1" s="27"/>
      <c r="H1" s="27"/>
      <c r="I1" s="27"/>
      <c r="J1" s="27"/>
      <c r="K1" s="27"/>
      <c r="L1" s="27"/>
      <c r="M1" s="27"/>
      <c r="N1" s="27"/>
      <c r="O1" s="28"/>
      <c r="P1" s="28"/>
      <c r="Q1" s="28"/>
      <c r="R1" s="29"/>
      <c r="S1" s="28"/>
      <c r="T1" s="28"/>
      <c r="U1" s="28"/>
      <c r="V1" s="28"/>
      <c r="W1" s="28"/>
      <c r="X1" s="2"/>
      <c r="Y1" s="2"/>
    </row>
    <row r="2" spans="1:27">
      <c r="B2" s="30" t="s">
        <v>4383</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690">
        <v>2009</v>
      </c>
      <c r="N3" s="28">
        <v>2010</v>
      </c>
      <c r="O3" s="28">
        <v>2011</v>
      </c>
      <c r="P3" s="28">
        <v>2012</v>
      </c>
      <c r="Q3" s="28">
        <v>2013</v>
      </c>
      <c r="R3" s="28">
        <v>2014</v>
      </c>
      <c r="S3" s="1690">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690" t="s">
        <v>13</v>
      </c>
      <c r="M4" s="28" t="s">
        <v>14</v>
      </c>
      <c r="N4" s="28" t="s">
        <v>15</v>
      </c>
      <c r="O4" s="28" t="s">
        <v>16</v>
      </c>
      <c r="P4" s="28" t="s">
        <v>17</v>
      </c>
      <c r="Q4" s="28" t="s">
        <v>18</v>
      </c>
      <c r="R4" s="29" t="s">
        <v>19</v>
      </c>
      <c r="S4" s="28" t="s">
        <v>20</v>
      </c>
      <c r="T4" s="1690" t="s">
        <v>21</v>
      </c>
      <c r="U4" s="28" t="s">
        <v>22</v>
      </c>
      <c r="V4" s="28" t="s">
        <v>23</v>
      </c>
      <c r="W4" s="28" t="s">
        <v>24</v>
      </c>
      <c r="X4" s="28" t="s">
        <v>25</v>
      </c>
      <c r="Y4" s="2" t="s">
        <v>26</v>
      </c>
      <c r="Z4" s="2" t="s">
        <v>27</v>
      </c>
      <c r="AA4" s="2" t="s">
        <v>1137</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848" customFormat="1">
      <c r="A6" s="1063" t="s">
        <v>785</v>
      </c>
      <c r="B6" s="1063" t="s">
        <v>4384</v>
      </c>
      <c r="C6" s="1063" t="s">
        <v>35</v>
      </c>
      <c r="D6" s="1556">
        <v>23500000000</v>
      </c>
      <c r="E6" s="1556">
        <v>22707000000</v>
      </c>
      <c r="F6" s="1556">
        <v>25270000000</v>
      </c>
      <c r="G6" s="1556">
        <v>30298000000</v>
      </c>
      <c r="H6" s="1556">
        <f>H7+H21</f>
        <v>33675700000</v>
      </c>
      <c r="I6" s="1556">
        <f>I7+I21</f>
        <v>36049800000</v>
      </c>
      <c r="J6" s="1556">
        <f>J7+J21</f>
        <v>39108972000</v>
      </c>
      <c r="K6" s="1556">
        <f>K7+K21</f>
        <v>42451467999.999992</v>
      </c>
      <c r="L6" s="1556">
        <f>L7+L21</f>
        <v>54575934000</v>
      </c>
      <c r="M6" s="1159">
        <v>64295999999.999992</v>
      </c>
      <c r="N6" s="1159">
        <v>65437199999.999992</v>
      </c>
      <c r="O6" s="1159">
        <v>69122000000</v>
      </c>
      <c r="P6" s="1556">
        <v>73773000000</v>
      </c>
      <c r="Q6" s="1557">
        <v>78224000000</v>
      </c>
      <c r="R6" s="1557">
        <v>79674000000</v>
      </c>
      <c r="S6" s="1691">
        <v>83655000000</v>
      </c>
      <c r="T6" s="1534">
        <v>88269000000</v>
      </c>
      <c r="U6" s="1534">
        <v>94028000000</v>
      </c>
      <c r="V6" s="1534">
        <v>112242000000</v>
      </c>
      <c r="W6" s="1534">
        <v>115915000000</v>
      </c>
      <c r="X6" s="1534">
        <v>118680000000</v>
      </c>
      <c r="Y6" s="1534">
        <f>Y7+Y21</f>
        <v>127356000000</v>
      </c>
      <c r="Z6" s="1534">
        <v>136516000000</v>
      </c>
      <c r="AA6" s="1348">
        <v>146335000000</v>
      </c>
    </row>
    <row r="7" spans="1:27">
      <c r="A7" t="s">
        <v>36</v>
      </c>
      <c r="B7" s="58" t="s">
        <v>4385</v>
      </c>
      <c r="C7" s="345" t="s">
        <v>38</v>
      </c>
      <c r="D7" s="300">
        <f t="shared" ref="D7:I7" si="0">D8+D19+D20+D18</f>
        <v>23339000000</v>
      </c>
      <c r="E7" s="300">
        <f t="shared" si="0"/>
        <v>22507000000</v>
      </c>
      <c r="F7" s="300">
        <f t="shared" si="0"/>
        <v>24954000000</v>
      </c>
      <c r="G7" s="300">
        <f t="shared" si="0"/>
        <v>29935000000</v>
      </c>
      <c r="H7" s="300">
        <f t="shared" si="0"/>
        <v>33057700000</v>
      </c>
      <c r="I7" s="300">
        <f t="shared" si="0"/>
        <v>35605800000</v>
      </c>
      <c r="J7" s="125">
        <f>J8+J19+J20</f>
        <v>38525256000</v>
      </c>
      <c r="K7" s="125">
        <v>42013823999.999992</v>
      </c>
      <c r="L7" s="887">
        <f>L8+L19+L20+L18</f>
        <v>52060914000</v>
      </c>
      <c r="M7" s="125">
        <v>59783999999.999992</v>
      </c>
      <c r="N7" s="125">
        <v>63345600000</v>
      </c>
      <c r="O7" s="125">
        <v>66861000000.000008</v>
      </c>
      <c r="P7" s="210">
        <v>71391000000</v>
      </c>
      <c r="Q7" s="1692">
        <v>76822000000</v>
      </c>
      <c r="R7" s="1692">
        <v>79268000000</v>
      </c>
      <c r="S7" s="510">
        <v>82435000000</v>
      </c>
      <c r="T7" s="269">
        <v>87936000000</v>
      </c>
      <c r="U7" s="269">
        <v>91129000000</v>
      </c>
      <c r="V7" s="269">
        <v>105264000000</v>
      </c>
      <c r="W7" s="269">
        <v>109630000000</v>
      </c>
      <c r="X7" s="269">
        <v>117630000000</v>
      </c>
      <c r="Y7" s="269">
        <f>Y8+Y18+Y19+Y20</f>
        <v>126230000000</v>
      </c>
      <c r="Z7" s="269">
        <v>135309000000</v>
      </c>
      <c r="AA7" s="267">
        <v>145043000000</v>
      </c>
    </row>
    <row r="8" spans="1:27">
      <c r="A8" s="64" t="s">
        <v>39</v>
      </c>
      <c r="B8" s="64" t="s">
        <v>731</v>
      </c>
      <c r="C8" s="58" t="s">
        <v>41</v>
      </c>
      <c r="D8" s="210">
        <v>20373000000</v>
      </c>
      <c r="E8" s="210">
        <v>20189000000</v>
      </c>
      <c r="F8" s="210">
        <v>21519000000</v>
      </c>
      <c r="G8" s="210">
        <v>25879000000</v>
      </c>
      <c r="H8" s="210">
        <v>29068000000</v>
      </c>
      <c r="I8" s="210">
        <v>32719000000</v>
      </c>
      <c r="J8" s="125">
        <f>J9+J10+J11+J12+J14</f>
        <v>35217532000</v>
      </c>
      <c r="K8" s="125">
        <v>38293850000</v>
      </c>
      <c r="L8" s="894">
        <f>L9+L10+L11+L12+L13+L14+L15++L16+L17</f>
        <v>47030874000</v>
      </c>
      <c r="M8" s="125">
        <v>53862000000</v>
      </c>
      <c r="N8" s="125">
        <v>55278000000</v>
      </c>
      <c r="O8" s="125">
        <v>59109000000</v>
      </c>
      <c r="P8" s="125">
        <v>64919000000</v>
      </c>
      <c r="Q8" s="1692">
        <v>67990000000</v>
      </c>
      <c r="R8" s="1692">
        <v>71727000000</v>
      </c>
      <c r="S8" s="1693">
        <v>75318000000</v>
      </c>
      <c r="T8" s="269">
        <v>78224000000</v>
      </c>
      <c r="U8" s="269">
        <v>84209000000</v>
      </c>
      <c r="V8" s="269">
        <v>92259000000</v>
      </c>
      <c r="W8" s="269">
        <v>100087000000</v>
      </c>
      <c r="X8" s="269">
        <v>109834000000</v>
      </c>
      <c r="Y8" s="269">
        <f>Y9+Y10+Y13+Y15+Y16+Y17</f>
        <v>117865000000</v>
      </c>
      <c r="Z8" s="269">
        <v>126342000000</v>
      </c>
      <c r="AA8" s="267">
        <v>135430000000</v>
      </c>
    </row>
    <row r="9" spans="1:27">
      <c r="A9" s="65" t="s">
        <v>4386</v>
      </c>
      <c r="B9" s="65" t="s">
        <v>4387</v>
      </c>
      <c r="C9" s="27" t="s">
        <v>44</v>
      </c>
      <c r="D9" s="210"/>
      <c r="E9" s="210"/>
      <c r="F9" s="210"/>
      <c r="G9" s="298"/>
      <c r="H9" s="298"/>
      <c r="I9" s="210"/>
      <c r="J9" s="331">
        <v>2724008000</v>
      </c>
      <c r="K9" s="125">
        <v>2407042000</v>
      </c>
      <c r="L9" s="125">
        <v>3521028000</v>
      </c>
      <c r="M9" s="125">
        <v>4229999999.9999995</v>
      </c>
      <c r="N9" s="125">
        <v>4482000000</v>
      </c>
      <c r="O9" s="125">
        <v>4845000000</v>
      </c>
      <c r="P9" s="125">
        <v>5318000000</v>
      </c>
      <c r="Q9" s="1692">
        <v>6214000000</v>
      </c>
      <c r="R9" s="1692">
        <v>7049000000</v>
      </c>
      <c r="S9" s="1692">
        <v>8106000000</v>
      </c>
      <c r="T9" s="269">
        <v>7621000000</v>
      </c>
      <c r="U9" s="269">
        <v>8655000000</v>
      </c>
      <c r="V9" s="269">
        <v>9467000000</v>
      </c>
      <c r="W9" s="269">
        <v>10195000000</v>
      </c>
      <c r="X9" s="269">
        <v>11031000000</v>
      </c>
      <c r="Y9" s="269">
        <v>11838000000</v>
      </c>
      <c r="Z9" s="269">
        <v>12689000000</v>
      </c>
      <c r="AA9" s="267">
        <v>13602000000</v>
      </c>
    </row>
    <row r="10" spans="1:27">
      <c r="A10" s="65" t="s">
        <v>4388</v>
      </c>
      <c r="B10" s="65" t="s">
        <v>4389</v>
      </c>
      <c r="C10" s="27" t="s">
        <v>44</v>
      </c>
      <c r="D10" s="210"/>
      <c r="E10" s="210"/>
      <c r="F10" s="210"/>
      <c r="G10" s="210"/>
      <c r="H10" s="210"/>
      <c r="I10" s="210"/>
      <c r="J10" s="331">
        <v>4669728000</v>
      </c>
      <c r="K10" s="125">
        <v>5251727999.999999</v>
      </c>
      <c r="L10" s="125">
        <v>6287550000</v>
      </c>
      <c r="M10" s="125">
        <v>10434000000</v>
      </c>
      <c r="N10" s="125">
        <v>8366399999.999999</v>
      </c>
      <c r="O10" s="125">
        <v>8721000000</v>
      </c>
      <c r="P10" s="125">
        <v>9380000000</v>
      </c>
      <c r="Q10" s="1692">
        <v>8727000000</v>
      </c>
      <c r="R10" s="1692">
        <v>8972000000</v>
      </c>
      <c r="S10" s="1692">
        <v>10148000000</v>
      </c>
      <c r="T10" s="269">
        <v>10459000000</v>
      </c>
      <c r="U10" s="269">
        <v>11929000000</v>
      </c>
      <c r="V10" s="269">
        <v>12525000000</v>
      </c>
      <c r="W10" s="269">
        <v>13488000000</v>
      </c>
      <c r="X10" s="269">
        <v>14595000000</v>
      </c>
      <c r="Y10" s="269">
        <v>15662000000</v>
      </c>
      <c r="Z10" s="269">
        <v>16788000000</v>
      </c>
      <c r="AA10" s="267">
        <v>17996000000</v>
      </c>
    </row>
    <row r="11" spans="1:27">
      <c r="A11" s="65" t="s">
        <v>4390</v>
      </c>
      <c r="B11" s="65" t="s">
        <v>4391</v>
      </c>
      <c r="C11" s="27" t="s">
        <v>44</v>
      </c>
      <c r="D11" s="210"/>
      <c r="E11" s="210"/>
      <c r="F11" s="210"/>
      <c r="G11" s="298"/>
      <c r="H11" s="298"/>
      <c r="I11" s="210"/>
      <c r="J11" s="331">
        <v>1945720000</v>
      </c>
      <c r="K11" s="125">
        <v>2844685999.9999995</v>
      </c>
      <c r="L11" s="125">
        <v>4024032000</v>
      </c>
      <c r="M11" s="125"/>
      <c r="N11" s="125"/>
      <c r="O11" s="125"/>
      <c r="P11" s="125"/>
      <c r="Q11" s="1692"/>
      <c r="R11" s="1692"/>
      <c r="S11" s="1692"/>
      <c r="T11" s="269"/>
      <c r="U11" s="269"/>
      <c r="V11" s="269"/>
      <c r="W11" s="269"/>
      <c r="X11" s="269"/>
      <c r="Y11" s="269"/>
      <c r="Z11" s="269"/>
      <c r="AA11" s="267"/>
    </row>
    <row r="12" spans="1:27">
      <c r="A12" s="65" t="s">
        <v>4392</v>
      </c>
      <c r="B12" s="65" t="s">
        <v>4393</v>
      </c>
      <c r="C12" s="27" t="s">
        <v>44</v>
      </c>
      <c r="D12" s="210"/>
      <c r="E12" s="210"/>
      <c r="F12" s="210"/>
      <c r="G12" s="210"/>
      <c r="H12" s="210"/>
      <c r="I12" s="210"/>
      <c r="J12" s="331">
        <v>18678912000</v>
      </c>
      <c r="K12" s="125">
        <v>25164530000</v>
      </c>
      <c r="L12" s="125">
        <v>30431742000</v>
      </c>
      <c r="M12" s="125"/>
      <c r="N12" s="125"/>
      <c r="O12" s="125"/>
      <c r="P12" s="125"/>
      <c r="Q12" s="1692"/>
      <c r="R12" s="1692"/>
      <c r="S12" s="1692"/>
      <c r="T12" s="269"/>
      <c r="U12" s="269"/>
      <c r="V12" s="269"/>
      <c r="W12" s="269"/>
      <c r="X12" s="269"/>
      <c r="Y12" s="269"/>
      <c r="Z12" s="269"/>
      <c r="AA12" s="267"/>
    </row>
    <row r="13" spans="1:27">
      <c r="A13" s="65" t="s">
        <v>4394</v>
      </c>
      <c r="B13" s="65" t="s">
        <v>4395</v>
      </c>
      <c r="C13" s="27" t="s">
        <v>44</v>
      </c>
      <c r="D13" s="210"/>
      <c r="E13" s="210"/>
      <c r="F13" s="210"/>
      <c r="G13" s="298"/>
      <c r="H13" s="298"/>
      <c r="I13" s="210"/>
      <c r="J13" s="210"/>
      <c r="K13" s="210"/>
      <c r="L13" s="210"/>
      <c r="M13" s="125">
        <v>19458000000</v>
      </c>
      <c r="N13" s="125">
        <v>21214800000</v>
      </c>
      <c r="O13" s="125">
        <v>22610000000</v>
      </c>
      <c r="P13" s="125">
        <v>24964000000</v>
      </c>
      <c r="Q13" s="1692">
        <v>26000000000</v>
      </c>
      <c r="R13" s="1692">
        <v>26060000000</v>
      </c>
      <c r="S13" s="1692">
        <v>27748000000</v>
      </c>
      <c r="T13" s="269">
        <v>28805000000</v>
      </c>
      <c r="U13" s="269">
        <v>30231000000</v>
      </c>
      <c r="V13" s="269">
        <v>32835000000</v>
      </c>
      <c r="W13" s="269">
        <v>35359000000</v>
      </c>
      <c r="X13" s="269">
        <v>38261000000</v>
      </c>
      <c r="Y13" s="269">
        <v>41058000000</v>
      </c>
      <c r="Z13" s="269">
        <v>44011000000</v>
      </c>
      <c r="AA13" s="267">
        <v>47177000000</v>
      </c>
    </row>
    <row r="14" spans="1:27">
      <c r="A14" s="65" t="s">
        <v>4396</v>
      </c>
      <c r="B14" s="65" t="s">
        <v>4397</v>
      </c>
      <c r="C14" s="27" t="s">
        <v>44</v>
      </c>
      <c r="D14" s="210"/>
      <c r="E14" s="210"/>
      <c r="F14" s="210"/>
      <c r="G14" s="210"/>
      <c r="H14" s="210"/>
      <c r="I14" s="210"/>
      <c r="J14" s="125">
        <v>7199164000.000001</v>
      </c>
      <c r="K14" s="125">
        <v>2188220000</v>
      </c>
      <c r="L14" s="125">
        <v>2766522000.0000005</v>
      </c>
      <c r="M14" s="125"/>
      <c r="N14" s="125"/>
      <c r="O14" s="125"/>
      <c r="P14" s="125"/>
      <c r="Q14" s="1692"/>
      <c r="R14" s="1692"/>
      <c r="S14" s="1692"/>
      <c r="T14" s="269"/>
      <c r="U14" s="269"/>
      <c r="V14" s="269"/>
      <c r="W14" s="269"/>
      <c r="X14" s="269"/>
      <c r="Y14" s="269"/>
      <c r="Z14" s="269"/>
      <c r="AA14" s="267"/>
    </row>
    <row r="15" spans="1:27">
      <c r="A15" s="65" t="s">
        <v>4398</v>
      </c>
      <c r="B15" s="65" t="s">
        <v>4399</v>
      </c>
      <c r="C15" s="27" t="s">
        <v>44</v>
      </c>
      <c r="D15" s="210"/>
      <c r="E15" s="210"/>
      <c r="F15" s="210"/>
      <c r="G15" s="298"/>
      <c r="H15" s="298"/>
      <c r="I15" s="210"/>
      <c r="J15" s="210"/>
      <c r="K15" s="210"/>
      <c r="L15" s="210"/>
      <c r="M15" s="125">
        <v>8742000000</v>
      </c>
      <c r="N15" s="125">
        <v>9262800000</v>
      </c>
      <c r="O15" s="125">
        <v>11628000000</v>
      </c>
      <c r="P15" s="125">
        <v>13039000000</v>
      </c>
      <c r="Q15" s="1692">
        <v>13557000000</v>
      </c>
      <c r="R15" s="1692">
        <v>14423000000</v>
      </c>
      <c r="S15" s="1692">
        <v>14122000000</v>
      </c>
      <c r="T15" s="269">
        <v>15633000000</v>
      </c>
      <c r="U15" s="269">
        <v>17067000000</v>
      </c>
      <c r="V15" s="269">
        <v>20180000000</v>
      </c>
      <c r="W15" s="269">
        <v>21731000000</v>
      </c>
      <c r="X15" s="269">
        <v>23515000000</v>
      </c>
      <c r="Y15" s="269">
        <v>25234000000</v>
      </c>
      <c r="Z15" s="269">
        <v>27049000000</v>
      </c>
      <c r="AA15" s="267">
        <v>28994000000</v>
      </c>
    </row>
    <row r="16" spans="1:27">
      <c r="A16" s="65" t="s">
        <v>3649</v>
      </c>
      <c r="B16" s="65" t="s">
        <v>3649</v>
      </c>
      <c r="C16" s="27" t="s">
        <v>44</v>
      </c>
      <c r="D16" s="210"/>
      <c r="E16" s="210"/>
      <c r="F16" s="210"/>
      <c r="G16" s="210"/>
      <c r="H16" s="210"/>
      <c r="I16" s="210"/>
      <c r="J16" s="210"/>
      <c r="K16" s="210"/>
      <c r="L16" s="210"/>
      <c r="M16" s="125">
        <v>1692000000</v>
      </c>
      <c r="N16" s="125">
        <v>1494000000</v>
      </c>
      <c r="O16" s="125">
        <v>1615000000</v>
      </c>
      <c r="P16" s="125">
        <v>1507000000</v>
      </c>
      <c r="Q16" s="1692">
        <v>1389000000</v>
      </c>
      <c r="R16" s="1692">
        <v>1239000000</v>
      </c>
      <c r="S16" s="1692">
        <v>1299000000</v>
      </c>
      <c r="T16" s="269">
        <v>1343000000</v>
      </c>
      <c r="U16" s="269">
        <v>1174000000</v>
      </c>
      <c r="V16" s="269">
        <v>1305000000</v>
      </c>
      <c r="W16" s="269">
        <v>1405000000</v>
      </c>
      <c r="X16" s="269">
        <v>1521000000</v>
      </c>
      <c r="Y16" s="269">
        <v>1632000000</v>
      </c>
      <c r="Z16" s="269">
        <v>1749000000</v>
      </c>
      <c r="AA16" s="267">
        <v>1875000000</v>
      </c>
    </row>
    <row r="17" spans="1:27">
      <c r="A17" s="65" t="s">
        <v>49</v>
      </c>
      <c r="B17" s="65" t="s">
        <v>3769</v>
      </c>
      <c r="C17" s="27" t="s">
        <v>44</v>
      </c>
      <c r="D17" s="210"/>
      <c r="E17" s="210"/>
      <c r="F17" s="210"/>
      <c r="G17" s="298"/>
      <c r="H17" s="298"/>
      <c r="I17" s="210"/>
      <c r="J17" s="210"/>
      <c r="K17" s="125">
        <v>437644000</v>
      </c>
      <c r="L17" s="125">
        <v>0</v>
      </c>
      <c r="M17" s="125">
        <v>9306000000</v>
      </c>
      <c r="N17" s="125">
        <v>10458000000</v>
      </c>
      <c r="O17" s="125">
        <v>9690000000</v>
      </c>
      <c r="P17" s="125">
        <v>10711000000</v>
      </c>
      <c r="Q17" s="1692">
        <v>12103000000</v>
      </c>
      <c r="R17" s="1692">
        <v>13985000000</v>
      </c>
      <c r="S17" s="1692">
        <v>13895000000</v>
      </c>
      <c r="T17" s="269">
        <v>14364000000</v>
      </c>
      <c r="U17" s="269">
        <v>15154000000</v>
      </c>
      <c r="V17" s="269">
        <v>15947000000</v>
      </c>
      <c r="W17" s="269">
        <v>17909000000</v>
      </c>
      <c r="X17" s="269">
        <v>20912000000</v>
      </c>
      <c r="Y17" s="269">
        <v>22441000000</v>
      </c>
      <c r="Z17" s="269">
        <v>24055000000</v>
      </c>
      <c r="AA17" s="267">
        <v>25786000000</v>
      </c>
    </row>
    <row r="18" spans="1:27">
      <c r="A18" s="64" t="s">
        <v>558</v>
      </c>
      <c r="B18" s="64" t="s">
        <v>1179</v>
      </c>
      <c r="C18" s="58" t="s">
        <v>41</v>
      </c>
      <c r="D18" s="210"/>
      <c r="E18" s="210"/>
      <c r="F18" s="210"/>
      <c r="G18" s="210"/>
      <c r="H18" s="210"/>
      <c r="I18" s="210"/>
      <c r="J18" s="210"/>
      <c r="K18" s="210"/>
      <c r="L18" s="210"/>
      <c r="M18" s="125">
        <v>846000000</v>
      </c>
      <c r="N18" s="125">
        <v>896400000</v>
      </c>
      <c r="O18" s="125">
        <v>969000000</v>
      </c>
      <c r="P18" s="125">
        <v>1051000000</v>
      </c>
      <c r="Q18" s="1692">
        <v>1269000000</v>
      </c>
      <c r="R18" s="1692">
        <v>1284000000</v>
      </c>
      <c r="S18" s="1692">
        <v>1208000000</v>
      </c>
      <c r="T18" s="269">
        <v>1375000000</v>
      </c>
      <c r="U18" s="269">
        <v>1377000000</v>
      </c>
      <c r="V18" s="269">
        <v>1545000000</v>
      </c>
      <c r="W18" s="269">
        <v>1650000000</v>
      </c>
      <c r="X18" s="269">
        <v>1785000000</v>
      </c>
      <c r="Y18" s="269">
        <v>1915000000</v>
      </c>
      <c r="Z18" s="269">
        <v>2053000000</v>
      </c>
      <c r="AA18" s="267">
        <v>2201000000</v>
      </c>
    </row>
    <row r="19" spans="1:27">
      <c r="A19" s="64" t="s">
        <v>51</v>
      </c>
      <c r="B19" s="64" t="s">
        <v>742</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692">
        <v>7563000000</v>
      </c>
      <c r="R19" s="1692">
        <v>6256000000</v>
      </c>
      <c r="S19" s="1692">
        <v>5909000000</v>
      </c>
      <c r="T19" s="269">
        <v>8337000000</v>
      </c>
      <c r="U19" s="269">
        <v>5542000000</v>
      </c>
      <c r="V19" s="269">
        <v>11460000000</v>
      </c>
      <c r="W19" s="269">
        <v>7893000000</v>
      </c>
      <c r="X19" s="269">
        <v>6011000000</v>
      </c>
      <c r="Y19" s="269">
        <v>6450000000</v>
      </c>
      <c r="Z19" s="269">
        <v>6914000000</v>
      </c>
      <c r="AA19" s="267">
        <v>7412000000</v>
      </c>
    </row>
    <row r="20" spans="1:27">
      <c r="A20" s="64" t="s">
        <v>4400</v>
      </c>
      <c r="B20" s="64" t="s">
        <v>3446</v>
      </c>
      <c r="C20" s="58" t="s">
        <v>41</v>
      </c>
      <c r="D20" s="210"/>
      <c r="E20" s="210"/>
      <c r="F20" s="210"/>
      <c r="G20" s="210"/>
      <c r="H20" s="210">
        <v>69700000</v>
      </c>
      <c r="I20" s="210">
        <v>413800000</v>
      </c>
      <c r="J20" s="125">
        <v>194572000</v>
      </c>
      <c r="K20" s="210"/>
      <c r="L20" s="210"/>
      <c r="M20" s="125"/>
      <c r="N20" s="125"/>
      <c r="O20" s="125"/>
      <c r="P20" s="125"/>
      <c r="Q20" s="1692"/>
      <c r="R20" s="1692"/>
      <c r="S20" s="1692"/>
      <c r="T20" s="269"/>
      <c r="U20" s="269"/>
      <c r="V20" s="269"/>
      <c r="W20" s="269"/>
      <c r="X20" s="269"/>
      <c r="Y20" s="269"/>
      <c r="Z20" s="269"/>
      <c r="AA20" s="267"/>
    </row>
    <row r="21" spans="1:27" s="848" customFormat="1">
      <c r="A21" s="1063" t="s">
        <v>53</v>
      </c>
      <c r="B21" s="1063" t="s">
        <v>53</v>
      </c>
      <c r="C21" s="1160" t="s">
        <v>38</v>
      </c>
      <c r="D21" s="1556">
        <v>161000000</v>
      </c>
      <c r="E21" s="1556">
        <v>199000000</v>
      </c>
      <c r="F21" s="1556">
        <v>317000000</v>
      </c>
      <c r="G21" s="1556">
        <v>363000000</v>
      </c>
      <c r="H21" s="1556">
        <v>618000000</v>
      </c>
      <c r="I21" s="1556">
        <v>444000000</v>
      </c>
      <c r="J21" s="1159">
        <v>583716000</v>
      </c>
      <c r="K21" s="1159">
        <v>437644000</v>
      </c>
      <c r="L21" s="1159">
        <v>2515020000</v>
      </c>
      <c r="M21" s="1159">
        <v>4512000000</v>
      </c>
      <c r="N21" s="1159">
        <v>2091599999.9999998</v>
      </c>
      <c r="O21" s="1159">
        <v>2260999999.9999995</v>
      </c>
      <c r="P21" s="1159">
        <v>2382000000</v>
      </c>
      <c r="Q21" s="1557">
        <v>1403000000</v>
      </c>
      <c r="R21" s="1557">
        <v>406000000</v>
      </c>
      <c r="S21" s="1557">
        <v>1220000000</v>
      </c>
      <c r="T21" s="1534">
        <v>333000000</v>
      </c>
      <c r="U21" s="1534">
        <v>2899000000</v>
      </c>
      <c r="V21" s="1534">
        <v>6978000000</v>
      </c>
      <c r="W21" s="1534">
        <v>6285000000</v>
      </c>
      <c r="X21" s="1534">
        <v>1050000000</v>
      </c>
      <c r="Y21" s="1534">
        <v>1126000000</v>
      </c>
      <c r="Z21" s="1534">
        <v>1206000000</v>
      </c>
      <c r="AA21" s="1348">
        <v>1292000000</v>
      </c>
    </row>
    <row r="22" spans="1:27" s="848" customFormat="1">
      <c r="A22" s="848" t="s">
        <v>198</v>
      </c>
      <c r="B22" s="1063" t="s">
        <v>379</v>
      </c>
      <c r="C22" s="1063" t="s">
        <v>35</v>
      </c>
      <c r="D22" s="1556">
        <v>27810000000</v>
      </c>
      <c r="E22" s="1556">
        <v>29846000000</v>
      </c>
      <c r="F22" s="1556">
        <v>33569000000</v>
      </c>
      <c r="G22" s="1556">
        <v>39533000000</v>
      </c>
      <c r="H22" s="1556">
        <v>42567000000</v>
      </c>
      <c r="I22" s="1556">
        <v>45046000000</v>
      </c>
      <c r="J22" s="1159">
        <f t="shared" ref="J22:AA22" si="1">J23+J37+J38+J36</f>
        <v>49810432000</v>
      </c>
      <c r="K22" s="1159">
        <f t="shared" si="1"/>
        <v>51423170000</v>
      </c>
      <c r="L22" s="1159">
        <f t="shared" si="1"/>
        <v>64384512000</v>
      </c>
      <c r="M22" s="1159">
        <f t="shared" si="1"/>
        <v>74166000000</v>
      </c>
      <c r="N22" s="1159">
        <f t="shared" si="1"/>
        <v>74998800000</v>
      </c>
      <c r="O22" s="1159">
        <f t="shared" si="1"/>
        <v>79458000000</v>
      </c>
      <c r="P22" s="1159">
        <f t="shared" si="1"/>
        <v>80115000000</v>
      </c>
      <c r="Q22" s="1159">
        <f t="shared" si="1"/>
        <v>91047000000</v>
      </c>
      <c r="R22" s="1159">
        <f t="shared" si="1"/>
        <v>92214000000</v>
      </c>
      <c r="S22" s="1159">
        <f>S23+S37+S38+S36</f>
        <v>93150000000</v>
      </c>
      <c r="T22" s="1159">
        <f t="shared" si="1"/>
        <v>102877000000</v>
      </c>
      <c r="U22" s="1159">
        <f t="shared" si="1"/>
        <v>109870000000</v>
      </c>
      <c r="V22" s="1159">
        <f t="shared" si="1"/>
        <v>127716000000</v>
      </c>
      <c r="W22" s="1159">
        <f t="shared" si="1"/>
        <v>131634000000</v>
      </c>
      <c r="X22" s="1159">
        <f t="shared" si="1"/>
        <v>134358000000</v>
      </c>
      <c r="Y22" s="1159">
        <f t="shared" si="1"/>
        <v>144042000000</v>
      </c>
      <c r="Z22" s="1159">
        <f t="shared" si="1"/>
        <v>154296000000</v>
      </c>
      <c r="AA22" s="1159">
        <f t="shared" si="1"/>
        <v>165259000000</v>
      </c>
    </row>
    <row r="23" spans="1:27">
      <c r="A23" s="64" t="s">
        <v>73</v>
      </c>
      <c r="B23" s="58" t="s">
        <v>4401</v>
      </c>
      <c r="C23" s="58" t="s">
        <v>201</v>
      </c>
      <c r="D23" s="210">
        <v>23379000000</v>
      </c>
      <c r="E23" s="210">
        <v>26786000000</v>
      </c>
      <c r="F23" s="210">
        <v>27881000000</v>
      </c>
      <c r="G23" s="210">
        <v>31538000000</v>
      </c>
      <c r="H23" s="210">
        <v>34885000000</v>
      </c>
      <c r="I23" s="210">
        <v>38062000000</v>
      </c>
      <c r="J23" s="125">
        <v>42027552000</v>
      </c>
      <c r="K23" s="319">
        <f>K24+K27+K30+K33+K34</f>
        <v>43983222000</v>
      </c>
      <c r="L23" s="894">
        <f>L24+L27+L30+L33+L34</f>
        <v>55330440000</v>
      </c>
      <c r="M23" s="894">
        <f>M24+M27+M30+M33+M34</f>
        <v>66552000000</v>
      </c>
      <c r="N23" s="125">
        <v>66931199999.999992</v>
      </c>
      <c r="O23" s="894">
        <f>O24+O27+O30+O33+O34</f>
        <v>70737000000</v>
      </c>
      <c r="P23" s="125">
        <v>70395000000</v>
      </c>
      <c r="Q23" s="1692">
        <v>79886000000</v>
      </c>
      <c r="R23" s="1693">
        <v>82686000000</v>
      </c>
      <c r="S23" s="1692">
        <f>S24+S27+S30+S33+S34</f>
        <v>87208000000</v>
      </c>
      <c r="T23" s="269">
        <v>97084000000</v>
      </c>
      <c r="U23" s="269">
        <v>102925000000</v>
      </c>
      <c r="V23" s="269">
        <v>115003000000</v>
      </c>
      <c r="W23" s="269">
        <v>119214000000</v>
      </c>
      <c r="X23" s="269">
        <v>121453000000</v>
      </c>
      <c r="Y23" s="269">
        <v>130194000000</v>
      </c>
      <c r="Z23" s="269">
        <v>139451000000</v>
      </c>
      <c r="AA23" s="267">
        <v>149347000000</v>
      </c>
    </row>
    <row r="24" spans="1:27">
      <c r="A24" s="64" t="s">
        <v>4402</v>
      </c>
      <c r="B24" s="64" t="s">
        <v>4403</v>
      </c>
      <c r="C24" s="58" t="s">
        <v>204</v>
      </c>
      <c r="D24" s="300">
        <f t="shared" ref="D24:I24" si="2">D25+D26</f>
        <v>10117000000</v>
      </c>
      <c r="E24" s="300">
        <f t="shared" si="2"/>
        <v>10916000000</v>
      </c>
      <c r="F24" s="300">
        <f t="shared" si="2"/>
        <v>11781000000</v>
      </c>
      <c r="G24" s="300">
        <f t="shared" si="2"/>
        <v>12534000000</v>
      </c>
      <c r="H24" s="300">
        <f t="shared" si="2"/>
        <v>14403000000</v>
      </c>
      <c r="I24" s="300">
        <f t="shared" si="2"/>
        <v>15428000000</v>
      </c>
      <c r="J24" s="125">
        <v>16733192000</v>
      </c>
      <c r="K24" s="125">
        <v>16411649999.999998</v>
      </c>
      <c r="L24" s="125">
        <v>16850634000.000002</v>
      </c>
      <c r="M24" s="125">
        <v>24816000000</v>
      </c>
      <c r="N24" s="125">
        <v>26892000000</v>
      </c>
      <c r="O24" s="125">
        <v>26485999999.999996</v>
      </c>
      <c r="P24" s="125">
        <v>27555000000</v>
      </c>
      <c r="Q24" s="1692">
        <v>32820000000</v>
      </c>
      <c r="R24" s="1693">
        <v>33674000000</v>
      </c>
      <c r="S24" s="1692">
        <v>32542000000</v>
      </c>
      <c r="T24" s="269">
        <v>38111000000</v>
      </c>
      <c r="U24" s="269">
        <v>41240000000</v>
      </c>
      <c r="V24" s="269">
        <v>47221000000</v>
      </c>
      <c r="W24" s="269">
        <v>47809000000</v>
      </c>
      <c r="X24" s="269">
        <v>46367000000</v>
      </c>
      <c r="Y24" s="269">
        <v>49757000000</v>
      </c>
      <c r="Z24" s="269">
        <v>53336000000</v>
      </c>
      <c r="AA24" s="267">
        <v>57172000000</v>
      </c>
    </row>
    <row r="25" spans="1:27">
      <c r="A25" s="65" t="s">
        <v>797</v>
      </c>
      <c r="B25" s="65" t="s">
        <v>1005</v>
      </c>
      <c r="C25" s="58" t="s">
        <v>1436</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692">
        <v>22698000000</v>
      </c>
      <c r="R25" s="1692">
        <v>24025000000</v>
      </c>
      <c r="S25" s="1692">
        <v>24972000000</v>
      </c>
      <c r="T25" s="269">
        <v>26211000000</v>
      </c>
      <c r="U25" s="269">
        <v>28338000000</v>
      </c>
      <c r="V25" s="269">
        <v>30552000000</v>
      </c>
      <c r="W25" s="269">
        <v>31602000000</v>
      </c>
      <c r="X25" s="269">
        <v>31974000000</v>
      </c>
      <c r="Y25" s="269">
        <v>34311000000</v>
      </c>
      <c r="Z25" s="269">
        <v>36780000000</v>
      </c>
      <c r="AA25" s="267">
        <v>39425000000</v>
      </c>
    </row>
    <row r="26" spans="1:27">
      <c r="A26" s="65" t="s">
        <v>4404</v>
      </c>
      <c r="B26" s="65" t="s">
        <v>4405</v>
      </c>
      <c r="C26" s="58" t="s">
        <v>1436</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692">
        <v>10122000000</v>
      </c>
      <c r="R26" s="1692">
        <v>9649000000</v>
      </c>
      <c r="S26" s="1692">
        <v>7570000000</v>
      </c>
      <c r="T26" s="269">
        <v>11900000000</v>
      </c>
      <c r="U26" s="269">
        <v>12901000000</v>
      </c>
      <c r="V26" s="269">
        <v>16669000000</v>
      </c>
      <c r="W26" s="269">
        <v>16207000000</v>
      </c>
      <c r="X26" s="269">
        <v>14393000000</v>
      </c>
      <c r="Y26" s="269">
        <v>15445000000</v>
      </c>
      <c r="Z26" s="269">
        <v>16556000000</v>
      </c>
      <c r="AA26" s="267">
        <v>17747000000</v>
      </c>
    </row>
    <row r="27" spans="1:27">
      <c r="A27" s="64" t="s">
        <v>90</v>
      </c>
      <c r="B27" s="64" t="s">
        <v>751</v>
      </c>
      <c r="C27" s="58" t="s">
        <v>204</v>
      </c>
      <c r="D27" s="210">
        <v>3856000000</v>
      </c>
      <c r="E27" s="210">
        <v>5527000000</v>
      </c>
      <c r="F27" s="210">
        <v>4541000000</v>
      </c>
      <c r="G27" s="210">
        <v>6390000000</v>
      </c>
      <c r="H27" s="210">
        <v>6586000000</v>
      </c>
      <c r="I27" s="210">
        <v>7184000000</v>
      </c>
      <c r="J27" s="125">
        <v>7393736000</v>
      </c>
      <c r="K27" s="319">
        <f>K28+K29</f>
        <v>8752880000</v>
      </c>
      <c r="L27" s="125">
        <v>10563084000</v>
      </c>
      <c r="M27" s="894">
        <f>M28+M29</f>
        <v>10434000000</v>
      </c>
      <c r="N27" s="125">
        <v>10159200000</v>
      </c>
      <c r="O27" s="894">
        <f>O28+O29</f>
        <v>9366999999.9999981</v>
      </c>
      <c r="P27" s="125">
        <v>10297000000</v>
      </c>
      <c r="Q27" s="1692">
        <v>9629000000</v>
      </c>
      <c r="R27" s="1692">
        <v>10106000000</v>
      </c>
      <c r="S27" s="1692">
        <v>9918000000</v>
      </c>
      <c r="T27" s="269">
        <v>10118000000</v>
      </c>
      <c r="U27" s="269">
        <v>10958000000</v>
      </c>
      <c r="V27" s="269">
        <v>11900000000</v>
      </c>
      <c r="W27" s="269">
        <v>13295000000</v>
      </c>
      <c r="X27" s="269">
        <v>14465000000</v>
      </c>
      <c r="Y27" s="269">
        <v>15522000000</v>
      </c>
      <c r="Z27" s="269">
        <v>16639000000</v>
      </c>
      <c r="AA27" s="267">
        <v>17836000000</v>
      </c>
    </row>
    <row r="28" spans="1:27">
      <c r="A28" s="65" t="s">
        <v>4406</v>
      </c>
      <c r="B28" s="65" t="s">
        <v>4407</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692">
        <v>9132000000</v>
      </c>
      <c r="R28" s="1692">
        <v>9462000000</v>
      </c>
      <c r="S28" s="1692">
        <v>7250000000</v>
      </c>
      <c r="T28" s="269">
        <v>8518000000</v>
      </c>
      <c r="U28" s="269">
        <v>10228000000</v>
      </c>
      <c r="V28" s="269">
        <v>11145000000</v>
      </c>
      <c r="W28" s="269">
        <v>12570000000</v>
      </c>
      <c r="X28" s="269">
        <v>13770000000</v>
      </c>
      <c r="Y28" s="269">
        <v>14777000000</v>
      </c>
      <c r="Z28" s="269">
        <v>15840000000</v>
      </c>
      <c r="AA28" s="267">
        <v>16979000000</v>
      </c>
    </row>
    <row r="29" spans="1:27">
      <c r="A29" s="65" t="s">
        <v>4408</v>
      </c>
      <c r="B29" s="65" t="s">
        <v>4409</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692">
        <v>498000000</v>
      </c>
      <c r="R29" s="1692">
        <v>644000000</v>
      </c>
      <c r="S29" s="1692">
        <v>2668000000</v>
      </c>
      <c r="T29" s="269">
        <v>1600000000</v>
      </c>
      <c r="U29" s="269">
        <v>730000000</v>
      </c>
      <c r="V29" s="269">
        <v>755000000</v>
      </c>
      <c r="W29" s="269">
        <v>725000000</v>
      </c>
      <c r="X29" s="269">
        <v>695000000</v>
      </c>
      <c r="Y29" s="269">
        <v>746000000</v>
      </c>
      <c r="Z29" s="269">
        <v>799000000</v>
      </c>
      <c r="AA29" s="267">
        <v>857000000</v>
      </c>
    </row>
    <row r="30" spans="1:27">
      <c r="A30" s="64" t="s">
        <v>4410</v>
      </c>
      <c r="B30" s="64" t="s">
        <v>4411</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894">
        <f>O31+O32</f>
        <v>20672000000</v>
      </c>
      <c r="P30" s="125">
        <v>17152000000</v>
      </c>
      <c r="Q30" s="1692">
        <v>19932000000</v>
      </c>
      <c r="R30" s="1692">
        <v>19657000000</v>
      </c>
      <c r="S30" s="1692">
        <v>20549000000</v>
      </c>
      <c r="T30" s="269">
        <v>23832000000</v>
      </c>
      <c r="U30" s="269">
        <v>23335000000</v>
      </c>
      <c r="V30" s="269">
        <v>25632000000</v>
      </c>
      <c r="W30" s="269">
        <v>25704000000</v>
      </c>
      <c r="X30" s="269">
        <v>26073000000</v>
      </c>
      <c r="Y30" s="269">
        <v>27951000000</v>
      </c>
      <c r="Z30" s="269">
        <v>29961000000</v>
      </c>
      <c r="AA30" s="267">
        <v>32089000000</v>
      </c>
    </row>
    <row r="31" spans="1:27">
      <c r="A31" s="65" t="s">
        <v>215</v>
      </c>
      <c r="B31" s="65" t="s">
        <v>215</v>
      </c>
      <c r="C31" s="58" t="s">
        <v>486</v>
      </c>
      <c r="D31" s="210"/>
      <c r="E31" s="210"/>
      <c r="F31" s="210"/>
      <c r="G31" s="210"/>
      <c r="H31" s="210"/>
      <c r="I31" s="210"/>
      <c r="J31" s="210"/>
      <c r="K31" s="210"/>
      <c r="L31" s="210"/>
      <c r="M31" s="125">
        <v>846000000</v>
      </c>
      <c r="N31" s="125">
        <v>896400000</v>
      </c>
      <c r="O31" s="125">
        <v>1292000000</v>
      </c>
      <c r="P31" s="125">
        <v>1147000000</v>
      </c>
      <c r="Q31" s="1692">
        <v>1471000000</v>
      </c>
      <c r="R31" s="1692">
        <v>1578000000</v>
      </c>
      <c r="S31" s="1692">
        <v>1612000000</v>
      </c>
      <c r="T31" s="269">
        <v>1768000000</v>
      </c>
      <c r="U31" s="269">
        <v>1517000000</v>
      </c>
      <c r="V31" s="269">
        <v>1955000000</v>
      </c>
      <c r="W31" s="269">
        <v>1819000000</v>
      </c>
      <c r="X31" s="269">
        <v>1822000000</v>
      </c>
      <c r="Y31" s="269">
        <v>1955000000</v>
      </c>
      <c r="Z31" s="269">
        <v>2096000000</v>
      </c>
      <c r="AA31" s="267">
        <v>2247000000</v>
      </c>
    </row>
    <row r="32" spans="1:27">
      <c r="A32" s="65" t="s">
        <v>2540</v>
      </c>
      <c r="B32" s="65" t="s">
        <v>4412</v>
      </c>
      <c r="C32" s="58" t="s">
        <v>486</v>
      </c>
      <c r="D32" s="210"/>
      <c r="E32" s="210"/>
      <c r="F32" s="210"/>
      <c r="G32" s="210"/>
      <c r="H32" s="210"/>
      <c r="I32" s="210"/>
      <c r="J32" s="210"/>
      <c r="K32" s="210"/>
      <c r="L32" s="210"/>
      <c r="M32" s="125">
        <v>17766000000</v>
      </c>
      <c r="N32" s="125">
        <v>15537600000.000002</v>
      </c>
      <c r="O32" s="125">
        <v>19380000000</v>
      </c>
      <c r="P32" s="125">
        <v>16005000000</v>
      </c>
      <c r="Q32" s="1692">
        <v>18461000000</v>
      </c>
      <c r="R32" s="1692">
        <v>18080000000</v>
      </c>
      <c r="S32" s="1692">
        <v>18937000000</v>
      </c>
      <c r="T32" s="269">
        <v>22064000000</v>
      </c>
      <c r="U32" s="269">
        <v>21818000000</v>
      </c>
      <c r="V32" s="269">
        <v>23677000000</v>
      </c>
      <c r="W32" s="269">
        <v>23885000000</v>
      </c>
      <c r="X32" s="269">
        <v>24251000000</v>
      </c>
      <c r="Y32" s="269">
        <v>25995000000</v>
      </c>
      <c r="Z32" s="269">
        <v>27865000000</v>
      </c>
      <c r="AA32" s="267">
        <v>29842000000</v>
      </c>
    </row>
    <row r="33" spans="1:27">
      <c r="A33" s="64" t="s">
        <v>806</v>
      </c>
      <c r="B33" s="64" t="s">
        <v>1184</v>
      </c>
      <c r="C33" s="58" t="s">
        <v>204</v>
      </c>
      <c r="D33" s="210"/>
      <c r="E33" s="210"/>
      <c r="F33" s="210"/>
      <c r="G33" s="210"/>
      <c r="H33" s="210"/>
      <c r="I33" s="210"/>
      <c r="J33" s="210"/>
      <c r="K33" s="210"/>
      <c r="L33" s="210"/>
      <c r="M33" s="125">
        <v>12690000000</v>
      </c>
      <c r="N33" s="125">
        <v>13446000000</v>
      </c>
      <c r="O33" s="125">
        <v>14212000000.000002</v>
      </c>
      <c r="P33" s="125">
        <v>15391000000</v>
      </c>
      <c r="Q33" s="1692">
        <v>17505000000</v>
      </c>
      <c r="R33" s="1692">
        <v>19250000000</v>
      </c>
      <c r="S33" s="1692">
        <v>24199000000</v>
      </c>
      <c r="T33" s="269">
        <v>25022000000</v>
      </c>
      <c r="U33" s="269">
        <v>27392000000</v>
      </c>
      <c r="V33" s="269">
        <v>29550000000</v>
      </c>
      <c r="W33" s="269">
        <v>31106000000</v>
      </c>
      <c r="X33" s="269">
        <v>33048000000</v>
      </c>
      <c r="Y33" s="269">
        <v>35464000000</v>
      </c>
      <c r="Z33" s="269">
        <v>38015000000</v>
      </c>
      <c r="AA33" s="267">
        <v>40750000000</v>
      </c>
    </row>
    <row r="34" spans="1:27">
      <c r="A34" s="64" t="s">
        <v>4413</v>
      </c>
      <c r="B34" s="64" t="s">
        <v>4413</v>
      </c>
      <c r="C34" s="58" t="s">
        <v>204</v>
      </c>
      <c r="D34" s="210"/>
      <c r="E34" s="210"/>
      <c r="F34" s="210"/>
      <c r="G34" s="210"/>
      <c r="H34" s="210"/>
      <c r="I34" s="210"/>
      <c r="J34" s="210"/>
      <c r="K34" s="210"/>
      <c r="L34" s="210"/>
      <c r="M34" s="125">
        <v>0</v>
      </c>
      <c r="N34" s="125">
        <v>0</v>
      </c>
      <c r="O34" s="125">
        <v>0</v>
      </c>
      <c r="P34" s="125">
        <v>0</v>
      </c>
      <c r="Q34" s="1692">
        <v>0</v>
      </c>
      <c r="R34" s="1692">
        <v>0</v>
      </c>
      <c r="S34" s="1692">
        <v>0</v>
      </c>
      <c r="T34" s="269">
        <v>0</v>
      </c>
      <c r="U34" s="269">
        <v>0</v>
      </c>
      <c r="V34" s="269">
        <v>700000000</v>
      </c>
      <c r="W34" s="269">
        <v>1300000000</v>
      </c>
      <c r="X34" s="269">
        <v>1500000000</v>
      </c>
      <c r="Y34" s="269">
        <v>1500000000</v>
      </c>
      <c r="Z34" s="269">
        <v>1500000000</v>
      </c>
      <c r="AA34" s="267">
        <v>1500000000</v>
      </c>
    </row>
    <row r="35" spans="1:27">
      <c r="A35" t="s">
        <v>76</v>
      </c>
      <c r="B35" s="58" t="s">
        <v>1019</v>
      </c>
      <c r="C35" s="58"/>
      <c r="D35" s="210"/>
      <c r="E35" s="210"/>
      <c r="F35" s="210"/>
      <c r="G35" s="210"/>
      <c r="H35" s="210"/>
      <c r="I35" s="210"/>
      <c r="J35" s="210"/>
      <c r="K35" s="210"/>
      <c r="L35" s="210"/>
      <c r="M35" s="125">
        <v>-2256000000</v>
      </c>
      <c r="N35" s="125">
        <v>-1494000000</v>
      </c>
      <c r="O35" s="125">
        <v>-1615000000</v>
      </c>
      <c r="P35" s="125">
        <v>3378000000</v>
      </c>
      <c r="Q35" s="1692">
        <v>-1662000000</v>
      </c>
      <c r="R35" s="1692">
        <v>-3012000000</v>
      </c>
      <c r="S35" s="1692">
        <v>-6203000000</v>
      </c>
      <c r="T35" s="269">
        <v>-8815000000</v>
      </c>
      <c r="U35" s="269">
        <v>-8897000000</v>
      </c>
      <c r="V35" s="269">
        <v>-2761000000</v>
      </c>
      <c r="W35" s="269">
        <v>-3299000000</v>
      </c>
      <c r="X35" s="269">
        <v>-2773000000</v>
      </c>
      <c r="Y35" s="269">
        <v>-2839000000</v>
      </c>
      <c r="Z35" s="269">
        <v>-2935000000</v>
      </c>
      <c r="AA35" s="267">
        <v>-3012000000</v>
      </c>
    </row>
    <row r="36" spans="1:27">
      <c r="A36" s="58" t="s">
        <v>4414</v>
      </c>
      <c r="B36" s="58" t="s">
        <v>4414</v>
      </c>
      <c r="C36" s="58" t="s">
        <v>201</v>
      </c>
      <c r="D36" s="210">
        <v>883000000</v>
      </c>
      <c r="E36" s="210">
        <v>735000000</v>
      </c>
      <c r="F36" s="210"/>
      <c r="G36" s="210"/>
      <c r="H36" s="210"/>
      <c r="I36" s="210"/>
      <c r="J36" s="210"/>
      <c r="K36" s="210"/>
      <c r="L36" s="210"/>
      <c r="M36" s="210"/>
      <c r="N36" s="210"/>
      <c r="O36" s="210"/>
      <c r="P36" s="210"/>
      <c r="Q36" s="509"/>
      <c r="R36" s="509"/>
      <c r="S36" s="509"/>
      <c r="T36" s="269"/>
      <c r="U36" s="269"/>
      <c r="V36" s="269"/>
      <c r="W36" s="269"/>
      <c r="X36" s="269"/>
      <c r="Y36" s="269"/>
      <c r="Z36" s="269"/>
      <c r="AA36" s="267"/>
    </row>
    <row r="37" spans="1:27">
      <c r="A37" t="s">
        <v>237</v>
      </c>
      <c r="B37" s="58" t="s">
        <v>4415</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692">
        <v>11161000000</v>
      </c>
      <c r="R37" s="1692">
        <v>9528000000</v>
      </c>
      <c r="S37" s="1692">
        <v>5942000000</v>
      </c>
      <c r="T37" s="269">
        <v>5793000000</v>
      </c>
      <c r="U37" s="269">
        <v>6945000000</v>
      </c>
      <c r="V37" s="269">
        <v>12713000000</v>
      </c>
      <c r="W37" s="269">
        <v>12420000000</v>
      </c>
      <c r="X37" s="269">
        <v>12905000000</v>
      </c>
      <c r="Y37" s="269">
        <v>13848000000</v>
      </c>
      <c r="Z37" s="269">
        <v>14845000000</v>
      </c>
      <c r="AA37" s="267">
        <v>15912000000</v>
      </c>
    </row>
    <row r="38" spans="1:27">
      <c r="A38" t="s">
        <v>244</v>
      </c>
      <c r="B38" s="58" t="s">
        <v>4416</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692"/>
      <c r="R38" s="1692"/>
      <c r="S38" s="1692"/>
      <c r="T38" s="269"/>
      <c r="U38" s="269"/>
      <c r="V38" s="269"/>
      <c r="W38" s="269"/>
      <c r="X38" s="269"/>
      <c r="Y38" s="269"/>
      <c r="Z38" s="269"/>
      <c r="AA38" s="267"/>
    </row>
    <row r="39" spans="1:27">
      <c r="A39" t="s">
        <v>76</v>
      </c>
      <c r="B39" s="58" t="s">
        <v>4417</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692">
        <v>-12823000000</v>
      </c>
      <c r="R39" s="1692">
        <v>-12540000000</v>
      </c>
      <c r="S39" s="1692">
        <v>-12145000000</v>
      </c>
      <c r="T39" s="269">
        <v>-14608000000</v>
      </c>
      <c r="U39" s="269">
        <v>-15843000000</v>
      </c>
      <c r="V39" s="269">
        <v>-15474000000</v>
      </c>
      <c r="W39" s="269">
        <v>-15719000000</v>
      </c>
      <c r="X39" s="269">
        <v>-15678000000</v>
      </c>
      <c r="Y39" s="269">
        <v>-16687000000</v>
      </c>
      <c r="Z39" s="269">
        <v>-17780000000</v>
      </c>
      <c r="AA39" s="267">
        <v>-18924000000</v>
      </c>
    </row>
    <row r="40" spans="1:27">
      <c r="A40" t="s">
        <v>76</v>
      </c>
      <c r="B40" s="58" t="s">
        <v>4418</v>
      </c>
      <c r="C40" s="58"/>
      <c r="D40" s="210"/>
      <c r="E40" s="210"/>
      <c r="F40" s="210"/>
      <c r="G40" s="210"/>
      <c r="H40" s="210"/>
      <c r="I40" s="210"/>
      <c r="J40" s="210"/>
      <c r="K40" s="210"/>
      <c r="L40" s="210"/>
      <c r="M40" s="125">
        <v>4512000000</v>
      </c>
      <c r="N40" s="210">
        <v>597600000</v>
      </c>
      <c r="O40" s="125">
        <v>2260999999.9999995</v>
      </c>
      <c r="P40" s="125">
        <v>-927000000</v>
      </c>
      <c r="Q40" s="1692">
        <v>786000000</v>
      </c>
      <c r="R40" s="1692">
        <v>-3875000000</v>
      </c>
      <c r="S40" s="1692">
        <v>-1382000000</v>
      </c>
      <c r="T40" s="269">
        <v>-490000000</v>
      </c>
      <c r="U40" s="269">
        <v>858000000</v>
      </c>
      <c r="V40" s="269">
        <v>-47000000</v>
      </c>
      <c r="W40" s="269">
        <v>20000000</v>
      </c>
      <c r="X40" s="269">
        <v>42000000</v>
      </c>
      <c r="Y40" s="269">
        <v>42000000</v>
      </c>
      <c r="Z40" s="269">
        <v>0</v>
      </c>
      <c r="AA40" s="267">
        <v>0</v>
      </c>
    </row>
    <row r="41" spans="1:27">
      <c r="A41" t="s">
        <v>76</v>
      </c>
      <c r="B41" s="58" t="s">
        <v>4419</v>
      </c>
      <c r="C41" s="58"/>
      <c r="D41" s="210"/>
      <c r="E41" s="210"/>
      <c r="F41" s="210"/>
      <c r="G41" s="210"/>
      <c r="H41" s="210"/>
      <c r="I41" s="210"/>
      <c r="J41" s="210"/>
      <c r="K41" s="210"/>
      <c r="L41" s="210"/>
      <c r="M41" s="125">
        <v>5640000000</v>
      </c>
      <c r="N41" s="210">
        <v>2988000000</v>
      </c>
      <c r="O41" s="125">
        <v>6460000000</v>
      </c>
      <c r="P41" s="125"/>
      <c r="Q41" s="1692"/>
      <c r="R41" s="1692"/>
      <c r="S41" s="1692"/>
      <c r="T41" s="269">
        <v>-15098000000</v>
      </c>
      <c r="U41" s="269">
        <v>-14984000000</v>
      </c>
      <c r="V41" s="269">
        <v>-15521000000</v>
      </c>
      <c r="W41" s="269">
        <v>-15699000000</v>
      </c>
      <c r="X41" s="269">
        <v>-15636000000</v>
      </c>
      <c r="Y41" s="269">
        <v>-16645000000</v>
      </c>
      <c r="Z41" s="269">
        <v>-17780000000</v>
      </c>
      <c r="AA41" s="267">
        <v>-18924000000</v>
      </c>
    </row>
    <row r="42" spans="1:27">
      <c r="A42" t="s">
        <v>76</v>
      </c>
      <c r="B42" s="58" t="s">
        <v>4420</v>
      </c>
      <c r="C42" s="58"/>
      <c r="D42" s="210"/>
      <c r="E42" s="210"/>
      <c r="F42" s="210"/>
      <c r="G42" s="210"/>
      <c r="H42" s="210"/>
      <c r="I42" s="210"/>
      <c r="J42" s="210"/>
      <c r="K42" s="210"/>
      <c r="L42" s="210"/>
      <c r="M42" s="125">
        <v>-1128000000</v>
      </c>
      <c r="N42" s="210">
        <v>-2689200000</v>
      </c>
      <c r="O42" s="125">
        <v>-4199000000</v>
      </c>
      <c r="P42" s="125"/>
      <c r="Q42" s="1692"/>
      <c r="R42" s="1692"/>
      <c r="S42" s="1692"/>
      <c r="T42" s="269"/>
      <c r="U42" s="269"/>
      <c r="V42" s="269"/>
      <c r="W42" s="269"/>
      <c r="X42" s="269"/>
      <c r="Y42" s="269"/>
      <c r="Z42" s="269"/>
      <c r="AA42" s="267"/>
    </row>
    <row r="43" spans="1:27">
      <c r="A43" t="s">
        <v>76</v>
      </c>
      <c r="B43" s="58" t="s">
        <v>4421</v>
      </c>
      <c r="C43" s="58"/>
      <c r="D43" s="210"/>
      <c r="E43" s="210"/>
      <c r="F43" s="210"/>
      <c r="G43" s="210"/>
      <c r="H43" s="210"/>
      <c r="I43" s="210"/>
      <c r="J43" s="210"/>
      <c r="K43" s="210"/>
      <c r="L43" s="210"/>
      <c r="M43" s="125">
        <v>-5640000000</v>
      </c>
      <c r="N43" s="210">
        <v>-8964000000</v>
      </c>
      <c r="O43" s="125">
        <v>-8074999999.999999</v>
      </c>
      <c r="P43" s="125">
        <v>-7269000000</v>
      </c>
      <c r="Q43" s="1692">
        <v>-12037000000</v>
      </c>
      <c r="R43" s="1692">
        <v>-16415000000</v>
      </c>
      <c r="S43" s="1692">
        <v>-13527000000</v>
      </c>
      <c r="T43" s="269"/>
      <c r="U43" s="269"/>
      <c r="V43" s="269"/>
      <c r="W43" s="269"/>
      <c r="X43" s="269"/>
      <c r="Y43" s="269"/>
      <c r="Z43" s="269"/>
      <c r="AA43" s="267"/>
    </row>
    <row r="44" spans="1:27">
      <c r="A44" t="s">
        <v>76</v>
      </c>
      <c r="B44" s="58" t="s">
        <v>4422</v>
      </c>
      <c r="C44" s="58"/>
      <c r="D44" s="210"/>
      <c r="E44" s="210"/>
      <c r="F44" s="210"/>
      <c r="G44" s="210"/>
      <c r="H44" s="210"/>
      <c r="I44" s="210"/>
      <c r="J44" s="210"/>
      <c r="K44" s="210"/>
      <c r="L44" s="210"/>
      <c r="M44" s="125">
        <v>846000000</v>
      </c>
      <c r="N44" s="210">
        <v>-298800000</v>
      </c>
      <c r="O44" s="125">
        <v>2907000000</v>
      </c>
      <c r="P44" s="125">
        <v>952000000</v>
      </c>
      <c r="Q44" s="1692">
        <v>4945000000</v>
      </c>
      <c r="R44" s="1692">
        <v>599000000</v>
      </c>
      <c r="S44" s="1692">
        <v>1224000000</v>
      </c>
      <c r="T44" s="269">
        <v>-380000000</v>
      </c>
      <c r="U44" s="269">
        <v>922000000</v>
      </c>
      <c r="V44" s="269">
        <v>5514000000</v>
      </c>
      <c r="W44" s="269">
        <v>7041000000</v>
      </c>
      <c r="X44" s="269">
        <v>1762000000</v>
      </c>
      <c r="Y44" s="269">
        <v>1781000000</v>
      </c>
      <c r="Z44" s="269">
        <v>1800000000</v>
      </c>
      <c r="AA44" s="267">
        <v>1672000000</v>
      </c>
    </row>
    <row r="45" spans="1:27">
      <c r="A45" t="s">
        <v>76</v>
      </c>
      <c r="B45" s="58" t="s">
        <v>1204</v>
      </c>
      <c r="C45" s="58"/>
      <c r="D45" s="210"/>
      <c r="E45" s="210"/>
      <c r="F45" s="210"/>
      <c r="G45" s="210"/>
      <c r="H45" s="210"/>
      <c r="I45" s="210"/>
      <c r="J45" s="210"/>
      <c r="K45" s="210"/>
      <c r="L45" s="210"/>
      <c r="M45" s="125">
        <v>846000000</v>
      </c>
      <c r="N45" s="210">
        <v>0</v>
      </c>
      <c r="O45" s="125">
        <v>2907000000</v>
      </c>
      <c r="P45" s="125">
        <v>1406000000</v>
      </c>
      <c r="Q45" s="1692">
        <v>5265000000</v>
      </c>
      <c r="R45" s="1692">
        <v>978000000</v>
      </c>
      <c r="S45" s="1692">
        <v>1804000000</v>
      </c>
      <c r="T45" s="269">
        <v>13000000</v>
      </c>
      <c r="U45" s="269">
        <v>1300000000</v>
      </c>
      <c r="V45" s="269">
        <v>6150000000</v>
      </c>
      <c r="W45" s="269">
        <v>7521000000</v>
      </c>
      <c r="X45" s="269">
        <v>2412000000</v>
      </c>
      <c r="Y45" s="269">
        <v>2478000000</v>
      </c>
      <c r="Z45" s="269">
        <v>2548000000</v>
      </c>
      <c r="AA45" s="267">
        <v>2620000000</v>
      </c>
    </row>
    <row r="46" spans="1:27">
      <c r="A46" t="s">
        <v>76</v>
      </c>
      <c r="B46" s="58" t="s">
        <v>4423</v>
      </c>
      <c r="C46" s="58"/>
      <c r="D46" s="210"/>
      <c r="E46" s="210"/>
      <c r="F46" s="210"/>
      <c r="G46" s="210"/>
      <c r="H46" s="210"/>
      <c r="I46" s="210"/>
      <c r="J46" s="210"/>
      <c r="K46" s="210"/>
      <c r="L46" s="210"/>
      <c r="M46" s="125">
        <v>0</v>
      </c>
      <c r="N46" s="210">
        <v>0</v>
      </c>
      <c r="O46" s="125">
        <v>2260999999.9999995</v>
      </c>
      <c r="P46" s="125">
        <v>144000000</v>
      </c>
      <c r="Q46" s="1692">
        <v>5112000000</v>
      </c>
      <c r="R46" s="1692">
        <v>833000000</v>
      </c>
      <c r="S46" s="1692">
        <v>-246000000</v>
      </c>
      <c r="T46" s="269">
        <v>-2227000000</v>
      </c>
      <c r="U46" s="269">
        <v>61000000</v>
      </c>
      <c r="V46" s="269">
        <v>-34000000</v>
      </c>
      <c r="W46" s="269">
        <v>806000000</v>
      </c>
      <c r="X46" s="269">
        <v>780000000</v>
      </c>
      <c r="Y46" s="269">
        <v>780000000</v>
      </c>
      <c r="Z46" s="269">
        <v>780000000</v>
      </c>
      <c r="AA46" s="267">
        <v>780000000</v>
      </c>
    </row>
    <row r="47" spans="1:27">
      <c r="A47" t="s">
        <v>76</v>
      </c>
      <c r="B47" s="58" t="s">
        <v>4424</v>
      </c>
      <c r="C47" s="58"/>
      <c r="D47" s="210"/>
      <c r="E47" s="210"/>
      <c r="F47" s="210"/>
      <c r="G47" s="210"/>
      <c r="H47" s="210"/>
      <c r="I47" s="210"/>
      <c r="J47" s="210"/>
      <c r="K47" s="210"/>
      <c r="L47" s="210"/>
      <c r="M47" s="125">
        <v>0</v>
      </c>
      <c r="N47" s="210">
        <v>-597600000</v>
      </c>
      <c r="O47" s="125">
        <v>-323000000</v>
      </c>
      <c r="P47" s="125">
        <v>-454000000</v>
      </c>
      <c r="Q47" s="1692">
        <v>-320000000</v>
      </c>
      <c r="R47" s="1692">
        <v>-379000000</v>
      </c>
      <c r="S47" s="1692">
        <v>-580000000</v>
      </c>
      <c r="T47" s="269">
        <v>-393000000</v>
      </c>
      <c r="U47" s="269">
        <v>-378000000</v>
      </c>
      <c r="V47" s="269">
        <v>-636000000</v>
      </c>
      <c r="W47" s="269">
        <v>-480000000</v>
      </c>
      <c r="X47" s="269">
        <v>-650000000</v>
      </c>
      <c r="Y47" s="269">
        <v>-698000000</v>
      </c>
      <c r="Z47" s="269">
        <v>-748000000</v>
      </c>
      <c r="AA47" s="267">
        <v>-948000000</v>
      </c>
    </row>
    <row r="48" spans="1:27" s="848" customFormat="1">
      <c r="A48" s="848" t="s">
        <v>592</v>
      </c>
      <c r="B48" s="1063" t="s">
        <v>4425</v>
      </c>
      <c r="C48" s="1063" t="s">
        <v>35</v>
      </c>
      <c r="D48" s="1556">
        <v>4310000000</v>
      </c>
      <c r="E48" s="1556">
        <v>7139000000</v>
      </c>
      <c r="F48" s="1556">
        <v>8299000000</v>
      </c>
      <c r="G48" s="1556">
        <f>G49+G52</f>
        <v>9386000000</v>
      </c>
      <c r="H48" s="1556">
        <f>H49+H52</f>
        <v>9922000000</v>
      </c>
      <c r="I48" s="1556">
        <v>10058000000</v>
      </c>
      <c r="J48" s="1556">
        <f>J49+J52</f>
        <v>10896032000</v>
      </c>
      <c r="K48" s="1556">
        <f>K49+K52</f>
        <v>9409345999.9999981</v>
      </c>
      <c r="L48" s="1159">
        <v>9305574000</v>
      </c>
      <c r="M48" s="1556">
        <f>M49+M52</f>
        <v>13536000000</v>
      </c>
      <c r="N48" s="1556">
        <f>N49+N52</f>
        <v>8964000000</v>
      </c>
      <c r="O48" s="1556">
        <f>O49+O52</f>
        <v>10982000000</v>
      </c>
      <c r="P48" s="1159">
        <v>8221000000</v>
      </c>
      <c r="Q48" s="1557">
        <v>16982000000</v>
      </c>
      <c r="R48" s="1557">
        <v>17014000000</v>
      </c>
      <c r="S48" s="1691">
        <v>14751000000</v>
      </c>
      <c r="T48" s="1348">
        <v>14718000000</v>
      </c>
      <c r="U48" s="1348">
        <v>15906000000</v>
      </c>
      <c r="V48" s="1348">
        <v>21035000000</v>
      </c>
      <c r="W48" s="1348">
        <v>22740000000</v>
      </c>
      <c r="X48" s="1348">
        <v>17398000000</v>
      </c>
      <c r="Y48" s="1534">
        <v>18426000000</v>
      </c>
      <c r="Z48" s="1534">
        <v>19580000000</v>
      </c>
      <c r="AA48" s="1348">
        <v>20596000000</v>
      </c>
    </row>
    <row r="49" spans="1:27">
      <c r="A49" t="s">
        <v>120</v>
      </c>
      <c r="B49" s="58" t="s">
        <v>209</v>
      </c>
      <c r="C49" s="58" t="s">
        <v>252</v>
      </c>
      <c r="D49" s="210">
        <v>3815000000</v>
      </c>
      <c r="E49" s="210">
        <v>5652000000</v>
      </c>
      <c r="F49" s="210">
        <v>7269000000</v>
      </c>
      <c r="G49" s="300">
        <f>G50+G51</f>
        <v>9299000000</v>
      </c>
      <c r="H49" s="300">
        <f>H50+H51</f>
        <v>10408000000</v>
      </c>
      <c r="I49" s="210">
        <v>9620000000</v>
      </c>
      <c r="J49" s="300">
        <f>J50+J51</f>
        <v>12063464000</v>
      </c>
      <c r="K49" s="125">
        <v>7439947999.999999</v>
      </c>
      <c r="L49" s="125">
        <v>7293558000</v>
      </c>
      <c r="M49" s="125">
        <v>8459999999.999999</v>
      </c>
      <c r="N49" s="887">
        <f>N50+N51</f>
        <v>3286800000</v>
      </c>
      <c r="O49" s="125">
        <v>5168000000</v>
      </c>
      <c r="P49" s="125">
        <v>5092000000</v>
      </c>
      <c r="Q49" s="1692">
        <v>6390000000</v>
      </c>
      <c r="R49" s="1692">
        <v>9551000000</v>
      </c>
      <c r="S49" s="1694"/>
      <c r="T49" s="269">
        <v>9530000000</v>
      </c>
      <c r="U49" s="269">
        <v>21151000000</v>
      </c>
      <c r="V49" s="269">
        <v>21787000000</v>
      </c>
      <c r="W49" s="269">
        <v>24634000000</v>
      </c>
      <c r="X49" s="269">
        <v>17393000000</v>
      </c>
      <c r="Y49" s="269">
        <v>21597000000</v>
      </c>
      <c r="Z49" s="269">
        <v>23419000000</v>
      </c>
      <c r="AA49" s="267">
        <v>24903000000</v>
      </c>
    </row>
    <row r="50" spans="1:27">
      <c r="A50" s="64" t="s">
        <v>4426</v>
      </c>
      <c r="B50" s="64" t="s">
        <v>4426</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692">
        <v>8011000000</v>
      </c>
      <c r="R50" s="1692">
        <v>10012000000</v>
      </c>
      <c r="S50" s="1692"/>
      <c r="T50" s="269">
        <v>3177000000</v>
      </c>
      <c r="U50" s="269">
        <v>7050000000</v>
      </c>
      <c r="V50" s="269">
        <v>7262000000</v>
      </c>
      <c r="W50" s="269">
        <v>8211000000</v>
      </c>
      <c r="X50" s="269">
        <v>5798000000</v>
      </c>
      <c r="Y50" s="269">
        <v>7199000000</v>
      </c>
      <c r="Z50" s="269">
        <v>7806000000</v>
      </c>
      <c r="AA50" s="267">
        <v>8301000000</v>
      </c>
    </row>
    <row r="51" spans="1:27">
      <c r="A51" s="64" t="s">
        <v>597</v>
      </c>
      <c r="B51" s="64" t="s">
        <v>597</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692">
        <v>-1621000000</v>
      </c>
      <c r="R51" s="1692">
        <v>-462000000</v>
      </c>
      <c r="S51" s="1692"/>
      <c r="T51" s="269">
        <v>6353000000</v>
      </c>
      <c r="U51" s="269">
        <v>14101000000</v>
      </c>
      <c r="V51" s="269">
        <v>14525000000</v>
      </c>
      <c r="W51" s="269">
        <v>16423000000</v>
      </c>
      <c r="X51" s="269">
        <v>11595000000</v>
      </c>
      <c r="Y51" s="269">
        <v>14398000000</v>
      </c>
      <c r="Z51" s="269">
        <v>15613000000</v>
      </c>
      <c r="AA51" s="267">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19">
        <f>K53+K54</f>
        <v>1969397999.9999995</v>
      </c>
      <c r="L52" s="125">
        <v>2012016000</v>
      </c>
      <c r="M52" s="125">
        <v>5076000000</v>
      </c>
      <c r="N52" s="125">
        <v>5677200000</v>
      </c>
      <c r="O52" s="894">
        <f>O53+O54</f>
        <v>5814000000</v>
      </c>
      <c r="P52" s="125">
        <v>3129000000</v>
      </c>
      <c r="Q52" s="1692">
        <v>10592000000</v>
      </c>
      <c r="R52" s="1692">
        <v>7463000000</v>
      </c>
      <c r="S52" s="1692"/>
      <c r="T52" s="269">
        <v>5188000000</v>
      </c>
      <c r="U52" s="269">
        <v>-5245000000</v>
      </c>
      <c r="V52" s="269">
        <v>-752000000</v>
      </c>
      <c r="W52" s="269">
        <v>-1894000000</v>
      </c>
      <c r="X52" s="269">
        <v>5000000</v>
      </c>
      <c r="Y52" s="269">
        <v>-3170000000</v>
      </c>
      <c r="Z52" s="269">
        <v>-3839000000</v>
      </c>
      <c r="AA52" s="267">
        <v>-4308000000</v>
      </c>
    </row>
    <row r="53" spans="1:27">
      <c r="A53" s="64" t="s">
        <v>415</v>
      </c>
      <c r="B53" s="64" t="s">
        <v>415</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692">
        <v>11682000000</v>
      </c>
      <c r="R53" s="1692">
        <v>10295000000</v>
      </c>
      <c r="S53" s="1692"/>
      <c r="T53" s="269">
        <v>7775000000</v>
      </c>
      <c r="U53" s="269">
        <v>1455000000</v>
      </c>
      <c r="V53" s="269">
        <v>2348000000</v>
      </c>
      <c r="W53" s="269">
        <v>2406000000</v>
      </c>
      <c r="X53" s="269">
        <v>4605000000</v>
      </c>
      <c r="Y53" s="269">
        <v>2230000000</v>
      </c>
      <c r="Z53" s="269">
        <v>1561000000</v>
      </c>
      <c r="AA53" s="267">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692">
        <v>-1090000000</v>
      </c>
      <c r="R54" s="1692">
        <v>-2832000000</v>
      </c>
      <c r="S54" s="1692"/>
      <c r="T54" s="269">
        <v>-2587000000</v>
      </c>
      <c r="U54" s="269">
        <v>-6700000000</v>
      </c>
      <c r="V54" s="269">
        <v>-3100000000</v>
      </c>
      <c r="W54" s="269">
        <v>-4300000000</v>
      </c>
      <c r="X54" s="269">
        <v>-4600000000</v>
      </c>
      <c r="Y54" s="269">
        <v>-5400000000</v>
      </c>
      <c r="Z54" s="269">
        <v>-5400000000</v>
      </c>
      <c r="AA54" s="267">
        <v>-5400000000</v>
      </c>
    </row>
    <row r="55" spans="1:27">
      <c r="A55" s="64" t="s">
        <v>4427</v>
      </c>
      <c r="B55" s="64" t="s">
        <v>4428</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449</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450</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1207</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2221</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3209</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721</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457</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889">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1171</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7">
        <v>580000000000</v>
      </c>
      <c r="Z72" s="267">
        <v>622000000000</v>
      </c>
      <c r="AA72" s="267">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399" t="s">
        <v>3474</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W82"/>
  <sheetViews>
    <sheetView zoomScale="60" zoomScaleNormal="60" workbookViewId="0">
      <pane xSplit="3" ySplit="5" topLeftCell="R6" activePane="bottomRight" state="frozen"/>
      <selection pane="topRight" activeCell="R7" sqref="R7"/>
      <selection pane="bottomLeft" activeCell="R7" sqref="R7"/>
      <selection pane="bottomRight" activeCell="W23" sqref="W23"/>
    </sheetView>
  </sheetViews>
  <sheetFormatPr defaultRowHeight="15.75"/>
  <cols>
    <col min="1" max="1" width="44.5703125" style="972" bestFit="1" customWidth="1"/>
    <col min="2" max="2" width="95.140625" style="972" bestFit="1" customWidth="1"/>
    <col min="3" max="3" width="24.5703125" style="972" bestFit="1" customWidth="1"/>
    <col min="4" max="8" width="16.42578125" style="972" customWidth="1"/>
    <col min="9" max="9" width="24" style="972" bestFit="1" customWidth="1"/>
    <col min="10" max="14" width="25.28515625" style="972" bestFit="1" customWidth="1"/>
    <col min="15" max="15" width="29.85546875" style="972" bestFit="1" customWidth="1"/>
    <col min="16" max="16" width="30.28515625" style="972" bestFit="1" customWidth="1"/>
    <col min="17" max="18" width="29.85546875" style="972" bestFit="1" customWidth="1"/>
    <col min="19" max="20" width="30.28515625" style="972" bestFit="1" customWidth="1"/>
    <col min="21" max="22" width="29.28515625" style="972" bestFit="1" customWidth="1"/>
    <col min="23" max="23" width="25.42578125" style="972" bestFit="1" customWidth="1"/>
  </cols>
  <sheetData>
    <row r="1" spans="1:23">
      <c r="A1" s="1128" t="s">
        <v>4429</v>
      </c>
      <c r="B1" s="967" t="s">
        <v>4430</v>
      </c>
      <c r="C1" s="967"/>
      <c r="D1" s="968"/>
      <c r="E1" s="968"/>
      <c r="F1" s="968"/>
      <c r="G1" s="968"/>
      <c r="H1" s="968"/>
      <c r="I1" s="968"/>
      <c r="J1" s="968"/>
      <c r="K1" s="968"/>
      <c r="L1" s="968"/>
      <c r="M1" s="968"/>
      <c r="N1" s="968"/>
      <c r="O1" s="969"/>
      <c r="P1" s="969"/>
      <c r="Q1" s="969"/>
      <c r="R1" s="970"/>
      <c r="S1" s="969"/>
      <c r="T1" s="969"/>
      <c r="U1" s="969"/>
      <c r="V1"/>
      <c r="W1" s="969"/>
    </row>
    <row r="2" spans="1:23">
      <c r="B2" s="973" t="s">
        <v>4431</v>
      </c>
      <c r="C2" s="973"/>
      <c r="D2" s="969"/>
      <c r="E2" s="969"/>
      <c r="F2" s="969"/>
      <c r="G2" s="969"/>
      <c r="H2" s="969"/>
      <c r="I2" s="969"/>
      <c r="J2" s="969"/>
      <c r="K2" s="969"/>
      <c r="L2" s="969"/>
      <c r="M2" s="969"/>
      <c r="N2" s="969"/>
      <c r="O2" s="969"/>
      <c r="P2" s="969"/>
      <c r="Q2" s="1051"/>
      <c r="R2" s="1051"/>
      <c r="S2" s="1051"/>
      <c r="T2" s="1051"/>
      <c r="U2" s="1051"/>
      <c r="V2" s="1051"/>
      <c r="W2" s="1051"/>
    </row>
    <row r="3" spans="1:2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row>
    <row r="4" spans="1:2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row>
    <row r="5" spans="1:23">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9" t="s">
        <v>30</v>
      </c>
      <c r="Q5" s="969" t="s">
        <v>30</v>
      </c>
      <c r="R5" s="969" t="s">
        <v>30</v>
      </c>
      <c r="S5" s="969" t="s">
        <v>30</v>
      </c>
      <c r="T5" s="988" t="s">
        <v>30</v>
      </c>
      <c r="U5" s="988" t="s">
        <v>32</v>
      </c>
      <c r="V5" s="988" t="s">
        <v>32</v>
      </c>
      <c r="W5" s="988" t="s">
        <v>32</v>
      </c>
    </row>
    <row r="6" spans="1:23" s="848" customFormat="1">
      <c r="A6" s="1413" t="s">
        <v>33</v>
      </c>
      <c r="B6" s="1413" t="s">
        <v>4432</v>
      </c>
      <c r="C6" s="1012" t="s">
        <v>35</v>
      </c>
      <c r="D6" s="1020"/>
      <c r="E6" s="1020"/>
      <c r="F6" s="1020"/>
      <c r="G6" s="1020"/>
      <c r="H6" s="1020"/>
      <c r="I6" s="1652">
        <f t="shared" ref="I6:O6" si="0">I7+I22</f>
        <v>1941870000000</v>
      </c>
      <c r="J6" s="1652">
        <f t="shared" si="0"/>
        <v>2303028000000</v>
      </c>
      <c r="K6" s="1652">
        <f t="shared" si="0"/>
        <v>2534336000000</v>
      </c>
      <c r="L6" s="1652">
        <f t="shared" si="0"/>
        <v>3092704000000</v>
      </c>
      <c r="M6" s="1652">
        <f t="shared" si="0"/>
        <v>2839340000000</v>
      </c>
      <c r="N6" s="1652">
        <f t="shared" si="0"/>
        <v>2988450000000</v>
      </c>
      <c r="O6" s="1059">
        <f t="shared" si="0"/>
        <v>3448350000000</v>
      </c>
      <c r="P6" s="1059">
        <f t="shared" ref="P6" si="1">P7+P22</f>
        <v>3734853000000</v>
      </c>
      <c r="Q6" s="1055">
        <v>3906480000000</v>
      </c>
      <c r="R6" s="1055">
        <f>R7</f>
        <v>4035801000000</v>
      </c>
      <c r="S6" s="1055">
        <v>4207898999999.9995</v>
      </c>
      <c r="T6" s="1055">
        <f>T7</f>
        <v>4502400000000</v>
      </c>
      <c r="U6" s="1055">
        <v>4831640000000</v>
      </c>
      <c r="V6" s="1055">
        <v>4785784000000</v>
      </c>
      <c r="W6" s="1055">
        <f t="shared" ref="W6" si="2">W7+W22</f>
        <v>4778760000000</v>
      </c>
    </row>
    <row r="7" spans="1:23">
      <c r="A7" s="981" t="s">
        <v>159</v>
      </c>
      <c r="B7" s="981" t="s">
        <v>4433</v>
      </c>
      <c r="C7" s="982" t="s">
        <v>38</v>
      </c>
      <c r="D7" s="969"/>
      <c r="E7" s="969"/>
      <c r="F7" s="969"/>
      <c r="G7" s="969"/>
      <c r="H7" s="969"/>
      <c r="I7" s="1237">
        <f>I8+I15+I16</f>
        <v>1941870000000</v>
      </c>
      <c r="J7" s="1077">
        <v>2303028000000</v>
      </c>
      <c r="K7" s="1077">
        <v>2534336000000</v>
      </c>
      <c r="L7" s="1237">
        <f>L8+L15+L16</f>
        <v>3092704000000</v>
      </c>
      <c r="M7" s="1237">
        <f>M8+M15+M16</f>
        <v>2839340000000</v>
      </c>
      <c r="N7" s="1237">
        <f>N8+N15+N16</f>
        <v>2988450000000</v>
      </c>
      <c r="O7" s="1050">
        <v>3448350000000</v>
      </c>
      <c r="P7" s="1237">
        <v>3734853000000</v>
      </c>
      <c r="Q7" s="1237">
        <f>Q6</f>
        <v>3906480000000</v>
      </c>
      <c r="R7" s="1237">
        <f>R8+R15+R16</f>
        <v>4035801000000</v>
      </c>
      <c r="S7" s="1237">
        <f t="shared" ref="S7:V7" si="3">S6</f>
        <v>4207898999999.9995</v>
      </c>
      <c r="T7" s="1237">
        <f>T8+T15+T16</f>
        <v>4502400000000</v>
      </c>
      <c r="U7" s="1237">
        <f t="shared" si="3"/>
        <v>4831640000000</v>
      </c>
      <c r="V7" s="1237">
        <f t="shared" si="3"/>
        <v>4785784000000</v>
      </c>
      <c r="W7" s="1048">
        <v>4778760000000</v>
      </c>
    </row>
    <row r="8" spans="1:23">
      <c r="A8" s="981" t="s">
        <v>371</v>
      </c>
      <c r="B8" s="981" t="s">
        <v>371</v>
      </c>
      <c r="C8" s="981" t="s">
        <v>41</v>
      </c>
      <c r="D8" s="969"/>
      <c r="E8" s="969"/>
      <c r="F8" s="969"/>
      <c r="G8" s="969"/>
      <c r="H8" s="969"/>
      <c r="I8" s="1237">
        <f>I9+I10+I13+I14</f>
        <v>804489000000</v>
      </c>
      <c r="J8" s="1077">
        <v>933660000000</v>
      </c>
      <c r="K8" s="1077">
        <v>1052202000000</v>
      </c>
      <c r="L8" s="1237">
        <f>L9+L10+L13+L14</f>
        <v>1229776000000</v>
      </c>
      <c r="M8" s="1237">
        <f>M9+M10+M13+M14</f>
        <v>1157210000000</v>
      </c>
      <c r="N8" s="1237">
        <f>N9+N10+N13+N14</f>
        <v>1328200000000</v>
      </c>
      <c r="O8" s="1050">
        <v>1469550000000</v>
      </c>
      <c r="P8" s="1237">
        <v>1531446000000.0002</v>
      </c>
      <c r="Q8" s="1048">
        <v>1660254000000</v>
      </c>
      <c r="R8" s="1237">
        <f>R9+R10+R13+R14</f>
        <v>1851926000000</v>
      </c>
      <c r="S8" s="1048">
        <v>2354199000000</v>
      </c>
      <c r="T8" s="1048">
        <v>2713500000000</v>
      </c>
      <c r="U8" s="1048">
        <v>2767212000000</v>
      </c>
      <c r="V8" s="1048">
        <v>3008884000000</v>
      </c>
      <c r="W8" s="1048">
        <v>3049304000000</v>
      </c>
    </row>
    <row r="9" spans="1:23">
      <c r="A9" s="988" t="s">
        <v>3186</v>
      </c>
      <c r="B9" s="988" t="s">
        <v>3187</v>
      </c>
      <c r="C9" s="968" t="s">
        <v>44</v>
      </c>
      <c r="D9" s="969"/>
      <c r="E9" s="969"/>
      <c r="F9" s="969"/>
      <c r="G9" s="969"/>
      <c r="H9" s="969"/>
      <c r="I9" s="1050">
        <v>388374000000</v>
      </c>
      <c r="J9" s="1050">
        <v>446081999999.99994</v>
      </c>
      <c r="K9" s="1050">
        <v>531758000000.00006</v>
      </c>
      <c r="L9" s="1050">
        <v>633152000000</v>
      </c>
      <c r="M9" s="1050">
        <v>596500000000</v>
      </c>
      <c r="N9" s="1050">
        <v>677382000000</v>
      </c>
      <c r="O9" s="1050">
        <v>771150000000</v>
      </c>
      <c r="P9" s="1050">
        <v>796977000000</v>
      </c>
      <c r="Q9" s="1048">
        <v>944065999999.99988</v>
      </c>
      <c r="R9" s="1050">
        <v>960905000000</v>
      </c>
      <c r="S9" s="1048">
        <v>1223442000000</v>
      </c>
      <c r="T9" s="1048">
        <v>1427099999999.9998</v>
      </c>
      <c r="U9" s="1048">
        <v>1449492000000</v>
      </c>
      <c r="V9" s="1048">
        <v>1563672000000</v>
      </c>
      <c r="W9" s="1048">
        <v>1615676000000</v>
      </c>
    </row>
    <row r="10" spans="1:23">
      <c r="A10" s="988" t="s">
        <v>47</v>
      </c>
      <c r="B10" s="988" t="s">
        <v>2880</v>
      </c>
      <c r="C10" s="968" t="s">
        <v>44</v>
      </c>
      <c r="D10" s="969"/>
      <c r="E10" s="969"/>
      <c r="F10" s="969"/>
      <c r="G10" s="969"/>
      <c r="H10" s="969"/>
      <c r="I10" s="1051">
        <f>I11+I12</f>
        <v>360632999999.99994</v>
      </c>
      <c r="J10" s="1051">
        <f>J11+J12</f>
        <v>425334000000</v>
      </c>
      <c r="K10" s="1051">
        <f>K11+K12</f>
        <v>452560000000</v>
      </c>
      <c r="L10" s="1051">
        <f>L11+L12</f>
        <v>523568000000</v>
      </c>
      <c r="M10" s="1051">
        <f>M11+M12</f>
        <v>477200000000</v>
      </c>
      <c r="N10" s="1050">
        <v>584408000000</v>
      </c>
      <c r="O10" s="1050">
        <v>625650000000</v>
      </c>
      <c r="P10" s="1050">
        <v>671960999999.99988</v>
      </c>
      <c r="Q10" s="1048">
        <v>651080000000</v>
      </c>
      <c r="R10" s="1050">
        <v>821137000000</v>
      </c>
      <c r="S10" s="1048">
        <v>1056609000000</v>
      </c>
      <c r="T10" s="1048">
        <f>T11+T12</f>
        <v>1185900000000</v>
      </c>
      <c r="U10" s="1048">
        <v>1229871999999.9998</v>
      </c>
      <c r="V10" s="1048">
        <v>1350444000000</v>
      </c>
      <c r="W10" s="1048">
        <v>1342604000000</v>
      </c>
    </row>
    <row r="11" spans="1:23">
      <c r="A11" s="997" t="s">
        <v>161</v>
      </c>
      <c r="B11" s="997" t="s">
        <v>4434</v>
      </c>
      <c r="C11" s="981" t="s">
        <v>2358</v>
      </c>
      <c r="D11" s="969"/>
      <c r="E11" s="969"/>
      <c r="F11" s="969"/>
      <c r="G11" s="969"/>
      <c r="H11" s="969"/>
      <c r="I11" s="1050">
        <v>314397999999.99994</v>
      </c>
      <c r="J11" s="1050">
        <v>383838000000</v>
      </c>
      <c r="K11" s="1050">
        <v>407304000000</v>
      </c>
      <c r="L11" s="1050">
        <v>462688000000</v>
      </c>
      <c r="M11" s="1050">
        <v>405620000000</v>
      </c>
      <c r="N11" s="1050">
        <v>504715999999.99994</v>
      </c>
      <c r="O11" s="1050">
        <v>538350000000</v>
      </c>
      <c r="P11" s="1050">
        <v>578199000000.00012</v>
      </c>
      <c r="Q11" s="1048">
        <v>553418000000</v>
      </c>
      <c r="R11" s="1050">
        <v>663898000000</v>
      </c>
      <c r="S11" s="1048">
        <v>704406000000</v>
      </c>
      <c r="T11" s="1048">
        <v>783900000000</v>
      </c>
      <c r="U11" s="1048">
        <v>856518000000</v>
      </c>
      <c r="V11" s="1048">
        <v>923988000000</v>
      </c>
      <c r="W11" s="1048">
        <v>887484000000</v>
      </c>
    </row>
    <row r="12" spans="1:23">
      <c r="A12" s="997" t="s">
        <v>2077</v>
      </c>
      <c r="B12" s="997" t="s">
        <v>4435</v>
      </c>
      <c r="C12" s="981" t="s">
        <v>2358</v>
      </c>
      <c r="D12" s="969"/>
      <c r="E12" s="969"/>
      <c r="F12" s="969"/>
      <c r="G12" s="969"/>
      <c r="H12" s="969"/>
      <c r="I12" s="1050">
        <v>46235000000</v>
      </c>
      <c r="J12" s="1050">
        <v>41496000000</v>
      </c>
      <c r="K12" s="1050">
        <v>45256000000</v>
      </c>
      <c r="L12" s="1050">
        <v>60880000000</v>
      </c>
      <c r="M12" s="1050">
        <v>71580000000</v>
      </c>
      <c r="N12" s="1050">
        <v>79692000000</v>
      </c>
      <c r="O12" s="1050">
        <v>87300000000</v>
      </c>
      <c r="P12" s="1050">
        <v>93761999999.999985</v>
      </c>
      <c r="Q12" s="1048">
        <v>97662000000</v>
      </c>
      <c r="R12" s="1050">
        <v>157239000000.00003</v>
      </c>
      <c r="S12" s="1048">
        <v>352203000000</v>
      </c>
      <c r="T12" s="1048">
        <v>402000000000</v>
      </c>
      <c r="U12" s="1048">
        <v>373354000000</v>
      </c>
      <c r="V12" s="1048">
        <v>426456000000.00006</v>
      </c>
      <c r="W12" s="1048">
        <v>455120000000</v>
      </c>
    </row>
    <row r="13" spans="1:23">
      <c r="A13" s="988" t="s">
        <v>2448</v>
      </c>
      <c r="B13" s="988" t="s">
        <v>3191</v>
      </c>
      <c r="C13" s="968" t="s">
        <v>44</v>
      </c>
      <c r="D13" s="969"/>
      <c r="E13" s="969"/>
      <c r="F13" s="969"/>
      <c r="G13" s="969"/>
      <c r="H13" s="969"/>
      <c r="I13" s="1050">
        <v>27741000000</v>
      </c>
      <c r="J13" s="1050">
        <v>31121999999.999996</v>
      </c>
      <c r="K13" s="1050">
        <v>33942000000</v>
      </c>
      <c r="L13" s="1050">
        <v>36528000000</v>
      </c>
      <c r="M13" s="1050">
        <v>35790000000</v>
      </c>
      <c r="N13" s="1050">
        <v>26564000000</v>
      </c>
      <c r="O13" s="1061">
        <v>29100000000</v>
      </c>
      <c r="P13" s="1050">
        <v>31254000000</v>
      </c>
      <c r="Q13" s="1048">
        <v>32554000000</v>
      </c>
      <c r="R13" s="1050">
        <v>34942000000</v>
      </c>
      <c r="S13" s="1048">
        <v>37074000000</v>
      </c>
      <c r="T13" s="1048">
        <v>60300000000</v>
      </c>
      <c r="U13" s="1048">
        <v>43924000000</v>
      </c>
      <c r="V13" s="1048">
        <v>47384000000</v>
      </c>
      <c r="W13" s="1048">
        <v>45512000000</v>
      </c>
    </row>
    <row r="14" spans="1:23">
      <c r="A14" s="988" t="s">
        <v>49</v>
      </c>
      <c r="B14" s="988" t="s">
        <v>4082</v>
      </c>
      <c r="C14" s="968" t="s">
        <v>44</v>
      </c>
      <c r="D14" s="969"/>
      <c r="E14" s="969"/>
      <c r="F14" s="969"/>
      <c r="G14" s="969"/>
      <c r="H14" s="969"/>
      <c r="I14" s="1051">
        <v>27741000000</v>
      </c>
      <c r="J14" s="1051">
        <v>31121999999.999996</v>
      </c>
      <c r="K14" s="1051">
        <v>33942000000</v>
      </c>
      <c r="L14" s="1051">
        <v>36528000000</v>
      </c>
      <c r="M14" s="1051">
        <v>47720000000</v>
      </c>
      <c r="N14" s="1050">
        <v>39846000000</v>
      </c>
      <c r="O14" s="1050">
        <v>43650000000</v>
      </c>
      <c r="P14" s="1050">
        <v>31254000000</v>
      </c>
      <c r="Q14" s="1048">
        <v>32554000000</v>
      </c>
      <c r="R14" s="1050">
        <v>34942000000</v>
      </c>
      <c r="S14" s="1048">
        <v>37074000000</v>
      </c>
      <c r="T14" s="1048">
        <v>40200000000</v>
      </c>
      <c r="U14" s="1048">
        <v>43924000000</v>
      </c>
      <c r="V14" s="1048">
        <v>47384000000</v>
      </c>
      <c r="W14" s="1048">
        <v>45512000000</v>
      </c>
    </row>
    <row r="15" spans="1:23">
      <c r="A15" s="981" t="s">
        <v>558</v>
      </c>
      <c r="B15" s="981" t="s">
        <v>1713</v>
      </c>
      <c r="C15" s="981" t="s">
        <v>41</v>
      </c>
      <c r="D15" s="969"/>
      <c r="E15" s="969"/>
      <c r="F15" s="969"/>
      <c r="G15" s="969"/>
      <c r="H15" s="969"/>
      <c r="I15" s="1051"/>
      <c r="J15" s="1051"/>
      <c r="K15" s="1051"/>
      <c r="L15" s="1051"/>
      <c r="M15" s="1051"/>
      <c r="N15" s="1050">
        <v>225793999999.99997</v>
      </c>
      <c r="O15" s="1050">
        <v>247350000000</v>
      </c>
      <c r="P15" s="1050">
        <v>281286000000</v>
      </c>
      <c r="Q15" s="2662">
        <v>276709000000</v>
      </c>
      <c r="R15" s="1050">
        <v>297007000000</v>
      </c>
      <c r="S15" s="1048">
        <v>315129000000</v>
      </c>
      <c r="T15" s="1048">
        <v>321600000000</v>
      </c>
      <c r="U15" s="1048">
        <v>329430000000</v>
      </c>
      <c r="V15" s="1048">
        <v>355380000000</v>
      </c>
      <c r="W15" s="1048">
        <v>386852000000</v>
      </c>
    </row>
    <row r="16" spans="1:23">
      <c r="A16" s="981" t="s">
        <v>560</v>
      </c>
      <c r="B16" s="981" t="s">
        <v>1716</v>
      </c>
      <c r="C16" s="981" t="s">
        <v>41</v>
      </c>
      <c r="D16" s="969"/>
      <c r="E16" s="969"/>
      <c r="F16" s="969"/>
      <c r="G16" s="969"/>
      <c r="H16" s="969"/>
      <c r="I16" s="1077">
        <v>1137381000000</v>
      </c>
      <c r="J16" s="1077">
        <v>1369368000000</v>
      </c>
      <c r="K16" s="1077">
        <v>1482134000000</v>
      </c>
      <c r="L16" s="1077">
        <v>1862928000000</v>
      </c>
      <c r="M16" s="1237">
        <f>M17+M19</f>
        <v>1682130000000</v>
      </c>
      <c r="N16" s="1050">
        <v>1434456000000.0002</v>
      </c>
      <c r="O16" s="1050">
        <v>1731450000000</v>
      </c>
      <c r="P16" s="1050">
        <v>1922121000000</v>
      </c>
      <c r="Q16" s="1237">
        <f>Q17+Q19</f>
        <v>1969517000000</v>
      </c>
      <c r="R16" s="1237">
        <f>R17+R19</f>
        <v>1886868000000</v>
      </c>
      <c r="S16" s="1048">
        <v>1538571000000</v>
      </c>
      <c r="T16" s="1048">
        <f>T17+T19</f>
        <v>1467300000000</v>
      </c>
      <c r="U16" s="1048">
        <v>1734998000000</v>
      </c>
      <c r="V16" s="1048">
        <v>1421520000000</v>
      </c>
      <c r="W16" s="1048">
        <v>1342604000000</v>
      </c>
    </row>
    <row r="17" spans="1:23">
      <c r="A17" s="988" t="s">
        <v>2231</v>
      </c>
      <c r="B17" s="988" t="s">
        <v>3192</v>
      </c>
      <c r="C17" s="981" t="s">
        <v>998</v>
      </c>
      <c r="D17" s="969"/>
      <c r="E17" s="969"/>
      <c r="F17" s="969"/>
      <c r="G17" s="969"/>
      <c r="H17" s="969"/>
      <c r="I17" s="1077">
        <v>527079000000.00006</v>
      </c>
      <c r="J17" s="1077">
        <v>580944000000</v>
      </c>
      <c r="K17" s="1077">
        <v>554386000000.00012</v>
      </c>
      <c r="L17" s="1077">
        <v>901024000000.00012</v>
      </c>
      <c r="M17" s="1077">
        <v>489129999999.99994</v>
      </c>
      <c r="N17" s="1050">
        <v>637536000000</v>
      </c>
      <c r="O17" s="1050">
        <v>1018500000000</v>
      </c>
      <c r="P17" s="1050">
        <v>1125144000000</v>
      </c>
      <c r="Q17" s="1048">
        <v>1139390000000</v>
      </c>
      <c r="R17" s="1050">
        <v>1083202000000</v>
      </c>
      <c r="S17" s="1048">
        <v>815628000000.00012</v>
      </c>
      <c r="T17" s="1048">
        <v>844200000000</v>
      </c>
      <c r="U17" s="1048">
        <v>922404000000</v>
      </c>
      <c r="V17" s="1048">
        <v>592300000000</v>
      </c>
      <c r="W17" s="1048">
        <v>523387999999.99994</v>
      </c>
    </row>
    <row r="18" spans="1:23">
      <c r="A18" s="997" t="s">
        <v>4436</v>
      </c>
      <c r="B18" s="997" t="s">
        <v>4437</v>
      </c>
      <c r="C18" s="981" t="s">
        <v>4438</v>
      </c>
      <c r="D18" s="969"/>
      <c r="E18" s="969"/>
      <c r="F18" s="969"/>
      <c r="G18" s="969"/>
      <c r="H18" s="969"/>
      <c r="I18" s="1077">
        <v>527079000000.00006</v>
      </c>
      <c r="J18" s="1077">
        <v>580944000000</v>
      </c>
      <c r="K18" s="1077">
        <v>554386000000.00012</v>
      </c>
      <c r="L18" s="1077">
        <v>901024000000.00012</v>
      </c>
      <c r="M18" s="1077">
        <v>489129999999.99994</v>
      </c>
      <c r="N18" s="1050"/>
      <c r="O18" s="1050"/>
      <c r="P18" s="1050"/>
      <c r="Q18" s="996"/>
      <c r="R18" s="1050"/>
      <c r="S18" s="996"/>
      <c r="T18" s="996"/>
      <c r="U18" s="996"/>
      <c r="V18" s="996"/>
      <c r="W18" s="996"/>
    </row>
    <row r="19" spans="1:23">
      <c r="A19" s="988" t="s">
        <v>50</v>
      </c>
      <c r="B19" s="988" t="s">
        <v>50</v>
      </c>
      <c r="C19" s="981" t="s">
        <v>998</v>
      </c>
      <c r="D19" s="969"/>
      <c r="E19" s="969"/>
      <c r="F19" s="969"/>
      <c r="G19" s="969"/>
      <c r="H19" s="969"/>
      <c r="I19" s="1077">
        <v>610301999999.99988</v>
      </c>
      <c r="J19" s="1077">
        <v>788424000000</v>
      </c>
      <c r="K19" s="1077">
        <v>927747999999.99988</v>
      </c>
      <c r="L19" s="1077">
        <v>961904000000.00012</v>
      </c>
      <c r="M19" s="1237">
        <f>M20+M21</f>
        <v>1193000000000</v>
      </c>
      <c r="N19" s="1050">
        <v>796920000000</v>
      </c>
      <c r="O19" s="1050">
        <v>712950000000</v>
      </c>
      <c r="P19" s="1050">
        <v>796977000000</v>
      </c>
      <c r="Q19" s="1048">
        <v>830127000000</v>
      </c>
      <c r="R19" s="1050">
        <v>803666000000</v>
      </c>
      <c r="S19" s="1048">
        <v>722943000000</v>
      </c>
      <c r="T19" s="1048">
        <v>623100000000</v>
      </c>
      <c r="U19" s="1048">
        <v>812594000000.00012</v>
      </c>
      <c r="V19" s="1048">
        <v>829220000000.00012</v>
      </c>
      <c r="W19" s="1048">
        <v>819216000000</v>
      </c>
    </row>
    <row r="20" spans="1:23">
      <c r="A20" s="997" t="s">
        <v>4439</v>
      </c>
      <c r="B20" s="997" t="s">
        <v>4440</v>
      </c>
      <c r="C20" s="981" t="s">
        <v>2102</v>
      </c>
      <c r="D20" s="969"/>
      <c r="E20" s="969"/>
      <c r="F20" s="969"/>
      <c r="G20" s="969"/>
      <c r="H20" s="969"/>
      <c r="I20" s="1077">
        <v>536326000000</v>
      </c>
      <c r="J20" s="1077">
        <v>705431999999.99988</v>
      </c>
      <c r="K20" s="1077">
        <v>769352000000</v>
      </c>
      <c r="L20" s="1077">
        <v>815792000000</v>
      </c>
      <c r="M20" s="1077">
        <v>811240000000</v>
      </c>
      <c r="N20" s="1050"/>
      <c r="O20" s="1050"/>
      <c r="P20" s="1050"/>
      <c r="Q20" s="996"/>
      <c r="R20" s="1050"/>
      <c r="S20" s="996"/>
      <c r="T20" s="996"/>
      <c r="U20" s="996"/>
      <c r="V20" s="996"/>
      <c r="W20" s="996"/>
    </row>
    <row r="21" spans="1:23">
      <c r="A21" s="997" t="s">
        <v>4441</v>
      </c>
      <c r="B21" s="997" t="s">
        <v>4442</v>
      </c>
      <c r="C21" s="981" t="s">
        <v>2102</v>
      </c>
      <c r="D21" s="969"/>
      <c r="E21" s="969"/>
      <c r="F21" s="969"/>
      <c r="G21" s="969"/>
      <c r="H21" s="969"/>
      <c r="I21" s="1077">
        <v>73976000000</v>
      </c>
      <c r="J21" s="1077">
        <v>82992000000</v>
      </c>
      <c r="K21" s="1077">
        <v>158396000000</v>
      </c>
      <c r="L21" s="1077">
        <v>146112000000</v>
      </c>
      <c r="M21" s="1077">
        <v>381760000000</v>
      </c>
      <c r="N21" s="1050"/>
      <c r="O21" s="1050"/>
      <c r="P21" s="1050"/>
      <c r="Q21" s="996"/>
      <c r="R21" s="1050"/>
      <c r="S21" s="996"/>
      <c r="T21" s="996"/>
      <c r="U21" s="996"/>
      <c r="V21" s="996"/>
      <c r="W21" s="996"/>
    </row>
    <row r="22" spans="1:23" s="848" customFormat="1">
      <c r="A22" s="1012" t="s">
        <v>53</v>
      </c>
      <c r="B22" s="1012" t="s">
        <v>53</v>
      </c>
      <c r="C22" s="1058" t="s">
        <v>38</v>
      </c>
      <c r="D22" s="1020"/>
      <c r="E22" s="1020"/>
      <c r="F22" s="1020"/>
      <c r="G22" s="1020"/>
      <c r="H22" s="1020"/>
      <c r="I22" s="1084">
        <v>0</v>
      </c>
      <c r="J22" s="1084">
        <v>0</v>
      </c>
      <c r="K22" s="1084">
        <v>0</v>
      </c>
      <c r="L22" s="1084">
        <v>0</v>
      </c>
      <c r="M22" s="1084">
        <v>0</v>
      </c>
      <c r="N22" s="1084">
        <v>0</v>
      </c>
      <c r="O22" s="1084">
        <v>0</v>
      </c>
      <c r="P22" s="1084">
        <v>0</v>
      </c>
      <c r="Q22" s="1084">
        <v>0</v>
      </c>
      <c r="R22" s="1084">
        <v>0</v>
      </c>
      <c r="S22" s="1084">
        <v>0</v>
      </c>
      <c r="T22" s="1084">
        <v>0</v>
      </c>
      <c r="U22" s="1084">
        <v>0</v>
      </c>
      <c r="V22" s="1084">
        <v>0</v>
      </c>
      <c r="W22" s="1084">
        <v>0</v>
      </c>
    </row>
    <row r="23" spans="1:23" s="848" customFormat="1">
      <c r="A23" s="1012" t="s">
        <v>71</v>
      </c>
      <c r="B23" s="1012" t="s">
        <v>4443</v>
      </c>
      <c r="C23" s="1012" t="s">
        <v>35</v>
      </c>
      <c r="D23" s="1020"/>
      <c r="E23" s="1020"/>
      <c r="F23" s="1020"/>
      <c r="G23" s="1020"/>
      <c r="H23" s="1020"/>
      <c r="I23" s="1055">
        <v>1960363999999.9998</v>
      </c>
      <c r="J23" s="1055">
        <f>J24+J40</f>
        <v>2313402000000</v>
      </c>
      <c r="K23" s="1055">
        <f>K24+K40</f>
        <v>2523022000000</v>
      </c>
      <c r="L23" s="1055">
        <f>L24+L40</f>
        <v>3104880000000</v>
      </c>
      <c r="M23" s="1055">
        <f>M24+M40</f>
        <v>3113730000000</v>
      </c>
      <c r="N23" s="1055">
        <f>N24+N40</f>
        <v>3546294000000</v>
      </c>
      <c r="O23" s="1054">
        <v>3943050000000</v>
      </c>
      <c r="P23" s="1055">
        <f>P24+P40</f>
        <v>4313052000000</v>
      </c>
      <c r="Q23" s="1055">
        <v>4508728999999.999</v>
      </c>
      <c r="R23" s="1055">
        <f>R24+R40</f>
        <v>4787054000000</v>
      </c>
      <c r="S23" s="1055">
        <f>S24+S40</f>
        <v>4949379000000</v>
      </c>
      <c r="T23" s="1055">
        <f>T24+T40</f>
        <v>5145600000000</v>
      </c>
      <c r="U23" s="1055">
        <v>5139108000000</v>
      </c>
      <c r="V23" s="1055">
        <f>V24+V40</f>
        <v>5401776000000</v>
      </c>
      <c r="W23" s="1055">
        <f>W24+W40</f>
        <v>5438684000000</v>
      </c>
    </row>
    <row r="24" spans="1:23">
      <c r="A24" s="981" t="s">
        <v>382</v>
      </c>
      <c r="B24" s="981" t="s">
        <v>382</v>
      </c>
      <c r="C24" s="981" t="s">
        <v>201</v>
      </c>
      <c r="D24" s="969"/>
      <c r="E24" s="969"/>
      <c r="F24" s="969"/>
      <c r="G24" s="969"/>
      <c r="H24" s="969"/>
      <c r="I24" s="1050">
        <v>1738436000000.0002</v>
      </c>
      <c r="J24" s="1061">
        <f>J25+J26+J27+J30+J33+J34+J35</f>
        <v>2054052000000</v>
      </c>
      <c r="K24" s="1061">
        <f>K25+K26+K27+K30+K33+K34+K35</f>
        <v>2206230000000</v>
      </c>
      <c r="L24" s="1061">
        <f>L25+L26+L27+L30+L33+L34+L35</f>
        <v>2727424000000</v>
      </c>
      <c r="M24" s="1061">
        <f>M25+M26+M27+M30+M33+M34+M35</f>
        <v>2564950000000</v>
      </c>
      <c r="N24" s="1061">
        <f>N25+N26+N27+N30+N33+N34+N35</f>
        <v>2868912000000</v>
      </c>
      <c r="O24" s="1048">
        <v>3230100000000</v>
      </c>
      <c r="P24" s="1061">
        <f>P25+P26+P27+P30+P33+P34+P35</f>
        <v>3562956000000</v>
      </c>
      <c r="Q24" s="1061">
        <v>3629771000000</v>
      </c>
      <c r="R24" s="1061">
        <f>R25+R26+R27+R30+R33+R34+R35</f>
        <v>3896033000000</v>
      </c>
      <c r="S24" s="1061">
        <f>S25+S26+S27+S30+S33+S34+S35</f>
        <v>4059603000000</v>
      </c>
      <c r="T24" s="1061">
        <f>T25+T26+T27+T30+T33+T34+T35</f>
        <v>4341600000000</v>
      </c>
      <c r="U24" s="1061">
        <v>4502210000000</v>
      </c>
      <c r="V24" s="1061">
        <f>V25+V26+V27+V30+V33+V34+V35</f>
        <v>4785784000000</v>
      </c>
      <c r="W24" s="1061">
        <f>W25+W26+W27+W30+W33+W34+W35</f>
        <v>4847028000000</v>
      </c>
    </row>
    <row r="25" spans="1:23">
      <c r="A25" s="988" t="s">
        <v>797</v>
      </c>
      <c r="B25" s="988" t="s">
        <v>1383</v>
      </c>
      <c r="C25" s="981" t="s">
        <v>204</v>
      </c>
      <c r="D25" s="969"/>
      <c r="E25" s="969"/>
      <c r="F25" s="969"/>
      <c r="G25" s="969"/>
      <c r="H25" s="969"/>
      <c r="I25" s="1050">
        <v>554819999999.99988</v>
      </c>
      <c r="J25" s="1050">
        <v>612066000000</v>
      </c>
      <c r="K25" s="1050">
        <v>656212000000</v>
      </c>
      <c r="L25" s="1050">
        <v>706208000000</v>
      </c>
      <c r="M25" s="1050">
        <v>763520000000</v>
      </c>
      <c r="N25" s="1050">
        <v>796920000000</v>
      </c>
      <c r="O25" s="1048">
        <v>858450000000</v>
      </c>
      <c r="P25" s="1048">
        <v>921993000000</v>
      </c>
      <c r="Q25" s="1048">
        <v>960343000000.00012</v>
      </c>
      <c r="R25" s="1048">
        <v>1013317999999.9999</v>
      </c>
      <c r="S25" s="1048">
        <v>1075145999999.9999</v>
      </c>
      <c r="T25" s="1048">
        <v>1105500000000</v>
      </c>
      <c r="U25" s="1048">
        <v>1163986000000</v>
      </c>
      <c r="V25" s="1048">
        <v>1255676000000</v>
      </c>
      <c r="W25" s="1048">
        <v>1274336000000</v>
      </c>
    </row>
    <row r="26" spans="1:23">
      <c r="A26" s="988" t="s">
        <v>1006</v>
      </c>
      <c r="B26" s="988" t="s">
        <v>1728</v>
      </c>
      <c r="C26" s="981" t="s">
        <v>204</v>
      </c>
      <c r="D26" s="969"/>
      <c r="E26" s="969"/>
      <c r="F26" s="969"/>
      <c r="G26" s="969"/>
      <c r="H26" s="969"/>
      <c r="I26" s="1050">
        <v>249669000000</v>
      </c>
      <c r="J26" s="1050">
        <v>300846000000</v>
      </c>
      <c r="K26" s="1050">
        <v>362048000000</v>
      </c>
      <c r="L26" s="1050">
        <v>401808000000</v>
      </c>
      <c r="M26" s="1050">
        <v>429480000000</v>
      </c>
      <c r="N26" s="1050">
        <v>438305999999.99994</v>
      </c>
      <c r="O26" s="1048">
        <v>465600000000</v>
      </c>
      <c r="P26" s="1048">
        <v>515691000000.00006</v>
      </c>
      <c r="Q26" s="1048">
        <v>472032999999.99994</v>
      </c>
      <c r="R26" s="1048">
        <v>506658999999.99994</v>
      </c>
      <c r="S26" s="1048">
        <v>556110000000</v>
      </c>
      <c r="T26" s="1048">
        <v>542700000000.00006</v>
      </c>
      <c r="U26" s="1048">
        <v>549050000000</v>
      </c>
      <c r="V26" s="1048">
        <v>497532000000.00006</v>
      </c>
      <c r="W26" s="1048">
        <v>500632000000.00006</v>
      </c>
    </row>
    <row r="27" spans="1:23">
      <c r="A27" s="988" t="s">
        <v>1185</v>
      </c>
      <c r="B27" s="988" t="s">
        <v>4444</v>
      </c>
      <c r="C27" s="981" t="s">
        <v>204</v>
      </c>
      <c r="D27" s="969"/>
      <c r="E27" s="969"/>
      <c r="F27" s="969"/>
      <c r="G27" s="969"/>
      <c r="H27" s="969"/>
      <c r="I27" s="1050">
        <v>184940000000</v>
      </c>
      <c r="J27" s="1061">
        <f>J28+J29</f>
        <v>217854000000</v>
      </c>
      <c r="K27" s="1061">
        <f>K28+K29</f>
        <v>203652000000</v>
      </c>
      <c r="L27" s="1061">
        <f>L28+L29</f>
        <v>206992000000</v>
      </c>
      <c r="M27" s="1061">
        <f>M28+M29</f>
        <v>238599999999.99997</v>
      </c>
      <c r="N27" s="1050">
        <v>332049999999.99994</v>
      </c>
      <c r="O27" s="1048">
        <v>349200000000</v>
      </c>
      <c r="P27" s="1048">
        <v>390675000000</v>
      </c>
      <c r="Q27" s="1048">
        <v>488310000000</v>
      </c>
      <c r="R27" s="1048">
        <v>524130000000</v>
      </c>
      <c r="S27" s="1048">
        <v>537572999999.99994</v>
      </c>
      <c r="T27" s="1048">
        <v>663300000000</v>
      </c>
      <c r="U27" s="1048">
        <v>702784000000</v>
      </c>
      <c r="V27" s="1048">
        <v>734452000000</v>
      </c>
      <c r="W27" s="1048">
        <v>819216000000</v>
      </c>
    </row>
    <row r="28" spans="1:23">
      <c r="A28" s="997" t="s">
        <v>670</v>
      </c>
      <c r="B28" s="997" t="s">
        <v>670</v>
      </c>
      <c r="C28" s="981" t="s">
        <v>211</v>
      </c>
      <c r="D28" s="969"/>
      <c r="E28" s="969"/>
      <c r="F28" s="969"/>
      <c r="G28" s="969"/>
      <c r="H28" s="969"/>
      <c r="I28" s="1050">
        <v>110964000000</v>
      </c>
      <c r="J28" s="1050">
        <v>134862000000</v>
      </c>
      <c r="K28" s="1050">
        <v>135768000000</v>
      </c>
      <c r="L28" s="1050">
        <v>133936000000</v>
      </c>
      <c r="M28" s="1050">
        <v>167019999999.99997</v>
      </c>
      <c r="N28" s="1050"/>
      <c r="O28" s="1050"/>
      <c r="P28" s="1050"/>
      <c r="Q28" s="996"/>
      <c r="R28" s="1050"/>
      <c r="S28" s="996"/>
      <c r="T28" s="996"/>
      <c r="U28" s="996"/>
      <c r="V28" s="996"/>
      <c r="W28" s="996"/>
    </row>
    <row r="29" spans="1:23">
      <c r="A29" s="997" t="s">
        <v>4445</v>
      </c>
      <c r="B29" s="997" t="s">
        <v>4445</v>
      </c>
      <c r="C29" s="981" t="s">
        <v>211</v>
      </c>
      <c r="D29" s="969"/>
      <c r="E29" s="969"/>
      <c r="F29" s="969"/>
      <c r="G29" s="969"/>
      <c r="H29" s="969"/>
      <c r="I29" s="1050">
        <v>73976000000</v>
      </c>
      <c r="J29" s="1050">
        <v>82992000000</v>
      </c>
      <c r="K29" s="1050">
        <v>67884000000</v>
      </c>
      <c r="L29" s="1050">
        <v>73056000000</v>
      </c>
      <c r="M29" s="1050">
        <v>71580000000</v>
      </c>
      <c r="N29" s="1050"/>
      <c r="O29" s="1050"/>
      <c r="P29" s="1050"/>
      <c r="Q29" s="996"/>
      <c r="R29" s="1050"/>
      <c r="S29" s="996"/>
      <c r="T29" s="996"/>
      <c r="U29" s="996"/>
      <c r="V29" s="996"/>
      <c r="W29" s="996"/>
    </row>
    <row r="30" spans="1:23">
      <c r="A30" s="988" t="s">
        <v>390</v>
      </c>
      <c r="B30" s="988" t="s">
        <v>4446</v>
      </c>
      <c r="C30" s="981" t="s">
        <v>204</v>
      </c>
      <c r="D30" s="969"/>
      <c r="E30" s="969"/>
      <c r="F30" s="969"/>
      <c r="G30" s="969"/>
      <c r="H30" s="969"/>
      <c r="I30" s="1050">
        <v>203434000000.00003</v>
      </c>
      <c r="J30" s="1050">
        <v>269724000000</v>
      </c>
      <c r="K30" s="1050">
        <v>294164000000</v>
      </c>
      <c r="L30" s="1050">
        <v>535744000000</v>
      </c>
      <c r="M30" s="1050">
        <v>369830000000</v>
      </c>
      <c r="N30" s="1050">
        <v>451587999999.99994</v>
      </c>
      <c r="O30" s="1050">
        <v>611100000000</v>
      </c>
      <c r="P30" s="1050">
        <v>718842000000</v>
      </c>
      <c r="Q30" s="1048">
        <v>634803000000</v>
      </c>
      <c r="R30" s="1050">
        <v>663898000000</v>
      </c>
      <c r="S30" s="1048">
        <v>667332000000.00012</v>
      </c>
      <c r="T30" s="1048">
        <v>683400000000</v>
      </c>
      <c r="U30" s="1048">
        <v>592974000000.00012</v>
      </c>
      <c r="V30" s="1048">
        <v>592300000000</v>
      </c>
      <c r="W30" s="1048">
        <v>546144000000</v>
      </c>
    </row>
    <row r="31" spans="1:23">
      <c r="A31" s="997" t="s">
        <v>4447</v>
      </c>
      <c r="B31" s="997" t="s">
        <v>4448</v>
      </c>
      <c r="C31" s="981" t="s">
        <v>4449</v>
      </c>
      <c r="D31" s="969"/>
      <c r="E31" s="969"/>
      <c r="F31" s="969"/>
      <c r="G31" s="969"/>
      <c r="H31" s="969"/>
      <c r="I31" s="1051"/>
      <c r="J31" s="1051"/>
      <c r="K31" s="1051"/>
      <c r="L31" s="1051"/>
      <c r="M31" s="1051"/>
      <c r="N31" s="1050">
        <v>79692000000</v>
      </c>
      <c r="O31" s="1050">
        <v>160050000000</v>
      </c>
      <c r="P31" s="1050">
        <v>218778000000</v>
      </c>
      <c r="Q31" s="1048">
        <v>97662000000</v>
      </c>
      <c r="R31" s="1050">
        <v>34942000000</v>
      </c>
      <c r="S31" s="1048">
        <v>0</v>
      </c>
      <c r="T31" s="1048">
        <v>0</v>
      </c>
      <c r="U31" s="1048">
        <v>0</v>
      </c>
      <c r="V31" s="1048">
        <v>0</v>
      </c>
      <c r="W31" s="1048">
        <v>0</v>
      </c>
    </row>
    <row r="32" spans="1:23">
      <c r="A32" s="997" t="s">
        <v>4450</v>
      </c>
      <c r="B32" s="997" t="s">
        <v>2576</v>
      </c>
      <c r="C32" s="981" t="s">
        <v>4449</v>
      </c>
      <c r="D32" s="969"/>
      <c r="E32" s="969"/>
      <c r="F32" s="969"/>
      <c r="G32" s="969"/>
      <c r="H32" s="969"/>
      <c r="I32" s="1051"/>
      <c r="J32" s="1051"/>
      <c r="K32" s="1051"/>
      <c r="L32" s="1051"/>
      <c r="M32" s="1051"/>
      <c r="N32" s="1061">
        <f>N30-N31</f>
        <v>371895999999.99994</v>
      </c>
      <c r="O32" s="1061">
        <f t="shared" ref="O32:W32" si="4">O30-O31</f>
        <v>451050000000</v>
      </c>
      <c r="P32" s="1061">
        <f t="shared" si="4"/>
        <v>500064000000</v>
      </c>
      <c r="Q32" s="1061">
        <f>Q30-Q31</f>
        <v>537141000000</v>
      </c>
      <c r="R32" s="1061">
        <f t="shared" ref="R32:V32" si="5">R30-R31</f>
        <v>628956000000</v>
      </c>
      <c r="S32" s="1061">
        <f t="shared" si="5"/>
        <v>667332000000.00012</v>
      </c>
      <c r="T32" s="1061">
        <f t="shared" si="5"/>
        <v>683400000000</v>
      </c>
      <c r="U32" s="1061">
        <f t="shared" si="5"/>
        <v>592974000000.00012</v>
      </c>
      <c r="V32" s="1061">
        <f t="shared" si="5"/>
        <v>592300000000</v>
      </c>
      <c r="W32" s="1061">
        <f t="shared" si="4"/>
        <v>546144000000</v>
      </c>
    </row>
    <row r="33" spans="1:23">
      <c r="A33" s="988" t="s">
        <v>4451</v>
      </c>
      <c r="B33" s="988" t="s">
        <v>4452</v>
      </c>
      <c r="C33" s="981" t="s">
        <v>204</v>
      </c>
      <c r="D33" s="969"/>
      <c r="E33" s="969"/>
      <c r="F33" s="969"/>
      <c r="G33" s="969"/>
      <c r="H33" s="969"/>
      <c r="I33" s="1050">
        <v>277409999999.99994</v>
      </c>
      <c r="J33" s="1050">
        <v>331968000000</v>
      </c>
      <c r="K33" s="1050">
        <v>328106000000</v>
      </c>
      <c r="L33" s="1050">
        <v>426160000000</v>
      </c>
      <c r="M33" s="1050">
        <v>369830000000</v>
      </c>
      <c r="N33" s="1050">
        <v>438305999999.99994</v>
      </c>
      <c r="O33" s="1048">
        <v>480150000000</v>
      </c>
      <c r="P33" s="1048">
        <v>500064000000</v>
      </c>
      <c r="Q33" s="1048">
        <v>537141000000</v>
      </c>
      <c r="R33" s="1048">
        <v>576543000000</v>
      </c>
      <c r="S33" s="1048">
        <v>630258000000</v>
      </c>
      <c r="T33" s="1048">
        <v>703500000000.00012</v>
      </c>
      <c r="U33" s="1048">
        <v>768670000000.00012</v>
      </c>
      <c r="V33" s="1048">
        <v>805528000000</v>
      </c>
      <c r="W33" s="1048">
        <v>819216000000</v>
      </c>
    </row>
    <row r="34" spans="1:23">
      <c r="A34" s="988" t="s">
        <v>806</v>
      </c>
      <c r="B34" s="988" t="s">
        <v>1732</v>
      </c>
      <c r="C34" s="981" t="s">
        <v>204</v>
      </c>
      <c r="D34" s="969"/>
      <c r="E34" s="969"/>
      <c r="F34" s="969"/>
      <c r="G34" s="969"/>
      <c r="H34" s="969"/>
      <c r="I34" s="1050">
        <v>175692999999.99997</v>
      </c>
      <c r="J34" s="1050">
        <v>197106000000</v>
      </c>
      <c r="K34" s="1050">
        <v>237594000000.00003</v>
      </c>
      <c r="L34" s="1050">
        <v>255696000000.00003</v>
      </c>
      <c r="M34" s="1050">
        <v>286320000000</v>
      </c>
      <c r="N34" s="1050">
        <v>345332000000</v>
      </c>
      <c r="O34" s="1048">
        <v>392850000000</v>
      </c>
      <c r="P34" s="1048">
        <v>421929000000</v>
      </c>
      <c r="Q34" s="1048">
        <v>472032999999.99994</v>
      </c>
      <c r="R34" s="1048">
        <v>524130000000</v>
      </c>
      <c r="S34" s="1048">
        <v>593184000000</v>
      </c>
      <c r="T34" s="1048">
        <v>643200000000</v>
      </c>
      <c r="U34" s="1048">
        <v>724746000000</v>
      </c>
      <c r="V34" s="1048">
        <v>805528000000</v>
      </c>
      <c r="W34" s="1048">
        <v>887484000000</v>
      </c>
    </row>
    <row r="35" spans="1:23">
      <c r="A35" s="988" t="s">
        <v>2245</v>
      </c>
      <c r="B35" s="988" t="s">
        <v>4453</v>
      </c>
      <c r="C35" s="981" t="s">
        <v>204</v>
      </c>
      <c r="D35" s="969"/>
      <c r="E35" s="969"/>
      <c r="F35" s="969"/>
      <c r="G35" s="969"/>
      <c r="H35" s="969"/>
      <c r="I35" s="1050">
        <v>92470000000</v>
      </c>
      <c r="J35" s="1061">
        <f>J36+J37+J38+J39</f>
        <v>124488000000</v>
      </c>
      <c r="K35" s="1061">
        <f>K36+K37+K38+K39</f>
        <v>124454000000</v>
      </c>
      <c r="L35" s="1050">
        <v>194816000000.00003</v>
      </c>
      <c r="M35" s="1050">
        <v>107370000000</v>
      </c>
      <c r="N35" s="1050">
        <v>66410000000</v>
      </c>
      <c r="O35" s="1048">
        <v>72750000000</v>
      </c>
      <c r="P35" s="1048">
        <v>93761999999.999985</v>
      </c>
      <c r="Q35" s="1048">
        <v>65108000000</v>
      </c>
      <c r="R35" s="1048">
        <v>87355000000</v>
      </c>
      <c r="S35" s="1048">
        <v>0</v>
      </c>
      <c r="T35" s="2652">
        <v>0</v>
      </c>
      <c r="U35" s="1048">
        <v>0</v>
      </c>
      <c r="V35" s="1048">
        <v>94768000000</v>
      </c>
      <c r="W35" s="2652">
        <v>0</v>
      </c>
    </row>
    <row r="36" spans="1:23">
      <c r="A36" s="997" t="s">
        <v>4454</v>
      </c>
      <c r="B36" s="997" t="s">
        <v>4455</v>
      </c>
      <c r="C36" s="981" t="s">
        <v>2451</v>
      </c>
      <c r="D36" s="969"/>
      <c r="E36" s="969"/>
      <c r="F36" s="969"/>
      <c r="G36" s="969"/>
      <c r="H36" s="969"/>
      <c r="I36" s="1050">
        <v>27741000000</v>
      </c>
      <c r="J36" s="1050">
        <v>41496000000</v>
      </c>
      <c r="K36" s="1050">
        <v>22628000000</v>
      </c>
      <c r="L36" s="1050">
        <v>24352000000.000004</v>
      </c>
      <c r="M36" s="1050">
        <v>35790000000</v>
      </c>
      <c r="N36" s="1050"/>
      <c r="O36" s="1050"/>
      <c r="P36" s="1050"/>
      <c r="Q36" s="996"/>
      <c r="R36" s="1050"/>
      <c r="S36" s="996"/>
      <c r="T36" s="996"/>
      <c r="U36" s="996"/>
      <c r="V36" s="996"/>
      <c r="W36" s="996"/>
    </row>
    <row r="37" spans="1:23">
      <c r="A37" s="997" t="s">
        <v>4456</v>
      </c>
      <c r="B37" s="997" t="s">
        <v>4457</v>
      </c>
      <c r="C37" s="981" t="s">
        <v>2451</v>
      </c>
      <c r="D37" s="969"/>
      <c r="E37" s="969"/>
      <c r="F37" s="969"/>
      <c r="G37" s="969"/>
      <c r="H37" s="969"/>
      <c r="I37" s="1050">
        <v>9247000000</v>
      </c>
      <c r="J37" s="1050">
        <v>20748000000</v>
      </c>
      <c r="K37" s="1050">
        <v>11314000000</v>
      </c>
      <c r="L37" s="1050">
        <v>12176000000.000002</v>
      </c>
      <c r="M37" s="1050">
        <v>11930000000</v>
      </c>
      <c r="N37" s="1050"/>
      <c r="O37" s="1050"/>
      <c r="P37" s="1050"/>
      <c r="Q37" s="996"/>
      <c r="R37" s="1050"/>
      <c r="S37" s="996"/>
      <c r="T37" s="996"/>
      <c r="U37" s="996"/>
      <c r="V37" s="996"/>
      <c r="W37" s="996"/>
    </row>
    <row r="38" spans="1:23">
      <c r="A38" s="997" t="s">
        <v>4458</v>
      </c>
      <c r="B38" s="997" t="s">
        <v>4459</v>
      </c>
      <c r="C38" s="981" t="s">
        <v>2451</v>
      </c>
      <c r="D38" s="969"/>
      <c r="E38" s="969"/>
      <c r="F38" s="969"/>
      <c r="G38" s="969"/>
      <c r="H38" s="969"/>
      <c r="I38" s="1050">
        <v>55482000000</v>
      </c>
      <c r="J38" s="1050">
        <v>62243999999.999992</v>
      </c>
      <c r="K38" s="1050">
        <v>90512000000</v>
      </c>
      <c r="L38" s="1050">
        <v>158288000000</v>
      </c>
      <c r="M38" s="1050">
        <v>59650000000</v>
      </c>
      <c r="N38" s="1050"/>
      <c r="O38" s="1050"/>
      <c r="P38" s="1050"/>
      <c r="Q38" s="996"/>
      <c r="R38" s="1050"/>
      <c r="S38" s="996"/>
      <c r="T38" s="996"/>
      <c r="U38" s="996"/>
      <c r="V38" s="996"/>
      <c r="W38" s="996"/>
    </row>
    <row r="39" spans="1:23">
      <c r="A39" s="997" t="s">
        <v>4460</v>
      </c>
      <c r="B39" s="997" t="s">
        <v>4461</v>
      </c>
      <c r="C39" s="981" t="s">
        <v>2451</v>
      </c>
      <c r="D39" s="969"/>
      <c r="E39" s="969"/>
      <c r="F39" s="969"/>
      <c r="G39" s="969"/>
      <c r="H39" s="969"/>
      <c r="I39" s="1050">
        <v>0</v>
      </c>
      <c r="J39" s="1050">
        <v>0</v>
      </c>
      <c r="K39" s="1050">
        <v>0</v>
      </c>
      <c r="L39" s="1050">
        <v>0</v>
      </c>
      <c r="M39" s="1050">
        <v>0</v>
      </c>
      <c r="N39" s="1050"/>
      <c r="O39" s="1050"/>
      <c r="P39" s="1050"/>
      <c r="Q39" s="996"/>
      <c r="R39" s="1050"/>
      <c r="S39" s="996"/>
      <c r="T39" s="996"/>
      <c r="U39" s="996"/>
      <c r="V39" s="996"/>
      <c r="W39" s="996"/>
    </row>
    <row r="40" spans="1:23" ht="15.75" customHeight="1">
      <c r="A40" s="981" t="s">
        <v>237</v>
      </c>
      <c r="B40" s="981" t="s">
        <v>4462</v>
      </c>
      <c r="C40" s="981" t="s">
        <v>201</v>
      </c>
      <c r="D40" s="969"/>
      <c r="E40" s="969"/>
      <c r="F40" s="969"/>
      <c r="G40" s="969"/>
      <c r="H40" s="969"/>
      <c r="I40" s="1050">
        <v>221928000000</v>
      </c>
      <c r="J40" s="1050">
        <v>259349999999.99997</v>
      </c>
      <c r="K40" s="1050">
        <v>316792000000</v>
      </c>
      <c r="L40" s="1050">
        <v>377456000000</v>
      </c>
      <c r="M40" s="1050">
        <v>548780000000</v>
      </c>
      <c r="N40" s="1050">
        <v>677382000000</v>
      </c>
      <c r="O40" s="1050">
        <v>712950000000</v>
      </c>
      <c r="P40" s="1050">
        <v>750095999999.99988</v>
      </c>
      <c r="Q40" s="2662">
        <v>878958000000.00012</v>
      </c>
      <c r="R40" s="1050">
        <v>891021000000</v>
      </c>
      <c r="S40" s="1048">
        <v>889776000000</v>
      </c>
      <c r="T40" s="1048">
        <v>804000000000</v>
      </c>
      <c r="U40" s="1048">
        <v>636898000000</v>
      </c>
      <c r="V40" s="1048">
        <v>615992000000</v>
      </c>
      <c r="W40" s="1048">
        <v>591656000000</v>
      </c>
    </row>
    <row r="41" spans="1:23">
      <c r="A41" s="972" t="s">
        <v>76</v>
      </c>
      <c r="B41" s="981" t="s">
        <v>4463</v>
      </c>
      <c r="C41" s="981"/>
      <c r="D41" s="969"/>
      <c r="E41" s="969"/>
      <c r="F41" s="969"/>
      <c r="G41" s="969"/>
      <c r="H41" s="969"/>
      <c r="I41" s="1051"/>
      <c r="J41" s="1051"/>
      <c r="K41" s="1051"/>
      <c r="L41" s="1051"/>
      <c r="M41" s="1051"/>
      <c r="N41" s="1050">
        <v>119538000000</v>
      </c>
      <c r="O41" s="1050">
        <v>218250000000</v>
      </c>
      <c r="P41" s="1050">
        <v>156270000000</v>
      </c>
      <c r="Q41" s="1048">
        <v>276709000000</v>
      </c>
      <c r="R41" s="1050">
        <v>104826000000</v>
      </c>
      <c r="S41" s="1048">
        <v>148296000000</v>
      </c>
      <c r="T41" s="1048">
        <v>261300000000.00003</v>
      </c>
      <c r="U41" s="1048">
        <v>329430000000</v>
      </c>
      <c r="V41" s="1048">
        <v>23692000000</v>
      </c>
      <c r="W41" s="1048">
        <v>22756000000</v>
      </c>
    </row>
    <row r="42" spans="1:23">
      <c r="A42" s="972" t="s">
        <v>76</v>
      </c>
      <c r="B42" s="981" t="s">
        <v>4464</v>
      </c>
      <c r="C42" s="981"/>
      <c r="D42" s="969"/>
      <c r="E42" s="969"/>
      <c r="F42" s="969"/>
      <c r="G42" s="969"/>
      <c r="H42" s="969"/>
      <c r="I42" s="1050">
        <v>-9247000000</v>
      </c>
      <c r="J42" s="1050">
        <v>10374000000</v>
      </c>
      <c r="K42" s="1050">
        <v>0</v>
      </c>
      <c r="L42" s="1050">
        <v>-12176000000.000002</v>
      </c>
      <c r="M42" s="1050">
        <v>-274390000000</v>
      </c>
      <c r="N42" s="1050">
        <v>-544561999999.99988</v>
      </c>
      <c r="O42" s="1050">
        <v>-494700000000</v>
      </c>
      <c r="P42" s="1050">
        <v>-593826000000</v>
      </c>
      <c r="Q42" s="2662">
        <v>-602249000000.00012</v>
      </c>
      <c r="R42" s="1050">
        <v>-786195000000</v>
      </c>
      <c r="S42" s="1048">
        <v>-741480000000</v>
      </c>
      <c r="T42" s="1048">
        <v>-562800000000</v>
      </c>
      <c r="U42" s="1048">
        <v>-307467999999.99994</v>
      </c>
      <c r="V42" s="1048">
        <v>-592300000000</v>
      </c>
      <c r="W42" s="1048">
        <v>-568900000000</v>
      </c>
    </row>
    <row r="43" spans="1:23">
      <c r="A43" s="972" t="s">
        <v>76</v>
      </c>
      <c r="B43" s="981" t="s">
        <v>4465</v>
      </c>
      <c r="C43" s="981"/>
      <c r="D43" s="969"/>
      <c r="E43" s="969"/>
      <c r="F43" s="969"/>
      <c r="G43" s="969"/>
      <c r="H43" s="969"/>
      <c r="I43" s="1051"/>
      <c r="J43" s="1051"/>
      <c r="K43" s="1051"/>
      <c r="L43" s="1051"/>
      <c r="M43" s="1051"/>
      <c r="N43" s="1050">
        <v>-212512000000</v>
      </c>
      <c r="O43" s="1050">
        <v>-145500000000</v>
      </c>
      <c r="P43" s="1050">
        <v>-187523999999.99997</v>
      </c>
      <c r="Q43" s="2662">
        <v>-113938999999.99998</v>
      </c>
      <c r="R43" s="1050">
        <v>-262065000000</v>
      </c>
      <c r="S43" s="1048">
        <v>-203907000000.00003</v>
      </c>
      <c r="T43" s="1048">
        <v>100500000000</v>
      </c>
      <c r="U43" s="1048">
        <v>395316000000.00006</v>
      </c>
      <c r="V43" s="1048">
        <v>142152000000</v>
      </c>
      <c r="W43" s="1048">
        <v>295828000000</v>
      </c>
    </row>
    <row r="44" spans="1:23">
      <c r="A44" s="972" t="s">
        <v>76</v>
      </c>
      <c r="B44" s="981" t="s">
        <v>4466</v>
      </c>
      <c r="C44" s="981"/>
      <c r="D44" s="969"/>
      <c r="E44" s="969"/>
      <c r="F44" s="969"/>
      <c r="G44" s="969"/>
      <c r="H44" s="969"/>
      <c r="I44" s="1050">
        <v>-129458000000</v>
      </c>
      <c r="J44" s="1050">
        <v>-103740000000</v>
      </c>
      <c r="K44" s="1050">
        <v>-135768000000</v>
      </c>
      <c r="L44" s="1050">
        <v>-133936000000</v>
      </c>
      <c r="M44" s="1050">
        <v>-560710000000</v>
      </c>
      <c r="N44" s="1050"/>
      <c r="O44" s="1050"/>
      <c r="P44" s="1050"/>
      <c r="Q44" s="996"/>
      <c r="R44" s="1050"/>
      <c r="S44" s="1050"/>
      <c r="T44" s="1050"/>
      <c r="U44" s="1050"/>
      <c r="V44" s="1050"/>
      <c r="W44" s="1050"/>
    </row>
    <row r="45" spans="1:23">
      <c r="A45" s="972" t="s">
        <v>76</v>
      </c>
      <c r="B45" s="981" t="s">
        <v>4467</v>
      </c>
      <c r="C45" s="981"/>
      <c r="D45" s="969"/>
      <c r="E45" s="969"/>
      <c r="F45" s="969"/>
      <c r="G45" s="969"/>
      <c r="H45" s="969"/>
      <c r="I45" s="1050">
        <v>-120211000000</v>
      </c>
      <c r="J45" s="1050">
        <v>-124487999999.99998</v>
      </c>
      <c r="K45" s="1050">
        <v>-113140000000</v>
      </c>
      <c r="L45" s="1050">
        <v>-194816000000.00003</v>
      </c>
      <c r="M45" s="1050">
        <v>-310180000000</v>
      </c>
      <c r="N45" s="1050"/>
      <c r="O45" s="1050"/>
      <c r="P45" s="1695"/>
      <c r="Q45" s="1077"/>
      <c r="R45" s="1077"/>
      <c r="S45" s="1050"/>
      <c r="T45" s="1050"/>
      <c r="U45" s="1050"/>
      <c r="V45" s="1050"/>
      <c r="W45" s="1050"/>
    </row>
    <row r="46" spans="1:23" s="848" customFormat="1">
      <c r="A46" s="1012" t="s">
        <v>115</v>
      </c>
      <c r="B46" s="1012" t="s">
        <v>4468</v>
      </c>
      <c r="C46" s="1012" t="s">
        <v>35</v>
      </c>
      <c r="D46" s="1020"/>
      <c r="E46" s="1020"/>
      <c r="F46" s="1020"/>
      <c r="G46" s="1020"/>
      <c r="H46" s="1020"/>
      <c r="I46" s="1055">
        <v>120211000000</v>
      </c>
      <c r="J46" s="1055">
        <v>124487999999.99998</v>
      </c>
      <c r="K46" s="1055">
        <v>113140000000</v>
      </c>
      <c r="L46" s="1055">
        <v>194816000000.00003</v>
      </c>
      <c r="M46" s="1055">
        <f>M47+M48</f>
        <v>322110000000</v>
      </c>
      <c r="N46" s="1054">
        <v>519938999999.99994</v>
      </c>
      <c r="O46" s="1054">
        <v>493846000000</v>
      </c>
      <c r="P46" s="1054">
        <v>589773000000</v>
      </c>
      <c r="Q46" s="1084">
        <v>602249000000</v>
      </c>
      <c r="R46" s="1084">
        <v>786195000000</v>
      </c>
      <c r="S46" s="1084">
        <v>741480000000</v>
      </c>
      <c r="T46" s="1084">
        <v>562800000000</v>
      </c>
      <c r="U46" s="1084">
        <v>307468000000</v>
      </c>
      <c r="V46" s="1084">
        <v>574526450000</v>
      </c>
      <c r="W46" s="1084">
        <v>610846225000</v>
      </c>
    </row>
    <row r="47" spans="1:23">
      <c r="A47" s="981" t="s">
        <v>4469</v>
      </c>
      <c r="B47" s="981" t="s">
        <v>4470</v>
      </c>
      <c r="C47" s="981" t="s">
        <v>252</v>
      </c>
      <c r="D47" s="969"/>
      <c r="E47" s="969"/>
      <c r="F47" s="969"/>
      <c r="G47" s="969"/>
      <c r="H47" s="969"/>
      <c r="I47" s="1050">
        <v>-36988000000</v>
      </c>
      <c r="J47" s="1050">
        <v>-165984000000</v>
      </c>
      <c r="K47" s="1050">
        <v>-135768000000</v>
      </c>
      <c r="L47" s="1050">
        <v>-121760000000</v>
      </c>
      <c r="M47" s="1050">
        <v>214740000000</v>
      </c>
      <c r="N47" s="1048"/>
      <c r="O47" s="1048"/>
      <c r="P47" s="1048"/>
      <c r="Q47"/>
      <c r="R47" s="1048"/>
      <c r="S47" s="1050"/>
      <c r="T47" s="1050"/>
      <c r="U47" s="1050"/>
      <c r="V47" s="1050"/>
      <c r="W47" s="1050"/>
    </row>
    <row r="48" spans="1:23">
      <c r="A48" s="981" t="s">
        <v>4471</v>
      </c>
      <c r="B48" s="981" t="s">
        <v>4472</v>
      </c>
      <c r="C48" s="981" t="s">
        <v>252</v>
      </c>
      <c r="D48" s="969"/>
      <c r="E48" s="969"/>
      <c r="F48" s="969"/>
      <c r="G48" s="969"/>
      <c r="H48" s="969"/>
      <c r="I48" s="1050">
        <v>157198999999.99997</v>
      </c>
      <c r="J48" s="1050">
        <v>290472000000</v>
      </c>
      <c r="K48" s="1050">
        <v>248908000000.00003</v>
      </c>
      <c r="L48" s="1050">
        <v>316576000000</v>
      </c>
      <c r="M48" s="1050">
        <v>107370000000</v>
      </c>
      <c r="N48" s="1048"/>
      <c r="O48" s="1048"/>
      <c r="P48" s="1048"/>
    </row>
    <row r="49" spans="1:23">
      <c r="A49" s="981"/>
      <c r="B49" s="981" t="s">
        <v>4473</v>
      </c>
      <c r="C49" s="981"/>
      <c r="D49" s="969"/>
      <c r="E49" s="969"/>
      <c r="F49" s="969"/>
      <c r="G49" s="969"/>
      <c r="H49" s="969"/>
      <c r="I49" s="1050"/>
      <c r="J49" s="1050"/>
      <c r="K49" s="1050"/>
      <c r="L49" s="1050"/>
      <c r="M49" s="1050"/>
      <c r="N49" s="1048"/>
      <c r="O49" s="1048"/>
      <c r="P49" s="1048"/>
      <c r="Q49" s="979"/>
      <c r="R49" s="1048"/>
      <c r="S49" s="1050"/>
      <c r="T49" s="1050"/>
      <c r="U49" s="1050"/>
      <c r="V49" s="1050"/>
      <c r="W49" s="1050"/>
    </row>
    <row r="50" spans="1:23">
      <c r="A50" s="981"/>
      <c r="B50" s="981" t="s">
        <v>4474</v>
      </c>
      <c r="C50" s="981"/>
      <c r="D50" s="969"/>
      <c r="E50" s="969"/>
      <c r="F50" s="969"/>
      <c r="G50" s="969"/>
      <c r="H50" s="969"/>
      <c r="I50" s="1050"/>
      <c r="J50" s="1050"/>
      <c r="K50" s="1050"/>
      <c r="L50" s="1050"/>
      <c r="M50" s="1050"/>
      <c r="N50" s="1048"/>
      <c r="O50" s="1048"/>
      <c r="P50" s="1048"/>
      <c r="Q50" s="979"/>
      <c r="R50" s="1048"/>
      <c r="S50" s="979"/>
      <c r="T50" s="979"/>
      <c r="U50" s="979"/>
      <c r="V50" s="979"/>
      <c r="W50" s="979">
        <v>841972000000</v>
      </c>
    </row>
    <row r="51" spans="1:23">
      <c r="A51" s="981"/>
      <c r="B51" s="981" t="s">
        <v>4475</v>
      </c>
      <c r="C51" s="981"/>
      <c r="D51" s="969"/>
      <c r="E51" s="969"/>
      <c r="F51" s="969"/>
      <c r="G51" s="969"/>
      <c r="H51" s="969"/>
      <c r="I51" s="1050"/>
      <c r="J51" s="1050"/>
      <c r="K51" s="1050"/>
      <c r="L51" s="1050"/>
      <c r="M51" s="1050"/>
      <c r="N51" s="1048"/>
      <c r="O51" s="1048"/>
      <c r="P51" s="1048"/>
      <c r="Q51" s="979">
        <v>7471142999999.999</v>
      </c>
      <c r="R51" s="1048">
        <v>8543319000000</v>
      </c>
      <c r="S51" s="979">
        <v>9806073000000</v>
      </c>
      <c r="T51" s="979">
        <v>11416799999999.998</v>
      </c>
      <c r="U51" s="979">
        <v>11508088000000</v>
      </c>
      <c r="V51" s="979">
        <v>12272456000000</v>
      </c>
      <c r="W51" s="979">
        <v>12675092000000</v>
      </c>
    </row>
    <row r="52" spans="1:23">
      <c r="A52" s="981"/>
      <c r="B52" s="981" t="s">
        <v>4476</v>
      </c>
      <c r="C52" s="981"/>
      <c r="D52" s="969"/>
      <c r="E52" s="969"/>
      <c r="F52" s="969"/>
      <c r="G52" s="969"/>
      <c r="H52" s="969"/>
      <c r="I52" s="1050"/>
      <c r="J52" s="1050"/>
      <c r="K52" s="1050"/>
      <c r="L52" s="1050"/>
      <c r="M52" s="1050"/>
      <c r="N52" s="1048"/>
      <c r="O52" s="1048"/>
      <c r="P52" s="1048"/>
      <c r="Q52" s="979">
        <v>6510800000000</v>
      </c>
      <c r="R52" s="1048">
        <v>7442646000000</v>
      </c>
      <c r="S52" s="979">
        <v>8638242000000</v>
      </c>
      <c r="T52" s="979">
        <v>9788700000000</v>
      </c>
      <c r="U52" s="979">
        <v>9751128000000</v>
      </c>
      <c r="V52" s="979">
        <v>10377095999999.998</v>
      </c>
      <c r="W52" s="979">
        <v>11218708000000</v>
      </c>
    </row>
    <row r="53" spans="1:23">
      <c r="A53" s="981"/>
      <c r="B53" s="981" t="s">
        <v>4477</v>
      </c>
      <c r="C53" s="981"/>
      <c r="D53" s="969"/>
      <c r="E53" s="969"/>
      <c r="F53" s="969"/>
      <c r="G53" s="969"/>
      <c r="H53" s="969"/>
      <c r="I53" s="1050"/>
      <c r="J53" s="1050"/>
      <c r="K53" s="1050"/>
      <c r="L53" s="1050"/>
      <c r="M53" s="1050"/>
      <c r="N53" s="1048"/>
      <c r="O53" s="1048"/>
      <c r="P53" s="1048"/>
      <c r="Q53" s="979"/>
      <c r="R53" s="1048"/>
      <c r="S53" s="979"/>
      <c r="T53" s="979"/>
      <c r="U53" s="979"/>
      <c r="V53" s="979"/>
      <c r="W53" s="979"/>
    </row>
    <row r="54" spans="1:23">
      <c r="A54" s="981"/>
      <c r="B54" s="981" t="s">
        <v>4478</v>
      </c>
      <c r="C54" s="981"/>
      <c r="D54" s="969"/>
      <c r="E54" s="969"/>
      <c r="F54" s="969"/>
      <c r="G54" s="969"/>
      <c r="H54" s="969"/>
      <c r="I54" s="1050"/>
      <c r="J54" s="1050"/>
      <c r="K54" s="1050"/>
      <c r="L54" s="1050"/>
      <c r="M54" s="1050"/>
      <c r="N54" s="1048"/>
      <c r="O54" s="1048"/>
      <c r="P54" s="1048"/>
      <c r="Q54" s="979"/>
      <c r="R54" s="1048"/>
      <c r="S54" s="979"/>
      <c r="T54" s="979"/>
      <c r="U54" s="979"/>
      <c r="V54" s="979"/>
      <c r="W54" s="979"/>
    </row>
    <row r="55" spans="1:23">
      <c r="A55" s="981"/>
      <c r="B55" s="981" t="s">
        <v>4479</v>
      </c>
      <c r="C55" s="981"/>
      <c r="D55" s="969"/>
      <c r="E55" s="969"/>
      <c r="F55" s="969"/>
      <c r="G55" s="969"/>
      <c r="H55" s="969"/>
      <c r="I55" s="1050"/>
      <c r="J55" s="1050"/>
      <c r="K55" s="1050"/>
      <c r="L55" s="1050"/>
      <c r="M55" s="1050"/>
      <c r="N55" s="1048"/>
      <c r="O55" s="1048"/>
      <c r="P55" s="1048"/>
      <c r="Q55" s="979"/>
      <c r="R55" s="1048"/>
      <c r="S55" s="979"/>
      <c r="T55" s="979"/>
      <c r="U55" s="979"/>
      <c r="V55" s="979"/>
      <c r="W55" s="979"/>
    </row>
    <row r="56" spans="1:23">
      <c r="B56" s="981"/>
      <c r="C56" s="981"/>
      <c r="D56" s="969"/>
      <c r="E56" s="969"/>
      <c r="F56" s="969"/>
      <c r="G56" s="969"/>
      <c r="H56" s="969"/>
      <c r="I56" s="969"/>
      <c r="J56" s="969"/>
      <c r="K56" s="969"/>
      <c r="L56" s="969"/>
      <c r="M56" s="969"/>
      <c r="N56" s="969"/>
      <c r="O56" s="969"/>
      <c r="P56" s="969"/>
      <c r="Q56" s="969"/>
      <c r="R56" s="969"/>
      <c r="S56" s="969"/>
      <c r="T56" s="969"/>
      <c r="U56" s="969"/>
      <c r="V56" s="969"/>
      <c r="W56" s="969"/>
    </row>
    <row r="57" spans="1:23">
      <c r="C57" s="981"/>
      <c r="D57" s="969"/>
      <c r="E57" s="969"/>
      <c r="F57" s="969"/>
      <c r="G57" s="969"/>
      <c r="H57" s="969"/>
      <c r="I57" s="972" t="s">
        <v>139</v>
      </c>
      <c r="J57" s="972" t="s">
        <v>139</v>
      </c>
      <c r="K57" s="972" t="s">
        <v>139</v>
      </c>
      <c r="L57" s="972" t="s">
        <v>139</v>
      </c>
      <c r="M57" s="972" t="s">
        <v>139</v>
      </c>
      <c r="N57" s="972" t="s">
        <v>139</v>
      </c>
      <c r="O57" s="972" t="s">
        <v>139</v>
      </c>
      <c r="P57" s="972" t="s">
        <v>139</v>
      </c>
      <c r="Q57" s="972" t="s">
        <v>139</v>
      </c>
      <c r="R57" s="972" t="s">
        <v>139</v>
      </c>
      <c r="S57" s="972" t="s">
        <v>139</v>
      </c>
      <c r="T57" s="972" t="s">
        <v>139</v>
      </c>
      <c r="U57" s="972" t="s">
        <v>139</v>
      </c>
      <c r="V57" s="972" t="s">
        <v>139</v>
      </c>
      <c r="W57" s="972" t="s">
        <v>139</v>
      </c>
    </row>
    <row r="58" spans="1:23">
      <c r="C58" s="981"/>
      <c r="D58" s="969"/>
      <c r="E58" s="969"/>
      <c r="F58" s="969"/>
      <c r="G58" s="969"/>
      <c r="H58" s="969"/>
      <c r="N58" s="972" t="s">
        <v>1760</v>
      </c>
      <c r="O58" s="972" t="s">
        <v>1760</v>
      </c>
      <c r="P58" s="972" t="s">
        <v>1760</v>
      </c>
    </row>
    <row r="59" spans="1:23">
      <c r="C59" s="981"/>
      <c r="D59" s="969"/>
      <c r="E59" s="969"/>
      <c r="F59" s="969"/>
      <c r="G59" s="969"/>
      <c r="H59" s="969"/>
      <c r="I59" s="969"/>
      <c r="J59" s="969"/>
      <c r="K59" s="969"/>
      <c r="L59" s="969"/>
      <c r="M59" s="969"/>
      <c r="N59" s="969"/>
      <c r="O59" s="969"/>
      <c r="P59" s="969"/>
      <c r="Q59" s="969"/>
      <c r="R59" s="969"/>
      <c r="S59" s="969"/>
      <c r="T59" s="969"/>
      <c r="U59" s="969"/>
      <c r="V59" s="969"/>
      <c r="W59" s="969"/>
    </row>
    <row r="60" spans="1:23">
      <c r="B60" s="972" t="s">
        <v>449</v>
      </c>
      <c r="C60" s="981"/>
      <c r="D60" s="969"/>
      <c r="E60" s="969"/>
      <c r="F60" s="969"/>
      <c r="G60" s="969"/>
      <c r="H60" s="969"/>
      <c r="I60" s="1051">
        <f t="shared" ref="I60:W60" si="6">I6-I7-I22</f>
        <v>0</v>
      </c>
      <c r="J60" s="1051">
        <f t="shared" si="6"/>
        <v>0</v>
      </c>
      <c r="K60" s="1051">
        <f t="shared" si="6"/>
        <v>0</v>
      </c>
      <c r="L60" s="1051">
        <f t="shared" si="6"/>
        <v>0</v>
      </c>
      <c r="M60" s="1051">
        <f t="shared" si="6"/>
        <v>0</v>
      </c>
      <c r="N60" s="1051">
        <f t="shared" si="6"/>
        <v>0</v>
      </c>
      <c r="O60" s="1051">
        <f t="shared" si="6"/>
        <v>0</v>
      </c>
      <c r="P60" s="1051">
        <f t="shared" si="6"/>
        <v>0</v>
      </c>
      <c r="Q60" s="1051">
        <f t="shared" si="6"/>
        <v>0</v>
      </c>
      <c r="R60" s="1051">
        <f t="shared" ref="R60" si="7">R6-R7-R22</f>
        <v>0</v>
      </c>
      <c r="S60" s="1051">
        <f t="shared" si="6"/>
        <v>0</v>
      </c>
      <c r="T60" s="1051">
        <f t="shared" si="6"/>
        <v>0</v>
      </c>
      <c r="U60" s="1051">
        <f t="shared" si="6"/>
        <v>0</v>
      </c>
      <c r="V60" s="1051">
        <f t="shared" si="6"/>
        <v>0</v>
      </c>
      <c r="W60" s="1051">
        <f t="shared" si="6"/>
        <v>0</v>
      </c>
    </row>
    <row r="61" spans="1:23">
      <c r="B61" s="972" t="s">
        <v>141</v>
      </c>
      <c r="C61" s="981"/>
      <c r="D61" s="969"/>
      <c r="E61" s="969"/>
      <c r="F61" s="969"/>
      <c r="G61" s="969"/>
      <c r="H61" s="969"/>
      <c r="I61" s="1051">
        <f t="shared" ref="I61:W61" si="8">I7-I8-I16-I15</f>
        <v>0</v>
      </c>
      <c r="J61" s="1051">
        <f t="shared" si="8"/>
        <v>0</v>
      </c>
      <c r="K61" s="1051">
        <f t="shared" si="8"/>
        <v>0</v>
      </c>
      <c r="L61" s="1051">
        <f t="shared" si="8"/>
        <v>0</v>
      </c>
      <c r="M61" s="1051">
        <f t="shared" si="8"/>
        <v>0</v>
      </c>
      <c r="N61" s="1051">
        <f t="shared" si="8"/>
        <v>0</v>
      </c>
      <c r="O61" s="1051">
        <f t="shared" si="8"/>
        <v>0</v>
      </c>
      <c r="P61" s="1051">
        <f t="shared" si="8"/>
        <v>0</v>
      </c>
      <c r="Q61" s="1051">
        <f>Q7-Q8-Q16-Q15</f>
        <v>0</v>
      </c>
      <c r="R61" s="1051">
        <f>R7-R8-R16-R15</f>
        <v>0</v>
      </c>
      <c r="S61" s="1051">
        <f t="shared" si="8"/>
        <v>-4.8828125E-4</v>
      </c>
      <c r="T61" s="1051">
        <f>T7-T8-T16-T15</f>
        <v>0</v>
      </c>
      <c r="U61" s="1051">
        <f>U7-U8-U16-U15</f>
        <v>0</v>
      </c>
      <c r="V61" s="1051">
        <f t="shared" si="8"/>
        <v>0</v>
      </c>
      <c r="W61" s="1051">
        <f t="shared" si="8"/>
        <v>0</v>
      </c>
    </row>
    <row r="62" spans="1:23">
      <c r="B62" s="972" t="s">
        <v>142</v>
      </c>
      <c r="C62" s="981"/>
      <c r="D62" s="969"/>
      <c r="E62" s="969"/>
      <c r="F62" s="969"/>
      <c r="G62" s="969"/>
      <c r="H62" s="969"/>
      <c r="I62" s="1051">
        <f>I8-I9-I10-I13-I14</f>
        <v>6.103515625E-5</v>
      </c>
      <c r="J62" s="1051">
        <f t="shared" ref="J62:W62" si="9">J8-J9-J10-J13-J14</f>
        <v>6.866455078125E-5</v>
      </c>
      <c r="K62" s="1051">
        <f t="shared" si="9"/>
        <v>-6.103515625E-5</v>
      </c>
      <c r="L62" s="1051">
        <f>L8-L9-L10-L13-L14</f>
        <v>0</v>
      </c>
      <c r="M62" s="1051">
        <f>M8-M9-M10-M13-M14</f>
        <v>0</v>
      </c>
      <c r="N62" s="1051">
        <f>N8-N9-N10-N13-N14</f>
        <v>0</v>
      </c>
      <c r="O62" s="1051">
        <f t="shared" si="9"/>
        <v>0</v>
      </c>
      <c r="P62" s="1051">
        <f t="shared" si="9"/>
        <v>3.662109375E-4</v>
      </c>
      <c r="Q62" s="1051">
        <f t="shared" si="9"/>
        <v>1.220703125E-4</v>
      </c>
      <c r="R62" s="1051">
        <f t="shared" ref="R62" si="10">R8-R9-R10-R13-R14</f>
        <v>0</v>
      </c>
      <c r="S62" s="1051">
        <f>S8-S9-S10-S13-S14</f>
        <v>0</v>
      </c>
      <c r="T62" s="1051">
        <f>T8-T9-T10-T13-T14</f>
        <v>2.44140625E-4</v>
      </c>
      <c r="U62" s="1051">
        <f>U8-U9-U10-U13-U14</f>
        <v>2.44140625E-4</v>
      </c>
      <c r="V62" s="1051">
        <f>V8-V9-V10-V13-V14</f>
        <v>0</v>
      </c>
      <c r="W62" s="1051">
        <f t="shared" si="9"/>
        <v>0</v>
      </c>
    </row>
    <row r="63" spans="1:23">
      <c r="B63" s="972" t="s">
        <v>3209</v>
      </c>
      <c r="C63" s="981"/>
      <c r="D63" s="969"/>
      <c r="E63" s="969"/>
      <c r="F63" s="969"/>
      <c r="G63" s="969"/>
      <c r="H63" s="969"/>
      <c r="I63" s="1051">
        <f>I10-I11-I12</f>
        <v>0</v>
      </c>
      <c r="J63" s="1051">
        <f t="shared" ref="J63:U63" si="11">J10-J11-J12</f>
        <v>0</v>
      </c>
      <c r="K63" s="1051">
        <f t="shared" si="11"/>
        <v>0</v>
      </c>
      <c r="L63" s="1051">
        <f t="shared" si="11"/>
        <v>0</v>
      </c>
      <c r="M63" s="1051">
        <f t="shared" si="11"/>
        <v>0</v>
      </c>
      <c r="N63" s="1051">
        <f t="shared" si="11"/>
        <v>0</v>
      </c>
      <c r="O63" s="1051">
        <f t="shared" si="11"/>
        <v>0</v>
      </c>
      <c r="P63" s="1051">
        <f t="shared" si="11"/>
        <v>-2.288818359375E-4</v>
      </c>
      <c r="Q63" s="1051">
        <f t="shared" si="11"/>
        <v>0</v>
      </c>
      <c r="R63" s="1051">
        <f t="shared" ref="R63" si="12">R10-R11-R12</f>
        <v>0</v>
      </c>
      <c r="S63" s="1051">
        <f>S10-S11-S12</f>
        <v>0</v>
      </c>
      <c r="T63" s="1051">
        <f>T10-T11-T12</f>
        <v>0</v>
      </c>
      <c r="U63" s="1051">
        <f t="shared" si="11"/>
        <v>0</v>
      </c>
      <c r="V63" s="1051">
        <f>V10-V11-V12</f>
        <v>0</v>
      </c>
      <c r="W63" s="1051">
        <f>W10-W11-W12</f>
        <v>0</v>
      </c>
    </row>
    <row r="64" spans="1:23">
      <c r="B64" s="972" t="s">
        <v>1038</v>
      </c>
      <c r="C64" s="981"/>
      <c r="D64" s="969"/>
      <c r="E64" s="969"/>
      <c r="F64" s="969"/>
      <c r="G64" s="969"/>
      <c r="H64" s="969"/>
      <c r="I64" s="1051">
        <f t="shared" ref="I64:W64" si="13">I16-I17-I19</f>
        <v>0</v>
      </c>
      <c r="J64" s="1051">
        <f t="shared" si="13"/>
        <v>0</v>
      </c>
      <c r="K64" s="1051">
        <f t="shared" si="13"/>
        <v>0</v>
      </c>
      <c r="L64" s="1051">
        <f t="shared" si="13"/>
        <v>0</v>
      </c>
      <c r="M64" s="1051">
        <f t="shared" si="13"/>
        <v>0</v>
      </c>
      <c r="N64" s="1051">
        <f t="shared" si="13"/>
        <v>0</v>
      </c>
      <c r="O64" s="1051">
        <f t="shared" si="13"/>
        <v>0</v>
      </c>
      <c r="P64" s="1051">
        <f t="shared" si="13"/>
        <v>0</v>
      </c>
      <c r="Q64" s="1051">
        <f>Q16-Q17-Q19</f>
        <v>0</v>
      </c>
      <c r="R64" s="1051">
        <f t="shared" ref="R64" si="14">R16-R17-R19</f>
        <v>0</v>
      </c>
      <c r="S64" s="1051">
        <f t="shared" si="13"/>
        <v>0</v>
      </c>
      <c r="T64" s="1051">
        <f>T16-T17-T19</f>
        <v>0</v>
      </c>
      <c r="U64" s="1051">
        <f>U16-U17-U19</f>
        <v>0</v>
      </c>
      <c r="V64" s="1051">
        <f>V16-V17-V19</f>
        <v>0</v>
      </c>
      <c r="W64" s="1051">
        <f t="shared" si="13"/>
        <v>0</v>
      </c>
    </row>
    <row r="65" spans="2:23">
      <c r="B65" s="972" t="s">
        <v>2345</v>
      </c>
      <c r="C65" s="981"/>
      <c r="D65" s="969"/>
      <c r="E65" s="969"/>
      <c r="F65" s="969"/>
      <c r="G65" s="969"/>
      <c r="H65" s="969"/>
      <c r="I65" s="1051">
        <f>I19-I20-I21</f>
        <v>-1.220703125E-4</v>
      </c>
      <c r="J65" s="1051">
        <f t="shared" ref="J65:W65" si="15">J19-J20-J21</f>
        <v>1.220703125E-4</v>
      </c>
      <c r="K65" s="1051">
        <f t="shared" si="15"/>
        <v>0</v>
      </c>
      <c r="L65" s="1051">
        <f t="shared" si="15"/>
        <v>0</v>
      </c>
      <c r="M65" s="1051">
        <f>M19-M20-M21</f>
        <v>0</v>
      </c>
      <c r="N65" s="1696">
        <f t="shared" si="15"/>
        <v>796920000000</v>
      </c>
      <c r="O65" s="1696">
        <f t="shared" si="15"/>
        <v>712950000000</v>
      </c>
      <c r="P65" s="1696">
        <f t="shared" si="15"/>
        <v>796977000000</v>
      </c>
      <c r="Q65" s="1696">
        <f t="shared" si="15"/>
        <v>830127000000</v>
      </c>
      <c r="R65" s="1696">
        <f t="shared" ref="R65" si="16">R19-R20-R21</f>
        <v>803666000000</v>
      </c>
      <c r="S65" s="1696">
        <f t="shared" si="15"/>
        <v>722943000000</v>
      </c>
      <c r="T65" s="1696">
        <f t="shared" si="15"/>
        <v>623100000000</v>
      </c>
      <c r="U65" s="1696">
        <f t="shared" si="15"/>
        <v>812594000000.00012</v>
      </c>
      <c r="V65" s="1696">
        <f t="shared" si="15"/>
        <v>829220000000.00012</v>
      </c>
      <c r="W65" s="1696">
        <f t="shared" si="15"/>
        <v>819216000000</v>
      </c>
    </row>
    <row r="66" spans="2:23">
      <c r="B66" s="972" t="s">
        <v>1207</v>
      </c>
      <c r="C66" s="981"/>
      <c r="D66" s="969"/>
      <c r="E66" s="969"/>
      <c r="F66" s="969"/>
      <c r="G66" s="969"/>
      <c r="H66" s="969"/>
      <c r="I66" s="1051">
        <f>I23-I24-I40</f>
        <v>-4.8828125E-4</v>
      </c>
      <c r="J66" s="1051">
        <f>J23-J24-J40</f>
        <v>0</v>
      </c>
      <c r="K66" s="1051">
        <f t="shared" ref="K66:V66" si="17">K23-K24-K40</f>
        <v>0</v>
      </c>
      <c r="L66" s="1051">
        <f t="shared" si="17"/>
        <v>0</v>
      </c>
      <c r="M66" s="1051">
        <f t="shared" si="17"/>
        <v>0</v>
      </c>
      <c r="N66" s="1051">
        <f>N23-N24-N40</f>
        <v>0</v>
      </c>
      <c r="O66" s="1051">
        <f t="shared" si="17"/>
        <v>0</v>
      </c>
      <c r="P66" s="1051">
        <f t="shared" si="17"/>
        <v>0</v>
      </c>
      <c r="Q66" s="1051">
        <f>Q23-Q24-Q40</f>
        <v>-1.0986328125E-3</v>
      </c>
      <c r="R66" s="1051">
        <f t="shared" ref="R66" si="18">R23-R24-R40</f>
        <v>0</v>
      </c>
      <c r="S66" s="1051">
        <f t="shared" si="17"/>
        <v>0</v>
      </c>
      <c r="T66" s="1051">
        <f>T23-T24-T40</f>
        <v>0</v>
      </c>
      <c r="U66" s="1051">
        <f>U23-U24-U40</f>
        <v>0</v>
      </c>
      <c r="V66" s="1051">
        <f t="shared" si="17"/>
        <v>0</v>
      </c>
      <c r="W66" s="1051">
        <f>W23-W24-W40</f>
        <v>0</v>
      </c>
    </row>
    <row r="67" spans="2:23">
      <c r="B67" s="972" t="s">
        <v>4480</v>
      </c>
      <c r="C67" s="981"/>
      <c r="D67" s="969"/>
      <c r="E67" s="969"/>
      <c r="F67" s="969"/>
      <c r="G67" s="969"/>
      <c r="H67" s="969"/>
      <c r="I67" s="1051">
        <f>I24-I25-I26-I27-I30-I33-I34-I35</f>
        <v>5.79833984375E-4</v>
      </c>
      <c r="J67" s="1051">
        <f>J24-J25-J26-J27-J30-J33-J34-J35</f>
        <v>0</v>
      </c>
      <c r="K67" s="1051">
        <f t="shared" ref="K67:W67" si="19">K24-K25-K26-K27-K30-K33-K34-K35</f>
        <v>0</v>
      </c>
      <c r="L67" s="1051">
        <f t="shared" si="19"/>
        <v>0</v>
      </c>
      <c r="M67" s="1051">
        <f t="shared" si="19"/>
        <v>0</v>
      </c>
      <c r="N67" s="1051">
        <f t="shared" si="19"/>
        <v>6.103515625E-5</v>
      </c>
      <c r="O67" s="1051">
        <f t="shared" si="19"/>
        <v>0</v>
      </c>
      <c r="P67" s="1051">
        <f>P24-P25-P26-P27-P30-P33-P34-P35</f>
        <v>0</v>
      </c>
      <c r="Q67" s="1051">
        <f>Q24-Q25-Q26-Q27-Q30-Q33-Q34-Q35</f>
        <v>6.103515625E-5</v>
      </c>
      <c r="R67" s="1051">
        <f t="shared" ref="R67" si="20">R24-R25-R26-R27-R30-R33-R34-R35</f>
        <v>0</v>
      </c>
      <c r="S67" s="1051">
        <f>S24-S25-S26-S27-S30-S33-S34-S35</f>
        <v>0</v>
      </c>
      <c r="T67" s="1051">
        <f t="shared" si="19"/>
        <v>-1.220703125E-4</v>
      </c>
      <c r="U67" s="1051">
        <f t="shared" si="19"/>
        <v>-1.220703125E-4</v>
      </c>
      <c r="V67" s="1051">
        <f>V24-V25-V26-V27-V30-V33-V34-V35</f>
        <v>0</v>
      </c>
      <c r="W67" s="1051">
        <f t="shared" si="19"/>
        <v>0</v>
      </c>
    </row>
    <row r="68" spans="2:23">
      <c r="B68" s="972" t="s">
        <v>291</v>
      </c>
      <c r="C68" s="981"/>
      <c r="D68" s="969"/>
      <c r="E68" s="969"/>
      <c r="F68" s="969"/>
      <c r="G68" s="969"/>
      <c r="H68" s="969"/>
      <c r="I68" s="1051">
        <f t="shared" ref="I68:W68" si="21">I27-I28-I29</f>
        <v>0</v>
      </c>
      <c r="J68" s="1051">
        <f>J27-J28-J29</f>
        <v>0</v>
      </c>
      <c r="K68" s="1051">
        <f t="shared" si="21"/>
        <v>0</v>
      </c>
      <c r="L68" s="1051">
        <f>L27-L28-L29</f>
        <v>0</v>
      </c>
      <c r="M68" s="1051">
        <f>M27-M28-M29</f>
        <v>0</v>
      </c>
      <c r="N68" s="1696">
        <f t="shared" si="21"/>
        <v>332049999999.99994</v>
      </c>
      <c r="O68" s="1696">
        <f t="shared" si="21"/>
        <v>349200000000</v>
      </c>
      <c r="P68" s="1696">
        <f t="shared" si="21"/>
        <v>390675000000</v>
      </c>
      <c r="Q68" s="1696">
        <f t="shared" si="21"/>
        <v>488310000000</v>
      </c>
      <c r="R68" s="1696">
        <f t="shared" ref="R68" si="22">R27-R28-R29</f>
        <v>524130000000</v>
      </c>
      <c r="S68" s="1696">
        <f t="shared" si="21"/>
        <v>537572999999.99994</v>
      </c>
      <c r="T68" s="1696">
        <f t="shared" si="21"/>
        <v>663300000000</v>
      </c>
      <c r="U68" s="1696">
        <f t="shared" si="21"/>
        <v>702784000000</v>
      </c>
      <c r="V68" s="1696">
        <f t="shared" si="21"/>
        <v>734452000000</v>
      </c>
      <c r="W68" s="1696">
        <f t="shared" si="21"/>
        <v>819216000000</v>
      </c>
    </row>
    <row r="69" spans="2:23">
      <c r="B69" s="972" t="s">
        <v>292</v>
      </c>
      <c r="C69" s="981"/>
      <c r="D69" s="969"/>
      <c r="E69" s="969"/>
      <c r="F69" s="969"/>
      <c r="G69" s="969"/>
      <c r="H69" s="969"/>
      <c r="I69" s="1696">
        <f>I30-I31-I32</f>
        <v>203434000000.00003</v>
      </c>
      <c r="J69" s="1696">
        <f t="shared" ref="J69:W69" si="23">J30-J31-J32</f>
        <v>269724000000</v>
      </c>
      <c r="K69" s="1696">
        <f t="shared" si="23"/>
        <v>294164000000</v>
      </c>
      <c r="L69" s="1696">
        <f t="shared" si="23"/>
        <v>535744000000</v>
      </c>
      <c r="M69" s="1696">
        <f t="shared" si="23"/>
        <v>369830000000</v>
      </c>
      <c r="N69" s="1051">
        <f t="shared" si="23"/>
        <v>0</v>
      </c>
      <c r="O69" s="1051">
        <f>O30-O31-O32</f>
        <v>0</v>
      </c>
      <c r="P69" s="1051">
        <f t="shared" si="23"/>
        <v>0</v>
      </c>
      <c r="Q69" s="1051">
        <f t="shared" si="23"/>
        <v>0</v>
      </c>
      <c r="R69" s="1051">
        <f t="shared" ref="R69" si="24">R30-R31-R32</f>
        <v>0</v>
      </c>
      <c r="S69" s="1051">
        <f t="shared" si="23"/>
        <v>0</v>
      </c>
      <c r="T69" s="1051">
        <f t="shared" si="23"/>
        <v>0</v>
      </c>
      <c r="U69" s="1051">
        <f t="shared" si="23"/>
        <v>0</v>
      </c>
      <c r="V69" s="1051">
        <f t="shared" si="23"/>
        <v>0</v>
      </c>
      <c r="W69" s="1051">
        <f t="shared" si="23"/>
        <v>0</v>
      </c>
    </row>
    <row r="70" spans="2:23">
      <c r="B70" s="972" t="s">
        <v>2474</v>
      </c>
      <c r="C70" s="981"/>
      <c r="D70" s="969"/>
      <c r="E70" s="969"/>
      <c r="F70" s="969"/>
      <c r="G70" s="969"/>
      <c r="H70" s="969"/>
      <c r="I70" s="1051">
        <f>I35-I36-I38-I37-I39</f>
        <v>0</v>
      </c>
      <c r="J70" s="1051">
        <f>J35-J36-J38-J37-J39</f>
        <v>7.62939453125E-6</v>
      </c>
      <c r="K70" s="1051">
        <f t="shared" ref="K70:W70" si="25">K35-K36-K38-K37-K39</f>
        <v>0</v>
      </c>
      <c r="L70" s="1051">
        <f t="shared" si="25"/>
        <v>2.86102294921875E-5</v>
      </c>
      <c r="M70" s="1051">
        <f t="shared" si="25"/>
        <v>0</v>
      </c>
      <c r="N70" s="1696">
        <f t="shared" si="25"/>
        <v>66410000000</v>
      </c>
      <c r="O70" s="1696">
        <f t="shared" si="25"/>
        <v>72750000000</v>
      </c>
      <c r="P70" s="1696">
        <f t="shared" si="25"/>
        <v>93761999999.999985</v>
      </c>
      <c r="Q70" s="1696">
        <f>Q35-Q36-Q38-Q37-Q39</f>
        <v>65108000000</v>
      </c>
      <c r="R70" s="1696">
        <f t="shared" ref="R70" si="26">R35-R36-R38-R37-R39</f>
        <v>87355000000</v>
      </c>
      <c r="S70" s="1696">
        <f t="shared" si="25"/>
        <v>0</v>
      </c>
      <c r="T70" s="1696">
        <f t="shared" si="25"/>
        <v>0</v>
      </c>
      <c r="U70" s="1696">
        <f t="shared" si="25"/>
        <v>0</v>
      </c>
      <c r="V70" s="1696">
        <f t="shared" si="25"/>
        <v>94768000000</v>
      </c>
      <c r="W70" s="1696">
        <f t="shared" si="25"/>
        <v>0</v>
      </c>
    </row>
    <row r="71" spans="2:23">
      <c r="B71" s="972" t="s">
        <v>4481</v>
      </c>
      <c r="C71" s="981"/>
      <c r="D71" s="969"/>
      <c r="E71" s="969"/>
      <c r="F71" s="969"/>
      <c r="G71" s="969"/>
      <c r="H71" s="969"/>
      <c r="I71" s="1051">
        <f t="shared" ref="I71:W71" si="27">I46-I47-I48</f>
        <v>0</v>
      </c>
      <c r="J71" s="1051">
        <f t="shared" si="27"/>
        <v>0</v>
      </c>
      <c r="K71" s="1051">
        <f t="shared" si="27"/>
        <v>0</v>
      </c>
      <c r="L71" s="1051">
        <f t="shared" si="27"/>
        <v>0</v>
      </c>
      <c r="M71" s="1051">
        <f t="shared" si="27"/>
        <v>0</v>
      </c>
      <c r="N71" s="1696">
        <f t="shared" si="27"/>
        <v>519938999999.99994</v>
      </c>
      <c r="O71" s="1696">
        <f t="shared" si="27"/>
        <v>493846000000</v>
      </c>
      <c r="P71" s="1696">
        <f t="shared" si="27"/>
        <v>589773000000</v>
      </c>
      <c r="Q71" s="1696">
        <f t="shared" si="27"/>
        <v>602249000000</v>
      </c>
      <c r="R71" s="1696">
        <f t="shared" ref="R71" si="28">R46-R47-R48</f>
        <v>786195000000</v>
      </c>
      <c r="S71" s="1696">
        <f t="shared" si="27"/>
        <v>741480000000</v>
      </c>
      <c r="T71" s="1696">
        <f t="shared" si="27"/>
        <v>562800000000</v>
      </c>
      <c r="U71" s="1696">
        <f t="shared" si="27"/>
        <v>307468000000</v>
      </c>
      <c r="V71" s="1696">
        <f t="shared" si="27"/>
        <v>574526450000</v>
      </c>
      <c r="W71" s="1696">
        <f t="shared" si="27"/>
        <v>610846225000</v>
      </c>
    </row>
    <row r="72" spans="2:23" ht="16.5" thickBot="1">
      <c r="C72" s="981"/>
      <c r="D72" s="969"/>
      <c r="E72" s="969"/>
      <c r="F72" s="969"/>
      <c r="G72" s="969"/>
      <c r="H72" s="969"/>
      <c r="I72" s="969"/>
      <c r="J72" s="969"/>
      <c r="K72" s="969"/>
      <c r="L72" s="969"/>
      <c r="M72" s="969"/>
      <c r="N72" s="969"/>
      <c r="O72" s="969"/>
      <c r="P72" s="969"/>
      <c r="Q72" s="1233"/>
      <c r="R72" s="1233"/>
      <c r="S72" s="1233"/>
      <c r="T72" s="1233"/>
      <c r="U72" s="1233"/>
      <c r="V72" s="1233"/>
      <c r="W72" s="1233"/>
    </row>
    <row r="73" spans="2:23" ht="16.5" thickBot="1">
      <c r="B73" s="972" t="s">
        <v>623</v>
      </c>
      <c r="C73" s="981"/>
      <c r="D73" s="1135">
        <v>6464302000000</v>
      </c>
      <c r="E73" s="1136">
        <v>6770398000000</v>
      </c>
      <c r="F73" s="1136">
        <v>7160499000000</v>
      </c>
      <c r="G73" s="1136">
        <v>7695624000000</v>
      </c>
      <c r="H73" s="1136">
        <v>8693240000000</v>
      </c>
      <c r="I73" s="1136">
        <v>9441350000000</v>
      </c>
      <c r="J73" s="1136">
        <v>10538115000000</v>
      </c>
      <c r="K73" s="1136">
        <v>11403263000000</v>
      </c>
      <c r="L73" s="1136">
        <v>12256863000000</v>
      </c>
      <c r="M73" s="1136">
        <v>12093890000000</v>
      </c>
      <c r="N73" s="1136">
        <v>13282061000000</v>
      </c>
      <c r="O73" s="1136">
        <v>14550014000000</v>
      </c>
      <c r="P73" s="1136">
        <v>15627713000000</v>
      </c>
      <c r="Q73" s="1233">
        <v>16277000000000</v>
      </c>
      <c r="R73" s="1233">
        <v>17471000000000</v>
      </c>
      <c r="S73" s="1233">
        <v>18537000000000</v>
      </c>
      <c r="T73" s="1233">
        <v>20100000000000</v>
      </c>
      <c r="U73" s="1233">
        <v>21962000000000</v>
      </c>
      <c r="V73" s="1233">
        <v>22981058000000</v>
      </c>
      <c r="W73" s="1233">
        <v>24433849000000</v>
      </c>
    </row>
    <row r="74" spans="2:23">
      <c r="B74" s="972" t="s">
        <v>2303</v>
      </c>
      <c r="C74" s="981"/>
      <c r="D74" s="969"/>
      <c r="E74" s="969"/>
      <c r="F74" s="969"/>
      <c r="G74" s="969"/>
      <c r="H74" s="969"/>
      <c r="I74" s="1006">
        <f t="shared" ref="I74:W74" si="29">((I7/I73))*100</f>
        <v>20.567715422052991</v>
      </c>
      <c r="J74" s="1006">
        <f t="shared" si="29"/>
        <v>21.854269003517231</v>
      </c>
      <c r="K74" s="1006">
        <f t="shared" si="29"/>
        <v>22.224656223398515</v>
      </c>
      <c r="L74" s="1006">
        <f t="shared" si="29"/>
        <v>25.232426926857222</v>
      </c>
      <c r="M74" s="1006">
        <f t="shared" si="29"/>
        <v>23.477474989436814</v>
      </c>
      <c r="N74" s="1006">
        <f t="shared" si="29"/>
        <v>22.499896665133519</v>
      </c>
      <c r="O74" s="1006">
        <f t="shared" si="29"/>
        <v>23.699977195898231</v>
      </c>
      <c r="P74" s="1006">
        <f t="shared" si="29"/>
        <v>23.898909584531019</v>
      </c>
      <c r="Q74" s="1006">
        <f t="shared" si="29"/>
        <v>24</v>
      </c>
      <c r="R74" s="1006">
        <f t="shared" ref="R74" si="30">((R7/R73))*100</f>
        <v>23.1</v>
      </c>
      <c r="S74" s="1006">
        <f t="shared" si="29"/>
        <v>22.7</v>
      </c>
      <c r="T74" s="1006">
        <f t="shared" si="29"/>
        <v>22.400000000000002</v>
      </c>
      <c r="U74" s="1006">
        <f t="shared" si="29"/>
        <v>22</v>
      </c>
      <c r="V74" s="1006">
        <f t="shared" si="29"/>
        <v>20.824907190957003</v>
      </c>
      <c r="W74" s="1006">
        <f t="shared" si="29"/>
        <v>19.557950120752569</v>
      </c>
    </row>
    <row r="75" spans="2:23">
      <c r="B75" s="972" t="s">
        <v>4482</v>
      </c>
      <c r="C75" s="981"/>
      <c r="D75" s="969"/>
      <c r="E75" s="969"/>
      <c r="F75" s="969"/>
      <c r="G75" s="969"/>
      <c r="H75" s="969"/>
      <c r="I75" s="1006">
        <f t="shared" ref="I75:W75" si="31">(I23/I73)*100</f>
        <v>20.763598426072541</v>
      </c>
      <c r="J75" s="1006">
        <f t="shared" si="31"/>
        <v>21.95271165668623</v>
      </c>
      <c r="K75" s="1006">
        <f t="shared" si="31"/>
        <v>22.125439008115482</v>
      </c>
      <c r="L75" s="1006">
        <f t="shared" si="31"/>
        <v>25.331767190348785</v>
      </c>
      <c r="M75" s="1006">
        <f t="shared" si="31"/>
        <v>25.746306606063062</v>
      </c>
      <c r="N75" s="1006">
        <f t="shared" si="31"/>
        <v>26.699877375958447</v>
      </c>
      <c r="O75" s="1006">
        <f t="shared" si="31"/>
        <v>27.099973924423715</v>
      </c>
      <c r="P75" s="1006">
        <f t="shared" si="31"/>
        <v>27.598740775441676</v>
      </c>
      <c r="Q75" s="1006">
        <f t="shared" si="31"/>
        <v>27.699999999999992</v>
      </c>
      <c r="R75" s="1006">
        <f t="shared" ref="R75" si="32">(R23/R73)*100</f>
        <v>27.400000000000002</v>
      </c>
      <c r="S75" s="1006">
        <f t="shared" si="31"/>
        <v>26.700000000000003</v>
      </c>
      <c r="T75" s="1006">
        <f t="shared" si="31"/>
        <v>25.6</v>
      </c>
      <c r="U75" s="1006">
        <f t="shared" si="31"/>
        <v>23.400000000000002</v>
      </c>
      <c r="V75" s="1006">
        <f t="shared" si="31"/>
        <v>23.505340789793056</v>
      </c>
      <c r="W75" s="1006">
        <f t="shared" si="31"/>
        <v>22.258809899332686</v>
      </c>
    </row>
    <row r="78" spans="2:23">
      <c r="G78" s="995"/>
    </row>
    <row r="82" spans="10:10">
      <c r="J82" s="995"/>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04" bestFit="1" customWidth="1"/>
    <col min="2" max="2" width="41.28515625" style="1704" bestFit="1" customWidth="1"/>
    <col min="3" max="3" width="19.42578125" style="1704" bestFit="1" customWidth="1"/>
    <col min="4" max="17" width="11.7109375" style="1704" bestFit="1" customWidth="1"/>
    <col min="18" max="24" width="12" style="1704" bestFit="1" customWidth="1"/>
    <col min="25" max="26" width="13.7109375" style="1704" bestFit="1" customWidth="1"/>
    <col min="27" max="27" width="8.85546875" style="1570"/>
  </cols>
  <sheetData>
    <row r="1" spans="1:47">
      <c r="A1" s="1698" t="s">
        <v>4483</v>
      </c>
      <c r="B1" s="1699" t="s">
        <v>4484</v>
      </c>
      <c r="C1" s="1699"/>
      <c r="D1" s="1700"/>
      <c r="E1" s="1700"/>
      <c r="F1" s="1700"/>
      <c r="G1" s="1700"/>
      <c r="H1" s="1700"/>
      <c r="I1" s="1700"/>
      <c r="J1" s="1700"/>
      <c r="K1" s="1700"/>
      <c r="L1" s="1700"/>
      <c r="M1" s="1700"/>
      <c r="N1" s="1700"/>
      <c r="O1" s="1701"/>
      <c r="P1" s="1701"/>
      <c r="Q1" s="1701"/>
      <c r="R1" s="1702"/>
      <c r="S1" s="1701"/>
      <c r="T1" s="1701"/>
      <c r="U1" s="1701"/>
      <c r="V1" s="1701"/>
      <c r="W1" s="1701"/>
      <c r="X1" s="1701"/>
      <c r="Y1" s="1703"/>
      <c r="Z1" s="1703"/>
      <c r="AA1" s="1697"/>
      <c r="AB1" s="365"/>
      <c r="AC1" s="365"/>
      <c r="AD1" s="365"/>
      <c r="AE1" s="365"/>
      <c r="AF1" s="365"/>
      <c r="AG1" s="365"/>
      <c r="AH1" s="365"/>
      <c r="AI1" s="365"/>
      <c r="AJ1" s="365"/>
      <c r="AK1" s="365"/>
      <c r="AL1" s="365"/>
      <c r="AM1" s="365"/>
      <c r="AN1" s="365"/>
      <c r="AO1" s="365"/>
      <c r="AP1" s="365"/>
      <c r="AQ1" s="365"/>
      <c r="AR1" s="365"/>
      <c r="AS1" s="365"/>
      <c r="AT1" s="365"/>
      <c r="AU1" s="365" t="str">
        <f>IF(W1&lt;0,W1,"")</f>
        <v/>
      </c>
    </row>
    <row r="2" spans="1:47">
      <c r="B2" s="1705" t="s">
        <v>2306</v>
      </c>
      <c r="C2" s="1705"/>
      <c r="D2" s="1701"/>
      <c r="E2" s="1701"/>
      <c r="F2" s="1701"/>
      <c r="G2" s="1701"/>
      <c r="H2" s="1701"/>
      <c r="I2" s="1701"/>
      <c r="J2" s="1701"/>
      <c r="K2" s="1701"/>
      <c r="L2" s="1701"/>
      <c r="M2" s="1701"/>
      <c r="N2" s="1701"/>
      <c r="O2" s="1701"/>
      <c r="P2" s="1701"/>
      <c r="Q2" s="1701"/>
      <c r="R2" s="1706"/>
      <c r="S2" s="1707"/>
      <c r="T2" s="1708"/>
      <c r="U2" s="1701"/>
      <c r="V2" s="1701"/>
      <c r="W2" s="1701"/>
      <c r="X2" s="1701"/>
      <c r="Y2" s="1703"/>
      <c r="Z2" s="1703"/>
      <c r="AA2" s="1697"/>
      <c r="AB2" s="365"/>
      <c r="AC2" s="365"/>
      <c r="AD2" s="365"/>
      <c r="AE2" s="365"/>
      <c r="AF2" s="365"/>
      <c r="AG2" s="365"/>
      <c r="AH2" s="365"/>
      <c r="AI2" s="365"/>
      <c r="AJ2" s="365"/>
      <c r="AK2" s="365"/>
      <c r="AL2" s="365"/>
      <c r="AM2" s="365"/>
      <c r="AN2" s="365"/>
      <c r="AO2" s="365"/>
      <c r="AP2" s="365"/>
      <c r="AQ2" s="365"/>
      <c r="AR2" s="365"/>
      <c r="AS2" s="365"/>
      <c r="AT2" s="365"/>
      <c r="AU2" s="365" t="str">
        <f t="shared" ref="AU2:AU66" si="0">IF(W2&lt;0,W2,"")</f>
        <v/>
      </c>
    </row>
    <row r="3" spans="1:47">
      <c r="B3" s="1709" t="s">
        <v>3</v>
      </c>
      <c r="C3" s="1709"/>
      <c r="D3" s="1701">
        <v>2000</v>
      </c>
      <c r="E3" s="1701">
        <v>2001</v>
      </c>
      <c r="F3" s="1701">
        <v>2002</v>
      </c>
      <c r="G3" s="1701">
        <v>2003</v>
      </c>
      <c r="H3" s="1701">
        <v>2004</v>
      </c>
      <c r="I3" s="1701">
        <v>2005</v>
      </c>
      <c r="J3" s="1701">
        <v>2006</v>
      </c>
      <c r="K3" s="1701">
        <v>2007</v>
      </c>
      <c r="L3" s="1701">
        <v>2008</v>
      </c>
      <c r="M3" s="1701">
        <v>2009</v>
      </c>
      <c r="N3" s="1701">
        <v>2010</v>
      </c>
      <c r="O3" s="1701">
        <v>2011</v>
      </c>
      <c r="P3" s="1701">
        <v>2012</v>
      </c>
      <c r="Q3" s="1701">
        <v>2013</v>
      </c>
      <c r="R3" s="1701">
        <v>2014</v>
      </c>
      <c r="S3" s="1701">
        <v>2015</v>
      </c>
      <c r="T3" s="1701">
        <v>2016</v>
      </c>
      <c r="U3" s="1701">
        <v>2017</v>
      </c>
      <c r="V3" s="1701">
        <v>2018</v>
      </c>
      <c r="W3" s="1701">
        <v>2019</v>
      </c>
      <c r="X3" s="1701">
        <v>2020</v>
      </c>
      <c r="Y3" s="1701">
        <v>2021</v>
      </c>
      <c r="Z3" s="1701">
        <v>2022</v>
      </c>
      <c r="AA3" s="1697"/>
      <c r="AB3" s="365"/>
      <c r="AC3" s="365"/>
      <c r="AD3" s="365"/>
      <c r="AE3" s="365"/>
      <c r="AF3" s="365"/>
      <c r="AG3" s="365"/>
      <c r="AH3" s="365"/>
      <c r="AI3" s="365"/>
      <c r="AJ3" s="365"/>
      <c r="AK3" s="365"/>
      <c r="AL3" s="365"/>
      <c r="AM3" s="365"/>
      <c r="AN3" s="365"/>
      <c r="AO3" s="365"/>
      <c r="AP3" s="365"/>
      <c r="AQ3" s="365"/>
      <c r="AR3" s="365"/>
      <c r="AS3" s="365"/>
      <c r="AT3" s="365"/>
      <c r="AU3" s="365" t="str">
        <f t="shared" si="0"/>
        <v/>
      </c>
    </row>
    <row r="4" spans="1:47">
      <c r="B4" s="1709" t="s">
        <v>4</v>
      </c>
      <c r="C4" s="1709"/>
      <c r="D4" s="1701" t="s">
        <v>5</v>
      </c>
      <c r="E4" s="1701" t="s">
        <v>6</v>
      </c>
      <c r="F4" s="1701" t="s">
        <v>7</v>
      </c>
      <c r="G4" s="1701" t="s">
        <v>8</v>
      </c>
      <c r="H4" s="1701" t="s">
        <v>9</v>
      </c>
      <c r="I4" s="1701" t="s">
        <v>10</v>
      </c>
      <c r="J4" s="1701" t="s">
        <v>11</v>
      </c>
      <c r="K4" s="1701" t="s">
        <v>12</v>
      </c>
      <c r="L4" s="1701" t="s">
        <v>13</v>
      </c>
      <c r="M4" s="1701" t="s">
        <v>14</v>
      </c>
      <c r="N4" s="1701" t="s">
        <v>15</v>
      </c>
      <c r="O4" s="1701" t="s">
        <v>16</v>
      </c>
      <c r="P4" s="1701" t="s">
        <v>17</v>
      </c>
      <c r="Q4" s="1701" t="s">
        <v>18</v>
      </c>
      <c r="R4" s="1702" t="s">
        <v>19</v>
      </c>
      <c r="S4" s="1701" t="s">
        <v>20</v>
      </c>
      <c r="T4" s="1701" t="s">
        <v>21</v>
      </c>
      <c r="U4" s="1701" t="s">
        <v>22</v>
      </c>
      <c r="V4" s="1701" t="s">
        <v>23</v>
      </c>
      <c r="W4" s="1701" t="s">
        <v>24</v>
      </c>
      <c r="X4" s="1701" t="s">
        <v>25</v>
      </c>
      <c r="Y4" s="1731" t="s">
        <v>26</v>
      </c>
      <c r="Z4" s="1731" t="s">
        <v>27</v>
      </c>
      <c r="AA4" s="1697"/>
      <c r="AB4" s="365"/>
      <c r="AC4" s="365"/>
      <c r="AD4" s="365"/>
      <c r="AE4" s="365"/>
      <c r="AF4" s="365"/>
      <c r="AG4" s="365"/>
      <c r="AH4" s="365"/>
      <c r="AI4" s="365"/>
      <c r="AJ4" s="365"/>
      <c r="AK4" s="365"/>
      <c r="AL4" s="365"/>
      <c r="AM4" s="365"/>
      <c r="AN4" s="365"/>
      <c r="AO4" s="365"/>
      <c r="AP4" s="365"/>
      <c r="AQ4" s="365"/>
      <c r="AR4" s="365"/>
      <c r="AS4" s="365"/>
      <c r="AT4" s="365"/>
      <c r="AU4" s="365" t="str">
        <f t="shared" si="0"/>
        <v/>
      </c>
    </row>
    <row r="5" spans="1:47">
      <c r="A5" s="1704" t="s">
        <v>28</v>
      </c>
      <c r="B5" s="1709" t="s">
        <v>29</v>
      </c>
      <c r="C5" s="1709"/>
      <c r="D5" s="1701" t="s">
        <v>30</v>
      </c>
      <c r="E5" s="1701" t="s">
        <v>30</v>
      </c>
      <c r="F5" s="1701" t="s">
        <v>30</v>
      </c>
      <c r="G5" s="1701" t="s">
        <v>30</v>
      </c>
      <c r="H5" s="1701" t="s">
        <v>30</v>
      </c>
      <c r="I5" s="1700" t="s">
        <v>31</v>
      </c>
      <c r="J5" s="1700" t="s">
        <v>30</v>
      </c>
      <c r="K5" s="1700" t="s">
        <v>30</v>
      </c>
      <c r="L5" s="1700" t="s">
        <v>30</v>
      </c>
      <c r="M5" s="1700" t="s">
        <v>30</v>
      </c>
      <c r="N5" s="1701" t="s">
        <v>31</v>
      </c>
      <c r="O5" s="1701" t="s">
        <v>30</v>
      </c>
      <c r="P5" s="1701" t="s">
        <v>30</v>
      </c>
      <c r="Q5" s="1701" t="s">
        <v>30</v>
      </c>
      <c r="R5" s="1701" t="s">
        <v>30</v>
      </c>
      <c r="S5" s="1701" t="s">
        <v>30</v>
      </c>
      <c r="T5" s="1701" t="s">
        <v>369</v>
      </c>
      <c r="U5" s="1701" t="s">
        <v>32</v>
      </c>
      <c r="V5" s="1701" t="s">
        <v>32</v>
      </c>
      <c r="W5" s="1701" t="s">
        <v>32</v>
      </c>
      <c r="X5" s="1701" t="s">
        <v>32</v>
      </c>
      <c r="Y5" s="1701" t="s">
        <v>32</v>
      </c>
      <c r="Z5" s="1701" t="s">
        <v>32</v>
      </c>
      <c r="AA5" s="1697"/>
      <c r="AB5" s="365"/>
      <c r="AC5" s="365"/>
      <c r="AD5" s="365"/>
      <c r="AE5" s="365"/>
      <c r="AF5" s="365"/>
      <c r="AG5" s="365"/>
      <c r="AH5" s="365"/>
      <c r="AI5" s="365"/>
      <c r="AJ5" s="365"/>
      <c r="AK5" s="365"/>
      <c r="AL5" s="365"/>
      <c r="AM5" s="365"/>
      <c r="AN5" s="365"/>
      <c r="AO5" s="365"/>
      <c r="AP5" s="365"/>
      <c r="AQ5" s="365"/>
      <c r="AR5" s="365"/>
      <c r="AS5" s="365"/>
      <c r="AT5" s="365"/>
      <c r="AU5" s="365" t="str">
        <f t="shared" si="0"/>
        <v/>
      </c>
    </row>
    <row r="6" spans="1:47" s="848" customFormat="1">
      <c r="A6" s="1721" t="s">
        <v>33</v>
      </c>
      <c r="B6" s="1722" t="s">
        <v>36</v>
      </c>
      <c r="C6" s="1723" t="s">
        <v>35</v>
      </c>
      <c r="D6" s="1724">
        <v>148800000</v>
      </c>
      <c r="E6" s="1724">
        <v>141100000</v>
      </c>
      <c r="F6" s="1725">
        <v>160300000</v>
      </c>
      <c r="G6" s="1725">
        <v>170400000</v>
      </c>
      <c r="H6" s="1725">
        <v>133600000</v>
      </c>
      <c r="I6" s="1725">
        <v>135900000</v>
      </c>
      <c r="J6" s="1725">
        <v>139700000</v>
      </c>
      <c r="K6" s="1725">
        <v>145200000</v>
      </c>
      <c r="L6" s="1725">
        <v>149800000</v>
      </c>
      <c r="M6" s="1725">
        <v>182800000</v>
      </c>
      <c r="N6" s="1725">
        <f>N7+N19</f>
        <v>200200000</v>
      </c>
      <c r="O6" s="1725">
        <f>O7+O19</f>
        <v>201000000</v>
      </c>
      <c r="P6" s="1725">
        <v>215200000</v>
      </c>
      <c r="Q6" s="1725">
        <v>196100000</v>
      </c>
      <c r="R6" s="1725">
        <v>206000000</v>
      </c>
      <c r="S6" s="1725">
        <v>207900000</v>
      </c>
      <c r="T6" s="1725">
        <v>226600000</v>
      </c>
      <c r="U6" s="1725">
        <v>226800000</v>
      </c>
      <c r="V6" s="1725">
        <v>230600000</v>
      </c>
      <c r="W6" s="1725">
        <v>235000000</v>
      </c>
      <c r="X6" s="1725">
        <v>237200000</v>
      </c>
      <c r="Y6" s="1734">
        <v>239600000</v>
      </c>
      <c r="Z6" s="1734">
        <v>242000000</v>
      </c>
      <c r="AA6" s="1726"/>
      <c r="AB6" s="916"/>
      <c r="AC6" s="916"/>
      <c r="AD6" s="916"/>
      <c r="AE6" s="916"/>
      <c r="AF6" s="916"/>
      <c r="AG6" s="916"/>
      <c r="AH6" s="916"/>
      <c r="AI6" s="916"/>
      <c r="AJ6" s="916"/>
      <c r="AK6" s="916"/>
      <c r="AL6" s="916"/>
      <c r="AM6" s="916"/>
      <c r="AN6" s="916"/>
      <c r="AO6" s="916"/>
      <c r="AP6" s="916"/>
      <c r="AQ6" s="916"/>
      <c r="AR6" s="916"/>
      <c r="AS6" s="916"/>
      <c r="AT6" s="916"/>
      <c r="AU6" s="916" t="str">
        <f t="shared" si="0"/>
        <v/>
      </c>
    </row>
    <row r="7" spans="1:47">
      <c r="A7" s="1704" t="s">
        <v>36</v>
      </c>
      <c r="B7" s="1711" t="s">
        <v>4485</v>
      </c>
      <c r="C7" s="1712" t="s">
        <v>38</v>
      </c>
      <c r="D7" s="1713">
        <v>52600000</v>
      </c>
      <c r="E7" s="1713">
        <v>45400000</v>
      </c>
      <c r="F7" s="1710">
        <v>47000000</v>
      </c>
      <c r="G7" s="1710">
        <v>48400000</v>
      </c>
      <c r="H7" s="1710">
        <v>59800000</v>
      </c>
      <c r="I7" s="1710">
        <v>52100000</v>
      </c>
      <c r="J7" s="1710">
        <v>54900000</v>
      </c>
      <c r="K7" s="1710">
        <v>52800000</v>
      </c>
      <c r="L7" s="1710">
        <f t="shared" ref="L7:M7" si="1">L6-L19</f>
        <v>55500000</v>
      </c>
      <c r="M7" s="1710">
        <f t="shared" si="1"/>
        <v>59300000</v>
      </c>
      <c r="N7" s="1710">
        <f>N8+N27</f>
        <v>63500000</v>
      </c>
      <c r="O7" s="1710">
        <f>O8+O27</f>
        <v>64200000</v>
      </c>
      <c r="P7" s="1710">
        <f>P6-P19</f>
        <v>74600000</v>
      </c>
      <c r="Q7" s="1710">
        <f t="shared" ref="Q7:Z7" si="2">Q6-Q19</f>
        <v>84400000</v>
      </c>
      <c r="R7" s="1710">
        <f t="shared" si="2"/>
        <v>117200000</v>
      </c>
      <c r="S7" s="1710">
        <f t="shared" si="2"/>
        <v>116800000</v>
      </c>
      <c r="T7" s="1710">
        <f t="shared" si="2"/>
        <v>119100000</v>
      </c>
      <c r="U7" s="1710">
        <f t="shared" si="2"/>
        <v>119200000</v>
      </c>
      <c r="V7" s="1710">
        <f t="shared" si="2"/>
        <v>120600000</v>
      </c>
      <c r="W7" s="1710">
        <f t="shared" si="2"/>
        <v>122200000</v>
      </c>
      <c r="X7" s="1710">
        <f t="shared" si="2"/>
        <v>123200000</v>
      </c>
      <c r="Y7" s="1735">
        <f t="shared" si="2"/>
        <v>124500000</v>
      </c>
      <c r="Z7" s="1735">
        <f t="shared" si="2"/>
        <v>125700000</v>
      </c>
      <c r="AA7" s="1697"/>
      <c r="AB7" s="365"/>
      <c r="AC7" s="365"/>
      <c r="AD7" s="365"/>
      <c r="AE7" s="365"/>
      <c r="AF7" s="365"/>
      <c r="AG7" s="365"/>
      <c r="AH7" s="365"/>
      <c r="AI7" s="365"/>
      <c r="AJ7" s="365"/>
      <c r="AK7" s="365"/>
      <c r="AL7" s="365"/>
      <c r="AM7" s="365"/>
      <c r="AN7" s="365"/>
      <c r="AO7" s="365"/>
      <c r="AP7" s="365"/>
      <c r="AQ7" s="365"/>
      <c r="AR7" s="365"/>
      <c r="AS7" s="365"/>
      <c r="AT7" s="365"/>
      <c r="AU7" s="365" t="str">
        <f t="shared" si="0"/>
        <v/>
      </c>
    </row>
    <row r="8" spans="1:47">
      <c r="A8" s="1714" t="s">
        <v>39</v>
      </c>
      <c r="B8" s="1714" t="s">
        <v>4486</v>
      </c>
      <c r="C8" s="1711" t="s">
        <v>41</v>
      </c>
      <c r="D8" s="1715">
        <v>27600000</v>
      </c>
      <c r="E8" s="1715">
        <v>26500000</v>
      </c>
      <c r="F8" s="1710">
        <v>26300000</v>
      </c>
      <c r="G8" s="1710">
        <v>24100000</v>
      </c>
      <c r="H8" s="1710">
        <v>27300000</v>
      </c>
      <c r="I8" s="1710">
        <v>29200000</v>
      </c>
      <c r="J8" s="1710">
        <v>29700000</v>
      </c>
      <c r="K8" s="1710">
        <v>27800000</v>
      </c>
      <c r="L8" s="1710">
        <v>29300000</v>
      </c>
      <c r="M8" s="1710">
        <v>31700000</v>
      </c>
      <c r="N8" s="1710">
        <f>N9+N10+N11+N12+N15</f>
        <v>35500000</v>
      </c>
      <c r="O8" s="1710">
        <f>O9+O10+O11+O12+O15</f>
        <v>37400000</v>
      </c>
      <c r="P8" s="1710">
        <v>38000000</v>
      </c>
      <c r="Q8" s="1710">
        <v>38200000</v>
      </c>
      <c r="R8" s="1710">
        <v>60300000</v>
      </c>
      <c r="S8" s="1710">
        <v>39000000</v>
      </c>
      <c r="T8" s="1710">
        <v>42700000</v>
      </c>
      <c r="U8" s="1710">
        <v>43900000</v>
      </c>
      <c r="V8" s="1710">
        <v>44900000</v>
      </c>
      <c r="W8" s="1710">
        <v>45800000</v>
      </c>
      <c r="X8" s="1710">
        <v>46600000</v>
      </c>
      <c r="Y8" s="1735">
        <v>47400000</v>
      </c>
      <c r="Z8" s="1735">
        <v>48100000</v>
      </c>
      <c r="AA8" s="1697"/>
      <c r="AB8" s="365"/>
      <c r="AC8" s="365"/>
      <c r="AD8" s="365"/>
      <c r="AE8" s="365"/>
      <c r="AF8" s="365"/>
      <c r="AG8" s="365"/>
      <c r="AH8" s="365"/>
      <c r="AI8" s="365"/>
      <c r="AJ8" s="365"/>
      <c r="AK8" s="365"/>
      <c r="AL8" s="365"/>
      <c r="AM8" s="365"/>
      <c r="AN8" s="365"/>
      <c r="AO8" s="365"/>
      <c r="AP8" s="365"/>
      <c r="AQ8" s="365"/>
      <c r="AR8" s="365"/>
      <c r="AS8" s="365"/>
      <c r="AT8" s="365"/>
      <c r="AU8" s="365" t="str">
        <f t="shared" si="0"/>
        <v/>
      </c>
    </row>
    <row r="9" spans="1:47">
      <c r="A9" s="1716" t="s">
        <v>4487</v>
      </c>
      <c r="B9" s="1716" t="s">
        <v>4488</v>
      </c>
      <c r="C9" s="1700" t="s">
        <v>44</v>
      </c>
      <c r="D9" s="1715">
        <v>6400000</v>
      </c>
      <c r="E9" s="1715">
        <v>6000000</v>
      </c>
      <c r="F9" s="1710">
        <v>7500000</v>
      </c>
      <c r="G9" s="1710">
        <v>6500000</v>
      </c>
      <c r="H9" s="1710">
        <v>7300000</v>
      </c>
      <c r="I9" s="1710">
        <v>6500000</v>
      </c>
      <c r="J9" s="1710">
        <v>6700000</v>
      </c>
      <c r="K9" s="1710">
        <v>5400000</v>
      </c>
      <c r="L9" s="1710">
        <v>7300000</v>
      </c>
      <c r="M9" s="1710">
        <v>7100000</v>
      </c>
      <c r="N9" s="1710">
        <v>7600000</v>
      </c>
      <c r="O9" s="1710">
        <v>7600000</v>
      </c>
      <c r="P9" s="1710">
        <v>7700000</v>
      </c>
      <c r="Q9" s="1710">
        <v>7900000</v>
      </c>
      <c r="R9" s="1710">
        <v>8100000</v>
      </c>
      <c r="S9" s="1710">
        <v>8199999.9999999991</v>
      </c>
      <c r="T9" s="1710">
        <v>8500000</v>
      </c>
      <c r="U9" s="1710">
        <v>8800000</v>
      </c>
      <c r="V9" s="1710">
        <v>9100000</v>
      </c>
      <c r="W9" s="1710">
        <v>9300000</v>
      </c>
      <c r="X9" s="1710">
        <v>9500000</v>
      </c>
      <c r="Y9" s="1735">
        <v>9700000</v>
      </c>
      <c r="Z9" s="1735">
        <v>9800000</v>
      </c>
      <c r="AA9" s="1697"/>
      <c r="AB9" s="365"/>
      <c r="AC9" s="365"/>
      <c r="AD9" s="365"/>
      <c r="AE9" s="365"/>
      <c r="AF9" s="365"/>
      <c r="AG9" s="365"/>
      <c r="AH9" s="365"/>
      <c r="AI9" s="365"/>
      <c r="AJ9" s="365"/>
      <c r="AK9" s="365"/>
      <c r="AL9" s="365"/>
      <c r="AM9" s="365"/>
      <c r="AN9" s="365"/>
      <c r="AO9" s="365"/>
      <c r="AP9" s="365"/>
      <c r="AQ9" s="365"/>
      <c r="AR9" s="365"/>
      <c r="AS9" s="365"/>
      <c r="AT9" s="365"/>
      <c r="AU9" s="365" t="str">
        <f t="shared" si="0"/>
        <v/>
      </c>
    </row>
    <row r="10" spans="1:47">
      <c r="A10" s="1716" t="s">
        <v>4489</v>
      </c>
      <c r="B10" s="1716" t="s">
        <v>4490</v>
      </c>
      <c r="C10" s="1700" t="s">
        <v>44</v>
      </c>
      <c r="D10" s="1715">
        <v>6900000</v>
      </c>
      <c r="E10" s="1715">
        <v>6900000</v>
      </c>
      <c r="F10" s="1710">
        <v>6200000</v>
      </c>
      <c r="G10" s="1710">
        <v>5100000</v>
      </c>
      <c r="H10" s="1710">
        <v>6800000</v>
      </c>
      <c r="I10" s="1710">
        <v>6700000</v>
      </c>
      <c r="J10" s="1710">
        <v>5700000</v>
      </c>
      <c r="K10" s="1710">
        <v>6200000</v>
      </c>
      <c r="L10" s="1710">
        <v>6400000</v>
      </c>
      <c r="M10" s="1710">
        <v>7800000</v>
      </c>
      <c r="N10" s="1710">
        <v>16800000</v>
      </c>
      <c r="O10" s="1710">
        <v>17600000</v>
      </c>
      <c r="P10" s="1710">
        <v>18100000</v>
      </c>
      <c r="Q10" s="1710">
        <v>17200000</v>
      </c>
      <c r="R10" s="1710">
        <v>16399999.999999998</v>
      </c>
      <c r="S10" s="1710">
        <v>17400000</v>
      </c>
      <c r="T10" s="1710">
        <v>17800000</v>
      </c>
      <c r="U10" s="1710">
        <v>18100000</v>
      </c>
      <c r="V10" s="1710">
        <v>18600000</v>
      </c>
      <c r="W10" s="1710">
        <v>18900000</v>
      </c>
      <c r="X10" s="1710">
        <v>19300000</v>
      </c>
      <c r="Y10" s="1735">
        <v>19600000</v>
      </c>
      <c r="Z10" s="1735">
        <v>19900000</v>
      </c>
      <c r="AA10" s="1697"/>
      <c r="AB10" s="365"/>
      <c r="AC10" s="365"/>
      <c r="AD10" s="365"/>
      <c r="AE10" s="365"/>
      <c r="AF10" s="365"/>
      <c r="AG10" s="365"/>
      <c r="AH10" s="365"/>
      <c r="AI10" s="365"/>
      <c r="AJ10" s="365"/>
      <c r="AK10" s="365"/>
      <c r="AL10" s="365"/>
      <c r="AM10" s="365"/>
      <c r="AN10" s="365"/>
      <c r="AO10" s="365"/>
      <c r="AP10" s="365"/>
      <c r="AQ10" s="365"/>
      <c r="AR10" s="365"/>
      <c r="AS10" s="365"/>
      <c r="AT10" s="365"/>
      <c r="AU10" s="365" t="str">
        <f t="shared" si="0"/>
        <v/>
      </c>
    </row>
    <row r="11" spans="1:47">
      <c r="A11" s="1716" t="s">
        <v>4491</v>
      </c>
      <c r="B11" s="1716" t="s">
        <v>4491</v>
      </c>
      <c r="C11" s="1709" t="s">
        <v>44</v>
      </c>
      <c r="D11" s="1715"/>
      <c r="E11" s="1715"/>
      <c r="F11" s="1710"/>
      <c r="G11" s="1710"/>
      <c r="H11" s="1710"/>
      <c r="I11" s="1710"/>
      <c r="J11" s="1710"/>
      <c r="K11" s="1710"/>
      <c r="L11" s="1710"/>
      <c r="M11" s="1710"/>
      <c r="N11" s="1710">
        <v>800000</v>
      </c>
      <c r="O11" s="1710">
        <v>2100000</v>
      </c>
      <c r="P11" s="1710">
        <v>2600000</v>
      </c>
      <c r="Q11" s="1710">
        <v>4400000</v>
      </c>
      <c r="R11" s="1710">
        <v>27600000</v>
      </c>
      <c r="S11" s="1710">
        <v>4099999.9999999995</v>
      </c>
      <c r="T11" s="1710">
        <v>6000000</v>
      </c>
      <c r="U11" s="1710">
        <v>6100000</v>
      </c>
      <c r="V11" s="1710">
        <v>6300000</v>
      </c>
      <c r="W11" s="1710">
        <v>6400000</v>
      </c>
      <c r="X11" s="1710">
        <v>6500000</v>
      </c>
      <c r="Y11" s="1732">
        <v>6600000</v>
      </c>
      <c r="Z11" s="1732">
        <v>6700000</v>
      </c>
    </row>
    <row r="12" spans="1:47">
      <c r="A12" s="1716" t="s">
        <v>4492</v>
      </c>
      <c r="B12" s="1716" t="s">
        <v>4493</v>
      </c>
      <c r="C12" s="1700" t="s">
        <v>44</v>
      </c>
      <c r="D12" s="1713">
        <f>D13+D14</f>
        <v>7900000</v>
      </c>
      <c r="E12" s="1713">
        <f t="shared" ref="E12:K12" si="3">E13+E14</f>
        <v>7900000</v>
      </c>
      <c r="F12" s="1713">
        <f t="shared" si="3"/>
        <v>6700000</v>
      </c>
      <c r="G12" s="1713">
        <f t="shared" si="3"/>
        <v>6000000</v>
      </c>
      <c r="H12" s="1713">
        <f t="shared" si="3"/>
        <v>6900000</v>
      </c>
      <c r="I12" s="1713">
        <f t="shared" si="3"/>
        <v>8600000</v>
      </c>
      <c r="J12" s="1713">
        <f t="shared" si="3"/>
        <v>10700000</v>
      </c>
      <c r="K12" s="1713">
        <f t="shared" si="3"/>
        <v>9500000</v>
      </c>
      <c r="L12" s="1710">
        <v>8400000</v>
      </c>
      <c r="M12" s="1710">
        <v>9200000</v>
      </c>
      <c r="N12" s="1710">
        <v>10000000</v>
      </c>
      <c r="O12" s="1710">
        <v>9800000</v>
      </c>
      <c r="P12" s="1710">
        <v>9400000</v>
      </c>
      <c r="Q12" s="1710">
        <v>8500000</v>
      </c>
      <c r="R12" s="1710">
        <v>8100000</v>
      </c>
      <c r="S12" s="1710">
        <v>9000000</v>
      </c>
      <c r="T12" s="1710">
        <v>10100000</v>
      </c>
      <c r="U12" s="1710">
        <v>10100000</v>
      </c>
      <c r="V12" s="1710">
        <v>10400000</v>
      </c>
      <c r="W12" s="1710">
        <v>10600000</v>
      </c>
      <c r="X12" s="1710">
        <v>10800000</v>
      </c>
      <c r="Y12" s="1735">
        <v>11000000</v>
      </c>
      <c r="Z12" s="1735">
        <v>11100000</v>
      </c>
      <c r="AA12" s="1697"/>
      <c r="AB12" s="365"/>
      <c r="AC12" s="365"/>
      <c r="AD12" s="365"/>
      <c r="AE12" s="365"/>
      <c r="AF12" s="365"/>
      <c r="AG12" s="365"/>
      <c r="AH12" s="365"/>
      <c r="AI12" s="365"/>
      <c r="AJ12" s="365"/>
      <c r="AK12" s="365"/>
      <c r="AL12" s="365"/>
      <c r="AM12" s="365"/>
      <c r="AN12" s="365"/>
      <c r="AO12" s="365"/>
      <c r="AP12" s="365"/>
      <c r="AQ12" s="365"/>
      <c r="AR12" s="365"/>
      <c r="AS12" s="365"/>
      <c r="AT12" s="365"/>
      <c r="AU12" s="365" t="str">
        <f t="shared" si="0"/>
        <v/>
      </c>
    </row>
    <row r="13" spans="1:47">
      <c r="A13" s="1716" t="s">
        <v>4494</v>
      </c>
      <c r="B13" s="1716" t="s">
        <v>4495</v>
      </c>
      <c r="C13" s="1700" t="s">
        <v>4496</v>
      </c>
      <c r="D13" s="1715">
        <v>700000</v>
      </c>
      <c r="E13" s="1715">
        <v>900000</v>
      </c>
      <c r="F13" s="1710">
        <v>800000</v>
      </c>
      <c r="G13" s="1710">
        <v>600000</v>
      </c>
      <c r="H13" s="1710">
        <v>700000</v>
      </c>
      <c r="I13" s="1710">
        <v>600000</v>
      </c>
      <c r="J13" s="1710">
        <v>700000</v>
      </c>
      <c r="K13" s="1710">
        <v>800000</v>
      </c>
      <c r="L13" s="1710"/>
      <c r="M13" s="1710"/>
      <c r="N13" s="1710"/>
      <c r="O13" s="1710"/>
      <c r="P13" s="1710"/>
      <c r="Q13" s="1710"/>
      <c r="R13" s="1710"/>
      <c r="S13" s="1715"/>
      <c r="T13" s="1715"/>
      <c r="U13" s="1715"/>
      <c r="V13" s="1715"/>
      <c r="W13" s="1715"/>
      <c r="X13" s="1715"/>
      <c r="Y13" s="1735"/>
      <c r="Z13" s="1735"/>
      <c r="AA13" s="1697"/>
      <c r="AB13" s="365"/>
      <c r="AC13" s="365"/>
      <c r="AD13" s="365"/>
      <c r="AE13" s="365"/>
      <c r="AF13" s="365"/>
      <c r="AG13" s="365"/>
      <c r="AH13" s="365"/>
      <c r="AI13" s="365"/>
      <c r="AJ13" s="365"/>
      <c r="AK13" s="365"/>
      <c r="AL13" s="365"/>
      <c r="AM13" s="365"/>
      <c r="AN13" s="365"/>
      <c r="AO13" s="365"/>
      <c r="AP13" s="365"/>
      <c r="AQ13" s="365"/>
      <c r="AR13" s="365"/>
      <c r="AS13" s="365"/>
      <c r="AT13" s="365"/>
      <c r="AU13" s="365" t="str">
        <f t="shared" si="0"/>
        <v/>
      </c>
    </row>
    <row r="14" spans="1:47">
      <c r="A14" s="1716" t="s">
        <v>4497</v>
      </c>
      <c r="B14" s="1716" t="s">
        <v>4498</v>
      </c>
      <c r="C14" s="1700" t="s">
        <v>4496</v>
      </c>
      <c r="D14" s="1715">
        <v>7200000</v>
      </c>
      <c r="E14" s="1715">
        <v>7000000</v>
      </c>
      <c r="F14" s="1710">
        <v>5900000</v>
      </c>
      <c r="G14" s="1710">
        <v>5400000</v>
      </c>
      <c r="H14" s="1710">
        <v>6200000</v>
      </c>
      <c r="I14" s="1710">
        <v>8000000</v>
      </c>
      <c r="J14" s="1710">
        <v>10000000</v>
      </c>
      <c r="K14" s="1710">
        <v>8700000</v>
      </c>
      <c r="L14" s="1710"/>
      <c r="M14" s="1710"/>
      <c r="N14" s="1710"/>
      <c r="O14" s="1710"/>
      <c r="P14" s="1710"/>
      <c r="Q14" s="1710"/>
      <c r="R14" s="1710"/>
      <c r="S14" s="1715"/>
      <c r="T14" s="1715"/>
      <c r="U14" s="1715"/>
      <c r="V14" s="1715"/>
      <c r="W14" s="1715"/>
      <c r="X14" s="1715"/>
      <c r="Y14" s="1735"/>
      <c r="Z14" s="1735"/>
      <c r="AA14" s="1697"/>
      <c r="AB14" s="365"/>
      <c r="AC14" s="365"/>
      <c r="AD14" s="365"/>
      <c r="AE14" s="365"/>
      <c r="AF14" s="365"/>
      <c r="AG14" s="365"/>
      <c r="AH14" s="365"/>
      <c r="AI14" s="365"/>
      <c r="AJ14" s="365"/>
      <c r="AK14" s="365"/>
      <c r="AL14" s="365"/>
      <c r="AM14" s="365"/>
      <c r="AN14" s="365"/>
      <c r="AO14" s="365"/>
      <c r="AP14" s="365"/>
      <c r="AQ14" s="365"/>
      <c r="AR14" s="365"/>
      <c r="AS14" s="365"/>
      <c r="AT14" s="365"/>
      <c r="AU14" s="365" t="str">
        <f t="shared" si="0"/>
        <v/>
      </c>
    </row>
    <row r="15" spans="1:47">
      <c r="A15" s="1716" t="s">
        <v>49</v>
      </c>
      <c r="B15" s="1716" t="s">
        <v>4499</v>
      </c>
      <c r="C15" s="1700" t="s">
        <v>44</v>
      </c>
      <c r="D15" s="1713">
        <f>D16+D17</f>
        <v>0</v>
      </c>
      <c r="E15" s="1713">
        <f t="shared" ref="E15:K15" si="4">E16+E17</f>
        <v>200000</v>
      </c>
      <c r="F15" s="1713">
        <f t="shared" si="4"/>
        <v>900000</v>
      </c>
      <c r="G15" s="1713">
        <f t="shared" si="4"/>
        <v>200000</v>
      </c>
      <c r="H15" s="1713">
        <f t="shared" si="4"/>
        <v>0</v>
      </c>
      <c r="I15" s="1713">
        <f t="shared" si="4"/>
        <v>0</v>
      </c>
      <c r="J15" s="1713">
        <f t="shared" si="4"/>
        <v>0</v>
      </c>
      <c r="K15" s="1713">
        <f t="shared" si="4"/>
        <v>0</v>
      </c>
      <c r="L15" s="1710">
        <v>0</v>
      </c>
      <c r="M15" s="1710">
        <v>0</v>
      </c>
      <c r="N15" s="1713">
        <v>300000</v>
      </c>
      <c r="O15" s="1710">
        <v>300000</v>
      </c>
      <c r="P15" s="1710">
        <f>P8-P9-P10-P11-P12</f>
        <v>200000</v>
      </c>
      <c r="Q15" s="1710">
        <f t="shared" ref="Q15:Z15" si="5">Q8-Q9-Q10-Q11-Q12</f>
        <v>200000</v>
      </c>
      <c r="R15" s="1710">
        <f t="shared" si="5"/>
        <v>100000</v>
      </c>
      <c r="S15" s="1710">
        <f t="shared" si="5"/>
        <v>300000</v>
      </c>
      <c r="T15" s="1710">
        <f t="shared" si="5"/>
        <v>300000</v>
      </c>
      <c r="U15" s="1710">
        <f t="shared" si="5"/>
        <v>800000</v>
      </c>
      <c r="V15" s="1710">
        <f t="shared" si="5"/>
        <v>500000</v>
      </c>
      <c r="W15" s="1710">
        <f t="shared" si="5"/>
        <v>600000</v>
      </c>
      <c r="X15" s="1710">
        <f t="shared" si="5"/>
        <v>500000</v>
      </c>
      <c r="Y15" s="1733">
        <f t="shared" si="5"/>
        <v>500000</v>
      </c>
      <c r="Z15" s="1733">
        <f t="shared" si="5"/>
        <v>600000</v>
      </c>
      <c r="AA15" s="1697"/>
      <c r="AB15" s="365"/>
      <c r="AC15" s="365"/>
      <c r="AD15" s="365"/>
      <c r="AE15" s="365"/>
      <c r="AF15" s="365"/>
      <c r="AG15" s="365"/>
      <c r="AH15" s="365"/>
      <c r="AI15" s="365"/>
      <c r="AJ15" s="365"/>
      <c r="AK15" s="365"/>
      <c r="AL15" s="365"/>
      <c r="AM15" s="365"/>
      <c r="AN15" s="365"/>
      <c r="AO15" s="365"/>
      <c r="AP15" s="365"/>
      <c r="AQ15" s="365"/>
      <c r="AR15" s="365"/>
      <c r="AS15" s="365"/>
      <c r="AT15" s="365"/>
      <c r="AU15" s="365" t="str">
        <f t="shared" si="0"/>
        <v/>
      </c>
    </row>
    <row r="16" spans="1:47">
      <c r="A16" s="1716" t="s">
        <v>4500</v>
      </c>
      <c r="B16" s="1716" t="s">
        <v>4501</v>
      </c>
      <c r="C16" s="1700" t="s">
        <v>4502</v>
      </c>
      <c r="D16" s="1713"/>
      <c r="E16" s="1713"/>
      <c r="F16" s="1710">
        <v>0</v>
      </c>
      <c r="G16" s="1710">
        <v>0</v>
      </c>
      <c r="H16" s="1710">
        <v>0</v>
      </c>
      <c r="I16" s="1710">
        <v>0</v>
      </c>
      <c r="J16" s="1710">
        <v>0</v>
      </c>
      <c r="K16" s="1710">
        <v>0</v>
      </c>
      <c r="L16" s="1710"/>
      <c r="M16" s="1710"/>
      <c r="N16" s="1713"/>
      <c r="O16" s="1710"/>
      <c r="P16" s="1710"/>
      <c r="Q16" s="1710"/>
      <c r="R16" s="1710"/>
      <c r="S16" s="1715"/>
      <c r="T16" s="1715"/>
      <c r="U16" s="1715"/>
      <c r="V16" s="1715"/>
      <c r="W16" s="1715"/>
      <c r="X16" s="1715"/>
      <c r="Y16" s="1735"/>
      <c r="Z16" s="1735"/>
      <c r="AA16" s="1697"/>
      <c r="AB16" s="365"/>
      <c r="AC16" s="365"/>
      <c r="AD16" s="365"/>
      <c r="AE16" s="365"/>
      <c r="AF16" s="365"/>
      <c r="AG16" s="365"/>
      <c r="AH16" s="365"/>
      <c r="AI16" s="365"/>
      <c r="AJ16" s="365"/>
      <c r="AK16" s="365"/>
      <c r="AL16" s="365"/>
      <c r="AM16" s="365"/>
      <c r="AN16" s="365"/>
      <c r="AO16" s="365"/>
      <c r="AP16" s="365"/>
      <c r="AQ16" s="365"/>
      <c r="AR16" s="365"/>
      <c r="AS16" s="365"/>
      <c r="AT16" s="365"/>
      <c r="AU16" s="365" t="str">
        <f t="shared" si="0"/>
        <v/>
      </c>
    </row>
    <row r="17" spans="1:47">
      <c r="A17" s="1716" t="s">
        <v>4503</v>
      </c>
      <c r="B17" s="1716" t="s">
        <v>4504</v>
      </c>
      <c r="C17" s="1700" t="s">
        <v>4502</v>
      </c>
      <c r="D17" s="1713">
        <v>0</v>
      </c>
      <c r="E17" s="1713">
        <v>200000</v>
      </c>
      <c r="F17" s="1710">
        <v>900000</v>
      </c>
      <c r="G17" s="1710">
        <v>200000</v>
      </c>
      <c r="H17" s="1710">
        <v>0</v>
      </c>
      <c r="I17" s="1710">
        <v>0</v>
      </c>
      <c r="J17" s="1710">
        <v>0</v>
      </c>
      <c r="K17" s="1710">
        <v>0</v>
      </c>
      <c r="L17" s="1710"/>
      <c r="M17" s="1710"/>
      <c r="N17" s="1713"/>
      <c r="O17" s="1710"/>
      <c r="P17" s="1710"/>
      <c r="Q17" s="1710"/>
      <c r="R17" s="1710"/>
      <c r="S17" s="1715"/>
      <c r="T17" s="1715"/>
      <c r="U17" s="1715"/>
      <c r="V17" s="1715"/>
      <c r="W17" s="1715"/>
      <c r="X17" s="1715"/>
      <c r="Y17" s="1735"/>
      <c r="Z17" s="1735"/>
      <c r="AA17" s="1697"/>
      <c r="AB17" s="365"/>
      <c r="AC17" s="365"/>
      <c r="AD17" s="365"/>
      <c r="AE17" s="365"/>
      <c r="AF17" s="365"/>
      <c r="AG17" s="365"/>
      <c r="AH17" s="365"/>
      <c r="AI17" s="365"/>
      <c r="AJ17" s="365"/>
      <c r="AK17" s="365"/>
      <c r="AL17" s="365"/>
      <c r="AM17" s="365"/>
      <c r="AN17" s="365"/>
      <c r="AO17" s="365"/>
      <c r="AP17" s="365"/>
      <c r="AQ17" s="365"/>
      <c r="AR17" s="365"/>
      <c r="AS17" s="365"/>
      <c r="AT17" s="365"/>
      <c r="AU17" s="365" t="str">
        <f t="shared" si="0"/>
        <v/>
      </c>
    </row>
    <row r="18" spans="1:47">
      <c r="A18" s="1716" t="s">
        <v>4505</v>
      </c>
      <c r="B18" s="1716" t="s">
        <v>4506</v>
      </c>
      <c r="C18" s="1700" t="s">
        <v>44</v>
      </c>
      <c r="D18" s="1713">
        <v>6400000</v>
      </c>
      <c r="E18" s="1713">
        <v>5500000</v>
      </c>
      <c r="F18" s="1710">
        <v>4900000</v>
      </c>
      <c r="G18" s="1710">
        <v>6200000</v>
      </c>
      <c r="H18" s="1710">
        <v>6300000</v>
      </c>
      <c r="I18" s="1710">
        <v>7400000</v>
      </c>
      <c r="J18" s="1710">
        <v>6500000</v>
      </c>
      <c r="K18" s="1710">
        <v>6800000</v>
      </c>
      <c r="L18" s="1729">
        <f t="shared" ref="L18:M18" si="6">L8-L9-L10-L12-L15</f>
        <v>7200000</v>
      </c>
      <c r="M18" s="1729">
        <f t="shared" si="6"/>
        <v>7600000</v>
      </c>
      <c r="N18" s="2653"/>
      <c r="O18" s="2653"/>
      <c r="P18" s="1710"/>
      <c r="Q18" s="1710"/>
      <c r="R18" s="1710"/>
      <c r="S18" s="1710"/>
      <c r="T18" s="1710"/>
      <c r="U18" s="1710"/>
      <c r="V18" s="1710"/>
      <c r="W18" s="1710"/>
      <c r="X18" s="1710"/>
      <c r="Y18" s="1735"/>
      <c r="Z18" s="1735"/>
      <c r="AA18" s="1697"/>
      <c r="AB18" s="365"/>
      <c r="AC18" s="365"/>
      <c r="AD18" s="365"/>
      <c r="AE18" s="365"/>
      <c r="AF18" s="365"/>
      <c r="AG18" s="365"/>
      <c r="AH18" s="365"/>
      <c r="AI18" s="365"/>
      <c r="AJ18" s="365"/>
      <c r="AK18" s="365"/>
      <c r="AL18" s="365"/>
      <c r="AM18" s="365"/>
      <c r="AN18" s="365"/>
      <c r="AO18" s="365"/>
      <c r="AP18" s="365"/>
      <c r="AQ18" s="365"/>
      <c r="AR18" s="365"/>
      <c r="AS18" s="365"/>
      <c r="AT18" s="365"/>
      <c r="AU18" s="365" t="str">
        <f t="shared" si="0"/>
        <v/>
      </c>
    </row>
    <row r="19" spans="1:47" s="848" customFormat="1" ht="14.25" customHeight="1">
      <c r="A19" s="1722" t="s">
        <v>795</v>
      </c>
      <c r="B19" s="1722" t="s">
        <v>4507</v>
      </c>
      <c r="C19" s="1727" t="s">
        <v>38</v>
      </c>
      <c r="D19" s="1724">
        <v>96200000</v>
      </c>
      <c r="E19" s="1724">
        <v>95600000</v>
      </c>
      <c r="F19" s="1725">
        <v>113300000</v>
      </c>
      <c r="G19" s="1725">
        <v>122100000</v>
      </c>
      <c r="H19" s="1725">
        <v>73900000</v>
      </c>
      <c r="I19" s="1725">
        <v>83900000</v>
      </c>
      <c r="J19" s="1725">
        <v>84800000</v>
      </c>
      <c r="K19" s="1725">
        <v>92500000</v>
      </c>
      <c r="L19" s="1725">
        <v>94300000</v>
      </c>
      <c r="M19" s="1725">
        <v>123500000</v>
      </c>
      <c r="N19" s="1725">
        <v>136700000</v>
      </c>
      <c r="O19" s="1725">
        <v>136800000</v>
      </c>
      <c r="P19" s="1725">
        <v>140600000</v>
      </c>
      <c r="Q19" s="1725">
        <v>111700000</v>
      </c>
      <c r="R19" s="1724">
        <v>88800000</v>
      </c>
      <c r="S19" s="1724">
        <v>91100000</v>
      </c>
      <c r="T19" s="1724">
        <v>107500000</v>
      </c>
      <c r="U19" s="1724">
        <v>107600000</v>
      </c>
      <c r="V19" s="1724">
        <v>110000000</v>
      </c>
      <c r="W19" s="1724">
        <v>112800000</v>
      </c>
      <c r="X19" s="1724">
        <v>114000000</v>
      </c>
      <c r="Y19" s="1734">
        <v>115100000</v>
      </c>
      <c r="Z19" s="1734">
        <v>116300000</v>
      </c>
      <c r="AA19" s="1726"/>
      <c r="AB19" s="916"/>
      <c r="AC19" s="916"/>
      <c r="AD19" s="916"/>
      <c r="AE19" s="916"/>
      <c r="AF19" s="916"/>
      <c r="AG19" s="916"/>
      <c r="AH19" s="916"/>
      <c r="AI19" s="916"/>
      <c r="AJ19" s="916"/>
      <c r="AK19" s="916"/>
      <c r="AL19" s="916"/>
      <c r="AM19" s="916"/>
      <c r="AN19" s="916"/>
      <c r="AO19" s="916"/>
      <c r="AP19" s="916"/>
      <c r="AQ19" s="916"/>
      <c r="AR19" s="916"/>
      <c r="AS19" s="916"/>
      <c r="AT19" s="916"/>
      <c r="AU19" s="916" t="str">
        <f t="shared" si="0"/>
        <v/>
      </c>
    </row>
    <row r="20" spans="1:47">
      <c r="A20" s="1714" t="s">
        <v>541</v>
      </c>
      <c r="B20" s="1714" t="s">
        <v>541</v>
      </c>
      <c r="C20" s="1700" t="s">
        <v>57</v>
      </c>
      <c r="D20" s="1713">
        <v>70400000</v>
      </c>
      <c r="E20" s="1713">
        <v>70500000</v>
      </c>
      <c r="F20" s="1710">
        <v>81500000</v>
      </c>
      <c r="G20" s="1710">
        <v>90200000</v>
      </c>
      <c r="H20" s="1710">
        <v>73900000</v>
      </c>
      <c r="I20" s="1710">
        <v>82500000</v>
      </c>
      <c r="J20" s="1710">
        <v>79600000</v>
      </c>
      <c r="K20" s="1710">
        <v>79100000</v>
      </c>
      <c r="L20" s="1710">
        <v>79000000</v>
      </c>
      <c r="M20" s="1710">
        <v>84400000</v>
      </c>
      <c r="N20" s="1710">
        <v>86100000</v>
      </c>
      <c r="O20" s="1710">
        <v>84000000</v>
      </c>
      <c r="P20" s="1710">
        <v>82000000</v>
      </c>
      <c r="Q20" s="1710">
        <v>80400000</v>
      </c>
      <c r="R20" s="1710">
        <v>78500000</v>
      </c>
      <c r="S20" s="1710">
        <v>79200000</v>
      </c>
      <c r="T20" s="1710">
        <v>85900000</v>
      </c>
      <c r="U20" s="1710">
        <v>84100000</v>
      </c>
      <c r="V20" s="1710">
        <v>84700000</v>
      </c>
      <c r="W20" s="1710">
        <v>85300000</v>
      </c>
      <c r="X20" s="1710">
        <v>85900000</v>
      </c>
      <c r="Y20" s="1735">
        <v>86500000</v>
      </c>
      <c r="Z20" s="1735">
        <v>87100000</v>
      </c>
      <c r="AA20" s="1697"/>
      <c r="AB20" s="365"/>
      <c r="AC20" s="365"/>
      <c r="AD20" s="365"/>
      <c r="AE20" s="365"/>
      <c r="AF20" s="365"/>
      <c r="AG20" s="365"/>
      <c r="AH20" s="365"/>
      <c r="AI20" s="365"/>
      <c r="AJ20" s="365"/>
      <c r="AK20" s="365"/>
      <c r="AL20" s="365"/>
      <c r="AM20" s="365"/>
      <c r="AN20" s="365"/>
      <c r="AO20" s="365"/>
      <c r="AP20" s="365"/>
      <c r="AQ20" s="365"/>
      <c r="AR20" s="365"/>
      <c r="AS20" s="365"/>
      <c r="AT20" s="365"/>
      <c r="AU20" s="365" t="str">
        <f t="shared" si="0"/>
        <v/>
      </c>
    </row>
    <row r="21" spans="1:47">
      <c r="A21" s="1716" t="s">
        <v>4508</v>
      </c>
      <c r="B21" s="1716" t="s">
        <v>4509</v>
      </c>
      <c r="C21" s="1700" t="s">
        <v>4510</v>
      </c>
      <c r="D21" s="1713"/>
      <c r="E21" s="1713">
        <v>37400000</v>
      </c>
      <c r="F21" s="1710">
        <v>47700000</v>
      </c>
      <c r="G21" s="1710">
        <v>47700000</v>
      </c>
      <c r="H21" s="1710">
        <v>52100000</v>
      </c>
      <c r="I21" s="1710">
        <v>56000000</v>
      </c>
      <c r="J21" s="1710">
        <v>59300000</v>
      </c>
      <c r="K21" s="1710">
        <v>60500000</v>
      </c>
      <c r="L21" s="1710"/>
      <c r="M21" s="1710"/>
      <c r="N21" s="1710">
        <v>66099999.999999993</v>
      </c>
      <c r="O21" s="1710">
        <v>66900000.000000007</v>
      </c>
      <c r="P21" s="1710">
        <v>65200000</v>
      </c>
      <c r="Q21" s="1710">
        <v>63800000</v>
      </c>
      <c r="R21" s="1710">
        <v>61000000</v>
      </c>
      <c r="S21" s="1710">
        <v>64599999.999999993</v>
      </c>
      <c r="T21" s="1710">
        <v>65900000.000000007</v>
      </c>
      <c r="U21" s="1710">
        <v>63900000</v>
      </c>
      <c r="V21" s="1710">
        <v>64099999.999999993</v>
      </c>
      <c r="W21" s="1710">
        <v>64300000</v>
      </c>
      <c r="X21" s="1710">
        <v>64500000</v>
      </c>
      <c r="Y21" s="1735">
        <v>64700000</v>
      </c>
      <c r="Z21" s="1735">
        <v>64900000.000000007</v>
      </c>
      <c r="AA21" s="1697"/>
      <c r="AB21" s="365"/>
      <c r="AC21" s="365"/>
      <c r="AD21" s="365"/>
      <c r="AE21" s="365"/>
      <c r="AF21" s="365"/>
      <c r="AG21" s="365"/>
      <c r="AH21" s="365"/>
      <c r="AI21" s="365"/>
      <c r="AJ21" s="365"/>
      <c r="AK21" s="365"/>
      <c r="AL21" s="365"/>
      <c r="AM21" s="365"/>
      <c r="AN21" s="365"/>
      <c r="AO21" s="365"/>
      <c r="AP21" s="365"/>
      <c r="AQ21" s="365"/>
      <c r="AR21" s="365"/>
      <c r="AS21" s="365"/>
      <c r="AT21" s="365"/>
      <c r="AU21" s="365" t="str">
        <f t="shared" si="0"/>
        <v/>
      </c>
    </row>
    <row r="22" spans="1:47">
      <c r="A22" s="1716" t="s">
        <v>4508</v>
      </c>
      <c r="B22" s="1716" t="s">
        <v>4508</v>
      </c>
      <c r="C22" s="1700" t="s">
        <v>4510</v>
      </c>
      <c r="D22" s="1713"/>
      <c r="E22" s="1713">
        <v>17800000</v>
      </c>
      <c r="F22" s="1710">
        <v>18200000</v>
      </c>
      <c r="G22" s="1710">
        <v>18700000</v>
      </c>
      <c r="H22" s="1710"/>
      <c r="I22" s="1710"/>
      <c r="J22" s="1710"/>
      <c r="K22" s="1710"/>
      <c r="L22" s="1710"/>
      <c r="M22" s="1710"/>
      <c r="N22" s="1710"/>
      <c r="O22" s="1710"/>
      <c r="P22" s="1710"/>
      <c r="Q22" s="1710"/>
      <c r="R22" s="1710"/>
      <c r="S22" s="1715"/>
      <c r="T22" s="1715"/>
      <c r="U22" s="1715"/>
      <c r="V22" s="1715"/>
      <c r="W22" s="1715"/>
      <c r="X22" s="1715"/>
      <c r="Y22" s="1735"/>
      <c r="Z22" s="1735"/>
      <c r="AA22" s="1697"/>
      <c r="AB22" s="365"/>
      <c r="AC22" s="365"/>
      <c r="AD22" s="365"/>
      <c r="AE22" s="365"/>
      <c r="AF22" s="365"/>
      <c r="AG22" s="365"/>
      <c r="AH22" s="365"/>
      <c r="AI22" s="365"/>
      <c r="AJ22" s="365"/>
      <c r="AK22" s="365"/>
      <c r="AL22" s="365"/>
      <c r="AM22" s="365"/>
      <c r="AN22" s="365"/>
      <c r="AO22" s="365"/>
      <c r="AP22" s="365"/>
      <c r="AQ22" s="365"/>
      <c r="AR22" s="365"/>
      <c r="AS22" s="365"/>
      <c r="AT22" s="365"/>
      <c r="AU22" s="365" t="str">
        <f t="shared" si="0"/>
        <v/>
      </c>
    </row>
    <row r="23" spans="1:47">
      <c r="A23" s="1716" t="s">
        <v>4511</v>
      </c>
      <c r="B23" s="1716" t="s">
        <v>4512</v>
      </c>
      <c r="C23" s="1700" t="s">
        <v>4510</v>
      </c>
      <c r="D23" s="1713"/>
      <c r="E23" s="1713">
        <v>15200000</v>
      </c>
      <c r="F23" s="1710">
        <v>15500000</v>
      </c>
      <c r="G23" s="1710">
        <v>23800000</v>
      </c>
      <c r="H23" s="1710">
        <v>21800000</v>
      </c>
      <c r="I23" s="1710">
        <v>26500000</v>
      </c>
      <c r="J23" s="1710">
        <v>20300000</v>
      </c>
      <c r="K23" s="1710">
        <v>18600000</v>
      </c>
      <c r="L23" s="1710"/>
      <c r="M23" s="1710"/>
      <c r="N23" s="1710">
        <f t="shared" ref="N23:O23" si="7">N20-N21</f>
        <v>20000000.000000007</v>
      </c>
      <c r="O23" s="1710">
        <f t="shared" si="7"/>
        <v>17099999.999999993</v>
      </c>
      <c r="P23" s="1710">
        <f>P20-P21</f>
        <v>16800000</v>
      </c>
      <c r="Q23" s="1710">
        <f t="shared" ref="Q23:Z23" si="8">Q20-Q21</f>
        <v>16600000</v>
      </c>
      <c r="R23" s="1710">
        <f t="shared" si="8"/>
        <v>17500000</v>
      </c>
      <c r="S23" s="1715">
        <f t="shared" si="8"/>
        <v>14600000.000000007</v>
      </c>
      <c r="T23" s="1715">
        <f t="shared" si="8"/>
        <v>19999999.999999993</v>
      </c>
      <c r="U23" s="1715">
        <f t="shared" si="8"/>
        <v>20200000</v>
      </c>
      <c r="V23" s="1715">
        <f t="shared" si="8"/>
        <v>20600000.000000007</v>
      </c>
      <c r="W23" s="1715">
        <f t="shared" si="8"/>
        <v>21000000</v>
      </c>
      <c r="X23" s="1715">
        <f t="shared" si="8"/>
        <v>21400000</v>
      </c>
      <c r="Y23" s="1735">
        <f t="shared" si="8"/>
        <v>21800000</v>
      </c>
      <c r="Z23" s="1735">
        <f t="shared" si="8"/>
        <v>22199999.999999993</v>
      </c>
      <c r="AA23" s="1697"/>
      <c r="AB23" s="365"/>
      <c r="AC23" s="365"/>
      <c r="AD23" s="365"/>
      <c r="AE23" s="365"/>
      <c r="AF23" s="365"/>
      <c r="AG23" s="365"/>
      <c r="AH23" s="365"/>
      <c r="AI23" s="365"/>
      <c r="AJ23" s="365"/>
      <c r="AK23" s="365"/>
      <c r="AL23" s="365"/>
      <c r="AM23" s="365"/>
      <c r="AN23" s="365"/>
      <c r="AO23" s="365"/>
      <c r="AP23" s="365"/>
      <c r="AQ23" s="365"/>
      <c r="AR23" s="365"/>
      <c r="AS23" s="365"/>
      <c r="AT23" s="365"/>
      <c r="AU23" s="365" t="str">
        <f t="shared" si="0"/>
        <v/>
      </c>
    </row>
    <row r="24" spans="1:47">
      <c r="A24" s="1714" t="s">
        <v>540</v>
      </c>
      <c r="B24" s="1714" t="s">
        <v>540</v>
      </c>
      <c r="C24" s="1700" t="s">
        <v>57</v>
      </c>
      <c r="D24" s="1713">
        <v>25800000</v>
      </c>
      <c r="E24" s="1713">
        <v>25100000</v>
      </c>
      <c r="F24" s="1710">
        <v>31800000</v>
      </c>
      <c r="G24" s="1710">
        <v>31800000</v>
      </c>
      <c r="H24" s="1710">
        <v>0</v>
      </c>
      <c r="I24" s="1710">
        <v>1400000</v>
      </c>
      <c r="J24" s="1710">
        <v>5200000</v>
      </c>
      <c r="K24" s="1710">
        <v>13400000</v>
      </c>
      <c r="L24" s="1710">
        <v>15400000</v>
      </c>
      <c r="M24" s="1710">
        <v>39100000</v>
      </c>
      <c r="N24" s="1710">
        <v>50700000</v>
      </c>
      <c r="O24" s="1710">
        <v>52800000</v>
      </c>
      <c r="P24" s="1710">
        <v>58600000</v>
      </c>
      <c r="Q24" s="1710">
        <v>31300000</v>
      </c>
      <c r="R24" s="1710">
        <v>10200000</v>
      </c>
      <c r="S24" s="1710">
        <v>11900000</v>
      </c>
      <c r="T24" s="1710">
        <v>21600000</v>
      </c>
      <c r="U24" s="1710">
        <v>23500000</v>
      </c>
      <c r="V24" s="1710">
        <v>25300000</v>
      </c>
      <c r="W24" s="1710">
        <v>27500000</v>
      </c>
      <c r="X24" s="1710">
        <v>28000000</v>
      </c>
      <c r="Y24" s="1735">
        <v>28600000</v>
      </c>
      <c r="Z24" s="1735">
        <v>29200000</v>
      </c>
      <c r="AA24" s="1697"/>
      <c r="AB24" s="365"/>
      <c r="AC24" s="365"/>
      <c r="AD24" s="365"/>
      <c r="AE24" s="365"/>
      <c r="AF24" s="365"/>
      <c r="AG24" s="365"/>
      <c r="AH24" s="365"/>
      <c r="AI24" s="365"/>
      <c r="AJ24" s="365"/>
      <c r="AK24" s="365"/>
      <c r="AL24" s="365"/>
      <c r="AM24" s="365"/>
      <c r="AN24" s="365"/>
      <c r="AO24" s="365"/>
      <c r="AP24" s="365"/>
      <c r="AQ24" s="365"/>
      <c r="AR24" s="365"/>
      <c r="AS24" s="365"/>
      <c r="AT24" s="365"/>
      <c r="AU24" s="365" t="str">
        <f t="shared" si="0"/>
        <v/>
      </c>
    </row>
    <row r="25" spans="1:47">
      <c r="A25" s="1716" t="s">
        <v>4508</v>
      </c>
      <c r="B25" s="1716" t="s">
        <v>4509</v>
      </c>
      <c r="C25" s="1700" t="s">
        <v>4513</v>
      </c>
      <c r="D25" s="1713"/>
      <c r="E25" s="1713">
        <v>25000000</v>
      </c>
      <c r="F25" s="1713"/>
      <c r="G25" s="1713"/>
      <c r="H25" s="1710">
        <v>0</v>
      </c>
      <c r="I25" s="1710">
        <v>0</v>
      </c>
      <c r="J25" s="1710">
        <v>3000000</v>
      </c>
      <c r="K25" s="1710">
        <v>7000000</v>
      </c>
      <c r="L25" s="1710"/>
      <c r="M25" s="1710"/>
      <c r="N25" s="1710"/>
      <c r="O25" s="1710"/>
      <c r="P25" s="1710">
        <v>28500000</v>
      </c>
      <c r="Q25" s="1710">
        <v>16500000</v>
      </c>
      <c r="R25" s="1710">
        <v>4900000</v>
      </c>
      <c r="S25" s="1715">
        <v>7300000</v>
      </c>
      <c r="T25" s="1715">
        <v>7200000</v>
      </c>
      <c r="U25" s="1715">
        <v>8900000</v>
      </c>
      <c r="V25" s="1715">
        <v>10800000</v>
      </c>
      <c r="W25" s="1715">
        <v>12700000</v>
      </c>
      <c r="X25" s="1715">
        <v>13000000</v>
      </c>
      <c r="Y25" s="1735">
        <v>13200000</v>
      </c>
      <c r="Z25" s="1735">
        <v>13500000</v>
      </c>
      <c r="AA25" s="1697"/>
      <c r="AB25" s="365"/>
      <c r="AC25" s="365"/>
      <c r="AD25" s="365"/>
      <c r="AE25" s="365"/>
      <c r="AF25" s="365"/>
      <c r="AG25" s="365"/>
      <c r="AH25" s="365"/>
      <c r="AI25" s="365"/>
      <c r="AJ25" s="365"/>
      <c r="AK25" s="365"/>
      <c r="AL25" s="365"/>
      <c r="AM25" s="365"/>
      <c r="AN25" s="365"/>
      <c r="AO25" s="365"/>
      <c r="AP25" s="365"/>
      <c r="AQ25" s="365"/>
      <c r="AR25" s="365"/>
      <c r="AS25" s="365"/>
      <c r="AT25" s="365"/>
      <c r="AU25" s="365" t="str">
        <f t="shared" si="0"/>
        <v/>
      </c>
    </row>
    <row r="26" spans="1:47">
      <c r="A26" s="1716" t="s">
        <v>4511</v>
      </c>
      <c r="B26" s="1716" t="s">
        <v>4512</v>
      </c>
      <c r="C26" s="1700" t="s">
        <v>4513</v>
      </c>
      <c r="D26" s="1713"/>
      <c r="E26" s="1713">
        <v>200000</v>
      </c>
      <c r="F26" s="1713"/>
      <c r="G26" s="1713"/>
      <c r="H26" s="1710">
        <v>0</v>
      </c>
      <c r="I26" s="1710">
        <v>1400000</v>
      </c>
      <c r="J26" s="1710">
        <v>2200000</v>
      </c>
      <c r="K26" s="1710">
        <v>6400000</v>
      </c>
      <c r="L26" s="1710"/>
      <c r="M26" s="1710"/>
      <c r="N26" s="1710"/>
      <c r="O26" s="1710"/>
      <c r="P26" s="1710">
        <f>P24-P25</f>
        <v>30100000</v>
      </c>
      <c r="Q26" s="1710">
        <f t="shared" ref="Q26:Z26" si="9">Q24-Q25</f>
        <v>14800000</v>
      </c>
      <c r="R26" s="1710">
        <f t="shared" si="9"/>
        <v>5300000</v>
      </c>
      <c r="S26" s="1715">
        <f t="shared" si="9"/>
        <v>4600000</v>
      </c>
      <c r="T26" s="1715">
        <f t="shared" si="9"/>
        <v>14400000</v>
      </c>
      <c r="U26" s="1715">
        <f t="shared" si="9"/>
        <v>14600000</v>
      </c>
      <c r="V26" s="1715">
        <f t="shared" si="9"/>
        <v>14500000</v>
      </c>
      <c r="W26" s="1715">
        <f t="shared" si="9"/>
        <v>14800000</v>
      </c>
      <c r="X26" s="1715">
        <f t="shared" si="9"/>
        <v>15000000</v>
      </c>
      <c r="Y26" s="1735">
        <f t="shared" si="9"/>
        <v>15400000</v>
      </c>
      <c r="Z26" s="1735">
        <f t="shared" si="9"/>
        <v>15700000</v>
      </c>
      <c r="AA26" s="1697"/>
      <c r="AB26" s="365"/>
      <c r="AC26" s="365"/>
      <c r="AD26" s="365"/>
      <c r="AE26" s="365"/>
      <c r="AF26" s="365"/>
      <c r="AG26" s="365"/>
      <c r="AH26" s="365"/>
      <c r="AI26" s="365"/>
      <c r="AJ26" s="365"/>
      <c r="AK26" s="365"/>
      <c r="AL26" s="365"/>
      <c r="AM26" s="365"/>
      <c r="AN26" s="365"/>
      <c r="AO26" s="365"/>
      <c r="AP26" s="365"/>
      <c r="AQ26" s="365"/>
      <c r="AR26" s="365"/>
      <c r="AS26" s="365"/>
      <c r="AT26" s="365"/>
      <c r="AU26" s="365" t="str">
        <f t="shared" si="0"/>
        <v/>
      </c>
    </row>
    <row r="27" spans="1:47">
      <c r="A27" s="1714" t="s">
        <v>188</v>
      </c>
      <c r="B27" s="1714" t="s">
        <v>4514</v>
      </c>
      <c r="C27" s="1711" t="s">
        <v>41</v>
      </c>
      <c r="D27" s="1713">
        <v>24900000</v>
      </c>
      <c r="E27" s="1713">
        <v>19000000</v>
      </c>
      <c r="F27" s="1710">
        <v>20700000</v>
      </c>
      <c r="G27" s="1710">
        <v>24300000</v>
      </c>
      <c r="H27" s="1710">
        <v>32500000</v>
      </c>
      <c r="I27" s="1710">
        <v>22900000</v>
      </c>
      <c r="J27" s="1710">
        <v>25200000</v>
      </c>
      <c r="K27" s="1710">
        <v>24900000</v>
      </c>
      <c r="L27" s="1710">
        <v>26100000</v>
      </c>
      <c r="M27" s="1710">
        <v>27600000</v>
      </c>
      <c r="N27" s="1710">
        <v>28000000</v>
      </c>
      <c r="O27" s="1710">
        <v>26800000</v>
      </c>
      <c r="P27" s="1710">
        <v>36600000</v>
      </c>
      <c r="Q27" s="1710">
        <v>46100000</v>
      </c>
      <c r="R27" s="1710">
        <v>57000000</v>
      </c>
      <c r="S27" s="1710">
        <v>77800000</v>
      </c>
      <c r="T27" s="1710">
        <v>76400000</v>
      </c>
      <c r="U27" s="1710">
        <v>75400000</v>
      </c>
      <c r="V27" s="1710">
        <v>75700000</v>
      </c>
      <c r="W27" s="1710">
        <v>76400000</v>
      </c>
      <c r="X27" s="1710">
        <v>76600000</v>
      </c>
      <c r="Y27" s="1735">
        <v>77100000</v>
      </c>
      <c r="Z27" s="1735">
        <v>77700000</v>
      </c>
      <c r="AA27" s="1697"/>
      <c r="AB27" s="365"/>
      <c r="AC27" s="365"/>
      <c r="AD27" s="365"/>
      <c r="AE27" s="365"/>
      <c r="AF27" s="365"/>
      <c r="AG27" s="365"/>
      <c r="AH27" s="365"/>
      <c r="AI27" s="365"/>
      <c r="AJ27" s="365"/>
      <c r="AK27" s="365"/>
      <c r="AL27" s="365"/>
      <c r="AM27" s="365"/>
      <c r="AN27" s="365"/>
      <c r="AO27" s="365"/>
      <c r="AP27" s="365"/>
      <c r="AQ27" s="365"/>
      <c r="AR27" s="365"/>
      <c r="AS27" s="365"/>
      <c r="AT27" s="365"/>
      <c r="AU27" s="365" t="str">
        <f t="shared" si="0"/>
        <v/>
      </c>
    </row>
    <row r="28" spans="1:47">
      <c r="A28" s="1716" t="s">
        <v>4515</v>
      </c>
      <c r="B28" s="1716" t="s">
        <v>4516</v>
      </c>
      <c r="C28" s="1704" t="s">
        <v>192</v>
      </c>
      <c r="D28" s="1713">
        <v>14100000</v>
      </c>
      <c r="E28" s="1713">
        <v>11300000</v>
      </c>
      <c r="F28" s="1710">
        <v>10600000</v>
      </c>
      <c r="G28" s="1710">
        <v>11800000</v>
      </c>
      <c r="H28" s="1710">
        <v>12100000</v>
      </c>
      <c r="I28" s="1710">
        <v>13300000</v>
      </c>
      <c r="J28" s="1710">
        <v>13200000</v>
      </c>
      <c r="K28" s="1710">
        <v>15000000</v>
      </c>
      <c r="L28" s="1710">
        <v>17000000</v>
      </c>
      <c r="M28" s="1710">
        <v>20000000</v>
      </c>
      <c r="N28" s="1710">
        <v>17700000</v>
      </c>
      <c r="O28" s="1710">
        <v>18800000</v>
      </c>
      <c r="P28" s="1710">
        <v>26400000</v>
      </c>
      <c r="Q28" s="1710">
        <v>35000000</v>
      </c>
      <c r="R28" s="1710">
        <v>47500000</v>
      </c>
      <c r="S28" s="1710">
        <v>65200000</v>
      </c>
      <c r="T28" s="1710">
        <v>63400000</v>
      </c>
      <c r="U28" s="1710">
        <v>62500000</v>
      </c>
      <c r="V28" s="1710">
        <v>62500000</v>
      </c>
      <c r="W28" s="1710">
        <v>62500000</v>
      </c>
      <c r="X28" s="1710">
        <v>62500000</v>
      </c>
      <c r="Y28" s="1735">
        <v>62500000</v>
      </c>
      <c r="Z28" s="1735">
        <v>62500000</v>
      </c>
      <c r="AA28" s="1697"/>
      <c r="AB28" s="365"/>
      <c r="AC28" s="365"/>
      <c r="AD28" s="365"/>
      <c r="AE28" s="365"/>
      <c r="AF28" s="365"/>
      <c r="AG28" s="365"/>
      <c r="AH28" s="365"/>
      <c r="AI28" s="365"/>
      <c r="AJ28" s="365"/>
      <c r="AK28" s="365"/>
      <c r="AL28" s="365"/>
      <c r="AM28" s="365"/>
      <c r="AN28" s="365"/>
      <c r="AO28" s="365"/>
      <c r="AP28" s="365"/>
      <c r="AQ28" s="365"/>
      <c r="AR28" s="365"/>
      <c r="AS28" s="365"/>
      <c r="AT28" s="365"/>
      <c r="AU28" s="365" t="str">
        <f t="shared" si="0"/>
        <v/>
      </c>
    </row>
    <row r="29" spans="1:47">
      <c r="A29" s="1716" t="s">
        <v>4517</v>
      </c>
      <c r="B29" s="1716" t="s">
        <v>4518</v>
      </c>
      <c r="C29" s="1704" t="s">
        <v>192</v>
      </c>
      <c r="D29" s="1713">
        <v>5200000</v>
      </c>
      <c r="E29" s="1713">
        <v>2100000</v>
      </c>
      <c r="F29" s="1710">
        <v>2300000</v>
      </c>
      <c r="G29" s="1710">
        <v>1300000</v>
      </c>
      <c r="H29" s="1710">
        <v>3300000</v>
      </c>
      <c r="I29" s="1710">
        <v>2000000</v>
      </c>
      <c r="J29" s="1710">
        <v>1400000</v>
      </c>
      <c r="K29" s="1710">
        <v>2700000</v>
      </c>
      <c r="L29" s="1710">
        <v>500000</v>
      </c>
      <c r="M29" s="1710">
        <v>700000</v>
      </c>
      <c r="N29" s="1710"/>
      <c r="O29" s="1710"/>
      <c r="P29" s="1710"/>
      <c r="Q29" s="1710"/>
      <c r="R29" s="1710"/>
      <c r="S29" s="1715"/>
      <c r="T29" s="1715"/>
      <c r="U29" s="1715"/>
      <c r="V29" s="1715"/>
      <c r="W29" s="1715"/>
      <c r="X29" s="1715"/>
      <c r="Y29" s="1735"/>
      <c r="Z29" s="1735"/>
      <c r="AA29" s="1697"/>
      <c r="AB29" s="365"/>
      <c r="AC29" s="365"/>
      <c r="AD29" s="365"/>
      <c r="AE29" s="365"/>
      <c r="AF29" s="365"/>
      <c r="AG29" s="365"/>
      <c r="AH29" s="365"/>
      <c r="AI29" s="365"/>
      <c r="AJ29" s="365"/>
      <c r="AK29" s="365"/>
      <c r="AL29" s="365"/>
      <c r="AM29" s="365"/>
      <c r="AN29" s="365"/>
      <c r="AO29" s="365"/>
      <c r="AP29" s="365"/>
      <c r="AQ29" s="365"/>
      <c r="AR29" s="365"/>
      <c r="AS29" s="365"/>
      <c r="AT29" s="365"/>
      <c r="AU29" s="365" t="str">
        <f t="shared" si="0"/>
        <v/>
      </c>
    </row>
    <row r="30" spans="1:47">
      <c r="A30" s="1716" t="s">
        <v>1516</v>
      </c>
      <c r="B30" s="1716" t="s">
        <v>4519</v>
      </c>
      <c r="C30" s="1704" t="s">
        <v>192</v>
      </c>
      <c r="D30" s="1713">
        <v>5600000</v>
      </c>
      <c r="E30" s="1713">
        <v>5500000</v>
      </c>
      <c r="F30" s="1710">
        <v>7900000</v>
      </c>
      <c r="G30" s="1710">
        <v>11200000</v>
      </c>
      <c r="H30" s="1710">
        <v>17100000</v>
      </c>
      <c r="I30" s="1710">
        <v>7600000</v>
      </c>
      <c r="J30" s="1710">
        <v>10600000</v>
      </c>
      <c r="K30" s="1710">
        <v>7200000</v>
      </c>
      <c r="L30" s="1710">
        <v>8600000</v>
      </c>
      <c r="M30" s="1710">
        <v>6800000</v>
      </c>
      <c r="N30" s="1729">
        <f>N27-N28</f>
        <v>10300000</v>
      </c>
      <c r="O30" s="1729">
        <f t="shared" ref="O30:Z30" si="10">O27-O28</f>
        <v>8000000</v>
      </c>
      <c r="P30" s="1729">
        <f t="shared" si="10"/>
        <v>10200000</v>
      </c>
      <c r="Q30" s="1729">
        <f t="shared" si="10"/>
        <v>11100000</v>
      </c>
      <c r="R30" s="1729">
        <f t="shared" si="10"/>
        <v>9500000</v>
      </c>
      <c r="S30" s="1729">
        <f t="shared" si="10"/>
        <v>12600000</v>
      </c>
      <c r="T30" s="1729">
        <f t="shared" si="10"/>
        <v>13000000</v>
      </c>
      <c r="U30" s="1729">
        <f t="shared" si="10"/>
        <v>12900000</v>
      </c>
      <c r="V30" s="1729">
        <f t="shared" si="10"/>
        <v>13200000</v>
      </c>
      <c r="W30" s="1729">
        <f t="shared" si="10"/>
        <v>13900000</v>
      </c>
      <c r="X30" s="1729">
        <f t="shared" si="10"/>
        <v>14100000</v>
      </c>
      <c r="Y30" s="1729">
        <f t="shared" si="10"/>
        <v>14600000</v>
      </c>
      <c r="Z30" s="1729">
        <f t="shared" si="10"/>
        <v>15200000</v>
      </c>
      <c r="AA30" s="1697"/>
      <c r="AB30" s="365"/>
      <c r="AC30" s="365"/>
      <c r="AD30" s="365"/>
      <c r="AE30" s="365"/>
      <c r="AF30" s="365"/>
      <c r="AG30" s="365"/>
      <c r="AH30" s="365"/>
      <c r="AI30" s="365"/>
      <c r="AJ30" s="365"/>
      <c r="AK30" s="365"/>
      <c r="AL30" s="365"/>
      <c r="AM30" s="365"/>
      <c r="AN30" s="365"/>
      <c r="AO30" s="365"/>
      <c r="AP30" s="365"/>
      <c r="AQ30" s="365"/>
      <c r="AR30" s="365"/>
      <c r="AS30" s="365"/>
      <c r="AT30" s="365"/>
      <c r="AU30" s="365" t="str">
        <f t="shared" si="0"/>
        <v/>
      </c>
    </row>
    <row r="31" spans="1:47" s="848" customFormat="1">
      <c r="A31" s="1721" t="s">
        <v>198</v>
      </c>
      <c r="B31" s="1722" t="s">
        <v>535</v>
      </c>
      <c r="C31" s="1723" t="s">
        <v>35</v>
      </c>
      <c r="D31" s="1724">
        <v>165300000</v>
      </c>
      <c r="E31" s="1724">
        <f>E32+E42</f>
        <v>157200000</v>
      </c>
      <c r="F31" s="1725">
        <v>143000000</v>
      </c>
      <c r="G31" s="1725">
        <v>164100000</v>
      </c>
      <c r="H31" s="1725">
        <f>H32+H42</f>
        <v>170000000</v>
      </c>
      <c r="I31" s="1725">
        <f>I32+I42</f>
        <v>149000000</v>
      </c>
      <c r="J31" s="1725">
        <f>J32+J42</f>
        <v>153200000</v>
      </c>
      <c r="K31" s="1725">
        <f>K32+K42</f>
        <v>152100000</v>
      </c>
      <c r="L31" s="1725">
        <v>154200000</v>
      </c>
      <c r="M31" s="1725">
        <v>178200000</v>
      </c>
      <c r="N31" s="1725">
        <f t="shared" ref="N31:O31" si="11">N32+N42</f>
        <v>185800000</v>
      </c>
      <c r="O31" s="1725">
        <f t="shared" si="11"/>
        <v>199100000</v>
      </c>
      <c r="P31" s="1725">
        <v>212300000</v>
      </c>
      <c r="Q31" s="1725">
        <v>187000000</v>
      </c>
      <c r="R31" s="1725">
        <v>170500000</v>
      </c>
      <c r="S31" s="1725">
        <v>175100000</v>
      </c>
      <c r="T31" s="1725">
        <v>197500000</v>
      </c>
      <c r="U31" s="1725">
        <v>198300000</v>
      </c>
      <c r="V31" s="1725">
        <v>201500000</v>
      </c>
      <c r="W31" s="1725">
        <v>205700000</v>
      </c>
      <c r="X31" s="1725">
        <v>208000000</v>
      </c>
      <c r="Y31" s="1734">
        <v>210700000</v>
      </c>
      <c r="Z31" s="1734">
        <v>213100000</v>
      </c>
      <c r="AA31" s="1726"/>
      <c r="AB31" s="916"/>
      <c r="AC31" s="916"/>
      <c r="AD31" s="916"/>
      <c r="AE31" s="916"/>
      <c r="AF31" s="916"/>
      <c r="AG31" s="916"/>
      <c r="AH31" s="916"/>
      <c r="AI31" s="916"/>
      <c r="AJ31" s="916"/>
      <c r="AK31" s="916"/>
      <c r="AL31" s="916"/>
      <c r="AM31" s="916"/>
      <c r="AN31" s="916"/>
      <c r="AO31" s="916"/>
      <c r="AP31" s="916"/>
      <c r="AQ31" s="916"/>
      <c r="AR31" s="916"/>
      <c r="AS31" s="916"/>
      <c r="AT31" s="916"/>
      <c r="AU31" s="916" t="str">
        <f t="shared" si="0"/>
        <v/>
      </c>
    </row>
    <row r="32" spans="1:47">
      <c r="A32" s="1716" t="s">
        <v>73</v>
      </c>
      <c r="B32" s="1711" t="s">
        <v>382</v>
      </c>
      <c r="C32" s="1711" t="s">
        <v>201</v>
      </c>
      <c r="D32" s="1713">
        <v>126600000</v>
      </c>
      <c r="E32" s="1730">
        <f>E33+E37+E38+E39+E40</f>
        <v>126300000</v>
      </c>
      <c r="F32" s="1710">
        <v>119700000</v>
      </c>
      <c r="G32" s="1710">
        <v>138300000</v>
      </c>
      <c r="H32" s="1729">
        <f>H33+H37+H38+H39+H40</f>
        <v>127300000</v>
      </c>
      <c r="I32" s="1729">
        <f>I33+I37+I38+I39+I40</f>
        <v>136200000</v>
      </c>
      <c r="J32" s="1729">
        <f>J33+J37+J38+J39+J40</f>
        <v>144400000</v>
      </c>
      <c r="K32" s="1729">
        <f>K33+K37+K38+K39+K40</f>
        <v>132600000</v>
      </c>
      <c r="L32" s="1710">
        <v>131100000</v>
      </c>
      <c r="M32" s="1710">
        <v>131400000</v>
      </c>
      <c r="N32" s="1710">
        <v>137800000</v>
      </c>
      <c r="O32" s="1710">
        <v>141100000</v>
      </c>
      <c r="P32" s="1710">
        <v>142200000</v>
      </c>
      <c r="Q32" s="1710">
        <v>141700000</v>
      </c>
      <c r="R32" s="1710">
        <v>147900000</v>
      </c>
      <c r="S32" s="1710">
        <v>153400000</v>
      </c>
      <c r="T32" s="1710">
        <v>158300000</v>
      </c>
      <c r="U32" s="1710">
        <v>157200000</v>
      </c>
      <c r="V32" s="1710">
        <v>158700000</v>
      </c>
      <c r="W32" s="1710">
        <v>160600000</v>
      </c>
      <c r="X32" s="1710">
        <v>162000000</v>
      </c>
      <c r="Y32" s="1735">
        <v>163700000</v>
      </c>
      <c r="Z32" s="1735">
        <v>164900000</v>
      </c>
      <c r="AA32" s="1697"/>
      <c r="AB32" s="365"/>
      <c r="AC32" s="365"/>
      <c r="AD32" s="365"/>
      <c r="AE32" s="365"/>
      <c r="AF32" s="365"/>
      <c r="AG32" s="365"/>
      <c r="AH32" s="365"/>
      <c r="AI32" s="365"/>
      <c r="AJ32" s="365"/>
      <c r="AK32" s="365"/>
      <c r="AL32" s="365"/>
      <c r="AM32" s="365"/>
      <c r="AN32" s="365"/>
      <c r="AO32" s="365"/>
      <c r="AP32" s="365"/>
      <c r="AQ32" s="365"/>
      <c r="AR32" s="365"/>
      <c r="AS32" s="365"/>
      <c r="AT32" s="365"/>
      <c r="AU32" s="365" t="str">
        <f t="shared" si="0"/>
        <v/>
      </c>
    </row>
    <row r="33" spans="1:47">
      <c r="A33" s="1714" t="s">
        <v>83</v>
      </c>
      <c r="B33" s="1714" t="s">
        <v>4520</v>
      </c>
      <c r="C33" s="1711" t="s">
        <v>204</v>
      </c>
      <c r="D33" s="1713">
        <v>114300000</v>
      </c>
      <c r="E33" s="1713">
        <v>122100000</v>
      </c>
      <c r="F33" s="1710">
        <v>113100000</v>
      </c>
      <c r="G33" s="1710">
        <v>131300000.00000001</v>
      </c>
      <c r="H33" s="1710">
        <v>120500000</v>
      </c>
      <c r="I33" s="1710">
        <v>130100000</v>
      </c>
      <c r="J33" s="1710">
        <v>138400000</v>
      </c>
      <c r="K33" s="1710">
        <v>129000000</v>
      </c>
      <c r="L33" s="1710">
        <v>127500000</v>
      </c>
      <c r="M33" s="1710">
        <v>128900000</v>
      </c>
      <c r="N33" s="1710">
        <v>131199999.99999999</v>
      </c>
      <c r="O33" s="1710">
        <v>133600000</v>
      </c>
      <c r="P33" s="1710">
        <v>135500000</v>
      </c>
      <c r="Q33" s="1710">
        <v>135600000</v>
      </c>
      <c r="R33" s="1710">
        <v>141200000</v>
      </c>
      <c r="S33" s="1710">
        <v>147800000</v>
      </c>
      <c r="T33" s="1710">
        <v>151100000</v>
      </c>
      <c r="U33" s="1710">
        <v>149900000</v>
      </c>
      <c r="V33" s="1710">
        <v>151200000</v>
      </c>
      <c r="W33" s="1710">
        <v>153000000</v>
      </c>
      <c r="X33" s="1710">
        <v>154300000</v>
      </c>
      <c r="Y33" s="1735">
        <v>155800000</v>
      </c>
      <c r="Z33" s="1735">
        <v>157000000</v>
      </c>
      <c r="AA33" s="1697"/>
      <c r="AB33" s="365"/>
      <c r="AC33" s="365"/>
      <c r="AD33" s="365"/>
      <c r="AE33" s="365"/>
      <c r="AF33" s="365"/>
      <c r="AG33" s="365"/>
      <c r="AH33" s="365"/>
      <c r="AI33" s="365"/>
      <c r="AJ33" s="365"/>
      <c r="AK33" s="365"/>
      <c r="AL33" s="365"/>
      <c r="AM33" s="365"/>
      <c r="AN33" s="365"/>
      <c r="AO33" s="365"/>
      <c r="AP33" s="365"/>
      <c r="AQ33" s="365"/>
      <c r="AR33" s="365"/>
      <c r="AS33" s="365"/>
      <c r="AT33" s="365"/>
      <c r="AU33" s="365" t="str">
        <f t="shared" si="0"/>
        <v/>
      </c>
    </row>
    <row r="34" spans="1:47">
      <c r="A34" s="1716" t="s">
        <v>79</v>
      </c>
      <c r="B34" s="1716" t="s">
        <v>4521</v>
      </c>
      <c r="C34" s="1704" t="s">
        <v>1436</v>
      </c>
      <c r="D34" s="1713">
        <v>50200000</v>
      </c>
      <c r="E34" s="1713">
        <v>54300000</v>
      </c>
      <c r="F34" s="1710">
        <v>58100000</v>
      </c>
      <c r="G34" s="1710">
        <v>46100000</v>
      </c>
      <c r="H34" s="1710">
        <v>57300000</v>
      </c>
      <c r="I34" s="1710">
        <v>60100000</v>
      </c>
      <c r="J34" s="1710">
        <v>65500000</v>
      </c>
      <c r="K34" s="1710">
        <v>61700000</v>
      </c>
      <c r="L34" s="1710">
        <v>60200000</v>
      </c>
      <c r="M34" s="1710">
        <v>63100000</v>
      </c>
      <c r="N34" s="1710">
        <v>68000000</v>
      </c>
      <c r="O34" s="1710">
        <v>68000000</v>
      </c>
      <c r="P34" s="1710">
        <v>68100000</v>
      </c>
      <c r="Q34" s="1710">
        <v>69400000</v>
      </c>
      <c r="R34" s="1710">
        <v>70100000</v>
      </c>
      <c r="S34" s="1710">
        <v>71600000</v>
      </c>
      <c r="T34" s="1710">
        <v>73700000</v>
      </c>
      <c r="U34" s="1710">
        <v>74400000</v>
      </c>
      <c r="V34" s="1710">
        <v>74600000</v>
      </c>
      <c r="W34" s="1710">
        <v>74800000</v>
      </c>
      <c r="X34" s="1710">
        <v>75100000</v>
      </c>
      <c r="Y34" s="1735">
        <v>75400000</v>
      </c>
      <c r="Z34" s="1735">
        <v>75600000</v>
      </c>
      <c r="AA34" s="1697"/>
      <c r="AB34" s="365"/>
      <c r="AC34" s="365"/>
      <c r="AD34" s="365"/>
      <c r="AE34" s="365"/>
      <c r="AF34" s="365"/>
      <c r="AG34" s="365"/>
      <c r="AH34" s="365"/>
      <c r="AI34" s="365"/>
      <c r="AJ34" s="365"/>
      <c r="AK34" s="365"/>
      <c r="AL34" s="365"/>
      <c r="AM34" s="365"/>
      <c r="AN34" s="365"/>
      <c r="AO34" s="365"/>
      <c r="AP34" s="365"/>
      <c r="AQ34" s="365"/>
      <c r="AR34" s="365"/>
      <c r="AS34" s="365"/>
      <c r="AT34" s="365"/>
      <c r="AU34" s="365" t="str">
        <f t="shared" si="0"/>
        <v/>
      </c>
    </row>
    <row r="35" spans="1:47">
      <c r="A35" s="1716" t="s">
        <v>4522</v>
      </c>
      <c r="B35" s="1716" t="s">
        <v>4522</v>
      </c>
      <c r="C35" s="1704" t="s">
        <v>1436</v>
      </c>
      <c r="D35" s="1713">
        <v>7700000</v>
      </c>
      <c r="E35" s="1713">
        <v>8900000</v>
      </c>
      <c r="F35" s="1710">
        <v>7800000</v>
      </c>
      <c r="G35" s="1710">
        <v>2900000</v>
      </c>
      <c r="H35" s="1710">
        <v>7700000</v>
      </c>
      <c r="I35" s="1710">
        <v>7800000</v>
      </c>
      <c r="J35" s="1710">
        <v>8400000</v>
      </c>
      <c r="K35" s="1710">
        <v>8199999.9999999991</v>
      </c>
      <c r="L35" s="1710">
        <v>8199999.9999999991</v>
      </c>
      <c r="M35" s="1710">
        <v>8300000.0000000009</v>
      </c>
      <c r="N35" s="1710">
        <v>10400000</v>
      </c>
      <c r="O35" s="1710">
        <v>10100000</v>
      </c>
      <c r="P35" s="1710"/>
      <c r="Q35" s="1710"/>
      <c r="R35" s="1710"/>
      <c r="S35" s="1710"/>
      <c r="T35" s="1710"/>
      <c r="U35" s="1710"/>
      <c r="V35" s="1710"/>
      <c r="W35" s="1710"/>
      <c r="X35" s="1710"/>
      <c r="Y35" s="1735"/>
      <c r="Z35" s="1735"/>
      <c r="AA35" s="1697"/>
      <c r="AB35" s="365"/>
      <c r="AC35" s="365"/>
      <c r="AD35" s="365"/>
      <c r="AE35" s="365"/>
      <c r="AF35" s="365"/>
      <c r="AG35" s="365"/>
      <c r="AH35" s="365"/>
      <c r="AI35" s="365"/>
      <c r="AJ35" s="365"/>
      <c r="AK35" s="365"/>
      <c r="AL35" s="365"/>
      <c r="AM35" s="365"/>
      <c r="AN35" s="365"/>
      <c r="AO35" s="365"/>
      <c r="AP35" s="365"/>
      <c r="AQ35" s="365"/>
      <c r="AR35" s="365"/>
      <c r="AS35" s="365"/>
      <c r="AT35" s="365"/>
      <c r="AU35" s="365" t="str">
        <f t="shared" si="0"/>
        <v/>
      </c>
    </row>
    <row r="36" spans="1:47">
      <c r="A36" s="1716" t="s">
        <v>50</v>
      </c>
      <c r="B36" s="1716" t="s">
        <v>50</v>
      </c>
      <c r="C36" s="1704" t="s">
        <v>1436</v>
      </c>
      <c r="D36" s="1713">
        <v>56400000</v>
      </c>
      <c r="E36" s="1713">
        <v>58900000</v>
      </c>
      <c r="F36" s="1710">
        <v>47200000</v>
      </c>
      <c r="G36" s="1710">
        <v>82300000</v>
      </c>
      <c r="H36" s="1710">
        <v>55500000</v>
      </c>
      <c r="I36" s="1710">
        <v>62200000</v>
      </c>
      <c r="J36" s="1710">
        <v>64500000</v>
      </c>
      <c r="K36" s="1710">
        <v>59000000</v>
      </c>
      <c r="L36" s="1710">
        <v>59100000</v>
      </c>
      <c r="M36" s="1710">
        <v>57500000</v>
      </c>
      <c r="N36" s="1710">
        <v>52800000</v>
      </c>
      <c r="O36" s="1710">
        <v>55600000</v>
      </c>
      <c r="P36" s="1710">
        <v>67400000</v>
      </c>
      <c r="Q36" s="1710">
        <v>66200000</v>
      </c>
      <c r="R36" s="1710">
        <v>71100000</v>
      </c>
      <c r="S36" s="1710">
        <v>76100000</v>
      </c>
      <c r="T36" s="1710">
        <v>77400000</v>
      </c>
      <c r="U36" s="1710">
        <v>75500000</v>
      </c>
      <c r="V36" s="1710">
        <v>76600000</v>
      </c>
      <c r="W36" s="1710">
        <v>78200000</v>
      </c>
      <c r="X36" s="1710">
        <v>79200000</v>
      </c>
      <c r="Y36" s="1735">
        <v>80500000</v>
      </c>
      <c r="Z36" s="1735">
        <v>81400000</v>
      </c>
      <c r="AA36" s="1697"/>
      <c r="AB36" s="365"/>
      <c r="AC36" s="365"/>
      <c r="AD36" s="365"/>
      <c r="AE36" s="365"/>
      <c r="AF36" s="365"/>
      <c r="AG36" s="365"/>
      <c r="AH36" s="365"/>
      <c r="AI36" s="365"/>
      <c r="AJ36" s="365"/>
      <c r="AK36" s="365"/>
      <c r="AL36" s="365"/>
      <c r="AM36" s="365"/>
      <c r="AN36" s="365"/>
      <c r="AO36" s="365"/>
      <c r="AP36" s="365"/>
      <c r="AQ36" s="365"/>
      <c r="AR36" s="365"/>
      <c r="AS36" s="365"/>
      <c r="AT36" s="365"/>
      <c r="AU36" s="365" t="str">
        <f t="shared" si="0"/>
        <v/>
      </c>
    </row>
    <row r="37" spans="1:47">
      <c r="A37" s="1714" t="s">
        <v>90</v>
      </c>
      <c r="B37" s="1714" t="s">
        <v>4523</v>
      </c>
      <c r="C37" s="1711" t="s">
        <v>204</v>
      </c>
      <c r="D37" s="1713">
        <v>2900000</v>
      </c>
      <c r="E37" s="1713">
        <v>600000</v>
      </c>
      <c r="F37" s="1713"/>
      <c r="G37" s="1713"/>
      <c r="H37" s="1713"/>
      <c r="I37" s="1713"/>
      <c r="J37" s="1713"/>
      <c r="K37" s="1713"/>
      <c r="L37" s="1710">
        <v>0</v>
      </c>
      <c r="M37" s="1710">
        <v>100000</v>
      </c>
      <c r="N37" s="1710">
        <v>800000</v>
      </c>
      <c r="O37" s="1710">
        <v>1000000</v>
      </c>
      <c r="P37" s="1710">
        <v>1000000</v>
      </c>
      <c r="Q37" s="1710">
        <v>1200000</v>
      </c>
      <c r="R37" s="1710">
        <v>1200000</v>
      </c>
      <c r="S37" s="1710">
        <v>1100000</v>
      </c>
      <c r="T37" s="1710">
        <v>1000000</v>
      </c>
      <c r="U37" s="1710">
        <v>1000000</v>
      </c>
      <c r="V37" s="1710">
        <v>1000000</v>
      </c>
      <c r="W37" s="1710">
        <v>1000000</v>
      </c>
      <c r="X37" s="1710">
        <v>1000000</v>
      </c>
      <c r="Y37" s="1735">
        <v>1000000</v>
      </c>
      <c r="Z37" s="1735">
        <v>1000000</v>
      </c>
      <c r="AA37" s="1697"/>
      <c r="AB37" s="365"/>
      <c r="AC37" s="365"/>
      <c r="AD37" s="365"/>
      <c r="AE37" s="365"/>
      <c r="AF37" s="365"/>
      <c r="AG37" s="365"/>
      <c r="AH37" s="365"/>
      <c r="AI37" s="365"/>
      <c r="AJ37" s="365"/>
      <c r="AK37" s="365"/>
      <c r="AL37" s="365"/>
      <c r="AM37" s="365"/>
      <c r="AN37" s="365"/>
      <c r="AO37" s="365"/>
      <c r="AP37" s="365"/>
      <c r="AQ37" s="365"/>
      <c r="AR37" s="365"/>
      <c r="AS37" s="365"/>
      <c r="AT37" s="365"/>
      <c r="AU37" s="365" t="str">
        <f t="shared" si="0"/>
        <v/>
      </c>
    </row>
    <row r="38" spans="1:47">
      <c r="A38" s="1714" t="s">
        <v>215</v>
      </c>
      <c r="B38" s="1714" t="s">
        <v>215</v>
      </c>
      <c r="C38" s="1711" t="s">
        <v>204</v>
      </c>
      <c r="D38" s="1713">
        <v>4300000</v>
      </c>
      <c r="E38" s="1713">
        <v>3600000</v>
      </c>
      <c r="F38" s="1710">
        <v>4400000</v>
      </c>
      <c r="G38" s="1710">
        <v>3500000</v>
      </c>
      <c r="H38" s="1710">
        <v>2400000</v>
      </c>
      <c r="I38" s="1710">
        <v>1300000</v>
      </c>
      <c r="J38" s="1710">
        <v>1200000</v>
      </c>
      <c r="K38" s="1710">
        <v>2400000</v>
      </c>
      <c r="L38" s="1710">
        <v>2900000</v>
      </c>
      <c r="M38" s="1710">
        <v>2300000</v>
      </c>
      <c r="N38" s="1710">
        <v>1000000</v>
      </c>
      <c r="O38" s="1710">
        <v>700000</v>
      </c>
      <c r="P38" s="1710">
        <v>1000000</v>
      </c>
      <c r="Q38" s="1710">
        <v>600000</v>
      </c>
      <c r="R38" s="1710">
        <v>700000</v>
      </c>
      <c r="S38" s="1710">
        <v>300000</v>
      </c>
      <c r="T38" s="1710">
        <v>300000</v>
      </c>
      <c r="U38" s="1710">
        <v>300000</v>
      </c>
      <c r="V38" s="1710">
        <v>300000</v>
      </c>
      <c r="W38" s="1710">
        <v>300000</v>
      </c>
      <c r="X38" s="1710">
        <v>300000</v>
      </c>
      <c r="Y38" s="1735">
        <v>300000</v>
      </c>
      <c r="Z38" s="1735">
        <v>300000</v>
      </c>
      <c r="AA38" s="1697"/>
      <c r="AB38" s="365"/>
      <c r="AC38" s="365"/>
      <c r="AD38" s="365"/>
      <c r="AE38" s="365"/>
      <c r="AF38" s="365"/>
      <c r="AG38" s="365"/>
      <c r="AH38" s="365"/>
      <c r="AI38" s="365"/>
      <c r="AJ38" s="365"/>
      <c r="AK38" s="365"/>
      <c r="AL38" s="365"/>
      <c r="AM38" s="365"/>
      <c r="AN38" s="365"/>
      <c r="AO38" s="365"/>
      <c r="AP38" s="365"/>
      <c r="AQ38" s="365"/>
      <c r="AR38" s="365"/>
      <c r="AS38" s="365"/>
      <c r="AT38" s="365"/>
      <c r="AU38" s="365" t="str">
        <f t="shared" si="0"/>
        <v/>
      </c>
    </row>
    <row r="39" spans="1:47">
      <c r="A39" s="1714" t="s">
        <v>4524</v>
      </c>
      <c r="B39" s="1714" t="s">
        <v>4525</v>
      </c>
      <c r="C39" s="1711" t="s">
        <v>204</v>
      </c>
      <c r="D39" s="1713"/>
      <c r="E39" s="1713"/>
      <c r="F39" s="1710">
        <v>2200000</v>
      </c>
      <c r="G39" s="1710">
        <v>3400000</v>
      </c>
      <c r="H39" s="1710">
        <v>4400000</v>
      </c>
      <c r="I39" s="1710">
        <v>4800000</v>
      </c>
      <c r="J39" s="1710">
        <v>4800000</v>
      </c>
      <c r="K39" s="1710">
        <v>1200000</v>
      </c>
      <c r="L39" s="1710">
        <v>700000</v>
      </c>
      <c r="M39" s="1710">
        <v>0</v>
      </c>
      <c r="N39" s="1713"/>
      <c r="O39" s="1713"/>
      <c r="P39" s="1713">
        <v>4800000</v>
      </c>
      <c r="Q39" s="1713">
        <v>4200000</v>
      </c>
      <c r="R39" s="1713">
        <v>4900000</v>
      </c>
      <c r="S39" s="1713">
        <v>4200000</v>
      </c>
      <c r="T39" s="1713">
        <v>5900000</v>
      </c>
      <c r="U39" s="1713">
        <v>6000000</v>
      </c>
      <c r="V39" s="1713">
        <v>6200000</v>
      </c>
      <c r="W39" s="1713">
        <v>6300000</v>
      </c>
      <c r="X39" s="1713">
        <v>6400000</v>
      </c>
      <c r="Y39" s="1735">
        <v>6500000</v>
      </c>
      <c r="Z39" s="1735">
        <v>6600000</v>
      </c>
      <c r="AA39" s="1697"/>
      <c r="AB39" s="365"/>
      <c r="AC39" s="365"/>
      <c r="AD39" s="365"/>
      <c r="AE39" s="365"/>
      <c r="AF39" s="365"/>
      <c r="AG39" s="365"/>
      <c r="AH39" s="365"/>
      <c r="AI39" s="365"/>
      <c r="AJ39" s="365"/>
      <c r="AK39" s="365"/>
      <c r="AL39" s="365"/>
      <c r="AM39" s="365"/>
      <c r="AN39" s="365"/>
      <c r="AO39" s="365"/>
      <c r="AP39" s="365"/>
      <c r="AQ39" s="365"/>
      <c r="AR39" s="365"/>
      <c r="AS39" s="365"/>
      <c r="AT39" s="365"/>
      <c r="AU39" s="365" t="str">
        <f t="shared" si="0"/>
        <v/>
      </c>
    </row>
    <row r="40" spans="1:47">
      <c r="A40" s="1714" t="s">
        <v>391</v>
      </c>
      <c r="B40" s="1714" t="s">
        <v>4526</v>
      </c>
      <c r="C40" s="1711" t="s">
        <v>204</v>
      </c>
      <c r="D40" s="1713">
        <f>D32-D33-D37-D38-D39</f>
        <v>5100000</v>
      </c>
      <c r="E40" s="1713"/>
      <c r="F40" s="1710"/>
      <c r="G40" s="1710"/>
      <c r="H40" s="1710"/>
      <c r="I40" s="1710"/>
      <c r="J40" s="1710"/>
      <c r="K40" s="1710"/>
      <c r="L40" s="1710"/>
      <c r="M40" s="1710"/>
      <c r="N40" s="1713">
        <f>N32-N33-N37-N38-N39</f>
        <v>4800000.0000000149</v>
      </c>
      <c r="O40" s="1713">
        <f t="shared" ref="O40" si="12">O32-O33-O37-O38-O39</f>
        <v>5800000</v>
      </c>
      <c r="P40" s="1713"/>
      <c r="Q40" s="1713"/>
      <c r="R40" s="1713"/>
      <c r="S40" s="1713"/>
      <c r="T40" s="1713"/>
      <c r="U40" s="1713"/>
      <c r="V40" s="1713"/>
      <c r="W40" s="1713"/>
      <c r="X40" s="1713"/>
      <c r="Y40" s="1735"/>
      <c r="Z40" s="1735"/>
      <c r="AA40" s="1697"/>
      <c r="AB40" s="365"/>
      <c r="AC40" s="365"/>
      <c r="AD40" s="365"/>
      <c r="AE40" s="365"/>
      <c r="AF40" s="365"/>
      <c r="AG40" s="365"/>
      <c r="AH40" s="365"/>
      <c r="AI40" s="365"/>
      <c r="AJ40" s="365"/>
      <c r="AK40" s="365"/>
      <c r="AL40" s="365"/>
      <c r="AM40" s="365"/>
      <c r="AN40" s="365"/>
      <c r="AO40" s="365"/>
      <c r="AP40" s="365"/>
      <c r="AQ40" s="365"/>
      <c r="AR40" s="365"/>
      <c r="AS40" s="365"/>
      <c r="AT40" s="365"/>
      <c r="AU40" s="365" t="str">
        <f t="shared" si="0"/>
        <v/>
      </c>
    </row>
    <row r="41" spans="1:47">
      <c r="A41" s="1714" t="s">
        <v>1232</v>
      </c>
      <c r="B41" s="1714" t="s">
        <v>4527</v>
      </c>
      <c r="C41" s="1711" t="s">
        <v>241</v>
      </c>
      <c r="D41" s="1713"/>
      <c r="E41" s="1713">
        <v>300000</v>
      </c>
      <c r="F41" s="1710">
        <v>1000000</v>
      </c>
      <c r="G41" s="1710">
        <v>0</v>
      </c>
      <c r="H41" s="1710">
        <v>28300000</v>
      </c>
      <c r="I41" s="1710">
        <v>0</v>
      </c>
      <c r="J41" s="1710">
        <v>0</v>
      </c>
      <c r="K41" s="1710">
        <v>0</v>
      </c>
      <c r="L41" s="1710">
        <v>0</v>
      </c>
      <c r="M41" s="1710">
        <v>0</v>
      </c>
      <c r="N41" s="1710"/>
      <c r="O41" s="1710"/>
      <c r="P41" s="1710"/>
      <c r="Q41" s="1710"/>
      <c r="R41" s="1710"/>
      <c r="S41" s="1715"/>
      <c r="T41" s="1715"/>
      <c r="U41" s="1715"/>
      <c r="V41" s="1715"/>
      <c r="W41" s="1715"/>
      <c r="X41" s="1715"/>
      <c r="Y41" s="1735"/>
      <c r="Z41" s="1735"/>
      <c r="AA41" s="1697"/>
      <c r="AB41" s="365"/>
      <c r="AC41" s="365"/>
      <c r="AD41" s="365"/>
      <c r="AE41" s="365"/>
      <c r="AF41" s="365"/>
      <c r="AG41" s="365"/>
      <c r="AH41" s="365"/>
      <c r="AI41" s="365"/>
      <c r="AJ41" s="365"/>
      <c r="AK41" s="365"/>
      <c r="AL41" s="365"/>
      <c r="AM41" s="365"/>
      <c r="AN41" s="365"/>
      <c r="AO41" s="365"/>
      <c r="AP41" s="365"/>
      <c r="AQ41" s="365"/>
      <c r="AR41" s="365"/>
      <c r="AS41" s="365"/>
      <c r="AT41" s="365"/>
      <c r="AU41" s="365" t="str">
        <f t="shared" si="0"/>
        <v/>
      </c>
    </row>
    <row r="42" spans="1:47">
      <c r="A42" s="1714" t="s">
        <v>237</v>
      </c>
      <c r="B42" s="1711" t="s">
        <v>4528</v>
      </c>
      <c r="C42" s="1711" t="s">
        <v>201</v>
      </c>
      <c r="D42" s="1713">
        <v>38800000</v>
      </c>
      <c r="E42" s="1713">
        <v>30900000</v>
      </c>
      <c r="F42" s="1710">
        <v>23300000</v>
      </c>
      <c r="G42" s="1710">
        <v>25700000</v>
      </c>
      <c r="H42" s="1710">
        <v>42700000</v>
      </c>
      <c r="I42" s="1710">
        <v>12800000</v>
      </c>
      <c r="J42" s="1710">
        <v>8800000</v>
      </c>
      <c r="K42" s="1710">
        <v>19500000</v>
      </c>
      <c r="L42" s="1710">
        <v>23100000</v>
      </c>
      <c r="M42" s="1710">
        <v>46800000</v>
      </c>
      <c r="N42" s="1710">
        <v>48000000</v>
      </c>
      <c r="O42" s="1710">
        <v>58000000</v>
      </c>
      <c r="P42" s="1710">
        <v>70100000</v>
      </c>
      <c r="Q42" s="1710">
        <v>45300000</v>
      </c>
      <c r="R42" s="1710">
        <v>22600000</v>
      </c>
      <c r="S42" s="1710">
        <v>21700000</v>
      </c>
      <c r="T42" s="1710">
        <v>39100000</v>
      </c>
      <c r="U42" s="1710">
        <v>41000000</v>
      </c>
      <c r="V42" s="1710">
        <v>42800000</v>
      </c>
      <c r="W42" s="1710">
        <v>45000000</v>
      </c>
      <c r="X42" s="1710">
        <v>46000000</v>
      </c>
      <c r="Y42" s="1735">
        <v>47100000</v>
      </c>
      <c r="Z42" s="1735">
        <v>48100000</v>
      </c>
      <c r="AA42" s="1697"/>
      <c r="AB42" s="365"/>
      <c r="AC42" s="365"/>
      <c r="AD42" s="365"/>
      <c r="AE42" s="365"/>
      <c r="AF42" s="365"/>
      <c r="AG42" s="365"/>
      <c r="AH42" s="365"/>
      <c r="AI42" s="365"/>
      <c r="AJ42" s="365"/>
      <c r="AK42" s="365"/>
      <c r="AL42" s="365"/>
      <c r="AM42" s="365"/>
      <c r="AN42" s="365"/>
      <c r="AO42" s="365"/>
      <c r="AP42" s="365"/>
      <c r="AQ42" s="365"/>
      <c r="AR42" s="365"/>
      <c r="AS42" s="365"/>
      <c r="AT42" s="365"/>
      <c r="AU42" s="365" t="str">
        <f t="shared" si="0"/>
        <v/>
      </c>
    </row>
    <row r="43" spans="1:47">
      <c r="A43" s="1714" t="s">
        <v>4529</v>
      </c>
      <c r="B43" s="1714" t="s">
        <v>4530</v>
      </c>
      <c r="C43" s="1711" t="s">
        <v>241</v>
      </c>
      <c r="D43" s="1713"/>
      <c r="E43" s="1713">
        <v>12100000</v>
      </c>
      <c r="F43" s="1710">
        <v>4600000</v>
      </c>
      <c r="G43" s="1710">
        <v>11600000</v>
      </c>
      <c r="H43" s="1710">
        <v>2800000</v>
      </c>
      <c r="I43" s="1710">
        <v>7200000</v>
      </c>
      <c r="J43" s="1710">
        <v>5000000</v>
      </c>
      <c r="K43" s="1710">
        <v>9100000</v>
      </c>
      <c r="L43" s="1710">
        <v>14700000</v>
      </c>
      <c r="M43" s="1710">
        <v>38000000</v>
      </c>
      <c r="N43" s="1713"/>
      <c r="O43" s="1713"/>
      <c r="P43" s="1713"/>
      <c r="Q43" s="1713"/>
      <c r="R43" s="1713"/>
      <c r="S43" s="1713"/>
      <c r="T43" s="1713"/>
      <c r="U43" s="1713"/>
      <c r="V43" s="1713"/>
      <c r="W43" s="1713"/>
      <c r="X43" s="1713"/>
      <c r="Y43" s="1735"/>
      <c r="Z43" s="1735"/>
      <c r="AA43" s="1697"/>
      <c r="AB43" s="365"/>
      <c r="AC43" s="365"/>
      <c r="AD43" s="365"/>
      <c r="AE43" s="365"/>
      <c r="AF43" s="365"/>
      <c r="AG43" s="365"/>
      <c r="AH43" s="365"/>
      <c r="AI43" s="365"/>
      <c r="AJ43" s="365"/>
      <c r="AK43" s="365"/>
      <c r="AL43" s="365"/>
      <c r="AM43" s="365"/>
      <c r="AN43" s="365"/>
      <c r="AO43" s="365"/>
      <c r="AP43" s="365"/>
      <c r="AQ43" s="365"/>
      <c r="AR43" s="365"/>
      <c r="AS43" s="365"/>
      <c r="AT43" s="365"/>
      <c r="AU43" s="365" t="str">
        <f t="shared" si="0"/>
        <v/>
      </c>
    </row>
    <row r="44" spans="1:47">
      <c r="A44" s="1714" t="s">
        <v>4531</v>
      </c>
      <c r="B44" s="1714" t="s">
        <v>4532</v>
      </c>
      <c r="C44" s="1711" t="s">
        <v>241</v>
      </c>
      <c r="D44" s="1713"/>
      <c r="E44" s="1713">
        <v>18500000</v>
      </c>
      <c r="F44" s="1710">
        <v>17700000</v>
      </c>
      <c r="G44" s="1710">
        <v>14100000</v>
      </c>
      <c r="H44" s="1710">
        <v>11600000</v>
      </c>
      <c r="I44" s="1710">
        <v>5600000</v>
      </c>
      <c r="J44" s="1710">
        <v>3800000</v>
      </c>
      <c r="K44" s="1710">
        <v>10400000</v>
      </c>
      <c r="L44" s="1710">
        <v>8400000</v>
      </c>
      <c r="M44" s="1710">
        <v>8800000</v>
      </c>
      <c r="N44" s="1710"/>
      <c r="O44" s="1710"/>
      <c r="P44" s="1710"/>
      <c r="Q44" s="1710"/>
      <c r="R44" s="1710"/>
      <c r="S44" s="1715"/>
      <c r="T44" s="1715"/>
      <c r="U44" s="1715"/>
      <c r="V44" s="1715"/>
      <c r="W44" s="1715"/>
      <c r="X44" s="1715"/>
      <c r="Y44" s="1735"/>
      <c r="Z44" s="1735"/>
      <c r="AA44" s="1697"/>
      <c r="AB44" s="365"/>
      <c r="AC44" s="365"/>
      <c r="AD44" s="365"/>
      <c r="AE44" s="365"/>
      <c r="AF44" s="365"/>
      <c r="AG44" s="365"/>
      <c r="AH44" s="365"/>
      <c r="AI44" s="365"/>
      <c r="AJ44" s="365"/>
      <c r="AK44" s="365"/>
      <c r="AL44" s="365"/>
      <c r="AM44" s="365"/>
      <c r="AN44" s="365"/>
      <c r="AO44" s="365"/>
      <c r="AP44" s="365"/>
      <c r="AQ44" s="365"/>
      <c r="AR44" s="365"/>
      <c r="AS44" s="365"/>
      <c r="AT44" s="365"/>
      <c r="AU44" s="365" t="str">
        <f t="shared" si="0"/>
        <v/>
      </c>
    </row>
    <row r="45" spans="1:47">
      <c r="B45" s="1711" t="s">
        <v>4533</v>
      </c>
      <c r="C45" s="1711"/>
      <c r="D45" s="1713"/>
      <c r="E45" s="1713"/>
      <c r="F45" s="1713"/>
      <c r="G45" s="1713"/>
      <c r="H45" s="1713"/>
      <c r="I45" s="1713"/>
      <c r="J45" s="1713"/>
      <c r="K45" s="1713"/>
      <c r="L45" s="1710">
        <v>18600000</v>
      </c>
      <c r="M45" s="1710">
        <v>51400000</v>
      </c>
      <c r="N45" s="1710">
        <v>61100000</v>
      </c>
      <c r="O45" s="1710">
        <v>61700000</v>
      </c>
      <c r="P45" s="1710">
        <v>73000000</v>
      </c>
      <c r="Q45" s="1710">
        <v>54400000</v>
      </c>
      <c r="R45" s="1710">
        <v>58100000</v>
      </c>
      <c r="S45" s="1710">
        <v>54500000</v>
      </c>
      <c r="T45" s="1710">
        <v>68200000</v>
      </c>
      <c r="U45" s="1710">
        <v>69600000</v>
      </c>
      <c r="V45" s="1710">
        <v>71800000</v>
      </c>
      <c r="W45" s="1710">
        <v>74400000</v>
      </c>
      <c r="X45" s="1710">
        <v>75200000</v>
      </c>
      <c r="Y45" s="1735">
        <v>75900000</v>
      </c>
      <c r="Z45" s="1735">
        <v>77100000</v>
      </c>
      <c r="AA45" s="1697"/>
      <c r="AB45" s="365"/>
      <c r="AC45" s="365"/>
      <c r="AD45" s="365"/>
      <c r="AE45" s="365"/>
      <c r="AF45" s="365"/>
      <c r="AG45" s="365"/>
      <c r="AH45" s="365"/>
      <c r="AI45" s="365"/>
      <c r="AJ45" s="365"/>
      <c r="AK45" s="365"/>
      <c r="AL45" s="365"/>
      <c r="AM45" s="365"/>
      <c r="AN45" s="365"/>
      <c r="AO45" s="365"/>
      <c r="AP45" s="365"/>
      <c r="AQ45" s="365"/>
      <c r="AR45" s="365"/>
      <c r="AS45" s="365"/>
      <c r="AT45" s="365"/>
      <c r="AU45" s="365" t="str">
        <f t="shared" si="0"/>
        <v/>
      </c>
    </row>
    <row r="46" spans="1:47">
      <c r="B46" s="1711" t="s">
        <v>4534</v>
      </c>
      <c r="C46" s="1711"/>
      <c r="D46" s="1713"/>
      <c r="E46" s="1713">
        <v>-13100000</v>
      </c>
      <c r="F46" s="1710">
        <v>17300000</v>
      </c>
      <c r="G46" s="1710">
        <v>6400000</v>
      </c>
      <c r="H46" s="1710">
        <v>-35900000</v>
      </c>
      <c r="I46" s="1710">
        <v>-12300000</v>
      </c>
      <c r="J46" s="1710">
        <v>-13100000</v>
      </c>
      <c r="K46" s="1710">
        <v>-6400000</v>
      </c>
      <c r="L46" s="1710">
        <v>-4500000</v>
      </c>
      <c r="M46" s="1710">
        <v>4600000</v>
      </c>
      <c r="N46" s="1710">
        <v>1400000</v>
      </c>
      <c r="O46" s="1710">
        <v>-1800000</v>
      </c>
      <c r="P46" s="1710">
        <v>2900000</v>
      </c>
      <c r="Q46" s="1710">
        <v>9100000</v>
      </c>
      <c r="R46" s="1710">
        <v>35500000</v>
      </c>
      <c r="S46" s="1710">
        <v>32700000.000000004</v>
      </c>
      <c r="T46" s="1710">
        <v>29100000</v>
      </c>
      <c r="U46" s="1710">
        <v>28600000</v>
      </c>
      <c r="V46" s="1710">
        <v>29000000</v>
      </c>
      <c r="W46" s="1710">
        <v>29400000</v>
      </c>
      <c r="X46" s="1710">
        <v>29200000</v>
      </c>
      <c r="Y46" s="1735">
        <v>28900000</v>
      </c>
      <c r="Z46" s="1735">
        <v>29000000</v>
      </c>
      <c r="AA46" s="1697"/>
      <c r="AB46" s="365"/>
      <c r="AC46" s="365"/>
      <c r="AD46" s="365"/>
      <c r="AE46" s="365"/>
      <c r="AF46" s="365"/>
      <c r="AG46" s="365"/>
      <c r="AH46" s="365"/>
      <c r="AI46" s="365"/>
      <c r="AJ46" s="365"/>
      <c r="AK46" s="365"/>
      <c r="AL46" s="365"/>
      <c r="AM46" s="365"/>
      <c r="AN46" s="365"/>
      <c r="AO46" s="365"/>
      <c r="AP46" s="365"/>
      <c r="AQ46" s="365"/>
      <c r="AR46" s="365"/>
      <c r="AS46" s="365"/>
      <c r="AT46" s="365"/>
      <c r="AU46" s="365" t="str">
        <f t="shared" si="0"/>
        <v/>
      </c>
    </row>
    <row r="47" spans="1:47" s="848" customFormat="1">
      <c r="A47" s="1722" t="s">
        <v>115</v>
      </c>
      <c r="B47" s="1722" t="s">
        <v>115</v>
      </c>
      <c r="C47" s="1723" t="s">
        <v>35</v>
      </c>
      <c r="D47" s="1728">
        <v>14400000</v>
      </c>
      <c r="E47" s="1728">
        <v>19500000</v>
      </c>
      <c r="F47" s="1728">
        <v>-13100000</v>
      </c>
      <c r="G47" s="1728">
        <v>-9700000</v>
      </c>
      <c r="H47" s="1728">
        <v>15100000</v>
      </c>
      <c r="I47" s="1725">
        <v>4800000</v>
      </c>
      <c r="J47" s="1725">
        <f>-J46</f>
        <v>13100000</v>
      </c>
      <c r="K47" s="1725">
        <f t="shared" ref="K47:O47" si="13">-K46</f>
        <v>6400000</v>
      </c>
      <c r="L47" s="1725">
        <f t="shared" si="13"/>
        <v>4500000</v>
      </c>
      <c r="M47" s="1725">
        <f t="shared" si="13"/>
        <v>-4600000</v>
      </c>
      <c r="N47" s="1725">
        <f t="shared" si="13"/>
        <v>-1400000</v>
      </c>
      <c r="O47" s="1725">
        <f t="shared" si="13"/>
        <v>1800000</v>
      </c>
      <c r="P47" s="1725">
        <f>P6-P31</f>
        <v>2900000</v>
      </c>
      <c r="Q47" s="1725">
        <f t="shared" ref="Q47:Z47" si="14">Q6-Q31</f>
        <v>9100000</v>
      </c>
      <c r="R47" s="1725">
        <f t="shared" si="14"/>
        <v>35500000</v>
      </c>
      <c r="S47" s="1725">
        <f t="shared" si="14"/>
        <v>32800000</v>
      </c>
      <c r="T47" s="1725">
        <f t="shared" si="14"/>
        <v>29100000</v>
      </c>
      <c r="U47" s="1725">
        <f t="shared" si="14"/>
        <v>28500000</v>
      </c>
      <c r="V47" s="1725">
        <f t="shared" si="14"/>
        <v>29100000</v>
      </c>
      <c r="W47" s="1725">
        <f t="shared" si="14"/>
        <v>29300000</v>
      </c>
      <c r="X47" s="1725">
        <f t="shared" si="14"/>
        <v>29200000</v>
      </c>
      <c r="Y47" s="1734">
        <f t="shared" si="14"/>
        <v>28900000</v>
      </c>
      <c r="Z47" s="1734">
        <f t="shared" si="14"/>
        <v>28900000</v>
      </c>
      <c r="AA47" s="1726"/>
      <c r="AB47" s="916"/>
      <c r="AC47" s="916"/>
      <c r="AD47" s="916"/>
      <c r="AE47" s="916"/>
      <c r="AF47" s="916"/>
      <c r="AG47" s="916"/>
      <c r="AH47" s="916"/>
      <c r="AI47" s="916"/>
      <c r="AJ47" s="916"/>
      <c r="AK47" s="916"/>
      <c r="AL47" s="916"/>
      <c r="AM47" s="916"/>
      <c r="AN47" s="916"/>
      <c r="AO47" s="916"/>
      <c r="AP47" s="916"/>
      <c r="AQ47" s="916"/>
      <c r="AR47" s="916"/>
      <c r="AS47" s="916"/>
      <c r="AT47" s="916"/>
      <c r="AU47" s="916" t="str">
        <f t="shared" si="0"/>
        <v/>
      </c>
    </row>
    <row r="48" spans="1:47">
      <c r="A48" s="1711" t="s">
        <v>2299</v>
      </c>
      <c r="B48" s="1711" t="s">
        <v>2299</v>
      </c>
      <c r="C48" s="1711" t="s">
        <v>252</v>
      </c>
      <c r="D48" s="1717">
        <v>4500000</v>
      </c>
      <c r="E48" s="1717">
        <v>6200000</v>
      </c>
      <c r="F48" s="1717">
        <v>-7300000</v>
      </c>
      <c r="G48" s="1717">
        <v>-12700000</v>
      </c>
      <c r="H48" s="1717">
        <v>13100000</v>
      </c>
      <c r="I48" s="1710">
        <v>4000000</v>
      </c>
      <c r="J48" s="1710"/>
      <c r="K48" s="1710"/>
      <c r="L48" s="1710"/>
      <c r="M48" s="1710"/>
      <c r="N48" s="1710"/>
      <c r="O48" s="1710"/>
      <c r="P48" s="1710"/>
      <c r="Q48" s="1710"/>
      <c r="R48" s="1710"/>
      <c r="S48" s="1701"/>
      <c r="T48" s="1701"/>
      <c r="U48" s="1701"/>
      <c r="V48" s="1701"/>
      <c r="W48" s="1701"/>
      <c r="X48" s="1701"/>
      <c r="Y48" s="1703"/>
      <c r="Z48" s="1703"/>
      <c r="AA48" s="1697"/>
      <c r="AB48" s="365"/>
      <c r="AC48" s="365"/>
      <c r="AD48" s="365"/>
      <c r="AE48" s="365"/>
      <c r="AF48" s="365"/>
      <c r="AG48" s="365"/>
      <c r="AH48" s="365"/>
      <c r="AI48" s="365"/>
      <c r="AJ48" s="365"/>
      <c r="AK48" s="365"/>
      <c r="AL48" s="365"/>
      <c r="AM48" s="365"/>
      <c r="AN48" s="365"/>
      <c r="AO48" s="365"/>
      <c r="AP48" s="365"/>
      <c r="AQ48" s="365"/>
      <c r="AR48" s="365"/>
      <c r="AS48" s="365"/>
      <c r="AT48" s="365"/>
      <c r="AU48" s="365" t="str">
        <f t="shared" si="0"/>
        <v/>
      </c>
    </row>
    <row r="49" spans="1:47">
      <c r="A49" s="1714" t="s">
        <v>117</v>
      </c>
      <c r="B49" s="1714" t="s">
        <v>117</v>
      </c>
      <c r="C49" s="1711" t="s">
        <v>252</v>
      </c>
      <c r="D49" s="1717">
        <v>9900000</v>
      </c>
      <c r="E49" s="1717">
        <v>13200000</v>
      </c>
      <c r="F49" s="1717">
        <v>-5800000</v>
      </c>
      <c r="G49" s="1717">
        <v>3000000</v>
      </c>
      <c r="H49" s="1717">
        <v>2000000</v>
      </c>
      <c r="I49" s="1710">
        <v>700000</v>
      </c>
      <c r="J49" s="1710"/>
      <c r="K49" s="1710"/>
      <c r="L49" s="1710"/>
      <c r="M49" s="1710"/>
      <c r="N49" s="1710"/>
      <c r="O49" s="1710"/>
      <c r="P49" s="1710"/>
      <c r="Q49" s="1710"/>
      <c r="R49" s="1710"/>
      <c r="S49" s="1701"/>
      <c r="T49" s="1701"/>
      <c r="U49" s="1701"/>
      <c r="V49" s="1701"/>
      <c r="W49" s="1701"/>
      <c r="X49" s="1701"/>
      <c r="Y49" s="1703"/>
      <c r="Z49" s="1703"/>
      <c r="AA49" s="1697"/>
      <c r="AB49" s="365"/>
      <c r="AC49" s="365"/>
      <c r="AD49" s="365"/>
      <c r="AE49" s="365"/>
      <c r="AF49" s="365"/>
      <c r="AG49" s="365"/>
      <c r="AH49" s="365"/>
      <c r="AI49" s="365"/>
      <c r="AJ49" s="365"/>
      <c r="AK49" s="365"/>
      <c r="AL49" s="365"/>
      <c r="AM49" s="365"/>
      <c r="AN49" s="365"/>
      <c r="AO49" s="365"/>
      <c r="AP49" s="365"/>
      <c r="AQ49" s="365"/>
      <c r="AR49" s="365"/>
      <c r="AS49" s="365"/>
      <c r="AT49" s="365"/>
      <c r="AU49" s="365" t="str">
        <f t="shared" si="0"/>
        <v/>
      </c>
    </row>
    <row r="50" spans="1:47">
      <c r="B50" s="1711" t="s">
        <v>1489</v>
      </c>
      <c r="C50" s="1711"/>
      <c r="D50" s="1704">
        <f t="shared" ref="D50:K50" si="15">(D19/D6)*100</f>
        <v>64.650537634408607</v>
      </c>
      <c r="E50" s="1704">
        <f t="shared" si="15"/>
        <v>67.753366406803679</v>
      </c>
      <c r="F50" s="1704">
        <f t="shared" si="15"/>
        <v>70.679975046787263</v>
      </c>
      <c r="G50" s="1704">
        <f t="shared" si="15"/>
        <v>71.654929577464785</v>
      </c>
      <c r="H50" s="1704">
        <f t="shared" si="15"/>
        <v>55.314371257485028</v>
      </c>
      <c r="I50" s="1704">
        <f t="shared" si="15"/>
        <v>61.736571008094188</v>
      </c>
      <c r="J50" s="1704">
        <f t="shared" si="15"/>
        <v>60.701503221188261</v>
      </c>
      <c r="K50" s="1704">
        <f t="shared" si="15"/>
        <v>63.705234159779614</v>
      </c>
      <c r="L50" s="1704">
        <f t="shared" ref="L50:Z50" si="16">(L19/L6)*100</f>
        <v>62.950600801068092</v>
      </c>
      <c r="M50" s="1704">
        <f t="shared" si="16"/>
        <v>67.560175054704601</v>
      </c>
      <c r="N50" s="1704">
        <f t="shared" si="16"/>
        <v>68.281718281718284</v>
      </c>
      <c r="O50" s="1704">
        <f t="shared" si="16"/>
        <v>68.059701492537314</v>
      </c>
      <c r="P50" s="1704">
        <f t="shared" si="16"/>
        <v>65.334572490706321</v>
      </c>
      <c r="Q50" s="1737">
        <f t="shared" si="16"/>
        <v>56.960734319224883</v>
      </c>
      <c r="R50" s="1737">
        <f t="shared" si="16"/>
        <v>43.106796116504853</v>
      </c>
      <c r="S50" s="1737">
        <f t="shared" si="16"/>
        <v>43.819143819143818</v>
      </c>
      <c r="T50" s="1737">
        <f t="shared" si="16"/>
        <v>47.440423654015888</v>
      </c>
      <c r="U50" s="1737">
        <f t="shared" si="16"/>
        <v>47.442680776014107</v>
      </c>
      <c r="V50" s="1737">
        <f t="shared" si="16"/>
        <v>47.701647875108414</v>
      </c>
      <c r="W50" s="1737">
        <f t="shared" si="16"/>
        <v>48</v>
      </c>
      <c r="X50" s="1737">
        <f t="shared" si="16"/>
        <v>48.060708263069138</v>
      </c>
      <c r="Y50" s="1737">
        <f t="shared" si="16"/>
        <v>48.038397328881473</v>
      </c>
      <c r="Z50" s="1737">
        <f t="shared" si="16"/>
        <v>48.057851239669418</v>
      </c>
      <c r="AA50" s="1697"/>
      <c r="AB50" s="365"/>
      <c r="AC50" s="365"/>
      <c r="AD50" s="365"/>
      <c r="AE50" s="365"/>
      <c r="AF50" s="365"/>
      <c r="AG50" s="365"/>
      <c r="AH50" s="365"/>
      <c r="AI50" s="365"/>
      <c r="AJ50" s="365"/>
      <c r="AK50" s="365"/>
      <c r="AL50" s="365"/>
      <c r="AM50" s="365"/>
      <c r="AN50" s="365"/>
      <c r="AO50" s="365"/>
      <c r="AP50" s="365"/>
      <c r="AQ50" s="365"/>
      <c r="AR50" s="365"/>
      <c r="AS50" s="365"/>
      <c r="AT50" s="365"/>
      <c r="AU50" s="365" t="str">
        <f t="shared" si="0"/>
        <v/>
      </c>
    </row>
    <row r="51" spans="1:47">
      <c r="B51" s="1711"/>
      <c r="C51" s="1711"/>
      <c r="R51" s="1710"/>
      <c r="S51" s="1701"/>
      <c r="T51" s="1701"/>
      <c r="U51" s="1701"/>
      <c r="V51" s="1701"/>
      <c r="W51" s="1701"/>
      <c r="X51" s="1701"/>
      <c r="Y51" s="1703"/>
      <c r="Z51" s="1703"/>
      <c r="AA51" s="1697"/>
      <c r="AB51" s="365"/>
      <c r="AC51" s="365"/>
      <c r="AD51" s="365"/>
      <c r="AE51" s="365"/>
      <c r="AF51" s="365"/>
      <c r="AG51" s="365"/>
      <c r="AH51" s="365"/>
      <c r="AI51" s="365"/>
      <c r="AJ51" s="365"/>
      <c r="AK51" s="365"/>
      <c r="AL51" s="365"/>
      <c r="AM51" s="365"/>
      <c r="AN51" s="365"/>
      <c r="AO51" s="365"/>
      <c r="AP51" s="365"/>
      <c r="AQ51" s="365"/>
      <c r="AR51" s="365"/>
      <c r="AS51" s="365"/>
      <c r="AT51" s="365"/>
      <c r="AU51" s="365" t="str">
        <f t="shared" si="0"/>
        <v/>
      </c>
    </row>
    <row r="52" spans="1:47">
      <c r="B52" s="1711"/>
      <c r="C52" s="1711"/>
      <c r="D52" s="1704" t="s">
        <v>138</v>
      </c>
      <c r="E52" s="1704" t="s">
        <v>139</v>
      </c>
      <c r="F52" s="1704" t="s">
        <v>139</v>
      </c>
      <c r="G52" s="1704" t="s">
        <v>139</v>
      </c>
      <c r="H52" s="1704" t="s">
        <v>139</v>
      </c>
      <c r="I52" s="1704" t="s">
        <v>139</v>
      </c>
      <c r="J52" s="1704" t="s">
        <v>139</v>
      </c>
      <c r="K52" s="1704" t="s">
        <v>139</v>
      </c>
      <c r="L52" s="1704" t="s">
        <v>139</v>
      </c>
      <c r="M52" s="1704" t="s">
        <v>139</v>
      </c>
      <c r="N52" s="1704" t="s">
        <v>139</v>
      </c>
      <c r="O52" s="1704" t="s">
        <v>139</v>
      </c>
      <c r="P52" s="1704" t="s">
        <v>139</v>
      </c>
      <c r="Q52" s="1704" t="s">
        <v>139</v>
      </c>
      <c r="R52" s="1704" t="s">
        <v>139</v>
      </c>
      <c r="S52" s="1704" t="s">
        <v>139</v>
      </c>
      <c r="T52" s="1704" t="s">
        <v>139</v>
      </c>
      <c r="U52" s="1704" t="s">
        <v>139</v>
      </c>
      <c r="V52" s="1704" t="s">
        <v>139</v>
      </c>
      <c r="W52" s="1704" t="s">
        <v>139</v>
      </c>
      <c r="X52" s="1704" t="s">
        <v>139</v>
      </c>
      <c r="Y52" s="1704" t="s">
        <v>139</v>
      </c>
      <c r="Z52" s="1704" t="s">
        <v>139</v>
      </c>
      <c r="AA52" s="1697"/>
      <c r="AB52" s="365"/>
      <c r="AC52" s="365"/>
      <c r="AD52" s="365"/>
      <c r="AE52" s="365"/>
      <c r="AF52" s="365"/>
      <c r="AG52" s="365"/>
      <c r="AH52" s="365"/>
      <c r="AI52" s="365"/>
      <c r="AJ52" s="365"/>
      <c r="AK52" s="365"/>
      <c r="AL52" s="365"/>
      <c r="AM52" s="365"/>
      <c r="AN52" s="365"/>
      <c r="AO52" s="365"/>
      <c r="AP52" s="365"/>
      <c r="AQ52" s="365"/>
      <c r="AR52" s="365"/>
      <c r="AS52" s="365"/>
      <c r="AT52" s="365"/>
      <c r="AU52" s="365" t="str">
        <f t="shared" si="0"/>
        <v/>
      </c>
    </row>
    <row r="53" spans="1:47">
      <c r="B53" s="1711"/>
      <c r="C53" s="1711"/>
      <c r="R53" s="1710"/>
      <c r="S53" s="1701"/>
      <c r="T53" s="1701"/>
      <c r="U53" s="1701"/>
      <c r="V53" s="1701"/>
      <c r="W53" s="1701"/>
      <c r="X53" s="1701"/>
      <c r="Y53" s="1703"/>
      <c r="Z53" s="1703"/>
      <c r="AA53" s="1697"/>
      <c r="AB53" s="365"/>
      <c r="AC53" s="365"/>
      <c r="AD53" s="365"/>
      <c r="AE53" s="365"/>
      <c r="AF53" s="365"/>
      <c r="AG53" s="365"/>
      <c r="AH53" s="365"/>
      <c r="AI53" s="365"/>
      <c r="AJ53" s="365"/>
      <c r="AK53" s="365"/>
      <c r="AL53" s="365"/>
      <c r="AM53" s="365"/>
      <c r="AN53" s="365"/>
      <c r="AO53" s="365"/>
      <c r="AP53" s="365"/>
      <c r="AQ53" s="365"/>
      <c r="AR53" s="365"/>
      <c r="AS53" s="365"/>
      <c r="AT53" s="365"/>
      <c r="AU53" s="365" t="str">
        <f t="shared" si="0"/>
        <v/>
      </c>
    </row>
    <row r="54" spans="1:47">
      <c r="B54" s="1711"/>
      <c r="C54" s="1711"/>
      <c r="R54" s="1710"/>
      <c r="S54" s="1701"/>
      <c r="T54" s="1701"/>
      <c r="U54" s="1701"/>
      <c r="V54" s="1701"/>
      <c r="W54" s="1701"/>
      <c r="X54" s="1701"/>
      <c r="Y54" s="1703"/>
      <c r="Z54" s="1703"/>
      <c r="AA54" s="1697"/>
      <c r="AB54" s="365"/>
      <c r="AC54" s="365"/>
      <c r="AD54" s="365"/>
      <c r="AE54" s="365"/>
      <c r="AF54" s="365"/>
      <c r="AG54" s="365"/>
      <c r="AH54" s="365"/>
      <c r="AI54" s="365"/>
      <c r="AJ54" s="365"/>
      <c r="AK54" s="365"/>
      <c r="AL54" s="365"/>
      <c r="AM54" s="365"/>
      <c r="AN54" s="365"/>
      <c r="AO54" s="365"/>
      <c r="AP54" s="365"/>
      <c r="AQ54" s="365"/>
      <c r="AR54" s="365"/>
      <c r="AS54" s="365"/>
      <c r="AT54" s="365"/>
      <c r="AU54" s="365" t="str">
        <f t="shared" si="0"/>
        <v/>
      </c>
    </row>
    <row r="55" spans="1:47">
      <c r="B55" s="1711" t="s">
        <v>4535</v>
      </c>
      <c r="C55" s="1711"/>
      <c r="D55" s="1718">
        <f>D6-D7-D19</f>
        <v>0</v>
      </c>
      <c r="E55" s="1718">
        <f t="shared" ref="E55:Q55" si="17">E6-E7-E19</f>
        <v>100000</v>
      </c>
      <c r="F55" s="1718">
        <f t="shared" si="17"/>
        <v>0</v>
      </c>
      <c r="G55" s="1718">
        <f t="shared" si="17"/>
        <v>-100000</v>
      </c>
      <c r="H55" s="1718">
        <f t="shared" si="17"/>
        <v>-100000</v>
      </c>
      <c r="I55" s="1718">
        <f t="shared" si="17"/>
        <v>-100000</v>
      </c>
      <c r="J55" s="1718">
        <f t="shared" si="17"/>
        <v>0</v>
      </c>
      <c r="K55" s="1718">
        <f t="shared" si="17"/>
        <v>-100000</v>
      </c>
      <c r="L55" s="1718">
        <f t="shared" si="17"/>
        <v>0</v>
      </c>
      <c r="M55" s="1718">
        <f t="shared" si="17"/>
        <v>0</v>
      </c>
      <c r="N55" s="1718">
        <f t="shared" si="17"/>
        <v>0</v>
      </c>
      <c r="O55" s="1718">
        <f t="shared" si="17"/>
        <v>0</v>
      </c>
      <c r="P55" s="1718">
        <f t="shared" si="17"/>
        <v>0</v>
      </c>
      <c r="Q55" s="1718">
        <f t="shared" si="17"/>
        <v>0</v>
      </c>
      <c r="R55" s="1718">
        <f t="shared" ref="R55:X55" si="18">R6-R7-R19</f>
        <v>0</v>
      </c>
      <c r="S55" s="1718">
        <f t="shared" si="18"/>
        <v>0</v>
      </c>
      <c r="T55" s="1718">
        <f t="shared" si="18"/>
        <v>0</v>
      </c>
      <c r="U55" s="1718">
        <f t="shared" si="18"/>
        <v>0</v>
      </c>
      <c r="V55" s="1718">
        <f t="shared" si="18"/>
        <v>0</v>
      </c>
      <c r="W55" s="1718">
        <f t="shared" si="18"/>
        <v>0</v>
      </c>
      <c r="X55" s="1718">
        <f t="shared" si="18"/>
        <v>0</v>
      </c>
      <c r="Y55" s="1718">
        <f t="shared" ref="Y55:Z55" si="19">Y6-Y7-Y19</f>
        <v>0</v>
      </c>
      <c r="Z55" s="1718">
        <f t="shared" si="19"/>
        <v>0</v>
      </c>
      <c r="AA55" s="1697"/>
      <c r="AB55" s="365"/>
      <c r="AC55" s="365"/>
      <c r="AD55" s="365"/>
      <c r="AE55" s="365"/>
      <c r="AF55" s="365"/>
      <c r="AG55" s="365"/>
      <c r="AH55" s="365"/>
      <c r="AI55" s="365"/>
      <c r="AJ55" s="365"/>
      <c r="AK55" s="365"/>
      <c r="AL55" s="365"/>
      <c r="AM55" s="365"/>
      <c r="AN55" s="365"/>
      <c r="AO55" s="365"/>
      <c r="AP55" s="365"/>
      <c r="AQ55" s="365"/>
      <c r="AR55" s="365"/>
      <c r="AS55" s="365"/>
      <c r="AT55" s="365"/>
      <c r="AU55" s="365" t="str">
        <f t="shared" si="0"/>
        <v/>
      </c>
    </row>
    <row r="56" spans="1:47">
      <c r="B56" s="1711" t="s">
        <v>141</v>
      </c>
      <c r="C56" s="1711"/>
      <c r="D56" s="1718">
        <f>D7-D8-D27</f>
        <v>100000</v>
      </c>
      <c r="E56" s="1718">
        <f t="shared" ref="E56:Q56" si="20">E7-E8-E27</f>
        <v>-100000</v>
      </c>
      <c r="F56" s="1718">
        <f t="shared" si="20"/>
        <v>0</v>
      </c>
      <c r="G56" s="1718">
        <f t="shared" si="20"/>
        <v>0</v>
      </c>
      <c r="H56" s="1718">
        <f t="shared" si="20"/>
        <v>0</v>
      </c>
      <c r="I56" s="1718">
        <f t="shared" si="20"/>
        <v>0</v>
      </c>
      <c r="J56" s="1718">
        <f t="shared" si="20"/>
        <v>0</v>
      </c>
      <c r="K56" s="1718">
        <f t="shared" si="20"/>
        <v>100000</v>
      </c>
      <c r="L56" s="1718">
        <f t="shared" si="20"/>
        <v>100000</v>
      </c>
      <c r="M56" s="1718">
        <f t="shared" si="20"/>
        <v>0</v>
      </c>
      <c r="N56" s="1718">
        <f t="shared" si="20"/>
        <v>0</v>
      </c>
      <c r="O56" s="1718">
        <f t="shared" si="20"/>
        <v>0</v>
      </c>
      <c r="P56" s="1718">
        <f t="shared" si="20"/>
        <v>0</v>
      </c>
      <c r="Q56" s="1718">
        <f t="shared" si="20"/>
        <v>100000</v>
      </c>
      <c r="R56" s="1718">
        <f t="shared" ref="R56:X56" si="21">R7-R8-R27</f>
        <v>-100000</v>
      </c>
      <c r="S56" s="1718">
        <f t="shared" si="21"/>
        <v>0</v>
      </c>
      <c r="T56" s="1718">
        <f t="shared" si="21"/>
        <v>0</v>
      </c>
      <c r="U56" s="1718">
        <f t="shared" si="21"/>
        <v>-100000</v>
      </c>
      <c r="V56" s="1718">
        <f t="shared" si="21"/>
        <v>0</v>
      </c>
      <c r="W56" s="1718">
        <f t="shared" si="21"/>
        <v>0</v>
      </c>
      <c r="X56" s="1718">
        <f t="shared" si="21"/>
        <v>0</v>
      </c>
      <c r="Y56" s="1718">
        <f t="shared" ref="Y56:Z56" si="22">Y7-Y8-Y27</f>
        <v>0</v>
      </c>
      <c r="Z56" s="1718">
        <f t="shared" si="22"/>
        <v>-100000</v>
      </c>
      <c r="AA56" s="1697"/>
      <c r="AB56" s="365"/>
      <c r="AC56" s="365"/>
      <c r="AD56" s="365"/>
      <c r="AE56" s="365"/>
      <c r="AF56" s="365"/>
      <c r="AG56" s="365"/>
      <c r="AH56" s="365"/>
      <c r="AI56" s="365"/>
      <c r="AJ56" s="365"/>
      <c r="AK56" s="365"/>
      <c r="AL56" s="365"/>
      <c r="AM56" s="365"/>
      <c r="AN56" s="365"/>
      <c r="AO56" s="365"/>
      <c r="AP56" s="365"/>
      <c r="AQ56" s="365"/>
      <c r="AR56" s="365"/>
      <c r="AS56" s="365"/>
      <c r="AT56" s="365"/>
      <c r="AU56" s="365" t="str">
        <f t="shared" si="0"/>
        <v/>
      </c>
    </row>
    <row r="57" spans="1:47">
      <c r="B57" s="1711" t="s">
        <v>142</v>
      </c>
      <c r="C57" s="1711"/>
      <c r="D57" s="1718">
        <f>D8-D9-D10-D12-D15-D18</f>
        <v>0</v>
      </c>
      <c r="E57" s="1718">
        <f t="shared" ref="E57:O57" si="23">E8-E9-E10-E12-E15-E18</f>
        <v>0</v>
      </c>
      <c r="F57" s="1718">
        <f t="shared" si="23"/>
        <v>100000</v>
      </c>
      <c r="G57" s="1718">
        <f t="shared" si="23"/>
        <v>100000</v>
      </c>
      <c r="H57" s="1718">
        <f t="shared" si="23"/>
        <v>0</v>
      </c>
      <c r="I57" s="1718">
        <f t="shared" si="23"/>
        <v>0</v>
      </c>
      <c r="J57" s="1718">
        <f t="shared" si="23"/>
        <v>100000</v>
      </c>
      <c r="K57" s="1718">
        <f t="shared" si="23"/>
        <v>-100000</v>
      </c>
      <c r="L57" s="1718">
        <f t="shared" si="23"/>
        <v>0</v>
      </c>
      <c r="M57" s="1718">
        <f t="shared" si="23"/>
        <v>0</v>
      </c>
      <c r="N57" s="1718">
        <f t="shared" si="23"/>
        <v>800000</v>
      </c>
      <c r="O57" s="1718">
        <f t="shared" si="23"/>
        <v>2100000</v>
      </c>
      <c r="P57" s="1718">
        <f>P8-P9-P10-P12-P15-P18-P11</f>
        <v>0</v>
      </c>
      <c r="Q57" s="1718">
        <f t="shared" ref="Q57:X57" si="24">Q8-Q9-Q10-Q12-Q15-Q18-Q11</f>
        <v>0</v>
      </c>
      <c r="R57" s="1718">
        <f t="shared" si="24"/>
        <v>0</v>
      </c>
      <c r="S57" s="1718">
        <f t="shared" si="24"/>
        <v>0</v>
      </c>
      <c r="T57" s="1718">
        <f t="shared" si="24"/>
        <v>0</v>
      </c>
      <c r="U57" s="1718">
        <f t="shared" si="24"/>
        <v>0</v>
      </c>
      <c r="V57" s="1718">
        <f t="shared" si="24"/>
        <v>0</v>
      </c>
      <c r="W57" s="1718">
        <f t="shared" si="24"/>
        <v>0</v>
      </c>
      <c r="X57" s="1718">
        <f t="shared" si="24"/>
        <v>0</v>
      </c>
      <c r="Y57" s="1718">
        <f t="shared" ref="Y57:Z57" si="25">Y8-Y9-Y10-Y12-Y15-Y18-Y11</f>
        <v>0</v>
      </c>
      <c r="Z57" s="1718">
        <f t="shared" si="25"/>
        <v>0</v>
      </c>
      <c r="AA57" s="1697"/>
      <c r="AB57" s="365"/>
      <c r="AC57" s="365"/>
      <c r="AD57" s="365"/>
      <c r="AE57" s="365"/>
      <c r="AF57" s="365"/>
      <c r="AG57" s="365"/>
      <c r="AH57" s="365"/>
      <c r="AI57" s="365"/>
      <c r="AJ57" s="365"/>
      <c r="AK57" s="365"/>
      <c r="AL57" s="365"/>
      <c r="AM57" s="365"/>
      <c r="AN57" s="365"/>
      <c r="AO57" s="365"/>
      <c r="AP57" s="365"/>
      <c r="AQ57" s="365"/>
      <c r="AR57" s="365"/>
      <c r="AS57" s="365"/>
      <c r="AT57" s="365"/>
      <c r="AU57" s="365" t="str">
        <f t="shared" si="0"/>
        <v/>
      </c>
    </row>
    <row r="58" spans="1:47">
      <c r="B58" s="1711" t="s">
        <v>4536</v>
      </c>
      <c r="C58" s="1711"/>
      <c r="D58" s="1718">
        <f>D12-D13-D14</f>
        <v>0</v>
      </c>
      <c r="E58" s="1718">
        <f t="shared" ref="E58:Q58" si="26">E12-E13-E14</f>
        <v>0</v>
      </c>
      <c r="F58" s="1718">
        <f t="shared" si="26"/>
        <v>0</v>
      </c>
      <c r="G58" s="1718">
        <f t="shared" si="26"/>
        <v>0</v>
      </c>
      <c r="H58" s="1718">
        <f t="shared" si="26"/>
        <v>0</v>
      </c>
      <c r="I58" s="1718">
        <f t="shared" si="26"/>
        <v>0</v>
      </c>
      <c r="J58" s="1718">
        <f t="shared" si="26"/>
        <v>0</v>
      </c>
      <c r="K58" s="1718">
        <f t="shared" si="26"/>
        <v>0</v>
      </c>
      <c r="L58" s="1719">
        <f t="shared" si="26"/>
        <v>8400000</v>
      </c>
      <c r="M58" s="1719">
        <f t="shared" si="26"/>
        <v>9200000</v>
      </c>
      <c r="N58" s="1719">
        <f t="shared" si="26"/>
        <v>10000000</v>
      </c>
      <c r="O58" s="1719">
        <f t="shared" si="26"/>
        <v>9800000</v>
      </c>
      <c r="P58" s="1719">
        <f t="shared" si="26"/>
        <v>9400000</v>
      </c>
      <c r="Q58" s="1719">
        <f t="shared" si="26"/>
        <v>8500000</v>
      </c>
      <c r="R58" s="1719">
        <f t="shared" ref="R58:X58" si="27">R12-R13-R14</f>
        <v>8100000</v>
      </c>
      <c r="S58" s="1719">
        <f t="shared" si="27"/>
        <v>9000000</v>
      </c>
      <c r="T58" s="1719">
        <f t="shared" si="27"/>
        <v>10100000</v>
      </c>
      <c r="U58" s="1719">
        <f t="shared" si="27"/>
        <v>10100000</v>
      </c>
      <c r="V58" s="1719">
        <f t="shared" si="27"/>
        <v>10400000</v>
      </c>
      <c r="W58" s="1719">
        <f t="shared" si="27"/>
        <v>10600000</v>
      </c>
      <c r="X58" s="1719">
        <f t="shared" si="27"/>
        <v>10800000</v>
      </c>
      <c r="Y58" s="1719">
        <f t="shared" ref="Y58:Z58" si="28">Y12-Y13-Y14</f>
        <v>11000000</v>
      </c>
      <c r="Z58" s="1719">
        <f t="shared" si="28"/>
        <v>11100000</v>
      </c>
      <c r="AA58" s="1697"/>
      <c r="AB58" s="365"/>
      <c r="AC58" s="365"/>
      <c r="AD58" s="365"/>
      <c r="AE58" s="365"/>
      <c r="AF58" s="365"/>
      <c r="AG58" s="365"/>
      <c r="AH58" s="365"/>
      <c r="AI58" s="365"/>
      <c r="AJ58" s="365"/>
      <c r="AK58" s="365"/>
      <c r="AL58" s="365"/>
      <c r="AM58" s="365"/>
      <c r="AN58" s="365"/>
      <c r="AO58" s="365"/>
      <c r="AP58" s="365"/>
      <c r="AQ58" s="365"/>
      <c r="AR58" s="365"/>
      <c r="AS58" s="365"/>
      <c r="AT58" s="365"/>
      <c r="AU58" s="365" t="str">
        <f t="shared" si="0"/>
        <v/>
      </c>
    </row>
    <row r="59" spans="1:47">
      <c r="B59" s="1711" t="s">
        <v>4537</v>
      </c>
      <c r="C59" s="1711"/>
      <c r="D59" s="1718">
        <f>D15-D16-D17</f>
        <v>0</v>
      </c>
      <c r="E59" s="1718">
        <f t="shared" ref="E59:Q59" si="29">E15-E16-E17</f>
        <v>0</v>
      </c>
      <c r="F59" s="1718">
        <f t="shared" si="29"/>
        <v>0</v>
      </c>
      <c r="G59" s="1718">
        <f t="shared" si="29"/>
        <v>0</v>
      </c>
      <c r="H59" s="1718">
        <f t="shared" si="29"/>
        <v>0</v>
      </c>
      <c r="I59" s="1718">
        <f t="shared" si="29"/>
        <v>0</v>
      </c>
      <c r="J59" s="1718">
        <f t="shared" si="29"/>
        <v>0</v>
      </c>
      <c r="K59" s="1718">
        <f t="shared" si="29"/>
        <v>0</v>
      </c>
      <c r="L59" s="1718">
        <f t="shared" si="29"/>
        <v>0</v>
      </c>
      <c r="M59" s="1718">
        <f t="shared" si="29"/>
        <v>0</v>
      </c>
      <c r="N59" s="1719">
        <f t="shared" si="29"/>
        <v>300000</v>
      </c>
      <c r="O59" s="1719">
        <f t="shared" si="29"/>
        <v>300000</v>
      </c>
      <c r="P59" s="1719">
        <f>P15-P16-P17</f>
        <v>200000</v>
      </c>
      <c r="Q59" s="1719">
        <f t="shared" si="29"/>
        <v>200000</v>
      </c>
      <c r="R59" s="1719">
        <f t="shared" ref="R59:X59" si="30">R15-R16-R17</f>
        <v>100000</v>
      </c>
      <c r="S59" s="1719">
        <f t="shared" si="30"/>
        <v>300000</v>
      </c>
      <c r="T59" s="1719">
        <f t="shared" si="30"/>
        <v>300000</v>
      </c>
      <c r="U59" s="1719">
        <f t="shared" si="30"/>
        <v>800000</v>
      </c>
      <c r="V59" s="1719">
        <f t="shared" si="30"/>
        <v>500000</v>
      </c>
      <c r="W59" s="1719">
        <f t="shared" si="30"/>
        <v>600000</v>
      </c>
      <c r="X59" s="1719">
        <f t="shared" si="30"/>
        <v>500000</v>
      </c>
      <c r="Y59" s="1719">
        <f t="shared" ref="Y59:Z59" si="31">Y15-Y16-Y17</f>
        <v>500000</v>
      </c>
      <c r="Z59" s="1719">
        <f t="shared" si="31"/>
        <v>600000</v>
      </c>
      <c r="AA59" s="1697"/>
      <c r="AB59" s="365"/>
      <c r="AC59" s="365"/>
      <c r="AD59" s="365"/>
      <c r="AE59" s="365"/>
      <c r="AF59" s="365"/>
      <c r="AG59" s="365"/>
      <c r="AH59" s="365"/>
      <c r="AI59" s="365"/>
      <c r="AJ59" s="365"/>
      <c r="AK59" s="365"/>
      <c r="AL59" s="365"/>
      <c r="AM59" s="365"/>
      <c r="AN59" s="365"/>
      <c r="AO59" s="365"/>
      <c r="AP59" s="365"/>
      <c r="AQ59" s="365"/>
      <c r="AR59" s="365"/>
      <c r="AS59" s="365"/>
      <c r="AT59" s="365"/>
      <c r="AU59" s="365" t="str">
        <f t="shared" si="0"/>
        <v/>
      </c>
    </row>
    <row r="60" spans="1:47">
      <c r="B60" s="1711" t="s">
        <v>1362</v>
      </c>
      <c r="C60" s="1711"/>
      <c r="D60" s="1718">
        <f>D19-D20-D24</f>
        <v>0</v>
      </c>
      <c r="E60" s="1718">
        <f t="shared" ref="E60:Q60" si="32">E19-E20-E24</f>
        <v>0</v>
      </c>
      <c r="F60" s="1718">
        <f t="shared" si="32"/>
        <v>0</v>
      </c>
      <c r="G60" s="1718">
        <f t="shared" si="32"/>
        <v>100000</v>
      </c>
      <c r="H60" s="1718">
        <f t="shared" si="32"/>
        <v>0</v>
      </c>
      <c r="I60" s="1718">
        <f t="shared" si="32"/>
        <v>0</v>
      </c>
      <c r="J60" s="1718">
        <f t="shared" si="32"/>
        <v>0</v>
      </c>
      <c r="K60" s="1718">
        <f t="shared" si="32"/>
        <v>0</v>
      </c>
      <c r="L60" s="1718">
        <f t="shared" si="32"/>
        <v>-100000</v>
      </c>
      <c r="M60" s="1718">
        <f t="shared" si="32"/>
        <v>0</v>
      </c>
      <c r="N60" s="1718">
        <f t="shared" si="32"/>
        <v>-100000</v>
      </c>
      <c r="O60" s="1718">
        <f t="shared" si="32"/>
        <v>0</v>
      </c>
      <c r="P60" s="1718">
        <f t="shared" si="32"/>
        <v>0</v>
      </c>
      <c r="Q60" s="1718">
        <f t="shared" si="32"/>
        <v>0</v>
      </c>
      <c r="R60" s="1718">
        <f t="shared" ref="R60:X60" si="33">R19-R20-R24</f>
        <v>100000</v>
      </c>
      <c r="S60" s="1718">
        <f t="shared" si="33"/>
        <v>0</v>
      </c>
      <c r="T60" s="1718">
        <f t="shared" si="33"/>
        <v>0</v>
      </c>
      <c r="U60" s="1718">
        <f t="shared" si="33"/>
        <v>0</v>
      </c>
      <c r="V60" s="1718">
        <f t="shared" si="33"/>
        <v>0</v>
      </c>
      <c r="W60" s="1718">
        <f t="shared" si="33"/>
        <v>0</v>
      </c>
      <c r="X60" s="1718">
        <f t="shared" si="33"/>
        <v>100000</v>
      </c>
      <c r="Y60" s="1718">
        <f t="shared" ref="Y60:Z60" si="34">Y19-Y20-Y24</f>
        <v>0</v>
      </c>
      <c r="Z60" s="1718">
        <f t="shared" si="34"/>
        <v>0</v>
      </c>
      <c r="AA60" s="1697"/>
      <c r="AB60" s="365"/>
      <c r="AC60" s="365"/>
      <c r="AD60" s="365"/>
      <c r="AE60" s="365"/>
      <c r="AF60" s="365"/>
      <c r="AG60" s="365"/>
      <c r="AH60" s="365"/>
      <c r="AI60" s="365"/>
      <c r="AJ60" s="365"/>
      <c r="AK60" s="365"/>
      <c r="AL60" s="365"/>
      <c r="AM60" s="365"/>
      <c r="AN60" s="365"/>
      <c r="AO60" s="365"/>
      <c r="AP60" s="365"/>
      <c r="AQ60" s="365"/>
      <c r="AR60" s="365"/>
      <c r="AS60" s="365"/>
      <c r="AT60" s="365"/>
      <c r="AU60" s="365" t="str">
        <f t="shared" si="0"/>
        <v/>
      </c>
    </row>
    <row r="61" spans="1:47">
      <c r="B61" s="1711" t="s">
        <v>4538</v>
      </c>
      <c r="C61" s="1711"/>
      <c r="D61" s="1719">
        <f>D20-D21-D22-D23</f>
        <v>70400000</v>
      </c>
      <c r="E61" s="1718">
        <f t="shared" ref="E61:Q61" si="35">E20-E21-E22-E23</f>
        <v>100000</v>
      </c>
      <c r="F61" s="1718">
        <f t="shared" si="35"/>
        <v>100000</v>
      </c>
      <c r="G61" s="1718">
        <f t="shared" si="35"/>
        <v>0</v>
      </c>
      <c r="H61" s="1718">
        <f t="shared" si="35"/>
        <v>0</v>
      </c>
      <c r="I61" s="1718">
        <f t="shared" si="35"/>
        <v>0</v>
      </c>
      <c r="J61" s="1718">
        <f t="shared" si="35"/>
        <v>0</v>
      </c>
      <c r="K61" s="1718">
        <f t="shared" si="35"/>
        <v>0</v>
      </c>
      <c r="L61" s="1719">
        <f>L20-L21-L22-L23</f>
        <v>79000000</v>
      </c>
      <c r="M61" s="1719">
        <f t="shared" si="35"/>
        <v>84400000</v>
      </c>
      <c r="N61" s="1719">
        <f t="shared" si="35"/>
        <v>0</v>
      </c>
      <c r="O61" s="1719">
        <f t="shared" si="35"/>
        <v>0</v>
      </c>
      <c r="P61" s="1719">
        <f t="shared" si="35"/>
        <v>0</v>
      </c>
      <c r="Q61" s="1719">
        <f t="shared" si="35"/>
        <v>0</v>
      </c>
      <c r="R61" s="1719">
        <f t="shared" ref="R61:X61" si="36">R20-R21-R22-R23</f>
        <v>0</v>
      </c>
      <c r="S61" s="1719">
        <f t="shared" si="36"/>
        <v>0</v>
      </c>
      <c r="T61" s="1719">
        <f t="shared" si="36"/>
        <v>0</v>
      </c>
      <c r="U61" s="1719">
        <f t="shared" si="36"/>
        <v>0</v>
      </c>
      <c r="V61" s="1719">
        <f t="shared" si="36"/>
        <v>0</v>
      </c>
      <c r="W61" s="1719">
        <f t="shared" si="36"/>
        <v>0</v>
      </c>
      <c r="X61" s="1719">
        <f t="shared" si="36"/>
        <v>0</v>
      </c>
      <c r="Y61" s="1719">
        <f t="shared" ref="Y61:Z61" si="37">Y20-Y21-Y22-Y23</f>
        <v>0</v>
      </c>
      <c r="Z61" s="1719">
        <f t="shared" si="37"/>
        <v>0</v>
      </c>
      <c r="AA61" s="1697"/>
      <c r="AB61" s="365"/>
      <c r="AC61" s="365"/>
      <c r="AD61" s="365"/>
      <c r="AE61" s="365"/>
      <c r="AF61" s="365"/>
      <c r="AG61" s="365"/>
      <c r="AH61" s="365"/>
      <c r="AI61" s="365"/>
      <c r="AJ61" s="365"/>
      <c r="AK61" s="365"/>
      <c r="AL61" s="365"/>
      <c r="AM61" s="365"/>
      <c r="AN61" s="365"/>
      <c r="AO61" s="365"/>
      <c r="AP61" s="365"/>
      <c r="AQ61" s="365"/>
      <c r="AR61" s="365"/>
      <c r="AS61" s="365"/>
      <c r="AT61" s="365"/>
      <c r="AU61" s="365" t="str">
        <f t="shared" si="0"/>
        <v/>
      </c>
    </row>
    <row r="62" spans="1:47">
      <c r="B62" s="1711" t="s">
        <v>4539</v>
      </c>
      <c r="C62" s="1711"/>
      <c r="D62" s="1719">
        <f>D24-D25-D26</f>
        <v>25800000</v>
      </c>
      <c r="E62" s="1718">
        <f t="shared" ref="E62:Q62" si="38">E24-E25-E26</f>
        <v>-100000</v>
      </c>
      <c r="F62" s="1719">
        <f>F24-F25-F26</f>
        <v>31800000</v>
      </c>
      <c r="G62" s="1719">
        <f t="shared" si="38"/>
        <v>31800000</v>
      </c>
      <c r="H62" s="1718">
        <f t="shared" si="38"/>
        <v>0</v>
      </c>
      <c r="I62" s="1718">
        <f t="shared" si="38"/>
        <v>0</v>
      </c>
      <c r="J62" s="1718">
        <f t="shared" si="38"/>
        <v>0</v>
      </c>
      <c r="K62" s="1718">
        <f t="shared" si="38"/>
        <v>0</v>
      </c>
      <c r="L62" s="1719">
        <f>L24-L25-L26</f>
        <v>15400000</v>
      </c>
      <c r="M62" s="1719">
        <f t="shared" si="38"/>
        <v>39100000</v>
      </c>
      <c r="N62" s="1719">
        <f t="shared" si="38"/>
        <v>50700000</v>
      </c>
      <c r="O62" s="1719">
        <f t="shared" si="38"/>
        <v>52800000</v>
      </c>
      <c r="P62" s="1719">
        <f t="shared" si="38"/>
        <v>0</v>
      </c>
      <c r="Q62" s="1719">
        <f t="shared" si="38"/>
        <v>0</v>
      </c>
      <c r="R62" s="1719">
        <f t="shared" ref="R62:X62" si="39">R24-R25-R26</f>
        <v>0</v>
      </c>
      <c r="S62" s="1719">
        <f t="shared" si="39"/>
        <v>0</v>
      </c>
      <c r="T62" s="1719">
        <f t="shared" si="39"/>
        <v>0</v>
      </c>
      <c r="U62" s="1719">
        <f t="shared" si="39"/>
        <v>0</v>
      </c>
      <c r="V62" s="1719">
        <f t="shared" si="39"/>
        <v>0</v>
      </c>
      <c r="W62" s="1719">
        <f t="shared" si="39"/>
        <v>0</v>
      </c>
      <c r="X62" s="1719">
        <f t="shared" si="39"/>
        <v>0</v>
      </c>
      <c r="Y62" s="1719">
        <f t="shared" ref="Y62:Z62" si="40">Y24-Y25-Y26</f>
        <v>0</v>
      </c>
      <c r="Z62" s="1719">
        <f t="shared" si="40"/>
        <v>0</v>
      </c>
      <c r="AA62" s="1697"/>
      <c r="AB62" s="365"/>
      <c r="AC62" s="365"/>
      <c r="AD62" s="365"/>
      <c r="AE62" s="365"/>
      <c r="AF62" s="365"/>
      <c r="AG62" s="365"/>
      <c r="AH62" s="365"/>
      <c r="AI62" s="365"/>
      <c r="AJ62" s="365"/>
      <c r="AK62" s="365"/>
      <c r="AL62" s="365"/>
      <c r="AM62" s="365"/>
      <c r="AN62" s="365"/>
      <c r="AO62" s="365"/>
      <c r="AP62" s="365"/>
      <c r="AQ62" s="365"/>
      <c r="AR62" s="365"/>
      <c r="AS62" s="365"/>
      <c r="AT62" s="365"/>
      <c r="AU62" s="365" t="str">
        <f t="shared" si="0"/>
        <v/>
      </c>
    </row>
    <row r="63" spans="1:47">
      <c r="B63" s="1711" t="s">
        <v>4540</v>
      </c>
      <c r="D63" s="1718">
        <f>D27-D28-D29-D30</f>
        <v>0</v>
      </c>
      <c r="E63" s="1718">
        <f t="shared" ref="E63:Q63" si="41">E27-E28-E29-E30</f>
        <v>100000</v>
      </c>
      <c r="F63" s="1718">
        <f t="shared" si="41"/>
        <v>-100000</v>
      </c>
      <c r="G63" s="1718">
        <f t="shared" si="41"/>
        <v>0</v>
      </c>
      <c r="H63" s="1718">
        <f t="shared" si="41"/>
        <v>0</v>
      </c>
      <c r="I63" s="1718">
        <f t="shared" si="41"/>
        <v>0</v>
      </c>
      <c r="J63" s="1718">
        <f t="shared" si="41"/>
        <v>0</v>
      </c>
      <c r="K63" s="1718">
        <f t="shared" si="41"/>
        <v>0</v>
      </c>
      <c r="L63" s="1718">
        <f t="shared" si="41"/>
        <v>0</v>
      </c>
      <c r="M63" s="1718">
        <f t="shared" si="41"/>
        <v>100000</v>
      </c>
      <c r="N63" s="1718">
        <f t="shared" si="41"/>
        <v>0</v>
      </c>
      <c r="O63" s="1718">
        <f t="shared" si="41"/>
        <v>0</v>
      </c>
      <c r="P63" s="1718">
        <f t="shared" si="41"/>
        <v>0</v>
      </c>
      <c r="Q63" s="1718">
        <f t="shared" si="41"/>
        <v>0</v>
      </c>
      <c r="R63" s="1718">
        <f t="shared" ref="R63:X63" si="42">R27-R28-R29-R30</f>
        <v>0</v>
      </c>
      <c r="S63" s="1718">
        <f t="shared" si="42"/>
        <v>0</v>
      </c>
      <c r="T63" s="1718">
        <f t="shared" si="42"/>
        <v>0</v>
      </c>
      <c r="U63" s="1718">
        <f t="shared" si="42"/>
        <v>0</v>
      </c>
      <c r="V63" s="1718">
        <f t="shared" si="42"/>
        <v>0</v>
      </c>
      <c r="W63" s="1718">
        <f t="shared" si="42"/>
        <v>0</v>
      </c>
      <c r="X63" s="1718">
        <f t="shared" si="42"/>
        <v>0</v>
      </c>
      <c r="Y63" s="1718">
        <f t="shared" ref="Y63:Z63" si="43">Y27-Y28-Y29-Y30</f>
        <v>0</v>
      </c>
      <c r="Z63" s="1718">
        <f t="shared" si="43"/>
        <v>0</v>
      </c>
      <c r="AA63" s="1697"/>
      <c r="AB63" s="365"/>
      <c r="AC63" s="365"/>
      <c r="AD63" s="365"/>
      <c r="AE63" s="365"/>
      <c r="AF63" s="365"/>
      <c r="AG63" s="365"/>
      <c r="AH63" s="365"/>
      <c r="AI63" s="365"/>
      <c r="AJ63" s="365"/>
      <c r="AK63" s="365"/>
      <c r="AL63" s="365"/>
      <c r="AM63" s="365"/>
      <c r="AN63" s="365"/>
      <c r="AO63" s="365"/>
      <c r="AP63" s="365"/>
      <c r="AQ63" s="365"/>
      <c r="AR63" s="365"/>
      <c r="AS63" s="365"/>
      <c r="AT63" s="365"/>
      <c r="AU63" s="365" t="str">
        <f t="shared" si="0"/>
        <v/>
      </c>
    </row>
    <row r="64" spans="1:47">
      <c r="B64" s="1711" t="s">
        <v>1207</v>
      </c>
      <c r="D64" s="1718">
        <f>D31-D32-D42</f>
        <v>-100000</v>
      </c>
      <c r="E64" s="1718">
        <f>E31-E32-E42</f>
        <v>0</v>
      </c>
      <c r="F64" s="1718">
        <f t="shared" ref="F64:Q64" si="44">F31-F32-F42</f>
        <v>0</v>
      </c>
      <c r="G64" s="1718">
        <f t="shared" si="44"/>
        <v>100000</v>
      </c>
      <c r="H64" s="1718">
        <f t="shared" si="44"/>
        <v>0</v>
      </c>
      <c r="I64" s="1718">
        <f t="shared" si="44"/>
        <v>0</v>
      </c>
      <c r="J64" s="1718">
        <f t="shared" si="44"/>
        <v>0</v>
      </c>
      <c r="K64" s="1718">
        <f t="shared" si="44"/>
        <v>0</v>
      </c>
      <c r="L64" s="1718">
        <f t="shared" si="44"/>
        <v>0</v>
      </c>
      <c r="M64" s="1718">
        <f t="shared" si="44"/>
        <v>0</v>
      </c>
      <c r="N64" s="1718">
        <f>N31-N32-N42</f>
        <v>0</v>
      </c>
      <c r="O64" s="1718">
        <f t="shared" si="44"/>
        <v>0</v>
      </c>
      <c r="P64" s="1718">
        <f t="shared" si="44"/>
        <v>0</v>
      </c>
      <c r="Q64" s="1718">
        <f t="shared" si="44"/>
        <v>0</v>
      </c>
      <c r="R64" s="1718">
        <f t="shared" ref="R64:X64" si="45">R31-R32-R42</f>
        <v>0</v>
      </c>
      <c r="S64" s="1718">
        <f t="shared" si="45"/>
        <v>0</v>
      </c>
      <c r="T64" s="1718">
        <f t="shared" si="45"/>
        <v>100000</v>
      </c>
      <c r="U64" s="1718">
        <f t="shared" si="45"/>
        <v>100000</v>
      </c>
      <c r="V64" s="1718">
        <f t="shared" si="45"/>
        <v>0</v>
      </c>
      <c r="W64" s="1718">
        <f t="shared" si="45"/>
        <v>100000</v>
      </c>
      <c r="X64" s="1718">
        <f t="shared" si="45"/>
        <v>0</v>
      </c>
      <c r="Y64" s="1718">
        <f t="shared" ref="Y64:Z64" si="46">Y31-Y32-Y42</f>
        <v>-100000</v>
      </c>
      <c r="Z64" s="1718">
        <f t="shared" si="46"/>
        <v>100000</v>
      </c>
      <c r="AA64" s="1697"/>
      <c r="AB64" s="365"/>
      <c r="AC64" s="365"/>
      <c r="AD64" s="365"/>
      <c r="AE64" s="365"/>
      <c r="AF64" s="365"/>
      <c r="AG64" s="365"/>
      <c r="AH64" s="365"/>
      <c r="AI64" s="365"/>
      <c r="AJ64" s="365"/>
      <c r="AK64" s="365"/>
      <c r="AL64" s="365"/>
      <c r="AM64" s="365"/>
      <c r="AN64" s="365"/>
      <c r="AO64" s="365"/>
      <c r="AP64" s="365"/>
      <c r="AQ64" s="365"/>
      <c r="AR64" s="365"/>
      <c r="AS64" s="365"/>
      <c r="AT64" s="365"/>
      <c r="AU64" s="365" t="str">
        <f t="shared" si="0"/>
        <v/>
      </c>
    </row>
    <row r="65" spans="2:47">
      <c r="B65" s="1711" t="s">
        <v>826</v>
      </c>
      <c r="D65" s="1718">
        <f>D32-D33-D37-D38-D39-D40</f>
        <v>0</v>
      </c>
      <c r="E65" s="1718">
        <f t="shared" ref="E65:Q65" si="47">E32-E33-E37-E38-E39-E40</f>
        <v>0</v>
      </c>
      <c r="F65" s="1718">
        <f t="shared" si="47"/>
        <v>0</v>
      </c>
      <c r="G65" s="1718">
        <f t="shared" si="47"/>
        <v>99999.999999985099</v>
      </c>
      <c r="H65" s="1718">
        <f>H32-H33-H37-H38-H39-H40</f>
        <v>0</v>
      </c>
      <c r="I65" s="1718">
        <f t="shared" si="47"/>
        <v>0</v>
      </c>
      <c r="J65" s="1718">
        <f t="shared" si="47"/>
        <v>0</v>
      </c>
      <c r="K65" s="1718">
        <f t="shared" si="47"/>
        <v>0</v>
      </c>
      <c r="L65" s="1718">
        <f t="shared" si="47"/>
        <v>0</v>
      </c>
      <c r="M65" s="1718">
        <f t="shared" si="47"/>
        <v>100000</v>
      </c>
      <c r="N65" s="1718">
        <f>N32-N33-N37-N38-N39-N40</f>
        <v>0</v>
      </c>
      <c r="O65" s="1718">
        <f t="shared" si="47"/>
        <v>0</v>
      </c>
      <c r="P65" s="1718">
        <f t="shared" si="47"/>
        <v>-100000</v>
      </c>
      <c r="Q65" s="1718">
        <f t="shared" si="47"/>
        <v>100000</v>
      </c>
      <c r="R65" s="1718">
        <f t="shared" ref="R65:X65" si="48">R32-R33-R37-R38-R39-R40</f>
        <v>-100000</v>
      </c>
      <c r="S65" s="1718">
        <f t="shared" si="48"/>
        <v>0</v>
      </c>
      <c r="T65" s="1718">
        <f t="shared" si="48"/>
        <v>0</v>
      </c>
      <c r="U65" s="1718">
        <f t="shared" si="48"/>
        <v>0</v>
      </c>
      <c r="V65" s="1718">
        <f t="shared" si="48"/>
        <v>0</v>
      </c>
      <c r="W65" s="1718">
        <f t="shared" si="48"/>
        <v>0</v>
      </c>
      <c r="X65" s="1718">
        <f t="shared" si="48"/>
        <v>0</v>
      </c>
      <c r="Y65" s="1718">
        <f t="shared" ref="Y65:Z65" si="49">Y32-Y33-Y37-Y38-Y39-Y40</f>
        <v>100000</v>
      </c>
      <c r="Z65" s="1718">
        <f t="shared" si="49"/>
        <v>0</v>
      </c>
      <c r="AA65" s="1697"/>
      <c r="AB65" s="365"/>
      <c r="AC65" s="365"/>
      <c r="AD65" s="365"/>
      <c r="AE65" s="365"/>
      <c r="AF65" s="365"/>
      <c r="AG65" s="365"/>
      <c r="AH65" s="365"/>
      <c r="AI65" s="365"/>
      <c r="AJ65" s="365"/>
      <c r="AK65" s="365"/>
      <c r="AL65" s="365"/>
      <c r="AM65" s="365"/>
      <c r="AN65" s="365"/>
      <c r="AO65" s="365"/>
      <c r="AP65" s="365"/>
      <c r="AQ65" s="365"/>
      <c r="AR65" s="365"/>
      <c r="AS65" s="365"/>
      <c r="AT65" s="365"/>
      <c r="AU65" s="365" t="str">
        <f t="shared" si="0"/>
        <v/>
      </c>
    </row>
    <row r="66" spans="2:47">
      <c r="B66" s="1711" t="s">
        <v>876</v>
      </c>
      <c r="D66" s="1719">
        <f>D42-D43-D44-D41</f>
        <v>38800000</v>
      </c>
      <c r="E66" s="1718">
        <f>E42-E43-E44-E41</f>
        <v>0</v>
      </c>
      <c r="F66" s="1718">
        <f>F42-F43-F44-F41</f>
        <v>0</v>
      </c>
      <c r="G66" s="1718">
        <f>G42-G43-G44-G41</f>
        <v>0</v>
      </c>
      <c r="H66" s="1718">
        <f>H42-H43-H44-H41</f>
        <v>0</v>
      </c>
      <c r="I66" s="1718">
        <f t="shared" ref="I66:Q66" si="50">I42-I43-I44</f>
        <v>0</v>
      </c>
      <c r="J66" s="1718">
        <f t="shared" si="50"/>
        <v>0</v>
      </c>
      <c r="K66" s="1718">
        <f t="shared" si="50"/>
        <v>0</v>
      </c>
      <c r="L66" s="1718">
        <f t="shared" si="50"/>
        <v>0</v>
      </c>
      <c r="M66" s="1718">
        <f t="shared" si="50"/>
        <v>0</v>
      </c>
      <c r="N66" s="1719">
        <f>N42-N43-N44</f>
        <v>48000000</v>
      </c>
      <c r="O66" s="1719">
        <f t="shared" si="50"/>
        <v>58000000</v>
      </c>
      <c r="P66" s="1719">
        <f t="shared" si="50"/>
        <v>70100000</v>
      </c>
      <c r="Q66" s="1719">
        <f t="shared" si="50"/>
        <v>45300000</v>
      </c>
      <c r="R66" s="1719">
        <f t="shared" ref="R66:X66" si="51">R42-R43-R44</f>
        <v>22600000</v>
      </c>
      <c r="S66" s="1719">
        <f t="shared" si="51"/>
        <v>21700000</v>
      </c>
      <c r="T66" s="1719">
        <f t="shared" si="51"/>
        <v>39100000</v>
      </c>
      <c r="U66" s="1719">
        <f t="shared" si="51"/>
        <v>41000000</v>
      </c>
      <c r="V66" s="1719">
        <f t="shared" si="51"/>
        <v>42800000</v>
      </c>
      <c r="W66" s="1719">
        <f t="shared" si="51"/>
        <v>45000000</v>
      </c>
      <c r="X66" s="1719">
        <f t="shared" si="51"/>
        <v>46000000</v>
      </c>
      <c r="Y66" s="1719">
        <f t="shared" ref="Y66:Z66" si="52">Y42-Y43-Y44</f>
        <v>47100000</v>
      </c>
      <c r="Z66" s="1719">
        <f t="shared" si="52"/>
        <v>48100000</v>
      </c>
      <c r="AA66" s="1697"/>
      <c r="AB66" s="365"/>
      <c r="AC66" s="365"/>
      <c r="AD66" s="365"/>
      <c r="AE66" s="365"/>
      <c r="AF66" s="365"/>
      <c r="AG66" s="365"/>
      <c r="AH66" s="365"/>
      <c r="AI66" s="365"/>
      <c r="AJ66" s="365"/>
      <c r="AK66" s="365"/>
      <c r="AL66" s="365"/>
      <c r="AM66" s="365"/>
      <c r="AN66" s="365"/>
      <c r="AO66" s="365"/>
      <c r="AP66" s="365"/>
      <c r="AQ66" s="365"/>
      <c r="AR66" s="365"/>
      <c r="AS66" s="365"/>
      <c r="AT66" s="365"/>
      <c r="AU66" s="365" t="str">
        <f t="shared" si="0"/>
        <v/>
      </c>
    </row>
    <row r="67" spans="2:47">
      <c r="B67" s="1711" t="s">
        <v>457</v>
      </c>
      <c r="D67" s="1720">
        <f>D47-D48-D49</f>
        <v>0</v>
      </c>
      <c r="E67" s="1720">
        <f t="shared" ref="E67:Q67" si="53">E47-E48-E49</f>
        <v>100000</v>
      </c>
      <c r="F67" s="1720">
        <f t="shared" si="53"/>
        <v>0</v>
      </c>
      <c r="G67" s="1720">
        <f t="shared" si="53"/>
        <v>0</v>
      </c>
      <c r="H67" s="1720">
        <f t="shared" si="53"/>
        <v>0</v>
      </c>
      <c r="I67" s="1720">
        <f t="shared" si="53"/>
        <v>100000</v>
      </c>
      <c r="J67" s="1720">
        <f>J47-J48-J49</f>
        <v>13100000</v>
      </c>
      <c r="K67" s="1720">
        <f t="shared" si="53"/>
        <v>6400000</v>
      </c>
      <c r="L67" s="1720">
        <f t="shared" si="53"/>
        <v>4500000</v>
      </c>
      <c r="M67" s="1720">
        <f t="shared" si="53"/>
        <v>-4600000</v>
      </c>
      <c r="N67" s="1720">
        <f t="shared" si="53"/>
        <v>-1400000</v>
      </c>
      <c r="O67" s="1720">
        <f t="shared" si="53"/>
        <v>1800000</v>
      </c>
      <c r="P67" s="1736">
        <f t="shared" si="53"/>
        <v>2900000</v>
      </c>
      <c r="Q67" s="1736">
        <f t="shared" si="53"/>
        <v>9100000</v>
      </c>
      <c r="R67" s="1736">
        <f t="shared" ref="R67:X67" si="54">R47-R48-R49</f>
        <v>35500000</v>
      </c>
      <c r="S67" s="1736">
        <f t="shared" si="54"/>
        <v>32800000</v>
      </c>
      <c r="T67" s="1736">
        <f t="shared" si="54"/>
        <v>29100000</v>
      </c>
      <c r="U67" s="1736">
        <f t="shared" si="54"/>
        <v>28500000</v>
      </c>
      <c r="V67" s="1736">
        <f t="shared" si="54"/>
        <v>29100000</v>
      </c>
      <c r="W67" s="1736">
        <f t="shared" si="54"/>
        <v>29300000</v>
      </c>
      <c r="X67" s="1736">
        <f t="shared" si="54"/>
        <v>29200000</v>
      </c>
      <c r="Y67" s="1736">
        <f t="shared" ref="Y67:Z67" si="55">Y47-Y48-Y49</f>
        <v>28900000</v>
      </c>
      <c r="Z67" s="1736">
        <f t="shared" si="55"/>
        <v>28900000</v>
      </c>
      <c r="AA67" s="1697"/>
      <c r="AB67" s="365"/>
      <c r="AC67" s="365"/>
      <c r="AD67" s="365"/>
      <c r="AE67" s="365"/>
      <c r="AF67" s="365"/>
      <c r="AG67" s="365"/>
      <c r="AH67" s="365"/>
      <c r="AI67" s="365"/>
      <c r="AJ67" s="365"/>
      <c r="AK67" s="365"/>
      <c r="AL67" s="365"/>
      <c r="AM67" s="365"/>
      <c r="AN67" s="365"/>
      <c r="AO67" s="365"/>
      <c r="AP67" s="365"/>
      <c r="AQ67" s="365"/>
      <c r="AR67" s="365"/>
      <c r="AS67" s="365"/>
      <c r="AT67" s="365"/>
      <c r="AU67" s="365" t="str">
        <f>IF(W67&lt;0,W67,"")</f>
        <v/>
      </c>
    </row>
    <row r="68" spans="2:47">
      <c r="B68" s="1718"/>
      <c r="AA68" s="1697" t="str">
        <f t="shared" ref="AA68:AH70" si="56">IF(C68&lt;0,C68,"")</f>
        <v/>
      </c>
      <c r="AB68" s="365" t="str">
        <f t="shared" si="56"/>
        <v/>
      </c>
      <c r="AC68" s="365" t="str">
        <f t="shared" si="56"/>
        <v/>
      </c>
      <c r="AD68" s="365" t="str">
        <f t="shared" si="56"/>
        <v/>
      </c>
      <c r="AE68" s="365" t="str">
        <f t="shared" si="56"/>
        <v/>
      </c>
      <c r="AF68" s="365" t="str">
        <f t="shared" si="56"/>
        <v/>
      </c>
      <c r="AG68" s="365" t="str">
        <f t="shared" si="56"/>
        <v/>
      </c>
      <c r="AH68" s="365" t="str">
        <f t="shared" si="56"/>
        <v/>
      </c>
      <c r="AI68" s="365" t="str">
        <f t="shared" ref="AI68:AR70" si="57">IF(K68&lt;0,K68,"")</f>
        <v/>
      </c>
      <c r="AJ68" s="365" t="str">
        <f t="shared" si="57"/>
        <v/>
      </c>
      <c r="AK68" s="365" t="str">
        <f t="shared" si="57"/>
        <v/>
      </c>
      <c r="AL68" s="365" t="str">
        <f t="shared" si="57"/>
        <v/>
      </c>
      <c r="AM68" s="365" t="str">
        <f t="shared" si="57"/>
        <v/>
      </c>
      <c r="AN68" s="365" t="str">
        <f t="shared" si="57"/>
        <v/>
      </c>
      <c r="AO68" s="365" t="str">
        <f t="shared" si="57"/>
        <v/>
      </c>
      <c r="AP68" s="365" t="str">
        <f t="shared" si="57"/>
        <v/>
      </c>
      <c r="AQ68" s="365" t="str">
        <f t="shared" si="57"/>
        <v/>
      </c>
      <c r="AR68" s="365" t="str">
        <f t="shared" si="57"/>
        <v/>
      </c>
      <c r="AS68" s="365" t="str">
        <f t="shared" ref="AS68:AT70" si="58">IF(U68&lt;0,U68,"")</f>
        <v/>
      </c>
      <c r="AT68" s="365" t="str">
        <f t="shared" si="58"/>
        <v/>
      </c>
      <c r="AU68" s="365" t="str">
        <f>IF(W68&lt;0,W68,"")</f>
        <v/>
      </c>
    </row>
    <row r="69" spans="2:47">
      <c r="B69" s="1711" t="s">
        <v>623</v>
      </c>
      <c r="D69" s="1704">
        <v>233000000</v>
      </c>
      <c r="E69" s="1704">
        <v>240000000</v>
      </c>
      <c r="F69" s="1704">
        <v>242000000</v>
      </c>
      <c r="G69" s="1704">
        <v>245000000</v>
      </c>
      <c r="H69" s="1704">
        <v>240000000</v>
      </c>
      <c r="I69" s="1704">
        <v>250000000</v>
      </c>
      <c r="J69" s="1704">
        <v>253000000</v>
      </c>
      <c r="K69" s="1704">
        <v>256000000</v>
      </c>
      <c r="L69" s="1704">
        <v>262000000</v>
      </c>
      <c r="M69" s="1704">
        <v>277000000</v>
      </c>
      <c r="N69" s="1704">
        <v>294000000</v>
      </c>
      <c r="O69" s="1704">
        <v>310000000</v>
      </c>
      <c r="P69" s="1704">
        <v>326000000</v>
      </c>
      <c r="Q69">
        <v>316300000</v>
      </c>
      <c r="R69">
        <v>318100000</v>
      </c>
      <c r="S69">
        <v>315000000</v>
      </c>
      <c r="T69">
        <v>322800000</v>
      </c>
      <c r="U69">
        <v>329200000</v>
      </c>
      <c r="V69">
        <v>337000000</v>
      </c>
      <c r="W69">
        <v>343500000</v>
      </c>
      <c r="X69">
        <v>349400000</v>
      </c>
      <c r="Y69">
        <v>355400000</v>
      </c>
      <c r="Z69">
        <v>360400000</v>
      </c>
      <c r="AA69" s="1697" t="str">
        <f t="shared" si="56"/>
        <v/>
      </c>
      <c r="AB69" s="365" t="str">
        <f t="shared" si="56"/>
        <v/>
      </c>
      <c r="AC69" s="365" t="str">
        <f t="shared" si="56"/>
        <v/>
      </c>
      <c r="AD69" s="365" t="str">
        <f t="shared" si="56"/>
        <v/>
      </c>
      <c r="AE69" s="365" t="str">
        <f t="shared" si="56"/>
        <v/>
      </c>
      <c r="AF69" s="365" t="str">
        <f t="shared" si="56"/>
        <v/>
      </c>
      <c r="AG69" s="365" t="str">
        <f t="shared" si="56"/>
        <v/>
      </c>
      <c r="AH69" s="365" t="str">
        <f t="shared" si="56"/>
        <v/>
      </c>
      <c r="AI69" s="365" t="str">
        <f t="shared" si="57"/>
        <v/>
      </c>
      <c r="AJ69" s="365" t="str">
        <f t="shared" si="57"/>
        <v/>
      </c>
      <c r="AK69" s="365" t="str">
        <f t="shared" si="57"/>
        <v/>
      </c>
      <c r="AL69" s="365" t="str">
        <f t="shared" si="57"/>
        <v/>
      </c>
      <c r="AM69" s="365" t="str">
        <f t="shared" si="57"/>
        <v/>
      </c>
      <c r="AN69" s="365" t="str">
        <f t="shared" si="57"/>
        <v/>
      </c>
      <c r="AO69" s="365" t="str">
        <f t="shared" si="57"/>
        <v/>
      </c>
      <c r="AP69" s="365" t="str">
        <f t="shared" si="57"/>
        <v/>
      </c>
      <c r="AQ69" s="365" t="str">
        <f t="shared" si="57"/>
        <v/>
      </c>
      <c r="AR69" s="365" t="str">
        <f t="shared" si="57"/>
        <v/>
      </c>
      <c r="AS69" s="365" t="str">
        <f t="shared" si="58"/>
        <v/>
      </c>
      <c r="AT69" s="365" t="str">
        <f t="shared" si="58"/>
        <v/>
      </c>
      <c r="AU69" s="365" t="str">
        <f>IF(W69&lt;0,W69,"")</f>
        <v/>
      </c>
    </row>
    <row r="70" spans="2:47">
      <c r="B70" s="1711" t="s">
        <v>363</v>
      </c>
      <c r="D70" s="1704">
        <f t="shared" ref="D70:Q70" si="59">(D6/D69)*100</f>
        <v>63.862660944206006</v>
      </c>
      <c r="E70" s="1704">
        <f t="shared" si="59"/>
        <v>58.791666666666664</v>
      </c>
      <c r="F70" s="1704">
        <f t="shared" si="59"/>
        <v>66.239669421487605</v>
      </c>
      <c r="G70" s="1704">
        <f t="shared" si="59"/>
        <v>69.551020408163268</v>
      </c>
      <c r="H70" s="1704">
        <f t="shared" si="59"/>
        <v>55.666666666666664</v>
      </c>
      <c r="I70" s="1704">
        <f t="shared" si="59"/>
        <v>54.36</v>
      </c>
      <c r="J70" s="1704">
        <f t="shared" si="59"/>
        <v>55.217391304347828</v>
      </c>
      <c r="K70" s="1704">
        <f t="shared" si="59"/>
        <v>56.718749999999993</v>
      </c>
      <c r="L70" s="1704">
        <f t="shared" si="59"/>
        <v>57.175572519083971</v>
      </c>
      <c r="M70" s="1704">
        <f t="shared" si="59"/>
        <v>65.992779783393502</v>
      </c>
      <c r="N70" s="1704">
        <f t="shared" si="59"/>
        <v>68.095238095238102</v>
      </c>
      <c r="O70" s="1704">
        <f t="shared" si="59"/>
        <v>64.838709677419359</v>
      </c>
      <c r="P70" s="1704">
        <f t="shared" si="59"/>
        <v>66.012269938650306</v>
      </c>
      <c r="Q70" s="1704">
        <f t="shared" si="59"/>
        <v>61.998103066708822</v>
      </c>
      <c r="R70" s="1704">
        <f t="shared" ref="R70:Z70" si="60">(R6/R69)*100</f>
        <v>64.759509588179824</v>
      </c>
      <c r="S70" s="1704">
        <f t="shared" si="60"/>
        <v>66</v>
      </c>
      <c r="T70" s="1704">
        <f t="shared" si="60"/>
        <v>70.198265179677819</v>
      </c>
      <c r="U70" s="1704">
        <f t="shared" si="60"/>
        <v>68.894289185905222</v>
      </c>
      <c r="V70" s="1704">
        <f t="shared" si="60"/>
        <v>68.427299703264097</v>
      </c>
      <c r="W70" s="1704">
        <f t="shared" si="60"/>
        <v>68.413391557496368</v>
      </c>
      <c r="X70" s="1704">
        <f t="shared" si="60"/>
        <v>67.887807670291934</v>
      </c>
      <c r="Y70" s="1704">
        <f t="shared" si="60"/>
        <v>67.416994935284194</v>
      </c>
      <c r="Z70" s="1704">
        <f t="shared" si="60"/>
        <v>67.147613762486131</v>
      </c>
      <c r="AA70" s="1697" t="str">
        <f t="shared" si="56"/>
        <v/>
      </c>
      <c r="AB70" s="365" t="str">
        <f t="shared" si="56"/>
        <v/>
      </c>
      <c r="AC70" s="365" t="str">
        <f t="shared" si="56"/>
        <v/>
      </c>
      <c r="AD70" s="365" t="str">
        <f t="shared" si="56"/>
        <v/>
      </c>
      <c r="AE70" s="365" t="str">
        <f t="shared" si="56"/>
        <v/>
      </c>
      <c r="AF70" s="365" t="str">
        <f t="shared" si="56"/>
        <v/>
      </c>
      <c r="AG70" s="365" t="str">
        <f t="shared" si="56"/>
        <v/>
      </c>
      <c r="AH70" s="365" t="str">
        <f t="shared" si="56"/>
        <v/>
      </c>
      <c r="AI70" s="365" t="str">
        <f t="shared" si="57"/>
        <v/>
      </c>
      <c r="AJ70" s="365" t="str">
        <f t="shared" si="57"/>
        <v/>
      </c>
      <c r="AK70" s="365" t="str">
        <f t="shared" si="57"/>
        <v/>
      </c>
      <c r="AL70" s="365" t="str">
        <f t="shared" si="57"/>
        <v/>
      </c>
      <c r="AM70" s="365" t="str">
        <f t="shared" si="57"/>
        <v/>
      </c>
      <c r="AN70" s="365" t="str">
        <f t="shared" si="57"/>
        <v/>
      </c>
      <c r="AO70" s="365" t="str">
        <f t="shared" si="57"/>
        <v/>
      </c>
      <c r="AP70" s="365" t="str">
        <f t="shared" si="57"/>
        <v/>
      </c>
      <c r="AQ70" s="365" t="str">
        <f t="shared" si="57"/>
        <v/>
      </c>
      <c r="AR70" s="365" t="str">
        <f t="shared" si="57"/>
        <v/>
      </c>
      <c r="AS70" s="365" t="str">
        <f t="shared" si="58"/>
        <v/>
      </c>
      <c r="AT70" s="365" t="str">
        <f t="shared" si="58"/>
        <v/>
      </c>
      <c r="AU70" s="365" t="str">
        <f>IF(W70&lt;0,W70,"")</f>
        <v/>
      </c>
    </row>
    <row r="71" spans="2:47">
      <c r="B71" s="1711" t="s">
        <v>152</v>
      </c>
      <c r="D71" s="1704">
        <f t="shared" ref="D71:Q71" si="61">(D31/D69)*100</f>
        <v>70.944206008583691</v>
      </c>
      <c r="E71" s="1704">
        <f t="shared" si="61"/>
        <v>65.5</v>
      </c>
      <c r="F71" s="1704">
        <f t="shared" si="61"/>
        <v>59.090909090909093</v>
      </c>
      <c r="G71" s="1704">
        <f t="shared" si="61"/>
        <v>66.979591836734699</v>
      </c>
      <c r="H71" s="1704">
        <f t="shared" si="61"/>
        <v>70.833333333333343</v>
      </c>
      <c r="I71" s="1704">
        <f t="shared" si="61"/>
        <v>59.599999999999994</v>
      </c>
      <c r="J71" s="1704">
        <f t="shared" si="61"/>
        <v>60.553359683794461</v>
      </c>
      <c r="K71" s="1704">
        <f t="shared" si="61"/>
        <v>59.4140625</v>
      </c>
      <c r="L71" s="1704">
        <f t="shared" si="61"/>
        <v>58.854961832061072</v>
      </c>
      <c r="M71" s="1704">
        <f t="shared" si="61"/>
        <v>64.332129963898922</v>
      </c>
      <c r="N71" s="1704">
        <f t="shared" si="61"/>
        <v>63.197278911564624</v>
      </c>
      <c r="O71" s="1704">
        <f t="shared" si="61"/>
        <v>64.225806451612897</v>
      </c>
      <c r="P71" s="1704">
        <f t="shared" si="61"/>
        <v>65.122699386503072</v>
      </c>
      <c r="Q71" s="1704">
        <f t="shared" si="61"/>
        <v>59.121087575086939</v>
      </c>
      <c r="R71" s="1704">
        <f t="shared" ref="R71:Z71" si="62">(R31/R69)*100</f>
        <v>53.599497013517762</v>
      </c>
      <c r="S71" s="1704">
        <f t="shared" si="62"/>
        <v>55.587301587301582</v>
      </c>
      <c r="T71" s="1704">
        <f t="shared" si="62"/>
        <v>61.183395291201983</v>
      </c>
      <c r="U71" s="1704">
        <f t="shared" si="62"/>
        <v>60.236938031591734</v>
      </c>
      <c r="V71" s="1704">
        <f t="shared" si="62"/>
        <v>59.792284866468847</v>
      </c>
      <c r="W71" s="1704">
        <f t="shared" si="62"/>
        <v>59.883551673944687</v>
      </c>
      <c r="X71" s="1704">
        <f t="shared" si="62"/>
        <v>59.530623926731543</v>
      </c>
      <c r="Y71" s="1704">
        <f t="shared" si="62"/>
        <v>59.285312324141813</v>
      </c>
      <c r="Z71" s="1704">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D6" activePane="bottomRight" state="frozen"/>
      <selection pane="topRight" activeCell="R7" sqref="R7"/>
      <selection pane="bottomLeft" activeCell="R7" sqref="R7"/>
      <selection pane="bottomRight" activeCell="Q28" sqref="Q28"/>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147" t="s">
        <v>4541</v>
      </c>
      <c r="B1" s="82" t="s">
        <v>4542</v>
      </c>
      <c r="C1" s="82"/>
      <c r="D1" s="27"/>
      <c r="E1" s="27"/>
      <c r="F1" s="27"/>
      <c r="G1" s="27"/>
      <c r="H1" s="27"/>
      <c r="I1" s="27"/>
      <c r="J1" s="27"/>
      <c r="K1" s="27"/>
      <c r="L1" s="27"/>
      <c r="M1" s="27"/>
      <c r="N1" s="27"/>
      <c r="O1" s="28"/>
      <c r="P1" s="28"/>
      <c r="Q1" s="28"/>
      <c r="R1" s="29"/>
      <c r="S1" s="28"/>
      <c r="T1" s="28"/>
      <c r="U1" s="28"/>
      <c r="V1" s="28"/>
      <c r="W1" s="28"/>
      <c r="X1" s="28"/>
    </row>
    <row r="2" spans="1:26">
      <c r="B2" s="30" t="s">
        <v>4543</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2937</v>
      </c>
      <c r="S5" s="28" t="s">
        <v>2937</v>
      </c>
      <c r="T5" s="28" t="s">
        <v>2937</v>
      </c>
      <c r="U5" s="28" t="s">
        <v>369</v>
      </c>
      <c r="V5" s="28" t="s">
        <v>32</v>
      </c>
      <c r="W5" s="28" t="s">
        <v>32</v>
      </c>
      <c r="X5" s="28" t="s">
        <v>32</v>
      </c>
      <c r="Y5" s="28" t="s">
        <v>32</v>
      </c>
      <c r="Z5" s="28" t="s">
        <v>32</v>
      </c>
    </row>
    <row r="6" spans="1:26" s="848" customFormat="1">
      <c r="A6" s="848" t="s">
        <v>33</v>
      </c>
      <c r="B6" s="1063" t="s">
        <v>3218</v>
      </c>
      <c r="C6" s="848" t="s">
        <v>35</v>
      </c>
      <c r="E6" s="1738"/>
      <c r="F6" s="1738"/>
      <c r="G6" s="1738"/>
      <c r="H6" s="1159">
        <v>11324000000</v>
      </c>
      <c r="I6" s="1159">
        <v>14519000000</v>
      </c>
      <c r="J6" s="1159">
        <v>17845000000</v>
      </c>
      <c r="K6" s="1159">
        <v>22292000000</v>
      </c>
      <c r="L6" s="1556">
        <v>25517000000</v>
      </c>
      <c r="M6" s="1556">
        <v>23518000000</v>
      </c>
      <c r="N6" s="1556">
        <v>27537000000</v>
      </c>
      <c r="O6" s="1556">
        <v>30138000000</v>
      </c>
      <c r="P6" s="1556">
        <f>P7+P21</f>
        <v>33478000000</v>
      </c>
      <c r="Q6" s="1556">
        <v>36908000000</v>
      </c>
      <c r="R6" s="1556">
        <v>42456000000</v>
      </c>
      <c r="S6" s="1556">
        <v>43670000000</v>
      </c>
      <c r="T6" s="1534">
        <v>45947000000</v>
      </c>
      <c r="U6" s="1534">
        <v>52857000000</v>
      </c>
      <c r="V6" s="1534">
        <v>56999000000</v>
      </c>
      <c r="W6" s="1534">
        <v>59017000000</v>
      </c>
      <c r="X6" s="1348">
        <v>63999000000</v>
      </c>
      <c r="Y6" s="1348">
        <v>69692000000</v>
      </c>
      <c r="Z6" s="1348">
        <v>75967000000</v>
      </c>
    </row>
    <row r="7" spans="1:26">
      <c r="A7" t="s">
        <v>36</v>
      </c>
      <c r="B7" s="58" t="s">
        <v>4544</v>
      </c>
      <c r="C7" s="345" t="s">
        <v>38</v>
      </c>
      <c r="E7" s="495"/>
      <c r="F7" s="495"/>
      <c r="G7" s="495"/>
      <c r="H7" s="894">
        <f>H9+H19+H20</f>
        <v>11200000000</v>
      </c>
      <c r="I7" s="894">
        <f>I8+I20</f>
        <v>14060000000</v>
      </c>
      <c r="J7" s="894">
        <f>J8+J20</f>
        <v>17530000000</v>
      </c>
      <c r="K7" s="894">
        <f>K8+K20</f>
        <v>21322000000</v>
      </c>
      <c r="L7" s="210">
        <v>24449000000</v>
      </c>
      <c r="M7" s="210">
        <v>22230000000</v>
      </c>
      <c r="N7" s="210">
        <v>25538000000</v>
      </c>
      <c r="O7" s="210">
        <v>28434000000</v>
      </c>
      <c r="P7" s="210">
        <f>P9+P19+P20</f>
        <v>31896000000</v>
      </c>
      <c r="Q7" s="210">
        <v>34835000000</v>
      </c>
      <c r="R7" s="210">
        <v>38542000000</v>
      </c>
      <c r="S7" s="210">
        <v>41764000000</v>
      </c>
      <c r="T7" s="269">
        <v>44574000000</v>
      </c>
      <c r="U7" s="269">
        <v>51644000000</v>
      </c>
      <c r="V7" s="269">
        <v>54212000000</v>
      </c>
      <c r="W7" s="269">
        <v>58181000000</v>
      </c>
      <c r="X7" s="267">
        <v>63247000000</v>
      </c>
      <c r="Y7" s="267">
        <v>68872000000</v>
      </c>
      <c r="Z7" s="267">
        <v>75073000000</v>
      </c>
    </row>
    <row r="8" spans="1:26">
      <c r="B8" s="58" t="s">
        <v>533</v>
      </c>
      <c r="D8" s="28"/>
      <c r="E8" s="495"/>
      <c r="F8" s="495"/>
      <c r="G8" s="495"/>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69"/>
      <c r="U8" s="269"/>
      <c r="V8" s="269"/>
      <c r="W8" s="269"/>
      <c r="X8" s="269"/>
      <c r="Y8" s="267"/>
      <c r="Z8" s="267"/>
    </row>
    <row r="9" spans="1:26">
      <c r="A9" s="64" t="s">
        <v>2273</v>
      </c>
      <c r="B9" s="64" t="s">
        <v>4545</v>
      </c>
      <c r="C9" s="58" t="s">
        <v>41</v>
      </c>
      <c r="D9" s="28"/>
      <c r="E9" s="495"/>
      <c r="F9" s="495"/>
      <c r="G9" s="495"/>
      <c r="H9" s="895">
        <f>H10+H11+H12+H13+H14+H16+H17+H18</f>
        <v>9547000000</v>
      </c>
      <c r="I9" s="125">
        <v>11888000000</v>
      </c>
      <c r="J9" s="895">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69">
        <v>42502000000</v>
      </c>
      <c r="U9" s="269">
        <v>49255000000</v>
      </c>
      <c r="V9" s="269">
        <v>51895000000</v>
      </c>
      <c r="W9" s="269">
        <v>55967000000</v>
      </c>
      <c r="X9" s="269">
        <v>61037000000</v>
      </c>
      <c r="Y9" s="267">
        <v>66552000000</v>
      </c>
      <c r="Z9" s="267">
        <v>72636000000</v>
      </c>
    </row>
    <row r="10" spans="1:26">
      <c r="A10" s="65" t="s">
        <v>4546</v>
      </c>
      <c r="B10" s="65" t="s">
        <v>4547</v>
      </c>
      <c r="C10" s="27" t="s">
        <v>44</v>
      </c>
      <c r="D10" s="28"/>
      <c r="E10" s="277"/>
      <c r="F10" s="277"/>
      <c r="G10" s="277"/>
      <c r="H10" s="298">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69">
        <v>3363000000</v>
      </c>
      <c r="U10" s="269">
        <v>4105000000</v>
      </c>
      <c r="V10" s="269">
        <v>4481000000</v>
      </c>
      <c r="W10" s="269">
        <v>4965000000</v>
      </c>
      <c r="X10" s="269">
        <v>5500000000</v>
      </c>
      <c r="Y10" s="267">
        <v>6101000000</v>
      </c>
      <c r="Z10" s="267">
        <v>6655000000</v>
      </c>
    </row>
    <row r="11" spans="1:26">
      <c r="A11" s="65" t="s">
        <v>4548</v>
      </c>
      <c r="B11" s="65" t="s">
        <v>4549</v>
      </c>
      <c r="C11" s="27" t="s">
        <v>44</v>
      </c>
      <c r="D11" s="28"/>
      <c r="E11" s="277"/>
      <c r="F11" s="277"/>
      <c r="G11" s="277"/>
      <c r="H11" s="298">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69">
        <v>3182000000</v>
      </c>
      <c r="U11" s="269">
        <v>3570000000</v>
      </c>
      <c r="V11" s="269">
        <v>3852000000</v>
      </c>
      <c r="W11" s="269">
        <v>4180000000</v>
      </c>
      <c r="X11" s="269">
        <v>4556000000</v>
      </c>
      <c r="Y11" s="267">
        <v>4963000000</v>
      </c>
      <c r="Z11" s="267">
        <v>5417000000</v>
      </c>
    </row>
    <row r="12" spans="1:26">
      <c r="A12" s="65" t="s">
        <v>161</v>
      </c>
      <c r="B12" s="65" t="s">
        <v>162</v>
      </c>
      <c r="C12" s="27" t="s">
        <v>44</v>
      </c>
      <c r="D12" s="28"/>
      <c r="E12" s="495"/>
      <c r="F12" s="495"/>
      <c r="G12" s="495"/>
      <c r="H12" s="298">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69">
        <v>14564000000</v>
      </c>
      <c r="U12" s="269">
        <v>16797000000</v>
      </c>
      <c r="V12" s="269">
        <v>17294000000</v>
      </c>
      <c r="W12" s="269">
        <v>18480000000</v>
      </c>
      <c r="X12" s="269">
        <v>20056000000</v>
      </c>
      <c r="Y12" s="267">
        <v>21851000000</v>
      </c>
      <c r="Z12" s="267">
        <v>23927000000</v>
      </c>
    </row>
    <row r="13" spans="1:26">
      <c r="A13" s="65" t="s">
        <v>553</v>
      </c>
      <c r="B13" s="65" t="s">
        <v>553</v>
      </c>
      <c r="C13" s="27" t="s">
        <v>44</v>
      </c>
      <c r="D13" s="28"/>
      <c r="E13" s="277"/>
      <c r="F13" s="277"/>
      <c r="G13" s="277"/>
      <c r="H13" s="298">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69">
        <v>4546000000</v>
      </c>
      <c r="U13" s="269">
        <v>5645000000</v>
      </c>
      <c r="V13" s="269">
        <v>5903000000</v>
      </c>
      <c r="W13" s="269">
        <v>6406000000</v>
      </c>
      <c r="X13" s="269">
        <v>7070000000</v>
      </c>
      <c r="Y13" s="267">
        <v>7668000000</v>
      </c>
      <c r="Z13" s="267">
        <v>8324000000</v>
      </c>
    </row>
    <row r="14" spans="1:26">
      <c r="A14" s="65" t="s">
        <v>4550</v>
      </c>
      <c r="B14" s="65" t="s">
        <v>4551</v>
      </c>
      <c r="C14" s="27" t="s">
        <v>44</v>
      </c>
      <c r="D14" s="28"/>
      <c r="E14" s="277"/>
      <c r="F14" s="277"/>
      <c r="G14" s="277"/>
      <c r="H14" s="298">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69">
        <v>1452000000</v>
      </c>
      <c r="U14" s="269">
        <v>1569000000</v>
      </c>
      <c r="V14" s="269">
        <v>1585000000</v>
      </c>
      <c r="W14" s="269">
        <v>1719000000</v>
      </c>
      <c r="X14" s="269">
        <v>1869000000</v>
      </c>
      <c r="Y14" s="267">
        <v>2026000000</v>
      </c>
      <c r="Z14" s="267">
        <v>2204000000</v>
      </c>
    </row>
    <row r="15" spans="1:26">
      <c r="A15" s="655" t="s">
        <v>788</v>
      </c>
      <c r="B15" s="655" t="s">
        <v>4552</v>
      </c>
      <c r="C15" s="1545" t="s">
        <v>44</v>
      </c>
      <c r="D15" s="28"/>
      <c r="E15" s="277"/>
      <c r="F15" s="277"/>
      <c r="G15" s="277"/>
      <c r="H15" s="298"/>
      <c r="I15" s="125"/>
      <c r="J15" s="125"/>
      <c r="K15" s="125"/>
      <c r="L15" s="210"/>
      <c r="M15" s="210"/>
      <c r="N15" s="210"/>
      <c r="O15" s="210"/>
      <c r="P15" s="210"/>
      <c r="Q15" s="210"/>
      <c r="R15" s="210">
        <v>346000000</v>
      </c>
      <c r="S15" s="210">
        <v>359000000</v>
      </c>
      <c r="T15" s="269">
        <v>404000000</v>
      </c>
      <c r="U15" s="269">
        <v>531000000</v>
      </c>
      <c r="V15" s="269">
        <v>543000000</v>
      </c>
      <c r="W15" s="269">
        <v>549000000</v>
      </c>
      <c r="X15" s="269">
        <v>552000000</v>
      </c>
      <c r="Y15" s="267">
        <v>589000000</v>
      </c>
      <c r="Z15" s="267">
        <v>619000000</v>
      </c>
    </row>
    <row r="16" spans="1:26">
      <c r="A16" s="65" t="s">
        <v>50</v>
      </c>
      <c r="B16" s="65" t="s">
        <v>50</v>
      </c>
      <c r="C16" s="27" t="s">
        <v>44</v>
      </c>
      <c r="D16" s="28"/>
      <c r="E16" s="277"/>
      <c r="F16" s="277"/>
      <c r="G16" s="277"/>
      <c r="H16" s="298">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535">
        <f>T9-T10-T11-T12-T13-T14-T15-T17-T18</f>
        <v>1720000000</v>
      </c>
      <c r="U16" s="1535">
        <f t="shared" ref="U16:Z16" si="0">U9-U10-U11-U12-U13-U14-U15-U17-U18</f>
        <v>1777000000</v>
      </c>
      <c r="V16" s="1535">
        <f t="shared" si="0"/>
        <v>1771000000</v>
      </c>
      <c r="W16" s="1535">
        <f t="shared" si="0"/>
        <v>1797000000</v>
      </c>
      <c r="X16" s="1535">
        <f t="shared" si="0"/>
        <v>1956000000</v>
      </c>
      <c r="Y16" s="1535">
        <f t="shared" si="0"/>
        <v>2136000000</v>
      </c>
      <c r="Z16" s="1535">
        <f t="shared" si="0"/>
        <v>2331000000</v>
      </c>
    </row>
    <row r="17" spans="1:26">
      <c r="A17" s="65" t="s">
        <v>4553</v>
      </c>
      <c r="B17" s="65" t="s">
        <v>4554</v>
      </c>
      <c r="C17" s="27" t="s">
        <v>44</v>
      </c>
      <c r="D17" s="28"/>
      <c r="E17" s="495"/>
      <c r="F17" s="495"/>
      <c r="G17" s="495"/>
      <c r="H17" s="298">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69">
        <v>10031000000</v>
      </c>
      <c r="U17" s="269">
        <v>11628000000</v>
      </c>
      <c r="V17" s="269">
        <v>12546000000</v>
      </c>
      <c r="W17" s="269">
        <v>13617000000</v>
      </c>
      <c r="X17" s="269">
        <v>14841000000</v>
      </c>
      <c r="Y17" s="267">
        <v>16167000000</v>
      </c>
      <c r="Z17" s="267">
        <v>17646000000</v>
      </c>
    </row>
    <row r="18" spans="1:26">
      <c r="A18" s="65" t="s">
        <v>4555</v>
      </c>
      <c r="B18" s="65" t="s">
        <v>4556</v>
      </c>
      <c r="C18" s="27" t="s">
        <v>44</v>
      </c>
      <c r="D18" s="28"/>
      <c r="E18" s="58"/>
      <c r="F18" s="58"/>
      <c r="G18" s="277"/>
      <c r="H18" s="298">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69">
        <v>3240000000</v>
      </c>
      <c r="U18" s="269">
        <v>3633000000</v>
      </c>
      <c r="V18" s="269">
        <v>3920000000</v>
      </c>
      <c r="W18" s="269">
        <v>4254000000</v>
      </c>
      <c r="X18" s="269">
        <v>4637000000</v>
      </c>
      <c r="Y18" s="267">
        <v>5051000000</v>
      </c>
      <c r="Z18" s="267">
        <v>5513000000</v>
      </c>
    </row>
    <row r="19" spans="1:26">
      <c r="A19" s="64" t="s">
        <v>4003</v>
      </c>
      <c r="B19" s="64" t="s">
        <v>4557</v>
      </c>
      <c r="C19" s="58" t="s">
        <v>41</v>
      </c>
      <c r="D19" s="28"/>
      <c r="E19" s="277"/>
      <c r="F19" s="277"/>
      <c r="G19" s="277"/>
      <c r="H19" s="298">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69">
        <v>2072000000</v>
      </c>
      <c r="U19" s="269">
        <v>2389000000</v>
      </c>
      <c r="V19" s="269">
        <v>2317000000</v>
      </c>
      <c r="W19" s="269">
        <v>2214000000</v>
      </c>
      <c r="X19" s="269">
        <v>2210000000</v>
      </c>
      <c r="Y19" s="267">
        <v>2321000000</v>
      </c>
      <c r="Z19" s="267">
        <v>2437000000</v>
      </c>
    </row>
    <row r="20" spans="1:26">
      <c r="A20" s="64" t="s">
        <v>4558</v>
      </c>
      <c r="B20" s="64" t="s">
        <v>4559</v>
      </c>
      <c r="C20" s="58" t="s">
        <v>41</v>
      </c>
      <c r="D20" s="28"/>
      <c r="E20" s="58"/>
      <c r="F20" s="58"/>
      <c r="G20" s="277"/>
      <c r="H20" s="298">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69"/>
      <c r="U20" s="269"/>
      <c r="V20" s="269"/>
      <c r="W20" s="269"/>
      <c r="X20" s="269"/>
      <c r="Y20" s="267"/>
      <c r="Z20" s="267"/>
    </row>
    <row r="21" spans="1:26">
      <c r="A21" s="58" t="s">
        <v>53</v>
      </c>
      <c r="B21" s="58" t="s">
        <v>53</v>
      </c>
      <c r="C21" s="345" t="s">
        <v>38</v>
      </c>
      <c r="D21" s="28"/>
      <c r="E21" s="277"/>
      <c r="F21" s="277"/>
      <c r="G21" s="277"/>
      <c r="H21" s="298">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69">
        <v>1373000000</v>
      </c>
      <c r="U21" s="269">
        <v>1212000000</v>
      </c>
      <c r="V21" s="269">
        <v>2787000000</v>
      </c>
      <c r="W21" s="269">
        <v>836000000</v>
      </c>
      <c r="X21" s="269">
        <v>751000000</v>
      </c>
      <c r="Y21" s="267">
        <v>820000000</v>
      </c>
      <c r="Z21" s="267">
        <v>894000000</v>
      </c>
    </row>
    <row r="22" spans="1:26">
      <c r="A22" s="64" t="s">
        <v>209</v>
      </c>
      <c r="B22" s="64" t="s">
        <v>209</v>
      </c>
      <c r="C22" s="27" t="s">
        <v>57</v>
      </c>
      <c r="D22" s="28"/>
      <c r="G22" s="277"/>
      <c r="H22" s="125">
        <v>0</v>
      </c>
      <c r="I22" s="125"/>
      <c r="J22" s="125">
        <v>0</v>
      </c>
      <c r="K22" s="125">
        <v>0</v>
      </c>
      <c r="L22" s="210">
        <v>43000000</v>
      </c>
      <c r="M22" s="210">
        <v>150000000</v>
      </c>
      <c r="N22" s="210">
        <v>81000000</v>
      </c>
      <c r="O22" s="210">
        <v>31000000</v>
      </c>
      <c r="P22" s="210">
        <v>33000000</v>
      </c>
      <c r="Q22" s="210">
        <v>36000000</v>
      </c>
      <c r="R22" s="210"/>
      <c r="S22" s="210"/>
      <c r="T22" s="269"/>
      <c r="U22" s="269"/>
      <c r="V22" s="269"/>
      <c r="W22" s="269"/>
      <c r="X22" s="269"/>
      <c r="Y22" s="267"/>
      <c r="Z22" s="267"/>
    </row>
    <row r="23" spans="1:26">
      <c r="A23" s="64" t="s">
        <v>280</v>
      </c>
      <c r="B23" s="64" t="s">
        <v>280</v>
      </c>
      <c r="C23" s="27" t="s">
        <v>57</v>
      </c>
      <c r="D23" s="28"/>
      <c r="G23" s="277"/>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4560</v>
      </c>
      <c r="C24" s="27" t="s">
        <v>4561</v>
      </c>
      <c r="D24" s="28"/>
      <c r="G24" s="277"/>
      <c r="H24" s="298">
        <v>0</v>
      </c>
      <c r="I24" s="125"/>
      <c r="J24" s="125">
        <v>62000000</v>
      </c>
      <c r="K24" s="125">
        <v>5000000</v>
      </c>
      <c r="L24" s="210">
        <v>674000000</v>
      </c>
      <c r="M24" s="210">
        <v>804000000</v>
      </c>
      <c r="N24" s="210">
        <v>1327000000</v>
      </c>
      <c r="O24" s="210">
        <v>923000000</v>
      </c>
      <c r="P24" s="210">
        <v>760000000</v>
      </c>
      <c r="Q24" s="210">
        <v>704000000</v>
      </c>
      <c r="R24" s="210">
        <v>1606000000</v>
      </c>
      <c r="S24" s="210">
        <v>0</v>
      </c>
      <c r="T24" s="269">
        <v>953000000</v>
      </c>
      <c r="U24" s="269">
        <v>476000000</v>
      </c>
      <c r="V24" s="269">
        <v>2189000000</v>
      </c>
      <c r="W24" s="269">
        <v>217000000</v>
      </c>
      <c r="X24" s="269">
        <v>186000000</v>
      </c>
      <c r="Y24" s="267">
        <v>203000000</v>
      </c>
      <c r="Z24" s="267">
        <v>222000000</v>
      </c>
    </row>
    <row r="25" spans="1:26">
      <c r="A25" s="65" t="s">
        <v>1219</v>
      </c>
      <c r="B25" s="65" t="s">
        <v>1219</v>
      </c>
      <c r="C25" s="27" t="s">
        <v>4561</v>
      </c>
      <c r="D25" s="28"/>
      <c r="G25" s="277"/>
      <c r="H25" s="298">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69">
        <v>420000000</v>
      </c>
      <c r="U25" s="269">
        <v>736000000</v>
      </c>
      <c r="V25" s="269">
        <v>598000000</v>
      </c>
      <c r="W25" s="269">
        <v>619000000</v>
      </c>
      <c r="X25" s="269">
        <v>565000000</v>
      </c>
      <c r="Y25" s="267">
        <v>617000000</v>
      </c>
      <c r="Z25" s="267">
        <v>673000000</v>
      </c>
    </row>
    <row r="26" spans="1:26" ht="15.75" customHeight="1">
      <c r="A26" s="65" t="s">
        <v>4562</v>
      </c>
      <c r="B26" s="65" t="s">
        <v>4563</v>
      </c>
      <c r="C26" s="27" t="s">
        <v>4561</v>
      </c>
      <c r="D26" s="28"/>
      <c r="G26" s="277"/>
      <c r="H26" s="125"/>
      <c r="I26" s="125"/>
      <c r="J26" s="125"/>
      <c r="K26" s="125"/>
      <c r="L26" s="125"/>
      <c r="M26" s="210">
        <v>0</v>
      </c>
      <c r="N26" s="210">
        <v>8000000</v>
      </c>
      <c r="O26" s="210">
        <v>87000000</v>
      </c>
      <c r="P26" s="210">
        <v>54000000</v>
      </c>
      <c r="Q26" s="210">
        <v>91000000</v>
      </c>
      <c r="R26" s="210"/>
      <c r="S26" s="210"/>
      <c r="T26" s="269"/>
      <c r="U26" s="269"/>
      <c r="V26" s="269"/>
      <c r="W26" s="269"/>
      <c r="X26" s="269"/>
      <c r="Y26" s="267"/>
      <c r="Z26" s="267"/>
    </row>
    <row r="27" spans="1:26" s="848" customFormat="1">
      <c r="A27" s="1739" t="s">
        <v>198</v>
      </c>
      <c r="B27" s="1739" t="s">
        <v>198</v>
      </c>
      <c r="C27" s="848" t="s">
        <v>35</v>
      </c>
      <c r="D27" s="1158"/>
      <c r="G27" s="1740"/>
      <c r="H27" s="1159">
        <f>H29+H44+H43</f>
        <v>11150000000</v>
      </c>
      <c r="I27" s="1159">
        <f t="shared" ref="I27:P27" si="2">I29+I44+I43</f>
        <v>13976000000</v>
      </c>
      <c r="J27" s="1159">
        <f t="shared" si="2"/>
        <v>17800000000</v>
      </c>
      <c r="K27" s="1159">
        <f t="shared" si="2"/>
        <v>22499000000</v>
      </c>
      <c r="L27" s="1159">
        <f t="shared" si="2"/>
        <v>26148000000</v>
      </c>
      <c r="M27" s="1159">
        <f t="shared" si="2"/>
        <v>27380000000</v>
      </c>
      <c r="N27" s="1159">
        <f t="shared" si="2"/>
        <v>29417000000</v>
      </c>
      <c r="O27" s="1159">
        <f t="shared" si="2"/>
        <v>32162000000</v>
      </c>
      <c r="P27" s="1159">
        <f t="shared" si="2"/>
        <v>35513000000</v>
      </c>
      <c r="Q27" s="1159">
        <f>Q29+Q44+Q43</f>
        <v>38779000000</v>
      </c>
      <c r="R27" s="1159">
        <f>R29+R44+R43</f>
        <v>44571000000</v>
      </c>
      <c r="S27" s="1159">
        <f t="shared" ref="S27:Z27" si="3">S29+S44+S43</f>
        <v>46502000000</v>
      </c>
      <c r="T27" s="1741">
        <f t="shared" si="3"/>
        <v>48773000000</v>
      </c>
      <c r="U27" s="1741">
        <f t="shared" si="3"/>
        <v>57525000000</v>
      </c>
      <c r="V27" s="1741">
        <f t="shared" si="3"/>
        <v>62263000000</v>
      </c>
      <c r="W27" s="1741">
        <f t="shared" si="3"/>
        <v>65762000000</v>
      </c>
      <c r="X27" s="1741">
        <f t="shared" si="3"/>
        <v>71123000000</v>
      </c>
      <c r="Y27" s="1348">
        <f t="shared" si="3"/>
        <v>75652000000</v>
      </c>
      <c r="Z27" s="1348">
        <f t="shared" si="3"/>
        <v>82325000000</v>
      </c>
    </row>
    <row r="28" spans="1:26">
      <c r="A28" s="58"/>
      <c r="B28" s="58" t="s">
        <v>4564</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69">
        <v>48774000000</v>
      </c>
      <c r="U28" s="269">
        <v>57525000000</v>
      </c>
      <c r="V28" s="269">
        <v>62264000000</v>
      </c>
      <c r="W28" s="269">
        <v>65762000000</v>
      </c>
      <c r="X28" s="267">
        <v>71123000000</v>
      </c>
      <c r="Y28" s="267">
        <v>75652000000</v>
      </c>
      <c r="Z28" s="267">
        <v>82325000000</v>
      </c>
    </row>
    <row r="29" spans="1:26">
      <c r="A29" s="58" t="s">
        <v>73</v>
      </c>
      <c r="B29" s="58" t="s">
        <v>745</v>
      </c>
      <c r="C29" s="58" t="s">
        <v>201</v>
      </c>
      <c r="D29" s="28"/>
      <c r="G29" s="277"/>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69">
        <v>43773000000</v>
      </c>
      <c r="U29" s="269">
        <v>50184000000</v>
      </c>
      <c r="V29" s="269">
        <v>54288000000</v>
      </c>
      <c r="W29" s="269">
        <v>55514000000</v>
      </c>
      <c r="X29" s="269">
        <v>60223000000</v>
      </c>
      <c r="Y29" s="267">
        <v>64893000000</v>
      </c>
      <c r="Z29" s="267">
        <v>70652000000</v>
      </c>
    </row>
    <row r="30" spans="1:26">
      <c r="A30" s="64" t="s">
        <v>536</v>
      </c>
      <c r="B30" s="64" t="s">
        <v>536</v>
      </c>
      <c r="C30" s="58" t="s">
        <v>204</v>
      </c>
      <c r="D30" s="28"/>
      <c r="G30" s="277"/>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69">
        <v>10967000000</v>
      </c>
      <c r="U30" s="269">
        <v>12657000000</v>
      </c>
      <c r="V30" s="269">
        <v>13769000000</v>
      </c>
      <c r="W30" s="269">
        <v>14391000000</v>
      </c>
      <c r="X30" s="269">
        <v>15555000000</v>
      </c>
      <c r="Y30" s="267">
        <v>16828000000</v>
      </c>
      <c r="Z30" s="267">
        <v>18206000000</v>
      </c>
    </row>
    <row r="31" spans="1:26">
      <c r="A31" s="64" t="s">
        <v>4565</v>
      </c>
      <c r="B31" s="64" t="s">
        <v>749</v>
      </c>
      <c r="C31" s="58" t="s">
        <v>204</v>
      </c>
      <c r="D31" s="28"/>
      <c r="G31" s="277"/>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69">
        <v>9498000000</v>
      </c>
      <c r="U31" s="269">
        <v>11277000000</v>
      </c>
      <c r="V31" s="269">
        <v>11645000000</v>
      </c>
      <c r="W31" s="269">
        <v>12568000000</v>
      </c>
      <c r="X31" s="269">
        <v>13566000000</v>
      </c>
      <c r="Y31" s="267">
        <v>14800000000</v>
      </c>
      <c r="Z31" s="267">
        <v>16146000000</v>
      </c>
    </row>
    <row r="32" spans="1:26">
      <c r="A32" s="65" t="s">
        <v>4566</v>
      </c>
      <c r="B32" s="65" t="s">
        <v>4567</v>
      </c>
      <c r="C32" s="27" t="s">
        <v>385</v>
      </c>
      <c r="D32" s="28"/>
      <c r="G32" s="277"/>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69"/>
      <c r="U32" s="269"/>
      <c r="V32" s="269"/>
      <c r="W32" s="269"/>
      <c r="X32" s="269"/>
      <c r="Y32" s="267"/>
      <c r="Z32" s="267"/>
    </row>
    <row r="33" spans="1:26">
      <c r="A33" s="65" t="s">
        <v>50</v>
      </c>
      <c r="B33" s="65" t="s">
        <v>50</v>
      </c>
      <c r="C33" s="27" t="s">
        <v>385</v>
      </c>
      <c r="D33" s="28"/>
      <c r="G33" s="277"/>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69"/>
      <c r="U33" s="269"/>
      <c r="V33" s="269"/>
      <c r="W33" s="269"/>
      <c r="X33" s="269"/>
      <c r="Y33" s="267"/>
      <c r="Z33" s="267"/>
    </row>
    <row r="34" spans="1:26">
      <c r="A34" s="64" t="s">
        <v>90</v>
      </c>
      <c r="B34" s="64" t="s">
        <v>751</v>
      </c>
      <c r="C34" s="58" t="s">
        <v>204</v>
      </c>
      <c r="D34" s="28"/>
      <c r="G34" s="277"/>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69">
        <v>1812000000</v>
      </c>
      <c r="U34" s="269">
        <v>2083000000</v>
      </c>
      <c r="V34" s="269">
        <v>1962000000</v>
      </c>
      <c r="W34" s="269">
        <v>2264000000</v>
      </c>
      <c r="X34" s="269">
        <v>2487000000</v>
      </c>
      <c r="Y34" s="267">
        <v>2509000000</v>
      </c>
      <c r="Z34" s="267">
        <v>2805000000</v>
      </c>
    </row>
    <row r="35" spans="1:26">
      <c r="A35" s="65" t="s">
        <v>209</v>
      </c>
      <c r="B35" s="65" t="s">
        <v>209</v>
      </c>
      <c r="C35" s="27" t="s">
        <v>211</v>
      </c>
      <c r="D35" s="28"/>
      <c r="G35" s="277"/>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69">
        <v>1477000000</v>
      </c>
      <c r="U35" s="269">
        <v>1685000000</v>
      </c>
      <c r="V35" s="269">
        <v>1540000000</v>
      </c>
      <c r="W35" s="269">
        <v>1684000000</v>
      </c>
      <c r="X35" s="269">
        <v>1803000000</v>
      </c>
      <c r="Y35" s="267">
        <v>1703000000</v>
      </c>
      <c r="Z35" s="267">
        <v>1839000000</v>
      </c>
    </row>
    <row r="36" spans="1:26">
      <c r="A36" s="65" t="s">
        <v>212</v>
      </c>
      <c r="B36" s="65" t="s">
        <v>212</v>
      </c>
      <c r="C36" s="27" t="s">
        <v>211</v>
      </c>
      <c r="D36" s="28"/>
      <c r="G36" s="277"/>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69">
        <v>334000000</v>
      </c>
      <c r="U36" s="269">
        <v>398000000</v>
      </c>
      <c r="V36" s="269">
        <v>422000000</v>
      </c>
      <c r="W36" s="269">
        <v>580000000</v>
      </c>
      <c r="X36" s="269">
        <v>684000000</v>
      </c>
      <c r="Y36" s="267">
        <v>806000000</v>
      </c>
      <c r="Z36" s="267">
        <v>966000000</v>
      </c>
    </row>
    <row r="37" spans="1:26">
      <c r="A37" s="64" t="s">
        <v>389</v>
      </c>
      <c r="B37" s="64" t="s">
        <v>389</v>
      </c>
      <c r="C37" s="58" t="s">
        <v>204</v>
      </c>
      <c r="D37" s="28"/>
      <c r="G37" s="277"/>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69">
        <v>18198000000</v>
      </c>
      <c r="U37" s="269">
        <v>20098000000</v>
      </c>
      <c r="V37" s="269">
        <v>21628000000</v>
      </c>
      <c r="W37" s="269">
        <v>21051000000</v>
      </c>
      <c r="X37" s="269">
        <v>23476000000</v>
      </c>
      <c r="Y37" s="267">
        <v>25360000000</v>
      </c>
      <c r="Z37" s="267">
        <v>27830000000</v>
      </c>
    </row>
    <row r="38" spans="1:26">
      <c r="A38" s="65" t="s">
        <v>4568</v>
      </c>
      <c r="B38" s="65" t="s">
        <v>4569</v>
      </c>
      <c r="C38" s="27" t="s">
        <v>486</v>
      </c>
      <c r="D38" s="28"/>
      <c r="G38" s="277"/>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69">
        <v>1799000000</v>
      </c>
      <c r="U38" s="269">
        <v>1983000000</v>
      </c>
      <c r="V38" s="269">
        <v>2134000000</v>
      </c>
      <c r="W38" s="269">
        <v>2326000000</v>
      </c>
      <c r="X38" s="269">
        <v>2535000000</v>
      </c>
      <c r="Y38" s="267">
        <v>2766000000</v>
      </c>
      <c r="Z38" s="267">
        <v>3017000000</v>
      </c>
    </row>
    <row r="39" spans="1:26">
      <c r="A39" s="65" t="s">
        <v>4570</v>
      </c>
      <c r="B39" s="65" t="s">
        <v>4571</v>
      </c>
      <c r="C39" s="27" t="s">
        <v>486</v>
      </c>
      <c r="D39" s="28"/>
      <c r="G39" s="277"/>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69">
        <v>16399000000</v>
      </c>
      <c r="U39" s="269">
        <v>18116000000</v>
      </c>
      <c r="V39" s="269">
        <v>19494000000</v>
      </c>
      <c r="W39" s="269">
        <v>18725000000</v>
      </c>
      <c r="X39" s="269">
        <v>20941000000</v>
      </c>
      <c r="Y39" s="267">
        <v>22594000000</v>
      </c>
      <c r="Z39" s="267">
        <v>24812000000</v>
      </c>
    </row>
    <row r="40" spans="1:26">
      <c r="A40" s="65" t="s">
        <v>4572</v>
      </c>
      <c r="B40" s="65" t="s">
        <v>4573</v>
      </c>
      <c r="C40" s="27" t="s">
        <v>4574</v>
      </c>
      <c r="D40" s="28"/>
      <c r="G40" s="277"/>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69"/>
      <c r="U40" s="269"/>
      <c r="V40" s="269"/>
      <c r="W40" s="269"/>
      <c r="X40" s="269"/>
      <c r="Y40" s="267"/>
      <c r="Z40" s="267"/>
    </row>
    <row r="41" spans="1:26">
      <c r="A41" s="65" t="s">
        <v>487</v>
      </c>
      <c r="B41" s="65" t="s">
        <v>3269</v>
      </c>
      <c r="C41" s="27" t="s">
        <v>4574</v>
      </c>
      <c r="D41" s="28"/>
      <c r="G41" s="277"/>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69"/>
      <c r="U41" s="269"/>
      <c r="V41" s="269"/>
      <c r="W41" s="269"/>
      <c r="X41" s="269"/>
      <c r="Y41" s="267"/>
      <c r="Z41" s="267"/>
    </row>
    <row r="42" spans="1:26">
      <c r="A42" s="64" t="s">
        <v>1915</v>
      </c>
      <c r="B42" s="64" t="s">
        <v>4575</v>
      </c>
      <c r="C42" s="58" t="s">
        <v>204</v>
      </c>
      <c r="D42" s="28"/>
      <c r="G42" s="277"/>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69">
        <v>3299000000</v>
      </c>
      <c r="U42" s="269">
        <v>4068000000</v>
      </c>
      <c r="V42" s="269">
        <v>5285000000</v>
      </c>
      <c r="W42" s="269">
        <v>5240000000</v>
      </c>
      <c r="X42" s="269">
        <v>5139000000</v>
      </c>
      <c r="Y42" s="267">
        <v>5396000000</v>
      </c>
      <c r="Z42" s="267">
        <v>5666000000</v>
      </c>
    </row>
    <row r="43" spans="1:26">
      <c r="A43" s="58" t="s">
        <v>3521</v>
      </c>
      <c r="B43" s="58" t="s">
        <v>3521</v>
      </c>
      <c r="C43" s="58" t="s">
        <v>201</v>
      </c>
      <c r="D43" s="28"/>
      <c r="G43" s="277"/>
      <c r="H43" s="395">
        <v>0</v>
      </c>
      <c r="I43" s="395">
        <v>0</v>
      </c>
      <c r="J43" s="395">
        <v>0</v>
      </c>
      <c r="K43" s="395">
        <v>0</v>
      </c>
      <c r="L43" s="210">
        <v>36000000</v>
      </c>
      <c r="M43" s="2721">
        <v>0</v>
      </c>
      <c r="N43" s="2721">
        <v>0</v>
      </c>
      <c r="O43" s="2721">
        <v>0</v>
      </c>
      <c r="P43" s="2721">
        <v>0</v>
      </c>
      <c r="Q43" s="2721">
        <v>0</v>
      </c>
      <c r="R43" s="210"/>
      <c r="S43" s="210"/>
      <c r="T43" s="269"/>
      <c r="U43" s="269"/>
      <c r="V43" s="269"/>
      <c r="W43" s="269"/>
      <c r="X43" s="269"/>
      <c r="Y43" s="267"/>
      <c r="Z43" s="267"/>
    </row>
    <row r="44" spans="1:26">
      <c r="A44" s="58" t="s">
        <v>237</v>
      </c>
      <c r="B44" s="58" t="s">
        <v>1812</v>
      </c>
      <c r="C44" s="58" t="s">
        <v>201</v>
      </c>
      <c r="D44" s="28"/>
      <c r="G44" s="277"/>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69">
        <v>5000000000</v>
      </c>
      <c r="U44" s="269">
        <v>7341000000</v>
      </c>
      <c r="V44" s="269">
        <v>7975000000</v>
      </c>
      <c r="W44" s="269">
        <v>10248000000</v>
      </c>
      <c r="X44" s="269">
        <v>10900000000</v>
      </c>
      <c r="Y44" s="267">
        <v>10759000000</v>
      </c>
      <c r="Z44" s="267">
        <v>11673000000</v>
      </c>
    </row>
    <row r="45" spans="1:26">
      <c r="A45" s="64" t="s">
        <v>239</v>
      </c>
      <c r="B45" s="64" t="s">
        <v>3512</v>
      </c>
      <c r="C45" s="58" t="s">
        <v>241</v>
      </c>
      <c r="D45" s="28"/>
      <c r="G45" s="277"/>
      <c r="H45" s="125"/>
      <c r="I45" s="125"/>
      <c r="J45" s="125"/>
      <c r="K45" s="125"/>
      <c r="L45" s="125"/>
      <c r="M45" s="210">
        <v>2274000000</v>
      </c>
      <c r="N45" s="210">
        <v>2228000000</v>
      </c>
      <c r="O45" s="210">
        <v>2714000000</v>
      </c>
      <c r="P45" s="210">
        <v>3406000000</v>
      </c>
      <c r="Q45" s="210">
        <v>4665000000</v>
      </c>
      <c r="R45" s="210"/>
      <c r="S45" s="210"/>
      <c r="T45" s="269"/>
      <c r="U45" s="269"/>
      <c r="V45" s="269"/>
      <c r="W45" s="269"/>
      <c r="X45" s="269"/>
      <c r="Y45" s="267"/>
      <c r="Z45" s="267"/>
    </row>
    <row r="46" spans="1:26">
      <c r="A46" s="64" t="s">
        <v>395</v>
      </c>
      <c r="B46" s="64" t="s">
        <v>4211</v>
      </c>
      <c r="C46" s="58" t="s">
        <v>241</v>
      </c>
      <c r="D46" s="28"/>
      <c r="G46" s="277"/>
      <c r="H46" s="125"/>
      <c r="I46" s="125"/>
      <c r="J46" s="125"/>
      <c r="K46" s="125"/>
      <c r="L46" s="125"/>
      <c r="M46" s="210">
        <v>730000000</v>
      </c>
      <c r="N46" s="210">
        <v>1203000000</v>
      </c>
      <c r="O46" s="210">
        <v>1559000000</v>
      </c>
      <c r="P46" s="210">
        <v>2147000000</v>
      </c>
      <c r="Q46" s="210">
        <v>2455000000</v>
      </c>
      <c r="R46" s="210"/>
      <c r="S46" s="210"/>
      <c r="T46" s="269"/>
      <c r="U46" s="269"/>
      <c r="V46" s="269"/>
      <c r="W46" s="269"/>
      <c r="X46" s="269"/>
      <c r="Y46" s="267"/>
      <c r="Z46" s="267"/>
    </row>
    <row r="47" spans="1:26">
      <c r="A47" s="65" t="s">
        <v>53</v>
      </c>
      <c r="B47" s="65" t="s">
        <v>53</v>
      </c>
      <c r="C47" s="27" t="s">
        <v>4576</v>
      </c>
      <c r="D47" s="28"/>
      <c r="G47" s="277"/>
      <c r="H47" s="125"/>
      <c r="I47" s="125"/>
      <c r="J47" s="125"/>
      <c r="K47" s="125"/>
      <c r="L47" s="125"/>
      <c r="M47" s="210">
        <v>334000000</v>
      </c>
      <c r="N47" s="210">
        <v>584000000</v>
      </c>
      <c r="O47" s="210">
        <v>663000000</v>
      </c>
      <c r="P47" s="210">
        <v>735000000</v>
      </c>
      <c r="Q47" s="210">
        <v>1242000000</v>
      </c>
      <c r="R47" s="210"/>
      <c r="S47" s="210"/>
      <c r="T47" s="269"/>
      <c r="U47" s="269"/>
      <c r="V47" s="269"/>
      <c r="W47" s="269"/>
      <c r="X47" s="269"/>
      <c r="Y47" s="267"/>
      <c r="Z47" s="267"/>
    </row>
    <row r="48" spans="1:26">
      <c r="A48" s="65" t="s">
        <v>444</v>
      </c>
      <c r="B48" s="65" t="s">
        <v>444</v>
      </c>
      <c r="C48" s="27" t="s">
        <v>4576</v>
      </c>
      <c r="D48" s="28"/>
      <c r="G48" s="277"/>
      <c r="H48" s="125"/>
      <c r="I48" s="125"/>
      <c r="J48" s="125"/>
      <c r="K48" s="125"/>
      <c r="L48" s="125"/>
      <c r="M48" s="210">
        <v>396000000</v>
      </c>
      <c r="N48" s="210">
        <v>619000000</v>
      </c>
      <c r="O48" s="210">
        <v>897000000</v>
      </c>
      <c r="P48" s="210">
        <v>1413000000</v>
      </c>
      <c r="Q48" s="210">
        <v>1213000000</v>
      </c>
      <c r="R48" s="210"/>
      <c r="S48" s="210"/>
      <c r="T48" s="269"/>
      <c r="U48" s="269"/>
      <c r="V48" s="269"/>
      <c r="W48" s="269"/>
      <c r="X48" s="269"/>
      <c r="Y48" s="267"/>
      <c r="Z48" s="267"/>
    </row>
    <row r="49" spans="1:26">
      <c r="A49" t="s">
        <v>76</v>
      </c>
      <c r="B49" s="58" t="s">
        <v>521</v>
      </c>
      <c r="C49" s="27"/>
      <c r="D49" s="28"/>
      <c r="G49" s="277"/>
      <c r="H49" s="125">
        <v>28000000</v>
      </c>
      <c r="I49" s="125">
        <v>-89000000</v>
      </c>
      <c r="J49" s="125">
        <v>-4000000</v>
      </c>
      <c r="K49" s="125">
        <v>21000000</v>
      </c>
      <c r="L49" s="125"/>
      <c r="M49" s="210"/>
      <c r="N49" s="210"/>
      <c r="O49" s="210"/>
      <c r="P49" s="210"/>
      <c r="Q49" s="210"/>
      <c r="R49" s="210"/>
      <c r="S49" s="210"/>
      <c r="T49" s="269"/>
      <c r="U49" s="269"/>
      <c r="V49" s="269"/>
      <c r="W49" s="269"/>
      <c r="X49" s="269"/>
      <c r="Y49" s="267"/>
      <c r="Z49" s="267"/>
    </row>
    <row r="50" spans="1:26">
      <c r="B50" s="58" t="s">
        <v>4577</v>
      </c>
      <c r="C50" s="27"/>
      <c r="D50" s="28"/>
      <c r="G50" s="277"/>
      <c r="H50" s="125"/>
      <c r="I50" s="125"/>
      <c r="J50" s="125"/>
      <c r="K50" s="125"/>
      <c r="L50" s="125"/>
      <c r="M50" s="210"/>
      <c r="N50" s="210"/>
      <c r="O50" s="210"/>
      <c r="P50" s="210"/>
      <c r="Q50" s="210"/>
      <c r="R50" s="277"/>
      <c r="S50" s="495"/>
      <c r="T50" s="268"/>
      <c r="U50" s="268"/>
      <c r="V50" s="268"/>
      <c r="W50" s="268"/>
      <c r="X50" s="268"/>
      <c r="Y50" s="267"/>
      <c r="Z50" s="267"/>
    </row>
    <row r="51" spans="1:26">
      <c r="A51" t="s">
        <v>76</v>
      </c>
      <c r="B51" s="58" t="s">
        <v>2503</v>
      </c>
      <c r="C51" s="27"/>
      <c r="D51" s="28"/>
      <c r="G51" s="277"/>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69"/>
      <c r="U51" s="269"/>
      <c r="V51" s="269"/>
      <c r="W51" s="269"/>
      <c r="X51" s="269"/>
      <c r="Y51" s="267"/>
      <c r="Z51" s="267"/>
    </row>
    <row r="52" spans="1:26">
      <c r="A52" t="s">
        <v>76</v>
      </c>
      <c r="B52" s="58" t="s">
        <v>4578</v>
      </c>
      <c r="C52" s="27"/>
      <c r="D52" s="28"/>
      <c r="G52" s="277"/>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4579</v>
      </c>
      <c r="C53" s="27"/>
      <c r="D53" s="28"/>
      <c r="G53" s="277"/>
      <c r="H53" s="125"/>
      <c r="I53" s="125"/>
      <c r="J53" s="125">
        <v>556000000</v>
      </c>
      <c r="K53" s="125">
        <v>532000000</v>
      </c>
      <c r="L53" s="210">
        <v>103000000</v>
      </c>
      <c r="M53" s="210">
        <v>-3055000000</v>
      </c>
      <c r="N53" s="210">
        <v>-1307000000</v>
      </c>
      <c r="O53" s="210">
        <v>-1338000000</v>
      </c>
      <c r="P53" s="210">
        <v>-1265000000</v>
      </c>
      <c r="Q53" s="210">
        <v>-1320000000</v>
      </c>
      <c r="R53" s="210"/>
      <c r="S53" s="210"/>
      <c r="T53" s="269"/>
      <c r="U53" s="269"/>
      <c r="V53" s="269"/>
      <c r="W53" s="269"/>
      <c r="X53" s="269"/>
      <c r="Y53" s="267"/>
      <c r="Z53" s="267"/>
    </row>
    <row r="54" spans="1:26">
      <c r="A54" t="s">
        <v>76</v>
      </c>
      <c r="B54" s="58" t="s">
        <v>4578</v>
      </c>
      <c r="C54" s="27"/>
      <c r="D54" s="28"/>
      <c r="G54" s="277"/>
      <c r="H54" s="125"/>
      <c r="I54" s="125"/>
      <c r="J54" s="125"/>
      <c r="K54" s="125"/>
      <c r="L54" s="210"/>
      <c r="M54" s="210">
        <v>-2660000000</v>
      </c>
      <c r="N54" s="210">
        <v>-689000000</v>
      </c>
      <c r="O54" s="210">
        <v>-441000000</v>
      </c>
      <c r="P54" s="210">
        <v>148000000</v>
      </c>
      <c r="Q54" s="210">
        <v>-107000000</v>
      </c>
      <c r="R54" s="210"/>
      <c r="S54" s="210"/>
      <c r="T54" s="269"/>
      <c r="U54" s="269"/>
      <c r="V54" s="269"/>
      <c r="W54" s="269"/>
      <c r="X54" s="269"/>
      <c r="Y54" s="267"/>
      <c r="Z54" s="267"/>
    </row>
    <row r="55" spans="1:26">
      <c r="B55" s="58" t="s">
        <v>4580</v>
      </c>
      <c r="C55" s="27"/>
      <c r="D55" s="28"/>
      <c r="G55" s="277"/>
      <c r="H55" s="125"/>
      <c r="I55" s="125"/>
      <c r="J55" s="125"/>
      <c r="K55" s="125"/>
      <c r="L55" s="210"/>
      <c r="M55" s="210"/>
      <c r="N55" s="210"/>
      <c r="O55" s="210"/>
      <c r="P55" s="210"/>
      <c r="Q55" s="210"/>
      <c r="R55" s="495">
        <v>-2116000000</v>
      </c>
      <c r="S55" s="495">
        <v>-2832000000</v>
      </c>
      <c r="T55" s="268">
        <v>-16168000000</v>
      </c>
      <c r="U55" s="268">
        <v>-4668000000</v>
      </c>
      <c r="V55" s="268">
        <v>-5264000000</v>
      </c>
      <c r="W55" s="268">
        <v>-6745000000</v>
      </c>
      <c r="X55" s="268">
        <v>-7124000000</v>
      </c>
      <c r="Y55" s="267">
        <v>-5960000000</v>
      </c>
      <c r="Z55" s="267">
        <v>-6358000000</v>
      </c>
    </row>
    <row r="56" spans="1:26">
      <c r="B56" s="58" t="s">
        <v>4581</v>
      </c>
      <c r="C56" s="27"/>
      <c r="D56" s="28"/>
      <c r="G56" s="277"/>
      <c r="H56" s="125"/>
      <c r="I56" s="125"/>
      <c r="J56" s="125"/>
      <c r="K56" s="125"/>
      <c r="L56" s="210"/>
      <c r="M56" s="210"/>
      <c r="N56" s="210"/>
      <c r="O56" s="210"/>
      <c r="P56" s="210"/>
      <c r="Q56" s="210"/>
      <c r="R56" s="495">
        <v>-2116000000</v>
      </c>
      <c r="S56" s="495">
        <v>-2832000000</v>
      </c>
      <c r="T56" s="268">
        <v>-2827000000</v>
      </c>
      <c r="U56" s="268">
        <v>-4668000000</v>
      </c>
      <c r="V56" s="268">
        <v>-5264000000</v>
      </c>
      <c r="W56" s="268">
        <v>-6745000000</v>
      </c>
      <c r="X56" s="268">
        <v>-7124000000</v>
      </c>
      <c r="Y56" s="267">
        <v>-5960000000</v>
      </c>
      <c r="Z56" s="267">
        <v>-6358000000</v>
      </c>
    </row>
    <row r="57" spans="1:26">
      <c r="B57" s="58" t="s">
        <v>4582</v>
      </c>
      <c r="C57" s="27"/>
      <c r="D57" s="28"/>
      <c r="G57" s="277"/>
      <c r="H57" s="125"/>
      <c r="I57" s="125"/>
      <c r="J57" s="125"/>
      <c r="K57" s="125"/>
      <c r="L57" s="210"/>
      <c r="M57" s="210"/>
      <c r="N57" s="210"/>
      <c r="O57" s="210"/>
      <c r="P57" s="210"/>
      <c r="Q57" s="210"/>
      <c r="R57" s="495">
        <v>-1577000000</v>
      </c>
      <c r="S57" s="495">
        <v>-1816000000</v>
      </c>
      <c r="T57" s="268">
        <v>-1131000000</v>
      </c>
      <c r="U57" s="268">
        <v>-2709000000</v>
      </c>
      <c r="V57" s="268">
        <v>-3591000000</v>
      </c>
      <c r="W57" s="268">
        <v>-4783000000</v>
      </c>
      <c r="X57" s="268">
        <v>-4795000000</v>
      </c>
      <c r="Y57" s="267">
        <v>-3616000000</v>
      </c>
      <c r="Z57" s="267">
        <v>-3727000000</v>
      </c>
    </row>
    <row r="58" spans="1:26" s="848" customFormat="1">
      <c r="A58" s="1063" t="s">
        <v>115</v>
      </c>
      <c r="B58" s="1063" t="s">
        <v>115</v>
      </c>
      <c r="C58" s="848" t="s">
        <v>35</v>
      </c>
      <c r="H58" s="1159">
        <v>-260000000</v>
      </c>
      <c r="I58" s="1159">
        <f>I59+I70</f>
        <v>-634000000</v>
      </c>
      <c r="J58" s="1159">
        <v>-101000000</v>
      </c>
      <c r="K58" s="1159">
        <v>103000000</v>
      </c>
      <c r="L58" s="1556">
        <v>630000000</v>
      </c>
      <c r="M58" s="1556">
        <f>M71+M72</f>
        <v>3831000000</v>
      </c>
      <c r="N58" s="1159">
        <f>N59+N70</f>
        <v>1805000000</v>
      </c>
      <c r="O58" s="1159">
        <f>O59+O70</f>
        <v>1984000000</v>
      </c>
      <c r="P58" s="1159">
        <f>P59+P70</f>
        <v>1774000000</v>
      </c>
      <c r="Q58" s="1159">
        <f>Q59+Q70</f>
        <v>1611000000</v>
      </c>
      <c r="R58" s="1556">
        <f t="shared" ref="R58:Z58" si="4">R71+R72</f>
        <v>1871000000</v>
      </c>
      <c r="S58" s="1556">
        <f t="shared" si="4"/>
        <v>2593000000</v>
      </c>
      <c r="T58" s="1556">
        <f>T71+T72</f>
        <v>107000000</v>
      </c>
      <c r="U58" s="1556">
        <f t="shared" si="4"/>
        <v>2311000000</v>
      </c>
      <c r="V58" s="1556">
        <f t="shared" si="4"/>
        <v>2489000000</v>
      </c>
      <c r="W58" s="1556">
        <f t="shared" si="4"/>
        <v>5730000000</v>
      </c>
      <c r="X58" s="1556">
        <f t="shared" si="4"/>
        <v>7124000000</v>
      </c>
      <c r="Y58" s="1556">
        <f t="shared" si="4"/>
        <v>5961000000</v>
      </c>
      <c r="Z58" s="1556">
        <f t="shared" si="4"/>
        <v>6358000000</v>
      </c>
    </row>
    <row r="59" spans="1:26">
      <c r="A59" s="58"/>
      <c r="B59" s="58" t="s">
        <v>4583</v>
      </c>
      <c r="C59" s="58"/>
      <c r="D59" s="28"/>
      <c r="G59" s="277"/>
      <c r="H59" s="125">
        <v>-530000000</v>
      </c>
      <c r="I59" s="319">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69">
        <v>-1431000000</v>
      </c>
      <c r="U59" s="269">
        <v>1116000000</v>
      </c>
      <c r="V59" s="269">
        <v>-1574000000</v>
      </c>
      <c r="W59" s="269">
        <v>713000000</v>
      </c>
      <c r="X59" s="269">
        <v>1541000000</v>
      </c>
      <c r="Y59" s="267">
        <v>64000000</v>
      </c>
      <c r="Z59" s="267">
        <v>18000000</v>
      </c>
    </row>
    <row r="60" spans="1:26">
      <c r="A60" s="64"/>
      <c r="B60" s="64" t="s">
        <v>4584</v>
      </c>
      <c r="C60" s="27"/>
      <c r="D60" s="28"/>
      <c r="G60" s="277"/>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69">
        <v>-451000000</v>
      </c>
      <c r="U60" s="269">
        <v>1268000000</v>
      </c>
      <c r="V60" s="269">
        <v>-1380000000</v>
      </c>
      <c r="W60" s="269">
        <v>713000000</v>
      </c>
      <c r="X60" s="269">
        <v>1541000000</v>
      </c>
      <c r="Y60" s="267">
        <v>64000000</v>
      </c>
      <c r="Z60" s="267">
        <v>18000000</v>
      </c>
    </row>
    <row r="61" spans="1:26">
      <c r="A61" s="65" t="s">
        <v>4585</v>
      </c>
      <c r="B61" s="65" t="s">
        <v>4586</v>
      </c>
      <c r="C61" s="58" t="s">
        <v>124</v>
      </c>
      <c r="D61" s="28"/>
      <c r="G61" s="277"/>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69">
        <v>-127000000</v>
      </c>
      <c r="U61" s="269">
        <v>2305000000</v>
      </c>
      <c r="V61" s="269">
        <v>87000000</v>
      </c>
      <c r="W61" s="269">
        <v>3128000000</v>
      </c>
      <c r="X61" s="269">
        <v>3804000000</v>
      </c>
      <c r="Y61" s="267">
        <v>2072000000</v>
      </c>
      <c r="Z61" s="267">
        <v>1693000000</v>
      </c>
    </row>
    <row r="62" spans="1:26">
      <c r="A62" s="65" t="s">
        <v>4587</v>
      </c>
      <c r="B62" s="65" t="s">
        <v>4588</v>
      </c>
      <c r="C62" s="58" t="s">
        <v>264</v>
      </c>
      <c r="D62" s="28"/>
      <c r="G62" s="277"/>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69">
        <v>-710000000</v>
      </c>
      <c r="U62" s="269">
        <v>-1481000000</v>
      </c>
      <c r="V62" s="269">
        <v>-2210000000</v>
      </c>
      <c r="W62" s="269">
        <v>-2530000000</v>
      </c>
      <c r="X62" s="269">
        <v>-2299000000</v>
      </c>
      <c r="Y62" s="267">
        <v>-2158000000</v>
      </c>
      <c r="Z62" s="267">
        <v>-1825000000</v>
      </c>
    </row>
    <row r="63" spans="1:26">
      <c r="A63" s="221" t="s">
        <v>858</v>
      </c>
      <c r="B63" s="221" t="s">
        <v>858</v>
      </c>
      <c r="C63" s="58" t="s">
        <v>124</v>
      </c>
      <c r="D63" s="28"/>
      <c r="G63" s="277"/>
      <c r="H63" s="125">
        <v>23000000</v>
      </c>
      <c r="I63" s="125">
        <v>34000000</v>
      </c>
      <c r="J63" s="125">
        <v>168000000</v>
      </c>
      <c r="K63" s="125">
        <v>200000000</v>
      </c>
      <c r="L63" s="210">
        <v>936000000</v>
      </c>
      <c r="M63" s="210">
        <v>72000000</v>
      </c>
      <c r="N63" s="210">
        <v>98000000</v>
      </c>
      <c r="O63" s="210">
        <v>136000000</v>
      </c>
      <c r="P63" s="210">
        <v>132000000</v>
      </c>
      <c r="Q63" s="210">
        <v>93000000</v>
      </c>
      <c r="R63" s="887">
        <f>R64</f>
        <v>191000000</v>
      </c>
      <c r="S63" s="887">
        <f t="shared" ref="S63:Z63" si="5">S64</f>
        <v>35000000</v>
      </c>
      <c r="T63" s="887">
        <f t="shared" si="5"/>
        <v>279000000</v>
      </c>
      <c r="U63" s="887">
        <f t="shared" si="5"/>
        <v>64000000</v>
      </c>
      <c r="V63" s="887">
        <f t="shared" si="5"/>
        <v>261000000</v>
      </c>
      <c r="W63" s="887">
        <f t="shared" si="5"/>
        <v>115000000</v>
      </c>
      <c r="X63" s="887">
        <f t="shared" si="5"/>
        <v>36000000</v>
      </c>
      <c r="Y63" s="887">
        <f t="shared" si="5"/>
        <v>150000000</v>
      </c>
      <c r="Z63" s="887">
        <f t="shared" si="5"/>
        <v>150000000</v>
      </c>
    </row>
    <row r="64" spans="1:26">
      <c r="A64" s="221"/>
      <c r="B64" s="1743" t="s">
        <v>4589</v>
      </c>
      <c r="C64" s="58"/>
      <c r="D64" s="28"/>
      <c r="G64" s="277"/>
      <c r="H64" s="125"/>
      <c r="I64" s="125"/>
      <c r="J64" s="125"/>
      <c r="K64" s="125"/>
      <c r="L64" s="210"/>
      <c r="M64" s="210"/>
      <c r="N64" s="210"/>
      <c r="O64" s="210"/>
      <c r="P64" s="210"/>
      <c r="Q64" s="210"/>
      <c r="R64" s="210">
        <v>191000000</v>
      </c>
      <c r="S64" s="210">
        <v>35000000</v>
      </c>
      <c r="T64" s="269">
        <v>279000000</v>
      </c>
      <c r="U64" s="269">
        <v>64000000</v>
      </c>
      <c r="V64" s="269">
        <v>261000000</v>
      </c>
      <c r="W64" s="269">
        <v>115000000</v>
      </c>
      <c r="X64" s="269">
        <v>36000000</v>
      </c>
      <c r="Y64" s="267">
        <v>150000000</v>
      </c>
      <c r="Z64" s="267">
        <v>150000000</v>
      </c>
    </row>
    <row r="65" spans="1:26">
      <c r="A65" s="221"/>
      <c r="B65" s="1743" t="s">
        <v>4590</v>
      </c>
      <c r="C65" s="58"/>
      <c r="D65" s="28"/>
      <c r="G65" s="277"/>
      <c r="H65" s="125"/>
      <c r="I65" s="125"/>
      <c r="J65" s="125"/>
      <c r="K65" s="125"/>
      <c r="L65" s="210"/>
      <c r="M65" s="210"/>
      <c r="N65" s="210"/>
      <c r="O65" s="210"/>
      <c r="P65" s="210"/>
      <c r="Q65" s="210"/>
      <c r="R65" s="210">
        <v>236000000</v>
      </c>
      <c r="S65" s="210">
        <v>19000000</v>
      </c>
      <c r="T65" s="269">
        <v>18000000</v>
      </c>
      <c r="U65" s="269">
        <v>7000000</v>
      </c>
      <c r="V65" s="269">
        <v>2000000</v>
      </c>
      <c r="W65" s="269">
        <v>0</v>
      </c>
      <c r="X65" s="269">
        <v>0</v>
      </c>
      <c r="Y65" s="267">
        <v>0</v>
      </c>
      <c r="Z65" s="267">
        <v>0</v>
      </c>
    </row>
    <row r="66" spans="1:26">
      <c r="A66" s="64" t="s">
        <v>4010</v>
      </c>
      <c r="B66" s="64" t="s">
        <v>4591</v>
      </c>
      <c r="C66" s="58" t="s">
        <v>124</v>
      </c>
      <c r="D66" s="28"/>
      <c r="G66" s="277"/>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69">
        <v>-794000000</v>
      </c>
      <c r="U66" s="269">
        <v>-372000000</v>
      </c>
      <c r="V66" s="269">
        <v>-194000000</v>
      </c>
      <c r="W66" s="269">
        <v>0</v>
      </c>
      <c r="X66" s="269">
        <v>0</v>
      </c>
      <c r="Y66" s="267">
        <v>0</v>
      </c>
      <c r="Z66" s="267">
        <v>0</v>
      </c>
    </row>
    <row r="67" spans="1:26">
      <c r="A67" s="64" t="s">
        <v>4572</v>
      </c>
      <c r="B67" s="64" t="s">
        <v>4573</v>
      </c>
      <c r="C67" s="58" t="s">
        <v>124</v>
      </c>
      <c r="D67" s="28"/>
      <c r="G67" s="277"/>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69">
        <v>-96000000</v>
      </c>
      <c r="U67" s="269">
        <v>126000000</v>
      </c>
      <c r="V67" s="269">
        <v>0</v>
      </c>
      <c r="W67" s="269">
        <v>0</v>
      </c>
      <c r="X67" s="269">
        <v>0</v>
      </c>
      <c r="Y67" s="267">
        <v>0</v>
      </c>
      <c r="Z67" s="267">
        <v>0</v>
      </c>
    </row>
    <row r="68" spans="1:26">
      <c r="A68" s="64" t="s">
        <v>4566</v>
      </c>
      <c r="B68" s="64" t="s">
        <v>4567</v>
      </c>
      <c r="C68" s="58" t="s">
        <v>124</v>
      </c>
      <c r="D68" s="28"/>
      <c r="G68" s="277"/>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69">
        <v>-91000000</v>
      </c>
      <c r="U68" s="269">
        <v>93000000</v>
      </c>
      <c r="V68" s="269">
        <v>0</v>
      </c>
      <c r="W68" s="269">
        <v>0</v>
      </c>
      <c r="X68" s="269">
        <v>0</v>
      </c>
      <c r="Y68" s="267">
        <v>0</v>
      </c>
      <c r="Z68" s="267">
        <v>0</v>
      </c>
    </row>
    <row r="69" spans="1:26">
      <c r="A69" s="695" t="s">
        <v>50</v>
      </c>
      <c r="B69" s="695" t="s">
        <v>50</v>
      </c>
      <c r="C69" s="633" t="s">
        <v>124</v>
      </c>
      <c r="D69" s="28"/>
      <c r="G69" s="277"/>
      <c r="H69" s="125"/>
      <c r="I69" s="125"/>
      <c r="J69" s="125"/>
      <c r="K69" s="125"/>
      <c r="L69" s="210"/>
      <c r="M69" s="210"/>
      <c r="N69" s="210"/>
      <c r="O69" s="210"/>
      <c r="P69" s="210"/>
      <c r="Q69" s="210"/>
      <c r="R69" s="210">
        <v>259000000</v>
      </c>
      <c r="S69" s="210">
        <v>518000000</v>
      </c>
      <c r="T69" s="269">
        <v>108000000</v>
      </c>
      <c r="U69" s="269">
        <v>380000000</v>
      </c>
      <c r="V69" s="269">
        <v>482000000</v>
      </c>
      <c r="W69" s="269">
        <v>0</v>
      </c>
      <c r="X69" s="269">
        <v>0</v>
      </c>
      <c r="Y69" s="267">
        <v>0</v>
      </c>
      <c r="Z69" s="267">
        <v>0</v>
      </c>
    </row>
    <row r="70" spans="1:26">
      <c r="A70" s="58" t="s">
        <v>1253</v>
      </c>
      <c r="B70" s="58" t="s">
        <v>2509</v>
      </c>
      <c r="C70" s="58" t="s">
        <v>264</v>
      </c>
      <c r="D70" s="28"/>
      <c r="G70" s="277"/>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69">
        <v>1538000000</v>
      </c>
      <c r="U70" s="269">
        <v>1196000000</v>
      </c>
      <c r="V70" s="269">
        <v>4063000000</v>
      </c>
      <c r="W70" s="269">
        <v>5017000000</v>
      </c>
      <c r="X70" s="269">
        <v>5583000000</v>
      </c>
      <c r="Y70" s="267">
        <v>5897000000</v>
      </c>
      <c r="Z70" s="267">
        <v>6340000000</v>
      </c>
    </row>
    <row r="71" spans="1:26">
      <c r="A71" s="58" t="s">
        <v>2299</v>
      </c>
      <c r="B71" s="58" t="s">
        <v>2299</v>
      </c>
      <c r="C71" s="58" t="s">
        <v>252</v>
      </c>
      <c r="D71" s="28"/>
      <c r="G71" s="277"/>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7"/>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4592</v>
      </c>
      <c r="C73" s="58"/>
      <c r="D73" s="28"/>
      <c r="G73" s="277"/>
      <c r="H73" s="21"/>
      <c r="I73" s="21"/>
      <c r="J73" s="21"/>
      <c r="K73" s="21"/>
      <c r="L73" s="21"/>
      <c r="M73" s="21"/>
      <c r="N73" s="21"/>
      <c r="O73" s="21"/>
      <c r="P73" s="21"/>
      <c r="Q73" s="21"/>
      <c r="R73" s="21">
        <v>0</v>
      </c>
      <c r="S73" s="21">
        <v>0</v>
      </c>
      <c r="T73" s="267">
        <v>0</v>
      </c>
      <c r="U73" s="267">
        <v>0</v>
      </c>
      <c r="V73" s="267">
        <v>0</v>
      </c>
      <c r="W73" s="267">
        <v>0</v>
      </c>
      <c r="X73" s="269">
        <v>0</v>
      </c>
      <c r="Y73" s="267">
        <v>0</v>
      </c>
      <c r="Z73" s="267">
        <v>0</v>
      </c>
    </row>
    <row r="74" spans="1:26">
      <c r="A74" s="58"/>
      <c r="B74" s="65" t="s">
        <v>4593</v>
      </c>
      <c r="C74" s="58"/>
      <c r="D74" s="28"/>
      <c r="G74" s="277"/>
      <c r="H74" s="21"/>
      <c r="I74" s="21"/>
      <c r="J74" s="21"/>
      <c r="K74" s="21"/>
      <c r="L74" s="21"/>
      <c r="M74" s="21"/>
      <c r="N74" s="21"/>
      <c r="O74" s="21"/>
      <c r="P74" s="21"/>
      <c r="Q74" s="21"/>
      <c r="R74" s="277">
        <v>0</v>
      </c>
      <c r="S74" s="495">
        <v>0</v>
      </c>
      <c r="T74" s="268">
        <v>13341000000</v>
      </c>
      <c r="U74" s="268">
        <v>0</v>
      </c>
      <c r="V74" s="268">
        <v>0</v>
      </c>
      <c r="W74" s="268">
        <v>0</v>
      </c>
      <c r="X74" s="268">
        <v>0</v>
      </c>
      <c r="Y74" s="267">
        <v>0</v>
      </c>
      <c r="Z74" s="267">
        <v>0</v>
      </c>
    </row>
    <row r="75" spans="1:26">
      <c r="A75" s="65"/>
      <c r="B75" s="655" t="s">
        <v>2606</v>
      </c>
      <c r="C75" s="58"/>
      <c r="D75" s="28"/>
      <c r="G75" s="277"/>
      <c r="H75" s="21"/>
      <c r="I75" s="21"/>
      <c r="J75" s="21"/>
      <c r="K75" s="21"/>
      <c r="L75" s="21"/>
      <c r="M75" s="21"/>
      <c r="N75" s="21"/>
      <c r="O75" s="21"/>
      <c r="P75" s="21"/>
      <c r="Q75" s="21"/>
      <c r="R75" s="277">
        <v>0</v>
      </c>
      <c r="S75" s="495">
        <v>0</v>
      </c>
      <c r="T75" s="268">
        <v>2719000000</v>
      </c>
      <c r="U75" s="268">
        <v>2356000000</v>
      </c>
      <c r="V75" s="268">
        <v>2775000000</v>
      </c>
      <c r="W75" s="268">
        <v>1015000000</v>
      </c>
      <c r="X75" s="268">
        <v>0</v>
      </c>
      <c r="Y75" s="267">
        <v>0</v>
      </c>
      <c r="Z75" s="267">
        <v>0</v>
      </c>
    </row>
    <row r="76" spans="1:26">
      <c r="A76" s="65"/>
      <c r="B76" s="655" t="s">
        <v>4594</v>
      </c>
      <c r="C76" s="58"/>
      <c r="D76" s="28"/>
      <c r="G76" s="277"/>
      <c r="H76" s="21"/>
      <c r="I76" s="21"/>
      <c r="J76" s="21"/>
      <c r="K76" s="21"/>
      <c r="L76" s="21"/>
      <c r="M76" s="21"/>
      <c r="N76" s="21"/>
      <c r="O76" s="21"/>
      <c r="P76" s="21"/>
      <c r="Q76" s="21"/>
      <c r="R76" s="277"/>
      <c r="S76" s="495"/>
      <c r="T76" s="268">
        <v>889000000</v>
      </c>
      <c r="U76" s="268">
        <v>0</v>
      </c>
      <c r="V76" s="268">
        <v>1061000000</v>
      </c>
      <c r="W76" s="268">
        <v>540000000</v>
      </c>
      <c r="X76" s="268">
        <v>0</v>
      </c>
      <c r="Y76" s="267">
        <v>0</v>
      </c>
      <c r="Z76" s="267">
        <v>0</v>
      </c>
    </row>
    <row r="77" spans="1:26">
      <c r="A77" s="65"/>
      <c r="B77" s="655" t="s">
        <v>273</v>
      </c>
      <c r="C77" s="58"/>
      <c r="D77" s="28"/>
      <c r="G77" s="277"/>
      <c r="H77" s="21"/>
      <c r="I77" s="21"/>
      <c r="J77" s="21"/>
      <c r="K77" s="21"/>
      <c r="L77" s="21"/>
      <c r="M77" s="21"/>
      <c r="N77" s="21"/>
      <c r="O77" s="21"/>
      <c r="P77" s="21"/>
      <c r="Q77" s="21"/>
      <c r="R77" s="277">
        <v>0</v>
      </c>
      <c r="S77" s="495">
        <v>0</v>
      </c>
      <c r="T77" s="268">
        <v>480000000</v>
      </c>
      <c r="U77" s="268">
        <v>490000000</v>
      </c>
      <c r="V77" s="268">
        <v>473000000</v>
      </c>
      <c r="W77" s="268">
        <v>482000000</v>
      </c>
      <c r="X77" s="268">
        <v>0</v>
      </c>
      <c r="Y77" s="267">
        <v>0</v>
      </c>
      <c r="Z77" s="267">
        <v>0</v>
      </c>
    </row>
    <row r="78" spans="1:26">
      <c r="A78" s="65"/>
      <c r="B78" s="655" t="s">
        <v>3577</v>
      </c>
      <c r="C78" s="58"/>
      <c r="D78" s="28"/>
      <c r="G78" s="277"/>
      <c r="H78" s="21"/>
      <c r="I78" s="21"/>
      <c r="J78" s="21"/>
      <c r="K78" s="21"/>
      <c r="L78" s="21"/>
      <c r="M78" s="21"/>
      <c r="N78" s="21"/>
      <c r="O78" s="21"/>
      <c r="P78" s="21"/>
      <c r="Q78" s="21"/>
      <c r="R78" s="277"/>
      <c r="S78" s="495"/>
      <c r="T78" s="268">
        <v>1350000000</v>
      </c>
      <c r="U78" s="268">
        <v>1866000000</v>
      </c>
      <c r="V78" s="268">
        <v>1241000000</v>
      </c>
      <c r="W78" s="268">
        <v>-8000000</v>
      </c>
      <c r="X78" s="268">
        <v>0</v>
      </c>
      <c r="Y78" s="267">
        <v>0</v>
      </c>
      <c r="Z78" s="267">
        <v>0</v>
      </c>
    </row>
    <row r="79" spans="1:26">
      <c r="A79" s="64"/>
      <c r="B79" s="64"/>
      <c r="C79" s="34"/>
      <c r="D79" s="28"/>
      <c r="G79" s="277"/>
      <c r="H79" s="21"/>
      <c r="I79" s="21"/>
      <c r="J79" s="21"/>
      <c r="K79" s="21"/>
      <c r="L79" s="21"/>
      <c r="M79" s="21"/>
      <c r="N79" s="21"/>
      <c r="O79" s="21"/>
      <c r="P79" s="21"/>
      <c r="Q79" s="21"/>
      <c r="R79" s="21"/>
      <c r="S79" s="21"/>
      <c r="T79" s="21"/>
      <c r="U79" s="21"/>
      <c r="V79" s="21"/>
      <c r="W79" s="21"/>
      <c r="X79" s="28"/>
    </row>
    <row r="80" spans="1:26">
      <c r="B80" s="64"/>
      <c r="C80" s="34"/>
      <c r="D80" s="28"/>
      <c r="G80" s="277"/>
      <c r="H80" t="s">
        <v>139</v>
      </c>
      <c r="I80" t="s">
        <v>139</v>
      </c>
      <c r="J80" t="s">
        <v>139</v>
      </c>
      <c r="K80" t="s">
        <v>139</v>
      </c>
      <c r="L80" s="277"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7"/>
    </row>
    <row r="82" spans="2:26">
      <c r="B82" t="s">
        <v>2430</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4595</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3209</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742">
        <f t="shared" si="18"/>
        <v>9960000000</v>
      </c>
      <c r="S89" s="1742">
        <f t="shared" si="18"/>
        <v>10151000000</v>
      </c>
      <c r="T89" s="1742">
        <f t="shared" si="18"/>
        <v>9498000000</v>
      </c>
      <c r="U89" s="1742">
        <f t="shared" si="18"/>
        <v>11277000000</v>
      </c>
      <c r="V89" s="1742">
        <f t="shared" si="18"/>
        <v>11645000000</v>
      </c>
      <c r="W89" s="1742">
        <f t="shared" si="18"/>
        <v>12568000000</v>
      </c>
      <c r="X89" s="1742">
        <f t="shared" si="18"/>
        <v>13566000000</v>
      </c>
      <c r="Y89" s="1742">
        <f t="shared" si="18"/>
        <v>14800000000</v>
      </c>
      <c r="Z89" s="1742">
        <f t="shared" si="18"/>
        <v>16146000000</v>
      </c>
    </row>
    <row r="90" spans="2:26">
      <c r="B90" t="s">
        <v>936</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1961</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4596</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742">
        <f t="shared" si="21"/>
        <v>13562000000</v>
      </c>
      <c r="S92" s="1742">
        <f t="shared" si="21"/>
        <v>14777000000</v>
      </c>
      <c r="T92" s="1742">
        <f t="shared" si="21"/>
        <v>16399000000</v>
      </c>
      <c r="U92" s="1742">
        <f t="shared" si="21"/>
        <v>18116000000</v>
      </c>
      <c r="V92" s="1742">
        <f t="shared" si="21"/>
        <v>19494000000</v>
      </c>
      <c r="W92" s="1742">
        <f t="shared" si="21"/>
        <v>18725000000</v>
      </c>
      <c r="X92" s="1742">
        <f t="shared" si="21"/>
        <v>20941000000</v>
      </c>
      <c r="Y92" s="1742">
        <f t="shared" si="21"/>
        <v>22594000000</v>
      </c>
      <c r="Z92" s="1742">
        <f t="shared" si="21"/>
        <v>24812000000</v>
      </c>
    </row>
    <row r="93" spans="2:26">
      <c r="B93" t="s">
        <v>876</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742">
        <f t="shared" si="22"/>
        <v>4819000000</v>
      </c>
      <c r="S93" s="1742">
        <f t="shared" si="22"/>
        <v>5443000000</v>
      </c>
      <c r="T93" s="1742">
        <f t="shared" si="22"/>
        <v>5000000000</v>
      </c>
      <c r="U93" s="1742">
        <f t="shared" si="22"/>
        <v>7341000000</v>
      </c>
      <c r="V93" s="1742">
        <f t="shared" si="22"/>
        <v>7975000000</v>
      </c>
      <c r="W93" s="1742">
        <f t="shared" si="22"/>
        <v>10248000000</v>
      </c>
      <c r="X93" s="1742">
        <f t="shared" si="22"/>
        <v>10900000000</v>
      </c>
      <c r="Y93" s="1742">
        <f t="shared" si="22"/>
        <v>10759000000</v>
      </c>
      <c r="Z93" s="1742">
        <f t="shared" si="22"/>
        <v>11673000000</v>
      </c>
    </row>
    <row r="94" spans="2:26">
      <c r="B94" t="s">
        <v>4597</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1363</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3">
        <v>111800000000</v>
      </c>
      <c r="S99" s="273">
        <v>119800000000</v>
      </c>
      <c r="T99" s="273">
        <v>133800000000.00002</v>
      </c>
      <c r="U99" s="273">
        <v>146800000000</v>
      </c>
      <c r="V99" s="273">
        <v>160100000000</v>
      </c>
      <c r="W99" s="273">
        <v>175400000000</v>
      </c>
      <c r="X99" s="273">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t="b">
        <f t="shared" si="32"/>
        <v>0</v>
      </c>
      <c r="I103" t="b">
        <f t="shared" si="32"/>
        <v>0</v>
      </c>
      <c r="J103" t="b">
        <f t="shared" si="32"/>
        <v>0</v>
      </c>
      <c r="K103" t="b">
        <f t="shared" si="32"/>
        <v>0</v>
      </c>
      <c r="L103" t="b">
        <f t="shared" si="32"/>
        <v>0</v>
      </c>
      <c r="M103" t="b">
        <f t="shared" si="32"/>
        <v>0</v>
      </c>
      <c r="N103" t="b">
        <f t="shared" si="32"/>
        <v>0</v>
      </c>
      <c r="O103" t="b">
        <f t="shared" si="32"/>
        <v>0</v>
      </c>
      <c r="P103" t="b">
        <f t="shared" si="32"/>
        <v>0</v>
      </c>
      <c r="Q103" t="b">
        <f t="shared" si="32"/>
        <v>0</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Q6" activePane="bottomRight" state="frozen"/>
      <selection pane="topRight" activeCell="R7" sqref="R7"/>
      <selection pane="bottomLeft" activeCell="R7" sqref="R7"/>
      <selection pane="bottomRight" activeCell="U36" sqref="U36"/>
    </sheetView>
  </sheetViews>
  <sheetFormatPr defaultRowHeight="15.75"/>
  <cols>
    <col min="1" max="1" width="43.5703125" style="972" bestFit="1" customWidth="1"/>
    <col min="2" max="2" width="63.28515625" style="972" bestFit="1" customWidth="1"/>
    <col min="3" max="3" width="22.42578125" style="972" bestFit="1" customWidth="1"/>
    <col min="4" max="6" width="20.7109375" style="972" bestFit="1" customWidth="1"/>
    <col min="7" max="7" width="22.42578125" style="972" bestFit="1" customWidth="1"/>
    <col min="8" max="14" width="20.7109375" style="972" bestFit="1" customWidth="1"/>
    <col min="15" max="16" width="22" style="972" bestFit="1" customWidth="1"/>
    <col min="17" max="17" width="24.7109375" style="972" bestFit="1" customWidth="1"/>
    <col min="18" max="18" width="25" style="972" bestFit="1" customWidth="1"/>
    <col min="19" max="19" width="24.7109375" style="972" bestFit="1" customWidth="1"/>
    <col min="20" max="20" width="25" style="972" bestFit="1" customWidth="1"/>
    <col min="21" max="22" width="25.140625" style="972" bestFit="1" customWidth="1"/>
    <col min="23" max="27" width="26.42578125" style="972" bestFit="1" customWidth="1"/>
    <col min="28" max="30" width="8.85546875" style="972"/>
    <col min="31" max="33" width="8.85546875"/>
  </cols>
  <sheetData>
    <row r="1" spans="1:56">
      <c r="A1" s="966" t="s">
        <v>4598</v>
      </c>
      <c r="B1" s="1086" t="s">
        <v>4599</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527"/>
      <c r="AF1" s="527"/>
      <c r="AG1" s="527"/>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87" t="s">
        <v>4600</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527"/>
      <c r="AF2" s="527"/>
      <c r="AG2" s="527"/>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007">
        <v>2021</v>
      </c>
      <c r="Z3" s="969">
        <v>2022</v>
      </c>
      <c r="AA3" s="1007">
        <v>2023</v>
      </c>
      <c r="AB3" s="1007"/>
      <c r="AC3" s="1007"/>
      <c r="AD3" s="1007"/>
      <c r="AE3" s="527"/>
      <c r="AF3" s="527"/>
      <c r="AG3" s="527"/>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t="s">
        <v>1137</v>
      </c>
      <c r="AB4" s="1007"/>
      <c r="AC4" s="1007"/>
      <c r="AD4" s="1007"/>
      <c r="AE4" s="527"/>
      <c r="AF4" s="527"/>
      <c r="AG4" s="527"/>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369</v>
      </c>
      <c r="S5" s="969" t="s">
        <v>30</v>
      </c>
      <c r="T5" s="969" t="s">
        <v>7073</v>
      </c>
      <c r="U5" s="969" t="s">
        <v>32</v>
      </c>
      <c r="V5" s="969" t="s">
        <v>32</v>
      </c>
      <c r="W5" s="969" t="s">
        <v>32</v>
      </c>
      <c r="X5" s="969" t="s">
        <v>32</v>
      </c>
      <c r="Y5" s="969" t="s">
        <v>32</v>
      </c>
      <c r="Z5" s="969" t="s">
        <v>32</v>
      </c>
      <c r="AA5" s="969" t="s">
        <v>32</v>
      </c>
      <c r="AB5" s="1007"/>
      <c r="AC5" s="1007"/>
      <c r="AD5" s="1007"/>
      <c r="AE5" s="527"/>
      <c r="AF5" s="527"/>
      <c r="AG5" s="527"/>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c r="A6" s="1012" t="s">
        <v>33</v>
      </c>
      <c r="B6" s="1012" t="s">
        <v>1412</v>
      </c>
      <c r="C6" s="1013" t="s">
        <v>35</v>
      </c>
      <c r="D6" s="1055">
        <f t="shared" ref="D6:J6" si="0">D7+D21</f>
        <v>352539400000</v>
      </c>
      <c r="E6" s="1055">
        <f t="shared" si="0"/>
        <v>428390399999.99994</v>
      </c>
      <c r="F6" s="1055">
        <f t="shared" si="0"/>
        <v>476796700000</v>
      </c>
      <c r="G6" s="1055">
        <f t="shared" si="0"/>
        <v>555698000000</v>
      </c>
      <c r="H6" s="1055">
        <f t="shared" si="0"/>
        <v>714464000000</v>
      </c>
      <c r="I6" s="1055">
        <f t="shared" si="0"/>
        <v>834000000000</v>
      </c>
      <c r="J6" s="1055">
        <f t="shared" si="0"/>
        <v>1363405000000</v>
      </c>
      <c r="K6" s="1055">
        <v>1881399999999.9998</v>
      </c>
      <c r="L6" s="1055">
        <v>2170000000000</v>
      </c>
      <c r="M6" s="1054">
        <v>1994000000000</v>
      </c>
      <c r="N6" s="1054">
        <v>3122000000000</v>
      </c>
      <c r="O6" s="1085">
        <v>4468000000000</v>
      </c>
      <c r="P6" s="1085">
        <v>4976000000000</v>
      </c>
      <c r="Q6" s="1085">
        <v>5984000000000</v>
      </c>
      <c r="R6" s="1085">
        <v>6122000000000</v>
      </c>
      <c r="S6" s="1016">
        <f>S7+S21</f>
        <v>5806000000000</v>
      </c>
      <c r="T6" s="1085">
        <v>5635000000000</v>
      </c>
      <c r="U6" s="1069">
        <v>7922000000000</v>
      </c>
      <c r="V6" s="1069">
        <v>8281000000000</v>
      </c>
      <c r="W6" s="1069">
        <v>9388000000000</v>
      </c>
      <c r="X6" s="1069">
        <v>10372000000000</v>
      </c>
      <c r="Y6" s="1018">
        <v>11513000000000</v>
      </c>
      <c r="Z6" s="1018">
        <v>13090000000000</v>
      </c>
      <c r="AA6" s="1018">
        <v>14701000000000</v>
      </c>
      <c r="AB6" s="1066"/>
      <c r="AC6" s="1066"/>
      <c r="AD6" s="1066"/>
      <c r="AE6" s="1088"/>
      <c r="AF6" s="1088"/>
      <c r="AG6" s="1088"/>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981" t="s">
        <v>36</v>
      </c>
      <c r="B7" s="981" t="s">
        <v>2392</v>
      </c>
      <c r="C7" s="982" t="s">
        <v>38</v>
      </c>
      <c r="D7" s="1052">
        <f t="shared" ref="D7:J7" si="1">D10+D20</f>
        <v>347444900000</v>
      </c>
      <c r="E7" s="1052">
        <f t="shared" si="1"/>
        <v>419465599999.99994</v>
      </c>
      <c r="F7" s="1052">
        <f t="shared" si="1"/>
        <v>469327300000</v>
      </c>
      <c r="G7" s="1052">
        <f t="shared" si="1"/>
        <v>546854000000</v>
      </c>
      <c r="H7" s="1052">
        <f t="shared" si="1"/>
        <v>708008000000</v>
      </c>
      <c r="I7" s="1052">
        <f t="shared" si="1"/>
        <v>828440000000</v>
      </c>
      <c r="J7" s="1052">
        <f t="shared" si="1"/>
        <v>1355975000000</v>
      </c>
      <c r="K7" s="1050">
        <v>1858399999999.9998</v>
      </c>
      <c r="L7" s="1050">
        <v>2151000000000</v>
      </c>
      <c r="M7" s="1048">
        <v>1973000000000</v>
      </c>
      <c r="N7" s="1048">
        <v>3078000000000</v>
      </c>
      <c r="O7" s="1076">
        <v>4455000000000</v>
      </c>
      <c r="P7" s="1076">
        <v>4941000000000</v>
      </c>
      <c r="Q7" s="1076">
        <v>5980000000000</v>
      </c>
      <c r="R7" s="1076">
        <v>6120000000000</v>
      </c>
      <c r="S7" s="978">
        <f>S10+S20</f>
        <v>5752000000000</v>
      </c>
      <c r="T7" s="1076">
        <v>5556000000000</v>
      </c>
      <c r="U7" s="1076">
        <v>7868000000000</v>
      </c>
      <c r="V7" s="1076">
        <v>8170000000000</v>
      </c>
      <c r="W7" s="1076">
        <v>9263000000000</v>
      </c>
      <c r="X7" s="1076">
        <v>10235000000000</v>
      </c>
      <c r="Y7" s="1008">
        <v>11360000000000</v>
      </c>
      <c r="Z7" s="1008">
        <v>12916000000000</v>
      </c>
      <c r="AA7" s="1008">
        <v>14505000000000</v>
      </c>
      <c r="AB7" s="1007"/>
      <c r="AC7" s="1007"/>
      <c r="AD7" s="1007"/>
      <c r="AE7" s="527"/>
      <c r="AF7" s="527"/>
      <c r="AG7" s="527"/>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972" t="s">
        <v>76</v>
      </c>
      <c r="B8" s="988" t="s">
        <v>4601</v>
      </c>
      <c r="C8" s="975"/>
      <c r="D8" s="1050"/>
      <c r="E8" s="1050"/>
      <c r="F8" s="1050">
        <v>22408200000.000004</v>
      </c>
      <c r="G8" s="1050">
        <v>41272000000</v>
      </c>
      <c r="H8" s="1050">
        <v>79624000000</v>
      </c>
      <c r="I8" s="1050">
        <v>111200000000</v>
      </c>
      <c r="J8" s="1050"/>
      <c r="K8" s="1050"/>
      <c r="L8" s="1050"/>
      <c r="M8" s="1048"/>
      <c r="N8" s="1048"/>
      <c r="O8" s="1076"/>
      <c r="P8" s="1076"/>
      <c r="Q8" s="1076"/>
      <c r="R8" s="1076"/>
      <c r="S8" s="978"/>
      <c r="T8" s="1076"/>
      <c r="U8" s="1076"/>
      <c r="V8" s="1076"/>
      <c r="W8" s="1076"/>
      <c r="X8" s="1076"/>
      <c r="Y8" s="1008"/>
      <c r="Z8" s="1008"/>
      <c r="AA8" s="1008"/>
      <c r="AB8" s="1007"/>
      <c r="AC8" s="1007"/>
      <c r="AD8" s="1007"/>
      <c r="AE8" s="527"/>
      <c r="AF8" s="527"/>
      <c r="AG8" s="527"/>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972" t="s">
        <v>76</v>
      </c>
      <c r="B9" s="988" t="s">
        <v>4602</v>
      </c>
      <c r="C9" s="975"/>
      <c r="D9" s="1050"/>
      <c r="E9" s="1050"/>
      <c r="F9" s="1050">
        <v>446919100000</v>
      </c>
      <c r="G9" s="1050">
        <v>504108000000.00006</v>
      </c>
      <c r="H9" s="1050">
        <v>626232000000</v>
      </c>
      <c r="I9" s="1050">
        <v>722800000000.00012</v>
      </c>
      <c r="J9" s="1050"/>
      <c r="K9" s="1050"/>
      <c r="L9" s="1050"/>
      <c r="M9" s="1048"/>
      <c r="N9" s="1048"/>
      <c r="O9" s="1076"/>
      <c r="P9" s="1076"/>
      <c r="Q9" s="1076"/>
      <c r="R9" s="1076"/>
      <c r="S9" s="978"/>
      <c r="T9" s="1076"/>
      <c r="U9" s="1076"/>
      <c r="V9" s="1076"/>
      <c r="W9" s="1076"/>
      <c r="X9" s="1076"/>
      <c r="Y9" s="1008"/>
      <c r="Z9" s="1008"/>
      <c r="AA9" s="1008"/>
      <c r="AB9" s="1007"/>
      <c r="AC9" s="1007"/>
      <c r="AD9" s="1007"/>
      <c r="AE9" s="527"/>
      <c r="AF9" s="527"/>
      <c r="AG9" s="527"/>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988" t="s">
        <v>4603</v>
      </c>
      <c r="B10" s="988" t="s">
        <v>4604</v>
      </c>
      <c r="C10" s="981" t="s">
        <v>41</v>
      </c>
      <c r="D10" s="1052">
        <f>D11+D15+D16+D17+D18+D19</f>
        <v>261857300000</v>
      </c>
      <c r="E10" s="1050">
        <v>327986399999.99994</v>
      </c>
      <c r="F10" s="1052">
        <f>F11+F15+F16+F17+F18+F19</f>
        <v>358531200000</v>
      </c>
      <c r="G10" s="1052">
        <f>G11+G15+G16+G17+G18+G19</f>
        <v>423038000000</v>
      </c>
      <c r="H10" s="1052">
        <f>H11+H15+H16+H17+H18+H19</f>
        <v>585344000000</v>
      </c>
      <c r="I10" s="1052">
        <f>I11+I15+I16+I17+I18+I19</f>
        <v>686660000000</v>
      </c>
      <c r="J10" s="1052">
        <f>J11+J15+J16+J17+J18+J19</f>
        <v>1129360000000</v>
      </c>
      <c r="K10" s="1050">
        <v>1504200000000</v>
      </c>
      <c r="L10" s="1050">
        <v>1891000000000</v>
      </c>
      <c r="M10" s="1048">
        <v>1621000000000</v>
      </c>
      <c r="N10" s="1048">
        <v>2688000000000</v>
      </c>
      <c r="O10" s="1076">
        <v>3909000000000</v>
      </c>
      <c r="P10" s="1076">
        <v>4291000000000</v>
      </c>
      <c r="Q10" s="1076">
        <v>5120000000000</v>
      </c>
      <c r="R10" s="1076">
        <v>5248000000000</v>
      </c>
      <c r="S10" s="1076">
        <f>S11+S15+S16+S17+S18+S19</f>
        <v>5121000000000</v>
      </c>
      <c r="T10" s="1076">
        <v>4875000000000</v>
      </c>
      <c r="U10" s="1076">
        <v>6986000000000</v>
      </c>
      <c r="V10" s="1076">
        <v>7337000000000</v>
      </c>
      <c r="W10" s="1076">
        <v>8340000000000</v>
      </c>
      <c r="X10" s="1076">
        <v>9226000000000</v>
      </c>
      <c r="Y10" s="1008">
        <v>10243000000000</v>
      </c>
      <c r="Z10" s="1008">
        <v>11637000000000</v>
      </c>
      <c r="AA10" s="1008">
        <v>13070000000000</v>
      </c>
      <c r="AB10" s="1007"/>
      <c r="AC10" s="1007"/>
      <c r="AD10" s="1007"/>
      <c r="AE10" s="527"/>
      <c r="AF10" s="527"/>
      <c r="AG10" s="527"/>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997" t="s">
        <v>628</v>
      </c>
      <c r="B11" s="997" t="s">
        <v>4605</v>
      </c>
      <c r="C11" s="968" t="s">
        <v>44</v>
      </c>
      <c r="D11" s="1050">
        <v>63171800000.000008</v>
      </c>
      <c r="E11" s="1050">
        <v>64704799999.999992</v>
      </c>
      <c r="F11" s="1050">
        <v>72204200000</v>
      </c>
      <c r="G11" s="1052">
        <f>G12+G13+G14</f>
        <v>98758000000</v>
      </c>
      <c r="H11" s="1052">
        <f>H12+H13+H14</f>
        <v>144184000000</v>
      </c>
      <c r="I11" s="1052">
        <f>I12+I13+I14</f>
        <v>177920000000</v>
      </c>
      <c r="J11" s="1052">
        <f>J12+J13+J14</f>
        <v>479235000000</v>
      </c>
      <c r="K11" s="1050">
        <v>648600000000</v>
      </c>
      <c r="L11" s="1050">
        <v>755000000000</v>
      </c>
      <c r="M11" s="1048">
        <v>520000000000</v>
      </c>
      <c r="N11" s="1048">
        <v>975000000000</v>
      </c>
      <c r="O11" s="1076">
        <v>919000000000</v>
      </c>
      <c r="P11" s="1076">
        <v>895000000000</v>
      </c>
      <c r="Q11" s="1076">
        <v>1117000000000</v>
      </c>
      <c r="R11" s="1076">
        <v>1098000000000</v>
      </c>
      <c r="S11" s="1076">
        <f>S12+S13</f>
        <v>1170000000000</v>
      </c>
      <c r="T11" s="1076">
        <v>1043000000000</v>
      </c>
      <c r="U11" s="1076">
        <v>1610000000000</v>
      </c>
      <c r="V11" s="1076">
        <v>1510000000000</v>
      </c>
      <c r="W11" s="1076">
        <v>1858000000000</v>
      </c>
      <c r="X11" s="1076">
        <v>2165000000000</v>
      </c>
      <c r="Y11" s="1008">
        <v>2450000000000</v>
      </c>
      <c r="Z11" s="1008">
        <v>2769000000000</v>
      </c>
      <c r="AA11" s="1008">
        <v>3093000000000</v>
      </c>
      <c r="AB11" s="1007"/>
      <c r="AC11" s="1007"/>
      <c r="AD11" s="1007"/>
      <c r="AE11" s="527"/>
      <c r="AF11" s="527"/>
      <c r="AG11" s="527"/>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997" t="s">
        <v>4606</v>
      </c>
      <c r="B12" s="997" t="s">
        <v>4607</v>
      </c>
      <c r="C12" s="968" t="s">
        <v>4608</v>
      </c>
      <c r="D12" s="1050">
        <v>47888300000</v>
      </c>
      <c r="E12" s="1050">
        <v>43508399999.999992</v>
      </c>
      <c r="F12" s="1050">
        <v>46061300000.000008</v>
      </c>
      <c r="G12" s="1050">
        <v>69278000000</v>
      </c>
      <c r="H12" s="1050">
        <v>98991999999.999985</v>
      </c>
      <c r="I12" s="1050">
        <v>119539999999.99998</v>
      </c>
      <c r="J12" s="1050">
        <v>222899999999.99997</v>
      </c>
      <c r="K12" s="1050"/>
      <c r="L12" s="1050"/>
      <c r="M12" s="1048"/>
      <c r="N12" s="1048"/>
      <c r="O12" s="1076"/>
      <c r="P12" s="1076"/>
      <c r="Q12" s="1076"/>
      <c r="R12" s="1076"/>
      <c r="S12" s="1076">
        <v>688000000000</v>
      </c>
      <c r="T12" s="1076">
        <v>520000000000</v>
      </c>
      <c r="U12" s="1076">
        <v>962000000000</v>
      </c>
      <c r="V12" s="1076">
        <v>863000000000</v>
      </c>
      <c r="W12" s="1076">
        <v>1128000000000</v>
      </c>
      <c r="X12" s="1076">
        <v>1353000000000</v>
      </c>
      <c r="Y12" s="1008">
        <v>1538000000000</v>
      </c>
      <c r="Z12" s="1008">
        <v>1741000000000</v>
      </c>
      <c r="AA12" s="1008">
        <v>1928000000000</v>
      </c>
      <c r="AB12" s="1007"/>
      <c r="AC12" s="1007"/>
      <c r="AD12" s="1007"/>
      <c r="AE12" s="527"/>
      <c r="AF12" s="527"/>
      <c r="AG12" s="527"/>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997" t="s">
        <v>170</v>
      </c>
      <c r="B13" s="997" t="s">
        <v>4609</v>
      </c>
      <c r="C13" s="968" t="s">
        <v>4608</v>
      </c>
      <c r="D13" s="1050">
        <v>15283500000</v>
      </c>
      <c r="E13" s="1050">
        <v>21196399999.999996</v>
      </c>
      <c r="F13" s="1050">
        <v>26142900000.000004</v>
      </c>
      <c r="G13" s="1050">
        <v>29480000000</v>
      </c>
      <c r="H13" s="1050">
        <v>45192000000</v>
      </c>
      <c r="I13" s="1050">
        <v>58380000000</v>
      </c>
      <c r="J13" s="1050">
        <v>78015000000</v>
      </c>
      <c r="K13" s="1050"/>
      <c r="L13" s="1050"/>
      <c r="M13" s="1048"/>
      <c r="N13" s="1048"/>
      <c r="O13" s="1076"/>
      <c r="P13" s="1076"/>
      <c r="Q13" s="1076"/>
      <c r="R13" s="1076"/>
      <c r="S13" s="1076">
        <v>482000000000</v>
      </c>
      <c r="T13" s="1076">
        <v>523000000000</v>
      </c>
      <c r="U13" s="1076">
        <v>648000000000</v>
      </c>
      <c r="V13" s="1076">
        <v>647000000000</v>
      </c>
      <c r="W13" s="1076">
        <v>731000000000</v>
      </c>
      <c r="X13" s="1076">
        <v>812000000000</v>
      </c>
      <c r="Y13" s="1008">
        <v>912000000000</v>
      </c>
      <c r="Z13" s="1008">
        <v>1028000000000</v>
      </c>
      <c r="AA13" s="1008">
        <v>1166000000000</v>
      </c>
      <c r="AB13" s="1007"/>
      <c r="AC13" s="1007"/>
      <c r="AD13" s="1007"/>
      <c r="AE13" s="527"/>
      <c r="AF13" s="527"/>
      <c r="AG13" s="527"/>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c r="A14" s="997" t="s">
        <v>4610</v>
      </c>
      <c r="B14" s="997" t="s">
        <v>4611</v>
      </c>
      <c r="C14" s="968" t="s">
        <v>4608</v>
      </c>
      <c r="D14" s="1050"/>
      <c r="E14" s="1050"/>
      <c r="F14" s="1050">
        <v>0</v>
      </c>
      <c r="G14" s="1050">
        <v>0</v>
      </c>
      <c r="H14" s="1050">
        <v>0</v>
      </c>
      <c r="I14" s="1050">
        <v>0</v>
      </c>
      <c r="J14" s="1050">
        <v>178320000000</v>
      </c>
      <c r="K14" s="1050"/>
      <c r="L14" s="1050"/>
      <c r="M14" s="1048"/>
      <c r="N14" s="1048"/>
      <c r="O14" s="1076"/>
      <c r="P14" s="1076"/>
      <c r="Q14" s="1076"/>
      <c r="R14" s="1076"/>
      <c r="S14" s="1076"/>
      <c r="T14" s="1076"/>
      <c r="U14" s="1076"/>
      <c r="V14" s="1076"/>
      <c r="W14" s="1076"/>
      <c r="X14" s="1076"/>
      <c r="Y14" s="1008"/>
      <c r="Z14" s="1008"/>
      <c r="AA14" s="1008"/>
      <c r="AB14" s="1007"/>
      <c r="AC14" s="1007"/>
      <c r="AD14" s="1007"/>
      <c r="AE14" s="527"/>
      <c r="AF14" s="527"/>
      <c r="AG14" s="527"/>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c r="A15" s="997" t="s">
        <v>635</v>
      </c>
      <c r="B15" s="997" t="s">
        <v>4612</v>
      </c>
      <c r="C15" s="968" t="s">
        <v>44</v>
      </c>
      <c r="D15" s="1050">
        <v>39737100000</v>
      </c>
      <c r="E15" s="1050">
        <v>53548799999.999992</v>
      </c>
      <c r="F15" s="1050">
        <v>54775600000.000008</v>
      </c>
      <c r="G15" s="1050">
        <v>64856000000.000008</v>
      </c>
      <c r="H15" s="1050">
        <v>81776000000</v>
      </c>
      <c r="I15" s="1050">
        <v>94520000000</v>
      </c>
      <c r="J15" s="1050">
        <v>111449999999.99998</v>
      </c>
      <c r="K15" s="1050">
        <v>161000000000</v>
      </c>
      <c r="L15" s="1050">
        <v>229000000000</v>
      </c>
      <c r="M15" s="1048">
        <v>264000000000</v>
      </c>
      <c r="N15" s="1048">
        <v>331000000000</v>
      </c>
      <c r="O15" s="1076">
        <v>473000000000</v>
      </c>
      <c r="P15" s="1076">
        <v>674000000000</v>
      </c>
      <c r="Q15" s="1076">
        <v>874000000000</v>
      </c>
      <c r="R15" s="1076">
        <v>971000000000</v>
      </c>
      <c r="S15" s="1076">
        <v>1018000000000</v>
      </c>
      <c r="T15" s="1076">
        <v>1034000000000</v>
      </c>
      <c r="U15" s="1076">
        <v>1314000000000</v>
      </c>
      <c r="V15" s="1076">
        <v>1481000000000</v>
      </c>
      <c r="W15" s="1076">
        <v>1640000000000</v>
      </c>
      <c r="X15" s="1076">
        <v>1782000000000</v>
      </c>
      <c r="Y15" s="1008">
        <v>2010000000000</v>
      </c>
      <c r="Z15" s="1008">
        <v>2276000000000</v>
      </c>
      <c r="AA15" s="1008">
        <v>2557000000000</v>
      </c>
      <c r="AB15" s="1007"/>
      <c r="AC15" s="1007"/>
      <c r="AD15" s="1007"/>
      <c r="AE15" s="527"/>
      <c r="AF15" s="527"/>
      <c r="AG15" s="527"/>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997" t="s">
        <v>4613</v>
      </c>
      <c r="B16" s="997" t="s">
        <v>4614</v>
      </c>
      <c r="C16" s="968" t="s">
        <v>44</v>
      </c>
      <c r="D16" s="1050">
        <v>76417500000</v>
      </c>
      <c r="E16" s="1050">
        <v>103750800000</v>
      </c>
      <c r="F16" s="1050">
        <v>118265500000.00002</v>
      </c>
      <c r="G16" s="1050">
        <v>122342000000.00002</v>
      </c>
      <c r="H16" s="1050">
        <v>163552000000</v>
      </c>
      <c r="I16" s="1050">
        <v>180700000000.00003</v>
      </c>
      <c r="J16" s="1050">
        <v>241475000000</v>
      </c>
      <c r="K16" s="1050">
        <v>266800000000</v>
      </c>
      <c r="L16" s="1050">
        <v>368000000000</v>
      </c>
      <c r="M16" s="1048">
        <v>326000000000</v>
      </c>
      <c r="N16" s="1048">
        <v>579000000000</v>
      </c>
      <c r="O16" s="1076">
        <v>1114000000000</v>
      </c>
      <c r="P16" s="1076">
        <v>1297000000000</v>
      </c>
      <c r="Q16" s="1076">
        <v>1435000000000</v>
      </c>
      <c r="R16" s="1076">
        <v>1371000000000</v>
      </c>
      <c r="S16" s="1076">
        <v>1050000000000</v>
      </c>
      <c r="T16" s="1076">
        <v>1141000000000</v>
      </c>
      <c r="U16" s="1076">
        <v>1619000000000</v>
      </c>
      <c r="V16" s="1076">
        <v>1682000000000</v>
      </c>
      <c r="W16" s="1076">
        <v>1866000000000</v>
      </c>
      <c r="X16" s="1076">
        <v>2036000000000</v>
      </c>
      <c r="Y16" s="1008">
        <v>2247000000000</v>
      </c>
      <c r="Z16" s="1008">
        <v>2556000000000</v>
      </c>
      <c r="AA16" s="1008">
        <v>2900000000000</v>
      </c>
      <c r="AB16" s="1007"/>
      <c r="AC16" s="1007"/>
      <c r="AD16" s="1007"/>
      <c r="AE16" s="527"/>
      <c r="AF16" s="527"/>
      <c r="AG16" s="527"/>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997" t="s">
        <v>641</v>
      </c>
      <c r="B17" s="997" t="s">
        <v>4615</v>
      </c>
      <c r="C17" s="968" t="s">
        <v>44</v>
      </c>
      <c r="D17" s="1050">
        <v>40756000000</v>
      </c>
      <c r="E17" s="1050">
        <v>53548799999.999992</v>
      </c>
      <c r="F17" s="1050">
        <v>51040900000</v>
      </c>
      <c r="G17" s="1050">
        <v>58960000000</v>
      </c>
      <c r="H17" s="1050">
        <v>71015999999.999985</v>
      </c>
      <c r="I17" s="1050">
        <v>77840000000</v>
      </c>
      <c r="J17" s="1050">
        <v>100305000000</v>
      </c>
      <c r="K17" s="1050">
        <v>133400000000</v>
      </c>
      <c r="L17" s="1050">
        <v>178000000000</v>
      </c>
      <c r="M17" s="1048">
        <v>167000000000</v>
      </c>
      <c r="N17" s="1048">
        <v>269000000000</v>
      </c>
      <c r="O17" s="1076">
        <v>294000000000</v>
      </c>
      <c r="P17" s="1076">
        <v>312000000000</v>
      </c>
      <c r="Q17" s="1076">
        <v>449000000000</v>
      </c>
      <c r="R17" s="1076">
        <v>454000000000</v>
      </c>
      <c r="S17" s="1076">
        <v>592000000000</v>
      </c>
      <c r="T17" s="1076">
        <v>630000000000</v>
      </c>
      <c r="U17" s="1076">
        <v>520000000000</v>
      </c>
      <c r="V17" s="1076">
        <v>645000000000</v>
      </c>
      <c r="W17" s="1076">
        <v>794000000000</v>
      </c>
      <c r="X17" s="1076">
        <v>880000000000</v>
      </c>
      <c r="Y17" s="1008">
        <v>939000000000</v>
      </c>
      <c r="Z17" s="1008">
        <v>1078000000000</v>
      </c>
      <c r="AA17" s="1008">
        <v>1203000000000</v>
      </c>
      <c r="AB17" s="1007"/>
      <c r="AC17" s="1007"/>
      <c r="AD17" s="1007"/>
      <c r="AE17" s="527"/>
      <c r="AF17" s="527"/>
      <c r="AG17" s="527"/>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7" t="s">
        <v>4616</v>
      </c>
      <c r="B18" s="997" t="s">
        <v>4617</v>
      </c>
      <c r="C18" s="968" t="s">
        <v>44</v>
      </c>
      <c r="D18" s="1050">
        <v>22415800000</v>
      </c>
      <c r="E18" s="1050">
        <v>26774399999.999996</v>
      </c>
      <c r="F18" s="1050">
        <v>24898000000.000004</v>
      </c>
      <c r="G18" s="1050">
        <v>32428000000.000004</v>
      </c>
      <c r="H18" s="1050">
        <v>45192000000</v>
      </c>
      <c r="I18" s="1050">
        <v>55600000000</v>
      </c>
      <c r="J18" s="1050">
        <v>70585000000</v>
      </c>
      <c r="K18" s="1050">
        <v>101200000000</v>
      </c>
      <c r="L18" s="1050">
        <v>141000000000</v>
      </c>
      <c r="M18" s="1048">
        <v>116000000000</v>
      </c>
      <c r="N18" s="1048">
        <v>193000000000</v>
      </c>
      <c r="O18" s="1076">
        <v>337000000000</v>
      </c>
      <c r="P18" s="1076">
        <v>327000000000</v>
      </c>
      <c r="Q18" s="1076">
        <v>381000000000</v>
      </c>
      <c r="R18" s="1076">
        <v>355000000000</v>
      </c>
      <c r="S18" s="1076">
        <v>321000000000</v>
      </c>
      <c r="T18" s="1076">
        <v>328000000000</v>
      </c>
      <c r="U18" s="1076">
        <v>512000000000</v>
      </c>
      <c r="V18" s="1076">
        <v>568000000000</v>
      </c>
      <c r="W18" s="1076">
        <v>612000000000</v>
      </c>
      <c r="X18" s="1076">
        <v>626000000000</v>
      </c>
      <c r="Y18" s="1008">
        <v>664000000000</v>
      </c>
      <c r="Z18" s="1008">
        <v>741000000000</v>
      </c>
      <c r="AA18" s="1008">
        <v>850000000000</v>
      </c>
      <c r="AB18" s="1007"/>
      <c r="AC18" s="1007"/>
      <c r="AD18" s="1007"/>
      <c r="AE18" s="527"/>
      <c r="AF18" s="527"/>
      <c r="AG18" s="527"/>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s="997" t="s">
        <v>49</v>
      </c>
      <c r="B19" s="997" t="s">
        <v>4082</v>
      </c>
      <c r="C19" s="968" t="s">
        <v>44</v>
      </c>
      <c r="D19" s="1050">
        <v>19359099999.999996</v>
      </c>
      <c r="E19" s="1050">
        <v>25658799999.999996</v>
      </c>
      <c r="F19" s="1050">
        <v>37347000000.000008</v>
      </c>
      <c r="G19" s="1050">
        <v>45694000000</v>
      </c>
      <c r="H19" s="1050">
        <v>79624000000</v>
      </c>
      <c r="I19" s="1050">
        <v>100080000000</v>
      </c>
      <c r="J19" s="1050">
        <v>126309999999.99998</v>
      </c>
      <c r="K19" s="1050">
        <v>193200000000.00003</v>
      </c>
      <c r="L19" s="1050">
        <v>219000000000</v>
      </c>
      <c r="M19" s="1048">
        <v>228000000000</v>
      </c>
      <c r="N19" s="1048">
        <v>341000000000</v>
      </c>
      <c r="O19" s="1076">
        <v>772000000000</v>
      </c>
      <c r="P19" s="1076">
        <v>786000000000</v>
      </c>
      <c r="Q19" s="1076">
        <v>863000000000</v>
      </c>
      <c r="R19" s="1076">
        <v>998000000000</v>
      </c>
      <c r="S19" s="1076">
        <v>970000000000</v>
      </c>
      <c r="T19" s="1076">
        <v>698000000000</v>
      </c>
      <c r="U19" s="1076">
        <v>1411000000000</v>
      </c>
      <c r="V19" s="1076">
        <v>1452000000000</v>
      </c>
      <c r="W19" s="1076">
        <v>1569000000000</v>
      </c>
      <c r="X19" s="1076">
        <v>1738000000000</v>
      </c>
      <c r="Y19" s="1008">
        <v>1933000000000</v>
      </c>
      <c r="Z19" s="1008">
        <v>2216000000000</v>
      </c>
      <c r="AA19" s="1008">
        <v>2466000000000</v>
      </c>
      <c r="AB19" s="1007"/>
      <c r="AC19" s="1007"/>
      <c r="AD19" s="1007"/>
      <c r="AE19" s="527"/>
      <c r="AF19" s="527"/>
      <c r="AG19" s="527"/>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88" t="s">
        <v>188</v>
      </c>
      <c r="B20" s="988" t="s">
        <v>1424</v>
      </c>
      <c r="C20" s="981" t="s">
        <v>41</v>
      </c>
      <c r="D20" s="1050">
        <v>85587600000.000015</v>
      </c>
      <c r="E20" s="1050">
        <v>91479199999.999985</v>
      </c>
      <c r="F20" s="1050">
        <v>110796100000.00003</v>
      </c>
      <c r="G20" s="1050">
        <v>123816000000</v>
      </c>
      <c r="H20" s="1050">
        <v>122664000000</v>
      </c>
      <c r="I20" s="1050">
        <v>141780000000</v>
      </c>
      <c r="J20" s="1050">
        <v>226614999999.99997</v>
      </c>
      <c r="K20" s="1050">
        <v>354200000000</v>
      </c>
      <c r="L20" s="1050">
        <v>260000000000</v>
      </c>
      <c r="M20" s="1048">
        <v>352000000000</v>
      </c>
      <c r="N20" s="1048">
        <v>390000000000</v>
      </c>
      <c r="O20" s="1076">
        <v>545000000000</v>
      </c>
      <c r="P20" s="1076">
        <v>650000000000</v>
      </c>
      <c r="Q20" s="1076">
        <v>861000000000</v>
      </c>
      <c r="R20" s="1076">
        <v>872000000000</v>
      </c>
      <c r="S20" s="1076">
        <v>631000000000</v>
      </c>
      <c r="T20" s="1076">
        <v>682000000000</v>
      </c>
      <c r="U20" s="1076">
        <v>882000000000</v>
      </c>
      <c r="V20" s="1076">
        <v>833000000000</v>
      </c>
      <c r="W20" s="1076">
        <v>924000000000</v>
      </c>
      <c r="X20" s="1076">
        <v>1009000000000</v>
      </c>
      <c r="Y20" s="1008">
        <v>1118000000000</v>
      </c>
      <c r="Z20" s="1008">
        <v>1279000000000</v>
      </c>
      <c r="AA20" s="1008">
        <v>1435000000000</v>
      </c>
      <c r="AB20" s="1007"/>
      <c r="AC20" s="1007"/>
      <c r="AD20" s="1007"/>
      <c r="AE20" s="527"/>
      <c r="AF20" s="527"/>
      <c r="AG20" s="527"/>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81" t="s">
        <v>53</v>
      </c>
      <c r="B21" s="981" t="s">
        <v>4618</v>
      </c>
      <c r="C21" s="982" t="s">
        <v>38</v>
      </c>
      <c r="D21" s="1050">
        <v>5094500000</v>
      </c>
      <c r="E21" s="1050">
        <v>8924800000</v>
      </c>
      <c r="F21" s="1050">
        <v>7469400000</v>
      </c>
      <c r="G21" s="1050">
        <v>8844000000</v>
      </c>
      <c r="H21" s="1050">
        <v>6455999999.999999</v>
      </c>
      <c r="I21" s="1050">
        <v>5560000000.000001</v>
      </c>
      <c r="J21" s="1050">
        <v>7430000000</v>
      </c>
      <c r="K21" s="1050">
        <v>23000000000</v>
      </c>
      <c r="L21" s="1050">
        <v>19000000000</v>
      </c>
      <c r="M21" s="1048">
        <v>21000000000</v>
      </c>
      <c r="N21" s="1048">
        <v>44000000000</v>
      </c>
      <c r="O21" s="1076">
        <v>14000000000</v>
      </c>
      <c r="P21" s="1076">
        <v>35000000000</v>
      </c>
      <c r="Q21" s="1076">
        <v>3000000000</v>
      </c>
      <c r="R21" s="1076">
        <v>2000000000</v>
      </c>
      <c r="S21" s="1076">
        <v>54000000000</v>
      </c>
      <c r="T21" s="1076">
        <v>78000000000</v>
      </c>
      <c r="U21" s="1076">
        <v>54000000000</v>
      </c>
      <c r="V21" s="1076">
        <v>111000000000</v>
      </c>
      <c r="W21" s="1076">
        <v>124000000000</v>
      </c>
      <c r="X21" s="1076">
        <v>137000000000</v>
      </c>
      <c r="Y21" s="1008">
        <v>153000000000</v>
      </c>
      <c r="Z21" s="1008">
        <v>174000000000</v>
      </c>
      <c r="AA21" s="1008">
        <v>196000000000</v>
      </c>
      <c r="AB21" s="1007"/>
      <c r="AC21" s="1007"/>
      <c r="AD21" s="1007"/>
      <c r="AE21" s="527"/>
      <c r="AF21" s="527"/>
      <c r="AG21" s="527"/>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s="848" customFormat="1">
      <c r="A22" s="1013" t="s">
        <v>76</v>
      </c>
      <c r="B22" s="1012" t="s">
        <v>4619</v>
      </c>
      <c r="C22" s="1013"/>
      <c r="D22" s="1055">
        <v>422843500000</v>
      </c>
      <c r="E22" s="1055">
        <v>489748399999.99994</v>
      </c>
      <c r="F22" s="1055">
        <v>550245800000.00012</v>
      </c>
      <c r="G22" s="1055">
        <v>616132000000</v>
      </c>
      <c r="H22" s="1055">
        <v>753199999999.99988</v>
      </c>
      <c r="I22" s="1055">
        <v>764500000000</v>
      </c>
      <c r="J22" s="1084">
        <v>1058774999999.9999</v>
      </c>
      <c r="K22" s="1055">
        <v>1748000000000</v>
      </c>
      <c r="L22" s="1055">
        <v>2467000000000</v>
      </c>
      <c r="M22" s="1054">
        <v>2337000000000</v>
      </c>
      <c r="N22" s="1054">
        <v>3081000000000</v>
      </c>
      <c r="O22" s="1085">
        <v>4997000000000</v>
      </c>
      <c r="P22" s="1085">
        <v>6493000000000</v>
      </c>
      <c r="Q22" s="1085">
        <v>7689000000000</v>
      </c>
      <c r="R22" s="1085">
        <v>8518000000000</v>
      </c>
      <c r="S22" s="1016"/>
      <c r="T22" s="1085">
        <v>9699000000000</v>
      </c>
      <c r="U22" s="1069">
        <v>8448000000000</v>
      </c>
      <c r="V22" s="1069">
        <v>9895000000000</v>
      </c>
      <c r="W22" s="1069">
        <v>10847000000000</v>
      </c>
      <c r="X22" s="1069">
        <v>11151000000000</v>
      </c>
      <c r="Y22" s="1018">
        <v>11909000000000</v>
      </c>
      <c r="Z22" s="1018">
        <v>13492000000000</v>
      </c>
      <c r="AA22" s="1018">
        <v>15076000000000</v>
      </c>
      <c r="AB22" s="1066"/>
      <c r="AC22" s="1066"/>
      <c r="AD22" s="1066"/>
      <c r="AE22" s="1088"/>
      <c r="AF22" s="1088"/>
      <c r="AG22" s="1088"/>
      <c r="AH22" s="916"/>
      <c r="AI22" s="916"/>
      <c r="AJ22" s="916"/>
      <c r="AK22" s="916"/>
      <c r="AL22" s="916"/>
      <c r="AM22" s="916"/>
      <c r="AN22" s="916"/>
      <c r="AO22" s="916"/>
      <c r="AP22" s="916"/>
      <c r="AQ22" s="916"/>
      <c r="AR22" s="916"/>
      <c r="AS22" s="916"/>
      <c r="AT22" s="916"/>
      <c r="AU22" s="916"/>
      <c r="AV22" s="916"/>
      <c r="AW22" s="916"/>
      <c r="AX22" s="916"/>
      <c r="AY22" s="916"/>
      <c r="AZ22" s="916"/>
      <c r="BA22" s="916"/>
      <c r="BB22" s="916"/>
      <c r="BC22" s="916"/>
      <c r="BD22" s="916"/>
    </row>
    <row r="23" spans="1:56" s="848" customFormat="1">
      <c r="A23" s="1012" t="s">
        <v>198</v>
      </c>
      <c r="B23" s="1012" t="s">
        <v>198</v>
      </c>
      <c r="C23" s="1013" t="s">
        <v>35</v>
      </c>
      <c r="D23" s="1055">
        <f t="shared" ref="D23:N23" si="2">D24+D32+D36</f>
        <v>421824600000.00006</v>
      </c>
      <c r="E23" s="1055">
        <f t="shared" si="2"/>
        <v>489748399999.99994</v>
      </c>
      <c r="F23" s="1055">
        <f t="shared" si="2"/>
        <v>550245800000.00012</v>
      </c>
      <c r="G23" s="1055">
        <f t="shared" si="2"/>
        <v>616132000000</v>
      </c>
      <c r="H23" s="1055">
        <f t="shared" si="2"/>
        <v>751048000000</v>
      </c>
      <c r="I23" s="1055">
        <f t="shared" si="2"/>
        <v>764500000000</v>
      </c>
      <c r="J23" s="1055">
        <f t="shared" si="2"/>
        <v>1058775000000</v>
      </c>
      <c r="K23" s="1055">
        <f t="shared" si="2"/>
        <v>1743400000000</v>
      </c>
      <c r="L23" s="1055">
        <f t="shared" si="2"/>
        <v>2466000000000</v>
      </c>
      <c r="M23" s="1055">
        <f t="shared" si="2"/>
        <v>2337000000000</v>
      </c>
      <c r="N23" s="1055">
        <f t="shared" si="2"/>
        <v>3081000000000</v>
      </c>
      <c r="O23" s="1055">
        <f t="shared" ref="O23:AA23" si="3">O24+O32+O36</f>
        <v>4997000000000</v>
      </c>
      <c r="P23" s="1055">
        <f t="shared" si="3"/>
        <v>6493000000000</v>
      </c>
      <c r="Q23" s="1055">
        <f t="shared" si="3"/>
        <v>7689000000000</v>
      </c>
      <c r="R23" s="1055">
        <f t="shared" si="3"/>
        <v>8519000000000</v>
      </c>
      <c r="S23" s="1055">
        <f>S24+S32+S36</f>
        <v>7781000000000</v>
      </c>
      <c r="T23" s="1055">
        <f t="shared" si="3"/>
        <v>9699000000000</v>
      </c>
      <c r="U23" s="1055">
        <f t="shared" si="3"/>
        <v>8594000000000</v>
      </c>
      <c r="V23" s="1055">
        <f t="shared" si="3"/>
        <v>9894000000000</v>
      </c>
      <c r="W23" s="1055">
        <f t="shared" si="3"/>
        <v>10847000000000</v>
      </c>
      <c r="X23" s="1055">
        <f t="shared" si="3"/>
        <v>11151000000000</v>
      </c>
      <c r="Y23" s="1055">
        <f t="shared" si="3"/>
        <v>11910000000000</v>
      </c>
      <c r="Z23" s="1055">
        <f t="shared" si="3"/>
        <v>13492000000000</v>
      </c>
      <c r="AA23" s="1055">
        <f t="shared" si="3"/>
        <v>15077000000000</v>
      </c>
      <c r="AB23" s="1066"/>
      <c r="AC23" s="1066"/>
      <c r="AD23" s="1066"/>
      <c r="AE23" s="1088"/>
      <c r="AF23" s="1088"/>
      <c r="AG23" s="1088"/>
      <c r="AH23" s="916"/>
      <c r="AI23" s="916"/>
      <c r="AJ23" s="916"/>
      <c r="AK23" s="916"/>
      <c r="AL23" s="916"/>
      <c r="AM23" s="916"/>
      <c r="AN23" s="916"/>
      <c r="AO23" s="916"/>
      <c r="AP23" s="916"/>
      <c r="AQ23" s="916"/>
      <c r="AR23" s="916"/>
      <c r="AS23" s="916"/>
      <c r="AT23" s="916"/>
      <c r="AU23" s="916"/>
      <c r="AV23" s="916"/>
      <c r="AW23" s="916"/>
      <c r="AX23" s="916"/>
      <c r="AY23" s="916"/>
      <c r="AZ23" s="916"/>
      <c r="BA23" s="916"/>
      <c r="BB23" s="916"/>
      <c r="BC23" s="916"/>
      <c r="BD23" s="916"/>
    </row>
    <row r="24" spans="1:56">
      <c r="A24" s="981" t="s">
        <v>4620</v>
      </c>
      <c r="B24" s="981" t="s">
        <v>4621</v>
      </c>
      <c r="C24" s="981" t="s">
        <v>201</v>
      </c>
      <c r="D24" s="1050">
        <v>313821200000.00006</v>
      </c>
      <c r="E24" s="1050">
        <v>367032399999.99994</v>
      </c>
      <c r="F24" s="1052">
        <f>F25+F26+F27+F28+F29+F30</f>
        <v>414551700000.00006</v>
      </c>
      <c r="G24" s="1050">
        <v>434830000000</v>
      </c>
      <c r="H24" s="1050">
        <v>538000000000</v>
      </c>
      <c r="I24" s="1052">
        <f>I25+I26+I27+I28+I29+I30</f>
        <v>597700000000</v>
      </c>
      <c r="J24" s="1077">
        <v>806155000000</v>
      </c>
      <c r="K24" s="1052">
        <f>K25+K26+K27+K28+K29+K30</f>
        <v>1205200000000</v>
      </c>
      <c r="L24" s="1050">
        <v>1761000000000</v>
      </c>
      <c r="M24" s="1048">
        <v>1788000000000</v>
      </c>
      <c r="N24" s="1048">
        <v>2257000000000</v>
      </c>
      <c r="O24" s="1076">
        <v>3236000000000</v>
      </c>
      <c r="P24" s="1076">
        <v>4428000000000</v>
      </c>
      <c r="Q24" s="1076">
        <v>4553000000000</v>
      </c>
      <c r="R24" s="1076">
        <v>5227000000000</v>
      </c>
      <c r="S24" s="978">
        <f>S25+S26+S27+S28+S29</f>
        <v>5655000000000</v>
      </c>
      <c r="T24" s="1076">
        <v>6571000000000</v>
      </c>
      <c r="U24" s="1076">
        <v>6948000000000</v>
      </c>
      <c r="V24" s="1076">
        <v>7440000000000</v>
      </c>
      <c r="W24" s="1076">
        <v>8053000000000</v>
      </c>
      <c r="X24" s="1076">
        <v>8423000000000</v>
      </c>
      <c r="Y24" s="1008">
        <v>9025000000000</v>
      </c>
      <c r="Z24" s="1008">
        <v>10255000000000</v>
      </c>
      <c r="AA24" s="1008">
        <v>11463000000000</v>
      </c>
      <c r="AB24" s="1007"/>
      <c r="AC24" s="1007"/>
      <c r="AD24" s="1007"/>
      <c r="AE24" s="527"/>
      <c r="AF24" s="527"/>
      <c r="AG24" s="527"/>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988" t="s">
        <v>79</v>
      </c>
      <c r="B25" s="988" t="s">
        <v>1432</v>
      </c>
      <c r="C25" s="981" t="s">
        <v>204</v>
      </c>
      <c r="D25" s="1050">
        <v>86606500000</v>
      </c>
      <c r="E25" s="1050">
        <v>92594799999.999985</v>
      </c>
      <c r="F25" s="1050">
        <v>104571600000.00002</v>
      </c>
      <c r="G25" s="1050">
        <v>116446000000.00002</v>
      </c>
      <c r="H25" s="1050">
        <v>137728000000</v>
      </c>
      <c r="I25" s="1050">
        <v>155680000000</v>
      </c>
      <c r="J25" s="1077">
        <v>196894999999.99997</v>
      </c>
      <c r="K25" s="1050">
        <v>294400000000.00006</v>
      </c>
      <c r="L25" s="1050">
        <v>544000000000</v>
      </c>
      <c r="M25" s="1048">
        <v>576000000000</v>
      </c>
      <c r="N25" s="1048">
        <v>648000000000</v>
      </c>
      <c r="O25" s="1076">
        <v>802000000000</v>
      </c>
      <c r="P25" s="1076">
        <v>1197000000000</v>
      </c>
      <c r="Q25" s="1076">
        <v>1402000000000</v>
      </c>
      <c r="R25" s="1076">
        <v>1567000000000</v>
      </c>
      <c r="S25" s="1076">
        <v>1710000000000</v>
      </c>
      <c r="T25" s="1076">
        <v>1747000000000</v>
      </c>
      <c r="U25" s="1076">
        <v>1775000000000</v>
      </c>
      <c r="V25" s="1076">
        <v>1853000000000</v>
      </c>
      <c r="W25" s="1076">
        <v>2002000000000</v>
      </c>
      <c r="X25" s="1076">
        <v>2213000000000</v>
      </c>
      <c r="Y25" s="1008">
        <v>2462000000000</v>
      </c>
      <c r="Z25" s="1008">
        <v>2807000000000</v>
      </c>
      <c r="AA25" s="1008">
        <v>3154000000000</v>
      </c>
      <c r="AB25" s="1007"/>
      <c r="AC25" s="1007"/>
      <c r="AD25" s="1007"/>
      <c r="AE25" s="527"/>
      <c r="AF25" s="527"/>
      <c r="AG25" s="527"/>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988" t="s">
        <v>4622</v>
      </c>
      <c r="B26" s="988" t="s">
        <v>1386</v>
      </c>
      <c r="C26" s="981" t="s">
        <v>204</v>
      </c>
      <c r="D26" s="1050">
        <v>124305799999.99998</v>
      </c>
      <c r="E26" s="1050">
        <v>162877599999.99997</v>
      </c>
      <c r="F26" s="1050">
        <v>180510500000.00003</v>
      </c>
      <c r="G26" s="1050">
        <v>175406000000</v>
      </c>
      <c r="H26" s="1050">
        <v>217351999999.99997</v>
      </c>
      <c r="I26" s="1050">
        <v>230740000000.00003</v>
      </c>
      <c r="J26" s="1077">
        <v>319489999999.99994</v>
      </c>
      <c r="K26" s="1050">
        <v>391000000000</v>
      </c>
      <c r="L26" s="1050">
        <v>510000000000</v>
      </c>
      <c r="M26" s="1048">
        <v>394000000000</v>
      </c>
      <c r="N26" s="1048">
        <v>519000000000</v>
      </c>
      <c r="O26" s="1076">
        <v>702000000000</v>
      </c>
      <c r="P26" s="1076">
        <v>855000000000</v>
      </c>
      <c r="Q26" s="1076">
        <v>990000000000</v>
      </c>
      <c r="R26" s="1076">
        <v>1031000000000</v>
      </c>
      <c r="S26" s="1076">
        <v>1092000000000</v>
      </c>
      <c r="T26" s="1076">
        <v>1386000000000</v>
      </c>
      <c r="U26" s="1076">
        <v>1337000000000</v>
      </c>
      <c r="V26" s="1076">
        <v>1455000000000</v>
      </c>
      <c r="W26" s="1076">
        <v>1631000000000</v>
      </c>
      <c r="X26" s="1076">
        <v>1804000000000</v>
      </c>
      <c r="Y26" s="1008">
        <v>2007000000000</v>
      </c>
      <c r="Z26" s="1008">
        <v>2287000000000</v>
      </c>
      <c r="AA26" s="1008">
        <v>2571000000000</v>
      </c>
      <c r="AB26" s="1007"/>
      <c r="AC26" s="1007"/>
      <c r="AD26" s="1007"/>
      <c r="AE26" s="527"/>
      <c r="AF26" s="527"/>
      <c r="AG26" s="527"/>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988" t="s">
        <v>4623</v>
      </c>
      <c r="B27" s="988" t="s">
        <v>4624</v>
      </c>
      <c r="C27" s="981" t="s">
        <v>204</v>
      </c>
      <c r="D27" s="1050">
        <v>0</v>
      </c>
      <c r="E27" s="1050">
        <v>5577999999.999999</v>
      </c>
      <c r="F27" s="1050">
        <v>8714300000</v>
      </c>
      <c r="G27" s="1050">
        <v>8844000000</v>
      </c>
      <c r="H27" s="1050">
        <v>10760000000</v>
      </c>
      <c r="I27" s="1050">
        <v>8340000000</v>
      </c>
      <c r="J27" s="1077">
        <v>11145000000</v>
      </c>
      <c r="K27" s="1050">
        <v>13799999999.999998</v>
      </c>
      <c r="L27" s="1050">
        <v>73000000000</v>
      </c>
      <c r="M27" s="1048">
        <v>36000000000</v>
      </c>
      <c r="N27" s="1048">
        <v>81000000000</v>
      </c>
      <c r="O27" s="1076">
        <v>123000000000</v>
      </c>
      <c r="P27" s="1076">
        <v>127000000000</v>
      </c>
      <c r="Q27" s="1076">
        <v>176000000000</v>
      </c>
      <c r="R27" s="1076">
        <v>178000000000</v>
      </c>
      <c r="S27" s="1076">
        <v>110000000000</v>
      </c>
      <c r="T27" s="1076">
        <v>229000000000</v>
      </c>
      <c r="U27" s="1076">
        <v>261000000000</v>
      </c>
      <c r="V27" s="1076">
        <v>236000000000</v>
      </c>
      <c r="W27" s="1076">
        <v>265000000000</v>
      </c>
      <c r="X27" s="1076">
        <v>283000000000</v>
      </c>
      <c r="Y27" s="1008">
        <v>302000000000</v>
      </c>
      <c r="Z27" s="1008">
        <v>345000000000</v>
      </c>
      <c r="AA27" s="1008">
        <v>387000000000</v>
      </c>
      <c r="AB27" s="1007"/>
      <c r="AC27" s="1007"/>
      <c r="AD27" s="1007"/>
      <c r="AE27" s="527"/>
      <c r="AF27" s="527"/>
      <c r="AG27" s="527"/>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988" t="s">
        <v>389</v>
      </c>
      <c r="B28" s="988" t="s">
        <v>389</v>
      </c>
      <c r="C28" s="981" t="s">
        <v>204</v>
      </c>
      <c r="D28" s="1050">
        <v>84568700000</v>
      </c>
      <c r="E28" s="1050">
        <v>89247999999.999985</v>
      </c>
      <c r="F28" s="1050">
        <v>100836900000.00002</v>
      </c>
      <c r="G28" s="1050">
        <v>116446000000.00002</v>
      </c>
      <c r="H28" s="1050">
        <v>148488000000</v>
      </c>
      <c r="I28" s="1050">
        <v>183480000000</v>
      </c>
      <c r="J28" s="1077">
        <v>260050000000</v>
      </c>
      <c r="K28" s="1050">
        <v>487599999999.99994</v>
      </c>
      <c r="L28" s="1050">
        <v>614000000000</v>
      </c>
      <c r="M28" s="1048">
        <v>753000000000</v>
      </c>
      <c r="N28" s="1048">
        <v>967000000000</v>
      </c>
      <c r="O28" s="1076">
        <v>1572000000000</v>
      </c>
      <c r="P28" s="1076">
        <v>2123000000000</v>
      </c>
      <c r="Q28" s="1076">
        <v>1715000000000</v>
      </c>
      <c r="R28" s="1076">
        <v>1951000000000</v>
      </c>
      <c r="S28" s="1076">
        <v>2075000000000</v>
      </c>
      <c r="T28" s="1076">
        <v>2265000000000</v>
      </c>
      <c r="U28" s="1076">
        <v>2477000000000</v>
      </c>
      <c r="V28" s="1076">
        <v>2758000000000</v>
      </c>
      <c r="W28" s="1076">
        <v>3024000000000</v>
      </c>
      <c r="X28" s="1076">
        <v>3034000000000</v>
      </c>
      <c r="Y28" s="1008">
        <v>3217000000000</v>
      </c>
      <c r="Z28" s="1008">
        <v>3691000000000</v>
      </c>
      <c r="AA28" s="1008">
        <v>4148000000000</v>
      </c>
      <c r="AB28" s="1007"/>
      <c r="AC28" s="1007"/>
      <c r="AD28" s="1007"/>
      <c r="AE28" s="527"/>
      <c r="AF28" s="527"/>
      <c r="AG28" s="527"/>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988" t="s">
        <v>90</v>
      </c>
      <c r="B29" s="988" t="s">
        <v>1729</v>
      </c>
      <c r="C29" s="981" t="s">
        <v>204</v>
      </c>
      <c r="D29" s="1050">
        <v>18340200000</v>
      </c>
      <c r="E29" s="1050">
        <v>16733999999.999998</v>
      </c>
      <c r="F29" s="1050">
        <v>19918400000.000004</v>
      </c>
      <c r="G29" s="1050">
        <v>17688000000</v>
      </c>
      <c r="H29" s="1050">
        <v>23672000000</v>
      </c>
      <c r="I29" s="1050">
        <v>19460000000</v>
      </c>
      <c r="J29" s="1077">
        <v>18575000000</v>
      </c>
      <c r="K29" s="1050">
        <v>18400000000.000004</v>
      </c>
      <c r="L29" s="1050">
        <v>20000000000</v>
      </c>
      <c r="M29" s="1048">
        <v>30000000000</v>
      </c>
      <c r="N29" s="1048">
        <v>42000000000</v>
      </c>
      <c r="O29" s="1076">
        <v>37000000000</v>
      </c>
      <c r="P29" s="1076">
        <v>126000000000</v>
      </c>
      <c r="Q29" s="1076">
        <v>270000000000</v>
      </c>
      <c r="R29" s="1076">
        <v>500000000000</v>
      </c>
      <c r="S29" s="1076">
        <v>668000000000</v>
      </c>
      <c r="T29" s="1076">
        <v>943000000000</v>
      </c>
      <c r="U29" s="1076">
        <v>1098000000000</v>
      </c>
      <c r="V29" s="1076">
        <v>1139000000000</v>
      </c>
      <c r="W29" s="1076">
        <v>1130000000000</v>
      </c>
      <c r="X29" s="1076">
        <v>1088000000000</v>
      </c>
      <c r="Y29" s="1008">
        <v>1036000000000</v>
      </c>
      <c r="Z29" s="1008">
        <v>1125000000000</v>
      </c>
      <c r="AA29" s="1008">
        <v>1202000000000</v>
      </c>
      <c r="AB29" s="1007"/>
      <c r="AC29" s="1007"/>
      <c r="AD29" s="1007"/>
      <c r="AE29" s="527"/>
      <c r="AF29" s="527"/>
      <c r="AG29" s="527"/>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988" t="s">
        <v>4625</v>
      </c>
      <c r="B30" s="988" t="s">
        <v>4626</v>
      </c>
      <c r="C30" s="981" t="s">
        <v>204</v>
      </c>
      <c r="D30" s="1050"/>
      <c r="E30" s="1050"/>
      <c r="F30" s="1050"/>
      <c r="G30" s="1050"/>
      <c r="H30" s="1050"/>
      <c r="I30" s="1050">
        <v>0</v>
      </c>
      <c r="J30" s="1077">
        <v>0</v>
      </c>
      <c r="K30" s="1050"/>
      <c r="L30" s="1050"/>
      <c r="M30" s="1048"/>
      <c r="N30" s="1048"/>
      <c r="O30" s="1076"/>
      <c r="P30" s="1076"/>
      <c r="Q30" s="1076"/>
      <c r="R30" s="1076"/>
      <c r="S30" s="1076"/>
      <c r="T30" s="1076"/>
      <c r="U30" s="1076"/>
      <c r="V30" s="1076"/>
      <c r="W30" s="1076"/>
      <c r="X30" s="1076"/>
      <c r="Y30" s="1008"/>
      <c r="Z30" s="1008"/>
      <c r="AA30" s="1008"/>
      <c r="AB30" s="1007"/>
      <c r="AC30" s="1007"/>
      <c r="AD30" s="1007"/>
      <c r="AE30" s="527"/>
      <c r="AF30" s="527"/>
      <c r="AG30" s="527"/>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972" t="s">
        <v>76</v>
      </c>
      <c r="B31" s="981" t="s">
        <v>2948</v>
      </c>
      <c r="C31" s="975"/>
      <c r="D31" s="1050">
        <v>108003400000</v>
      </c>
      <c r="E31" s="1050">
        <v>122715999999.99998</v>
      </c>
      <c r="F31" s="1050">
        <v>135694100000.00002</v>
      </c>
      <c r="G31" s="1050">
        <v>181302000000.00003</v>
      </c>
      <c r="H31" s="1077">
        <v>213048000000</v>
      </c>
      <c r="I31" s="1077">
        <v>164020000000</v>
      </c>
      <c r="J31" s="1050">
        <v>256334999999.99997</v>
      </c>
      <c r="K31" s="1050">
        <v>542800000000.00006</v>
      </c>
      <c r="L31" s="1050">
        <v>706000000000</v>
      </c>
      <c r="M31" s="1048">
        <v>548000000000</v>
      </c>
      <c r="N31" s="1048">
        <v>824000000000</v>
      </c>
      <c r="O31" s="1076">
        <v>1761000000000</v>
      </c>
      <c r="P31" s="1076">
        <v>2065000000000</v>
      </c>
      <c r="Q31" s="1076">
        <v>3136000000000</v>
      </c>
      <c r="R31" s="1076">
        <v>3292000000000</v>
      </c>
      <c r="S31" s="1076"/>
      <c r="T31" s="1076">
        <v>3128000000000</v>
      </c>
      <c r="U31" s="1076">
        <v>1500000000000</v>
      </c>
      <c r="V31" s="1076">
        <v>2454000000000</v>
      </c>
      <c r="W31" s="1076">
        <v>2793000000000</v>
      </c>
      <c r="X31" s="1076">
        <v>2728000000000</v>
      </c>
      <c r="Y31" s="1008">
        <v>2884000000000</v>
      </c>
      <c r="Z31" s="1008">
        <v>3237000000000</v>
      </c>
      <c r="AA31" s="1008">
        <v>3614000000000</v>
      </c>
      <c r="AB31" s="1007"/>
      <c r="AC31" s="1007"/>
      <c r="AD31" s="1007"/>
      <c r="AE31" s="527"/>
      <c r="AF31" s="527"/>
      <c r="AG31" s="527"/>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981" t="s">
        <v>237</v>
      </c>
      <c r="B32" s="981" t="s">
        <v>1442</v>
      </c>
      <c r="C32" s="981" t="s">
        <v>201</v>
      </c>
      <c r="D32" s="1050">
        <v>51963899999.999992</v>
      </c>
      <c r="E32" s="1050">
        <v>59126799999.999992</v>
      </c>
      <c r="F32" s="1050">
        <v>68469500000.000008</v>
      </c>
      <c r="G32" s="1052">
        <f>G33+G34</f>
        <v>91388000000</v>
      </c>
      <c r="H32" s="1052">
        <f>H33+H34</f>
        <v>103296000000</v>
      </c>
      <c r="I32" s="1052">
        <f>I33+I34</f>
        <v>91740000000</v>
      </c>
      <c r="J32" s="1050">
        <v>174605000000</v>
      </c>
      <c r="K32" s="1050">
        <v>460000000000</v>
      </c>
      <c r="L32" s="1050">
        <v>624000000000</v>
      </c>
      <c r="M32" s="1048">
        <v>461000000000</v>
      </c>
      <c r="N32" s="1048">
        <v>591000000000</v>
      </c>
      <c r="O32" s="1076">
        <v>1281000000000</v>
      </c>
      <c r="P32" s="1076">
        <v>1783000000000</v>
      </c>
      <c r="Q32" s="1076">
        <v>2517000000000</v>
      </c>
      <c r="R32" s="1076">
        <v>2382000000000</v>
      </c>
      <c r="S32" s="1076">
        <f>S33+S34</f>
        <v>1397000000000</v>
      </c>
      <c r="T32" s="1076">
        <v>2360000000000</v>
      </c>
      <c r="U32" s="1076">
        <v>1646000000000</v>
      </c>
      <c r="V32" s="1076">
        <v>1991000000000</v>
      </c>
      <c r="W32" s="1076">
        <v>2371000000000</v>
      </c>
      <c r="X32" s="1076">
        <v>2272000000000</v>
      </c>
      <c r="Y32" s="1008">
        <v>2402000000000</v>
      </c>
      <c r="Z32" s="1008">
        <v>2687000000000</v>
      </c>
      <c r="AA32" s="1008">
        <v>3023000000000</v>
      </c>
      <c r="AB32" s="1007"/>
      <c r="AC32" s="1007"/>
      <c r="AD32" s="1007"/>
      <c r="AE32" s="527"/>
      <c r="AF32" s="527"/>
      <c r="AG32" s="527"/>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988" t="s">
        <v>677</v>
      </c>
      <c r="B33" s="988" t="s">
        <v>678</v>
      </c>
      <c r="C33" s="981" t="s">
        <v>241</v>
      </c>
      <c r="D33" s="1050">
        <v>43812700000</v>
      </c>
      <c r="E33" s="1050">
        <v>49086400000</v>
      </c>
      <c r="F33" s="1050">
        <v>52285800000.000008</v>
      </c>
      <c r="G33" s="1050">
        <v>67804000000</v>
      </c>
      <c r="H33" s="1077">
        <v>81776000000</v>
      </c>
      <c r="I33" s="1077">
        <v>80620000000</v>
      </c>
      <c r="J33" s="1050">
        <v>167174999999.99997</v>
      </c>
      <c r="K33" s="1050"/>
      <c r="L33" s="1050">
        <v>604000000000</v>
      </c>
      <c r="M33" s="1048">
        <v>434000000000</v>
      </c>
      <c r="N33" s="1048">
        <v>577000000000</v>
      </c>
      <c r="O33" s="1076">
        <v>1229000000000</v>
      </c>
      <c r="P33" s="1076">
        <v>1428000000000</v>
      </c>
      <c r="Q33" s="1076">
        <v>1237000000000</v>
      </c>
      <c r="R33" s="1076">
        <v>1506000000000</v>
      </c>
      <c r="S33" s="1076">
        <v>1151000000000</v>
      </c>
      <c r="T33" s="1076">
        <v>1664000000000</v>
      </c>
      <c r="U33" s="1076">
        <v>1093000000000</v>
      </c>
      <c r="V33" s="1076">
        <v>1184000000000</v>
      </c>
      <c r="W33" s="1076">
        <v>1411000000000</v>
      </c>
      <c r="X33" s="1076">
        <v>1501000000000</v>
      </c>
      <c r="Y33" s="1008">
        <v>1543000000000</v>
      </c>
      <c r="Z33" s="1008">
        <v>1735000000000</v>
      </c>
      <c r="AA33" s="1008">
        <v>2225000000000</v>
      </c>
      <c r="AB33" s="1007"/>
      <c r="AC33" s="1007"/>
      <c r="AD33" s="1007"/>
      <c r="AE33" s="527"/>
      <c r="AF33" s="527"/>
      <c r="AG33" s="527"/>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988" t="s">
        <v>680</v>
      </c>
      <c r="B34" s="988" t="s">
        <v>681</v>
      </c>
      <c r="C34" s="981" t="s">
        <v>241</v>
      </c>
      <c r="D34" s="1050">
        <v>8151200000.000001</v>
      </c>
      <c r="E34" s="1050">
        <v>10040400000</v>
      </c>
      <c r="F34" s="1050">
        <v>16183700000.000002</v>
      </c>
      <c r="G34" s="1050">
        <v>23584000000.000004</v>
      </c>
      <c r="H34" s="1077">
        <v>21520000000</v>
      </c>
      <c r="I34" s="1077">
        <v>11120000000.000002</v>
      </c>
      <c r="J34" s="1050">
        <v>7430000000</v>
      </c>
      <c r="K34" s="1050"/>
      <c r="L34" s="1050">
        <v>20000000000</v>
      </c>
      <c r="M34" s="1048">
        <v>27000000000</v>
      </c>
      <c r="N34" s="1048">
        <v>13000000000</v>
      </c>
      <c r="O34" s="1076">
        <v>51000000000</v>
      </c>
      <c r="P34" s="1076">
        <v>355000000000</v>
      </c>
      <c r="Q34" s="1076">
        <v>1280000000000</v>
      </c>
      <c r="R34" s="1076">
        <v>875000000000</v>
      </c>
      <c r="S34" s="1076">
        <v>246000000000</v>
      </c>
      <c r="T34" s="1076">
        <v>696000000000</v>
      </c>
      <c r="U34" s="1076">
        <v>553000000000</v>
      </c>
      <c r="V34" s="1076">
        <v>807000000000</v>
      </c>
      <c r="W34" s="1076">
        <v>960000000000</v>
      </c>
      <c r="X34" s="1076">
        <v>771000000000</v>
      </c>
      <c r="Y34" s="1008">
        <v>858000000000</v>
      </c>
      <c r="Z34" s="1008">
        <v>952000000000</v>
      </c>
      <c r="AA34" s="1008">
        <v>798000000000</v>
      </c>
      <c r="AB34" s="1007"/>
      <c r="AC34" s="1007"/>
      <c r="AD34" s="1007"/>
      <c r="AE34" s="527"/>
      <c r="AF34" s="527"/>
      <c r="AG34" s="527"/>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972" t="s">
        <v>76</v>
      </c>
      <c r="B35" s="997" t="s">
        <v>4627</v>
      </c>
      <c r="C35" s="975"/>
      <c r="D35" s="1050"/>
      <c r="E35" s="1050"/>
      <c r="F35" s="1050"/>
      <c r="G35" s="1050"/>
      <c r="H35" s="1050"/>
      <c r="I35" s="1050"/>
      <c r="J35" s="1050"/>
      <c r="K35" s="1050"/>
      <c r="L35" s="1050"/>
      <c r="M35" s="1048"/>
      <c r="N35" s="1048"/>
      <c r="O35" s="1076"/>
      <c r="P35" s="1076">
        <v>217000000000</v>
      </c>
      <c r="Q35" s="1076">
        <v>498000000000</v>
      </c>
      <c r="R35" s="1076">
        <v>845000000000</v>
      </c>
      <c r="S35" s="1076"/>
      <c r="T35" s="1076"/>
      <c r="U35" s="1076"/>
      <c r="V35" s="1076"/>
      <c r="W35" s="1076"/>
      <c r="X35" s="1076"/>
      <c r="Y35" s="1008"/>
      <c r="Z35" s="1008"/>
      <c r="AA35" s="1008"/>
      <c r="AB35" s="1007"/>
      <c r="AC35" s="1007"/>
      <c r="AD35" s="1007"/>
      <c r="AE35" s="527"/>
      <c r="AF35" s="527"/>
      <c r="AG35" s="527"/>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981" t="s">
        <v>3115</v>
      </c>
      <c r="B36" s="981" t="s">
        <v>3115</v>
      </c>
      <c r="C36" s="981" t="s">
        <v>201</v>
      </c>
      <c r="D36" s="1050">
        <v>56039500000.000008</v>
      </c>
      <c r="E36" s="1050">
        <v>63589200000</v>
      </c>
      <c r="F36" s="1050">
        <v>67224600000.000008</v>
      </c>
      <c r="G36" s="1050">
        <v>89914000000</v>
      </c>
      <c r="H36" s="1050">
        <v>109752000000</v>
      </c>
      <c r="I36" s="1050">
        <v>75060000000</v>
      </c>
      <c r="J36" s="1077">
        <v>78015000000</v>
      </c>
      <c r="K36" s="1050">
        <v>78200000000</v>
      </c>
      <c r="L36" s="1050">
        <v>81000000000</v>
      </c>
      <c r="M36" s="1048">
        <v>88000000000</v>
      </c>
      <c r="N36" s="1048">
        <v>233000000000</v>
      </c>
      <c r="O36" s="1076">
        <v>480000000000</v>
      </c>
      <c r="P36" s="1076">
        <v>282000000000</v>
      </c>
      <c r="Q36" s="1076">
        <v>619000000000</v>
      </c>
      <c r="R36" s="1076">
        <v>910000000000</v>
      </c>
      <c r="S36" s="1076">
        <v>729000000000</v>
      </c>
      <c r="T36" s="1076">
        <v>768000000000</v>
      </c>
      <c r="U36" s="2754">
        <v>0</v>
      </c>
      <c r="V36" s="1076">
        <v>463000000000</v>
      </c>
      <c r="W36" s="1076">
        <v>423000000000</v>
      </c>
      <c r="X36" s="1076">
        <v>456000000000</v>
      </c>
      <c r="Y36" s="1008">
        <v>483000000000</v>
      </c>
      <c r="Z36" s="1008">
        <v>550000000000</v>
      </c>
      <c r="AA36" s="1008">
        <v>591000000000</v>
      </c>
      <c r="AB36" s="1007"/>
      <c r="AC36" s="1007"/>
      <c r="AD36" s="1007"/>
      <c r="AE36" s="527"/>
      <c r="AF36" s="527"/>
      <c r="AG36" s="527"/>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972" t="s">
        <v>76</v>
      </c>
      <c r="B37" s="988" t="s">
        <v>4628</v>
      </c>
      <c r="C37" s="975"/>
      <c r="D37" s="1050">
        <v>54001700000</v>
      </c>
      <c r="E37" s="1050">
        <v>59126799999.999992</v>
      </c>
      <c r="F37" s="1050">
        <v>65979700000.000008</v>
      </c>
      <c r="G37" s="1050">
        <v>84018000000</v>
      </c>
      <c r="H37" s="1050">
        <v>105448000000</v>
      </c>
      <c r="I37" s="1050">
        <v>88960000000.000015</v>
      </c>
      <c r="J37" s="1077"/>
      <c r="K37" s="1050"/>
      <c r="L37" s="1050"/>
      <c r="M37" s="1048"/>
      <c r="N37" s="1048"/>
      <c r="O37" s="1076"/>
      <c r="P37" s="1078"/>
      <c r="Q37" s="1078"/>
      <c r="R37" s="1078"/>
      <c r="S37" s="1076"/>
      <c r="T37" s="1076"/>
      <c r="U37" s="1076"/>
      <c r="V37" s="1076"/>
      <c r="W37" s="1076"/>
      <c r="X37" s="1076"/>
      <c r="Y37" s="1008"/>
      <c r="Z37" s="1008"/>
      <c r="AA37" s="1008"/>
      <c r="AB37" s="1007"/>
      <c r="AC37" s="1007"/>
      <c r="AD37" s="1007"/>
      <c r="AE37" s="527"/>
      <c r="AF37" s="527"/>
      <c r="AG37" s="527"/>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72" t="s">
        <v>76</v>
      </c>
      <c r="B38" s="988" t="s">
        <v>4629</v>
      </c>
      <c r="C38" s="975"/>
      <c r="D38" s="1050">
        <v>2037800000.0000002</v>
      </c>
      <c r="E38" s="1050">
        <v>5577999999.999999</v>
      </c>
      <c r="F38" s="1050">
        <v>1244900000.0000002</v>
      </c>
      <c r="G38" s="1050">
        <v>5896000000.000001</v>
      </c>
      <c r="H38" s="1050">
        <v>2152000000</v>
      </c>
      <c r="I38" s="1050">
        <v>-13900000000</v>
      </c>
      <c r="J38" s="1077"/>
      <c r="K38" s="1050"/>
      <c r="L38" s="1050"/>
      <c r="M38" s="1048"/>
      <c r="N38" s="1048"/>
      <c r="O38" s="1076"/>
      <c r="P38" s="1076"/>
      <c r="Q38" s="1076"/>
      <c r="R38" s="1076"/>
      <c r="S38" s="1076"/>
      <c r="T38" s="1076">
        <v>0</v>
      </c>
      <c r="U38" s="1076">
        <v>0</v>
      </c>
      <c r="V38" s="1076">
        <v>120000000000</v>
      </c>
      <c r="W38" s="1076">
        <v>130000000000</v>
      </c>
      <c r="X38" s="1076">
        <v>140000000000</v>
      </c>
      <c r="Y38" s="1008">
        <v>151000000000</v>
      </c>
      <c r="Z38" s="1008">
        <v>172000000000</v>
      </c>
      <c r="AA38" s="1008">
        <v>186000000000</v>
      </c>
      <c r="AB38" s="1007"/>
      <c r="AC38" s="1007"/>
      <c r="AD38" s="1007"/>
      <c r="AE38" s="527"/>
      <c r="AF38" s="527"/>
      <c r="AG38" s="527"/>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72" t="s">
        <v>76</v>
      </c>
      <c r="B39" s="988" t="s">
        <v>4630</v>
      </c>
      <c r="C39" s="975"/>
      <c r="D39" s="1050"/>
      <c r="E39" s="1050"/>
      <c r="F39" s="1050"/>
      <c r="G39" s="1050"/>
      <c r="H39" s="1050"/>
      <c r="I39" s="1050"/>
      <c r="J39" s="1077"/>
      <c r="K39" s="1050"/>
      <c r="L39" s="1050"/>
      <c r="M39" s="1048"/>
      <c r="N39" s="1048"/>
      <c r="O39" s="1076"/>
      <c r="P39" s="1076">
        <v>217000000000</v>
      </c>
      <c r="Q39" s="1076">
        <v>498000000000</v>
      </c>
      <c r="R39" s="1076">
        <v>845000000000</v>
      </c>
      <c r="S39" s="1076"/>
      <c r="T39" s="1076"/>
      <c r="U39" s="1076"/>
      <c r="V39" s="1076"/>
      <c r="W39" s="1076"/>
      <c r="X39" s="1076"/>
      <c r="Y39" s="1008"/>
      <c r="Z39" s="1008"/>
      <c r="AA39" s="1008"/>
      <c r="AB39" s="1007"/>
      <c r="AC39" s="1007"/>
      <c r="AD39" s="1007"/>
      <c r="AE39" s="527"/>
      <c r="AF39" s="527"/>
      <c r="AG39" s="527"/>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A40" s="972" t="s">
        <v>76</v>
      </c>
      <c r="B40" s="981" t="s">
        <v>4631</v>
      </c>
      <c r="C40" s="975"/>
      <c r="D40" s="1050">
        <v>-71323000000</v>
      </c>
      <c r="E40" s="1050">
        <v>-60242400000</v>
      </c>
      <c r="F40" s="1050">
        <v>-73449100000.000015</v>
      </c>
      <c r="G40" s="1050">
        <v>-61908000000</v>
      </c>
      <c r="H40" s="1077">
        <v>-38736000000</v>
      </c>
      <c r="I40" s="1077">
        <v>72280000000</v>
      </c>
      <c r="J40" s="1077">
        <v>300914999999.99994</v>
      </c>
      <c r="K40" s="1050">
        <v>128799999999.99998</v>
      </c>
      <c r="L40" s="1050">
        <v>-296000000000</v>
      </c>
      <c r="M40" s="1048">
        <v>-343000000000</v>
      </c>
      <c r="N40" s="1048">
        <v>42000000000</v>
      </c>
      <c r="O40" s="1076">
        <v>-529000000000</v>
      </c>
      <c r="P40" s="1076">
        <v>-1042000000000</v>
      </c>
      <c r="Q40" s="1076">
        <v>-181000000000</v>
      </c>
      <c r="R40" s="1076">
        <v>-910000000000</v>
      </c>
      <c r="S40" s="1076"/>
      <c r="T40" s="1076"/>
      <c r="U40" s="1076"/>
      <c r="V40" s="1076"/>
      <c r="W40" s="1076"/>
      <c r="X40" s="1076"/>
      <c r="Y40" s="1008"/>
      <c r="Z40" s="1008"/>
      <c r="AA40" s="1008"/>
      <c r="AB40" s="1007"/>
      <c r="AC40" s="1007"/>
      <c r="AD40" s="1007"/>
      <c r="AE40" s="527"/>
      <c r="AF40" s="527"/>
      <c r="AG40" s="527"/>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B41" s="981" t="s">
        <v>4632</v>
      </c>
      <c r="C41" s="975"/>
      <c r="D41" s="1050"/>
      <c r="E41" s="1050"/>
      <c r="F41" s="1050"/>
      <c r="G41" s="1050"/>
      <c r="H41" s="1077"/>
      <c r="I41" s="1077"/>
      <c r="J41" s="1077"/>
      <c r="K41" s="1050"/>
      <c r="L41" s="1050"/>
      <c r="M41" s="1048"/>
      <c r="N41" s="1048"/>
      <c r="O41" s="1076"/>
      <c r="P41" s="1076"/>
      <c r="Q41" s="1076"/>
      <c r="R41" s="1076"/>
      <c r="S41" s="1076"/>
      <c r="T41" s="1076">
        <v>-3660000000000</v>
      </c>
      <c r="U41" s="1076">
        <v>-1416000000000</v>
      </c>
      <c r="V41" s="1076"/>
      <c r="W41" s="1076"/>
      <c r="X41" s="1076"/>
      <c r="Y41" s="1008"/>
      <c r="Z41" s="1008"/>
      <c r="AA41" s="1008"/>
      <c r="AB41" s="1007"/>
      <c r="AC41" s="1007"/>
      <c r="AD41" s="1007"/>
      <c r="AE41" s="527"/>
      <c r="AF41" s="527"/>
      <c r="AG41" s="527"/>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c r="B42" s="981" t="s">
        <v>4633</v>
      </c>
      <c r="C42" s="975"/>
      <c r="D42" s="1050"/>
      <c r="E42" s="1050"/>
      <c r="F42" s="1050"/>
      <c r="G42" s="1050"/>
      <c r="H42" s="1077"/>
      <c r="I42" s="1077"/>
      <c r="J42" s="1077"/>
      <c r="K42" s="1050"/>
      <c r="L42" s="1050"/>
      <c r="M42" s="1048"/>
      <c r="N42" s="1048"/>
      <c r="O42" s="1076"/>
      <c r="P42" s="1076"/>
      <c r="Q42" s="1076"/>
      <c r="R42" s="1076"/>
      <c r="S42" s="1076"/>
      <c r="T42" s="1076">
        <v>-3660000000000</v>
      </c>
      <c r="U42" s="1076">
        <v>-1742000000000</v>
      </c>
      <c r="V42" s="1076"/>
      <c r="W42" s="1076"/>
      <c r="X42" s="1076"/>
      <c r="Y42" s="1008"/>
      <c r="Z42" s="1008"/>
      <c r="AA42" s="1008"/>
      <c r="AB42" s="1007"/>
      <c r="AC42" s="1007"/>
      <c r="AD42" s="1007"/>
      <c r="AE42" s="527"/>
      <c r="AF42" s="527"/>
      <c r="AG42" s="527"/>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c r="B43" s="981" t="s">
        <v>4634</v>
      </c>
      <c r="C43" s="975"/>
      <c r="D43" s="1050"/>
      <c r="E43" s="1050"/>
      <c r="F43" s="1050"/>
      <c r="G43" s="1050"/>
      <c r="H43" s="1077"/>
      <c r="I43" s="1077"/>
      <c r="J43" s="1077"/>
      <c r="K43" s="1050"/>
      <c r="L43" s="1050"/>
      <c r="M43" s="1048"/>
      <c r="N43" s="1048"/>
      <c r="O43" s="1076"/>
      <c r="P43" s="1076"/>
      <c r="Q43" s="1076"/>
      <c r="R43" s="1076"/>
      <c r="S43" s="1076"/>
      <c r="T43" s="1076">
        <v>-4065000000000</v>
      </c>
      <c r="U43" s="1076">
        <v>-526000000000</v>
      </c>
      <c r="V43" s="1076">
        <v>-1614000000000</v>
      </c>
      <c r="W43" s="1076">
        <v>-1459000000000</v>
      </c>
      <c r="X43" s="1076">
        <v>-779000000000</v>
      </c>
      <c r="Y43" s="1008">
        <v>-396000000000</v>
      </c>
      <c r="Z43" s="1008">
        <v>-402000000000</v>
      </c>
      <c r="AA43" s="1008">
        <v>-375000000000</v>
      </c>
      <c r="AB43" s="1007"/>
      <c r="AC43" s="1007"/>
      <c r="AD43" s="1007"/>
      <c r="AE43" s="527"/>
      <c r="AF43" s="527"/>
      <c r="AG43" s="527"/>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B44" s="981" t="s">
        <v>4635</v>
      </c>
      <c r="C44" s="975"/>
      <c r="D44" s="1050"/>
      <c r="E44" s="1050"/>
      <c r="F44" s="1050"/>
      <c r="G44" s="1050"/>
      <c r="H44" s="1077"/>
      <c r="I44" s="1077"/>
      <c r="J44" s="1077"/>
      <c r="K44" s="1050"/>
      <c r="L44" s="1050"/>
      <c r="M44" s="1048"/>
      <c r="N44" s="1048"/>
      <c r="O44" s="1076"/>
      <c r="P44" s="1076"/>
      <c r="Q44" s="1076"/>
      <c r="R44" s="1076"/>
      <c r="S44" s="978"/>
      <c r="T44" s="1076">
        <v>-3121000000000</v>
      </c>
      <c r="U44" s="1076">
        <v>572000000000</v>
      </c>
      <c r="V44" s="1076">
        <v>-475000000000</v>
      </c>
      <c r="W44" s="1076">
        <v>-329000000000</v>
      </c>
      <c r="X44" s="1076">
        <v>309000000000</v>
      </c>
      <c r="Y44" s="1008">
        <v>640000000000</v>
      </c>
      <c r="Z44" s="1008">
        <v>723000000000</v>
      </c>
      <c r="AA44" s="1008">
        <v>827000000000</v>
      </c>
      <c r="AB44" s="1007"/>
      <c r="AC44" s="1007"/>
      <c r="AD44" s="1007"/>
      <c r="AE44" s="527"/>
      <c r="AF44" s="527"/>
      <c r="AG44" s="527"/>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72" t="s">
        <v>76</v>
      </c>
      <c r="B45" s="981" t="s">
        <v>4636</v>
      </c>
      <c r="C45" s="975"/>
      <c r="D45" s="1050"/>
      <c r="E45" s="1050"/>
      <c r="F45" s="1050">
        <v>-95857300000.000015</v>
      </c>
      <c r="G45" s="1050">
        <v>-103180000000</v>
      </c>
      <c r="H45" s="1077">
        <v>-118360000000</v>
      </c>
      <c r="I45" s="1077">
        <v>-38920000000</v>
      </c>
      <c r="J45" s="1050">
        <v>-89160000000</v>
      </c>
      <c r="K45" s="1050">
        <v>-487599999999.99994</v>
      </c>
      <c r="L45" s="1050">
        <v>-818000000000</v>
      </c>
      <c r="M45" s="1048">
        <v>-857000000000</v>
      </c>
      <c r="N45" s="1048">
        <v>-882000000000</v>
      </c>
      <c r="O45" s="1076"/>
      <c r="P45" s="1076"/>
      <c r="Q45" s="1076"/>
      <c r="R45" s="1076"/>
      <c r="S45" s="978"/>
      <c r="T45" s="1076">
        <v>-24400000000</v>
      </c>
      <c r="U45" s="1076">
        <v>-9000000000</v>
      </c>
      <c r="V45" s="1076">
        <v>-11700000000</v>
      </c>
      <c r="W45" s="1076">
        <v>-10700000000</v>
      </c>
      <c r="X45" s="1076">
        <v>-8400000000</v>
      </c>
      <c r="Y45" s="1008">
        <v>-7100000000</v>
      </c>
      <c r="Z45" s="1008">
        <v>-7300000000</v>
      </c>
      <c r="AA45" s="1008">
        <v>-6700000000</v>
      </c>
      <c r="AB45" s="1007"/>
      <c r="AC45" s="1007"/>
      <c r="AD45" s="1007"/>
      <c r="AE45" s="527"/>
      <c r="AF45" s="527"/>
      <c r="AG45" s="527"/>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972" t="s">
        <v>76</v>
      </c>
      <c r="B46" s="981" t="s">
        <v>4637</v>
      </c>
      <c r="C46" s="975"/>
      <c r="D46" s="1050"/>
      <c r="E46" s="1050"/>
      <c r="F46" s="1050"/>
      <c r="G46" s="1050"/>
      <c r="H46" s="1050"/>
      <c r="I46" s="1050"/>
      <c r="J46" s="1077"/>
      <c r="K46" s="1050"/>
      <c r="L46" s="1050"/>
      <c r="M46" s="1048" t="s">
        <v>78</v>
      </c>
      <c r="N46" s="1048" t="s">
        <v>78</v>
      </c>
      <c r="O46" s="1076"/>
      <c r="P46" s="1076"/>
      <c r="Q46" s="1076"/>
      <c r="R46" s="1076"/>
      <c r="S46" s="978"/>
      <c r="T46" s="1076"/>
      <c r="U46" s="1076"/>
      <c r="V46" s="1076"/>
      <c r="W46" s="1076"/>
      <c r="X46" s="1076"/>
      <c r="Y46" s="1008"/>
      <c r="Z46" s="1008"/>
      <c r="AA46" s="1008"/>
      <c r="AB46" s="1007"/>
      <c r="AC46" s="1007"/>
      <c r="AD46" s="1007"/>
      <c r="AE46" s="527"/>
      <c r="AF46" s="527"/>
      <c r="AG46" s="527"/>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s="848" customFormat="1">
      <c r="A47" s="1012" t="s">
        <v>115</v>
      </c>
      <c r="B47" s="1012" t="s">
        <v>115</v>
      </c>
      <c r="C47" s="1013" t="s">
        <v>35</v>
      </c>
      <c r="D47" s="1055">
        <f>D48+D57</f>
        <v>70304100000</v>
      </c>
      <c r="E47" s="1055">
        <f>E48+E57</f>
        <v>59126800000</v>
      </c>
      <c r="F47" s="1055">
        <f>F48+F57</f>
        <v>72204200000.000015</v>
      </c>
      <c r="G47" s="1055">
        <f>G48+G57</f>
        <v>58960000000</v>
      </c>
      <c r="H47" s="1055">
        <v>38736000000</v>
      </c>
      <c r="I47" s="1055">
        <f>I48+I57</f>
        <v>-72280000000</v>
      </c>
      <c r="J47" s="1055">
        <f>J48+J57</f>
        <v>-334350000000</v>
      </c>
      <c r="K47" s="1084">
        <v>-128799999999.99998</v>
      </c>
      <c r="L47" s="1055">
        <v>296000000000</v>
      </c>
      <c r="M47" s="1054">
        <v>343000000000</v>
      </c>
      <c r="N47" s="1054">
        <v>-42000000000</v>
      </c>
      <c r="O47" s="1085">
        <v>529000000000</v>
      </c>
      <c r="P47" s="1085">
        <v>1517000000000</v>
      </c>
      <c r="Q47" s="1085">
        <v>1705000000000</v>
      </c>
      <c r="R47" s="1085">
        <v>2397000000000</v>
      </c>
      <c r="S47" s="1016">
        <f>S48+S57</f>
        <v>1974000000000</v>
      </c>
      <c r="T47" s="1085">
        <v>4065000000000</v>
      </c>
      <c r="U47" s="1069">
        <v>168000000000</v>
      </c>
      <c r="V47" s="1069">
        <v>1614000000000</v>
      </c>
      <c r="W47" s="1069">
        <v>1459000000000</v>
      </c>
      <c r="X47" s="1069">
        <v>779000000000</v>
      </c>
      <c r="Y47" s="1018">
        <v>396000000000</v>
      </c>
      <c r="Z47" s="1018">
        <v>402000000000</v>
      </c>
      <c r="AA47" s="1018">
        <v>375000000000</v>
      </c>
      <c r="AB47" s="1066"/>
      <c r="AC47" s="1066"/>
      <c r="AD47" s="1066"/>
      <c r="AE47" s="1088"/>
      <c r="AF47" s="1088"/>
      <c r="AG47" s="1088"/>
      <c r="AH47" s="916"/>
      <c r="AI47" s="916"/>
      <c r="AJ47" s="916"/>
      <c r="AK47" s="916"/>
      <c r="AL47" s="916"/>
      <c r="AM47" s="916"/>
      <c r="AN47" s="916"/>
      <c r="AO47" s="916"/>
      <c r="AP47" s="916"/>
      <c r="AQ47" s="916"/>
      <c r="AR47" s="916"/>
      <c r="AS47" s="916"/>
      <c r="AT47" s="916"/>
      <c r="AU47" s="916"/>
      <c r="AV47" s="916"/>
      <c r="AW47" s="916"/>
      <c r="AX47" s="916"/>
      <c r="AY47" s="916"/>
      <c r="AZ47" s="916"/>
      <c r="BA47" s="916"/>
      <c r="BB47" s="916"/>
      <c r="BC47" s="916"/>
      <c r="BD47" s="916"/>
    </row>
    <row r="48" spans="1:56">
      <c r="A48" s="972" t="s">
        <v>117</v>
      </c>
      <c r="B48" s="981" t="s">
        <v>4638</v>
      </c>
      <c r="C48" s="981" t="s">
        <v>252</v>
      </c>
      <c r="D48" s="1050">
        <v>66228500000</v>
      </c>
      <c r="E48" s="1050">
        <v>72514000000</v>
      </c>
      <c r="F48" s="1050">
        <v>82163400000.000015</v>
      </c>
      <c r="G48" s="1052">
        <f>G50+G55+G56</f>
        <v>-114972000000</v>
      </c>
      <c r="H48" s="1050">
        <v>77472000000</v>
      </c>
      <c r="I48" s="1052">
        <f>I50+I55+I56</f>
        <v>91740000000</v>
      </c>
      <c r="J48" s="1052">
        <f>J50+J55+J56</f>
        <v>89160000000</v>
      </c>
      <c r="K48" s="1077">
        <v>46000000000</v>
      </c>
      <c r="L48" s="1050">
        <v>39000000000</v>
      </c>
      <c r="M48" s="1048">
        <v>219000000000</v>
      </c>
      <c r="N48" s="1048">
        <v>31000000000</v>
      </c>
      <c r="O48" s="1076">
        <v>199000000000</v>
      </c>
      <c r="P48" s="1076">
        <v>3062000000000</v>
      </c>
      <c r="Q48" s="1076">
        <v>226000000000</v>
      </c>
      <c r="R48" s="1076">
        <v>1539000000000</v>
      </c>
      <c r="S48" s="978">
        <f>S50+S55</f>
        <v>384000000000</v>
      </c>
      <c r="T48" s="1076">
        <v>1214000000000</v>
      </c>
      <c r="U48" s="1076">
        <v>1716000000000</v>
      </c>
      <c r="V48" s="1076">
        <v>1167000000000</v>
      </c>
      <c r="W48" s="1076">
        <v>2100000000000</v>
      </c>
      <c r="X48" s="1076">
        <v>611000000000</v>
      </c>
      <c r="Y48" s="1008">
        <v>-130000000000</v>
      </c>
      <c r="Z48" s="1008">
        <v>-526000000000</v>
      </c>
      <c r="AA48" s="1008">
        <v>-1130000000000</v>
      </c>
      <c r="AB48" s="1007"/>
      <c r="AC48" s="1007"/>
      <c r="AD48" s="1007"/>
      <c r="AE48" s="527"/>
      <c r="AF48" s="527"/>
      <c r="AG48" s="527"/>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981"/>
      <c r="B49" s="981" t="s">
        <v>4639</v>
      </c>
      <c r="C49" s="975"/>
      <c r="D49" s="1050"/>
      <c r="E49" s="1050"/>
      <c r="F49" s="1050">
        <v>82163400000.000015</v>
      </c>
      <c r="G49" s="1050">
        <v>-116446000000.00002</v>
      </c>
      <c r="H49" s="1050">
        <v>64560000000</v>
      </c>
      <c r="I49" s="1050">
        <v>83400000000</v>
      </c>
      <c r="J49" s="1050">
        <v>85445000000</v>
      </c>
      <c r="K49" s="1077"/>
      <c r="L49" s="1050"/>
      <c r="M49" s="1048"/>
      <c r="N49" s="1048"/>
      <c r="O49" s="1076"/>
      <c r="P49" s="1076"/>
      <c r="Q49" s="1076"/>
      <c r="R49" s="1076"/>
      <c r="S49" s="978"/>
      <c r="T49" s="1076"/>
      <c r="U49" s="1076"/>
      <c r="V49" s="1076"/>
      <c r="W49" s="1076"/>
      <c r="X49" s="1076"/>
      <c r="Y49" s="1008"/>
      <c r="Z49" s="1008"/>
      <c r="AA49" s="1008"/>
      <c r="AB49" s="1007"/>
      <c r="AC49" s="1007"/>
      <c r="AD49" s="1007"/>
      <c r="AE49" s="527"/>
      <c r="AF49" s="527"/>
      <c r="AG49" s="527"/>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988" t="s">
        <v>415</v>
      </c>
      <c r="B50" s="988" t="s">
        <v>415</v>
      </c>
      <c r="C50" s="981" t="s">
        <v>264</v>
      </c>
      <c r="D50" s="1052">
        <f>D51+D52</f>
        <v>76417500000.000015</v>
      </c>
      <c r="E50" s="1052">
        <f>E51+E52</f>
        <v>92594800000</v>
      </c>
      <c r="F50" s="1050">
        <v>97102200000.000015</v>
      </c>
      <c r="G50" s="1050">
        <v>193094000000</v>
      </c>
      <c r="H50" s="1077">
        <v>92536000000</v>
      </c>
      <c r="I50" s="1077">
        <v>111200000000</v>
      </c>
      <c r="J50" s="1050">
        <f>J51+J52</f>
        <v>111450000000</v>
      </c>
      <c r="K50" s="1077">
        <v>96600000000.000015</v>
      </c>
      <c r="L50" s="1050"/>
      <c r="M50" s="1048"/>
      <c r="N50" s="1048"/>
      <c r="O50" s="1076"/>
      <c r="P50" s="1076"/>
      <c r="Q50" s="1076"/>
      <c r="R50" s="1076"/>
      <c r="S50" s="21">
        <v>505000000000</v>
      </c>
      <c r="T50" s="1076">
        <v>1350000000000</v>
      </c>
      <c r="U50" s="1076">
        <v>1881000000000</v>
      </c>
      <c r="V50" s="1076">
        <v>2914000000000</v>
      </c>
      <c r="W50" s="1076">
        <v>3708000000000</v>
      </c>
      <c r="X50" s="1076">
        <v>2501000000000</v>
      </c>
      <c r="Y50" s="1008">
        <v>3079000000000</v>
      </c>
      <c r="Z50" s="1008">
        <v>3963000000000</v>
      </c>
      <c r="AA50" s="1008">
        <v>3577000000000</v>
      </c>
      <c r="AB50" s="1007"/>
      <c r="AC50" s="1007"/>
      <c r="AD50" s="1007"/>
      <c r="AE50" s="527"/>
      <c r="AF50" s="527"/>
      <c r="AG50" s="527"/>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997" t="s">
        <v>1253</v>
      </c>
      <c r="B51" s="997" t="s">
        <v>4055</v>
      </c>
      <c r="C51" s="968" t="s">
        <v>2512</v>
      </c>
      <c r="D51" s="1050">
        <v>63171800000.000008</v>
      </c>
      <c r="E51" s="1050">
        <v>69167200000</v>
      </c>
      <c r="F51" s="1050"/>
      <c r="G51" s="1050"/>
      <c r="H51" s="1050"/>
      <c r="I51" s="1050"/>
      <c r="J51" s="1050">
        <v>100305000000</v>
      </c>
      <c r="K51" s="1077">
        <v>96600000000.000015</v>
      </c>
      <c r="L51" s="1050"/>
      <c r="M51" s="1048"/>
      <c r="N51" s="1048"/>
      <c r="O51" s="1076"/>
      <c r="P51" s="1076"/>
      <c r="Q51" s="1076"/>
      <c r="R51" s="1076"/>
      <c r="S51" s="978"/>
      <c r="T51" s="1076"/>
      <c r="U51" s="1076"/>
      <c r="V51" s="1076"/>
      <c r="W51" s="1076"/>
      <c r="X51" s="1076"/>
      <c r="Y51" s="1008"/>
      <c r="Z51" s="1008"/>
      <c r="AA51" s="1008"/>
      <c r="AB51" s="1007"/>
      <c r="AC51" s="1007"/>
      <c r="AD51" s="1007"/>
      <c r="AE51" s="527"/>
      <c r="AF51" s="527"/>
      <c r="AG51" s="527"/>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997" t="s">
        <v>1258</v>
      </c>
      <c r="B52" s="997" t="s">
        <v>4640</v>
      </c>
      <c r="C52" s="968" t="s">
        <v>2512</v>
      </c>
      <c r="D52" s="1050">
        <v>13245700000.000002</v>
      </c>
      <c r="E52" s="1050">
        <v>23427600000</v>
      </c>
      <c r="F52" s="1050"/>
      <c r="G52" s="1050"/>
      <c r="H52" s="1050"/>
      <c r="I52" s="1050"/>
      <c r="J52" s="1050">
        <v>11145000000</v>
      </c>
      <c r="K52" s="1077">
        <v>0</v>
      </c>
      <c r="L52" s="1050"/>
      <c r="M52" s="1048"/>
      <c r="N52" s="1048"/>
      <c r="O52" s="1076"/>
      <c r="P52" s="1076"/>
      <c r="Q52" s="1076"/>
      <c r="R52" s="1076"/>
      <c r="S52" s="978"/>
      <c r="T52" s="1076"/>
      <c r="U52" s="1076"/>
      <c r="V52" s="1076"/>
      <c r="W52" s="1076"/>
      <c r="X52" s="1076"/>
      <c r="Y52" s="1008"/>
      <c r="Z52" s="1008"/>
      <c r="AA52" s="1008"/>
      <c r="AB52" s="1007"/>
      <c r="AC52" s="1007"/>
      <c r="AD52" s="1007"/>
      <c r="AE52" s="527"/>
      <c r="AF52" s="527"/>
      <c r="AG52" s="527"/>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997" t="s">
        <v>4641</v>
      </c>
      <c r="B53" s="997" t="s">
        <v>4642</v>
      </c>
      <c r="C53" s="968" t="s">
        <v>2512</v>
      </c>
      <c r="D53" s="1050"/>
      <c r="E53" s="1050"/>
      <c r="F53" s="1050"/>
      <c r="G53" s="1050"/>
      <c r="H53" s="1050"/>
      <c r="I53" s="1050"/>
      <c r="J53" s="1050"/>
      <c r="K53" s="1077">
        <v>0</v>
      </c>
      <c r="L53" s="1050"/>
      <c r="M53" s="1048"/>
      <c r="N53" s="1048"/>
      <c r="O53" s="1076"/>
      <c r="P53" s="1076"/>
      <c r="Q53" s="1076"/>
      <c r="R53" s="1076"/>
      <c r="S53" s="978"/>
      <c r="T53" s="1076"/>
      <c r="U53" s="1076"/>
      <c r="V53" s="1076"/>
      <c r="W53" s="1076"/>
      <c r="X53" s="1076"/>
      <c r="Y53" s="1008"/>
      <c r="Z53" s="1008"/>
      <c r="AA53" s="1008"/>
      <c r="AB53" s="1007"/>
      <c r="AC53" s="1007"/>
      <c r="AD53" s="1007"/>
      <c r="AE53" s="527"/>
      <c r="AF53" s="527"/>
      <c r="AG53" s="527"/>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997" t="s">
        <v>4643</v>
      </c>
      <c r="B54" s="997" t="s">
        <v>4644</v>
      </c>
      <c r="C54" s="968" t="s">
        <v>2512</v>
      </c>
      <c r="D54" s="1050">
        <v>0</v>
      </c>
      <c r="E54" s="1050">
        <v>0</v>
      </c>
      <c r="F54" s="1050"/>
      <c r="G54" s="1050"/>
      <c r="H54" s="1050"/>
      <c r="I54" s="1050"/>
      <c r="J54" s="1050"/>
      <c r="K54" s="1077"/>
      <c r="L54" s="1050"/>
      <c r="M54" s="1048"/>
      <c r="N54" s="1048"/>
      <c r="O54" s="1076"/>
      <c r="P54" s="1076"/>
      <c r="Q54" s="1076"/>
      <c r="R54" s="1076"/>
      <c r="S54" s="978"/>
      <c r="T54" s="1076"/>
      <c r="U54" s="1076"/>
      <c r="V54" s="1076"/>
      <c r="W54" s="1076"/>
      <c r="X54" s="1076"/>
      <c r="Y54" s="1008"/>
      <c r="Z54" s="1008"/>
      <c r="AA54" s="1008"/>
      <c r="AB54" s="1007"/>
      <c r="AC54" s="1007"/>
      <c r="AD54" s="1007"/>
      <c r="AE54" s="527"/>
      <c r="AF54" s="527"/>
      <c r="AG54" s="527"/>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988" t="s">
        <v>258</v>
      </c>
      <c r="B55" s="988" t="s">
        <v>258</v>
      </c>
      <c r="C55" s="981" t="s">
        <v>264</v>
      </c>
      <c r="D55" s="1050">
        <v>-10189000000</v>
      </c>
      <c r="E55" s="1050">
        <v>-20080800000</v>
      </c>
      <c r="F55" s="1050">
        <v>-14938800000</v>
      </c>
      <c r="G55" s="1050">
        <v>-308066000000</v>
      </c>
      <c r="H55" s="1050">
        <v>-27976000000</v>
      </c>
      <c r="I55" s="1050">
        <v>-25020000000</v>
      </c>
      <c r="J55" s="1050">
        <v>-22290000000</v>
      </c>
      <c r="K55" s="1077">
        <v>-50600000000</v>
      </c>
      <c r="L55" s="1050"/>
      <c r="M55" s="1048"/>
      <c r="N55" s="1048"/>
      <c r="O55" s="1076"/>
      <c r="P55" s="1076"/>
      <c r="Q55" s="1076"/>
      <c r="R55" s="1076"/>
      <c r="S55" s="21">
        <v>-121000000000</v>
      </c>
      <c r="T55" s="1076">
        <v>-136000000000</v>
      </c>
      <c r="U55" s="1076">
        <v>-165000000000</v>
      </c>
      <c r="V55" s="1076">
        <v>-1747000000000</v>
      </c>
      <c r="W55" s="1076">
        <v>-1608000000000</v>
      </c>
      <c r="X55" s="1076">
        <v>-1889000000000</v>
      </c>
      <c r="Y55" s="1008">
        <v>-3209000000000</v>
      </c>
      <c r="Z55" s="1008">
        <v>-4489000000000</v>
      </c>
      <c r="AA55" s="1008">
        <v>-4706000000000</v>
      </c>
      <c r="AB55" s="1007"/>
      <c r="AC55" s="1007"/>
      <c r="AD55" s="1007"/>
      <c r="AE55" s="527"/>
      <c r="AF55" s="527"/>
      <c r="AG55" s="527"/>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981" t="s">
        <v>4645</v>
      </c>
      <c r="B56" s="981" t="s">
        <v>4646</v>
      </c>
      <c r="C56" s="981" t="s">
        <v>264</v>
      </c>
      <c r="D56" s="1050"/>
      <c r="E56" s="1050"/>
      <c r="F56" s="1050">
        <v>0</v>
      </c>
      <c r="G56" s="1050">
        <v>0</v>
      </c>
      <c r="H56" s="1050">
        <v>12911999999.999998</v>
      </c>
      <c r="I56" s="1050">
        <v>5560000000.000001</v>
      </c>
      <c r="J56" s="1050"/>
      <c r="K56" s="1077"/>
      <c r="L56" s="1050"/>
      <c r="M56" s="1048"/>
      <c r="N56" s="1048"/>
      <c r="O56" s="1076"/>
      <c r="P56" s="1076"/>
      <c r="Q56" s="1076"/>
      <c r="R56" s="1076"/>
      <c r="S56" s="978"/>
      <c r="T56" s="1076"/>
      <c r="U56" s="1076"/>
      <c r="V56" s="1076"/>
      <c r="W56" s="1076"/>
      <c r="X56" s="1076"/>
      <c r="Y56" s="1008"/>
      <c r="Z56" s="1008"/>
      <c r="AA56" s="1008"/>
      <c r="AB56" s="1007"/>
      <c r="AC56" s="1007"/>
      <c r="AD56" s="1007"/>
      <c r="AE56" s="527"/>
      <c r="AF56" s="527"/>
      <c r="AG56" s="527"/>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972" t="s">
        <v>120</v>
      </c>
      <c r="B57" s="981" t="s">
        <v>1403</v>
      </c>
      <c r="C57" s="981" t="s">
        <v>252</v>
      </c>
      <c r="D57" s="1052">
        <f>D58+D60+D61</f>
        <v>4075600000.0000005</v>
      </c>
      <c r="E57" s="1052">
        <f>E58+E60+E61</f>
        <v>-13387199999.999996</v>
      </c>
      <c r="F57" s="1052">
        <f>F58+F60+F61</f>
        <v>-9959200000.0000038</v>
      </c>
      <c r="G57" s="1050">
        <f>G60+G61+G62</f>
        <v>173932000000</v>
      </c>
      <c r="H57" s="1050">
        <v>-38736000000</v>
      </c>
      <c r="I57" s="1050">
        <v>-164020000000</v>
      </c>
      <c r="J57" s="1050">
        <v>-423510000000</v>
      </c>
      <c r="K57" s="1052">
        <f>K58+K60+K61</f>
        <v>-174799999999.99997</v>
      </c>
      <c r="L57" s="1050">
        <v>258000000000</v>
      </c>
      <c r="M57" s="1048">
        <v>124000000000</v>
      </c>
      <c r="N57" s="1048">
        <v>-73000000000</v>
      </c>
      <c r="O57" s="1076">
        <v>329000000000</v>
      </c>
      <c r="P57" s="1076">
        <v>-1545000000000</v>
      </c>
      <c r="Q57" s="1076">
        <v>1479000000000</v>
      </c>
      <c r="R57" s="1076">
        <v>858000000000</v>
      </c>
      <c r="S57" s="978">
        <f>S58+S59+S62</f>
        <v>1590000000000</v>
      </c>
      <c r="T57" s="1076">
        <v>2850000000000</v>
      </c>
      <c r="U57" s="1076">
        <v>-1548000000000</v>
      </c>
      <c r="V57" s="1076">
        <v>447000000000</v>
      </c>
      <c r="W57" s="1076">
        <v>-641000000000</v>
      </c>
      <c r="X57" s="1076">
        <v>168000000000</v>
      </c>
      <c r="Y57" s="1008">
        <v>526000000000</v>
      </c>
      <c r="Z57" s="1008">
        <v>928000000000</v>
      </c>
      <c r="AA57" s="1008">
        <v>1505000000000</v>
      </c>
      <c r="AB57" s="1007"/>
      <c r="AC57" s="1007"/>
      <c r="AD57" s="1007"/>
      <c r="AE57" s="527"/>
      <c r="AF57" s="527"/>
      <c r="AG57" s="527"/>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988" t="s">
        <v>4647</v>
      </c>
      <c r="B58" s="988" t="s">
        <v>4648</v>
      </c>
      <c r="C58" s="981" t="s">
        <v>124</v>
      </c>
      <c r="D58" s="1077">
        <v>7132300000</v>
      </c>
      <c r="E58" s="1077">
        <v>5577999999.999999</v>
      </c>
      <c r="F58" s="1050"/>
      <c r="G58" s="1050"/>
      <c r="H58" s="1050"/>
      <c r="I58" s="1050"/>
      <c r="J58" s="1050"/>
      <c r="K58" s="1050"/>
      <c r="L58" s="1050">
        <v>9000000000</v>
      </c>
      <c r="M58" s="1048">
        <v>-1000000000</v>
      </c>
      <c r="N58" s="1048">
        <v>3000000000</v>
      </c>
      <c r="O58" s="1076">
        <v>14000000000</v>
      </c>
      <c r="P58" s="1076">
        <v>1000000000</v>
      </c>
      <c r="Q58" s="1076">
        <v>3000000000</v>
      </c>
      <c r="R58" s="1076">
        <v>23000000000</v>
      </c>
      <c r="S58" s="21">
        <v>54000000000</v>
      </c>
      <c r="T58" s="1076">
        <v>1000000000</v>
      </c>
      <c r="U58" s="1076">
        <v>0</v>
      </c>
      <c r="V58" s="1076">
        <v>101000000000</v>
      </c>
      <c r="W58" s="1076">
        <v>0</v>
      </c>
      <c r="X58" s="1076">
        <v>0</v>
      </c>
      <c r="Y58" s="1008">
        <v>0</v>
      </c>
      <c r="Z58" s="1008">
        <v>0</v>
      </c>
      <c r="AA58" s="1008">
        <v>0</v>
      </c>
      <c r="AB58" s="1007"/>
      <c r="AC58" s="1007"/>
      <c r="AD58" s="1007"/>
      <c r="AE58" s="527"/>
      <c r="AF58" s="527"/>
      <c r="AG58" s="527"/>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988" t="s">
        <v>7071</v>
      </c>
      <c r="B59" s="988" t="s">
        <v>7071</v>
      </c>
      <c r="C59" s="981" t="s">
        <v>124</v>
      </c>
      <c r="D59" s="1077"/>
      <c r="E59" s="1077"/>
      <c r="F59" s="1050"/>
      <c r="G59" s="1050"/>
      <c r="H59" s="1050"/>
      <c r="I59" s="1050"/>
      <c r="J59" s="1050"/>
      <c r="K59" s="1050"/>
      <c r="L59" s="1050"/>
      <c r="M59" s="1048"/>
      <c r="N59" s="1048"/>
      <c r="O59" s="1076"/>
      <c r="P59" s="1076"/>
      <c r="Q59" s="1076"/>
      <c r="R59" s="1076"/>
      <c r="S59" s="21">
        <v>366000000000</v>
      </c>
      <c r="T59" s="1076">
        <v>2454000000000</v>
      </c>
      <c r="U59" s="1076">
        <v>-1306000000000</v>
      </c>
      <c r="V59" s="1076">
        <v>346000000000</v>
      </c>
      <c r="W59" s="1076">
        <v>-641000000000</v>
      </c>
      <c r="X59" s="1076">
        <v>168000000000</v>
      </c>
      <c r="Y59" s="1008">
        <v>526000000000</v>
      </c>
      <c r="Z59" s="1008">
        <v>928000000000</v>
      </c>
      <c r="AA59" s="1008">
        <v>1505000000000</v>
      </c>
      <c r="AB59" s="1007"/>
      <c r="AC59" s="1007"/>
      <c r="AD59" s="1007"/>
      <c r="AE59" s="527"/>
      <c r="AF59" s="527"/>
      <c r="AG59" s="527"/>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988" t="s">
        <v>4649</v>
      </c>
      <c r="B60" s="988" t="s">
        <v>4650</v>
      </c>
      <c r="C60" s="981" t="s">
        <v>124</v>
      </c>
      <c r="D60" s="1077">
        <v>-7132300000</v>
      </c>
      <c r="E60" s="1077">
        <v>-18965199999.999996</v>
      </c>
      <c r="F60" s="1050">
        <v>-27387800000.000004</v>
      </c>
      <c r="G60" s="1050">
        <v>138556000000</v>
      </c>
      <c r="H60" s="1050">
        <v>-53800000000</v>
      </c>
      <c r="I60" s="1050">
        <v>-164020000000</v>
      </c>
      <c r="J60" s="1050">
        <v>-438370000000</v>
      </c>
      <c r="K60" s="1050">
        <v>-174799999999.99997</v>
      </c>
      <c r="L60" s="1050">
        <v>249000000000</v>
      </c>
      <c r="M60" s="1048">
        <v>198000000000</v>
      </c>
      <c r="N60" s="1048">
        <v>-112000000000</v>
      </c>
      <c r="O60" s="1076">
        <v>95000000000</v>
      </c>
      <c r="P60" s="1076">
        <v>-1835000000000</v>
      </c>
      <c r="Q60" s="1076">
        <v>1599000000000</v>
      </c>
      <c r="R60" s="1076">
        <v>1226000000000</v>
      </c>
      <c r="S60" s="978"/>
      <c r="T60" s="1076"/>
      <c r="U60" s="1076"/>
      <c r="V60" s="1076"/>
      <c r="W60" s="1076"/>
      <c r="X60" s="1076"/>
      <c r="Y60" s="1008"/>
      <c r="Z60" s="1008"/>
      <c r="AA60" s="1008"/>
      <c r="AB60" s="1007"/>
      <c r="AC60" s="1007"/>
      <c r="AD60" s="1007"/>
      <c r="AE60" s="527"/>
      <c r="AF60" s="527"/>
      <c r="AG60" s="527"/>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988" t="s">
        <v>4651</v>
      </c>
      <c r="B61" s="988" t="s">
        <v>4652</v>
      </c>
      <c r="C61" s="981" t="s">
        <v>124</v>
      </c>
      <c r="D61" s="1077">
        <v>4075600000.0000005</v>
      </c>
      <c r="E61" s="1077">
        <v>0</v>
      </c>
      <c r="F61" s="1050">
        <v>17428600000</v>
      </c>
      <c r="G61" s="1050">
        <v>28006000000</v>
      </c>
      <c r="H61" s="1050">
        <v>15063999999.999998</v>
      </c>
      <c r="I61" s="1050">
        <v>0</v>
      </c>
      <c r="J61" s="1050">
        <v>14860000000</v>
      </c>
      <c r="K61" s="1050">
        <v>0</v>
      </c>
      <c r="L61" s="1050">
        <v>0</v>
      </c>
      <c r="M61" s="1048">
        <v>-73000000000</v>
      </c>
      <c r="N61" s="1048">
        <v>36000000000</v>
      </c>
      <c r="O61" s="1076">
        <v>461000000000</v>
      </c>
      <c r="P61" s="1076">
        <v>376000000000</v>
      </c>
      <c r="Q61" s="1076">
        <v>-77000000000</v>
      </c>
      <c r="R61" s="1076">
        <v>-470000000000</v>
      </c>
      <c r="S61" s="978"/>
      <c r="T61" s="2612"/>
      <c r="U61" s="2612"/>
      <c r="V61" s="2612"/>
      <c r="W61" s="2612"/>
      <c r="X61" s="2612"/>
      <c r="Y61" s="2612"/>
      <c r="Z61" s="2612"/>
      <c r="AA61" s="2612"/>
      <c r="AB61" s="1007"/>
      <c r="AC61" s="1007"/>
      <c r="AD61" s="1007"/>
      <c r="AE61" s="527"/>
      <c r="AF61" s="527"/>
      <c r="AG61" s="527"/>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972" t="s">
        <v>236</v>
      </c>
      <c r="B62" s="997" t="s">
        <v>4653</v>
      </c>
      <c r="C62" s="981" t="s">
        <v>124</v>
      </c>
      <c r="D62" s="1050"/>
      <c r="E62" s="1050"/>
      <c r="F62" s="1050">
        <v>0</v>
      </c>
      <c r="G62" s="1050">
        <v>7370000000</v>
      </c>
      <c r="H62" s="1050">
        <v>0</v>
      </c>
      <c r="I62" s="1050">
        <v>-5560000000.000001</v>
      </c>
      <c r="J62" s="1050"/>
      <c r="K62" s="1050"/>
      <c r="L62" s="1050"/>
      <c r="M62" s="1048"/>
      <c r="N62" s="1048"/>
      <c r="O62" s="1076"/>
      <c r="P62" s="1076"/>
      <c r="Q62" s="1076"/>
      <c r="R62" s="1076"/>
      <c r="S62" s="21">
        <v>1170000000000</v>
      </c>
      <c r="T62" s="1076">
        <v>396000000000</v>
      </c>
      <c r="U62" s="1076">
        <v>-242000000000</v>
      </c>
      <c r="V62" s="1076">
        <v>0</v>
      </c>
      <c r="W62" s="1076">
        <v>0</v>
      </c>
      <c r="X62" s="1076">
        <v>0</v>
      </c>
      <c r="Y62" s="1008">
        <v>0</v>
      </c>
      <c r="Z62" s="1008">
        <v>0</v>
      </c>
      <c r="AA62" s="1008">
        <v>0</v>
      </c>
      <c r="AB62" s="1007"/>
      <c r="AC62" s="1007"/>
      <c r="AD62" s="1007"/>
      <c r="AE62" s="527"/>
      <c r="AF62" s="527"/>
      <c r="AG62" s="527"/>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972" t="s">
        <v>7072</v>
      </c>
      <c r="B63" s="988" t="s">
        <v>4654</v>
      </c>
      <c r="C63" s="981" t="s">
        <v>124</v>
      </c>
      <c r="D63" s="1050"/>
      <c r="E63" s="1050"/>
      <c r="F63" s="1050"/>
      <c r="G63" s="1050"/>
      <c r="H63" s="1050"/>
      <c r="I63" s="1050"/>
      <c r="J63" s="1050"/>
      <c r="K63" s="1050"/>
      <c r="L63" s="1050">
        <v>0</v>
      </c>
      <c r="M63" s="1048">
        <v>0</v>
      </c>
      <c r="N63" s="1048">
        <v>0</v>
      </c>
      <c r="O63" s="1076">
        <v>-241000000000</v>
      </c>
      <c r="P63" s="1076">
        <v>-87000000000</v>
      </c>
      <c r="Q63" s="1076">
        <v>-47000000000</v>
      </c>
      <c r="R63" s="1076">
        <v>78000000000</v>
      </c>
      <c r="S63" s="978"/>
      <c r="T63" s="1076"/>
      <c r="U63" s="969"/>
      <c r="V63" s="969"/>
      <c r="W63" s="969"/>
      <c r="X63" s="969"/>
      <c r="Y63" s="1007"/>
      <c r="Z63" s="1007"/>
      <c r="AA63" s="1007"/>
      <c r="AB63" s="1007"/>
      <c r="AC63" s="1007"/>
      <c r="AD63" s="1007"/>
      <c r="AE63" s="527"/>
      <c r="AF63" s="527"/>
      <c r="AG63" s="527"/>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B64" s="988"/>
      <c r="C64" s="975"/>
      <c r="S64" s="969"/>
      <c r="T64" s="969"/>
      <c r="U64" s="969"/>
      <c r="V64" s="969"/>
      <c r="W64" s="969"/>
      <c r="X64" s="969"/>
      <c r="Y64" s="1007"/>
      <c r="Z64" s="1007"/>
      <c r="AA64" s="1007"/>
      <c r="AB64" s="1007"/>
      <c r="AC64" s="1007"/>
      <c r="AD64" s="1007"/>
      <c r="AE64" s="527"/>
      <c r="AF64" s="527"/>
      <c r="AG64" s="527"/>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B65" s="988"/>
      <c r="C65" s="975"/>
      <c r="D65" s="972" t="s">
        <v>139</v>
      </c>
      <c r="E65" s="972" t="s">
        <v>139</v>
      </c>
      <c r="F65" s="972" t="s">
        <v>139</v>
      </c>
      <c r="G65" s="972" t="s">
        <v>139</v>
      </c>
      <c r="H65" s="972" t="s">
        <v>139</v>
      </c>
      <c r="I65" s="972" t="s">
        <v>139</v>
      </c>
      <c r="J65" s="972" t="s">
        <v>139</v>
      </c>
      <c r="K65" s="972" t="s">
        <v>139</v>
      </c>
      <c r="L65" s="972" t="s">
        <v>139</v>
      </c>
      <c r="M65" s="972" t="s">
        <v>139</v>
      </c>
      <c r="N65" s="972" t="s">
        <v>139</v>
      </c>
      <c r="O65" s="972" t="s">
        <v>139</v>
      </c>
      <c r="P65" s="972" t="s">
        <v>139</v>
      </c>
      <c r="Q65" s="972" t="s">
        <v>139</v>
      </c>
      <c r="R65" s="972" t="s">
        <v>139</v>
      </c>
      <c r="S65" s="972" t="s">
        <v>139</v>
      </c>
      <c r="T65" s="972" t="s">
        <v>139</v>
      </c>
      <c r="U65" s="972" t="s">
        <v>139</v>
      </c>
      <c r="V65" s="972" t="s">
        <v>139</v>
      </c>
      <c r="W65" s="972" t="s">
        <v>139</v>
      </c>
      <c r="X65" s="972" t="s">
        <v>139</v>
      </c>
      <c r="Y65" s="972" t="s">
        <v>139</v>
      </c>
      <c r="Z65" s="972" t="s">
        <v>139</v>
      </c>
      <c r="AA65" s="972" t="s">
        <v>139</v>
      </c>
      <c r="AB65" s="1007"/>
      <c r="AC65" s="1007"/>
      <c r="AD65" s="1007"/>
      <c r="AE65" s="527"/>
      <c r="AF65" s="527"/>
      <c r="AG65" s="527"/>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6.5" thickBot="1">
      <c r="B66" s="1090"/>
      <c r="C66" s="1091"/>
      <c r="M66" s="1079"/>
      <c r="N66" s="1079"/>
      <c r="O66" s="1079"/>
      <c r="P66" s="1079"/>
      <c r="Q66" s="1079"/>
      <c r="R66" s="1079"/>
      <c r="S66" s="969"/>
      <c r="T66" s="969"/>
      <c r="U66" s="969"/>
      <c r="V66" s="969"/>
      <c r="W66" s="969"/>
      <c r="X66" s="969"/>
      <c r="Y66" s="1007"/>
      <c r="Z66" s="1007"/>
      <c r="AA66" s="1007"/>
      <c r="AB66" s="1007"/>
      <c r="AC66" s="1007"/>
      <c r="AD66" s="1007"/>
      <c r="AE66" s="527"/>
      <c r="AF66" s="527"/>
      <c r="AG66" s="527"/>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1089"/>
      <c r="B67" s="972" t="s">
        <v>875</v>
      </c>
      <c r="C67" s="975"/>
      <c r="D67" s="1000">
        <f t="shared" ref="D67:AA67" si="4">D6-D7-D21</f>
        <v>0</v>
      </c>
      <c r="E67" s="1000">
        <f t="shared" si="4"/>
        <v>0</v>
      </c>
      <c r="F67" s="1000">
        <f t="shared" si="4"/>
        <v>0</v>
      </c>
      <c r="G67" s="1000">
        <f t="shared" si="4"/>
        <v>0</v>
      </c>
      <c r="H67" s="1000">
        <f t="shared" si="4"/>
        <v>0</v>
      </c>
      <c r="I67" s="1000">
        <f t="shared" si="4"/>
        <v>0</v>
      </c>
      <c r="J67" s="1000">
        <f t="shared" si="4"/>
        <v>0</v>
      </c>
      <c r="K67" s="1000">
        <f t="shared" si="4"/>
        <v>0</v>
      </c>
      <c r="L67" s="1000">
        <f t="shared" si="4"/>
        <v>0</v>
      </c>
      <c r="M67" s="1000">
        <f t="shared" si="4"/>
        <v>0</v>
      </c>
      <c r="N67" s="1000">
        <f t="shared" si="4"/>
        <v>0</v>
      </c>
      <c r="O67" s="1000">
        <f t="shared" si="4"/>
        <v>-1000000000</v>
      </c>
      <c r="P67" s="1000">
        <f t="shared" si="4"/>
        <v>0</v>
      </c>
      <c r="Q67" s="1000">
        <f t="shared" si="4"/>
        <v>1000000000</v>
      </c>
      <c r="R67" s="1000">
        <f t="shared" si="4"/>
        <v>0</v>
      </c>
      <c r="S67" s="1000">
        <f t="shared" si="4"/>
        <v>0</v>
      </c>
      <c r="T67" s="1000">
        <f t="shared" si="4"/>
        <v>1000000000</v>
      </c>
      <c r="U67" s="1000">
        <f t="shared" si="4"/>
        <v>0</v>
      </c>
      <c r="V67" s="1000">
        <f t="shared" si="4"/>
        <v>0</v>
      </c>
      <c r="W67" s="1000">
        <f t="shared" si="4"/>
        <v>1000000000</v>
      </c>
      <c r="X67" s="1000">
        <f t="shared" si="4"/>
        <v>0</v>
      </c>
      <c r="Y67" s="1000">
        <f t="shared" si="4"/>
        <v>0</v>
      </c>
      <c r="Z67" s="1000">
        <f t="shared" si="4"/>
        <v>0</v>
      </c>
      <c r="AA67" s="1000">
        <f t="shared" si="4"/>
        <v>0</v>
      </c>
      <c r="AB67" s="1007"/>
      <c r="AC67" s="1007"/>
      <c r="AD67" s="1007"/>
      <c r="AE67" s="527"/>
      <c r="AF67" s="527"/>
      <c r="AG67" s="527"/>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1089"/>
      <c r="B68" s="972" t="s">
        <v>524</v>
      </c>
      <c r="C68" s="975"/>
      <c r="D68" s="1000">
        <f t="shared" ref="D68:AA68" si="5">D7-D10-D20</f>
        <v>0</v>
      </c>
      <c r="E68" s="1000">
        <f t="shared" si="5"/>
        <v>0</v>
      </c>
      <c r="F68" s="1000">
        <f t="shared" si="5"/>
        <v>0</v>
      </c>
      <c r="G68" s="1000">
        <f t="shared" si="5"/>
        <v>0</v>
      </c>
      <c r="H68" s="1000">
        <f t="shared" si="5"/>
        <v>0</v>
      </c>
      <c r="I68" s="1000">
        <f t="shared" si="5"/>
        <v>0</v>
      </c>
      <c r="J68" s="1000">
        <f t="shared" si="5"/>
        <v>0</v>
      </c>
      <c r="K68" s="1000">
        <f t="shared" si="5"/>
        <v>0</v>
      </c>
      <c r="L68" s="1000">
        <f t="shared" si="5"/>
        <v>0</v>
      </c>
      <c r="M68" s="1000">
        <f t="shared" si="5"/>
        <v>0</v>
      </c>
      <c r="N68" s="1000">
        <f t="shared" si="5"/>
        <v>0</v>
      </c>
      <c r="O68" s="1000">
        <f t="shared" si="5"/>
        <v>1000000000</v>
      </c>
      <c r="P68" s="1000">
        <f t="shared" si="5"/>
        <v>0</v>
      </c>
      <c r="Q68" s="1000">
        <f t="shared" si="5"/>
        <v>-1000000000</v>
      </c>
      <c r="R68" s="1000">
        <f t="shared" si="5"/>
        <v>0</v>
      </c>
      <c r="S68" s="1000">
        <f t="shared" si="5"/>
        <v>0</v>
      </c>
      <c r="T68" s="1000">
        <f t="shared" si="5"/>
        <v>-1000000000</v>
      </c>
      <c r="U68" s="1000">
        <f t="shared" si="5"/>
        <v>0</v>
      </c>
      <c r="V68" s="1000">
        <f t="shared" si="5"/>
        <v>0</v>
      </c>
      <c r="W68" s="1000">
        <f t="shared" si="5"/>
        <v>-1000000000</v>
      </c>
      <c r="X68" s="1000">
        <f t="shared" si="5"/>
        <v>0</v>
      </c>
      <c r="Y68" s="1000">
        <f t="shared" si="5"/>
        <v>-1000000000</v>
      </c>
      <c r="Z68" s="1000">
        <f t="shared" si="5"/>
        <v>0</v>
      </c>
      <c r="AA68" s="1000">
        <f t="shared" si="5"/>
        <v>0</v>
      </c>
      <c r="AB68" s="1007"/>
      <c r="AC68" s="1007"/>
      <c r="AD68" s="1007"/>
      <c r="AE68" s="527"/>
      <c r="AF68" s="527"/>
      <c r="AG68" s="527"/>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1089"/>
      <c r="B69" s="972" t="s">
        <v>142</v>
      </c>
      <c r="C69" s="975"/>
      <c r="D69" s="1000">
        <f t="shared" ref="D69:AA69" si="6">D10-D11-D15-D16-D17-D18-D19</f>
        <v>0</v>
      </c>
      <c r="E69" s="1000">
        <f t="shared" si="6"/>
        <v>-4.57763671875E-5</v>
      </c>
      <c r="F69" s="1000">
        <f t="shared" si="6"/>
        <v>0</v>
      </c>
      <c r="G69" s="1000">
        <f t="shared" si="6"/>
        <v>0</v>
      </c>
      <c r="H69" s="1000">
        <f t="shared" si="6"/>
        <v>0</v>
      </c>
      <c r="I69" s="1000">
        <f t="shared" si="6"/>
        <v>0</v>
      </c>
      <c r="J69" s="1000">
        <f t="shared" si="6"/>
        <v>0</v>
      </c>
      <c r="K69" s="1000">
        <f t="shared" si="6"/>
        <v>0</v>
      </c>
      <c r="L69" s="1000">
        <f t="shared" si="6"/>
        <v>1000000000</v>
      </c>
      <c r="M69" s="1000">
        <f t="shared" si="6"/>
        <v>0</v>
      </c>
      <c r="N69" s="1000">
        <f t="shared" si="6"/>
        <v>0</v>
      </c>
      <c r="O69" s="1000">
        <f t="shared" si="6"/>
        <v>0</v>
      </c>
      <c r="P69" s="1000">
        <f t="shared" si="6"/>
        <v>0</v>
      </c>
      <c r="Q69" s="1000">
        <f t="shared" si="6"/>
        <v>1000000000</v>
      </c>
      <c r="R69" s="1000">
        <f t="shared" si="6"/>
        <v>1000000000</v>
      </c>
      <c r="S69" s="1000">
        <f t="shared" si="6"/>
        <v>0</v>
      </c>
      <c r="T69" s="1000">
        <f t="shared" si="6"/>
        <v>1000000000</v>
      </c>
      <c r="U69" s="1000">
        <f t="shared" si="6"/>
        <v>0</v>
      </c>
      <c r="V69" s="1000">
        <f t="shared" si="6"/>
        <v>-1000000000</v>
      </c>
      <c r="W69" s="1000">
        <f t="shared" si="6"/>
        <v>1000000000</v>
      </c>
      <c r="X69" s="1000">
        <f t="shared" si="6"/>
        <v>-1000000000</v>
      </c>
      <c r="Y69" s="1000">
        <f t="shared" si="6"/>
        <v>0</v>
      </c>
      <c r="Z69" s="1000">
        <f t="shared" si="6"/>
        <v>1000000000</v>
      </c>
      <c r="AA69" s="1000">
        <f t="shared" si="6"/>
        <v>1000000000</v>
      </c>
      <c r="AB69" s="1007"/>
      <c r="AC69" s="1007"/>
      <c r="AD69" s="1007"/>
      <c r="AE69" s="527"/>
      <c r="AF69" s="527"/>
      <c r="AG69" s="527"/>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1089"/>
      <c r="B70" s="972" t="s">
        <v>716</v>
      </c>
      <c r="C70" s="975"/>
      <c r="D70" s="1000">
        <f t="shared" ref="D70:J70" si="7">D11-D12-D13-D14</f>
        <v>7.62939453125E-6</v>
      </c>
      <c r="E70" s="1000">
        <f t="shared" si="7"/>
        <v>3.814697265625E-6</v>
      </c>
      <c r="F70" s="1000">
        <f t="shared" si="7"/>
        <v>-1.1444091796875E-5</v>
      </c>
      <c r="G70" s="1000">
        <f t="shared" si="7"/>
        <v>0</v>
      </c>
      <c r="H70" s="1000">
        <f t="shared" si="7"/>
        <v>1.52587890625E-5</v>
      </c>
      <c r="I70" s="1000">
        <f t="shared" si="7"/>
        <v>1.52587890625E-5</v>
      </c>
      <c r="J70" s="1000">
        <f t="shared" si="7"/>
        <v>0</v>
      </c>
      <c r="K70" s="1000"/>
      <c r="L70" s="1000"/>
      <c r="M70" s="1000"/>
      <c r="N70" s="1000"/>
      <c r="O70" s="1000"/>
      <c r="P70" s="1000"/>
      <c r="Q70" s="1000"/>
      <c r="R70" s="1000"/>
      <c r="S70" s="1000"/>
      <c r="T70" s="1000"/>
      <c r="U70" s="1000"/>
      <c r="V70" s="1000"/>
      <c r="W70" s="1000"/>
      <c r="X70" s="1000"/>
      <c r="Y70" s="1000"/>
      <c r="Z70" s="1000"/>
      <c r="AA70" s="1000"/>
      <c r="AB70" s="1007"/>
      <c r="AC70" s="1007"/>
      <c r="AD70" s="1007"/>
      <c r="AE70" s="527"/>
      <c r="AF70" s="527"/>
      <c r="AG70" s="527"/>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1089"/>
      <c r="B71" s="972" t="s">
        <v>2342</v>
      </c>
      <c r="C71" s="975"/>
      <c r="D71" s="1000">
        <f t="shared" ref="D71:AA71" si="8">D23-D24-D32-D36</f>
        <v>0</v>
      </c>
      <c r="E71" s="1000">
        <f t="shared" si="8"/>
        <v>0</v>
      </c>
      <c r="F71" s="1000">
        <f t="shared" si="8"/>
        <v>0</v>
      </c>
      <c r="G71" s="1000">
        <f t="shared" si="8"/>
        <v>0</v>
      </c>
      <c r="H71" s="1000">
        <f t="shared" si="8"/>
        <v>0</v>
      </c>
      <c r="I71" s="1000">
        <f t="shared" si="8"/>
        <v>0</v>
      </c>
      <c r="J71" s="1000">
        <f t="shared" si="8"/>
        <v>0</v>
      </c>
      <c r="K71" s="1000">
        <f t="shared" si="8"/>
        <v>0</v>
      </c>
      <c r="L71" s="1000">
        <f t="shared" si="8"/>
        <v>0</v>
      </c>
      <c r="M71" s="1000">
        <f t="shared" si="8"/>
        <v>0</v>
      </c>
      <c r="N71" s="1000">
        <f t="shared" si="8"/>
        <v>0</v>
      </c>
      <c r="O71" s="1000">
        <f t="shared" si="8"/>
        <v>0</v>
      </c>
      <c r="P71" s="1000">
        <f t="shared" si="8"/>
        <v>0</v>
      </c>
      <c r="Q71" s="1000">
        <f t="shared" si="8"/>
        <v>0</v>
      </c>
      <c r="R71" s="1000">
        <f t="shared" si="8"/>
        <v>0</v>
      </c>
      <c r="S71" s="1000">
        <f t="shared" si="8"/>
        <v>0</v>
      </c>
      <c r="T71" s="1000">
        <f t="shared" si="8"/>
        <v>0</v>
      </c>
      <c r="U71" s="1000">
        <f t="shared" si="8"/>
        <v>0</v>
      </c>
      <c r="V71" s="1000">
        <f t="shared" si="8"/>
        <v>0</v>
      </c>
      <c r="W71" s="1000">
        <f t="shared" si="8"/>
        <v>0</v>
      </c>
      <c r="X71" s="1000">
        <f t="shared" si="8"/>
        <v>0</v>
      </c>
      <c r="Y71" s="1000">
        <f t="shared" si="8"/>
        <v>0</v>
      </c>
      <c r="Z71" s="1000">
        <f t="shared" si="8"/>
        <v>0</v>
      </c>
      <c r="AA71" s="1000">
        <f t="shared" si="8"/>
        <v>0</v>
      </c>
      <c r="AB71" s="1007"/>
      <c r="AC71" s="1007"/>
      <c r="AD71" s="1007"/>
      <c r="AE71" s="527"/>
      <c r="AF71" s="527"/>
      <c r="AG71" s="527"/>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1089"/>
      <c r="B72" s="972" t="s">
        <v>289</v>
      </c>
      <c r="C72" s="975"/>
      <c r="D72" s="1000">
        <f t="shared" ref="D72:AA72" si="9">D24-D25-D26-D27-D28-D30-D29</f>
        <v>7.62939453125E-5</v>
      </c>
      <c r="E72" s="1000">
        <f t="shared" si="9"/>
        <v>0</v>
      </c>
      <c r="F72" s="1000">
        <f t="shared" si="9"/>
        <v>0</v>
      </c>
      <c r="G72" s="1000">
        <f t="shared" si="9"/>
        <v>0</v>
      </c>
      <c r="H72" s="1000">
        <f t="shared" si="9"/>
        <v>3.0517578125E-5</v>
      </c>
      <c r="I72" s="1000">
        <f t="shared" si="9"/>
        <v>-3.0517578125E-5</v>
      </c>
      <c r="J72" s="1000">
        <f t="shared" si="9"/>
        <v>6.103515625E-5</v>
      </c>
      <c r="K72" s="1000">
        <f t="shared" si="9"/>
        <v>5.7220458984375E-5</v>
      </c>
      <c r="L72" s="1000">
        <f t="shared" si="9"/>
        <v>0</v>
      </c>
      <c r="M72" s="1000">
        <f t="shared" si="9"/>
        <v>-1000000000</v>
      </c>
      <c r="N72" s="1000">
        <f t="shared" si="9"/>
        <v>0</v>
      </c>
      <c r="O72" s="1000">
        <f t="shared" si="9"/>
        <v>0</v>
      </c>
      <c r="P72" s="1000">
        <f t="shared" si="9"/>
        <v>0</v>
      </c>
      <c r="Q72" s="1000">
        <f t="shared" si="9"/>
        <v>0</v>
      </c>
      <c r="R72" s="1000">
        <f t="shared" si="9"/>
        <v>0</v>
      </c>
      <c r="S72" s="1000">
        <f t="shared" si="9"/>
        <v>0</v>
      </c>
      <c r="T72" s="1000">
        <f t="shared" si="9"/>
        <v>1000000000</v>
      </c>
      <c r="U72" s="1000">
        <f t="shared" si="9"/>
        <v>0</v>
      </c>
      <c r="V72" s="1000">
        <f t="shared" si="9"/>
        <v>-1000000000</v>
      </c>
      <c r="W72" s="1000">
        <f t="shared" si="9"/>
        <v>1000000000</v>
      </c>
      <c r="X72" s="1000">
        <f t="shared" si="9"/>
        <v>1000000000</v>
      </c>
      <c r="Y72" s="1000">
        <f t="shared" si="9"/>
        <v>1000000000</v>
      </c>
      <c r="Z72" s="1000">
        <f t="shared" si="9"/>
        <v>0</v>
      </c>
      <c r="AA72" s="1000">
        <f t="shared" si="9"/>
        <v>1000000000</v>
      </c>
      <c r="AB72" s="1007"/>
      <c r="AC72" s="1007"/>
      <c r="AD72" s="1007"/>
      <c r="AE72" s="527"/>
      <c r="AF72" s="527"/>
      <c r="AG72" s="527"/>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1089"/>
      <c r="B73" s="972" t="s">
        <v>2931</v>
      </c>
      <c r="C73" s="975"/>
      <c r="D73" s="995">
        <f t="shared" ref="D73:AA73" si="10">D32-D33-D34</f>
        <v>-8.58306884765625E-6</v>
      </c>
      <c r="E73" s="972">
        <f t="shared" si="10"/>
        <v>0</v>
      </c>
      <c r="F73" s="972">
        <f t="shared" si="10"/>
        <v>0</v>
      </c>
      <c r="G73" s="995">
        <f t="shared" si="10"/>
        <v>0</v>
      </c>
      <c r="H73" s="995">
        <f t="shared" si="10"/>
        <v>0</v>
      </c>
      <c r="I73" s="995">
        <f t="shared" si="10"/>
        <v>0</v>
      </c>
      <c r="J73" s="995">
        <f t="shared" si="10"/>
        <v>3.0517578125E-5</v>
      </c>
      <c r="K73" s="1003">
        <f t="shared" si="10"/>
        <v>460000000000</v>
      </c>
      <c r="L73" s="972">
        <f t="shared" si="10"/>
        <v>0</v>
      </c>
      <c r="M73" s="972">
        <f t="shared" si="10"/>
        <v>0</v>
      </c>
      <c r="N73" s="972">
        <f t="shared" si="10"/>
        <v>1000000000</v>
      </c>
      <c r="O73" s="972">
        <f t="shared" si="10"/>
        <v>1000000000</v>
      </c>
      <c r="P73" s="972">
        <f t="shared" si="10"/>
        <v>0</v>
      </c>
      <c r="Q73" s="972">
        <f t="shared" si="10"/>
        <v>0</v>
      </c>
      <c r="R73" s="972">
        <f t="shared" si="10"/>
        <v>1000000000</v>
      </c>
      <c r="S73" s="972">
        <f t="shared" si="10"/>
        <v>0</v>
      </c>
      <c r="T73" s="972">
        <f t="shared" si="10"/>
        <v>0</v>
      </c>
      <c r="U73" s="972">
        <f t="shared" si="10"/>
        <v>0</v>
      </c>
      <c r="V73" s="972">
        <f t="shared" si="10"/>
        <v>0</v>
      </c>
      <c r="W73" s="972">
        <f t="shared" si="10"/>
        <v>0</v>
      </c>
      <c r="X73" s="972">
        <f t="shared" si="10"/>
        <v>0</v>
      </c>
      <c r="Y73" s="1010">
        <f t="shared" si="10"/>
        <v>1000000000</v>
      </c>
      <c r="Z73" s="972">
        <f t="shared" si="10"/>
        <v>0</v>
      </c>
      <c r="AA73" s="972">
        <f t="shared" si="10"/>
        <v>0</v>
      </c>
      <c r="AB73" s="1007"/>
      <c r="AC73" s="1007"/>
      <c r="AD73" s="1007"/>
      <c r="AE73" s="527"/>
      <c r="AF73" s="527"/>
      <c r="AG73" s="527"/>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s="1089"/>
      <c r="B74" s="972" t="s">
        <v>4655</v>
      </c>
      <c r="C74" s="975"/>
      <c r="D74" s="995">
        <f t="shared" ref="D74:AA74" si="11">D47-D48-D57</f>
        <v>0</v>
      </c>
      <c r="E74" s="995">
        <f t="shared" si="11"/>
        <v>0</v>
      </c>
      <c r="F74" s="972">
        <f t="shared" si="11"/>
        <v>0</v>
      </c>
      <c r="G74" s="995">
        <f t="shared" si="11"/>
        <v>0</v>
      </c>
      <c r="H74" s="972">
        <f t="shared" si="11"/>
        <v>0</v>
      </c>
      <c r="I74" s="995">
        <f t="shared" si="11"/>
        <v>0</v>
      </c>
      <c r="J74" s="972">
        <f t="shared" si="11"/>
        <v>0</v>
      </c>
      <c r="K74" s="972">
        <f t="shared" si="11"/>
        <v>0</v>
      </c>
      <c r="L74" s="972">
        <f t="shared" si="11"/>
        <v>-1000000000</v>
      </c>
      <c r="M74" s="972">
        <f t="shared" si="11"/>
        <v>0</v>
      </c>
      <c r="N74" s="972">
        <f t="shared" si="11"/>
        <v>0</v>
      </c>
      <c r="O74" s="972">
        <f t="shared" si="11"/>
        <v>1000000000</v>
      </c>
      <c r="P74" s="972">
        <f t="shared" si="11"/>
        <v>0</v>
      </c>
      <c r="Q74" s="972">
        <f t="shared" si="11"/>
        <v>0</v>
      </c>
      <c r="R74" s="972">
        <f t="shared" si="11"/>
        <v>0</v>
      </c>
      <c r="S74" s="972">
        <f t="shared" si="11"/>
        <v>0</v>
      </c>
      <c r="T74" s="972">
        <f t="shared" si="11"/>
        <v>1000000000</v>
      </c>
      <c r="U74" s="972">
        <f t="shared" si="11"/>
        <v>0</v>
      </c>
      <c r="V74" s="972">
        <f t="shared" si="11"/>
        <v>0</v>
      </c>
      <c r="W74" s="972">
        <f t="shared" si="11"/>
        <v>0</v>
      </c>
      <c r="X74" s="972">
        <f t="shared" si="11"/>
        <v>0</v>
      </c>
      <c r="Y74" s="972">
        <f t="shared" si="11"/>
        <v>0</v>
      </c>
      <c r="Z74" s="972">
        <f t="shared" si="11"/>
        <v>0</v>
      </c>
      <c r="AA74" s="972">
        <f t="shared" si="11"/>
        <v>0</v>
      </c>
      <c r="AB74" s="1007"/>
      <c r="AC74" s="1007"/>
      <c r="AD74" s="1007"/>
      <c r="AE74" s="527"/>
      <c r="AF74" s="527"/>
      <c r="AG74" s="527"/>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s="1089"/>
      <c r="B75" s="972" t="s">
        <v>458</v>
      </c>
      <c r="C75" s="975"/>
      <c r="D75" s="995">
        <f t="shared" ref="D75:I75" si="12">D48-D50-D55-D56</f>
        <v>-1.52587890625E-5</v>
      </c>
      <c r="E75" s="995">
        <f t="shared" si="12"/>
        <v>0</v>
      </c>
      <c r="F75" s="995">
        <f t="shared" si="12"/>
        <v>0</v>
      </c>
      <c r="G75" s="995">
        <f t="shared" si="12"/>
        <v>0</v>
      </c>
      <c r="H75" s="995">
        <f t="shared" si="12"/>
        <v>0</v>
      </c>
      <c r="I75" s="995">
        <f t="shared" si="12"/>
        <v>0</v>
      </c>
      <c r="J75" s="995">
        <f>J48-J50-J55</f>
        <v>0</v>
      </c>
      <c r="K75" s="995">
        <f>K48-K50-K55</f>
        <v>0</v>
      </c>
      <c r="AB75" s="1007"/>
      <c r="AC75" s="1007"/>
      <c r="AD75" s="1007"/>
      <c r="AE75" s="527"/>
      <c r="AF75" s="527"/>
      <c r="AG75" s="527"/>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s="1089"/>
      <c r="B76" s="972" t="s">
        <v>1705</v>
      </c>
      <c r="C76" s="975"/>
      <c r="D76" s="995">
        <f t="shared" ref="D76:AA76" si="13">D50-D51-D52-D53-D54</f>
        <v>5.7220458984375E-6</v>
      </c>
      <c r="E76" s="995">
        <f t="shared" si="13"/>
        <v>0</v>
      </c>
      <c r="F76" s="1003">
        <f t="shared" si="13"/>
        <v>97102200000.000015</v>
      </c>
      <c r="G76" s="1003">
        <f t="shared" si="13"/>
        <v>193094000000</v>
      </c>
      <c r="H76" s="1003">
        <f t="shared" si="13"/>
        <v>92536000000</v>
      </c>
      <c r="I76" s="1003">
        <f t="shared" si="13"/>
        <v>111200000000</v>
      </c>
      <c r="J76" s="995">
        <f t="shared" si="13"/>
        <v>0</v>
      </c>
      <c r="K76" s="995">
        <f t="shared" si="13"/>
        <v>0</v>
      </c>
      <c r="L76" s="995">
        <f t="shared" si="13"/>
        <v>0</v>
      </c>
      <c r="M76" s="995">
        <f t="shared" si="13"/>
        <v>0</v>
      </c>
      <c r="N76" s="995">
        <f t="shared" si="13"/>
        <v>0</v>
      </c>
      <c r="O76" s="995">
        <f t="shared" si="13"/>
        <v>0</v>
      </c>
      <c r="P76" s="995">
        <f t="shared" si="13"/>
        <v>0</v>
      </c>
      <c r="Q76" s="995">
        <f t="shared" si="13"/>
        <v>0</v>
      </c>
      <c r="R76" s="995">
        <f t="shared" si="13"/>
        <v>0</v>
      </c>
      <c r="S76" s="995">
        <f t="shared" si="13"/>
        <v>505000000000</v>
      </c>
      <c r="T76" s="1070">
        <f t="shared" si="13"/>
        <v>1350000000000</v>
      </c>
      <c r="U76" s="1070">
        <f t="shared" si="13"/>
        <v>1881000000000</v>
      </c>
      <c r="V76" s="1070">
        <f t="shared" si="13"/>
        <v>2914000000000</v>
      </c>
      <c r="W76" s="1070">
        <f t="shared" si="13"/>
        <v>3708000000000</v>
      </c>
      <c r="X76" s="1070">
        <f t="shared" si="13"/>
        <v>2501000000000</v>
      </c>
      <c r="Y76" s="1070">
        <f t="shared" si="13"/>
        <v>3079000000000</v>
      </c>
      <c r="Z76" s="1070">
        <f t="shared" si="13"/>
        <v>3963000000000</v>
      </c>
      <c r="AA76" s="1070">
        <f t="shared" si="13"/>
        <v>3577000000000</v>
      </c>
      <c r="AB76" s="1007"/>
      <c r="AC76" s="1007"/>
      <c r="AD76" s="1007"/>
      <c r="AE76" s="527"/>
      <c r="AF76" s="527"/>
      <c r="AG76" s="527"/>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ht="16.5" thickBot="1">
      <c r="A77" s="1089"/>
      <c r="B77" s="1092" t="s">
        <v>297</v>
      </c>
      <c r="C77" s="1091"/>
      <c r="D77" s="995">
        <f t="shared" ref="D77:AA77" si="14">D57-D60-D61-D58-D63</f>
        <v>0</v>
      </c>
      <c r="E77" s="995">
        <f t="shared" si="14"/>
        <v>9.5367431640625E-7</v>
      </c>
      <c r="F77" s="995">
        <f t="shared" si="14"/>
        <v>0</v>
      </c>
      <c r="G77" s="995">
        <f>G57-G60-G61-G58-G62</f>
        <v>0</v>
      </c>
      <c r="H77" s="995">
        <f t="shared" si="14"/>
        <v>1.9073486328125E-6</v>
      </c>
      <c r="I77" s="995">
        <f t="shared" si="14"/>
        <v>0</v>
      </c>
      <c r="J77" s="995">
        <f t="shared" si="14"/>
        <v>0</v>
      </c>
      <c r="K77" s="995">
        <f t="shared" si="14"/>
        <v>0</v>
      </c>
      <c r="L77" s="995">
        <f t="shared" si="14"/>
        <v>0</v>
      </c>
      <c r="M77" s="995">
        <f t="shared" si="14"/>
        <v>0</v>
      </c>
      <c r="N77" s="995">
        <f t="shared" si="14"/>
        <v>0</v>
      </c>
      <c r="O77" s="995">
        <f t="shared" si="14"/>
        <v>0</v>
      </c>
      <c r="P77" s="995">
        <f t="shared" si="14"/>
        <v>0</v>
      </c>
      <c r="Q77" s="995">
        <f t="shared" si="14"/>
        <v>1000000000</v>
      </c>
      <c r="R77" s="995">
        <f t="shared" si="14"/>
        <v>1000000000</v>
      </c>
      <c r="S77" s="995">
        <f t="shared" si="14"/>
        <v>1536000000000</v>
      </c>
      <c r="T77" s="995">
        <f t="shared" si="14"/>
        <v>2849000000000</v>
      </c>
      <c r="U77" s="995">
        <f t="shared" si="14"/>
        <v>-1548000000000</v>
      </c>
      <c r="V77" s="995">
        <f t="shared" si="14"/>
        <v>346000000000</v>
      </c>
      <c r="W77" s="995">
        <f t="shared" si="14"/>
        <v>-641000000000</v>
      </c>
      <c r="X77" s="995">
        <f t="shared" si="14"/>
        <v>168000000000</v>
      </c>
      <c r="Y77" s="995">
        <f t="shared" si="14"/>
        <v>526000000000</v>
      </c>
      <c r="Z77" s="995">
        <f t="shared" si="14"/>
        <v>928000000000</v>
      </c>
      <c r="AA77" s="995">
        <f t="shared" si="14"/>
        <v>1505000000000</v>
      </c>
      <c r="AB77" s="1007"/>
      <c r="AC77" s="1007"/>
      <c r="AD77" s="1007"/>
      <c r="AE77" s="527"/>
      <c r="AF77" s="527"/>
      <c r="AG77" s="527"/>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Y78" s="1007"/>
      <c r="Z78" s="1007"/>
      <c r="AA78" s="1007"/>
      <c r="AB78" s="1007"/>
      <c r="AC78" s="1007"/>
      <c r="AD78" s="1007"/>
      <c r="AE78" s="527"/>
      <c r="AF78" s="527"/>
      <c r="AG78" s="527"/>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ht="16.5" thickBot="1">
      <c r="E79" s="995"/>
    </row>
    <row r="80" spans="1:56" ht="16.5" thickBot="1">
      <c r="B80" s="972" t="s">
        <v>1040</v>
      </c>
      <c r="D80" s="1080">
        <v>1224062000000</v>
      </c>
      <c r="E80" s="1081">
        <v>1391878000000</v>
      </c>
      <c r="F80" s="1081">
        <v>1550610000000</v>
      </c>
      <c r="G80" s="1081">
        <v>1829072000000</v>
      </c>
      <c r="H80" s="1081">
        <v>2361157000000</v>
      </c>
      <c r="I80" s="1081">
        <v>3041406000000</v>
      </c>
      <c r="J80" s="1081">
        <v>4027559000000</v>
      </c>
      <c r="K80" s="1081">
        <v>4956647000000</v>
      </c>
      <c r="L80" s="1081">
        <v>6555569000000</v>
      </c>
      <c r="M80" s="1081">
        <v>6590637000000</v>
      </c>
      <c r="N80" s="1081">
        <v>8414504999999.999</v>
      </c>
      <c r="O80" s="1081">
        <v>11087724000000</v>
      </c>
      <c r="P80" s="1081">
        <v>14012898000000</v>
      </c>
      <c r="Q80" s="1081">
        <v>17550172999999.998</v>
      </c>
      <c r="R80" s="1082">
        <v>21133151000000</v>
      </c>
      <c r="S80" s="1082">
        <v>24866711000000</v>
      </c>
      <c r="T80" s="1082">
        <v>28259415000000</v>
      </c>
      <c r="U80" s="1082">
        <v>32256576000000</v>
      </c>
      <c r="V80" s="1082">
        <v>36570559000000</v>
      </c>
      <c r="W80" s="1083">
        <v>40983764000000</v>
      </c>
    </row>
    <row r="81" spans="2:24">
      <c r="B81" s="972" t="s">
        <v>363</v>
      </c>
      <c r="D81" s="972">
        <f t="shared" ref="D81:R81" si="15">(D6/D80)*100</f>
        <v>28.80077969906753</v>
      </c>
      <c r="E81" s="972">
        <f t="shared" si="15"/>
        <v>30.77786989951705</v>
      </c>
      <c r="F81" s="972">
        <f t="shared" si="15"/>
        <v>30.748976209362766</v>
      </c>
      <c r="G81" s="972">
        <f t="shared" si="15"/>
        <v>30.381417461969782</v>
      </c>
      <c r="H81" s="972">
        <f t="shared" si="15"/>
        <v>30.259063670903714</v>
      </c>
      <c r="I81" s="972">
        <f t="shared" si="15"/>
        <v>27.421528069583605</v>
      </c>
      <c r="J81" s="972">
        <f t="shared" si="15"/>
        <v>33.851893913906665</v>
      </c>
      <c r="K81" s="972">
        <f t="shared" si="15"/>
        <v>37.957110925994925</v>
      </c>
      <c r="L81" s="972">
        <f t="shared" si="15"/>
        <v>33.101627028866602</v>
      </c>
      <c r="M81" s="972">
        <f t="shared" si="15"/>
        <v>30.255042115048969</v>
      </c>
      <c r="N81" s="972">
        <f t="shared" si="15"/>
        <v>37.102598429735323</v>
      </c>
      <c r="O81" s="972">
        <f t="shared" si="15"/>
        <v>40.296818355146648</v>
      </c>
      <c r="P81" s="972">
        <f t="shared" si="15"/>
        <v>35.510142156176407</v>
      </c>
      <c r="Q81" s="972">
        <f t="shared" si="15"/>
        <v>34.096529988621768</v>
      </c>
      <c r="R81" s="972">
        <f t="shared" si="15"/>
        <v>28.968704193709684</v>
      </c>
    </row>
    <row r="82" spans="2:24">
      <c r="B82" s="972" t="s">
        <v>1132</v>
      </c>
      <c r="D82" s="972">
        <f t="shared" ref="D82:R82" si="16">(D22/D80)*100</f>
        <v>34.544287789344004</v>
      </c>
      <c r="E82" s="972">
        <f t="shared" si="16"/>
        <v>35.186158556999963</v>
      </c>
      <c r="F82" s="972">
        <f t="shared" si="16"/>
        <v>35.485763667201944</v>
      </c>
      <c r="G82" s="972">
        <f t="shared" si="16"/>
        <v>33.68549734510178</v>
      </c>
      <c r="H82" s="972">
        <f t="shared" si="16"/>
        <v>31.899615315711742</v>
      </c>
      <c r="I82" s="972">
        <f t="shared" si="16"/>
        <v>25.136400730451641</v>
      </c>
      <c r="J82" s="972">
        <f t="shared" si="16"/>
        <v>26.288255491725877</v>
      </c>
      <c r="K82" s="972">
        <f t="shared" si="16"/>
        <v>35.265775432464729</v>
      </c>
      <c r="L82" s="972">
        <f t="shared" si="16"/>
        <v>37.632126212080138</v>
      </c>
      <c r="M82" s="972">
        <f t="shared" si="16"/>
        <v>35.459394896123094</v>
      </c>
      <c r="N82" s="972">
        <f t="shared" si="16"/>
        <v>36.615344574636296</v>
      </c>
      <c r="O82" s="972">
        <f t="shared" si="16"/>
        <v>45.067860635780619</v>
      </c>
      <c r="P82" s="972">
        <f t="shared" si="16"/>
        <v>46.335882841650601</v>
      </c>
      <c r="Q82" s="972">
        <f t="shared" si="16"/>
        <v>43.811533937585686</v>
      </c>
      <c r="R82" s="972">
        <f t="shared" si="16"/>
        <v>40.306341444302369</v>
      </c>
    </row>
    <row r="84" spans="2:24" ht="13.5" customHeight="1">
      <c r="B84" s="972" t="s">
        <v>153</v>
      </c>
      <c r="D84" s="972" t="b">
        <f>IF(D36&lt;0, (D36/D22)*100)</f>
        <v>0</v>
      </c>
      <c r="E84" s="972" t="b">
        <f t="shared" ref="E84:X84" si="17">IF(E36&lt;0, (E36/E22)*100)</f>
        <v>0</v>
      </c>
      <c r="F84" s="972" t="b">
        <f t="shared" si="17"/>
        <v>0</v>
      </c>
      <c r="G84" s="972" t="b">
        <f t="shared" si="17"/>
        <v>0</v>
      </c>
      <c r="H84" s="972" t="b">
        <f t="shared" si="17"/>
        <v>0</v>
      </c>
      <c r="I84" s="972" t="b">
        <f t="shared" si="17"/>
        <v>0</v>
      </c>
      <c r="J84" s="972" t="b">
        <f t="shared" si="17"/>
        <v>0</v>
      </c>
      <c r="K84" s="972" t="b">
        <f t="shared" si="17"/>
        <v>0</v>
      </c>
      <c r="L84" s="972" t="b">
        <f t="shared" si="17"/>
        <v>0</v>
      </c>
      <c r="M84" s="972" t="b">
        <f t="shared" si="17"/>
        <v>0</v>
      </c>
      <c r="N84" s="972" t="b">
        <f t="shared" si="17"/>
        <v>0</v>
      </c>
      <c r="O84" s="972" t="b">
        <f t="shared" si="17"/>
        <v>0</v>
      </c>
      <c r="P84" s="972" t="b">
        <f t="shared" si="17"/>
        <v>0</v>
      </c>
      <c r="Q84" s="972" t="b">
        <f t="shared" si="17"/>
        <v>0</v>
      </c>
      <c r="R84" s="972" t="b">
        <f t="shared" si="17"/>
        <v>0</v>
      </c>
      <c r="S84" s="972" t="b">
        <f t="shared" si="17"/>
        <v>0</v>
      </c>
      <c r="T84" s="972" t="b">
        <f t="shared" si="17"/>
        <v>0</v>
      </c>
      <c r="U84" s="972" t="b">
        <f t="shared" si="17"/>
        <v>0</v>
      </c>
      <c r="V84" s="972" t="b">
        <f t="shared" si="17"/>
        <v>0</v>
      </c>
      <c r="W84" s="972" t="b">
        <f t="shared" si="17"/>
        <v>0</v>
      </c>
      <c r="X84" s="972" t="b">
        <f t="shared" si="17"/>
        <v>0</v>
      </c>
    </row>
    <row r="86" spans="2:24">
      <c r="G86" s="995"/>
      <c r="H86" s="995"/>
      <c r="I86" s="995"/>
      <c r="J86" s="995"/>
      <c r="K86" s="995"/>
      <c r="L86" s="995"/>
      <c r="M86" s="995"/>
      <c r="N86" s="995"/>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M1" activePane="topRight" state="frozen"/>
      <selection pane="topRight" activeCell="M22" sqref="M22"/>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69" t="s">
        <v>4656</v>
      </c>
      <c r="B1" s="82" t="s">
        <v>4657</v>
      </c>
      <c r="C1" s="82"/>
      <c r="D1" s="27"/>
      <c r="E1" s="27"/>
      <c r="F1" s="27"/>
      <c r="G1" s="27"/>
      <c r="H1" s="27"/>
      <c r="I1" s="27"/>
      <c r="J1" s="27"/>
      <c r="K1" s="27"/>
      <c r="L1" s="27"/>
      <c r="M1" s="27"/>
      <c r="N1" s="27"/>
      <c r="O1" s="28"/>
      <c r="P1" s="28"/>
      <c r="Q1" s="28"/>
      <c r="R1" s="29"/>
      <c r="S1" s="28"/>
      <c r="T1" s="28"/>
      <c r="U1" s="28"/>
      <c r="V1" s="28"/>
      <c r="W1" s="28"/>
      <c r="X1" s="2"/>
    </row>
    <row r="2" spans="1:28">
      <c r="B2" s="30" t="s">
        <v>4658</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498"/>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498"/>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32</v>
      </c>
      <c r="V5" s="28" t="s">
        <v>32</v>
      </c>
      <c r="W5" s="28" t="s">
        <v>32</v>
      </c>
      <c r="X5" s="2" t="s">
        <v>32</v>
      </c>
      <c r="Y5" s="2" t="s">
        <v>32</v>
      </c>
      <c r="Z5" s="2" t="s">
        <v>32</v>
      </c>
      <c r="AA5" s="498"/>
    </row>
    <row r="6" spans="1:28" s="848" customFormat="1">
      <c r="A6" s="1175" t="s">
        <v>785</v>
      </c>
      <c r="B6" s="1063" t="s">
        <v>4659</v>
      </c>
      <c r="C6" s="1063" t="s">
        <v>35</v>
      </c>
      <c r="D6" s="1158"/>
      <c r="E6" s="1158"/>
      <c r="F6" s="1158"/>
      <c r="G6" s="1158"/>
      <c r="H6" s="1159">
        <f>H7+H21</f>
        <v>622427000</v>
      </c>
      <c r="I6" s="1159">
        <f>I7+I21</f>
        <v>671160000</v>
      </c>
      <c r="J6" s="1159">
        <v>889685999.99999988</v>
      </c>
      <c r="K6" s="1159">
        <f>K7+K21</f>
        <v>1275740000</v>
      </c>
      <c r="L6" s="1159">
        <f>L7+L21</f>
        <v>1499601600</v>
      </c>
      <c r="M6" s="1159">
        <f>M7+M21</f>
        <v>1266200000</v>
      </c>
      <c r="N6" s="1691">
        <v>1306000000</v>
      </c>
      <c r="O6" s="1691">
        <f>O7+O21</f>
        <v>1257000000</v>
      </c>
      <c r="P6" s="1691">
        <v>1268000000</v>
      </c>
      <c r="Q6" s="1691">
        <f>Q7+Q21</f>
        <v>1392000000</v>
      </c>
      <c r="R6" s="1691">
        <v>1505000000</v>
      </c>
      <c r="S6" s="1691">
        <v>1476000000</v>
      </c>
      <c r="T6" s="1691">
        <v>1622000000</v>
      </c>
      <c r="U6" s="1691">
        <v>1670000000</v>
      </c>
      <c r="V6" s="1691">
        <v>1890000000</v>
      </c>
      <c r="W6" s="1691">
        <v>1981000000</v>
      </c>
      <c r="X6" s="1746">
        <v>2057000000</v>
      </c>
      <c r="Y6" s="1348">
        <v>2155000000</v>
      </c>
      <c r="Z6" s="1348">
        <v>2257000000</v>
      </c>
      <c r="AA6" s="1747"/>
    </row>
    <row r="7" spans="1:28" ht="16.5">
      <c r="A7" s="139" t="s">
        <v>36</v>
      </c>
      <c r="B7" s="58" t="s">
        <v>4660</v>
      </c>
      <c r="C7" s="345" t="s">
        <v>38</v>
      </c>
      <c r="D7" s="28"/>
      <c r="E7" s="28"/>
      <c r="F7" s="28"/>
      <c r="G7" s="28"/>
      <c r="H7" s="319">
        <f>H9+H18+H20+H19</f>
        <v>615823000</v>
      </c>
      <c r="I7" s="319">
        <f>I9+I18+I20+I19</f>
        <v>667590000</v>
      </c>
      <c r="J7" s="125">
        <v>885388000</v>
      </c>
      <c r="K7" s="319">
        <f>K9+K18+K20+K19</f>
        <v>1272930000</v>
      </c>
      <c r="L7" s="319">
        <f>L9+L18+L20+L19</f>
        <v>1496516000</v>
      </c>
      <c r="M7" s="319">
        <f>M9+M18+M20+M19</f>
        <v>1254600000</v>
      </c>
      <c r="N7" s="509">
        <v>1278000000</v>
      </c>
      <c r="O7" s="509">
        <f>O9+O18+O19+O20</f>
        <v>1241000000</v>
      </c>
      <c r="P7" s="509">
        <v>1253000000</v>
      </c>
      <c r="Q7" s="509">
        <f>Q9+Q18+Q20+Q19</f>
        <v>1382000000</v>
      </c>
      <c r="R7" s="509">
        <v>1495000000</v>
      </c>
      <c r="S7" s="509">
        <v>1464000000</v>
      </c>
      <c r="T7" s="509">
        <v>1590000000</v>
      </c>
      <c r="U7" s="509">
        <v>1652000000</v>
      </c>
      <c r="V7" s="509">
        <v>1873000000</v>
      </c>
      <c r="W7" s="509">
        <v>1969000000</v>
      </c>
      <c r="X7" s="4">
        <v>2046000000</v>
      </c>
      <c r="Y7" s="267">
        <v>2144000000</v>
      </c>
      <c r="Z7" s="267">
        <v>2246000000</v>
      </c>
      <c r="AA7" s="498"/>
      <c r="AB7" s="410"/>
    </row>
    <row r="8" spans="1:28">
      <c r="A8" t="s">
        <v>76</v>
      </c>
      <c r="B8" s="58" t="s">
        <v>4661</v>
      </c>
      <c r="C8" s="34"/>
      <c r="D8" s="28"/>
      <c r="E8" s="28"/>
      <c r="F8" s="28"/>
      <c r="G8" s="28"/>
      <c r="H8" s="125">
        <v>614172000.00000012</v>
      </c>
      <c r="I8" s="125">
        <v>660450000</v>
      </c>
      <c r="J8" s="125">
        <v>874643000</v>
      </c>
      <c r="K8" s="125">
        <v>1275740000</v>
      </c>
      <c r="L8" s="125">
        <v>1481088000</v>
      </c>
      <c r="M8" s="125">
        <v>1240500000</v>
      </c>
      <c r="N8" s="509">
        <v>1273000000</v>
      </c>
      <c r="O8" s="509">
        <v>1238000000</v>
      </c>
      <c r="P8" s="509">
        <v>1247000000</v>
      </c>
      <c r="Q8" s="509">
        <v>1372000000</v>
      </c>
      <c r="R8" s="509">
        <v>1488000000</v>
      </c>
      <c r="S8" s="509">
        <v>1456000000</v>
      </c>
      <c r="T8" s="509">
        <v>1582000000</v>
      </c>
      <c r="U8" s="509">
        <v>1644000000</v>
      </c>
      <c r="V8" s="509">
        <v>1869000000</v>
      </c>
      <c r="W8" s="509">
        <v>1964000000</v>
      </c>
      <c r="X8" s="4">
        <v>2041000000</v>
      </c>
      <c r="Y8" s="267">
        <v>2138000000</v>
      </c>
      <c r="Z8" s="267">
        <v>2240000000</v>
      </c>
      <c r="AA8" s="498"/>
    </row>
    <row r="9" spans="1:28">
      <c r="A9" s="64" t="s">
        <v>371</v>
      </c>
      <c r="B9" s="64" t="s">
        <v>371</v>
      </c>
      <c r="C9" s="58" t="s">
        <v>41</v>
      </c>
      <c r="D9" s="28"/>
      <c r="E9" s="28"/>
      <c r="F9" s="28"/>
      <c r="G9" s="28"/>
      <c r="H9" s="319">
        <f>H10+H11+H12+H13+H14+H16+H15+H17</f>
        <v>376427999.99999994</v>
      </c>
      <c r="I9" s="319">
        <f>I10+I11+I12+I13+I14+I16+I15+I17</f>
        <v>431970000</v>
      </c>
      <c r="J9" s="125">
        <v>554442000.00000012</v>
      </c>
      <c r="K9" s="319">
        <f>K10+K11+K12+K13+K14+K16+K15+K17</f>
        <v>781180000</v>
      </c>
      <c r="L9" s="319">
        <f>L10+L11+L12+L13+L14+L16+L15+L17</f>
        <v>928765600</v>
      </c>
      <c r="M9" s="125">
        <v>795700000</v>
      </c>
      <c r="N9" s="509">
        <v>757000000</v>
      </c>
      <c r="O9" s="509">
        <f>O10+O11+O12+O13+O14+O15+O16+O17</f>
        <v>793000000</v>
      </c>
      <c r="P9" s="509">
        <v>786000000</v>
      </c>
      <c r="Q9" s="509">
        <v>864000000</v>
      </c>
      <c r="R9" s="509">
        <v>950000000</v>
      </c>
      <c r="S9" s="509">
        <v>926000000</v>
      </c>
      <c r="T9" s="509">
        <v>986000000</v>
      </c>
      <c r="U9" s="509">
        <v>1025000000</v>
      </c>
      <c r="V9" s="509">
        <v>1226000000</v>
      </c>
      <c r="W9" s="509">
        <v>1296000000</v>
      </c>
      <c r="X9" s="4">
        <v>1346000000</v>
      </c>
      <c r="Y9" s="267">
        <v>1411000000</v>
      </c>
      <c r="Z9" s="267">
        <v>1478000000</v>
      </c>
      <c r="AA9" s="498"/>
    </row>
    <row r="10" spans="1:28">
      <c r="A10" s="65" t="s">
        <v>170</v>
      </c>
      <c r="B10" s="65" t="s">
        <v>4662</v>
      </c>
      <c r="C10" s="34" t="s">
        <v>44</v>
      </c>
      <c r="D10" s="28"/>
      <c r="E10" s="28"/>
      <c r="F10" s="28"/>
      <c r="G10" s="28"/>
      <c r="H10" s="125">
        <v>79247999.999999985</v>
      </c>
      <c r="I10" s="125">
        <v>82110000</v>
      </c>
      <c r="J10" s="125">
        <v>92406999.999999985</v>
      </c>
      <c r="K10" s="125">
        <v>106780000</v>
      </c>
      <c r="L10" s="125">
        <v>141937599.99999997</v>
      </c>
      <c r="M10" s="125">
        <v>121400000</v>
      </c>
      <c r="N10" s="509">
        <v>115000000</v>
      </c>
      <c r="O10" s="509">
        <v>113000000</v>
      </c>
      <c r="P10" s="509">
        <v>110000000</v>
      </c>
      <c r="Q10" s="509">
        <v>124000000</v>
      </c>
      <c r="R10" s="509">
        <v>137000000</v>
      </c>
      <c r="S10" s="509">
        <v>136000000</v>
      </c>
      <c r="T10" s="509">
        <v>136000000</v>
      </c>
      <c r="U10" s="509">
        <v>141000000</v>
      </c>
      <c r="V10" s="509">
        <v>179000000</v>
      </c>
      <c r="W10" s="509">
        <v>187000000</v>
      </c>
      <c r="X10" s="4">
        <v>187000000</v>
      </c>
      <c r="Y10" s="267">
        <v>197000000</v>
      </c>
      <c r="Z10" s="267">
        <v>206000000</v>
      </c>
      <c r="AA10" s="498"/>
    </row>
    <row r="11" spans="1:28">
      <c r="A11" s="65" t="s">
        <v>1504</v>
      </c>
      <c r="B11" s="65" t="s">
        <v>4663</v>
      </c>
      <c r="C11" s="34" t="s">
        <v>44</v>
      </c>
      <c r="D11" s="28"/>
      <c r="E11" s="28"/>
      <c r="F11" s="28"/>
      <c r="G11" s="28"/>
      <c r="H11" s="125">
        <v>16510000</v>
      </c>
      <c r="I11" s="125">
        <v>21420000</v>
      </c>
      <c r="J11" s="125">
        <v>12893999.999999998</v>
      </c>
      <c r="K11" s="125">
        <v>39339999.999999993</v>
      </c>
      <c r="L11" s="125">
        <v>61712000</v>
      </c>
      <c r="M11" s="125">
        <v>54700000</v>
      </c>
      <c r="N11" s="509">
        <v>20000000</v>
      </c>
      <c r="O11" s="509">
        <v>36000000</v>
      </c>
      <c r="P11" s="509">
        <v>64000000</v>
      </c>
      <c r="Q11" s="509">
        <v>41000000</v>
      </c>
      <c r="R11" s="509">
        <v>45000000</v>
      </c>
      <c r="S11" s="509">
        <v>42000000</v>
      </c>
      <c r="T11" s="509">
        <v>49000000</v>
      </c>
      <c r="U11" s="509">
        <v>51000000</v>
      </c>
      <c r="V11" s="509">
        <v>53000000</v>
      </c>
      <c r="W11" s="509">
        <v>56000000</v>
      </c>
      <c r="X11" s="4">
        <v>58000000</v>
      </c>
      <c r="Y11" s="267">
        <v>60000000</v>
      </c>
      <c r="Z11" s="267">
        <v>63000000</v>
      </c>
      <c r="AA11" s="498"/>
    </row>
    <row r="12" spans="1:28">
      <c r="A12" s="65" t="s">
        <v>4664</v>
      </c>
      <c r="B12" s="65" t="s">
        <v>4665</v>
      </c>
      <c r="C12" s="34" t="s">
        <v>44</v>
      </c>
      <c r="D12" s="28"/>
      <c r="E12" s="28"/>
      <c r="F12" s="28"/>
      <c r="G12" s="28"/>
      <c r="H12" s="125">
        <v>3302000.0000000005</v>
      </c>
      <c r="I12" s="125">
        <v>5355000</v>
      </c>
      <c r="J12" s="125">
        <v>25787999.999999996</v>
      </c>
      <c r="K12" s="125">
        <v>39339999.999999993</v>
      </c>
      <c r="L12" s="125">
        <v>37027200</v>
      </c>
      <c r="M12" s="125">
        <v>19800000</v>
      </c>
      <c r="N12" s="509">
        <v>16000000</v>
      </c>
      <c r="O12" s="509">
        <v>16000000</v>
      </c>
      <c r="P12" s="509">
        <v>14000000</v>
      </c>
      <c r="Q12" s="509">
        <v>14000000</v>
      </c>
      <c r="R12" s="509">
        <v>15000000</v>
      </c>
      <c r="S12" s="509">
        <v>15000000</v>
      </c>
      <c r="T12" s="509">
        <v>31000000</v>
      </c>
      <c r="U12" s="509">
        <v>32000000</v>
      </c>
      <c r="V12" s="509">
        <v>15000000</v>
      </c>
      <c r="W12" s="509">
        <v>15000000</v>
      </c>
      <c r="X12" s="4">
        <v>16000000</v>
      </c>
      <c r="Y12" s="267">
        <v>17000000</v>
      </c>
      <c r="Z12" s="267">
        <v>17000000</v>
      </c>
      <c r="AA12" s="498"/>
    </row>
    <row r="13" spans="1:28">
      <c r="A13" s="65" t="s">
        <v>161</v>
      </c>
      <c r="B13" s="65" t="s">
        <v>4666</v>
      </c>
      <c r="C13" s="34" t="s">
        <v>44</v>
      </c>
      <c r="D13" s="28"/>
      <c r="E13" s="28"/>
      <c r="F13" s="28"/>
      <c r="G13" s="28"/>
      <c r="H13" s="125">
        <v>158495999.99999997</v>
      </c>
      <c r="I13" s="125">
        <v>192780000</v>
      </c>
      <c r="J13" s="125">
        <v>272923000</v>
      </c>
      <c r="K13" s="125">
        <v>393400000</v>
      </c>
      <c r="L13" s="125">
        <v>441240800</v>
      </c>
      <c r="M13" s="125">
        <v>370800000</v>
      </c>
      <c r="N13" s="509">
        <v>364000000</v>
      </c>
      <c r="O13" s="509">
        <v>392000000</v>
      </c>
      <c r="P13" s="509">
        <v>355000000</v>
      </c>
      <c r="Q13" s="509">
        <v>429000000</v>
      </c>
      <c r="R13" s="509">
        <v>498000000</v>
      </c>
      <c r="S13" s="509">
        <v>457000000</v>
      </c>
      <c r="T13" s="509">
        <v>501000000</v>
      </c>
      <c r="U13" s="509">
        <v>521000000</v>
      </c>
      <c r="V13" s="509">
        <v>615000000</v>
      </c>
      <c r="W13" s="509">
        <v>645000000</v>
      </c>
      <c r="X13" s="4">
        <v>671000000</v>
      </c>
      <c r="Y13" s="267">
        <v>703000000</v>
      </c>
      <c r="Z13" s="267">
        <v>737000000</v>
      </c>
      <c r="AA13" s="498"/>
    </row>
    <row r="14" spans="1:28">
      <c r="A14" s="65" t="s">
        <v>553</v>
      </c>
      <c r="B14" s="65" t="s">
        <v>553</v>
      </c>
      <c r="C14" s="34" t="s">
        <v>44</v>
      </c>
      <c r="D14" s="28"/>
      <c r="E14" s="28"/>
      <c r="F14" s="28"/>
      <c r="G14" s="28"/>
      <c r="H14" s="125">
        <v>61087000.000000007</v>
      </c>
      <c r="I14" s="125">
        <v>66045000</v>
      </c>
      <c r="J14" s="125">
        <v>73065999.999999985</v>
      </c>
      <c r="K14" s="125">
        <v>95540000</v>
      </c>
      <c r="L14" s="125">
        <v>120338400</v>
      </c>
      <c r="M14" s="125">
        <v>128699999.99999999</v>
      </c>
      <c r="N14" s="509">
        <v>134000000</v>
      </c>
      <c r="O14" s="509">
        <v>143000000</v>
      </c>
      <c r="P14" s="509">
        <v>152000000</v>
      </c>
      <c r="Q14" s="509">
        <v>161000000</v>
      </c>
      <c r="R14" s="509">
        <v>156000000</v>
      </c>
      <c r="S14" s="509">
        <v>170000000</v>
      </c>
      <c r="T14" s="509">
        <v>170000000</v>
      </c>
      <c r="U14" s="509">
        <v>176000000</v>
      </c>
      <c r="V14" s="509">
        <v>240000000</v>
      </c>
      <c r="W14" s="509">
        <v>264000000</v>
      </c>
      <c r="X14" s="4">
        <v>279000000</v>
      </c>
      <c r="Y14" s="267">
        <v>293000000</v>
      </c>
      <c r="Z14" s="267">
        <v>308000000</v>
      </c>
      <c r="AA14" s="498"/>
    </row>
    <row r="15" spans="1:28">
      <c r="A15" s="65" t="s">
        <v>643</v>
      </c>
      <c r="B15" s="65" t="s">
        <v>4667</v>
      </c>
      <c r="C15" s="34" t="s">
        <v>44</v>
      </c>
      <c r="D15" s="28"/>
      <c r="E15" s="28"/>
      <c r="F15" s="28"/>
      <c r="G15" s="28"/>
      <c r="H15" s="125">
        <v>36322000.000000007</v>
      </c>
      <c r="I15" s="125">
        <v>41055000</v>
      </c>
      <c r="J15" s="125">
        <v>55874000.000000007</v>
      </c>
      <c r="K15" s="125">
        <v>67440000</v>
      </c>
      <c r="L15" s="125">
        <v>74054400</v>
      </c>
      <c r="M15" s="125">
        <v>49100000</v>
      </c>
      <c r="N15" s="509">
        <v>51000000</v>
      </c>
      <c r="O15" s="509">
        <v>45000000</v>
      </c>
      <c r="P15" s="509">
        <v>29000000</v>
      </c>
      <c r="Q15" s="509">
        <v>22000000</v>
      </c>
      <c r="R15" s="509">
        <v>22000000</v>
      </c>
      <c r="S15" s="509">
        <v>23000000</v>
      </c>
      <c r="T15" s="509">
        <v>24000000</v>
      </c>
      <c r="U15" s="509">
        <v>25000000</v>
      </c>
      <c r="V15" s="509">
        <v>27000000</v>
      </c>
      <c r="W15" s="509">
        <v>28000000</v>
      </c>
      <c r="X15" s="4">
        <v>29000000</v>
      </c>
      <c r="Y15" s="267">
        <v>31000000</v>
      </c>
      <c r="Z15" s="267">
        <v>32000000</v>
      </c>
      <c r="AA15" s="498"/>
    </row>
    <row r="16" spans="1:28">
      <c r="A16" s="65" t="s">
        <v>4668</v>
      </c>
      <c r="B16" s="65" t="s">
        <v>4669</v>
      </c>
      <c r="C16" s="34" t="s">
        <v>44</v>
      </c>
      <c r="D16" s="28"/>
      <c r="E16" s="28"/>
      <c r="F16" s="28"/>
      <c r="G16" s="28"/>
      <c r="H16" s="125">
        <v>19811999.999999996</v>
      </c>
      <c r="I16" s="125">
        <v>19635000.000000004</v>
      </c>
      <c r="J16" s="125">
        <v>17192000</v>
      </c>
      <c r="K16" s="125">
        <v>33720000</v>
      </c>
      <c r="L16" s="125">
        <v>43198399.999999993</v>
      </c>
      <c r="M16" s="125">
        <v>42300000</v>
      </c>
      <c r="N16" s="509">
        <v>45000000</v>
      </c>
      <c r="O16" s="509">
        <v>44000000</v>
      </c>
      <c r="P16" s="509">
        <v>58000000</v>
      </c>
      <c r="Q16" s="509">
        <v>67000000</v>
      </c>
      <c r="R16" s="509">
        <v>71000000</v>
      </c>
      <c r="S16" s="509">
        <v>76000000</v>
      </c>
      <c r="T16" s="509">
        <v>69000000</v>
      </c>
      <c r="U16" s="509">
        <v>72000000</v>
      </c>
      <c r="V16" s="509">
        <v>86000000</v>
      </c>
      <c r="W16" s="509">
        <v>89000000</v>
      </c>
      <c r="X16" s="4">
        <v>93000000</v>
      </c>
      <c r="Y16" s="267">
        <v>97000000</v>
      </c>
      <c r="Z16" s="267">
        <v>101000000</v>
      </c>
      <c r="AA16" s="498"/>
    </row>
    <row r="17" spans="1:27">
      <c r="A17" s="65" t="s">
        <v>49</v>
      </c>
      <c r="B17" s="65" t="s">
        <v>3769</v>
      </c>
      <c r="C17" s="34" t="s">
        <v>44</v>
      </c>
      <c r="D17" s="28"/>
      <c r="E17" s="28"/>
      <c r="F17" s="28"/>
      <c r="G17" s="28"/>
      <c r="H17" s="125">
        <v>1651000.0000000002</v>
      </c>
      <c r="I17" s="125">
        <v>3570000</v>
      </c>
      <c r="J17" s="125">
        <v>4298000</v>
      </c>
      <c r="K17" s="125">
        <v>5620000</v>
      </c>
      <c r="L17" s="125">
        <v>9256800</v>
      </c>
      <c r="M17" s="125">
        <v>8900000</v>
      </c>
      <c r="N17" s="509">
        <v>12000000</v>
      </c>
      <c r="O17" s="509">
        <v>4000000</v>
      </c>
      <c r="P17" s="509">
        <v>4000000</v>
      </c>
      <c r="Q17" s="509">
        <v>5000000</v>
      </c>
      <c r="R17" s="509">
        <v>6000000</v>
      </c>
      <c r="S17" s="509">
        <v>7000000</v>
      </c>
      <c r="T17" s="509">
        <v>6000000</v>
      </c>
      <c r="U17" s="509">
        <v>7000000</v>
      </c>
      <c r="V17" s="509">
        <v>12000000</v>
      </c>
      <c r="W17" s="509">
        <v>13000000</v>
      </c>
      <c r="X17" s="4">
        <v>13000000</v>
      </c>
      <c r="Y17" s="267">
        <v>14000000</v>
      </c>
      <c r="Z17" s="267">
        <v>14000000</v>
      </c>
      <c r="AA17" s="498"/>
    </row>
    <row r="18" spans="1:27">
      <c r="A18" s="64" t="s">
        <v>635</v>
      </c>
      <c r="B18" s="64" t="s">
        <v>4670</v>
      </c>
      <c r="C18" s="58" t="s">
        <v>41</v>
      </c>
      <c r="D18" s="28"/>
      <c r="E18" s="28"/>
      <c r="F18" s="28"/>
      <c r="G18" s="28"/>
      <c r="H18" s="125">
        <v>163449000.00000003</v>
      </c>
      <c r="I18" s="125">
        <v>167790000</v>
      </c>
      <c r="J18" s="125">
        <v>199857000</v>
      </c>
      <c r="K18" s="125">
        <v>264140000</v>
      </c>
      <c r="L18" s="125">
        <v>299303199.99999994</v>
      </c>
      <c r="M18" s="125">
        <v>263899999.99999997</v>
      </c>
      <c r="N18" s="509">
        <v>344000000</v>
      </c>
      <c r="O18" s="509">
        <v>311000000</v>
      </c>
      <c r="P18" s="509">
        <v>320000000</v>
      </c>
      <c r="Q18" s="509">
        <v>357000000</v>
      </c>
      <c r="R18" s="509">
        <v>401000000</v>
      </c>
      <c r="S18" s="509">
        <v>392000000</v>
      </c>
      <c r="T18" s="509">
        <v>443000000</v>
      </c>
      <c r="U18" s="509">
        <v>460000000</v>
      </c>
      <c r="V18" s="509">
        <v>481000000</v>
      </c>
      <c r="W18" s="509">
        <v>501000000</v>
      </c>
      <c r="X18" s="4">
        <v>520000000</v>
      </c>
      <c r="Y18" s="267">
        <v>545000000</v>
      </c>
      <c r="Z18" s="267">
        <v>571000000</v>
      </c>
      <c r="AA18" s="498"/>
    </row>
    <row r="19" spans="1:27">
      <c r="A19" s="64" t="s">
        <v>324</v>
      </c>
      <c r="B19" s="64" t="s">
        <v>4671</v>
      </c>
      <c r="C19" s="58" t="s">
        <v>41</v>
      </c>
      <c r="D19" s="28"/>
      <c r="E19" s="28"/>
      <c r="F19" s="28"/>
      <c r="G19" s="28"/>
      <c r="H19" s="125">
        <v>72644000.000000015</v>
      </c>
      <c r="I19" s="125">
        <v>62475000</v>
      </c>
      <c r="J19" s="125">
        <v>122493000.00000001</v>
      </c>
      <c r="K19" s="125">
        <v>207940000</v>
      </c>
      <c r="L19" s="125">
        <v>256104800.00000003</v>
      </c>
      <c r="M19" s="125">
        <v>180900000</v>
      </c>
      <c r="N19" s="509">
        <v>172000000</v>
      </c>
      <c r="O19" s="509">
        <v>132000000</v>
      </c>
      <c r="P19" s="509">
        <v>142000000</v>
      </c>
      <c r="Q19" s="509">
        <v>152000000</v>
      </c>
      <c r="R19" s="509">
        <v>137000000</v>
      </c>
      <c r="S19" s="509">
        <v>138000000</v>
      </c>
      <c r="T19" s="509">
        <v>152000000</v>
      </c>
      <c r="U19" s="509">
        <v>158000000</v>
      </c>
      <c r="V19" s="509">
        <v>161000000</v>
      </c>
      <c r="W19" s="509">
        <v>167000000</v>
      </c>
      <c r="X19" s="4">
        <v>174000000</v>
      </c>
      <c r="Y19" s="267">
        <v>182000000</v>
      </c>
      <c r="Z19" s="267">
        <v>191000000</v>
      </c>
      <c r="AA19" s="498"/>
    </row>
    <row r="20" spans="1:27">
      <c r="A20" s="64" t="s">
        <v>4005</v>
      </c>
      <c r="B20" s="64" t="s">
        <v>4672</v>
      </c>
      <c r="C20" s="58" t="s">
        <v>41</v>
      </c>
      <c r="D20" s="28"/>
      <c r="E20" s="28"/>
      <c r="F20" s="28"/>
      <c r="G20" s="28"/>
      <c r="H20" s="125">
        <v>3302000.0000000005</v>
      </c>
      <c r="I20" s="125">
        <v>5355000</v>
      </c>
      <c r="J20" s="125">
        <v>8596000</v>
      </c>
      <c r="K20" s="125">
        <v>19669999.999999996</v>
      </c>
      <c r="L20" s="125">
        <v>12342400</v>
      </c>
      <c r="M20" s="125">
        <v>14100000</v>
      </c>
      <c r="N20" s="509">
        <v>5000000</v>
      </c>
      <c r="O20" s="509">
        <v>5000000</v>
      </c>
      <c r="P20" s="509">
        <v>5000000</v>
      </c>
      <c r="Q20" s="509">
        <v>9000000</v>
      </c>
      <c r="R20" s="509">
        <v>7000000</v>
      </c>
      <c r="S20" s="509">
        <v>8000000</v>
      </c>
      <c r="T20" s="509">
        <v>8000000</v>
      </c>
      <c r="U20" s="509">
        <v>8000000</v>
      </c>
      <c r="V20" s="509">
        <v>5000000</v>
      </c>
      <c r="W20" s="509">
        <v>5000000</v>
      </c>
      <c r="X20" s="4">
        <v>5000000</v>
      </c>
      <c r="Y20" s="267">
        <v>5000000</v>
      </c>
      <c r="Z20" s="267">
        <v>6000000</v>
      </c>
      <c r="AA20" s="498"/>
    </row>
    <row r="21" spans="1:27">
      <c r="A21" s="58" t="s">
        <v>53</v>
      </c>
      <c r="B21" s="58" t="s">
        <v>53</v>
      </c>
      <c r="C21" s="345" t="s">
        <v>38</v>
      </c>
      <c r="D21" s="28"/>
      <c r="E21" s="28"/>
      <c r="F21" s="28"/>
      <c r="G21" s="28"/>
      <c r="H21" s="125">
        <v>6604000.0000000009</v>
      </c>
      <c r="I21" s="125">
        <v>3570000</v>
      </c>
      <c r="J21" s="125">
        <v>4298000</v>
      </c>
      <c r="K21" s="125">
        <v>2810000</v>
      </c>
      <c r="L21" s="125">
        <v>3085600</v>
      </c>
      <c r="M21" s="125">
        <v>11600000</v>
      </c>
      <c r="N21" s="509">
        <v>27000000</v>
      </c>
      <c r="O21" s="509">
        <v>16000000</v>
      </c>
      <c r="P21" s="509">
        <v>16000000</v>
      </c>
      <c r="Q21" s="509">
        <v>10000000</v>
      </c>
      <c r="R21" s="509">
        <v>9000000</v>
      </c>
      <c r="S21" s="509">
        <v>12000000</v>
      </c>
      <c r="T21" s="509">
        <v>32000000</v>
      </c>
      <c r="U21" s="509">
        <v>18000000</v>
      </c>
      <c r="V21" s="509">
        <v>17000000</v>
      </c>
      <c r="W21" s="509">
        <v>12000000</v>
      </c>
      <c r="X21" s="4">
        <v>11000000</v>
      </c>
      <c r="Y21" s="267">
        <v>12000000</v>
      </c>
      <c r="Z21" s="267">
        <v>12000000</v>
      </c>
      <c r="AA21" s="498"/>
    </row>
    <row r="22" spans="1:27" s="848" customFormat="1">
      <c r="A22" s="917" t="s">
        <v>71</v>
      </c>
      <c r="B22" s="1063" t="s">
        <v>4673</v>
      </c>
      <c r="C22" s="1063" t="s">
        <v>35</v>
      </c>
      <c r="D22" s="1158"/>
      <c r="E22" s="1158"/>
      <c r="F22" s="1158"/>
      <c r="G22" s="1158"/>
      <c r="H22" s="1159">
        <f>H24+H33+H34+H35+H38+H39+H40</f>
        <v>667004000</v>
      </c>
      <c r="I22" s="1159">
        <f>I24+I33+I34+I35+I38+I39+I40</f>
        <v>696150000</v>
      </c>
      <c r="J22" s="1159">
        <f>J24+J33+J34+J35+J38+J39+J40</f>
        <v>844557000</v>
      </c>
      <c r="K22" s="1691">
        <f t="shared" ref="K22" si="0">K24+K33+K34+K35+K38+K40+K39</f>
        <v>1112760000</v>
      </c>
      <c r="L22" s="1159">
        <f>L24+L33+L34+L35+L38+L39+L40</f>
        <v>1502687200</v>
      </c>
      <c r="M22" s="1691">
        <f>M24+M33+M34+M35+M38+M40+M39</f>
        <v>1462400000</v>
      </c>
      <c r="N22" s="1691">
        <v>1458000000</v>
      </c>
      <c r="O22" s="1691">
        <v>1478000000</v>
      </c>
      <c r="P22" s="1691">
        <f>P24+P33+P34+P35+P38+P40+P39</f>
        <v>1456000000</v>
      </c>
      <c r="Q22" s="1691">
        <f t="shared" ref="Q22:Z22" si="1">Q24+Q33+Q34+Q35+Q38+Q40+Q39</f>
        <v>1540000000</v>
      </c>
      <c r="R22" s="1691">
        <f t="shared" si="1"/>
        <v>1538000000</v>
      </c>
      <c r="S22" s="1691">
        <f t="shared" si="1"/>
        <v>1690000000</v>
      </c>
      <c r="T22" s="1691">
        <f t="shared" si="1"/>
        <v>1976000000</v>
      </c>
      <c r="U22" s="1691">
        <f t="shared" si="1"/>
        <v>2030000000</v>
      </c>
      <c r="V22" s="1691">
        <f t="shared" si="1"/>
        <v>2124000000</v>
      </c>
      <c r="W22" s="1691">
        <f t="shared" si="1"/>
        <v>2193000000</v>
      </c>
      <c r="X22" s="1691">
        <f t="shared" si="1"/>
        <v>1973000000</v>
      </c>
      <c r="Y22" s="1691">
        <f t="shared" si="1"/>
        <v>2065000000</v>
      </c>
      <c r="Z22" s="1691">
        <f t="shared" si="1"/>
        <v>2161000000</v>
      </c>
      <c r="AA22" s="1747"/>
    </row>
    <row r="23" spans="1:27">
      <c r="A23" t="s">
        <v>76</v>
      </c>
      <c r="B23" s="58" t="s">
        <v>3785</v>
      </c>
      <c r="C23" s="58"/>
      <c r="D23" s="28"/>
      <c r="E23" s="28"/>
      <c r="F23" s="28"/>
      <c r="G23" s="28"/>
      <c r="H23" s="125">
        <v>652145000</v>
      </c>
      <c r="I23" s="125">
        <v>681870000</v>
      </c>
      <c r="J23" s="125">
        <v>835960999.99999988</v>
      </c>
      <c r="K23" s="125">
        <v>1109950000</v>
      </c>
      <c r="L23" s="125">
        <v>1453317600</v>
      </c>
      <c r="M23" s="125">
        <v>1426500000</v>
      </c>
      <c r="N23" s="509">
        <v>1453000000</v>
      </c>
      <c r="O23" s="509">
        <v>1474000000</v>
      </c>
      <c r="P23" s="509">
        <v>1451000000</v>
      </c>
      <c r="Q23" s="509">
        <v>1537000000</v>
      </c>
      <c r="R23" s="509">
        <v>1539000000</v>
      </c>
      <c r="S23" s="509">
        <v>1685000000</v>
      </c>
      <c r="T23" s="509">
        <v>1977000000</v>
      </c>
      <c r="U23" s="509">
        <v>2029000000</v>
      </c>
      <c r="V23" s="509">
        <v>2123000000</v>
      </c>
      <c r="W23" s="509">
        <v>2193000000</v>
      </c>
      <c r="X23" s="4">
        <v>1971000000</v>
      </c>
      <c r="Y23" s="267">
        <v>2064000000</v>
      </c>
      <c r="Z23" s="267">
        <v>2161000000</v>
      </c>
      <c r="AA23" s="498"/>
    </row>
    <row r="24" spans="1:27" ht="16.5">
      <c r="A24" s="448" t="s">
        <v>476</v>
      </c>
      <c r="B24" s="58" t="s">
        <v>3238</v>
      </c>
      <c r="C24" s="58" t="s">
        <v>201</v>
      </c>
      <c r="D24" s="28"/>
      <c r="E24" s="28"/>
      <c r="F24" s="28"/>
      <c r="G24" s="28"/>
      <c r="H24" s="319">
        <f>H25+H26+H27+H28+H30+H31+H32+H29</f>
        <v>335153000</v>
      </c>
      <c r="I24" s="319">
        <f>I25+I26+I27+I28+I30+I31+I32+I29</f>
        <v>328440000</v>
      </c>
      <c r="J24" s="319">
        <f>J25+J26+J27+J28+J30+J31+J32+J29</f>
        <v>399714000</v>
      </c>
      <c r="K24" s="319">
        <f>K25+K26+K27+K28+K30+K31+K32+K29</f>
        <v>525470000</v>
      </c>
      <c r="L24" s="319">
        <f>L25+L26+L27+L28+L30+L31+L32+L29</f>
        <v>978135200</v>
      </c>
      <c r="M24" s="125">
        <f>M25+M26+M27+M28+M29+M30+M32+M31</f>
        <v>633400000</v>
      </c>
      <c r="N24" s="509">
        <v>652000000</v>
      </c>
      <c r="O24" s="509">
        <v>678000000</v>
      </c>
      <c r="P24" s="1745">
        <f>SUM(P25:P32)</f>
        <v>710000000</v>
      </c>
      <c r="Q24" s="1745">
        <f t="shared" ref="Q24:Z24" si="2">SUM(Q25:Q32)</f>
        <v>643000000</v>
      </c>
      <c r="R24" s="1745">
        <f t="shared" si="2"/>
        <v>669000000</v>
      </c>
      <c r="S24" s="1745">
        <f t="shared" si="2"/>
        <v>744000000</v>
      </c>
      <c r="T24" s="1745">
        <f t="shared" si="2"/>
        <v>720000000</v>
      </c>
      <c r="U24" s="1745">
        <f t="shared" si="2"/>
        <v>744000000</v>
      </c>
      <c r="V24" s="1745">
        <f t="shared" si="2"/>
        <v>827000000</v>
      </c>
      <c r="W24" s="1745">
        <f t="shared" si="2"/>
        <v>833000000</v>
      </c>
      <c r="X24" s="1745">
        <f t="shared" si="2"/>
        <v>866000000</v>
      </c>
      <c r="Y24" s="1535">
        <f t="shared" si="2"/>
        <v>904000000</v>
      </c>
      <c r="Z24" s="1535">
        <f t="shared" si="2"/>
        <v>945000000</v>
      </c>
      <c r="AA24" s="498"/>
    </row>
    <row r="25" spans="1:27">
      <c r="A25" s="64" t="s">
        <v>4674</v>
      </c>
      <c r="B25" s="64" t="s">
        <v>4675</v>
      </c>
      <c r="C25" s="58" t="s">
        <v>81</v>
      </c>
      <c r="D25" s="28"/>
      <c r="E25" s="28"/>
      <c r="F25" s="28"/>
      <c r="G25" s="28"/>
      <c r="H25" s="125">
        <v>188214000</v>
      </c>
      <c r="I25" s="125">
        <v>189210000</v>
      </c>
      <c r="J25" s="125">
        <v>206303999.99999997</v>
      </c>
      <c r="K25" s="125">
        <v>247280000.00000003</v>
      </c>
      <c r="L25" s="125">
        <v>345587199.99999994</v>
      </c>
      <c r="M25" s="125">
        <v>326100000</v>
      </c>
      <c r="N25" s="509">
        <v>340000000</v>
      </c>
      <c r="O25" s="509">
        <v>362000000</v>
      </c>
      <c r="P25" s="509">
        <v>365000000</v>
      </c>
      <c r="Q25" s="509">
        <v>365000000</v>
      </c>
      <c r="R25" s="509">
        <v>381000000</v>
      </c>
      <c r="S25" s="509">
        <v>384000000</v>
      </c>
      <c r="T25" s="509">
        <v>394000000</v>
      </c>
      <c r="U25" s="509">
        <v>409000000</v>
      </c>
      <c r="V25" s="509">
        <v>430000000</v>
      </c>
      <c r="W25" s="509">
        <v>437000000</v>
      </c>
      <c r="X25" s="4">
        <v>459000000</v>
      </c>
      <c r="Y25" s="267">
        <v>479000000</v>
      </c>
      <c r="Z25" s="267">
        <v>500000000</v>
      </c>
      <c r="AA25" s="498"/>
    </row>
    <row r="26" spans="1:27">
      <c r="A26" s="64" t="s">
        <v>4676</v>
      </c>
      <c r="B26" s="64" t="s">
        <v>4677</v>
      </c>
      <c r="C26" s="58" t="s">
        <v>81</v>
      </c>
      <c r="D26" s="28"/>
      <c r="E26" s="28"/>
      <c r="F26" s="28"/>
      <c r="G26" s="28"/>
      <c r="H26" s="125">
        <v>23113999.999999996</v>
      </c>
      <c r="I26" s="125">
        <v>19635000.000000004</v>
      </c>
      <c r="J26" s="125">
        <v>27937000.000000004</v>
      </c>
      <c r="K26" s="125">
        <v>33720000</v>
      </c>
      <c r="L26" s="125">
        <v>27770400</v>
      </c>
      <c r="M26" s="125">
        <v>27700000</v>
      </c>
      <c r="N26" s="509">
        <v>25000000</v>
      </c>
      <c r="O26" s="509">
        <v>20000000</v>
      </c>
      <c r="P26" s="509">
        <v>13000000</v>
      </c>
      <c r="Q26" s="509">
        <v>15000000</v>
      </c>
      <c r="R26" s="509">
        <v>14000000</v>
      </c>
      <c r="S26" s="509">
        <v>20000000</v>
      </c>
      <c r="T26" s="509">
        <v>15000000</v>
      </c>
      <c r="U26" s="509">
        <v>15000000</v>
      </c>
      <c r="V26" s="509">
        <v>17000000</v>
      </c>
      <c r="W26" s="509">
        <v>17000000</v>
      </c>
      <c r="X26" s="4">
        <v>18000000</v>
      </c>
      <c r="Y26" s="267">
        <v>19000000</v>
      </c>
      <c r="Z26" s="267">
        <v>20000000</v>
      </c>
      <c r="AA26" s="498"/>
    </row>
    <row r="27" spans="1:27">
      <c r="A27" s="64" t="s">
        <v>4565</v>
      </c>
      <c r="B27" s="64" t="s">
        <v>749</v>
      </c>
      <c r="C27" s="58" t="s">
        <v>81</v>
      </c>
      <c r="D27" s="28"/>
      <c r="E27" s="28"/>
      <c r="F27" s="28"/>
      <c r="G27" s="28"/>
      <c r="H27" s="125">
        <v>72644000.000000015</v>
      </c>
      <c r="I27" s="125">
        <v>76755000</v>
      </c>
      <c r="J27" s="125">
        <v>128940000</v>
      </c>
      <c r="K27" s="125">
        <v>188270000</v>
      </c>
      <c r="L27" s="125">
        <v>197478400</v>
      </c>
      <c r="M27" s="125">
        <v>174900000</v>
      </c>
      <c r="N27" s="509">
        <v>166000000</v>
      </c>
      <c r="O27" s="509">
        <v>158000000</v>
      </c>
      <c r="P27" s="509">
        <v>201000000</v>
      </c>
      <c r="Q27" s="509">
        <v>115000000</v>
      </c>
      <c r="R27" s="509">
        <v>115000000</v>
      </c>
      <c r="S27" s="509">
        <v>163000000</v>
      </c>
      <c r="T27" s="509">
        <v>127000000</v>
      </c>
      <c r="U27" s="509">
        <v>124000000</v>
      </c>
      <c r="V27" s="509">
        <v>151000000</v>
      </c>
      <c r="W27" s="509">
        <v>147000000</v>
      </c>
      <c r="X27" s="4">
        <v>152000000</v>
      </c>
      <c r="Y27" s="267">
        <v>165000000</v>
      </c>
      <c r="Z27" s="267">
        <v>178000000</v>
      </c>
      <c r="AA27" s="498"/>
    </row>
    <row r="28" spans="1:27">
      <c r="A28" s="64" t="s">
        <v>4678</v>
      </c>
      <c r="B28" s="64" t="s">
        <v>4679</v>
      </c>
      <c r="C28" s="58" t="s">
        <v>81</v>
      </c>
      <c r="D28" s="28"/>
      <c r="E28" s="28"/>
      <c r="F28" s="28"/>
      <c r="G28" s="28"/>
      <c r="H28" s="298"/>
      <c r="I28" s="298"/>
      <c r="J28" s="298"/>
      <c r="K28" s="298"/>
      <c r="L28" s="125">
        <v>24684800</v>
      </c>
      <c r="M28" s="125">
        <v>10000000</v>
      </c>
      <c r="N28" s="509">
        <v>33000000</v>
      </c>
      <c r="O28" s="509">
        <v>28000000</v>
      </c>
      <c r="P28" s="509">
        <v>28000000</v>
      </c>
      <c r="Q28" s="509">
        <v>24000000</v>
      </c>
      <c r="R28" s="509">
        <v>25000000</v>
      </c>
      <c r="S28" s="509">
        <v>25000000</v>
      </c>
      <c r="T28" s="509">
        <v>26000000</v>
      </c>
      <c r="U28" s="509">
        <v>27000000</v>
      </c>
      <c r="V28" s="509">
        <v>29000000</v>
      </c>
      <c r="W28" s="509">
        <v>30000000</v>
      </c>
      <c r="X28" s="4">
        <v>32000000</v>
      </c>
      <c r="Y28" s="267">
        <v>39000000</v>
      </c>
      <c r="Z28" s="267">
        <v>46000000</v>
      </c>
      <c r="AA28" s="498"/>
    </row>
    <row r="29" spans="1:27">
      <c r="A29" s="64" t="s">
        <v>90</v>
      </c>
      <c r="B29" s="64" t="s">
        <v>751</v>
      </c>
      <c r="C29" s="58" t="s">
        <v>81</v>
      </c>
      <c r="D29" s="28"/>
      <c r="E29" s="28"/>
      <c r="F29" s="28"/>
      <c r="G29" s="28"/>
      <c r="H29" s="125">
        <v>26416000.000000004</v>
      </c>
      <c r="I29" s="125">
        <v>21420000</v>
      </c>
      <c r="J29" s="125">
        <v>23639000</v>
      </c>
      <c r="K29" s="125">
        <v>28100000</v>
      </c>
      <c r="L29" s="125">
        <v>9256800</v>
      </c>
      <c r="M29" s="125">
        <v>25500000</v>
      </c>
      <c r="N29" s="509">
        <v>31000000</v>
      </c>
      <c r="O29" s="509">
        <v>48000000</v>
      </c>
      <c r="P29" s="509">
        <v>60000000</v>
      </c>
      <c r="Q29" s="509">
        <v>71000000</v>
      </c>
      <c r="R29" s="509">
        <v>78000000</v>
      </c>
      <c r="S29" s="509">
        <v>86000000</v>
      </c>
      <c r="T29" s="509">
        <v>90000000</v>
      </c>
      <c r="U29" s="509">
        <v>98000000</v>
      </c>
      <c r="V29" s="509">
        <v>111000000</v>
      </c>
      <c r="W29" s="509">
        <v>117000000</v>
      </c>
      <c r="X29" s="4">
        <v>117000000</v>
      </c>
      <c r="Y29" s="267">
        <v>109000000</v>
      </c>
      <c r="Z29" s="267">
        <v>105000000</v>
      </c>
      <c r="AA29" s="498"/>
    </row>
    <row r="30" spans="1:27">
      <c r="A30" s="64" t="s">
        <v>4680</v>
      </c>
      <c r="B30" s="64" t="s">
        <v>4680</v>
      </c>
      <c r="C30" s="58" t="s">
        <v>81</v>
      </c>
      <c r="D30" s="28"/>
      <c r="E30" s="28"/>
      <c r="F30" s="28"/>
      <c r="G30" s="28"/>
      <c r="H30" s="125">
        <v>1651000.0000000002</v>
      </c>
      <c r="I30" s="125">
        <v>5355000</v>
      </c>
      <c r="J30" s="125">
        <v>2149000</v>
      </c>
      <c r="K30" s="125">
        <v>5620000</v>
      </c>
      <c r="L30" s="125">
        <v>21599199.999999996</v>
      </c>
      <c r="M30" s="125">
        <v>8800000</v>
      </c>
      <c r="N30" s="509">
        <v>9000000</v>
      </c>
      <c r="O30" s="509">
        <v>8000000</v>
      </c>
      <c r="P30" s="509">
        <v>7000000</v>
      </c>
      <c r="Q30" s="509">
        <v>8000000</v>
      </c>
      <c r="R30" s="509">
        <v>9000000</v>
      </c>
      <c r="S30" s="509">
        <v>9000000</v>
      </c>
      <c r="T30" s="509">
        <v>9000000</v>
      </c>
      <c r="U30" s="509">
        <v>10000000</v>
      </c>
      <c r="V30" s="509">
        <v>11000000</v>
      </c>
      <c r="W30" s="509">
        <v>12000000</v>
      </c>
      <c r="X30" s="4">
        <v>12000000</v>
      </c>
      <c r="Y30" s="267">
        <v>13000000</v>
      </c>
      <c r="Z30" s="267">
        <v>13000000</v>
      </c>
      <c r="AA30" s="498"/>
    </row>
    <row r="31" spans="1:27">
      <c r="A31" s="64" t="s">
        <v>4681</v>
      </c>
      <c r="B31" s="64" t="s">
        <v>4682</v>
      </c>
      <c r="C31" s="58" t="s">
        <v>81</v>
      </c>
      <c r="D31" s="28"/>
      <c r="E31" s="28"/>
      <c r="F31" s="28"/>
      <c r="G31" s="28"/>
      <c r="H31" s="125">
        <v>13208000.000000002</v>
      </c>
      <c r="I31" s="125">
        <v>10710000</v>
      </c>
      <c r="J31" s="125">
        <v>6446999.9999999991</v>
      </c>
      <c r="K31" s="125">
        <v>14050000</v>
      </c>
      <c r="L31" s="125">
        <v>351758400</v>
      </c>
      <c r="M31" s="125">
        <v>51000000</v>
      </c>
      <c r="N31" s="509">
        <v>40000000</v>
      </c>
      <c r="O31" s="509">
        <v>46000000</v>
      </c>
      <c r="P31" s="509">
        <v>27000000</v>
      </c>
      <c r="Q31" s="509">
        <v>18000000</v>
      </c>
      <c r="R31" s="509">
        <v>19000000</v>
      </c>
      <c r="S31" s="509">
        <v>20000000</v>
      </c>
      <c r="T31" s="509">
        <v>23000000</v>
      </c>
      <c r="U31" s="509">
        <v>24000000</v>
      </c>
      <c r="V31" s="509">
        <v>29000000</v>
      </c>
      <c r="W31" s="509">
        <v>31000000</v>
      </c>
      <c r="X31" s="4">
        <v>32000000</v>
      </c>
      <c r="Y31" s="267">
        <v>34000000</v>
      </c>
      <c r="Z31" s="267">
        <v>35000000</v>
      </c>
      <c r="AA31" s="498"/>
    </row>
    <row r="32" spans="1:27">
      <c r="A32" s="64" t="s">
        <v>4683</v>
      </c>
      <c r="B32" s="64" t="s">
        <v>4684</v>
      </c>
      <c r="C32" s="58" t="s">
        <v>81</v>
      </c>
      <c r="D32" s="28"/>
      <c r="E32" s="28"/>
      <c r="F32" s="28"/>
      <c r="G32" s="28"/>
      <c r="H32" s="125">
        <v>9905999.9999999981</v>
      </c>
      <c r="I32" s="125">
        <v>5355000</v>
      </c>
      <c r="J32" s="125">
        <v>4298000</v>
      </c>
      <c r="K32" s="125">
        <v>8430000</v>
      </c>
      <c r="L32" s="125"/>
      <c r="M32" s="125">
        <v>9400000</v>
      </c>
      <c r="N32" s="509">
        <v>9000000</v>
      </c>
      <c r="O32" s="509">
        <v>9000000</v>
      </c>
      <c r="P32" s="509">
        <v>9000000</v>
      </c>
      <c r="Q32" s="509">
        <v>27000000</v>
      </c>
      <c r="R32" s="509">
        <v>28000000</v>
      </c>
      <c r="S32" s="509">
        <v>37000000</v>
      </c>
      <c r="T32" s="509">
        <v>36000000</v>
      </c>
      <c r="U32" s="509">
        <v>37000000</v>
      </c>
      <c r="V32" s="509">
        <v>49000000</v>
      </c>
      <c r="W32" s="509">
        <v>42000000</v>
      </c>
      <c r="X32" s="4">
        <v>44000000</v>
      </c>
      <c r="Y32" s="267">
        <v>46000000</v>
      </c>
      <c r="Z32" s="267">
        <v>48000000</v>
      </c>
      <c r="AA32" s="498"/>
    </row>
    <row r="33" spans="1:27">
      <c r="A33" s="58" t="s">
        <v>4685</v>
      </c>
      <c r="B33" s="58" t="s">
        <v>4686</v>
      </c>
      <c r="C33" s="58" t="s">
        <v>201</v>
      </c>
      <c r="D33" s="28"/>
      <c r="E33" s="28"/>
      <c r="F33" s="28"/>
      <c r="G33" s="28"/>
      <c r="H33" s="125">
        <v>227838000.00000003</v>
      </c>
      <c r="I33" s="125">
        <v>235620000</v>
      </c>
      <c r="J33" s="125">
        <v>236390000</v>
      </c>
      <c r="K33" s="125">
        <v>297860000</v>
      </c>
      <c r="L33" s="125">
        <v>138851999.99999997</v>
      </c>
      <c r="M33" s="125">
        <v>413100000</v>
      </c>
      <c r="N33" s="509">
        <v>424000000</v>
      </c>
      <c r="O33" s="509">
        <v>456000000</v>
      </c>
      <c r="P33" s="509">
        <v>482000000</v>
      </c>
      <c r="Q33" s="509">
        <v>483000000</v>
      </c>
      <c r="R33" s="509">
        <v>492000000</v>
      </c>
      <c r="S33" s="509">
        <v>488000000</v>
      </c>
      <c r="T33" s="509">
        <v>558000000</v>
      </c>
      <c r="U33" s="509">
        <v>574000000</v>
      </c>
      <c r="V33" s="509">
        <v>581000000</v>
      </c>
      <c r="W33" s="509">
        <v>602000000</v>
      </c>
      <c r="X33" s="4">
        <v>617000000</v>
      </c>
      <c r="Y33" s="267">
        <v>639000000</v>
      </c>
      <c r="Z33" s="267">
        <v>663000000</v>
      </c>
      <c r="AA33" s="498"/>
    </row>
    <row r="34" spans="1:27">
      <c r="A34" s="58" t="s">
        <v>487</v>
      </c>
      <c r="B34" s="58" t="s">
        <v>3269</v>
      </c>
      <c r="C34" s="58" t="s">
        <v>201</v>
      </c>
      <c r="D34" s="28"/>
      <c r="E34" s="28"/>
      <c r="F34" s="28"/>
      <c r="G34" s="28"/>
      <c r="H34" s="125">
        <v>24765000</v>
      </c>
      <c r="I34" s="125">
        <v>28560000</v>
      </c>
      <c r="J34" s="125">
        <v>73065999.999999985</v>
      </c>
      <c r="K34" s="125">
        <v>81490000</v>
      </c>
      <c r="L34" s="125"/>
      <c r="M34" s="125">
        <v>148400000</v>
      </c>
      <c r="N34" s="509">
        <v>195000000</v>
      </c>
      <c r="O34" s="509">
        <v>156000000</v>
      </c>
      <c r="P34" s="509">
        <v>76000000</v>
      </c>
      <c r="Q34" s="509">
        <v>155000000</v>
      </c>
      <c r="R34" s="509">
        <v>154000000</v>
      </c>
      <c r="S34" s="509">
        <v>230000000</v>
      </c>
      <c r="T34" s="509">
        <v>212000000</v>
      </c>
      <c r="U34" s="509">
        <v>213000000</v>
      </c>
      <c r="V34" s="509">
        <v>250000000</v>
      </c>
      <c r="W34" s="509">
        <v>257000000</v>
      </c>
      <c r="X34" s="4">
        <v>266000000</v>
      </c>
      <c r="Y34" s="267">
        <v>278000000</v>
      </c>
      <c r="Z34" s="267">
        <v>291000000</v>
      </c>
      <c r="AA34" s="498"/>
    </row>
    <row r="35" spans="1:27">
      <c r="A35" s="58" t="s">
        <v>88</v>
      </c>
      <c r="B35" s="58" t="s">
        <v>4687</v>
      </c>
      <c r="C35" s="58" t="s">
        <v>201</v>
      </c>
      <c r="D35" s="28"/>
      <c r="E35" s="28"/>
      <c r="F35" s="28"/>
      <c r="G35" s="28"/>
      <c r="H35" s="125">
        <v>49530000</v>
      </c>
      <c r="I35" s="125">
        <v>73184999.999999985</v>
      </c>
      <c r="J35" s="125">
        <v>109599000</v>
      </c>
      <c r="K35" s="125">
        <v>188270000</v>
      </c>
      <c r="L35" s="125">
        <v>311645599.99999994</v>
      </c>
      <c r="M35" s="125">
        <v>251200000</v>
      </c>
      <c r="N35" s="509">
        <v>166000000</v>
      </c>
      <c r="O35" s="509">
        <v>136000000</v>
      </c>
      <c r="P35" s="509">
        <v>138000000</v>
      </c>
      <c r="Q35" s="509">
        <v>132000000</v>
      </c>
      <c r="R35" s="509">
        <v>189000000</v>
      </c>
      <c r="S35" s="509">
        <v>205000000</v>
      </c>
      <c r="T35" s="509">
        <v>470000000</v>
      </c>
      <c r="U35" s="509">
        <v>482000000</v>
      </c>
      <c r="V35" s="509">
        <v>442000000</v>
      </c>
      <c r="W35" s="509">
        <v>476000000</v>
      </c>
      <c r="X35" s="4">
        <v>198000000</v>
      </c>
      <c r="Y35" s="267">
        <v>217000000</v>
      </c>
      <c r="Z35" s="267">
        <v>233000000</v>
      </c>
      <c r="AA35" s="498"/>
    </row>
    <row r="36" spans="1:27">
      <c r="A36" s="2579"/>
      <c r="B36" s="2579" t="s">
        <v>4688</v>
      </c>
      <c r="C36" s="2663"/>
      <c r="D36" s="28"/>
      <c r="E36" s="28"/>
      <c r="F36" s="28"/>
      <c r="G36" s="28"/>
      <c r="H36" s="125"/>
      <c r="I36" s="125"/>
      <c r="J36" s="125"/>
      <c r="K36" s="125"/>
      <c r="L36" s="125"/>
      <c r="M36" s="125"/>
      <c r="N36" s="509"/>
      <c r="O36" s="509"/>
      <c r="P36" s="509">
        <v>138000000</v>
      </c>
      <c r="Q36" s="509">
        <v>132000000</v>
      </c>
      <c r="R36" s="509">
        <v>189000000</v>
      </c>
      <c r="S36" s="509">
        <v>135000000</v>
      </c>
      <c r="T36" s="509"/>
      <c r="U36" s="509"/>
      <c r="V36" s="509">
        <v>172000000</v>
      </c>
      <c r="W36" s="509">
        <v>190000000</v>
      </c>
      <c r="X36" s="4">
        <v>198000000</v>
      </c>
      <c r="Y36" s="267">
        <v>217000000</v>
      </c>
      <c r="Z36" s="267">
        <v>233000000</v>
      </c>
      <c r="AA36" s="498"/>
    </row>
    <row r="37" spans="1:27">
      <c r="A37" s="2579"/>
      <c r="B37" s="2579" t="s">
        <v>4689</v>
      </c>
      <c r="C37" s="2663"/>
      <c r="D37" s="28"/>
      <c r="E37" s="28"/>
      <c r="F37" s="28"/>
      <c r="G37" s="28"/>
      <c r="H37" s="125"/>
      <c r="I37" s="125"/>
      <c r="J37" s="125"/>
      <c r="K37" s="125"/>
      <c r="L37" s="125"/>
      <c r="M37" s="125"/>
      <c r="N37" s="509"/>
      <c r="O37" s="509"/>
      <c r="P37" s="509">
        <v>0</v>
      </c>
      <c r="Q37" s="509">
        <v>0</v>
      </c>
      <c r="R37" s="509">
        <v>0</v>
      </c>
      <c r="S37" s="509">
        <v>71000000</v>
      </c>
      <c r="T37" s="509"/>
      <c r="U37" s="509"/>
      <c r="V37" s="509">
        <v>271000000</v>
      </c>
      <c r="W37" s="509">
        <v>286000000</v>
      </c>
      <c r="X37" s="4">
        <v>0</v>
      </c>
      <c r="Y37" s="267">
        <v>0</v>
      </c>
      <c r="Z37" s="267">
        <v>0</v>
      </c>
      <c r="AA37" s="498"/>
    </row>
    <row r="38" spans="1:27" ht="15" customHeight="1">
      <c r="A38" s="58" t="s">
        <v>4690</v>
      </c>
      <c r="B38" s="58" t="s">
        <v>4691</v>
      </c>
      <c r="C38" s="58" t="s">
        <v>201</v>
      </c>
      <c r="D38" s="28"/>
      <c r="E38" s="28"/>
      <c r="F38" s="28"/>
      <c r="G38" s="28"/>
      <c r="H38" s="298"/>
      <c r="I38" s="298"/>
      <c r="J38" s="298"/>
      <c r="K38" s="298"/>
      <c r="L38" s="298"/>
      <c r="M38" s="125">
        <v>1800000</v>
      </c>
      <c r="N38" s="509">
        <v>0</v>
      </c>
      <c r="O38" s="509">
        <v>34000000</v>
      </c>
      <c r="P38" s="509">
        <v>25000000</v>
      </c>
      <c r="Q38" s="509">
        <v>107000000</v>
      </c>
      <c r="R38" s="509">
        <v>18000000</v>
      </c>
      <c r="S38" s="509">
        <v>0</v>
      </c>
      <c r="T38" s="509">
        <v>0</v>
      </c>
      <c r="U38" s="509">
        <v>0</v>
      </c>
      <c r="V38" s="509">
        <v>0</v>
      </c>
      <c r="W38" s="509">
        <v>0</v>
      </c>
      <c r="X38" s="4">
        <v>0</v>
      </c>
      <c r="Y38" s="267">
        <v>0</v>
      </c>
      <c r="Z38" s="267">
        <v>0</v>
      </c>
      <c r="AA38" s="498"/>
    </row>
    <row r="39" spans="1:27" ht="15" customHeight="1">
      <c r="A39" s="58" t="s">
        <v>1485</v>
      </c>
      <c r="B39" s="58" t="s">
        <v>1485</v>
      </c>
      <c r="C39" s="58" t="s">
        <v>201</v>
      </c>
      <c r="D39" s="28"/>
      <c r="E39" s="28"/>
      <c r="F39" s="28"/>
      <c r="G39" s="28"/>
      <c r="H39" s="125">
        <v>16510000</v>
      </c>
      <c r="I39" s="125">
        <v>17850000</v>
      </c>
      <c r="J39" s="125">
        <v>17192000</v>
      </c>
      <c r="K39" s="125">
        <v>19669999.999999996</v>
      </c>
      <c r="L39" s="125">
        <v>18513600</v>
      </c>
      <c r="M39" s="125">
        <v>14500000</v>
      </c>
      <c r="N39" s="509">
        <v>16000000</v>
      </c>
      <c r="O39" s="509">
        <v>14000000</v>
      </c>
      <c r="P39" s="509">
        <v>22000000</v>
      </c>
      <c r="Q39" s="509">
        <v>16000000</v>
      </c>
      <c r="R39" s="509">
        <v>16000000</v>
      </c>
      <c r="S39" s="509">
        <v>19000000</v>
      </c>
      <c r="T39" s="509">
        <v>16000000</v>
      </c>
      <c r="U39" s="509">
        <v>17000000</v>
      </c>
      <c r="V39" s="509">
        <v>23000000</v>
      </c>
      <c r="W39" s="509">
        <v>24000000</v>
      </c>
      <c r="X39" s="4">
        <v>25000000</v>
      </c>
      <c r="Y39" s="267">
        <v>26000000</v>
      </c>
      <c r="Z39" s="267">
        <v>28000000</v>
      </c>
      <c r="AA39" s="498"/>
    </row>
    <row r="40" spans="1:27">
      <c r="A40" s="58" t="s">
        <v>612</v>
      </c>
      <c r="B40" s="58" t="s">
        <v>3521</v>
      </c>
      <c r="C40" s="58" t="s">
        <v>201</v>
      </c>
      <c r="D40" s="28"/>
      <c r="E40" s="28"/>
      <c r="F40" s="28"/>
      <c r="G40" s="28"/>
      <c r="H40" s="125">
        <v>13208000.000000002</v>
      </c>
      <c r="I40" s="125">
        <v>12495000</v>
      </c>
      <c r="J40" s="125">
        <v>8596000</v>
      </c>
      <c r="K40" s="395">
        <v>0</v>
      </c>
      <c r="L40" s="125">
        <v>55540800</v>
      </c>
      <c r="M40" s="395">
        <v>0</v>
      </c>
      <c r="N40" s="509">
        <v>5000000</v>
      </c>
      <c r="O40" s="509">
        <v>4000000</v>
      </c>
      <c r="P40" s="509">
        <v>3000000</v>
      </c>
      <c r="Q40" s="509">
        <v>4000000</v>
      </c>
      <c r="R40" s="2666">
        <v>0</v>
      </c>
      <c r="S40" s="509">
        <v>4000000</v>
      </c>
      <c r="T40" s="2666">
        <v>0</v>
      </c>
      <c r="U40" s="2666">
        <v>0</v>
      </c>
      <c r="V40" s="509">
        <v>1000000</v>
      </c>
      <c r="W40" s="509">
        <v>1000000</v>
      </c>
      <c r="X40" s="4">
        <v>1000000</v>
      </c>
      <c r="Y40" s="267">
        <v>1000000</v>
      </c>
      <c r="Z40" s="267">
        <v>1000000</v>
      </c>
      <c r="AA40" s="498"/>
    </row>
    <row r="41" spans="1:27">
      <c r="A41" t="s">
        <v>76</v>
      </c>
      <c r="B41" s="58" t="s">
        <v>4692</v>
      </c>
      <c r="C41" s="58"/>
      <c r="D41" s="28"/>
      <c r="E41" s="28"/>
      <c r="F41" s="28"/>
      <c r="G41" s="28"/>
      <c r="H41" s="125">
        <v>-44577000.000000007</v>
      </c>
      <c r="I41" s="125">
        <v>-32130000</v>
      </c>
      <c r="J41" s="125">
        <v>45129000.000000007</v>
      </c>
      <c r="K41" s="125">
        <v>179840000</v>
      </c>
      <c r="L41" s="125"/>
      <c r="M41" s="125">
        <v>-159500000</v>
      </c>
      <c r="N41" s="509">
        <v>-152000000</v>
      </c>
      <c r="O41" s="509">
        <v>-220000000</v>
      </c>
      <c r="P41" s="509">
        <v>-186000000</v>
      </c>
      <c r="Q41" s="509">
        <v>-151000000</v>
      </c>
      <c r="R41" s="509">
        <v>-24000000</v>
      </c>
      <c r="S41" s="509">
        <v>-213000000</v>
      </c>
      <c r="T41" s="509">
        <v>-352000000</v>
      </c>
      <c r="U41" s="509">
        <v>-357000000</v>
      </c>
      <c r="V41" s="509">
        <v>-234000000</v>
      </c>
      <c r="W41" s="509">
        <v>-213000000</v>
      </c>
      <c r="X41" s="4">
        <v>85000000</v>
      </c>
      <c r="Y41" s="267">
        <v>90000000</v>
      </c>
      <c r="Z41" s="267">
        <v>95000000</v>
      </c>
      <c r="AA41" s="498"/>
    </row>
    <row r="42" spans="1:27" s="848" customFormat="1">
      <c r="A42" s="848" t="s">
        <v>592</v>
      </c>
      <c r="B42" s="1063" t="s">
        <v>4693</v>
      </c>
      <c r="C42" s="1063" t="s">
        <v>35</v>
      </c>
      <c r="D42" s="1158"/>
      <c r="E42" s="1158"/>
      <c r="F42" s="1158"/>
      <c r="G42" s="1158"/>
      <c r="H42" s="1159">
        <v>44577000.000000007</v>
      </c>
      <c r="I42" s="1159">
        <v>32130000</v>
      </c>
      <c r="J42" s="1159">
        <f>J43+J54+J58+J59+J60</f>
        <v>-40831000</v>
      </c>
      <c r="K42" s="1159">
        <v>-179840000</v>
      </c>
      <c r="L42" s="1159">
        <f>L43+L54+L58+L59+L60</f>
        <v>6171200</v>
      </c>
      <c r="M42" s="1159">
        <v>159500000</v>
      </c>
      <c r="N42" s="1691">
        <v>152000000</v>
      </c>
      <c r="O42" s="1557">
        <v>220000000</v>
      </c>
      <c r="P42" s="1691">
        <v>186000000</v>
      </c>
      <c r="Q42" s="1691">
        <v>151000000</v>
      </c>
      <c r="R42" s="1691">
        <v>24000000</v>
      </c>
      <c r="S42" s="1691">
        <v>213000000</v>
      </c>
      <c r="T42" s="1691">
        <v>352000000</v>
      </c>
      <c r="U42" s="1691">
        <v>357000000</v>
      </c>
      <c r="V42" s="1691">
        <v>234000000</v>
      </c>
      <c r="W42" s="1691">
        <v>213000000</v>
      </c>
      <c r="X42" s="1746">
        <v>-85000000</v>
      </c>
      <c r="Y42" s="1348">
        <v>-90000000</v>
      </c>
      <c r="Z42" s="1348">
        <v>-95000000</v>
      </c>
      <c r="AA42" s="1747"/>
    </row>
    <row r="43" spans="1:27">
      <c r="A43" s="90" t="s">
        <v>2299</v>
      </c>
      <c r="B43" s="58" t="s">
        <v>3316</v>
      </c>
      <c r="C43" s="58" t="s">
        <v>252</v>
      </c>
      <c r="D43" s="28"/>
      <c r="E43" s="28"/>
      <c r="F43" s="28"/>
      <c r="G43" s="28"/>
      <c r="H43" s="319">
        <f>H46+H47+H51</f>
        <v>3302000.0000000037</v>
      </c>
      <c r="I43" s="319">
        <f>I46+I47+I51</f>
        <v>-130305000</v>
      </c>
      <c r="J43" s="319">
        <f>J46+J47+J51</f>
        <v>-131089000</v>
      </c>
      <c r="K43" s="125">
        <v>-205130000</v>
      </c>
      <c r="L43" s="125">
        <v>-37027200</v>
      </c>
      <c r="M43" s="125">
        <v>-93500000</v>
      </c>
      <c r="N43" s="509">
        <v>-14000000</v>
      </c>
      <c r="O43" s="509">
        <v>83000000</v>
      </c>
      <c r="P43" s="509">
        <v>-19000000</v>
      </c>
      <c r="Q43" s="509">
        <v>-14000000</v>
      </c>
      <c r="R43" s="509">
        <v>-85000000</v>
      </c>
      <c r="S43" s="509">
        <v>-12000000</v>
      </c>
      <c r="T43" s="509">
        <v>70000000</v>
      </c>
      <c r="U43" s="509">
        <v>-17000000</v>
      </c>
      <c r="V43" s="509">
        <v>6000000</v>
      </c>
      <c r="W43" s="509">
        <v>20000000</v>
      </c>
      <c r="X43" s="4">
        <v>16000000</v>
      </c>
      <c r="Y43" s="267">
        <v>30000000</v>
      </c>
      <c r="Z43" s="267">
        <v>-39000000</v>
      </c>
      <c r="AA43" s="498"/>
    </row>
    <row r="44" spans="1:27">
      <c r="A44" s="2464" t="s">
        <v>2867</v>
      </c>
      <c r="B44" s="2579" t="s">
        <v>4694</v>
      </c>
      <c r="C44" s="2579" t="s">
        <v>124</v>
      </c>
      <c r="D44" s="28"/>
      <c r="E44" s="28"/>
      <c r="F44" s="28"/>
      <c r="G44" s="28"/>
      <c r="H44" s="319"/>
      <c r="I44" s="319"/>
      <c r="J44" s="319"/>
      <c r="K44" s="125"/>
      <c r="L44" s="125"/>
      <c r="M44" s="125"/>
      <c r="N44" s="509"/>
      <c r="O44" s="509"/>
      <c r="P44" s="509">
        <v>-13000000</v>
      </c>
      <c r="Q44" s="509">
        <v>22000000</v>
      </c>
      <c r="R44" s="509">
        <v>-18000000</v>
      </c>
      <c r="S44" s="509">
        <v>-7000000</v>
      </c>
      <c r="T44" s="509">
        <v>61000000</v>
      </c>
      <c r="U44" s="509">
        <v>-14000000</v>
      </c>
      <c r="V44" s="509">
        <v>5000000</v>
      </c>
      <c r="W44" s="509">
        <v>2000000</v>
      </c>
      <c r="X44" s="4">
        <v>0</v>
      </c>
      <c r="Y44" s="267">
        <v>0</v>
      </c>
      <c r="Z44" s="267">
        <v>0</v>
      </c>
      <c r="AA44" s="498"/>
    </row>
    <row r="45" spans="1:27">
      <c r="A45" s="2464" t="s">
        <v>4695</v>
      </c>
      <c r="B45" s="2579" t="s">
        <v>4695</v>
      </c>
      <c r="C45" s="2579" t="s">
        <v>124</v>
      </c>
      <c r="D45" s="28"/>
      <c r="E45" s="28"/>
      <c r="F45" s="28"/>
      <c r="G45" s="28"/>
      <c r="H45" s="319"/>
      <c r="I45" s="319"/>
      <c r="J45" s="319"/>
      <c r="K45" s="125"/>
      <c r="L45" s="125"/>
      <c r="M45" s="125"/>
      <c r="N45" s="509"/>
      <c r="O45" s="509"/>
      <c r="P45" s="509">
        <v>-6000000</v>
      </c>
      <c r="Q45" s="509">
        <v>-37000000</v>
      </c>
      <c r="R45" s="509">
        <v>-68000000</v>
      </c>
      <c r="S45" s="509">
        <v>-5000000</v>
      </c>
      <c r="T45" s="509">
        <v>9000000</v>
      </c>
      <c r="U45" s="509">
        <v>-4000000</v>
      </c>
      <c r="V45" s="509">
        <v>1000000</v>
      </c>
      <c r="W45" s="509">
        <v>18000000</v>
      </c>
      <c r="X45" s="4">
        <v>16000000</v>
      </c>
      <c r="Y45" s="267">
        <v>30000000</v>
      </c>
      <c r="Z45" s="267">
        <v>-39000000</v>
      </c>
      <c r="AA45" s="498"/>
    </row>
    <row r="46" spans="1:27">
      <c r="A46" s="64" t="s">
        <v>861</v>
      </c>
      <c r="B46" s="64" t="s">
        <v>1032</v>
      </c>
      <c r="C46" s="58" t="s">
        <v>124</v>
      </c>
      <c r="D46" s="28"/>
      <c r="E46" s="28"/>
      <c r="F46" s="28"/>
      <c r="G46" s="28"/>
      <c r="H46" s="125">
        <v>0</v>
      </c>
      <c r="I46" s="125">
        <v>-51765000</v>
      </c>
      <c r="J46" s="125">
        <v>-73065999.999999985</v>
      </c>
      <c r="K46" s="125">
        <v>-106780000</v>
      </c>
      <c r="L46" s="125"/>
      <c r="M46" s="125"/>
      <c r="N46" s="509"/>
      <c r="O46" s="509"/>
      <c r="P46" s="509"/>
      <c r="Q46" s="509"/>
      <c r="R46" s="509"/>
      <c r="S46" s="509"/>
      <c r="T46" s="509"/>
      <c r="U46" s="509"/>
      <c r="V46" s="509"/>
      <c r="W46" s="509"/>
      <c r="X46" s="4"/>
      <c r="Y46" s="267"/>
      <c r="Z46" s="267"/>
      <c r="AA46" s="498"/>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09"/>
      <c r="O47" s="509"/>
      <c r="P47" s="509"/>
      <c r="Q47" s="509"/>
      <c r="R47" s="509"/>
      <c r="S47" s="509"/>
      <c r="T47" s="509"/>
      <c r="U47" s="509"/>
      <c r="V47" s="509"/>
      <c r="W47" s="509"/>
      <c r="X47" s="4"/>
      <c r="Y47" s="267"/>
      <c r="Z47" s="267"/>
      <c r="AA47" s="498"/>
    </row>
    <row r="48" spans="1:27">
      <c r="A48" t="s">
        <v>76</v>
      </c>
      <c r="B48" s="65" t="s">
        <v>3325</v>
      </c>
      <c r="C48" s="58"/>
      <c r="D48" s="28"/>
      <c r="E48" s="28"/>
      <c r="F48" s="28"/>
      <c r="G48" s="28"/>
      <c r="H48" s="125">
        <v>16510000</v>
      </c>
      <c r="I48" s="125">
        <v>-28560000</v>
      </c>
      <c r="J48" s="298"/>
      <c r="K48" s="298"/>
      <c r="L48" s="298"/>
      <c r="M48" s="298"/>
      <c r="N48" s="509"/>
      <c r="O48" s="509"/>
      <c r="P48" s="509"/>
      <c r="Q48" s="509"/>
      <c r="R48" s="509"/>
      <c r="S48" s="509"/>
      <c r="T48" s="509"/>
      <c r="U48" s="509"/>
      <c r="V48" s="509"/>
      <c r="W48" s="509"/>
      <c r="X48" s="4"/>
      <c r="Y48" s="267"/>
      <c r="Z48" s="267"/>
      <c r="AA48" s="498"/>
    </row>
    <row r="49" spans="1:27">
      <c r="A49" t="s">
        <v>76</v>
      </c>
      <c r="B49" s="65" t="s">
        <v>4696</v>
      </c>
      <c r="C49" s="58"/>
      <c r="D49" s="28"/>
      <c r="E49" s="28"/>
      <c r="F49" s="28"/>
      <c r="G49" s="28"/>
      <c r="H49" s="125">
        <v>-4952999.9999999991</v>
      </c>
      <c r="I49" s="125">
        <v>-14280000</v>
      </c>
      <c r="J49" s="298"/>
      <c r="K49" s="298"/>
      <c r="L49" s="298"/>
      <c r="M49" s="298"/>
      <c r="N49" s="509"/>
      <c r="O49" s="509"/>
      <c r="P49" s="509"/>
      <c r="Q49" s="509"/>
      <c r="R49" s="509"/>
      <c r="S49" s="509"/>
      <c r="T49" s="509"/>
      <c r="U49" s="509"/>
      <c r="V49" s="509"/>
      <c r="W49" s="509"/>
      <c r="X49" s="4"/>
      <c r="Y49" s="267"/>
      <c r="Z49" s="267"/>
      <c r="AA49" s="498"/>
    </row>
    <row r="50" spans="1:27">
      <c r="A50" t="s">
        <v>76</v>
      </c>
      <c r="B50" s="65" t="s">
        <v>4697</v>
      </c>
      <c r="C50" s="58"/>
      <c r="D50" s="28"/>
      <c r="E50" s="28"/>
      <c r="F50" s="28"/>
      <c r="G50" s="28"/>
      <c r="H50" s="125">
        <v>0</v>
      </c>
      <c r="I50" s="125">
        <v>0</v>
      </c>
      <c r="J50" s="298"/>
      <c r="K50" s="298"/>
      <c r="L50" s="298"/>
      <c r="M50" s="298"/>
      <c r="N50" s="509"/>
      <c r="O50" s="509"/>
      <c r="P50" s="509"/>
      <c r="Q50" s="509"/>
      <c r="R50" s="509"/>
      <c r="S50" s="509"/>
      <c r="T50" s="509"/>
      <c r="U50" s="509"/>
      <c r="V50" s="509"/>
      <c r="W50" s="509"/>
      <c r="X50" s="4"/>
      <c r="Y50" s="267"/>
      <c r="Z50" s="267"/>
      <c r="AA50" s="498"/>
    </row>
    <row r="51" spans="1:27">
      <c r="A51" s="58" t="s">
        <v>1558</v>
      </c>
      <c r="B51" s="58" t="s">
        <v>4698</v>
      </c>
      <c r="C51" s="58" t="s">
        <v>124</v>
      </c>
      <c r="D51" s="28"/>
      <c r="E51" s="28"/>
      <c r="F51" s="28"/>
      <c r="G51" s="28"/>
      <c r="H51" s="125">
        <v>-9905999.9999999981</v>
      </c>
      <c r="I51" s="125">
        <v>-35700000</v>
      </c>
      <c r="J51" s="125">
        <v>-38682000.000000007</v>
      </c>
      <c r="K51" s="125">
        <v>-89920000</v>
      </c>
      <c r="L51" s="298"/>
      <c r="M51" s="298"/>
      <c r="N51" s="509"/>
      <c r="O51" s="509"/>
      <c r="P51" s="509"/>
      <c r="Q51" s="509"/>
      <c r="R51" s="509"/>
      <c r="S51" s="509"/>
      <c r="T51" s="509"/>
      <c r="U51" s="509"/>
      <c r="V51" s="509"/>
      <c r="W51" s="509"/>
      <c r="X51" s="4"/>
      <c r="Y51" s="267"/>
      <c r="Z51" s="267"/>
      <c r="AA51" s="498"/>
    </row>
    <row r="52" spans="1:27">
      <c r="A52" s="58" t="s">
        <v>4699</v>
      </c>
      <c r="B52" s="58" t="s">
        <v>4700</v>
      </c>
      <c r="C52" s="58" t="s">
        <v>124</v>
      </c>
      <c r="D52" s="28"/>
      <c r="E52" s="28"/>
      <c r="F52" s="28"/>
      <c r="G52" s="28"/>
      <c r="H52" s="298"/>
      <c r="I52" s="298"/>
      <c r="J52" s="298"/>
      <c r="K52" s="298"/>
      <c r="L52" s="298"/>
      <c r="M52" s="125">
        <v>-56800000</v>
      </c>
      <c r="N52" s="509">
        <v>38000000</v>
      </c>
      <c r="O52" s="509">
        <v>51000000</v>
      </c>
      <c r="P52" s="509"/>
      <c r="Q52" s="509"/>
      <c r="R52" s="509"/>
      <c r="S52" s="509"/>
      <c r="T52" s="509"/>
      <c r="U52" s="509"/>
      <c r="V52" s="509"/>
      <c r="W52" s="509"/>
      <c r="X52" s="4"/>
      <c r="Y52" s="267"/>
      <c r="Z52" s="267"/>
      <c r="AA52" s="498"/>
    </row>
    <row r="53" spans="1:27">
      <c r="A53" s="58" t="s">
        <v>4701</v>
      </c>
      <c r="B53" s="58" t="s">
        <v>4702</v>
      </c>
      <c r="C53" s="58" t="s">
        <v>124</v>
      </c>
      <c r="D53" s="28"/>
      <c r="E53" s="28"/>
      <c r="F53" s="28"/>
      <c r="G53" s="28"/>
      <c r="H53" s="298"/>
      <c r="I53" s="298"/>
      <c r="J53" s="298"/>
      <c r="K53" s="298"/>
      <c r="L53" s="298"/>
      <c r="M53" s="125">
        <v>-36700000</v>
      </c>
      <c r="N53" s="509">
        <v>-52000000</v>
      </c>
      <c r="O53" s="509">
        <v>32000000</v>
      </c>
      <c r="P53" s="509"/>
      <c r="Q53" s="509"/>
      <c r="R53" s="509"/>
      <c r="S53" s="509"/>
      <c r="T53" s="509"/>
      <c r="U53" s="509"/>
      <c r="V53" s="509"/>
      <c r="W53" s="509"/>
      <c r="X53" s="4"/>
      <c r="Y53" s="267"/>
      <c r="Z53" s="267"/>
      <c r="AA53" s="498"/>
    </row>
    <row r="54" spans="1:27">
      <c r="A54" s="90" t="s">
        <v>117</v>
      </c>
      <c r="B54" s="58" t="s">
        <v>4703</v>
      </c>
      <c r="C54" s="58" t="s">
        <v>252</v>
      </c>
      <c r="D54" s="28"/>
      <c r="E54" s="28"/>
      <c r="F54" s="28"/>
      <c r="G54" s="28"/>
      <c r="H54" s="125">
        <v>31368999.999999996</v>
      </c>
      <c r="I54" s="125">
        <v>17850000</v>
      </c>
      <c r="J54" s="125">
        <v>10745000</v>
      </c>
      <c r="K54" s="125">
        <v>-81490000</v>
      </c>
      <c r="L54" s="125">
        <v>6171200</v>
      </c>
      <c r="M54" s="125">
        <v>123200000</v>
      </c>
      <c r="N54" s="509">
        <v>160000000</v>
      </c>
      <c r="O54" s="509">
        <v>129000000</v>
      </c>
      <c r="P54" s="509">
        <v>198000000</v>
      </c>
      <c r="Q54" s="509">
        <v>139000000</v>
      </c>
      <c r="R54" s="509">
        <v>98000000</v>
      </c>
      <c r="S54" s="509">
        <v>215000000</v>
      </c>
      <c r="T54" s="509">
        <v>-59000000</v>
      </c>
      <c r="U54" s="509">
        <v>115000000</v>
      </c>
      <c r="V54" s="509">
        <v>185000000</v>
      </c>
      <c r="W54" s="509">
        <v>-29000000</v>
      </c>
      <c r="X54" s="4">
        <v>-537000000</v>
      </c>
      <c r="Y54" s="267">
        <v>-363000000</v>
      </c>
      <c r="Z54" s="267">
        <v>-80000000</v>
      </c>
      <c r="AA54" s="498"/>
    </row>
    <row r="55" spans="1:27">
      <c r="A55" s="58" t="s">
        <v>2546</v>
      </c>
      <c r="B55" s="58" t="s">
        <v>2546</v>
      </c>
      <c r="C55" s="58" t="s">
        <v>4704</v>
      </c>
      <c r="D55" s="28"/>
      <c r="E55" s="28"/>
      <c r="F55" s="28"/>
      <c r="G55" s="28"/>
      <c r="H55" s="125">
        <v>33020000</v>
      </c>
      <c r="I55" s="125">
        <v>23205000</v>
      </c>
      <c r="J55" s="298"/>
      <c r="K55" s="298"/>
      <c r="L55" s="298"/>
      <c r="M55" s="298"/>
      <c r="N55" s="509"/>
      <c r="O55" s="509"/>
      <c r="P55" s="509">
        <v>258000000</v>
      </c>
      <c r="Q55" s="509">
        <v>191000000</v>
      </c>
      <c r="R55" s="509">
        <v>210000000</v>
      </c>
      <c r="S55" s="509">
        <v>661000000</v>
      </c>
      <c r="T55" s="509">
        <v>261000000</v>
      </c>
      <c r="U55" s="509">
        <v>261000000</v>
      </c>
      <c r="V55" s="509">
        <v>279000000</v>
      </c>
      <c r="W55" s="509">
        <v>321000000</v>
      </c>
      <c r="X55" s="4">
        <v>33000000</v>
      </c>
      <c r="Y55" s="267">
        <v>54000000</v>
      </c>
      <c r="Z55" s="267">
        <v>33000000</v>
      </c>
      <c r="AA55" s="498"/>
    </row>
    <row r="56" spans="1:27">
      <c r="A56" s="58" t="s">
        <v>1873</v>
      </c>
      <c r="B56" s="58" t="s">
        <v>1873</v>
      </c>
      <c r="C56" s="58" t="s">
        <v>4704</v>
      </c>
      <c r="D56" s="28"/>
      <c r="E56" s="28"/>
      <c r="F56" s="28"/>
      <c r="G56" s="28"/>
      <c r="H56" s="125">
        <v>-1651000.0000000002</v>
      </c>
      <c r="I56" s="125">
        <v>-5355000</v>
      </c>
      <c r="J56" s="298"/>
      <c r="K56" s="298"/>
      <c r="L56" s="298"/>
      <c r="M56" s="298"/>
      <c r="N56" s="509"/>
      <c r="O56" s="509"/>
      <c r="P56" s="509">
        <v>-60000000</v>
      </c>
      <c r="Q56" s="509">
        <v>-53000000</v>
      </c>
      <c r="R56" s="509">
        <v>-113000000</v>
      </c>
      <c r="S56" s="509">
        <v>-322000000</v>
      </c>
      <c r="T56" s="509">
        <v>-321000000</v>
      </c>
      <c r="U56" s="509">
        <v>-146000000</v>
      </c>
      <c r="V56" s="509">
        <v>-94000000</v>
      </c>
      <c r="W56" s="509">
        <v>-409000000</v>
      </c>
      <c r="X56" s="4">
        <v>-570000000</v>
      </c>
      <c r="Y56" s="267">
        <v>-417000000</v>
      </c>
      <c r="Z56" s="267">
        <v>-113000000</v>
      </c>
      <c r="AA56" s="498"/>
    </row>
    <row r="57" spans="1:27">
      <c r="A57" s="2579" t="s">
        <v>7170</v>
      </c>
      <c r="B57" s="2579" t="s">
        <v>7170</v>
      </c>
      <c r="C57" s="2579" t="s">
        <v>4704</v>
      </c>
      <c r="D57" s="28"/>
      <c r="E57" s="28"/>
      <c r="F57" s="28"/>
      <c r="G57" s="28"/>
      <c r="H57" s="125"/>
      <c r="I57" s="125"/>
      <c r="J57" s="298"/>
      <c r="K57" s="298"/>
      <c r="L57" s="298"/>
      <c r="M57" s="298"/>
      <c r="N57" s="509"/>
      <c r="O57" s="509"/>
      <c r="P57" s="509"/>
      <c r="Q57" s="509"/>
      <c r="R57" s="509"/>
      <c r="S57" s="2664">
        <f>S54-S55-S56</f>
        <v>-124000000</v>
      </c>
      <c r="T57" s="509"/>
      <c r="U57" s="509"/>
      <c r="V57" s="509"/>
      <c r="W57" s="2665">
        <f>W54-W55-W56</f>
        <v>59000000</v>
      </c>
      <c r="X57" s="4"/>
      <c r="Y57" s="267"/>
      <c r="Z57" s="267"/>
      <c r="AA57" s="498"/>
    </row>
    <row r="58" spans="1:27">
      <c r="A58" s="58" t="s">
        <v>253</v>
      </c>
      <c r="B58" s="58" t="s">
        <v>4022</v>
      </c>
      <c r="C58" s="58" t="s">
        <v>252</v>
      </c>
      <c r="D58" s="28"/>
      <c r="E58" s="28"/>
      <c r="F58" s="28"/>
      <c r="G58" s="28"/>
      <c r="H58" s="125">
        <v>79513000</v>
      </c>
      <c r="I58" s="125">
        <v>106780000</v>
      </c>
      <c r="J58" s="125">
        <v>79513000</v>
      </c>
      <c r="K58" s="125">
        <v>106780000</v>
      </c>
      <c r="L58" s="125">
        <v>37027200</v>
      </c>
      <c r="M58" s="125">
        <v>129800000.00000001</v>
      </c>
      <c r="N58" s="509">
        <v>6000000</v>
      </c>
      <c r="O58" s="509">
        <v>8000000</v>
      </c>
      <c r="P58" s="509">
        <v>6000000</v>
      </c>
      <c r="Q58" s="509">
        <v>27000000</v>
      </c>
      <c r="R58" s="509">
        <v>12000000</v>
      </c>
      <c r="S58" s="509">
        <v>10000000</v>
      </c>
      <c r="T58" s="509">
        <v>5000000</v>
      </c>
      <c r="U58" s="509">
        <v>6000000</v>
      </c>
      <c r="V58" s="509">
        <v>7000000</v>
      </c>
      <c r="W58" s="509">
        <v>0</v>
      </c>
      <c r="X58" s="4">
        <v>0</v>
      </c>
      <c r="Y58" s="267">
        <v>0</v>
      </c>
      <c r="Z58" s="267">
        <v>0</v>
      </c>
      <c r="AA58" s="498"/>
    </row>
    <row r="59" spans="1:27">
      <c r="A59" s="58" t="s">
        <v>4705</v>
      </c>
      <c r="B59" s="58" t="s">
        <v>4706</v>
      </c>
      <c r="C59" s="58" t="s">
        <v>252</v>
      </c>
      <c r="D59" s="28"/>
      <c r="E59" s="28"/>
      <c r="F59" s="28"/>
      <c r="G59" s="28"/>
      <c r="H59" s="321">
        <f>H42-H43-H54-H58-H60</f>
        <v>-69607000</v>
      </c>
      <c r="I59" s="321">
        <f>I42-I43-I54-I58-I60</f>
        <v>37805000</v>
      </c>
      <c r="J59" s="298"/>
      <c r="K59" s="298"/>
      <c r="L59" s="125">
        <v>0</v>
      </c>
      <c r="M59" s="125">
        <v>0</v>
      </c>
      <c r="N59" s="509">
        <v>0</v>
      </c>
      <c r="O59" s="509">
        <v>0</v>
      </c>
      <c r="P59" s="509">
        <v>0</v>
      </c>
      <c r="Q59" s="509">
        <v>0</v>
      </c>
      <c r="R59" s="509">
        <v>0</v>
      </c>
      <c r="S59" s="509">
        <v>0</v>
      </c>
      <c r="T59" s="509">
        <v>336000000</v>
      </c>
      <c r="U59" s="509">
        <v>253000000</v>
      </c>
      <c r="V59" s="509">
        <v>36000000</v>
      </c>
      <c r="W59" s="509">
        <v>222000000</v>
      </c>
      <c r="X59" s="4">
        <v>436000000</v>
      </c>
      <c r="Y59" s="267">
        <v>244000000</v>
      </c>
      <c r="Z59" s="267">
        <v>24000000</v>
      </c>
      <c r="AA59" s="498"/>
    </row>
    <row r="60" spans="1:27">
      <c r="A60" s="58" t="s">
        <v>1560</v>
      </c>
      <c r="B60" s="58" t="s">
        <v>1560</v>
      </c>
      <c r="C60" s="58" t="s">
        <v>252</v>
      </c>
      <c r="D60" s="28"/>
      <c r="E60" s="28"/>
      <c r="F60" s="28"/>
      <c r="G60" s="28"/>
      <c r="H60" s="298"/>
      <c r="I60" s="298"/>
      <c r="J60" s="298"/>
      <c r="K60" s="298"/>
      <c r="L60" s="298"/>
      <c r="M60" s="125">
        <v>0</v>
      </c>
      <c r="N60" s="509">
        <v>0</v>
      </c>
      <c r="O60" s="509">
        <v>0</v>
      </c>
      <c r="P60" s="509">
        <v>0</v>
      </c>
      <c r="Q60" s="509">
        <v>0</v>
      </c>
      <c r="R60" s="509">
        <v>0</v>
      </c>
      <c r="S60" s="509">
        <v>0</v>
      </c>
      <c r="T60" s="509">
        <v>0</v>
      </c>
      <c r="U60" s="509">
        <v>0</v>
      </c>
      <c r="V60" s="509">
        <v>0</v>
      </c>
      <c r="W60" s="509">
        <v>0</v>
      </c>
      <c r="X60" s="4">
        <v>0</v>
      </c>
      <c r="Y60" s="267">
        <v>0</v>
      </c>
      <c r="Z60" s="267">
        <v>0</v>
      </c>
      <c r="AA60" s="498"/>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4707</v>
      </c>
      <c r="C64" s="58"/>
      <c r="D64" s="28"/>
      <c r="E64" s="28"/>
      <c r="F64" s="28"/>
      <c r="G64" s="28"/>
      <c r="H64" s="21">
        <f>H6-H7-H21</f>
        <v>0</v>
      </c>
      <c r="I64" s="21">
        <f t="shared" ref="I64:W64" si="3">I6-I7-I21</f>
        <v>0</v>
      </c>
      <c r="J64" s="21">
        <f t="shared" si="3"/>
        <v>-1.1920928955078125E-7</v>
      </c>
      <c r="K64" s="21">
        <f t="shared" si="3"/>
        <v>0</v>
      </c>
      <c r="L64" s="21">
        <f>L6-L7-L21</f>
        <v>0</v>
      </c>
      <c r="M64" s="21">
        <f>M6-M7-M21</f>
        <v>0</v>
      </c>
      <c r="N64" s="21">
        <f>N6-N7-N21</f>
        <v>1000000</v>
      </c>
      <c r="O64" s="21">
        <f t="shared" si="3"/>
        <v>0</v>
      </c>
      <c r="P64" s="21">
        <f t="shared" si="3"/>
        <v>-1000000</v>
      </c>
      <c r="Q64" s="21">
        <f t="shared" si="3"/>
        <v>0</v>
      </c>
      <c r="R64" s="21">
        <f t="shared" si="3"/>
        <v>1000000</v>
      </c>
      <c r="S64" s="21">
        <f t="shared" si="3"/>
        <v>0</v>
      </c>
      <c r="T64" s="21">
        <f t="shared" si="3"/>
        <v>0</v>
      </c>
      <c r="U64" s="21">
        <f t="shared" si="3"/>
        <v>0</v>
      </c>
      <c r="V64" s="21">
        <f t="shared" si="3"/>
        <v>0</v>
      </c>
      <c r="W64" s="21">
        <f t="shared" si="3"/>
        <v>0</v>
      </c>
      <c r="X64" s="21">
        <f>X6-X7-X21</f>
        <v>0</v>
      </c>
      <c r="Y64" s="21">
        <f t="shared" ref="Y64:Z64" si="4">Y6-Y7-Y21</f>
        <v>-1000000</v>
      </c>
      <c r="Z64" s="21">
        <f t="shared" si="4"/>
        <v>-1000000</v>
      </c>
    </row>
    <row r="65" spans="2:26">
      <c r="B65" s="58" t="s">
        <v>450</v>
      </c>
      <c r="C65" s="58"/>
      <c r="D65" s="28"/>
      <c r="E65" s="28"/>
      <c r="F65" s="28"/>
      <c r="G65" s="28"/>
      <c r="H65" s="298">
        <f>H7-H9-H19-H20-H18</f>
        <v>0</v>
      </c>
      <c r="I65" s="298">
        <f>I7-I9-I19-I20-I18</f>
        <v>0</v>
      </c>
      <c r="J65" s="298">
        <f t="shared" ref="J65:W65" si="5">J7-J9-J19-J20-J18</f>
        <v>0</v>
      </c>
      <c r="K65" s="298">
        <f t="shared" si="5"/>
        <v>0</v>
      </c>
      <c r="L65" s="298">
        <f t="shared" si="5"/>
        <v>0</v>
      </c>
      <c r="M65" s="298">
        <f>M7-M9-M19-M20-M18</f>
        <v>0</v>
      </c>
      <c r="N65" s="298">
        <f>N7-N9-N19-N20-N18</f>
        <v>0</v>
      </c>
      <c r="O65" s="298">
        <f t="shared" si="5"/>
        <v>0</v>
      </c>
      <c r="P65" s="298">
        <f t="shared" si="5"/>
        <v>0</v>
      </c>
      <c r="Q65" s="298">
        <f t="shared" si="5"/>
        <v>0</v>
      </c>
      <c r="R65" s="298">
        <f t="shared" si="5"/>
        <v>0</v>
      </c>
      <c r="S65" s="298">
        <f t="shared" si="5"/>
        <v>0</v>
      </c>
      <c r="T65" s="298">
        <f t="shared" si="5"/>
        <v>1000000</v>
      </c>
      <c r="U65" s="298">
        <f t="shared" si="5"/>
        <v>1000000</v>
      </c>
      <c r="V65" s="298">
        <f t="shared" si="5"/>
        <v>0</v>
      </c>
      <c r="W65" s="298">
        <f t="shared" si="5"/>
        <v>0</v>
      </c>
      <c r="X65" s="298">
        <f>X7-X9-X19-X20-X18</f>
        <v>1000000</v>
      </c>
      <c r="Y65" s="298">
        <f t="shared" ref="Y65:Z65" si="6">Y7-Y9-Y19-Y20-Y18</f>
        <v>1000000</v>
      </c>
      <c r="Z65" s="298">
        <f t="shared" si="6"/>
        <v>0</v>
      </c>
    </row>
    <row r="66" spans="2:26">
      <c r="B66" s="58" t="s">
        <v>4708</v>
      </c>
      <c r="C66" s="58"/>
      <c r="D66" s="28"/>
      <c r="E66" s="28"/>
      <c r="F66" s="28"/>
      <c r="G66" s="28"/>
      <c r="H66" s="298"/>
      <c r="I66" s="298"/>
      <c r="J66" s="298"/>
      <c r="K66" s="298"/>
      <c r="L66" s="298"/>
      <c r="M66" s="298"/>
      <c r="N66" s="298"/>
      <c r="O66" s="298"/>
      <c r="P66" s="298">
        <f>P35-P36-P37</f>
        <v>0</v>
      </c>
      <c r="Q66" s="298">
        <f t="shared" ref="Q66:X66" si="7">Q35-Q36-Q37</f>
        <v>0</v>
      </c>
      <c r="R66" s="298">
        <f t="shared" si="7"/>
        <v>0</v>
      </c>
      <c r="S66" s="298">
        <f t="shared" si="7"/>
        <v>-1000000</v>
      </c>
      <c r="T66" s="1744">
        <f t="shared" si="7"/>
        <v>470000000</v>
      </c>
      <c r="U66" s="1744">
        <f t="shared" si="7"/>
        <v>482000000</v>
      </c>
      <c r="V66" s="298">
        <f t="shared" si="7"/>
        <v>-1000000</v>
      </c>
      <c r="W66" s="298">
        <f t="shared" si="7"/>
        <v>0</v>
      </c>
      <c r="X66" s="298">
        <f t="shared" si="7"/>
        <v>0</v>
      </c>
      <c r="Y66" s="298">
        <f t="shared" ref="Y66:Z66" si="8">Y35-Y36-Y37</f>
        <v>0</v>
      </c>
      <c r="Z66" s="298">
        <f t="shared" si="8"/>
        <v>0</v>
      </c>
    </row>
    <row r="67" spans="2:26" ht="13.5" customHeight="1">
      <c r="B67" s="58" t="s">
        <v>451</v>
      </c>
      <c r="C67" s="58"/>
      <c r="D67" s="28"/>
      <c r="E67" s="28"/>
      <c r="F67" s="28"/>
      <c r="G67" s="28"/>
      <c r="H67" s="298">
        <f>H9-H10-H11-H12-H13-H14-H15-H16-H17</f>
        <v>-4.1211023926734924E-8</v>
      </c>
      <c r="I67" s="298">
        <f t="shared" ref="I67:V67" si="9">I9-I10-I11-I12-I13-I14-I15-I16-I17</f>
        <v>-3.7252902984619141E-9</v>
      </c>
      <c r="J67" s="298">
        <f t="shared" si="9"/>
        <v>1.2665987014770508E-7</v>
      </c>
      <c r="K67" s="298">
        <f t="shared" si="9"/>
        <v>0</v>
      </c>
      <c r="L67" s="298">
        <f>L9-L10-L11-L12-L13-L14-L15-L16-L17</f>
        <v>0</v>
      </c>
      <c r="M67" s="298">
        <f t="shared" si="9"/>
        <v>1.4901161193847656E-8</v>
      </c>
      <c r="N67" s="298">
        <f>N9-N10-N11-N12-N13-N14-N15-N16-N17</f>
        <v>0</v>
      </c>
      <c r="O67" s="298">
        <f>O9-O10-O11-O12-O13-O14-O15-O16-O17</f>
        <v>0</v>
      </c>
      <c r="P67" s="298">
        <f t="shared" si="9"/>
        <v>0</v>
      </c>
      <c r="Q67" s="298">
        <f t="shared" si="9"/>
        <v>1000000</v>
      </c>
      <c r="R67" s="298">
        <f t="shared" si="9"/>
        <v>0</v>
      </c>
      <c r="S67" s="298">
        <f t="shared" si="9"/>
        <v>0</v>
      </c>
      <c r="T67" s="298">
        <f t="shared" si="9"/>
        <v>0</v>
      </c>
      <c r="U67" s="298">
        <f t="shared" si="9"/>
        <v>0</v>
      </c>
      <c r="V67" s="298">
        <f t="shared" si="9"/>
        <v>-1000000</v>
      </c>
      <c r="W67" s="298">
        <f>W9-W10-W11-W12-W13-W14-W15-W16-W17</f>
        <v>-1000000</v>
      </c>
      <c r="X67" s="298">
        <f>X9-X10-X11-X12-X13-X14-X15-X16-X17</f>
        <v>0</v>
      </c>
      <c r="Y67" s="298">
        <f t="shared" ref="Y67:Z67" si="10">Y9-Y10-Y11-Y12-Y13-Y14-Y15-Y16-Y17</f>
        <v>-1000000</v>
      </c>
      <c r="Z67" s="298">
        <f t="shared" si="10"/>
        <v>0</v>
      </c>
    </row>
    <row r="68" spans="2:26" ht="13.5" customHeight="1">
      <c r="B68" s="58" t="s">
        <v>4709</v>
      </c>
      <c r="C68" s="58"/>
      <c r="D68" s="28"/>
      <c r="E68" s="28"/>
      <c r="F68" s="28"/>
      <c r="G68" s="28"/>
      <c r="H68" s="298">
        <f>H22-H24-H35-H40-H39-H38-H34-H33</f>
        <v>0</v>
      </c>
      <c r="I68" s="298">
        <f>I22-I24-I35-I40-I39-I38-I34-I33</f>
        <v>0</v>
      </c>
      <c r="J68" s="298">
        <f>J22-J24-J35-J40-J39-J38-J34-J33</f>
        <v>0</v>
      </c>
      <c r="K68" s="298">
        <f t="shared" ref="K68:W68" si="11">K22-K24-K35-K40-K39-K38-K34-K33</f>
        <v>0</v>
      </c>
      <c r="L68" s="298">
        <f>L22-L24-L35-L40-L39-L38-L34-L33</f>
        <v>0</v>
      </c>
      <c r="M68" s="298">
        <f t="shared" si="11"/>
        <v>0</v>
      </c>
      <c r="N68" s="298">
        <f t="shared" si="11"/>
        <v>0</v>
      </c>
      <c r="O68" s="298">
        <f t="shared" si="11"/>
        <v>0</v>
      </c>
      <c r="P68" s="298">
        <f>P22-P24-P35-P40-P39-P38-P34-P33</f>
        <v>0</v>
      </c>
      <c r="Q68" s="298">
        <f t="shared" si="11"/>
        <v>0</v>
      </c>
      <c r="R68" s="298">
        <f t="shared" si="11"/>
        <v>0</v>
      </c>
      <c r="S68" s="298">
        <f t="shared" si="11"/>
        <v>0</v>
      </c>
      <c r="T68" s="298">
        <f t="shared" si="11"/>
        <v>0</v>
      </c>
      <c r="U68" s="298">
        <f t="shared" si="11"/>
        <v>0</v>
      </c>
      <c r="V68" s="298">
        <f t="shared" si="11"/>
        <v>0</v>
      </c>
      <c r="W68" s="298">
        <f t="shared" si="11"/>
        <v>0</v>
      </c>
      <c r="X68" s="298">
        <f>X22-X24-X35-X40-X39-X38-X34-X33</f>
        <v>0</v>
      </c>
      <c r="Y68" s="298">
        <f t="shared" ref="Y68:Z68" si="12">Y22-Y24-Y35-Y40-Y39-Y38-Y34-Y33</f>
        <v>0</v>
      </c>
      <c r="Z68" s="298">
        <f t="shared" si="12"/>
        <v>0</v>
      </c>
    </row>
    <row r="69" spans="2:26" ht="13.5" customHeight="1">
      <c r="B69" s="58" t="s">
        <v>2930</v>
      </c>
      <c r="C69" s="58"/>
      <c r="D69" s="28"/>
      <c r="E69" s="28"/>
      <c r="F69" s="28"/>
      <c r="G69" s="28"/>
      <c r="H69" s="298">
        <f>H24-H25-H26-H27-H28-H29-H30-H31-H32</f>
        <v>-1.862645149230957E-8</v>
      </c>
      <c r="I69" s="298">
        <f t="shared" ref="I69:W69" si="13">I24-I25-I26-I27-I28-I29-I30-I31-I32</f>
        <v>0</v>
      </c>
      <c r="J69" s="298">
        <f t="shared" si="13"/>
        <v>3.0733644962310791E-8</v>
      </c>
      <c r="K69" s="298">
        <f t="shared" si="13"/>
        <v>0</v>
      </c>
      <c r="L69" s="298">
        <f>L24-L25-L26-L27-L28-L29-L30-L31-L32</f>
        <v>0</v>
      </c>
      <c r="M69" s="298">
        <f t="shared" si="13"/>
        <v>0</v>
      </c>
      <c r="N69" s="298">
        <f>N24-N25-N26-N27-N28-N29-N30-N31-N32</f>
        <v>-1000000</v>
      </c>
      <c r="O69" s="298">
        <f t="shared" si="13"/>
        <v>-1000000</v>
      </c>
      <c r="P69" s="298">
        <f t="shared" si="13"/>
        <v>0</v>
      </c>
      <c r="Q69" s="298">
        <f t="shared" si="13"/>
        <v>0</v>
      </c>
      <c r="R69" s="298">
        <f t="shared" si="13"/>
        <v>0</v>
      </c>
      <c r="S69" s="298">
        <f t="shared" si="13"/>
        <v>0</v>
      </c>
      <c r="T69" s="298">
        <f t="shared" si="13"/>
        <v>0</v>
      </c>
      <c r="U69" s="298">
        <f t="shared" si="13"/>
        <v>0</v>
      </c>
      <c r="V69" s="298">
        <f t="shared" si="13"/>
        <v>0</v>
      </c>
      <c r="W69" s="298">
        <f t="shared" si="13"/>
        <v>0</v>
      </c>
      <c r="X69" s="298">
        <f>X24-X25-X26-X27-X28-X29-X30-X31-X32</f>
        <v>0</v>
      </c>
      <c r="Y69" s="298">
        <f t="shared" ref="Y69:Z69" si="14">Y24-Y25-Y26-Y27-Y28-Y29-Y30-Y31-Y32</f>
        <v>0</v>
      </c>
      <c r="Z69" s="298">
        <f t="shared" si="14"/>
        <v>0</v>
      </c>
    </row>
    <row r="70" spans="2:26" ht="13.5" customHeight="1">
      <c r="B70" s="58" t="s">
        <v>457</v>
      </c>
      <c r="C70" s="58"/>
      <c r="D70" s="28"/>
      <c r="E70" s="28"/>
      <c r="F70" s="28"/>
      <c r="G70" s="28"/>
      <c r="H70" s="298">
        <f>H42-H43-H54-H58-H59-H60</f>
        <v>0</v>
      </c>
      <c r="I70" s="298">
        <f t="shared" ref="I70:W70" si="15">I42-I43-I54-I58-I59-I60</f>
        <v>0</v>
      </c>
      <c r="J70" s="298">
        <f>J42-J43-J54-J58-J59-J60</f>
        <v>0</v>
      </c>
      <c r="K70" s="298">
        <f t="shared" si="15"/>
        <v>0</v>
      </c>
      <c r="L70" s="298">
        <f>L42-L43-L54-L58-L59-L60</f>
        <v>0</v>
      </c>
      <c r="M70" s="298">
        <f t="shared" si="15"/>
        <v>-1.4901161193847656E-8</v>
      </c>
      <c r="N70" s="298">
        <f t="shared" si="15"/>
        <v>0</v>
      </c>
      <c r="O70" s="298">
        <f>O42-O43-O54-O58-O59-O60</f>
        <v>0</v>
      </c>
      <c r="P70" s="298">
        <f t="shared" si="15"/>
        <v>1000000</v>
      </c>
      <c r="Q70" s="298">
        <f t="shared" si="15"/>
        <v>-1000000</v>
      </c>
      <c r="R70" s="298">
        <f t="shared" si="15"/>
        <v>-1000000</v>
      </c>
      <c r="S70" s="298">
        <f>S42-S43-S54-S58-S59-S60</f>
        <v>0</v>
      </c>
      <c r="T70" s="298">
        <f t="shared" si="15"/>
        <v>0</v>
      </c>
      <c r="U70" s="298">
        <f t="shared" si="15"/>
        <v>0</v>
      </c>
      <c r="V70" s="298">
        <f t="shared" si="15"/>
        <v>0</v>
      </c>
      <c r="W70" s="298">
        <f t="shared" si="15"/>
        <v>0</v>
      </c>
      <c r="X70" s="298">
        <f>X42-X43-X54-X58-X59-X60</f>
        <v>0</v>
      </c>
      <c r="Y70" s="298">
        <f t="shared" ref="Y70:Z70" si="16">Y42-Y43-Y54-Y58-Y59-Y60</f>
        <v>-1000000</v>
      </c>
      <c r="Z70" s="298">
        <f t="shared" si="16"/>
        <v>0</v>
      </c>
    </row>
    <row r="71" spans="2:26" ht="13.5" customHeight="1">
      <c r="B71" s="58" t="s">
        <v>362</v>
      </c>
      <c r="C71" s="58"/>
      <c r="D71" s="28"/>
      <c r="E71" s="28"/>
      <c r="F71" s="28"/>
      <c r="G71" s="28"/>
      <c r="H71" s="298">
        <f>H43-H46-H47-H51</f>
        <v>0</v>
      </c>
      <c r="I71" s="298">
        <f>I43-I46-I47-I51</f>
        <v>0</v>
      </c>
      <c r="J71" s="298">
        <f>J43-J46-J47-J51</f>
        <v>0</v>
      </c>
      <c r="K71" s="298">
        <f t="shared" ref="K71" si="17">K43-K46-K47-K51</f>
        <v>0</v>
      </c>
      <c r="L71" s="409">
        <f>L43-L46-L47-L51</f>
        <v>-37027200</v>
      </c>
      <c r="M71" s="298">
        <f>M43-M46-M47-M51-M52-M53</f>
        <v>0</v>
      </c>
      <c r="N71" s="298">
        <f>N43-N46-N47-N51-N52-N53</f>
        <v>0</v>
      </c>
      <c r="O71" s="298">
        <f>O43-O46-O47-O51-O52-O53</f>
        <v>0</v>
      </c>
      <c r="P71" s="298">
        <f>P43-P46-P47-P51-P52-P53-P44-P45</f>
        <v>0</v>
      </c>
      <c r="Q71" s="298">
        <f t="shared" ref="Q71:X71" si="18">Q43-Q46-Q47-Q51-Q52-Q53-Q44-Q45</f>
        <v>1000000</v>
      </c>
      <c r="R71" s="298">
        <f t="shared" si="18"/>
        <v>1000000</v>
      </c>
      <c r="S71" s="298">
        <f t="shared" si="18"/>
        <v>0</v>
      </c>
      <c r="T71" s="298">
        <f t="shared" si="18"/>
        <v>0</v>
      </c>
      <c r="U71" s="298">
        <f t="shared" si="18"/>
        <v>1000000</v>
      </c>
      <c r="V71" s="298">
        <f t="shared" si="18"/>
        <v>0</v>
      </c>
      <c r="W71" s="298">
        <f t="shared" si="18"/>
        <v>0</v>
      </c>
      <c r="X71" s="298">
        <f t="shared" si="18"/>
        <v>0</v>
      </c>
      <c r="Y71" s="298">
        <f t="shared" ref="Y71:Z71" si="19">Y43-Y46-Y47-Y51-Y52-Y53-Y44-Y45</f>
        <v>0</v>
      </c>
      <c r="Z71" s="298">
        <f t="shared" si="19"/>
        <v>0</v>
      </c>
    </row>
    <row r="72" spans="2:26" ht="13.5" customHeight="1">
      <c r="B72" s="58" t="s">
        <v>4710</v>
      </c>
      <c r="C72" s="58"/>
      <c r="D72" s="28"/>
      <c r="E72" s="28"/>
      <c r="F72" s="28"/>
      <c r="G72" s="28"/>
      <c r="H72" s="298">
        <f>H47-H48-H49-H50</f>
        <v>1651000.0000000009</v>
      </c>
      <c r="I72" s="298">
        <f t="shared" ref="I72:W72" si="20">I47-I48-I49-I50</f>
        <v>0</v>
      </c>
      <c r="J72" s="409">
        <f t="shared" si="20"/>
        <v>-19341000.000000004</v>
      </c>
      <c r="K72" s="409">
        <f>K47-K48-K49-K50</f>
        <v>-8430000</v>
      </c>
      <c r="L72" s="298">
        <f t="shared" si="20"/>
        <v>0</v>
      </c>
      <c r="M72" s="298">
        <f t="shared" si="20"/>
        <v>0</v>
      </c>
      <c r="N72" s="298">
        <f t="shared" si="20"/>
        <v>0</v>
      </c>
      <c r="O72" s="298">
        <f t="shared" si="20"/>
        <v>0</v>
      </c>
      <c r="P72" s="298">
        <f t="shared" si="20"/>
        <v>0</v>
      </c>
      <c r="Q72" s="298">
        <f t="shared" si="20"/>
        <v>0</v>
      </c>
      <c r="R72" s="298">
        <f t="shared" si="20"/>
        <v>0</v>
      </c>
      <c r="S72" s="298">
        <f t="shared" si="20"/>
        <v>0</v>
      </c>
      <c r="T72" s="298">
        <f t="shared" si="20"/>
        <v>0</v>
      </c>
      <c r="U72" s="298">
        <f t="shared" si="20"/>
        <v>0</v>
      </c>
      <c r="V72" s="298">
        <f t="shared" si="20"/>
        <v>0</v>
      </c>
      <c r="W72" s="298">
        <f t="shared" si="20"/>
        <v>0</v>
      </c>
      <c r="X72" s="298">
        <f>X47-X48-X49-X50</f>
        <v>0</v>
      </c>
      <c r="Y72" s="298">
        <f t="shared" ref="Y72:Z72" si="21">Y47-Y48-Y49-Y50</f>
        <v>0</v>
      </c>
      <c r="Z72" s="298">
        <f t="shared" si="21"/>
        <v>0</v>
      </c>
    </row>
    <row r="73" spans="2:26" ht="13.5" customHeight="1">
      <c r="B73" s="58" t="s">
        <v>4711</v>
      </c>
      <c r="C73" s="58"/>
      <c r="D73" s="28"/>
      <c r="E73" s="28"/>
      <c r="F73" s="28"/>
      <c r="G73" s="28"/>
      <c r="H73" s="298">
        <f>H54-H55-H56</f>
        <v>-3.4924596548080444E-9</v>
      </c>
      <c r="I73" s="298">
        <f t="shared" ref="I73:R73" si="22">I54-I55-I56</f>
        <v>0</v>
      </c>
      <c r="J73" s="409">
        <f>J54-J55-J56</f>
        <v>10745000</v>
      </c>
      <c r="K73" s="409">
        <f>K54-K55-K56</f>
        <v>-81490000</v>
      </c>
      <c r="L73" s="409">
        <f t="shared" si="22"/>
        <v>6171200</v>
      </c>
      <c r="M73" s="409">
        <f t="shared" si="22"/>
        <v>123200000</v>
      </c>
      <c r="N73" s="409">
        <f t="shared" si="22"/>
        <v>160000000</v>
      </c>
      <c r="O73" s="409">
        <f t="shared" si="22"/>
        <v>129000000</v>
      </c>
      <c r="P73" s="409">
        <f t="shared" si="22"/>
        <v>0</v>
      </c>
      <c r="Q73" s="409">
        <f t="shared" si="22"/>
        <v>1000000</v>
      </c>
      <c r="R73" s="409">
        <f t="shared" si="22"/>
        <v>1000000</v>
      </c>
      <c r="S73" s="409">
        <f>S54-S55-S56-S57</f>
        <v>0</v>
      </c>
      <c r="T73" s="409">
        <f t="shared" ref="T73:W73" si="23">T54-T55-T56-T57</f>
        <v>1000000</v>
      </c>
      <c r="U73" s="409">
        <f t="shared" si="23"/>
        <v>0</v>
      </c>
      <c r="V73" s="409">
        <f t="shared" si="23"/>
        <v>0</v>
      </c>
      <c r="W73" s="409">
        <f t="shared" si="23"/>
        <v>0</v>
      </c>
      <c r="X73" s="409">
        <f>X54-X55-X56</f>
        <v>0</v>
      </c>
      <c r="Y73" s="409">
        <f t="shared" ref="Y73:Z73" si="24">Y54-Y55-Y56</f>
        <v>0</v>
      </c>
      <c r="Z73" s="409">
        <f t="shared" si="24"/>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4712</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68">
        <f>(H6/H75)*100</f>
        <v>37.271077844311378</v>
      </c>
      <c r="I76" s="468">
        <f t="shared" ref="I76:W76" si="25">(I6/I75)*100</f>
        <v>36.978512396694214</v>
      </c>
      <c r="J76" s="468">
        <f t="shared" si="25"/>
        <v>41.399999999999991</v>
      </c>
      <c r="K76" s="468">
        <f t="shared" si="25"/>
        <v>47.602238805970146</v>
      </c>
      <c r="L76" s="468">
        <f t="shared" si="25"/>
        <v>48.593700583279329</v>
      </c>
      <c r="M76" s="468">
        <f>(M6/M75)*100</f>
        <v>42.475679302247563</v>
      </c>
      <c r="N76" s="468">
        <f t="shared" si="25"/>
        <v>42.074742268041234</v>
      </c>
      <c r="O76" s="468">
        <f t="shared" si="25"/>
        <v>38.868274582560296</v>
      </c>
      <c r="P76" s="468">
        <f t="shared" si="25"/>
        <v>40.266751349634802</v>
      </c>
      <c r="Q76" s="468">
        <f t="shared" si="25"/>
        <v>41.726618705035975</v>
      </c>
      <c r="R76" s="468">
        <f t="shared" si="25"/>
        <v>44.199706314243755</v>
      </c>
      <c r="S76" s="468">
        <f t="shared" si="25"/>
        <v>41.356122163070893</v>
      </c>
      <c r="T76" s="468">
        <f t="shared" si="25"/>
        <v>43.438671665773967</v>
      </c>
      <c r="U76" s="468">
        <f t="shared" si="25"/>
        <v>42.6673479816045</v>
      </c>
      <c r="V76" s="468">
        <f t="shared" si="25"/>
        <v>46.063855715330256</v>
      </c>
      <c r="W76" s="468">
        <f t="shared" si="25"/>
        <v>46.198694029850742</v>
      </c>
      <c r="X76" s="468">
        <f>(X6/X75)*100</f>
        <v>45.159165751920966</v>
      </c>
    </row>
    <row r="77" spans="2:26">
      <c r="B77" s="58"/>
      <c r="C77" s="58"/>
      <c r="D77" s="28"/>
      <c r="E77" s="21"/>
      <c r="F77" s="298"/>
      <c r="G77" s="28"/>
      <c r="H77" s="364">
        <f t="shared" ref="H77:W77" si="26">(H22/H75)*100</f>
        <v>39.940359281437125</v>
      </c>
      <c r="I77" s="364">
        <f t="shared" si="26"/>
        <v>38.355371900826448</v>
      </c>
      <c r="J77" s="364">
        <f t="shared" si="26"/>
        <v>39.300000000000004</v>
      </c>
      <c r="K77" s="364">
        <f t="shared" si="26"/>
        <v>41.520895522388059</v>
      </c>
      <c r="L77" s="364">
        <f t="shared" si="26"/>
        <v>48.693687621516524</v>
      </c>
      <c r="M77" s="364">
        <f t="shared" si="26"/>
        <v>49.057363300905735</v>
      </c>
      <c r="N77" s="364">
        <f t="shared" si="26"/>
        <v>46.97164948453608</v>
      </c>
      <c r="O77" s="364">
        <f t="shared" si="26"/>
        <v>45.701917130488553</v>
      </c>
      <c r="P77" s="364">
        <f t="shared" si="26"/>
        <v>46.236900603366152</v>
      </c>
      <c r="Q77" s="364">
        <f t="shared" si="26"/>
        <v>46.163069544364511</v>
      </c>
      <c r="R77" s="364">
        <f t="shared" si="26"/>
        <v>45.16886930983847</v>
      </c>
      <c r="S77" s="364">
        <f t="shared" si="26"/>
        <v>47.352199495657047</v>
      </c>
      <c r="T77" s="364">
        <f t="shared" si="26"/>
        <v>52.919121585431171</v>
      </c>
      <c r="U77" s="364">
        <f t="shared" si="26"/>
        <v>51.865099642309652</v>
      </c>
      <c r="V77" s="364">
        <f t="shared" si="26"/>
        <v>51.766999756275901</v>
      </c>
      <c r="W77" s="364">
        <f t="shared" si="26"/>
        <v>51.142723880597011</v>
      </c>
      <c r="X77" s="364">
        <f>(X22/X75)*100</f>
        <v>43.315038419319428</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Q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D6" activePane="bottomRight" state="frozen"/>
      <selection pane="topRight" activeCell="R7" sqref="R7"/>
      <selection pane="bottomLeft" activeCell="R7" sqref="R7"/>
      <selection pane="bottomRight" activeCell="J25" sqref="J25"/>
    </sheetView>
  </sheetViews>
  <sheetFormatPr defaultRowHeight="15"/>
  <cols>
    <col min="1" max="1" width="44.5703125" bestFit="1" customWidth="1"/>
    <col min="2" max="2" width="55.5703125" bestFit="1" customWidth="1"/>
    <col min="3" max="3" width="22.42578125" bestFit="1" customWidth="1"/>
    <col min="5" max="6" width="17.570312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4713</v>
      </c>
      <c r="B1" s="82" t="s">
        <v>4714</v>
      </c>
      <c r="C1" s="82"/>
      <c r="D1" s="27"/>
      <c r="E1" s="27"/>
      <c r="F1" s="27"/>
      <c r="G1" s="27"/>
      <c r="H1" s="27"/>
      <c r="I1" s="27"/>
      <c r="J1" s="27"/>
      <c r="K1" s="27"/>
      <c r="L1" s="27"/>
      <c r="M1" s="27"/>
      <c r="N1" s="27"/>
      <c r="O1" s="28"/>
      <c r="P1" s="28"/>
      <c r="Q1" s="28"/>
      <c r="R1" s="29"/>
      <c r="S1" s="28"/>
      <c r="T1" s="28"/>
      <c r="U1" s="28"/>
      <c r="V1" s="28"/>
      <c r="W1" s="28"/>
      <c r="X1" s="28"/>
    </row>
    <row r="2" spans="1:26">
      <c r="B2" s="30" t="s">
        <v>4715</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7074</v>
      </c>
      <c r="Z4" s="2" t="s">
        <v>4073</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4">
        <v>95800000000</v>
      </c>
      <c r="F6" s="294">
        <v>98300000000</v>
      </c>
      <c r="G6" s="328">
        <f>G7+G16</f>
        <v>102900000000</v>
      </c>
      <c r="H6" s="328">
        <f>H7+H16</f>
        <v>111800000000</v>
      </c>
      <c r="I6" s="328">
        <f>I7+I16</f>
        <v>123500000000</v>
      </c>
      <c r="J6" s="328">
        <f>J7+J16</f>
        <v>144700000000</v>
      </c>
      <c r="K6" s="295">
        <v>169300000000</v>
      </c>
      <c r="L6" s="295">
        <v>203700000000</v>
      </c>
      <c r="M6" s="295">
        <v>189700000000</v>
      </c>
      <c r="N6" s="295">
        <v>210400000000</v>
      </c>
      <c r="O6" s="304">
        <v>223300000000</v>
      </c>
      <c r="P6" s="304">
        <v>237700000000</v>
      </c>
      <c r="Q6" s="304">
        <v>250000000000</v>
      </c>
      <c r="R6" s="304">
        <v>259300000000</v>
      </c>
      <c r="S6" s="304">
        <f>S7+S16</f>
        <v>262200000000</v>
      </c>
      <c r="T6" s="304">
        <f t="shared" ref="T6:Z6" si="0">T7+T16</f>
        <v>265100000000</v>
      </c>
      <c r="U6" s="304">
        <f t="shared" si="0"/>
        <v>278400000000</v>
      </c>
      <c r="V6" s="304">
        <f t="shared" si="0"/>
        <v>294800000000</v>
      </c>
      <c r="W6" s="304">
        <f t="shared" si="0"/>
        <v>305800000000</v>
      </c>
      <c r="X6" s="304">
        <f t="shared" si="0"/>
        <v>324600000000</v>
      </c>
      <c r="Y6" s="304">
        <f t="shared" si="0"/>
        <v>347200000000</v>
      </c>
      <c r="Z6" s="304">
        <f t="shared" si="0"/>
        <v>371200000000</v>
      </c>
    </row>
    <row r="7" spans="1:26" ht="16.5">
      <c r="A7" t="s">
        <v>36</v>
      </c>
      <c r="B7" s="139" t="s">
        <v>4716</v>
      </c>
      <c r="C7" s="345" t="s">
        <v>38</v>
      </c>
      <c r="E7" s="293">
        <f>E6-E16</f>
        <v>95800000000</v>
      </c>
      <c r="F7" s="293">
        <f t="shared" ref="F7:R7" si="1">F6-F16</f>
        <v>98300000000</v>
      </c>
      <c r="G7" s="301">
        <f>G10+G17</f>
        <v>102900000000</v>
      </c>
      <c r="H7" s="301">
        <f>H10+H17</f>
        <v>111800000000</v>
      </c>
      <c r="I7" s="301">
        <f>I10+I17</f>
        <v>123500000000</v>
      </c>
      <c r="J7" s="301">
        <f>J10+J17</f>
        <v>144700000000</v>
      </c>
      <c r="K7" s="293">
        <f t="shared" si="1"/>
        <v>169300000000</v>
      </c>
      <c r="L7" s="293">
        <f t="shared" si="1"/>
        <v>203700000000</v>
      </c>
      <c r="M7" s="293">
        <f t="shared" si="1"/>
        <v>189700000000</v>
      </c>
      <c r="N7" s="293">
        <f t="shared" si="1"/>
        <v>208500000000</v>
      </c>
      <c r="O7" s="293">
        <f t="shared" si="1"/>
        <v>222000000000</v>
      </c>
      <c r="P7" s="293">
        <f t="shared" si="1"/>
        <v>237200000000</v>
      </c>
      <c r="Q7" s="293">
        <f t="shared" si="1"/>
        <v>243900000000</v>
      </c>
      <c r="R7" s="293">
        <f t="shared" si="1"/>
        <v>245500000000</v>
      </c>
      <c r="S7" s="293">
        <f>S10+S17</f>
        <v>257200000000</v>
      </c>
      <c r="T7" s="293">
        <f t="shared" ref="T7:Z7" si="2">T10+T17</f>
        <v>255400000000</v>
      </c>
      <c r="U7" s="293">
        <f t="shared" si="2"/>
        <v>268200000000</v>
      </c>
      <c r="V7" s="293">
        <f t="shared" si="2"/>
        <v>286700000000</v>
      </c>
      <c r="W7" s="293">
        <f t="shared" si="2"/>
        <v>302000000000</v>
      </c>
      <c r="X7" s="293">
        <f t="shared" si="2"/>
        <v>323400000000</v>
      </c>
      <c r="Y7" s="293">
        <f t="shared" si="2"/>
        <v>346000000000</v>
      </c>
      <c r="Z7" s="293">
        <f t="shared" si="2"/>
        <v>370000000000</v>
      </c>
    </row>
    <row r="8" spans="1:26" ht="16.5">
      <c r="B8" s="139" t="s">
        <v>4717</v>
      </c>
      <c r="C8" s="34"/>
      <c r="D8" s="28"/>
      <c r="E8" s="298"/>
      <c r="F8" s="298"/>
      <c r="G8" s="178">
        <v>103100000000</v>
      </c>
      <c r="H8" s="178">
        <v>112300000000</v>
      </c>
      <c r="I8" s="178">
        <v>124500000000</v>
      </c>
      <c r="J8" s="178">
        <v>144700000000</v>
      </c>
      <c r="K8" s="125">
        <v>165700000000</v>
      </c>
      <c r="L8" s="125">
        <v>203000000000</v>
      </c>
      <c r="M8" s="125">
        <v>189100000000</v>
      </c>
      <c r="N8" s="298"/>
      <c r="O8" s="142"/>
      <c r="P8" s="142"/>
      <c r="Q8" s="142"/>
      <c r="R8" s="142"/>
      <c r="S8" s="142"/>
      <c r="T8" s="142"/>
      <c r="U8" s="142"/>
      <c r="V8" s="142"/>
      <c r="W8" s="142"/>
      <c r="X8" s="389"/>
      <c r="Y8" s="389"/>
      <c r="Z8" s="389"/>
    </row>
    <row r="9" spans="1:26" ht="16.5">
      <c r="B9" s="139" t="s">
        <v>4718</v>
      </c>
      <c r="C9" s="34"/>
      <c r="D9" s="28"/>
      <c r="E9" s="298"/>
      <c r="F9" s="298"/>
      <c r="G9" s="298"/>
      <c r="H9" s="298"/>
      <c r="I9" s="298"/>
      <c r="J9" s="298"/>
      <c r="K9" s="125">
        <v>153700000000</v>
      </c>
      <c r="L9" s="125">
        <v>184700000000</v>
      </c>
      <c r="M9" s="125">
        <v>172600000000</v>
      </c>
      <c r="N9" s="298"/>
      <c r="O9" s="142"/>
      <c r="P9" s="142"/>
      <c r="Q9" s="142"/>
      <c r="R9" s="142"/>
      <c r="S9" s="142"/>
      <c r="T9" s="142"/>
      <c r="U9" s="142"/>
      <c r="V9" s="142"/>
      <c r="W9" s="142"/>
      <c r="X9" s="389"/>
      <c r="Y9" s="389"/>
      <c r="Z9" s="389"/>
    </row>
    <row r="10" spans="1:26" ht="16.5">
      <c r="A10" t="s">
        <v>39</v>
      </c>
      <c r="B10" s="139" t="s">
        <v>371</v>
      </c>
      <c r="C10" s="58" t="s">
        <v>41</v>
      </c>
      <c r="D10" s="28"/>
      <c r="E10" s="293">
        <v>87400000000</v>
      </c>
      <c r="F10" s="293">
        <v>91000000000</v>
      </c>
      <c r="G10" s="328">
        <f>G11+G13+G14+G15</f>
        <v>94300000000</v>
      </c>
      <c r="H10" s="328">
        <f>H11+H13+H14+H15</f>
        <v>100600000000</v>
      </c>
      <c r="I10" s="328">
        <f>I11+I13+I14+I15</f>
        <v>113100000000</v>
      </c>
      <c r="J10" s="328">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1291</v>
      </c>
      <c r="B11" s="99" t="s">
        <v>2444</v>
      </c>
      <c r="C11" s="27" t="s">
        <v>44</v>
      </c>
      <c r="D11" s="28"/>
      <c r="E11" s="293">
        <v>28400000000</v>
      </c>
      <c r="F11" s="293">
        <v>30400000000</v>
      </c>
      <c r="G11" s="178">
        <v>33400000000</v>
      </c>
      <c r="H11" s="178">
        <v>36400000000</v>
      </c>
      <c r="I11" s="178">
        <v>43200000000</v>
      </c>
      <c r="J11" s="178">
        <v>50600000000</v>
      </c>
      <c r="K11" s="125">
        <v>60300000000</v>
      </c>
      <c r="L11" s="125">
        <v>81600000000</v>
      </c>
      <c r="M11" s="125">
        <v>71700000000</v>
      </c>
      <c r="N11" s="298">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2229</v>
      </c>
      <c r="B12" s="99" t="s">
        <v>4719</v>
      </c>
      <c r="C12" s="27" t="s">
        <v>44</v>
      </c>
      <c r="D12" s="28"/>
      <c r="E12" s="125"/>
      <c r="F12" s="125"/>
      <c r="G12" s="125"/>
      <c r="H12" s="125"/>
      <c r="I12" s="125"/>
      <c r="J12" s="125"/>
      <c r="K12" s="125"/>
      <c r="L12" s="125"/>
      <c r="M12" s="125"/>
      <c r="N12" s="298">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3">
        <v>39200000000</v>
      </c>
      <c r="F13" s="293">
        <v>40100000000</v>
      </c>
      <c r="G13" s="178">
        <v>41900000000</v>
      </c>
      <c r="H13" s="178">
        <v>44300000000</v>
      </c>
      <c r="I13" s="178">
        <v>48200000000</v>
      </c>
      <c r="J13" s="178">
        <v>55100000000</v>
      </c>
      <c r="K13" s="125">
        <v>67099999999.999992</v>
      </c>
      <c r="L13" s="125">
        <v>80000000000</v>
      </c>
      <c r="M13" s="125">
        <v>74700000000</v>
      </c>
      <c r="N13" s="298">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2448</v>
      </c>
      <c r="B14" s="99" t="s">
        <v>2449</v>
      </c>
      <c r="C14" s="27" t="s">
        <v>44</v>
      </c>
      <c r="D14" s="28"/>
      <c r="E14" s="293">
        <v>14000000000</v>
      </c>
      <c r="F14" s="293">
        <v>14200000000</v>
      </c>
      <c r="G14" s="178">
        <v>12600000000</v>
      </c>
      <c r="H14" s="178">
        <v>13300000000</v>
      </c>
      <c r="I14" s="178">
        <v>14600000000</v>
      </c>
      <c r="J14" s="178">
        <v>13400000000</v>
      </c>
      <c r="K14" s="125">
        <v>14400000000</v>
      </c>
      <c r="L14" s="125">
        <v>14300000000</v>
      </c>
      <c r="M14" s="125">
        <v>12500000000</v>
      </c>
      <c r="N14" s="298">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89">
        <v>10500000000</v>
      </c>
    </row>
    <row r="15" spans="1:26" ht="16.5">
      <c r="A15" s="99" t="s">
        <v>49</v>
      </c>
      <c r="B15" s="99" t="s">
        <v>1054</v>
      </c>
      <c r="C15" s="27" t="s">
        <v>44</v>
      </c>
      <c r="D15" s="28"/>
      <c r="E15" s="293">
        <v>5800000000</v>
      </c>
      <c r="F15" s="293">
        <v>6400000000</v>
      </c>
      <c r="G15" s="178">
        <v>6400000000</v>
      </c>
      <c r="H15" s="178">
        <v>6600000000</v>
      </c>
      <c r="I15" s="178">
        <v>7100000000</v>
      </c>
      <c r="J15" s="178">
        <v>9100000000</v>
      </c>
      <c r="K15" s="125">
        <v>11500000000</v>
      </c>
      <c r="L15" s="125">
        <v>11700000000</v>
      </c>
      <c r="M15" s="125">
        <v>12100000000</v>
      </c>
      <c r="N15" s="321">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5" t="s">
        <v>38</v>
      </c>
      <c r="D16" s="28"/>
      <c r="E16" s="125">
        <v>0</v>
      </c>
      <c r="F16" s="125">
        <v>0</v>
      </c>
      <c r="G16" s="125">
        <v>0</v>
      </c>
      <c r="H16" s="125">
        <v>0</v>
      </c>
      <c r="I16" s="125">
        <v>0</v>
      </c>
      <c r="J16" s="125">
        <v>0</v>
      </c>
      <c r="K16" s="125">
        <v>0</v>
      </c>
      <c r="L16" s="125">
        <v>0</v>
      </c>
      <c r="M16" s="125">
        <v>0</v>
      </c>
      <c r="N16" s="298">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560</v>
      </c>
      <c r="B17" s="90" t="s">
        <v>378</v>
      </c>
      <c r="C17" s="58" t="s">
        <v>41</v>
      </c>
      <c r="D17" s="28"/>
      <c r="E17" s="293">
        <v>8400000000</v>
      </c>
      <c r="F17" s="293">
        <v>7200000000</v>
      </c>
      <c r="G17" s="178">
        <v>8600000000</v>
      </c>
      <c r="H17" s="178">
        <v>11200000000</v>
      </c>
      <c r="I17" s="178">
        <v>10400000000</v>
      </c>
      <c r="J17" s="178">
        <v>16500000000</v>
      </c>
      <c r="K17" s="319">
        <f>K7-K10</f>
        <v>16000000000</v>
      </c>
      <c r="L17" s="319">
        <f>L7-L10</f>
        <v>16200000000</v>
      </c>
      <c r="M17" s="319">
        <f>M7-M10</f>
        <v>18700000000</v>
      </c>
      <c r="N17" s="298">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4720</v>
      </c>
      <c r="E18" s="294">
        <v>119300000000</v>
      </c>
      <c r="F18" s="294">
        <v>117900000000</v>
      </c>
      <c r="G18" s="263">
        <v>126300000000</v>
      </c>
      <c r="H18" s="263">
        <v>135100000000</v>
      </c>
      <c r="I18" s="263">
        <v>156400000000</v>
      </c>
      <c r="J18" s="263">
        <v>159000000000</v>
      </c>
      <c r="K18" s="295">
        <v>177000000000</v>
      </c>
      <c r="L18" s="295">
        <v>212400000000</v>
      </c>
      <c r="M18" s="295">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4">
        <f>E20+E31+E32+E33+E34</f>
        <v>119300000000</v>
      </c>
      <c r="F19" s="294">
        <f>F20+F31+F32+F33+F34</f>
        <v>118200000000</v>
      </c>
      <c r="G19" s="294">
        <f t="shared" ref="G19:O19" si="5">G20+G31+G32+G33+G34</f>
        <v>126200000000</v>
      </c>
      <c r="H19" s="294">
        <f t="shared" si="5"/>
        <v>135300000000</v>
      </c>
      <c r="I19" s="294">
        <f t="shared" si="5"/>
        <v>156500000000</v>
      </c>
      <c r="J19" s="294">
        <f t="shared" si="5"/>
        <v>159500000000</v>
      </c>
      <c r="K19" s="294">
        <f t="shared" si="5"/>
        <v>177000000000</v>
      </c>
      <c r="L19" s="294">
        <f t="shared" si="5"/>
        <v>212400000000</v>
      </c>
      <c r="M19" s="294">
        <f t="shared" si="5"/>
        <v>215400000000</v>
      </c>
      <c r="N19" s="294">
        <f t="shared" si="5"/>
        <v>214600000000</v>
      </c>
      <c r="O19" s="294">
        <f t="shared" si="5"/>
        <v>277200000000</v>
      </c>
      <c r="P19" s="294">
        <f t="shared" ref="P19:R19" si="6">P20+P31+P32+P33+P34</f>
        <v>299300000000</v>
      </c>
      <c r="Q19" s="294">
        <f t="shared" si="6"/>
        <v>296500000000</v>
      </c>
      <c r="R19" s="294">
        <f t="shared" si="6"/>
        <v>305100000000</v>
      </c>
      <c r="S19" s="294">
        <f>S20+S31</f>
        <v>303400000000</v>
      </c>
      <c r="T19" s="294">
        <f t="shared" ref="T19:Z19" si="7">T20+T31</f>
        <v>306400000000</v>
      </c>
      <c r="U19" s="294">
        <f t="shared" si="7"/>
        <v>316200000000</v>
      </c>
      <c r="V19" s="294">
        <f t="shared" si="7"/>
        <v>328100000000</v>
      </c>
      <c r="W19" s="294">
        <f t="shared" si="7"/>
        <v>338700000000</v>
      </c>
      <c r="X19" s="294">
        <f t="shared" si="7"/>
        <v>358100000000</v>
      </c>
      <c r="Y19" s="294">
        <f t="shared" si="7"/>
        <v>379100000000</v>
      </c>
      <c r="Z19" s="294">
        <f t="shared" si="7"/>
        <v>401900000000</v>
      </c>
    </row>
    <row r="20" spans="1:26" ht="16.5">
      <c r="A20" t="s">
        <v>73</v>
      </c>
      <c r="B20" s="139" t="s">
        <v>382</v>
      </c>
      <c r="C20" s="58" t="s">
        <v>201</v>
      </c>
      <c r="D20" s="28"/>
      <c r="E20" s="293">
        <v>90400000000</v>
      </c>
      <c r="F20" s="293">
        <v>90700000000</v>
      </c>
      <c r="G20" s="178">
        <v>98400000000</v>
      </c>
      <c r="H20" s="178">
        <v>105100000000</v>
      </c>
      <c r="I20" s="178">
        <v>126700000000</v>
      </c>
      <c r="J20" s="178">
        <v>123900000000</v>
      </c>
      <c r="K20" s="125">
        <v>133900000000</v>
      </c>
      <c r="L20" s="125">
        <v>155800000000</v>
      </c>
      <c r="M20" s="125">
        <v>152700000000</v>
      </c>
      <c r="N20" s="321">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4721</v>
      </c>
      <c r="B21" s="99" t="s">
        <v>383</v>
      </c>
      <c r="C21" s="58" t="s">
        <v>204</v>
      </c>
      <c r="D21" s="28"/>
      <c r="E21" s="293">
        <v>48000000000</v>
      </c>
      <c r="F21" s="293">
        <v>48600000000</v>
      </c>
      <c r="G21" s="178">
        <v>53200000000</v>
      </c>
      <c r="H21" s="178">
        <v>56600000000</v>
      </c>
      <c r="I21" s="178">
        <v>62000000000</v>
      </c>
      <c r="J21" s="178">
        <v>63200000000</v>
      </c>
      <c r="K21" s="125">
        <v>65700000000</v>
      </c>
      <c r="L21" s="125">
        <v>70000000000</v>
      </c>
      <c r="M21" s="125">
        <v>75500000000</v>
      </c>
      <c r="N21" s="298">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4722</v>
      </c>
      <c r="C22" s="27" t="s">
        <v>4723</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558</v>
      </c>
      <c r="B23" s="100" t="s">
        <v>4724</v>
      </c>
      <c r="C23" s="27" t="s">
        <v>4723</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4725</v>
      </c>
      <c r="B24" s="99" t="s">
        <v>4726</v>
      </c>
      <c r="C24" s="58" t="s">
        <v>204</v>
      </c>
      <c r="D24" s="28"/>
      <c r="E24" s="125"/>
      <c r="F24" s="125"/>
      <c r="G24" s="125"/>
      <c r="H24" s="125"/>
      <c r="I24" s="125"/>
      <c r="J24" s="125"/>
      <c r="K24" s="125"/>
      <c r="L24" s="125"/>
      <c r="M24" s="125"/>
      <c r="N24" s="298">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1059</v>
      </c>
      <c r="B25" s="100" t="s">
        <v>4727</v>
      </c>
      <c r="C25" s="27" t="s">
        <v>1436</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1436</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3">
        <v>18800000000</v>
      </c>
      <c r="F27" s="293">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3">
        <v>5100000000</v>
      </c>
      <c r="F28" s="293">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4728</v>
      </c>
      <c r="B29" s="100" t="s">
        <v>4729</v>
      </c>
      <c r="C29" s="27"/>
      <c r="D29" s="28"/>
      <c r="E29" s="125"/>
      <c r="F29" s="125"/>
      <c r="G29" s="125"/>
      <c r="H29" s="125"/>
      <c r="I29" s="125"/>
      <c r="J29" s="125"/>
      <c r="K29" s="125"/>
      <c r="L29" s="125"/>
      <c r="M29" s="125"/>
      <c r="N29" s="125"/>
      <c r="O29" s="142"/>
      <c r="P29" s="142"/>
      <c r="Q29" s="142"/>
      <c r="R29" s="142"/>
      <c r="S29" s="142"/>
      <c r="T29" s="142"/>
      <c r="U29" s="142"/>
      <c r="V29" s="142"/>
      <c r="W29" s="142"/>
      <c r="X29" s="389"/>
      <c r="Y29" s="389"/>
      <c r="Z29" s="389"/>
    </row>
    <row r="30" spans="1:26" ht="16.5">
      <c r="A30" s="99" t="s">
        <v>1011</v>
      </c>
      <c r="B30" s="99" t="s">
        <v>4730</v>
      </c>
      <c r="C30" s="58" t="s">
        <v>204</v>
      </c>
      <c r="D30" s="28"/>
      <c r="E30" s="293">
        <v>18500000000</v>
      </c>
      <c r="F30" s="293">
        <v>20500000000</v>
      </c>
      <c r="G30" s="178">
        <v>22900000000</v>
      </c>
      <c r="H30" s="178">
        <v>23100000000</v>
      </c>
      <c r="I30" s="178">
        <v>36100000000</v>
      </c>
      <c r="J30" s="178">
        <v>29000000000</v>
      </c>
      <c r="K30" s="125">
        <v>32600000000</v>
      </c>
      <c r="L30" s="319">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3">
        <v>20400000000</v>
      </c>
      <c r="F31" s="293">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4731</v>
      </c>
      <c r="B32" s="90" t="s">
        <v>4732</v>
      </c>
      <c r="C32" s="58" t="s">
        <v>201</v>
      </c>
      <c r="D32" s="28"/>
      <c r="E32" s="293">
        <v>900000000</v>
      </c>
      <c r="F32" s="293">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89"/>
      <c r="Y32" s="389"/>
      <c r="Z32" s="389"/>
    </row>
    <row r="33" spans="1:26" ht="16.5">
      <c r="A33" s="90" t="s">
        <v>4733</v>
      </c>
      <c r="B33" s="90" t="s">
        <v>4734</v>
      </c>
      <c r="C33" s="58" t="s">
        <v>201</v>
      </c>
      <c r="D33" s="28"/>
      <c r="E33" s="293">
        <v>7000000000</v>
      </c>
      <c r="F33" s="293">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89"/>
      <c r="Y33" s="389"/>
      <c r="Z33" s="389"/>
    </row>
    <row r="34" spans="1:26" ht="16.5">
      <c r="A34" s="90" t="s">
        <v>4735</v>
      </c>
      <c r="B34" s="90" t="s">
        <v>4735</v>
      </c>
      <c r="C34" s="58" t="s">
        <v>201</v>
      </c>
      <c r="D34" s="28"/>
      <c r="E34" s="293">
        <v>600000000</v>
      </c>
      <c r="F34" s="2753">
        <v>0</v>
      </c>
      <c r="G34" s="178">
        <v>200000000</v>
      </c>
      <c r="H34" s="2738">
        <v>0</v>
      </c>
      <c r="I34" s="2738">
        <v>0</v>
      </c>
      <c r="J34" s="2738">
        <v>0</v>
      </c>
      <c r="K34" s="125">
        <v>0</v>
      </c>
      <c r="L34" s="125">
        <v>0</v>
      </c>
      <c r="M34" s="125">
        <v>0</v>
      </c>
      <c r="N34" s="125"/>
      <c r="O34" s="142"/>
      <c r="P34" s="142"/>
      <c r="Q34" s="142"/>
      <c r="R34" s="142"/>
      <c r="S34" s="142"/>
      <c r="T34" s="142"/>
      <c r="U34" s="142"/>
      <c r="V34" s="142"/>
      <c r="W34" s="142"/>
      <c r="X34" s="389"/>
      <c r="Y34" s="389"/>
      <c r="Z34" s="389"/>
    </row>
    <row r="35" spans="1:26" ht="16.5">
      <c r="A35" t="s">
        <v>76</v>
      </c>
      <c r="B35" s="90" t="s">
        <v>4736</v>
      </c>
      <c r="C35" s="34"/>
      <c r="D35" s="28"/>
      <c r="E35" s="293">
        <v>2100000000</v>
      </c>
      <c r="F35" s="293">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89"/>
      <c r="Y35" s="389"/>
      <c r="Z35" s="389"/>
    </row>
    <row r="36" spans="1:26" ht="16.5">
      <c r="A36" t="s">
        <v>76</v>
      </c>
      <c r="B36" s="90" t="s">
        <v>4737</v>
      </c>
      <c r="C36" s="34"/>
      <c r="D36" s="28"/>
      <c r="E36" s="293">
        <v>-21400000000</v>
      </c>
      <c r="F36" s="293">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89"/>
      <c r="Y36" s="389"/>
      <c r="Z36" s="389"/>
    </row>
    <row r="37" spans="1:26" ht="16.5">
      <c r="A37" t="s">
        <v>76</v>
      </c>
      <c r="B37" s="90" t="s">
        <v>4738</v>
      </c>
      <c r="C37" s="34"/>
      <c r="D37" s="28"/>
      <c r="E37" s="293">
        <v>600000000</v>
      </c>
      <c r="F37" s="293">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89"/>
      <c r="Y37" s="389"/>
      <c r="Z37" s="389"/>
    </row>
    <row r="38" spans="1:26" ht="16.5">
      <c r="A38" t="s">
        <v>76</v>
      </c>
      <c r="B38" s="90" t="s">
        <v>4739</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89"/>
      <c r="Y38" s="389"/>
      <c r="Z38" s="389"/>
    </row>
    <row r="39" spans="1:26" ht="16.5">
      <c r="A39" t="s">
        <v>76</v>
      </c>
      <c r="B39" s="90" t="s">
        <v>4740</v>
      </c>
      <c r="C39" s="34"/>
      <c r="D39" s="28"/>
      <c r="E39" s="293">
        <v>-22000000000</v>
      </c>
      <c r="F39" s="293">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89"/>
      <c r="Y39" s="389"/>
      <c r="Z39" s="389"/>
    </row>
    <row r="40" spans="1:26" ht="16.5">
      <c r="A40" t="s">
        <v>76</v>
      </c>
      <c r="B40" s="90" t="s">
        <v>53</v>
      </c>
      <c r="C40" s="34"/>
      <c r="D40" s="28"/>
      <c r="E40" s="293">
        <v>300000000</v>
      </c>
      <c r="F40" s="293">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89"/>
      <c r="Y40" s="389"/>
      <c r="Z40" s="389"/>
    </row>
    <row r="41" spans="1:26" ht="16.5">
      <c r="A41" t="s">
        <v>76</v>
      </c>
      <c r="B41" s="90" t="s">
        <v>4741</v>
      </c>
      <c r="C41" s="34"/>
      <c r="D41" s="28"/>
      <c r="E41" s="293">
        <v>23400000000</v>
      </c>
      <c r="F41" s="293">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89"/>
      <c r="Y41" s="389"/>
      <c r="Z41" s="389"/>
    </row>
    <row r="42" spans="1:26" ht="16.5">
      <c r="A42" t="s">
        <v>76</v>
      </c>
      <c r="B42" s="90" t="s">
        <v>2958</v>
      </c>
      <c r="C42" s="34"/>
      <c r="D42" s="28"/>
      <c r="E42" s="293">
        <v>-11000000000</v>
      </c>
      <c r="F42" s="293">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89"/>
      <c r="Y42" s="389"/>
      <c r="Z42" s="389"/>
    </row>
    <row r="43" spans="1:26" ht="16.5">
      <c r="A43" t="s">
        <v>76</v>
      </c>
      <c r="B43" s="90" t="s">
        <v>4742</v>
      </c>
      <c r="C43" s="34"/>
      <c r="D43" s="28"/>
      <c r="E43" s="293">
        <v>-9300000000</v>
      </c>
      <c r="F43" s="293">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89"/>
      <c r="Y43" s="389"/>
      <c r="Z43" s="389"/>
    </row>
    <row r="44" spans="1:26" ht="16.5">
      <c r="A44" t="s">
        <v>76</v>
      </c>
      <c r="B44" s="90" t="s">
        <v>4743</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89"/>
      <c r="Y44" s="389"/>
      <c r="Z44" s="389"/>
    </row>
    <row r="45" spans="1:26" s="9" customFormat="1">
      <c r="A45" s="18" t="s">
        <v>4744</v>
      </c>
      <c r="B45" s="18" t="s">
        <v>4744</v>
      </c>
      <c r="C45" s="9" t="s">
        <v>35</v>
      </c>
      <c r="E45" s="294">
        <v>9300000000</v>
      </c>
      <c r="F45" s="294">
        <v>18000000000</v>
      </c>
      <c r="G45" s="263">
        <v>11300000000</v>
      </c>
      <c r="H45" s="263">
        <v>7400000000</v>
      </c>
      <c r="I45" s="263">
        <v>21300000000</v>
      </c>
      <c r="J45" s="263">
        <v>6500000000</v>
      </c>
      <c r="K45" s="295">
        <v>-9500000000</v>
      </c>
      <c r="L45" s="295">
        <v>-7900000000</v>
      </c>
      <c r="M45" s="295">
        <v>16200000000</v>
      </c>
      <c r="N45" s="295">
        <f>-(N47-N52)</f>
        <v>33400000000</v>
      </c>
      <c r="O45" s="295">
        <f t="shared" ref="O45:R45" si="11">-(O47-O52)</f>
        <v>53900000000</v>
      </c>
      <c r="P45" s="295">
        <f t="shared" si="11"/>
        <v>61500000000</v>
      </c>
      <c r="Q45" s="295">
        <f t="shared" si="11"/>
        <v>46500000000</v>
      </c>
      <c r="R45" s="295">
        <f t="shared" si="11"/>
        <v>45700000000</v>
      </c>
      <c r="S45" s="295">
        <f>S48+S57</f>
        <v>41200000000</v>
      </c>
      <c r="T45" s="295">
        <f t="shared" ref="T45:Z45" si="12">T48+T57</f>
        <v>42100000000</v>
      </c>
      <c r="U45" s="295">
        <f t="shared" si="12"/>
        <v>37700000000</v>
      </c>
      <c r="V45" s="295">
        <f t="shared" si="12"/>
        <v>33200000000</v>
      </c>
      <c r="W45" s="295">
        <f t="shared" si="12"/>
        <v>32900000000</v>
      </c>
      <c r="X45" s="295">
        <f t="shared" si="12"/>
        <v>33500000000</v>
      </c>
      <c r="Y45" s="295">
        <f t="shared" si="12"/>
        <v>32000000000</v>
      </c>
      <c r="Z45" s="295">
        <f t="shared" si="12"/>
        <v>30600000000</v>
      </c>
    </row>
    <row r="46" spans="1:26" ht="16.5">
      <c r="A46" t="s">
        <v>76</v>
      </c>
      <c r="B46" s="90" t="s">
        <v>4745</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89"/>
      <c r="Y46" s="389"/>
      <c r="Z46" s="389"/>
    </row>
    <row r="47" spans="1:26" ht="16.5">
      <c r="A47" t="s">
        <v>76</v>
      </c>
      <c r="B47" s="90" t="s">
        <v>815</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89"/>
      <c r="Y47" s="389"/>
      <c r="Z47" s="389"/>
    </row>
    <row r="48" spans="1:26" ht="16.5">
      <c r="A48" t="s">
        <v>120</v>
      </c>
      <c r="B48" s="139" t="s">
        <v>209</v>
      </c>
      <c r="C48" s="58" t="s">
        <v>252</v>
      </c>
      <c r="D48" s="28"/>
      <c r="E48" s="293">
        <v>19400000000</v>
      </c>
      <c r="F48" s="293">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3">
        <v>19400000000</v>
      </c>
      <c r="F49" s="293">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819</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89">
        <v>0</v>
      </c>
      <c r="Y50" s="389">
        <v>0</v>
      </c>
      <c r="Z50" s="389">
        <v>0</v>
      </c>
    </row>
    <row r="51" spans="1:26" ht="16.5">
      <c r="A51" t="s">
        <v>76</v>
      </c>
      <c r="B51" s="90" t="s">
        <v>4746</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89">
        <v>0</v>
      </c>
      <c r="Y51" s="389">
        <v>0</v>
      </c>
      <c r="Z51" s="389">
        <v>0</v>
      </c>
    </row>
    <row r="52" spans="1:26" ht="16.5">
      <c r="A52" t="s">
        <v>76</v>
      </c>
      <c r="B52" s="90" t="s">
        <v>821</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89"/>
      <c r="Y52" s="389"/>
      <c r="Z52" s="389"/>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4747</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89">
        <v>1000000000</v>
      </c>
      <c r="Y54" s="389">
        <v>1000000000</v>
      </c>
      <c r="Z54" s="389">
        <v>1000000000</v>
      </c>
    </row>
    <row r="55" spans="1:26" ht="16.5">
      <c r="A55" t="s">
        <v>76</v>
      </c>
      <c r="B55" s="90" t="s">
        <v>818</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417</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89">
        <v>0</v>
      </c>
      <c r="Y56" s="389">
        <v>0</v>
      </c>
      <c r="Z56" s="389">
        <v>0</v>
      </c>
    </row>
    <row r="57" spans="1:26" ht="16.5">
      <c r="A57" t="s">
        <v>117</v>
      </c>
      <c r="B57" s="90" t="s">
        <v>4746</v>
      </c>
      <c r="C57" s="58" t="s">
        <v>252</v>
      </c>
      <c r="D57" s="28"/>
      <c r="E57" s="293">
        <v>-10100000000</v>
      </c>
      <c r="F57" s="293">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4746</v>
      </c>
      <c r="C58" s="58"/>
      <c r="D58" s="28"/>
      <c r="E58" s="293">
        <v>-10100000000</v>
      </c>
      <c r="F58" s="293">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89"/>
      <c r="Y58" s="389"/>
      <c r="Z58" s="389"/>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1828</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2338</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4748</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826</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3881</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3209</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543</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4749</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t="b">
        <f t="shared" ref="F75:X75" si="43">IF(F34&lt;0, (F34/F18)*100)</f>
        <v>0</v>
      </c>
      <c r="G75" t="b">
        <f t="shared" si="43"/>
        <v>0</v>
      </c>
      <c r="H75" t="b">
        <f t="shared" si="43"/>
        <v>0</v>
      </c>
      <c r="I75" t="b">
        <f t="shared" si="43"/>
        <v>0</v>
      </c>
      <c r="J75" t="b">
        <f t="shared" si="43"/>
        <v>0</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435" customWidth="1"/>
    <col min="3" max="3" width="29.28515625" style="1435" bestFit="1" customWidth="1"/>
    <col min="4" max="5" width="12.5703125" style="1435" bestFit="1" customWidth="1"/>
    <col min="6" max="7" width="18.42578125" style="1435" bestFit="1" customWidth="1"/>
    <col min="8" max="8" width="20.42578125" style="1435" bestFit="1" customWidth="1"/>
    <col min="9" max="10" width="18.42578125" style="1435" bestFit="1" customWidth="1"/>
    <col min="11" max="11" width="20.42578125" style="1435" bestFit="1" customWidth="1"/>
    <col min="12" max="13" width="18.42578125" style="1435" bestFit="1" customWidth="1"/>
    <col min="14" max="15" width="18.7109375" style="1435" bestFit="1" customWidth="1"/>
    <col min="16" max="20" width="23.140625" style="1435" bestFit="1" customWidth="1"/>
    <col min="21" max="27" width="19.85546875" style="1435" bestFit="1" customWidth="1"/>
  </cols>
  <sheetData>
    <row r="1" spans="1:49">
      <c r="A1" s="1748" t="s">
        <v>4750</v>
      </c>
      <c r="B1" s="1432" t="s">
        <v>4751</v>
      </c>
      <c r="C1" s="1432"/>
      <c r="D1" s="1432"/>
      <c r="E1" s="1432"/>
      <c r="F1" s="1432"/>
      <c r="G1" s="1432"/>
      <c r="H1" s="1432"/>
      <c r="I1" s="1432"/>
      <c r="J1" s="1432"/>
      <c r="K1" s="1432"/>
      <c r="L1" s="1432"/>
      <c r="M1" s="1432"/>
      <c r="N1" s="1432"/>
      <c r="O1" s="1433"/>
      <c r="P1" s="1433"/>
      <c r="Q1" s="1433"/>
      <c r="R1" s="1434"/>
      <c r="S1" s="1433"/>
      <c r="T1" s="1445"/>
      <c r="U1" s="1433"/>
      <c r="V1" s="1433"/>
      <c r="W1" s="1433"/>
      <c r="X1" s="1433"/>
      <c r="Y1" s="1749"/>
      <c r="Z1" s="1749"/>
      <c r="AA1" s="1749"/>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436" t="s">
        <v>4752</v>
      </c>
      <c r="C2" s="1436"/>
      <c r="D2" s="1433"/>
      <c r="E2" s="1433"/>
      <c r="F2" s="1433"/>
      <c r="G2" s="1433"/>
      <c r="H2" s="1433"/>
      <c r="I2" s="1433"/>
      <c r="J2" s="1433"/>
      <c r="K2" s="1433"/>
      <c r="L2" s="1433"/>
      <c r="M2" s="1433"/>
      <c r="N2" s="1433"/>
      <c r="O2" s="1433"/>
      <c r="P2" s="1433"/>
      <c r="Q2" s="1433"/>
      <c r="R2" s="1437"/>
      <c r="S2" s="1438"/>
      <c r="T2" s="1439"/>
      <c r="U2" s="1433"/>
      <c r="V2" s="1433"/>
      <c r="W2" s="1433"/>
      <c r="X2" s="1433"/>
      <c r="Y2" s="1749"/>
      <c r="Z2" s="1749"/>
      <c r="AA2" s="1749"/>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c r="AA3" s="1433">
        <v>2023</v>
      </c>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1786" t="s">
        <v>26</v>
      </c>
      <c r="Z4" s="1786" t="s">
        <v>27</v>
      </c>
      <c r="AA4" s="1786" t="s">
        <v>1137</v>
      </c>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435" t="s">
        <v>28</v>
      </c>
      <c r="B5" s="1440" t="s">
        <v>29</v>
      </c>
      <c r="C5" s="1440"/>
      <c r="D5" s="1433" t="s">
        <v>30</v>
      </c>
      <c r="E5" s="1433" t="s">
        <v>30</v>
      </c>
      <c r="F5" s="1433" t="s">
        <v>30</v>
      </c>
      <c r="G5" s="1433" t="s">
        <v>30</v>
      </c>
      <c r="H5" s="1432" t="s">
        <v>31</v>
      </c>
      <c r="I5" s="1432" t="s">
        <v>31</v>
      </c>
      <c r="J5" s="1432" t="s">
        <v>31</v>
      </c>
      <c r="K5" s="1432" t="s">
        <v>31</v>
      </c>
      <c r="L5" s="1432" t="s">
        <v>31</v>
      </c>
      <c r="M5" s="1435" t="s">
        <v>30</v>
      </c>
      <c r="N5" s="1433" t="s">
        <v>31</v>
      </c>
      <c r="O5" s="1433" t="s">
        <v>30</v>
      </c>
      <c r="P5" s="1433" t="s">
        <v>30</v>
      </c>
      <c r="Q5" s="1433" t="s">
        <v>30</v>
      </c>
      <c r="R5" s="1433" t="s">
        <v>30</v>
      </c>
      <c r="S5" s="1433" t="s">
        <v>1368</v>
      </c>
      <c r="T5" s="1433" t="s">
        <v>369</v>
      </c>
      <c r="U5" s="1433" t="s">
        <v>32</v>
      </c>
      <c r="V5" s="1433" t="s">
        <v>32</v>
      </c>
      <c r="W5" s="1433" t="s">
        <v>32</v>
      </c>
      <c r="X5" s="1433" t="s">
        <v>32</v>
      </c>
      <c r="Y5" s="1433" t="s">
        <v>32</v>
      </c>
      <c r="Z5" s="1433" t="s">
        <v>32</v>
      </c>
      <c r="AA5" s="1433" t="s">
        <v>32</v>
      </c>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1750" t="s">
        <v>4753</v>
      </c>
      <c r="B6" s="1750" t="s">
        <v>4754</v>
      </c>
      <c r="C6" s="1458" t="s">
        <v>35</v>
      </c>
      <c r="D6" s="1775"/>
      <c r="E6" s="1775"/>
      <c r="F6" s="1776">
        <v>22077000000</v>
      </c>
      <c r="G6" s="1776">
        <v>25555000000</v>
      </c>
      <c r="H6" s="1776">
        <v>26891000000</v>
      </c>
      <c r="I6" s="1776">
        <v>31393000000</v>
      </c>
      <c r="J6" s="1776">
        <v>46121000000</v>
      </c>
      <c r="K6" s="1776">
        <v>52330000000</v>
      </c>
      <c r="L6" s="1776">
        <v>60910000000</v>
      </c>
      <c r="M6" s="1776">
        <v>72030000000</v>
      </c>
      <c r="N6" s="1776">
        <v>89960000000</v>
      </c>
      <c r="O6" s="1776">
        <v>104400000000</v>
      </c>
      <c r="P6" s="1777">
        <f>P7+P39</f>
        <v>116700000000</v>
      </c>
      <c r="Q6" s="1777">
        <f>Q7+Q39</f>
        <v>151500000000</v>
      </c>
      <c r="R6" s="1777">
        <f>R7+R39</f>
        <v>169100000000</v>
      </c>
      <c r="S6" s="1777">
        <f>S7+S39</f>
        <v>175200000000</v>
      </c>
      <c r="T6" s="1777">
        <f>T7+T39</f>
        <v>180100000000</v>
      </c>
      <c r="U6" s="1777">
        <f t="shared" ref="U6:AA6" si="0">U7+U39</f>
        <v>213700000000</v>
      </c>
      <c r="V6" s="1777">
        <f t="shared" si="0"/>
        <v>204500000000</v>
      </c>
      <c r="W6" s="1777">
        <f t="shared" si="0"/>
        <v>220000000000</v>
      </c>
      <c r="X6" s="1777">
        <f t="shared" si="0"/>
        <v>232100000000</v>
      </c>
      <c r="Y6" s="1777">
        <f t="shared" si="0"/>
        <v>249000000000</v>
      </c>
      <c r="Z6" s="1777">
        <f t="shared" si="0"/>
        <v>266900000000.00003</v>
      </c>
      <c r="AA6" s="1777">
        <f t="shared" si="0"/>
        <v>306400000000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ht="17.25" customHeight="1">
      <c r="A7" s="1435" t="s">
        <v>370</v>
      </c>
      <c r="B7" s="1435" t="s">
        <v>882</v>
      </c>
      <c r="C7" s="1443" t="s">
        <v>38</v>
      </c>
      <c r="D7" s="1433"/>
      <c r="E7" s="1450"/>
      <c r="F7" s="1751">
        <v>12057000000</v>
      </c>
      <c r="G7" s="1751">
        <v>14714000000</v>
      </c>
      <c r="H7" s="1751">
        <v>16838000000</v>
      </c>
      <c r="I7" s="1751">
        <v>21418000000</v>
      </c>
      <c r="J7" s="1751">
        <v>26997000000</v>
      </c>
      <c r="K7" s="1752">
        <v>33060000000.000004</v>
      </c>
      <c r="L7" s="1751">
        <v>38270000000</v>
      </c>
      <c r="M7" s="1751">
        <v>46730000000</v>
      </c>
      <c r="N7" s="1752">
        <v>61620000000</v>
      </c>
      <c r="O7" s="1752">
        <v>75800000000</v>
      </c>
      <c r="P7" s="1441">
        <v>94800000000</v>
      </c>
      <c r="Q7" s="1441">
        <v>126600000000</v>
      </c>
      <c r="R7" s="1441">
        <v>146400000000</v>
      </c>
      <c r="S7" s="1441">
        <v>151000000000</v>
      </c>
      <c r="T7" s="1441">
        <v>165600000000</v>
      </c>
      <c r="U7" s="1441">
        <v>201100000000</v>
      </c>
      <c r="V7" s="1441">
        <v>193100000000</v>
      </c>
      <c r="W7" s="1441">
        <v>209000000000</v>
      </c>
      <c r="X7" s="1441">
        <v>224800000000</v>
      </c>
      <c r="Y7" s="1441">
        <v>242000000000</v>
      </c>
      <c r="Z7" s="1441">
        <v>260100000000.00003</v>
      </c>
      <c r="AA7" s="1441">
        <v>299900000000</v>
      </c>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435" t="s">
        <v>39</v>
      </c>
      <c r="B8" s="1435" t="s">
        <v>285</v>
      </c>
      <c r="C8" s="1443" t="s">
        <v>41</v>
      </c>
      <c r="D8" s="1433"/>
      <c r="E8" s="1450"/>
      <c r="F8" s="1751">
        <v>10629000000</v>
      </c>
      <c r="G8" s="1751">
        <v>13629000000</v>
      </c>
      <c r="H8" s="1751">
        <v>15598000000</v>
      </c>
      <c r="I8" s="1751">
        <v>18534000000</v>
      </c>
      <c r="J8" s="1751">
        <v>23313000000</v>
      </c>
      <c r="K8" s="1752">
        <v>29080000000</v>
      </c>
      <c r="L8" s="1751">
        <v>34020000000.000004</v>
      </c>
      <c r="M8" s="1751">
        <v>41470000000</v>
      </c>
      <c r="N8" s="1752">
        <v>53690000000</v>
      </c>
      <c r="O8" s="1752">
        <v>66200000000</v>
      </c>
      <c r="P8" s="1441">
        <v>80900000000</v>
      </c>
      <c r="Q8" s="1441">
        <v>107600000000</v>
      </c>
      <c r="R8" s="1441">
        <v>125200000000</v>
      </c>
      <c r="S8" s="1441">
        <v>128600000000</v>
      </c>
      <c r="T8" s="1441">
        <v>138500000000</v>
      </c>
      <c r="U8" s="1788">
        <v>171700000000</v>
      </c>
      <c r="V8" s="1788">
        <v>162400000000</v>
      </c>
      <c r="W8" s="1788">
        <v>175700000000</v>
      </c>
      <c r="X8" s="1788">
        <v>188800000000</v>
      </c>
      <c r="Y8" s="1789">
        <v>203200000000</v>
      </c>
      <c r="Z8" s="1789">
        <v>217800000000</v>
      </c>
      <c r="AA8" s="1789">
        <v>237400000000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753" t="s">
        <v>4755</v>
      </c>
      <c r="B9" s="1753" t="s">
        <v>839</v>
      </c>
      <c r="C9" s="1435" t="s">
        <v>44</v>
      </c>
      <c r="D9" s="1433"/>
      <c r="F9" s="1751">
        <v>2116000000</v>
      </c>
      <c r="G9" s="1751">
        <v>3236000000</v>
      </c>
      <c r="H9" s="1751">
        <v>3548000000</v>
      </c>
      <c r="I9" s="1751">
        <v>4469000000</v>
      </c>
      <c r="J9" s="1751">
        <v>6367000000</v>
      </c>
      <c r="K9" s="1752"/>
      <c r="L9" s="1751">
        <v>11720000000</v>
      </c>
      <c r="M9" s="1751">
        <v>13720000000</v>
      </c>
      <c r="N9" s="1752">
        <v>18480000000</v>
      </c>
      <c r="O9" s="1752">
        <v>24900000000</v>
      </c>
      <c r="P9" s="1441">
        <v>36800000000</v>
      </c>
      <c r="Q9" s="1441">
        <v>55800000000</v>
      </c>
      <c r="R9" s="1441">
        <v>61300000000</v>
      </c>
      <c r="S9" s="1441">
        <v>54000000000</v>
      </c>
      <c r="T9" s="1441">
        <v>64300000000</v>
      </c>
      <c r="U9" s="1788">
        <v>97700000000</v>
      </c>
      <c r="V9" s="1788">
        <v>79600000000</v>
      </c>
      <c r="W9" s="1788">
        <v>86300000000</v>
      </c>
      <c r="X9" s="1788">
        <v>93400000000</v>
      </c>
      <c r="Y9" s="1789">
        <v>101700000000</v>
      </c>
      <c r="Z9" s="1789">
        <v>109600000000</v>
      </c>
      <c r="AA9" s="1789">
        <v>120300000000</v>
      </c>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754" t="s">
        <v>4756</v>
      </c>
      <c r="B10" s="1754" t="s">
        <v>4757</v>
      </c>
      <c r="C10" s="1435" t="s">
        <v>4758</v>
      </c>
      <c r="D10" s="1433"/>
      <c r="F10" s="1752"/>
      <c r="G10" s="1752"/>
      <c r="H10" s="1752"/>
      <c r="I10" s="1752"/>
      <c r="J10" s="1752"/>
      <c r="K10" s="1752"/>
      <c r="L10" s="1752"/>
      <c r="M10" s="1752"/>
      <c r="N10" s="1752"/>
      <c r="O10" s="1752">
        <v>0</v>
      </c>
      <c r="P10" s="1441">
        <v>5000000000</v>
      </c>
      <c r="Q10" s="1441">
        <v>18600000000</v>
      </c>
      <c r="R10" s="1441">
        <v>16200000000</v>
      </c>
      <c r="S10" s="1441">
        <v>0</v>
      </c>
      <c r="T10" s="1441">
        <v>0</v>
      </c>
      <c r="U10" s="1788">
        <v>22100000000</v>
      </c>
      <c r="V10" s="2433">
        <v>0</v>
      </c>
      <c r="W10" s="2433">
        <v>0</v>
      </c>
      <c r="X10" s="2433">
        <v>0</v>
      </c>
      <c r="Y10" s="2434">
        <v>0</v>
      </c>
      <c r="Z10" s="2434">
        <v>0</v>
      </c>
      <c r="AA10" s="2434">
        <v>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754" t="s">
        <v>3577</v>
      </c>
      <c r="B11" s="1754" t="s">
        <v>4759</v>
      </c>
      <c r="C11" s="1435" t="s">
        <v>4758</v>
      </c>
      <c r="D11" s="1433"/>
      <c r="F11" s="1752"/>
      <c r="G11" s="1752"/>
      <c r="H11" s="1752"/>
      <c r="I11" s="1752"/>
      <c r="J11" s="1752"/>
      <c r="K11" s="1752"/>
      <c r="L11" s="1752"/>
      <c r="M11" s="1752"/>
      <c r="N11" s="1752"/>
      <c r="O11" s="1752">
        <v>24900000000</v>
      </c>
      <c r="P11" s="1441">
        <v>31700000000</v>
      </c>
      <c r="Q11" s="1441">
        <v>37300000000</v>
      </c>
      <c r="R11" s="1441">
        <v>45100000000</v>
      </c>
      <c r="S11" s="1441">
        <v>54000000000</v>
      </c>
      <c r="T11" s="1788">
        <f>T9-T10</f>
        <v>64300000000</v>
      </c>
      <c r="U11" s="1788">
        <f t="shared" ref="U11:AA11" si="1">U9-U10</f>
        <v>75600000000</v>
      </c>
      <c r="V11" s="1788">
        <f t="shared" si="1"/>
        <v>79600000000</v>
      </c>
      <c r="W11" s="1788">
        <f t="shared" si="1"/>
        <v>86300000000</v>
      </c>
      <c r="X11" s="1788">
        <f t="shared" si="1"/>
        <v>93400000000</v>
      </c>
      <c r="Y11" s="1788">
        <f t="shared" si="1"/>
        <v>101700000000</v>
      </c>
      <c r="Z11" s="1788">
        <f t="shared" si="1"/>
        <v>109600000000</v>
      </c>
      <c r="AA11" s="1788">
        <f t="shared" si="1"/>
        <v>120300000000</v>
      </c>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748" t="s">
        <v>47</v>
      </c>
      <c r="B12" s="1753" t="s">
        <v>4760</v>
      </c>
      <c r="C12" s="1435" t="s">
        <v>44</v>
      </c>
      <c r="D12" s="1433"/>
      <c r="F12" s="1751">
        <v>6404000000</v>
      </c>
      <c r="G12" s="1751">
        <v>7799000000</v>
      </c>
      <c r="H12" s="1751">
        <v>9416000000</v>
      </c>
      <c r="I12" s="1751">
        <v>10873000000</v>
      </c>
      <c r="J12" s="1752">
        <v>13031000000</v>
      </c>
      <c r="K12" s="1752"/>
      <c r="L12" s="1752">
        <v>18050000000</v>
      </c>
      <c r="M12" s="1752">
        <v>22890000000</v>
      </c>
      <c r="N12" s="1752">
        <v>28840000000</v>
      </c>
      <c r="O12" s="1752">
        <v>33000000000</v>
      </c>
      <c r="P12" s="1441">
        <v>33299999999.999996</v>
      </c>
      <c r="Q12" s="1441">
        <v>38300000000</v>
      </c>
      <c r="R12" s="1441">
        <v>48300000000</v>
      </c>
      <c r="S12" s="1441">
        <v>55800000000</v>
      </c>
      <c r="T12" s="1441">
        <v>56400000000</v>
      </c>
      <c r="U12" s="1788">
        <v>55800000000</v>
      </c>
      <c r="V12" s="1788">
        <v>62800000000</v>
      </c>
      <c r="W12" s="1788">
        <v>66700000000</v>
      </c>
      <c r="X12" s="1788">
        <v>70500000000</v>
      </c>
      <c r="Y12" s="1789">
        <v>75200000000</v>
      </c>
      <c r="Z12" s="1789">
        <v>79700000000</v>
      </c>
      <c r="AA12" s="1789">
        <v>84900000000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435" t="s">
        <v>4761</v>
      </c>
      <c r="B13" s="1754" t="s">
        <v>4762</v>
      </c>
      <c r="C13" s="1435" t="s">
        <v>4763</v>
      </c>
      <c r="D13" s="1433"/>
      <c r="F13" s="1751">
        <v>865000000</v>
      </c>
      <c r="G13" s="1751">
        <v>1305000000</v>
      </c>
      <c r="H13" s="1751">
        <v>1663000000</v>
      </c>
      <c r="I13" s="1751">
        <v>1806000000</v>
      </c>
      <c r="J13" s="1752">
        <v>1830000000</v>
      </c>
      <c r="K13" s="1752"/>
      <c r="L13" s="1752"/>
      <c r="M13" s="1752"/>
      <c r="N13" s="1752"/>
      <c r="O13" s="1752">
        <v>4700000000</v>
      </c>
      <c r="P13" s="1441">
        <v>1300000000</v>
      </c>
      <c r="Q13" s="1441">
        <v>2200000000</v>
      </c>
      <c r="R13" s="1441">
        <v>1800000000</v>
      </c>
      <c r="S13" s="1441">
        <v>2900000000</v>
      </c>
      <c r="T13" s="1441"/>
      <c r="U13" s="1788"/>
      <c r="V13" s="1788"/>
      <c r="W13" s="1788"/>
      <c r="X13" s="1788"/>
      <c r="Y13" s="1789"/>
      <c r="Z13" s="1789"/>
      <c r="AA13" s="1789"/>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435" t="s">
        <v>4764</v>
      </c>
      <c r="B14" s="1754" t="s">
        <v>4765</v>
      </c>
      <c r="C14" s="1435" t="s">
        <v>4763</v>
      </c>
      <c r="D14" s="1433"/>
      <c r="F14" s="1751">
        <v>5539000000</v>
      </c>
      <c r="G14" s="1751">
        <v>6494000000</v>
      </c>
      <c r="H14" s="1751">
        <v>7753000000</v>
      </c>
      <c r="I14" s="1751">
        <v>9067000000</v>
      </c>
      <c r="J14" s="1751">
        <v>11201000000</v>
      </c>
      <c r="K14" s="1751"/>
      <c r="L14" s="1751"/>
      <c r="M14" s="1751"/>
      <c r="N14" s="1751"/>
      <c r="O14" s="1751">
        <v>28300000000</v>
      </c>
      <c r="P14" s="1755">
        <f>P12-P13</f>
        <v>31999999999.999996</v>
      </c>
      <c r="Q14" s="1755">
        <f>Q12-Q13</f>
        <v>36100000000</v>
      </c>
      <c r="R14" s="1755">
        <f>R12-R13</f>
        <v>46500000000</v>
      </c>
      <c r="S14" s="1755">
        <f>S12-S13</f>
        <v>52900000000</v>
      </c>
      <c r="T14" s="1755"/>
      <c r="U14" s="1788"/>
      <c r="V14" s="1788"/>
      <c r="W14" s="1788"/>
      <c r="X14" s="1788"/>
      <c r="Y14" s="1789"/>
      <c r="Z14" s="1789"/>
      <c r="AA14" s="1789"/>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756" t="s">
        <v>45</v>
      </c>
      <c r="B15" s="1753" t="s">
        <v>4766</v>
      </c>
      <c r="C15" s="1435" t="s">
        <v>44</v>
      </c>
      <c r="D15" s="1433"/>
      <c r="F15" s="1751">
        <v>1851000000</v>
      </c>
      <c r="G15" s="1751">
        <v>2229000000</v>
      </c>
      <c r="H15" s="1751">
        <v>2284000000</v>
      </c>
      <c r="I15" s="1751">
        <v>2816000000</v>
      </c>
      <c r="J15" s="1752">
        <v>3284000000</v>
      </c>
      <c r="K15" s="1752"/>
      <c r="L15" s="1751">
        <v>3590000000</v>
      </c>
      <c r="M15" s="1752">
        <v>4080000000</v>
      </c>
      <c r="N15" s="1752">
        <v>5260000000</v>
      </c>
      <c r="O15" s="1752">
        <v>6700000000</v>
      </c>
      <c r="P15" s="1441">
        <v>7600000000</v>
      </c>
      <c r="Q15" s="1441">
        <v>10000000000</v>
      </c>
      <c r="R15" s="1441">
        <v>11400000000</v>
      </c>
      <c r="S15" s="1441">
        <v>12200000000</v>
      </c>
      <c r="T15" s="1441">
        <v>12300000000</v>
      </c>
      <c r="U15" s="1788">
        <v>11800000000</v>
      </c>
      <c r="V15" s="1788">
        <v>12100000000</v>
      </c>
      <c r="W15" s="1788">
        <v>13900000000</v>
      </c>
      <c r="X15" s="1788">
        <v>15300000000</v>
      </c>
      <c r="Y15" s="1789">
        <v>16600000000.000002</v>
      </c>
      <c r="Z15" s="1789">
        <v>18000000000</v>
      </c>
      <c r="AA15" s="1789">
        <v>20000000000</v>
      </c>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756" t="s">
        <v>1772</v>
      </c>
      <c r="B16" s="1753" t="s">
        <v>50</v>
      </c>
      <c r="C16" s="1435" t="s">
        <v>44</v>
      </c>
      <c r="D16" s="1433"/>
      <c r="F16" s="1751">
        <v>258000000</v>
      </c>
      <c r="G16" s="1751">
        <v>366000000</v>
      </c>
      <c r="H16" s="1751">
        <v>350000000</v>
      </c>
      <c r="I16" s="1751">
        <v>376000000</v>
      </c>
      <c r="J16" s="1752">
        <v>632000000</v>
      </c>
      <c r="K16" s="1752"/>
      <c r="L16" s="1751">
        <v>650000000</v>
      </c>
      <c r="M16" s="1751">
        <v>780000000</v>
      </c>
      <c r="N16" s="1752">
        <v>1100000000</v>
      </c>
      <c r="O16" s="1752">
        <v>1500000000</v>
      </c>
      <c r="P16" s="1441">
        <v>3200000000</v>
      </c>
      <c r="Q16" s="1441">
        <v>3500000000</v>
      </c>
      <c r="R16" s="1441">
        <v>4099999999.9999995</v>
      </c>
      <c r="S16" s="1441">
        <v>6600000000</v>
      </c>
      <c r="T16" s="1441">
        <v>5500000000</v>
      </c>
      <c r="U16" s="1788">
        <v>6400000000</v>
      </c>
      <c r="V16" s="1788">
        <v>8000000000</v>
      </c>
      <c r="W16" s="1788">
        <v>8800000000</v>
      </c>
      <c r="X16" s="1788">
        <v>9700000000</v>
      </c>
      <c r="Y16" s="1789">
        <v>9700000000</v>
      </c>
      <c r="Z16" s="1789">
        <v>10500000000</v>
      </c>
      <c r="AA16" s="1789">
        <v>12200000000</v>
      </c>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432" t="s">
        <v>51</v>
      </c>
      <c r="B17" s="1435" t="s">
        <v>3837</v>
      </c>
      <c r="C17" s="1435" t="s">
        <v>41</v>
      </c>
      <c r="D17" s="1433"/>
      <c r="F17" s="1751">
        <v>1428000000</v>
      </c>
      <c r="G17" s="1751">
        <v>1085000000</v>
      </c>
      <c r="H17" s="1751">
        <v>1241000000</v>
      </c>
      <c r="I17" s="1751">
        <v>2884000000</v>
      </c>
      <c r="J17" s="1752">
        <v>3683000000</v>
      </c>
      <c r="K17" s="1752">
        <v>3980000000</v>
      </c>
      <c r="L17" s="1751">
        <v>4250000000</v>
      </c>
      <c r="M17" s="1751">
        <v>5260000000</v>
      </c>
      <c r="N17" s="1752">
        <v>7940000000</v>
      </c>
      <c r="O17" s="1752">
        <v>9600000000</v>
      </c>
      <c r="P17" s="1441">
        <v>14000000000</v>
      </c>
      <c r="Q17" s="1441">
        <v>19000000000</v>
      </c>
      <c r="R17" s="1441">
        <v>21200000000</v>
      </c>
      <c r="S17" s="1441">
        <v>22400000000</v>
      </c>
      <c r="T17" s="1441">
        <v>27100000000</v>
      </c>
      <c r="U17" s="1788">
        <v>29400000000</v>
      </c>
      <c r="V17" s="1788">
        <v>30700000000</v>
      </c>
      <c r="W17" s="1788">
        <v>33299999999.999996</v>
      </c>
      <c r="X17" s="1788">
        <v>36000000000</v>
      </c>
      <c r="Y17" s="1789">
        <v>38900000000</v>
      </c>
      <c r="Z17" s="1789">
        <v>42300000000</v>
      </c>
      <c r="AA17" s="1789">
        <v>62500000000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458"/>
      <c r="B18" s="1458" t="s">
        <v>379</v>
      </c>
      <c r="C18" s="1458"/>
      <c r="D18" s="1458"/>
      <c r="E18" s="1458"/>
      <c r="F18" s="1778">
        <v>29032000000</v>
      </c>
      <c r="G18" s="1778">
        <v>30184000000</v>
      </c>
      <c r="H18" s="1778">
        <v>32607000000</v>
      </c>
      <c r="I18" s="1778">
        <v>34734000000</v>
      </c>
      <c r="J18" s="1778">
        <v>48546000000</v>
      </c>
      <c r="K18" s="1778">
        <v>58450000000</v>
      </c>
      <c r="L18" s="1778">
        <v>66849999999.999992</v>
      </c>
      <c r="M18" s="1778">
        <v>86700000000</v>
      </c>
      <c r="N18" s="1778">
        <v>103520000000</v>
      </c>
      <c r="O18" s="1779">
        <v>122800000000</v>
      </c>
      <c r="P18" s="1460">
        <f t="shared" ref="P18:R18" si="2">P19</f>
        <v>133100000000</v>
      </c>
      <c r="Q18" s="1460">
        <f t="shared" si="2"/>
        <v>164200000000</v>
      </c>
      <c r="R18" s="1460">
        <f t="shared" si="2"/>
        <v>223800000000</v>
      </c>
      <c r="S18" s="1460">
        <f>S19</f>
        <v>211100000000</v>
      </c>
      <c r="T18" s="1460">
        <v>223100000000</v>
      </c>
      <c r="U18" s="1790">
        <v>257600000000.00003</v>
      </c>
      <c r="V18" s="1790">
        <v>270300000000</v>
      </c>
      <c r="W18" s="1790">
        <v>322900000000</v>
      </c>
      <c r="X18" s="1790">
        <v>333500000000</v>
      </c>
      <c r="Y18" s="1787">
        <v>355600000000</v>
      </c>
      <c r="Z18" s="1787">
        <v>393900000000</v>
      </c>
      <c r="AA18" s="1787">
        <v>444400000000</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s="848" customFormat="1">
      <c r="A19" s="1458" t="s">
        <v>71</v>
      </c>
      <c r="B19" s="1458" t="s">
        <v>379</v>
      </c>
      <c r="C19" s="1780" t="s">
        <v>35</v>
      </c>
      <c r="D19" s="1458"/>
      <c r="E19" s="1458"/>
      <c r="F19" s="1778">
        <f>F20+F29+F32</f>
        <v>29032000000</v>
      </c>
      <c r="G19" s="1778">
        <f t="shared" ref="G19:O19" si="3">G20+G29+G32</f>
        <v>30184000000</v>
      </c>
      <c r="H19" s="1778">
        <f t="shared" si="3"/>
        <v>32607000000</v>
      </c>
      <c r="I19" s="1778">
        <f t="shared" si="3"/>
        <v>34734000000</v>
      </c>
      <c r="J19" s="1778">
        <f t="shared" si="3"/>
        <v>48546000000</v>
      </c>
      <c r="K19" s="1778">
        <f t="shared" si="3"/>
        <v>58450000000</v>
      </c>
      <c r="L19" s="1778">
        <f t="shared" si="3"/>
        <v>66850000000</v>
      </c>
      <c r="M19" s="1778">
        <f t="shared" si="3"/>
        <v>86700000000</v>
      </c>
      <c r="N19" s="1778">
        <f t="shared" si="3"/>
        <v>103520000000</v>
      </c>
      <c r="O19" s="1778">
        <f t="shared" si="3"/>
        <v>122800000000</v>
      </c>
      <c r="P19" s="1781">
        <v>133100000000</v>
      </c>
      <c r="Q19" s="1781">
        <v>164200000000</v>
      </c>
      <c r="R19" s="1781">
        <f>R20+R29+R32</f>
        <v>223800000000</v>
      </c>
      <c r="S19" s="1781">
        <f>S20+S29+S32</f>
        <v>211100000000</v>
      </c>
      <c r="T19" s="1781">
        <f>T18</f>
        <v>223100000000</v>
      </c>
      <c r="U19" s="1790">
        <f t="shared" ref="U19:Z19" si="4">U18</f>
        <v>257600000000.00003</v>
      </c>
      <c r="V19" s="1790">
        <f t="shared" si="4"/>
        <v>270300000000</v>
      </c>
      <c r="W19" s="1790">
        <f t="shared" si="4"/>
        <v>322900000000</v>
      </c>
      <c r="X19" s="1790">
        <f t="shared" si="4"/>
        <v>333500000000</v>
      </c>
      <c r="Y19" s="1787">
        <f t="shared" si="4"/>
        <v>355600000000</v>
      </c>
      <c r="Z19" s="1787">
        <f t="shared" si="4"/>
        <v>393900000000</v>
      </c>
      <c r="AA19" s="1787">
        <f>AA20+AA29+AA32+AA36</f>
        <v>445400000000</v>
      </c>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row>
    <row r="20" spans="1:49">
      <c r="A20" s="1432" t="s">
        <v>4767</v>
      </c>
      <c r="B20" s="1435" t="s">
        <v>888</v>
      </c>
      <c r="C20" s="1443" t="s">
        <v>75</v>
      </c>
      <c r="D20" s="1433"/>
      <c r="F20" s="1751">
        <v>13469000000</v>
      </c>
      <c r="G20" s="1751">
        <v>16341000000</v>
      </c>
      <c r="H20" s="1751">
        <v>19006000000</v>
      </c>
      <c r="I20" s="1751">
        <v>21092000000</v>
      </c>
      <c r="J20" s="1751">
        <v>25518000000</v>
      </c>
      <c r="K20" s="1751">
        <v>31840000000</v>
      </c>
      <c r="L20" s="1751">
        <v>37630000000</v>
      </c>
      <c r="M20" s="1751">
        <v>47870000000</v>
      </c>
      <c r="N20" s="1751">
        <v>57890000000</v>
      </c>
      <c r="O20" s="1752">
        <v>68500000000</v>
      </c>
      <c r="P20" s="1441">
        <v>78300000000</v>
      </c>
      <c r="Q20" s="1441">
        <v>92600000000</v>
      </c>
      <c r="R20" s="1441">
        <v>127400000000</v>
      </c>
      <c r="S20" s="1441">
        <v>127300000000</v>
      </c>
      <c r="T20" s="1441">
        <v>146200000000</v>
      </c>
      <c r="U20" s="1788">
        <v>164600000000</v>
      </c>
      <c r="V20" s="1788">
        <v>192700000000</v>
      </c>
      <c r="W20" s="1788">
        <v>219600000000</v>
      </c>
      <c r="X20" s="1788">
        <v>226400000000</v>
      </c>
      <c r="Y20" s="1789">
        <v>235000000000</v>
      </c>
      <c r="Z20" s="1789">
        <v>254100000000</v>
      </c>
      <c r="AA20" s="1789">
        <v>285300000000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753" t="s">
        <v>2626</v>
      </c>
      <c r="B21" s="1753" t="s">
        <v>4768</v>
      </c>
      <c r="C21" s="1443" t="s">
        <v>81</v>
      </c>
      <c r="D21" s="1433"/>
      <c r="F21" s="1751">
        <v>6206000000</v>
      </c>
      <c r="G21" s="1751">
        <v>7734000000</v>
      </c>
      <c r="H21" s="1751">
        <v>9195000000</v>
      </c>
      <c r="I21" s="1751">
        <v>10691000000</v>
      </c>
      <c r="J21" s="1751">
        <v>12994000000</v>
      </c>
      <c r="K21" s="1751">
        <v>16090000000</v>
      </c>
      <c r="L21" s="1751">
        <v>19270000000</v>
      </c>
      <c r="M21" s="1751">
        <v>23620000000</v>
      </c>
      <c r="N21" s="1751">
        <v>29110000000</v>
      </c>
      <c r="O21" s="1752">
        <v>35700000000</v>
      </c>
      <c r="P21" s="1441">
        <v>41500000000</v>
      </c>
      <c r="Q21" s="1441">
        <v>49500000000</v>
      </c>
      <c r="R21" s="1441">
        <v>59800000000</v>
      </c>
      <c r="S21" s="1441">
        <v>64400000000.000008</v>
      </c>
      <c r="T21" s="1441">
        <v>78100000000</v>
      </c>
      <c r="U21" s="1788">
        <v>88600000000</v>
      </c>
      <c r="V21" s="1788">
        <v>96700000000</v>
      </c>
      <c r="W21" s="1788">
        <v>107600000000</v>
      </c>
      <c r="X21" s="1788">
        <v>119400000000</v>
      </c>
      <c r="Y21" s="1789">
        <v>132800000000.00002</v>
      </c>
      <c r="Z21" s="1789">
        <v>146000000000</v>
      </c>
      <c r="AA21" s="1789">
        <v>168900000000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753" t="s">
        <v>83</v>
      </c>
      <c r="B22" s="1753" t="s">
        <v>537</v>
      </c>
      <c r="C22" s="1443" t="s">
        <v>81</v>
      </c>
      <c r="D22" s="1433"/>
      <c r="F22" s="1751">
        <v>3163000000</v>
      </c>
      <c r="G22" s="1751">
        <v>4039000000</v>
      </c>
      <c r="H22" s="1751">
        <v>4727000000</v>
      </c>
      <c r="I22" s="1752">
        <v>5012000000</v>
      </c>
      <c r="J22" s="1752">
        <v>6274000000</v>
      </c>
      <c r="K22" s="1773">
        <v>8340000000</v>
      </c>
      <c r="L22" s="1751">
        <v>9710000000</v>
      </c>
      <c r="M22" s="1751">
        <v>11720000000</v>
      </c>
      <c r="N22" s="1751">
        <v>10690000000</v>
      </c>
      <c r="O22" s="1752">
        <v>12100000000</v>
      </c>
      <c r="P22" s="1441">
        <v>15100000000</v>
      </c>
      <c r="Q22" s="1441">
        <v>20400000000</v>
      </c>
      <c r="R22" s="1441">
        <v>41100000000</v>
      </c>
      <c r="S22" s="1441">
        <v>25400000000</v>
      </c>
      <c r="T22" s="1441">
        <v>24400000000</v>
      </c>
      <c r="U22" s="1788">
        <v>28800000000</v>
      </c>
      <c r="V22" s="1788">
        <v>35900000000</v>
      </c>
      <c r="W22" s="1788">
        <v>33500000000</v>
      </c>
      <c r="X22" s="1788">
        <v>36200000000</v>
      </c>
      <c r="Y22" s="1789">
        <v>39100000000</v>
      </c>
      <c r="Z22" s="1789">
        <v>42200000000</v>
      </c>
      <c r="AA22" s="1789">
        <v>48900000000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433"/>
      <c r="B23" s="1754" t="s">
        <v>4769</v>
      </c>
      <c r="C23" s="1443"/>
      <c r="D23" s="1433"/>
      <c r="F23" s="1752">
        <v>0</v>
      </c>
      <c r="G23" s="1752">
        <v>0</v>
      </c>
      <c r="H23" s="1752">
        <v>0</v>
      </c>
      <c r="I23" s="1752">
        <v>0</v>
      </c>
      <c r="J23" s="1752">
        <v>0</v>
      </c>
      <c r="K23" s="1752">
        <v>0</v>
      </c>
      <c r="L23" s="1752">
        <v>0</v>
      </c>
      <c r="M23" s="1752">
        <v>0</v>
      </c>
      <c r="N23" s="1752">
        <v>0</v>
      </c>
      <c r="O23" s="1752">
        <v>0</v>
      </c>
      <c r="P23" s="1441"/>
      <c r="Q23" s="1441"/>
      <c r="R23" s="1441">
        <v>14900000000</v>
      </c>
      <c r="S23" s="1441">
        <v>0</v>
      </c>
      <c r="T23" s="1441"/>
      <c r="U23" s="1788"/>
      <c r="V23" s="1788"/>
      <c r="W23" s="1788"/>
      <c r="X23" s="1788"/>
      <c r="Y23" s="1789"/>
      <c r="Z23" s="1789"/>
      <c r="AA23" s="1789"/>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1756" t="s">
        <v>90</v>
      </c>
      <c r="B24" s="1753" t="s">
        <v>4770</v>
      </c>
      <c r="C24" s="1443" t="s">
        <v>81</v>
      </c>
      <c r="D24" s="1433"/>
      <c r="F24" s="1751">
        <v>1274000000</v>
      </c>
      <c r="G24" s="1751">
        <v>1318000000</v>
      </c>
      <c r="H24" s="1751">
        <v>1321000000</v>
      </c>
      <c r="I24" s="1751">
        <v>1248000000</v>
      </c>
      <c r="J24" s="1751">
        <v>1380000000</v>
      </c>
      <c r="K24" s="1752">
        <v>1280000000</v>
      </c>
      <c r="L24" s="1751">
        <v>1260000000</v>
      </c>
      <c r="M24" s="1752">
        <v>1360000000</v>
      </c>
      <c r="N24" s="1751">
        <v>2670000000</v>
      </c>
      <c r="O24" s="1752">
        <v>3600000000</v>
      </c>
      <c r="P24" s="1441">
        <v>4099999999.9999995</v>
      </c>
      <c r="Q24" s="1441">
        <v>4000000000</v>
      </c>
      <c r="R24" s="1441">
        <v>5400000000</v>
      </c>
      <c r="S24" s="1441">
        <v>8400000000</v>
      </c>
      <c r="T24" s="1441">
        <v>20200000000</v>
      </c>
      <c r="U24" s="1788">
        <v>29800000000</v>
      </c>
      <c r="V24" s="1788">
        <v>37700000000</v>
      </c>
      <c r="W24" s="1788">
        <v>54400000000</v>
      </c>
      <c r="X24" s="1788">
        <v>44800000000</v>
      </c>
      <c r="Y24" s="1789">
        <v>35500000000</v>
      </c>
      <c r="Z24" s="1789">
        <v>36200000000</v>
      </c>
      <c r="AA24" s="1789">
        <v>33000000000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1754" t="s">
        <v>209</v>
      </c>
      <c r="B25" s="1754" t="s">
        <v>209</v>
      </c>
      <c r="C25" s="1443" t="s">
        <v>3374</v>
      </c>
      <c r="D25" s="1433"/>
      <c r="F25" s="1751">
        <v>952000000</v>
      </c>
      <c r="G25" s="1751">
        <v>1002000000</v>
      </c>
      <c r="H25" s="1751">
        <v>910000000</v>
      </c>
      <c r="I25" s="1751">
        <v>789000000</v>
      </c>
      <c r="J25" s="1751">
        <v>916000000</v>
      </c>
      <c r="K25" s="1752"/>
      <c r="L25" s="1751">
        <v>800000000</v>
      </c>
      <c r="M25" s="1752"/>
      <c r="N25" s="1751">
        <v>1860000000</v>
      </c>
      <c r="O25" s="1752">
        <v>2600000000</v>
      </c>
      <c r="P25" s="1441">
        <v>2900000000</v>
      </c>
      <c r="Q25" s="1441">
        <v>2200000000</v>
      </c>
      <c r="R25" s="1441">
        <v>2800000000</v>
      </c>
      <c r="S25" s="1441">
        <v>4200000000</v>
      </c>
      <c r="T25" s="1441">
        <v>7700000000</v>
      </c>
      <c r="U25" s="1788">
        <v>10200000000</v>
      </c>
      <c r="V25" s="1788">
        <v>20300000000</v>
      </c>
      <c r="W25" s="1788">
        <v>36400000000</v>
      </c>
      <c r="X25" s="1788">
        <v>26200000000</v>
      </c>
      <c r="Y25" s="1789">
        <v>14800000000</v>
      </c>
      <c r="Z25" s="1789">
        <v>12400000000</v>
      </c>
      <c r="AA25" s="1789">
        <v>8100000000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754" t="s">
        <v>280</v>
      </c>
      <c r="B26" s="1754" t="s">
        <v>280</v>
      </c>
      <c r="C26" s="1443" t="s">
        <v>3374</v>
      </c>
      <c r="D26" s="1433"/>
      <c r="F26" s="1751">
        <v>322000000</v>
      </c>
      <c r="G26" s="1751">
        <v>317000000</v>
      </c>
      <c r="H26" s="1751">
        <v>411000000</v>
      </c>
      <c r="I26" s="1751">
        <v>459000000</v>
      </c>
      <c r="J26" s="1751">
        <v>464000000</v>
      </c>
      <c r="K26" s="1752"/>
      <c r="L26" s="1751">
        <v>450000000</v>
      </c>
      <c r="M26" s="1752"/>
      <c r="N26" s="1751">
        <v>810000000</v>
      </c>
      <c r="O26" s="1752">
        <v>1000000000</v>
      </c>
      <c r="P26" s="1441">
        <v>1200000000</v>
      </c>
      <c r="Q26" s="1441">
        <v>1700000000</v>
      </c>
      <c r="R26" s="1441">
        <v>2600000000</v>
      </c>
      <c r="S26" s="1441">
        <v>4200000000</v>
      </c>
      <c r="T26" s="1441">
        <v>12500000000</v>
      </c>
      <c r="U26" s="1788">
        <v>19600000000</v>
      </c>
      <c r="V26" s="1788">
        <v>17500000000</v>
      </c>
      <c r="W26" s="1788">
        <v>18000000000</v>
      </c>
      <c r="X26" s="1788">
        <v>18600000000</v>
      </c>
      <c r="Y26" s="1789">
        <v>20700000000</v>
      </c>
      <c r="Z26" s="1789">
        <v>23800000000</v>
      </c>
      <c r="AA26" s="1789">
        <v>24900000000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753" t="s">
        <v>895</v>
      </c>
      <c r="B27" s="1753" t="s">
        <v>4771</v>
      </c>
      <c r="C27" s="1443" t="s">
        <v>81</v>
      </c>
      <c r="D27" s="1433"/>
      <c r="F27" s="1751">
        <v>2826000000</v>
      </c>
      <c r="G27" s="1751">
        <v>3250000000</v>
      </c>
      <c r="H27" s="1751">
        <v>3763000000</v>
      </c>
      <c r="I27" s="1751">
        <v>4141000000</v>
      </c>
      <c r="J27" s="1751">
        <v>4869000000</v>
      </c>
      <c r="K27" s="1752">
        <v>6130000000</v>
      </c>
      <c r="L27" s="1751">
        <v>7400000000</v>
      </c>
      <c r="M27" s="1752">
        <v>11170000000</v>
      </c>
      <c r="N27" s="1751">
        <v>15420000000</v>
      </c>
      <c r="O27" s="1752">
        <v>17200000000</v>
      </c>
      <c r="P27" s="1441">
        <v>17500000000</v>
      </c>
      <c r="Q27" s="1441">
        <v>18800000000</v>
      </c>
      <c r="R27" s="1441">
        <v>21000000000</v>
      </c>
      <c r="S27" s="1441">
        <v>29000000000</v>
      </c>
      <c r="T27" s="1441">
        <v>23500000000</v>
      </c>
      <c r="U27" s="1788">
        <v>17500000000</v>
      </c>
      <c r="V27" s="1788">
        <v>22300000000</v>
      </c>
      <c r="W27" s="1788">
        <v>24100000000</v>
      </c>
      <c r="X27" s="1788">
        <v>26100000000</v>
      </c>
      <c r="Y27" s="1789">
        <v>27600000000</v>
      </c>
      <c r="Z27" s="1789">
        <v>29800000000</v>
      </c>
      <c r="AA27" s="1789">
        <v>34500000000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B28" s="1757" t="s">
        <v>4772</v>
      </c>
      <c r="C28" s="1443"/>
      <c r="D28" s="1433"/>
      <c r="F28" s="1751">
        <v>-138000000</v>
      </c>
      <c r="G28" s="1751">
        <v>-309000000</v>
      </c>
      <c r="H28" s="1751">
        <v>-847000000</v>
      </c>
      <c r="I28" s="1751">
        <v>1574000000</v>
      </c>
      <c r="J28" s="1751">
        <v>2859000000</v>
      </c>
      <c r="K28" s="1752">
        <v>2500000000</v>
      </c>
      <c r="L28" s="1751">
        <v>1890000000</v>
      </c>
      <c r="M28" s="1752">
        <v>220000000</v>
      </c>
      <c r="N28" s="1751">
        <v>6410000000</v>
      </c>
      <c r="O28" s="1752">
        <v>0</v>
      </c>
      <c r="P28" s="1758"/>
      <c r="Q28" s="1758"/>
      <c r="R28" s="1759"/>
      <c r="S28" s="1758"/>
      <c r="T28" s="1445"/>
      <c r="U28" s="1788"/>
      <c r="V28" s="1788"/>
      <c r="W28" s="1788"/>
      <c r="X28" s="1788"/>
      <c r="Y28" s="1789"/>
      <c r="Z28" s="1789"/>
      <c r="AA28" s="1789"/>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435" t="s">
        <v>237</v>
      </c>
      <c r="B29" s="1435" t="s">
        <v>904</v>
      </c>
      <c r="C29" s="1443" t="s">
        <v>75</v>
      </c>
      <c r="D29" s="1433"/>
      <c r="F29" s="1751">
        <v>12149000000</v>
      </c>
      <c r="G29" s="1751">
        <v>13362000000</v>
      </c>
      <c r="H29" s="1752">
        <v>12543000000</v>
      </c>
      <c r="I29" s="1752">
        <v>12971000000</v>
      </c>
      <c r="J29" s="1752">
        <v>21292000000</v>
      </c>
      <c r="K29" s="1752">
        <v>24310000000</v>
      </c>
      <c r="L29" s="1751">
        <v>27740000000</v>
      </c>
      <c r="M29" s="1751">
        <v>34410000000</v>
      </c>
      <c r="N29" s="1751">
        <v>43700000000</v>
      </c>
      <c r="O29" s="1752">
        <v>50600000000</v>
      </c>
      <c r="P29" s="1441">
        <v>50400000000</v>
      </c>
      <c r="Q29" s="1441">
        <v>61600000000</v>
      </c>
      <c r="R29" s="1441">
        <v>80300000000</v>
      </c>
      <c r="S29" s="1441">
        <v>78100000000</v>
      </c>
      <c r="T29" s="1441">
        <v>60600000000</v>
      </c>
      <c r="U29" s="1788">
        <v>58700000000</v>
      </c>
      <c r="V29" s="1788">
        <v>49400000000</v>
      </c>
      <c r="W29" s="1788">
        <v>68500000000</v>
      </c>
      <c r="X29" s="1788">
        <v>71800000000</v>
      </c>
      <c r="Y29" s="1789">
        <v>81000000000</v>
      </c>
      <c r="Z29" s="1789">
        <v>96000000000</v>
      </c>
      <c r="AA29" s="1789">
        <v>125500000000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753" t="s">
        <v>239</v>
      </c>
      <c r="B30" s="1753" t="s">
        <v>2767</v>
      </c>
      <c r="C30" s="1443" t="s">
        <v>95</v>
      </c>
      <c r="D30" s="1433"/>
      <c r="F30" s="1751">
        <v>3167000000</v>
      </c>
      <c r="G30" s="1751">
        <v>3662000000</v>
      </c>
      <c r="H30" s="1752">
        <v>4074000000</v>
      </c>
      <c r="I30" s="1752">
        <v>4335000000</v>
      </c>
      <c r="J30" s="1752">
        <v>6102000000</v>
      </c>
      <c r="K30" s="1752">
        <v>7940000000</v>
      </c>
      <c r="L30" s="1751">
        <v>10930000000</v>
      </c>
      <c r="M30" s="1751">
        <v>11720000000</v>
      </c>
      <c r="N30" s="1751">
        <v>20030000000</v>
      </c>
      <c r="O30" s="1752">
        <v>20300000000</v>
      </c>
      <c r="P30" s="1441">
        <v>24700000000</v>
      </c>
      <c r="Q30" s="1441">
        <v>33600000000</v>
      </c>
      <c r="R30" s="1441">
        <v>44000000000</v>
      </c>
      <c r="S30" s="1441">
        <v>35700000000</v>
      </c>
      <c r="T30" s="1441">
        <v>23800000000</v>
      </c>
      <c r="U30" s="1788">
        <v>23100000000</v>
      </c>
      <c r="V30" s="1788">
        <v>28200000000</v>
      </c>
      <c r="W30" s="1788">
        <v>30000000000</v>
      </c>
      <c r="X30" s="1788">
        <v>33200000000.000004</v>
      </c>
      <c r="Y30" s="1789">
        <v>36200000000</v>
      </c>
      <c r="Z30" s="1789">
        <v>39100000000</v>
      </c>
      <c r="AA30" s="1789">
        <v>48300000000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753" t="s">
        <v>395</v>
      </c>
      <c r="B31" s="1753" t="s">
        <v>2769</v>
      </c>
      <c r="C31" s="1443" t="s">
        <v>95</v>
      </c>
      <c r="D31" s="1433"/>
      <c r="F31" s="1774">
        <f t="shared" ref="F31:K31" si="5">F29-F30</f>
        <v>8982000000</v>
      </c>
      <c r="G31" s="1774">
        <f t="shared" si="5"/>
        <v>9700000000</v>
      </c>
      <c r="H31" s="1774">
        <f t="shared" si="5"/>
        <v>8469000000</v>
      </c>
      <c r="I31" s="1774">
        <f t="shared" si="5"/>
        <v>8636000000</v>
      </c>
      <c r="J31" s="1774">
        <f t="shared" si="5"/>
        <v>15190000000</v>
      </c>
      <c r="K31" s="1774">
        <f t="shared" si="5"/>
        <v>16370000000</v>
      </c>
      <c r="L31" s="1751">
        <v>16809999999.999998</v>
      </c>
      <c r="M31" s="1751">
        <v>22690000000</v>
      </c>
      <c r="N31" s="1751">
        <v>23670000000</v>
      </c>
      <c r="O31" s="1752">
        <v>30300000000</v>
      </c>
      <c r="P31" s="1441">
        <v>25600000000</v>
      </c>
      <c r="Q31" s="1441">
        <v>28000000000</v>
      </c>
      <c r="R31" s="1441">
        <v>36300000000</v>
      </c>
      <c r="S31" s="1441">
        <v>42400000000</v>
      </c>
      <c r="T31" s="1441">
        <v>36900000000</v>
      </c>
      <c r="U31" s="1788">
        <v>35600000000</v>
      </c>
      <c r="V31" s="1788">
        <v>21200000000</v>
      </c>
      <c r="W31" s="1788">
        <v>38400000000</v>
      </c>
      <c r="X31" s="1788">
        <v>38600000000</v>
      </c>
      <c r="Y31" s="1789">
        <v>44800000000</v>
      </c>
      <c r="Z31" s="1789">
        <v>56900000000</v>
      </c>
      <c r="AA31" s="1789">
        <v>77200000000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753" t="s">
        <v>612</v>
      </c>
      <c r="B32" s="1435" t="s">
        <v>588</v>
      </c>
      <c r="C32" s="1443" t="s">
        <v>75</v>
      </c>
      <c r="D32" s="1433"/>
      <c r="F32" s="1751">
        <v>3414000000</v>
      </c>
      <c r="G32" s="1751">
        <v>481000000</v>
      </c>
      <c r="H32" s="1751">
        <v>1058000000</v>
      </c>
      <c r="I32" s="1752">
        <v>671000000</v>
      </c>
      <c r="J32" s="1752">
        <v>1736000000</v>
      </c>
      <c r="K32" s="1752">
        <v>2300000000</v>
      </c>
      <c r="L32" s="1751">
        <v>1480000000</v>
      </c>
      <c r="M32" s="1751">
        <v>4420000000</v>
      </c>
      <c r="N32" s="1751">
        <v>1930000000</v>
      </c>
      <c r="O32" s="1752">
        <v>3700000000</v>
      </c>
      <c r="P32" s="1441">
        <v>4500000000</v>
      </c>
      <c r="Q32" s="1441">
        <v>10000000000</v>
      </c>
      <c r="R32" s="1441">
        <v>16100000000.000002</v>
      </c>
      <c r="S32" s="1441">
        <v>5700000000</v>
      </c>
      <c r="T32" s="1441">
        <v>13500000000</v>
      </c>
      <c r="U32" s="1788">
        <v>22000000000</v>
      </c>
      <c r="V32" s="1788">
        <v>28300000000</v>
      </c>
      <c r="W32" s="1788">
        <v>34900000000</v>
      </c>
      <c r="X32" s="1788">
        <v>35300000000</v>
      </c>
      <c r="Y32" s="1789">
        <v>39700000000</v>
      </c>
      <c r="Z32" s="1789">
        <v>43800000000</v>
      </c>
      <c r="AA32" s="1789">
        <v>33600000000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753"/>
      <c r="B33" s="1753" t="s">
        <v>4773</v>
      </c>
      <c r="D33" s="1433"/>
      <c r="F33" s="1751">
        <v>1970000000</v>
      </c>
      <c r="G33" s="1751">
        <v>-261000000</v>
      </c>
      <c r="H33" s="1751">
        <v>-79000000</v>
      </c>
      <c r="I33" s="1752">
        <v>-94000000</v>
      </c>
      <c r="J33" s="1752">
        <v>-24000000</v>
      </c>
      <c r="K33" s="1752">
        <v>-180000000</v>
      </c>
      <c r="L33" s="1751">
        <v>-130000000</v>
      </c>
      <c r="M33" s="1751">
        <v>-20000000</v>
      </c>
      <c r="N33" s="1751">
        <v>-400000000</v>
      </c>
      <c r="O33" s="1752">
        <v>400000000</v>
      </c>
      <c r="P33" s="1441">
        <v>-400000000</v>
      </c>
      <c r="Q33" s="1441">
        <v>-300000000</v>
      </c>
      <c r="R33" s="1441">
        <v>300000000</v>
      </c>
      <c r="S33" s="1441">
        <v>300000000</v>
      </c>
      <c r="T33" s="1441">
        <v>200000000</v>
      </c>
      <c r="U33" s="1788">
        <v>200000000</v>
      </c>
      <c r="V33" s="1788">
        <v>300000000</v>
      </c>
      <c r="W33" s="1788">
        <v>300000000</v>
      </c>
      <c r="X33" s="1788">
        <v>300000000</v>
      </c>
      <c r="Y33" s="1789">
        <v>300000000</v>
      </c>
      <c r="Z33" s="1789">
        <v>300000000</v>
      </c>
      <c r="AA33" s="1789">
        <v>400000000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753"/>
      <c r="B34" s="1753" t="s">
        <v>4774</v>
      </c>
      <c r="D34" s="1433"/>
      <c r="F34" s="1774">
        <f>F32-F33</f>
        <v>1444000000</v>
      </c>
      <c r="G34" s="1774">
        <f>G32-G33</f>
        <v>742000000</v>
      </c>
      <c r="H34" s="1774">
        <f>H32-H33</f>
        <v>1137000000</v>
      </c>
      <c r="I34" s="1774">
        <f>I32-I33</f>
        <v>765000000</v>
      </c>
      <c r="J34" s="1752">
        <v>1760000000</v>
      </c>
      <c r="K34" s="1752">
        <v>2480000000</v>
      </c>
      <c r="L34" s="1751">
        <v>1610000000</v>
      </c>
      <c r="M34" s="1751">
        <v>4440000000</v>
      </c>
      <c r="N34" s="1751">
        <v>2330000000</v>
      </c>
      <c r="O34" s="1752">
        <v>3300000000</v>
      </c>
      <c r="P34" s="1441">
        <v>4900000000</v>
      </c>
      <c r="Q34" s="1441">
        <v>10300000000</v>
      </c>
      <c r="R34" s="1441">
        <v>15900000000</v>
      </c>
      <c r="S34" s="1441">
        <v>5400000000</v>
      </c>
      <c r="T34" s="1441">
        <v>13300000000</v>
      </c>
      <c r="U34" s="1788">
        <v>21800000000</v>
      </c>
      <c r="V34" s="1788">
        <v>28000000000</v>
      </c>
      <c r="W34" s="1788">
        <v>34600000000</v>
      </c>
      <c r="X34" s="1788">
        <v>35000000000</v>
      </c>
      <c r="Y34" s="1789">
        <v>39300000000</v>
      </c>
      <c r="Z34" s="1789">
        <v>43500000000</v>
      </c>
      <c r="AA34" s="1789">
        <v>33200000000.000004</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753"/>
      <c r="B35" s="1435" t="s">
        <v>4775</v>
      </c>
      <c r="C35" s="1443"/>
      <c r="D35" s="1433"/>
      <c r="F35" s="1752">
        <v>209000000</v>
      </c>
      <c r="G35" s="1752">
        <v>-457000000</v>
      </c>
      <c r="H35" s="1752">
        <v>-310000000</v>
      </c>
      <c r="I35" s="1752">
        <v>-141000000</v>
      </c>
      <c r="J35" s="1752">
        <v>-507000000</v>
      </c>
      <c r="K35" s="1752">
        <v>-1780000000</v>
      </c>
      <c r="L35" s="1752">
        <v>380000000</v>
      </c>
      <c r="M35" s="1751">
        <v>0</v>
      </c>
      <c r="N35" s="1751">
        <v>360000000</v>
      </c>
      <c r="O35" s="1752">
        <v>-800000000</v>
      </c>
      <c r="P35" s="1441">
        <v>-400000000</v>
      </c>
      <c r="Q35" s="1441">
        <v>-500000000</v>
      </c>
      <c r="R35" s="1441">
        <v>-1900000000</v>
      </c>
      <c r="S35" s="1441">
        <v>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784" t="s">
        <v>4776</v>
      </c>
      <c r="B36" s="1785" t="s">
        <v>4777</v>
      </c>
      <c r="C36" s="1792" t="s">
        <v>201</v>
      </c>
      <c r="D36" s="1433"/>
      <c r="F36" s="1752"/>
      <c r="G36" s="1752"/>
      <c r="H36" s="1752"/>
      <c r="I36" s="1752"/>
      <c r="J36" s="1752"/>
      <c r="K36" s="1752"/>
      <c r="L36" s="1752"/>
      <c r="M36" s="1751"/>
      <c r="N36" s="1751"/>
      <c r="O36" s="1752"/>
      <c r="P36" s="1441"/>
      <c r="Q36" s="1441"/>
      <c r="R36" s="1441"/>
      <c r="S36" s="1441"/>
      <c r="T36" s="1441">
        <v>2700000000</v>
      </c>
      <c r="U36" s="1788">
        <v>12300000000</v>
      </c>
      <c r="V36" s="1788">
        <v>0</v>
      </c>
      <c r="W36" s="1788">
        <v>0</v>
      </c>
      <c r="X36" s="1788">
        <v>0</v>
      </c>
      <c r="Y36" s="1789">
        <v>0</v>
      </c>
      <c r="Z36" s="1789">
        <v>0</v>
      </c>
      <c r="AA36" s="1789">
        <v>1000000000</v>
      </c>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753"/>
      <c r="B37" s="1435" t="s">
        <v>4778</v>
      </c>
      <c r="C37" s="1443"/>
      <c r="D37" s="1433"/>
      <c r="F37" s="1752">
        <v>-5275000000</v>
      </c>
      <c r="G37" s="1752">
        <v>-3710000000</v>
      </c>
      <c r="H37" s="1752">
        <v>-4842000000</v>
      </c>
      <c r="I37" s="1752">
        <v>-2667000000</v>
      </c>
      <c r="J37" s="1752">
        <v>-3218000000</v>
      </c>
      <c r="K37" s="1752">
        <v>-5270000000</v>
      </c>
      <c r="L37" s="1752">
        <v>-7690000000</v>
      </c>
      <c r="M37" s="1751">
        <v>-11470000000</v>
      </c>
      <c r="N37" s="1751">
        <v>-12860000000</v>
      </c>
      <c r="O37" s="1752">
        <v>-10700000000</v>
      </c>
      <c r="P37" s="1441">
        <v>-4099999999.9999995</v>
      </c>
      <c r="Q37" s="1441">
        <v>4200000000</v>
      </c>
      <c r="R37" s="1441">
        <v>-21800000000</v>
      </c>
      <c r="S37" s="1441">
        <v>-3900000000</v>
      </c>
      <c r="T37" s="1441"/>
      <c r="U37" s="1788"/>
      <c r="V37" s="1788"/>
      <c r="W37" s="1788"/>
      <c r="X37" s="1788"/>
      <c r="Y37" s="1789"/>
      <c r="Z37" s="1789"/>
      <c r="AA37" s="1789"/>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753"/>
      <c r="B38" s="1435" t="s">
        <v>4779</v>
      </c>
      <c r="C38" s="1443"/>
      <c r="D38" s="1433"/>
      <c r="F38" s="1751">
        <v>-16766000000</v>
      </c>
      <c r="G38" s="1751">
        <v>-15927000000</v>
      </c>
      <c r="H38" s="1752">
        <v>-16079000000</v>
      </c>
      <c r="I38" s="1752">
        <v>-13457000000</v>
      </c>
      <c r="J38" s="1751">
        <v>-22056000000</v>
      </c>
      <c r="K38" s="1752">
        <v>-27160000000</v>
      </c>
      <c r="L38" s="1751">
        <v>-28210000000</v>
      </c>
      <c r="M38" s="1751">
        <v>-39970000000</v>
      </c>
      <c r="N38" s="1751">
        <v>-41530000000</v>
      </c>
      <c r="O38" s="1752">
        <v>-47800000000</v>
      </c>
      <c r="P38" s="1441">
        <v>-38700000000</v>
      </c>
      <c r="Q38" s="1441">
        <v>-38100000000</v>
      </c>
      <c r="R38" s="1441">
        <v>-79400000000</v>
      </c>
      <c r="S38" s="1441">
        <v>-60100000000</v>
      </c>
      <c r="T38" s="1441">
        <v>-66700000000</v>
      </c>
      <c r="U38" s="1788">
        <v>-56500000000</v>
      </c>
      <c r="V38" s="1788">
        <v>-77200000000</v>
      </c>
      <c r="W38" s="1788">
        <v>-113900000000</v>
      </c>
      <c r="X38" s="1788">
        <v>-108700000000</v>
      </c>
      <c r="Y38" s="1789">
        <v>-113600000000</v>
      </c>
      <c r="Z38" s="1789">
        <v>-133900000000</v>
      </c>
      <c r="AA38" s="1789">
        <v>-144400000000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s="848" customFormat="1">
      <c r="A39" s="1782" t="s">
        <v>53</v>
      </c>
      <c r="B39" s="1458" t="s">
        <v>4780</v>
      </c>
      <c r="C39" s="1750" t="s">
        <v>38</v>
      </c>
      <c r="D39" s="1458"/>
      <c r="E39" s="1458"/>
      <c r="F39" s="1778">
        <v>10020000000</v>
      </c>
      <c r="G39" s="1778">
        <v>10841000000</v>
      </c>
      <c r="H39" s="1779">
        <v>10053000000</v>
      </c>
      <c r="I39" s="1778">
        <v>9975000000</v>
      </c>
      <c r="J39" s="1778">
        <v>19124000000</v>
      </c>
      <c r="K39" s="1779">
        <v>19270000000</v>
      </c>
      <c r="L39" s="1778">
        <v>22640000000</v>
      </c>
      <c r="M39" s="1778">
        <v>25300000000</v>
      </c>
      <c r="N39" s="1778">
        <v>28340000000</v>
      </c>
      <c r="O39" s="1779">
        <v>28600000000</v>
      </c>
      <c r="P39" s="1460">
        <v>21900000000</v>
      </c>
      <c r="Q39" s="1460">
        <v>24900000000</v>
      </c>
      <c r="R39" s="1460">
        <v>22700000000</v>
      </c>
      <c r="S39" s="1460">
        <v>24200000000</v>
      </c>
      <c r="T39" s="1460">
        <v>14500000000</v>
      </c>
      <c r="U39" s="1790">
        <v>12600000000</v>
      </c>
      <c r="V39" s="1790">
        <v>11400000000</v>
      </c>
      <c r="W39" s="1790">
        <v>11000000000</v>
      </c>
      <c r="X39" s="1790">
        <v>7300000000</v>
      </c>
      <c r="Y39" s="1787">
        <v>7000000000</v>
      </c>
      <c r="Z39" s="1787">
        <v>6800000000</v>
      </c>
      <c r="AA39" s="1787">
        <v>6500000000</v>
      </c>
      <c r="AB39" s="916"/>
      <c r="AC39" s="916"/>
      <c r="AD39" s="916"/>
      <c r="AE39" s="916"/>
      <c r="AF39" s="916"/>
      <c r="AG39" s="916"/>
      <c r="AH39" s="916"/>
      <c r="AI39" s="916"/>
      <c r="AJ39" s="916"/>
      <c r="AK39" s="916"/>
      <c r="AL39" s="916"/>
      <c r="AM39" s="916"/>
      <c r="AN39" s="916"/>
      <c r="AO39" s="916"/>
      <c r="AP39" s="916"/>
      <c r="AQ39" s="916"/>
      <c r="AR39" s="916"/>
      <c r="AS39" s="916"/>
      <c r="AT39" s="916"/>
      <c r="AU39" s="916"/>
      <c r="AV39" s="916"/>
      <c r="AW39" s="916"/>
    </row>
    <row r="40" spans="1:49">
      <c r="A40" s="1434" t="s">
        <v>564</v>
      </c>
      <c r="B40" s="1753" t="s">
        <v>4781</v>
      </c>
      <c r="C40" s="1760" t="s">
        <v>57</v>
      </c>
      <c r="D40" s="1433"/>
      <c r="F40" s="1751">
        <v>6728000000</v>
      </c>
      <c r="G40" s="1751">
        <v>6671000000</v>
      </c>
      <c r="H40" s="1752">
        <v>6185000000</v>
      </c>
      <c r="I40" s="1751">
        <v>4938000000</v>
      </c>
      <c r="J40" s="1751">
        <v>9569000000</v>
      </c>
      <c r="K40" s="1752">
        <v>11190000000</v>
      </c>
      <c r="L40" s="1751">
        <v>13800000000</v>
      </c>
      <c r="M40" s="1751">
        <v>16180000000</v>
      </c>
      <c r="N40" s="1751">
        <v>17110000000</v>
      </c>
      <c r="O40" s="1752">
        <v>16399999999.999998</v>
      </c>
      <c r="P40" s="1441">
        <v>13300000000</v>
      </c>
      <c r="Q40" s="1441">
        <v>18500000000</v>
      </c>
      <c r="R40" s="1441">
        <v>14700000000</v>
      </c>
      <c r="S40" s="1441">
        <v>16300000000</v>
      </c>
      <c r="T40" s="1441">
        <v>13800000000</v>
      </c>
      <c r="U40" s="1788">
        <v>12600000000</v>
      </c>
      <c r="V40" s="1788">
        <v>11400000000</v>
      </c>
      <c r="W40" s="1788">
        <v>11000000000</v>
      </c>
      <c r="X40" s="1788">
        <v>7300000000</v>
      </c>
      <c r="Y40" s="1789">
        <v>7000000000</v>
      </c>
      <c r="Z40" s="1789">
        <v>6800000000</v>
      </c>
      <c r="AA40" s="1789">
        <v>6500000000</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753" t="s">
        <v>262</v>
      </c>
      <c r="B41" s="1753" t="s">
        <v>3597</v>
      </c>
      <c r="C41" s="1760" t="s">
        <v>57</v>
      </c>
      <c r="D41" s="1433"/>
      <c r="F41" s="1751">
        <v>0</v>
      </c>
      <c r="G41" s="1752">
        <v>0</v>
      </c>
      <c r="H41" s="1752">
        <v>0</v>
      </c>
      <c r="I41" s="1752">
        <v>0</v>
      </c>
      <c r="J41" s="1752">
        <v>0</v>
      </c>
      <c r="K41" s="1752">
        <v>0</v>
      </c>
      <c r="L41" s="1751">
        <v>8840000000</v>
      </c>
      <c r="M41" s="1751">
        <v>9120000000</v>
      </c>
      <c r="N41" s="1751">
        <v>11240000000</v>
      </c>
      <c r="O41" s="1752">
        <v>12300000000</v>
      </c>
      <c r="P41" s="1441">
        <v>8700000000</v>
      </c>
      <c r="Q41" s="1441">
        <v>6400000000</v>
      </c>
      <c r="R41" s="1441">
        <v>8000000000</v>
      </c>
      <c r="S41" s="1441">
        <v>7900000000</v>
      </c>
      <c r="T41" s="1441">
        <v>600000000</v>
      </c>
      <c r="U41" s="1788">
        <v>0</v>
      </c>
      <c r="V41" s="1788">
        <v>0</v>
      </c>
      <c r="W41" s="1788">
        <v>0</v>
      </c>
      <c r="X41" s="1788">
        <v>0</v>
      </c>
      <c r="Y41" s="1789">
        <v>0</v>
      </c>
      <c r="Z41" s="1789">
        <v>0</v>
      </c>
      <c r="AA41" s="1789">
        <v>0</v>
      </c>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753" t="s">
        <v>4782</v>
      </c>
      <c r="B42" s="1753" t="s">
        <v>4782</v>
      </c>
      <c r="C42" s="1760" t="s">
        <v>57</v>
      </c>
      <c r="D42" s="1433"/>
      <c r="F42" s="1751">
        <v>3292000000</v>
      </c>
      <c r="G42" s="1752">
        <v>4170000000</v>
      </c>
      <c r="H42" s="1752">
        <v>3868000000</v>
      </c>
      <c r="I42" s="1752">
        <v>5037000000</v>
      </c>
      <c r="J42" s="1752">
        <v>5940000000</v>
      </c>
      <c r="K42" s="1752">
        <v>8080000000</v>
      </c>
      <c r="L42" s="1751"/>
      <c r="M42" s="1751">
        <v>0</v>
      </c>
      <c r="N42" s="1751">
        <v>0</v>
      </c>
      <c r="O42" s="1752">
        <v>0</v>
      </c>
      <c r="P42" s="1758"/>
      <c r="Q42" s="1758"/>
      <c r="R42" s="1755"/>
      <c r="S42" s="1758"/>
      <c r="T42" s="1445"/>
      <c r="U42" s="1788"/>
      <c r="V42" s="1788"/>
      <c r="W42" s="1788"/>
      <c r="X42" s="1788"/>
      <c r="Y42" s="1789"/>
      <c r="Z42" s="1789"/>
      <c r="AA42" s="1789"/>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753" t="s">
        <v>4783</v>
      </c>
      <c r="B43" s="1753" t="s">
        <v>4784</v>
      </c>
      <c r="C43" s="1760" t="s">
        <v>57</v>
      </c>
      <c r="D43" s="1433"/>
      <c r="F43" s="1751"/>
      <c r="G43" s="1752"/>
      <c r="H43" s="1752"/>
      <c r="I43" s="1752"/>
      <c r="J43" s="1752">
        <v>3615000000</v>
      </c>
      <c r="K43" s="1752"/>
      <c r="L43" s="1751"/>
      <c r="M43" s="1751"/>
      <c r="N43" s="1751"/>
      <c r="O43" s="1752"/>
      <c r="P43" s="1758"/>
      <c r="Q43" s="1758"/>
      <c r="R43" s="1761"/>
      <c r="S43" s="1758"/>
      <c r="T43" s="1445"/>
      <c r="U43" s="1788"/>
      <c r="V43" s="1788"/>
      <c r="W43" s="1788"/>
      <c r="X43" s="1788"/>
      <c r="Y43" s="1789"/>
      <c r="Z43" s="1789"/>
      <c r="AA43" s="1789"/>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753"/>
      <c r="B44" s="1753" t="s">
        <v>4785</v>
      </c>
      <c r="C44" s="1760"/>
      <c r="D44" s="1433"/>
      <c r="F44" s="1751"/>
      <c r="G44" s="1752"/>
      <c r="H44" s="1752"/>
      <c r="I44" s="1752"/>
      <c r="J44" s="1752"/>
      <c r="K44" s="1752"/>
      <c r="L44" s="1751"/>
      <c r="M44" s="1751"/>
      <c r="N44" s="1751"/>
      <c r="O44" s="1752"/>
      <c r="P44" s="1758"/>
      <c r="Q44" s="1758"/>
      <c r="R44" s="1761"/>
      <c r="S44" s="1758"/>
      <c r="T44" s="1445">
        <v>-32000000000</v>
      </c>
      <c r="U44" s="1788">
        <v>-14100000000</v>
      </c>
      <c r="V44" s="1788">
        <v>-28100000000</v>
      </c>
      <c r="W44" s="1788">
        <v>-48600000000</v>
      </c>
      <c r="X44" s="1788">
        <v>-56700000000</v>
      </c>
      <c r="Y44" s="1789">
        <v>-71100000000</v>
      </c>
      <c r="Z44" s="1789">
        <v>-90900000000</v>
      </c>
      <c r="AA44" s="1789">
        <v>-104900000000</v>
      </c>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753"/>
      <c r="B45" s="1784" t="s">
        <v>4786</v>
      </c>
      <c r="C45" s="1760"/>
      <c r="D45" s="1433"/>
      <c r="F45" s="1751"/>
      <c r="G45" s="1752"/>
      <c r="H45" s="1752"/>
      <c r="I45" s="1752"/>
      <c r="J45" s="1752"/>
      <c r="K45" s="1752"/>
      <c r="L45" s="1751"/>
      <c r="M45" s="1751"/>
      <c r="N45" s="1751"/>
      <c r="O45" s="1752"/>
      <c r="P45" s="1758"/>
      <c r="Q45" s="1758"/>
      <c r="R45" s="1761"/>
      <c r="S45" s="1758"/>
      <c r="T45" s="1445">
        <v>-32000000000</v>
      </c>
      <c r="U45" s="1788">
        <v>-36300000000</v>
      </c>
      <c r="V45" s="1788">
        <v>-28100000000</v>
      </c>
      <c r="W45" s="1788">
        <v>-48600000000</v>
      </c>
      <c r="X45" s="1788">
        <v>-56700000000</v>
      </c>
      <c r="Y45" s="1789">
        <v>-71100000000</v>
      </c>
      <c r="Z45" s="1789">
        <v>-90900000000</v>
      </c>
      <c r="AA45" s="1789">
        <v>-104900000000</v>
      </c>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1753"/>
      <c r="B46" s="1785" t="s">
        <v>4787</v>
      </c>
      <c r="C46" s="1760"/>
      <c r="D46" s="1433"/>
      <c r="F46" s="1752">
        <v>-6745000000</v>
      </c>
      <c r="G46" s="1752">
        <v>-5086000000</v>
      </c>
      <c r="H46" s="1752">
        <v>-6026000000</v>
      </c>
      <c r="I46" s="1752">
        <v>-3482000000</v>
      </c>
      <c r="J46" s="1752">
        <v>-2932000000</v>
      </c>
      <c r="K46" s="1752">
        <v>-7900000000</v>
      </c>
      <c r="L46" s="1751">
        <v>-5570000000</v>
      </c>
      <c r="M46" s="1751">
        <v>-14670000000</v>
      </c>
      <c r="N46" s="1751">
        <v>-13190000000</v>
      </c>
      <c r="O46" s="1752">
        <v>-19200000000</v>
      </c>
      <c r="P46" s="1441">
        <v>-16800000000</v>
      </c>
      <c r="Q46" s="1441">
        <v>-13100000000</v>
      </c>
      <c r="R46" s="1441">
        <v>-56700000000</v>
      </c>
      <c r="S46" s="1441">
        <v>-35900000000</v>
      </c>
      <c r="T46" s="1441">
        <v>-52200000000</v>
      </c>
      <c r="U46" s="1788">
        <v>-43900000000</v>
      </c>
      <c r="V46" s="1788">
        <v>-65800000000</v>
      </c>
      <c r="W46" s="1788">
        <v>-102900000000</v>
      </c>
      <c r="X46" s="1788">
        <v>-101400000000</v>
      </c>
      <c r="Y46" s="1789">
        <v>-106600000000</v>
      </c>
      <c r="Z46" s="1789">
        <v>-127100000000</v>
      </c>
      <c r="AA46" s="1789">
        <v>-137900000000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s="848" customFormat="1">
      <c r="A47" s="1457" t="s">
        <v>115</v>
      </c>
      <c r="B47" s="1457" t="s">
        <v>115</v>
      </c>
      <c r="C47" s="1750" t="s">
        <v>35</v>
      </c>
      <c r="D47" s="1458"/>
      <c r="E47" s="1458"/>
      <c r="F47" s="1779">
        <v>6207000000</v>
      </c>
      <c r="G47" s="1779">
        <v>4849000000</v>
      </c>
      <c r="H47" s="1779">
        <v>3060000000</v>
      </c>
      <c r="I47" s="1779">
        <v>2700000000</v>
      </c>
      <c r="J47" s="1779">
        <v>2932000000</v>
      </c>
      <c r="K47" s="1779">
        <v>7850000000</v>
      </c>
      <c r="L47" s="1779">
        <v>5570000000</v>
      </c>
      <c r="M47" s="1779">
        <v>14020000000</v>
      </c>
      <c r="N47" s="1779">
        <v>13210000000</v>
      </c>
      <c r="O47" s="1779">
        <f>O48+O59</f>
        <v>19200000000</v>
      </c>
      <c r="P47" s="1783">
        <f>P48+P59</f>
        <v>16700000000</v>
      </c>
      <c r="Q47" s="1783">
        <f>Q48+Q59</f>
        <v>13200000000</v>
      </c>
      <c r="R47" s="1783">
        <f>R48+R59</f>
        <v>54600000000</v>
      </c>
      <c r="S47" s="1783">
        <f>S48+S59</f>
        <v>35900000000</v>
      </c>
      <c r="T47" s="1783">
        <f t="shared" ref="T47:AA47" si="6">T48+T59+T56+T57</f>
        <v>43000000000</v>
      </c>
      <c r="U47" s="1790">
        <f t="shared" si="6"/>
        <v>43900000000</v>
      </c>
      <c r="V47" s="1790">
        <f t="shared" si="6"/>
        <v>65800000000</v>
      </c>
      <c r="W47" s="1790">
        <f t="shared" si="6"/>
        <v>103000000000</v>
      </c>
      <c r="X47" s="1790">
        <f t="shared" si="6"/>
        <v>101500000000</v>
      </c>
      <c r="Y47" s="1787">
        <f t="shared" si="6"/>
        <v>106700000000</v>
      </c>
      <c r="Z47" s="1787">
        <f t="shared" si="6"/>
        <v>127100000000</v>
      </c>
      <c r="AA47" s="1787">
        <f t="shared" si="6"/>
        <v>137900000000</v>
      </c>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row>
    <row r="48" spans="1:49">
      <c r="A48" s="1435" t="s">
        <v>117</v>
      </c>
      <c r="B48" s="1435" t="s">
        <v>1567</v>
      </c>
      <c r="C48" s="1443" t="s">
        <v>119</v>
      </c>
      <c r="D48" s="1433"/>
      <c r="F48" s="1751">
        <v>5401000000</v>
      </c>
      <c r="G48" s="1751">
        <v>4757000000</v>
      </c>
      <c r="H48" s="1751">
        <v>3788000000</v>
      </c>
      <c r="I48" s="1751">
        <v>5035000000</v>
      </c>
      <c r="J48" s="1751">
        <v>8767000000</v>
      </c>
      <c r="K48" s="1751">
        <v>7470000000</v>
      </c>
      <c r="L48" s="1751">
        <v>9650000000</v>
      </c>
      <c r="M48" s="1751">
        <v>13500000000</v>
      </c>
      <c r="N48" s="1751">
        <v>13250000000</v>
      </c>
      <c r="O48" s="1752">
        <v>13500000000</v>
      </c>
      <c r="P48" s="1441">
        <v>13800000000</v>
      </c>
      <c r="Q48" s="1441">
        <v>27100000000</v>
      </c>
      <c r="R48" s="1441">
        <v>47000000000</v>
      </c>
      <c r="S48" s="1441">
        <v>32299999999.999996</v>
      </c>
      <c r="T48" s="1441">
        <v>15300000000</v>
      </c>
      <c r="U48" s="1788">
        <v>7500000000</v>
      </c>
      <c r="V48" s="1788">
        <v>8600000000</v>
      </c>
      <c r="W48" s="1788">
        <v>28600000000</v>
      </c>
      <c r="X48" s="1788">
        <v>37200000000</v>
      </c>
      <c r="Y48" s="1789">
        <v>42600000000</v>
      </c>
      <c r="Z48" s="1789">
        <v>60500000000</v>
      </c>
      <c r="AA48" s="1789">
        <v>10600000000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1753" t="s">
        <v>498</v>
      </c>
      <c r="B49" s="1753" t="s">
        <v>415</v>
      </c>
      <c r="C49" s="1443" t="s">
        <v>264</v>
      </c>
      <c r="D49" s="1433"/>
      <c r="F49" s="1751">
        <v>5886000000</v>
      </c>
      <c r="G49" s="1751">
        <v>5348000000</v>
      </c>
      <c r="H49" s="1751">
        <v>6937000000</v>
      </c>
      <c r="I49" s="1751">
        <v>5219000000</v>
      </c>
      <c r="J49" s="1751">
        <v>9401000000</v>
      </c>
      <c r="K49" s="1751">
        <v>8289999999.999999</v>
      </c>
      <c r="L49" s="1751">
        <v>9560000000</v>
      </c>
      <c r="M49" s="1751">
        <v>14200000000</v>
      </c>
      <c r="N49" s="1751">
        <v>14280000000</v>
      </c>
      <c r="O49" s="1752">
        <v>14600000000</v>
      </c>
      <c r="P49" s="1441">
        <v>15400000000</v>
      </c>
      <c r="Q49" s="1441">
        <v>29600000000</v>
      </c>
      <c r="R49" s="1441">
        <v>50200000000</v>
      </c>
      <c r="S49" s="1441">
        <v>37200000000</v>
      </c>
      <c r="T49" s="1441">
        <v>36900000000</v>
      </c>
      <c r="U49" s="1788">
        <v>38000000000</v>
      </c>
      <c r="V49" s="1788">
        <v>37800000000</v>
      </c>
      <c r="W49" s="1788">
        <v>62000000000</v>
      </c>
      <c r="X49" s="1788">
        <v>66300000000</v>
      </c>
      <c r="Y49" s="1789">
        <v>77100000000</v>
      </c>
      <c r="Z49" s="1789">
        <v>93600000000</v>
      </c>
      <c r="AA49" s="1789">
        <v>103900000000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1756" t="s">
        <v>1253</v>
      </c>
      <c r="B50" s="1753" t="s">
        <v>1219</v>
      </c>
      <c r="C50" s="1435" t="s">
        <v>1255</v>
      </c>
      <c r="D50" s="1433"/>
      <c r="F50" s="1751">
        <v>2512000000</v>
      </c>
      <c r="G50" s="1751">
        <v>2780000000</v>
      </c>
      <c r="H50" s="1751">
        <v>3564000000</v>
      </c>
      <c r="I50" s="1751">
        <v>3148000000</v>
      </c>
      <c r="J50" s="1751">
        <v>5172000000</v>
      </c>
      <c r="K50" s="1751">
        <v>3980000000</v>
      </c>
      <c r="L50" s="1751">
        <v>3310000000</v>
      </c>
      <c r="M50" s="1751">
        <v>6510000000</v>
      </c>
      <c r="N50" s="1751">
        <v>8189999999.999999</v>
      </c>
      <c r="O50" s="1752">
        <v>10500000000</v>
      </c>
      <c r="P50" s="1441">
        <v>6700000000</v>
      </c>
      <c r="Q50" s="1441">
        <v>12200000000</v>
      </c>
      <c r="R50" s="1441">
        <v>16100000000.000002</v>
      </c>
      <c r="S50" s="1441">
        <v>26200000000</v>
      </c>
      <c r="T50" s="1441">
        <v>23000000000</v>
      </c>
      <c r="U50" s="1788">
        <v>23000000000</v>
      </c>
      <c r="V50" s="1788">
        <v>9800000000</v>
      </c>
      <c r="W50" s="1788">
        <v>27500000000</v>
      </c>
      <c r="X50" s="1788">
        <v>31300000000</v>
      </c>
      <c r="Y50" s="1789">
        <v>37800000000</v>
      </c>
      <c r="Z50" s="1789">
        <v>50100000000</v>
      </c>
      <c r="AA50" s="1789">
        <v>70700000000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1753" t="s">
        <v>4788</v>
      </c>
      <c r="B51" s="1753" t="s">
        <v>4789</v>
      </c>
      <c r="C51" s="1435" t="s">
        <v>1255</v>
      </c>
      <c r="D51" s="1433"/>
      <c r="F51" s="1751">
        <v>3374000000</v>
      </c>
      <c r="G51" s="1751">
        <v>2569000000</v>
      </c>
      <c r="H51" s="1751">
        <v>3373000000</v>
      </c>
      <c r="I51" s="1751">
        <v>2071000000</v>
      </c>
      <c r="J51" s="1751">
        <v>4229000000</v>
      </c>
      <c r="K51" s="1751">
        <v>4310000000</v>
      </c>
      <c r="L51" s="1751">
        <v>6250000000</v>
      </c>
      <c r="M51" s="1751">
        <v>7690000000</v>
      </c>
      <c r="N51" s="1751">
        <v>6090000000</v>
      </c>
      <c r="O51" s="1752">
        <v>4099999999.9999995</v>
      </c>
      <c r="P51" s="1441">
        <v>8700000000</v>
      </c>
      <c r="Q51" s="1441">
        <v>17500000000</v>
      </c>
      <c r="R51" s="1441">
        <v>18500000000</v>
      </c>
      <c r="S51" s="1441">
        <v>11100000000</v>
      </c>
      <c r="T51" s="1441">
        <v>13900000000</v>
      </c>
      <c r="U51" s="1788">
        <v>15000000000</v>
      </c>
      <c r="V51" s="1788">
        <v>28000000000</v>
      </c>
      <c r="W51" s="1788">
        <v>34600000000</v>
      </c>
      <c r="X51" s="1788">
        <v>35000000000</v>
      </c>
      <c r="Y51" s="1789">
        <v>39300000000</v>
      </c>
      <c r="Z51" s="1789">
        <v>43500000000</v>
      </c>
      <c r="AA51" s="1789">
        <v>33200000000.000004</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1753" t="s">
        <v>4790</v>
      </c>
      <c r="B52" s="1753" t="s">
        <v>4790</v>
      </c>
      <c r="C52" s="1435" t="s">
        <v>1255</v>
      </c>
      <c r="D52" s="1433"/>
      <c r="F52" s="1751"/>
      <c r="G52" s="1751"/>
      <c r="H52" s="1751"/>
      <c r="I52" s="1751"/>
      <c r="J52" s="1751"/>
      <c r="K52" s="1751"/>
      <c r="L52" s="1751"/>
      <c r="M52" s="1751"/>
      <c r="N52" s="1751"/>
      <c r="O52" s="1752"/>
      <c r="P52" s="1441">
        <v>0</v>
      </c>
      <c r="Q52" s="1441">
        <v>0</v>
      </c>
      <c r="R52" s="1441">
        <v>15600000000</v>
      </c>
      <c r="S52" s="1441">
        <v>0</v>
      </c>
      <c r="T52" s="1441"/>
      <c r="U52" s="1788"/>
      <c r="V52" s="1788"/>
      <c r="W52" s="1788"/>
      <c r="X52" s="1788"/>
      <c r="Y52" s="1789"/>
      <c r="Z52" s="1789"/>
      <c r="AA52" s="1789"/>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B53" s="1754" t="s">
        <v>4791</v>
      </c>
      <c r="D53" s="1433"/>
      <c r="F53" s="1751">
        <v>0</v>
      </c>
      <c r="G53" s="1751">
        <v>0</v>
      </c>
      <c r="H53" s="1751">
        <v>0</v>
      </c>
      <c r="I53" s="1751">
        <v>0</v>
      </c>
      <c r="J53" s="1751">
        <v>1205000000</v>
      </c>
      <c r="K53" s="1751">
        <v>1720000000</v>
      </c>
      <c r="L53" s="1751">
        <v>1920000000</v>
      </c>
      <c r="M53" s="1751">
        <v>3890000000</v>
      </c>
      <c r="N53" s="1751">
        <v>2330000000</v>
      </c>
      <c r="O53" s="1752">
        <v>0</v>
      </c>
      <c r="P53" s="1444">
        <v>0</v>
      </c>
      <c r="Q53" s="1444">
        <v>0</v>
      </c>
      <c r="R53" s="1444">
        <v>0</v>
      </c>
      <c r="S53" s="1444">
        <v>0</v>
      </c>
      <c r="T53" s="1444"/>
      <c r="U53" s="1788"/>
      <c r="V53" s="1788"/>
      <c r="W53" s="1788"/>
      <c r="X53" s="1788"/>
      <c r="Y53" s="1789"/>
      <c r="Z53" s="1789"/>
      <c r="AA53" s="1789"/>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1756" t="s">
        <v>258</v>
      </c>
      <c r="B54" s="1753" t="s">
        <v>4792</v>
      </c>
      <c r="C54" s="1435" t="s">
        <v>4793</v>
      </c>
      <c r="D54" s="1433"/>
      <c r="F54" s="1751">
        <v>-485000000</v>
      </c>
      <c r="G54" s="1751">
        <v>-591000000</v>
      </c>
      <c r="H54" s="1751">
        <v>-668000000</v>
      </c>
      <c r="I54" s="1752">
        <v>-734000000</v>
      </c>
      <c r="J54" s="1752">
        <v>-1084000000</v>
      </c>
      <c r="K54" s="1752">
        <v>-820000000</v>
      </c>
      <c r="L54" s="1752">
        <v>-750000000</v>
      </c>
      <c r="M54" s="1751">
        <v>-700000000</v>
      </c>
      <c r="N54" s="1751">
        <v>-1030000000</v>
      </c>
      <c r="O54" s="1752">
        <v>-1100000000</v>
      </c>
      <c r="P54" s="1441">
        <v>-1600000000</v>
      </c>
      <c r="Q54" s="1441">
        <v>-2500000000</v>
      </c>
      <c r="R54" s="1441">
        <v>-3200000000</v>
      </c>
      <c r="S54" s="1441">
        <v>-4900000000</v>
      </c>
      <c r="T54" s="1441">
        <v>-21600000000</v>
      </c>
      <c r="U54" s="1788">
        <v>-30600000000</v>
      </c>
      <c r="V54" s="1788">
        <v>-29200000000</v>
      </c>
      <c r="W54" s="1788">
        <v>-33400000000</v>
      </c>
      <c r="X54" s="1788">
        <v>-29200000000</v>
      </c>
      <c r="Y54" s="1789">
        <v>-34500000000</v>
      </c>
      <c r="Z54" s="1789">
        <v>-33100000000</v>
      </c>
      <c r="AA54" s="1789">
        <v>-93200000000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1784" t="s">
        <v>4794</v>
      </c>
      <c r="B55" s="1784" t="s">
        <v>4794</v>
      </c>
      <c r="C55" s="1785" t="s">
        <v>119</v>
      </c>
      <c r="D55" s="1433"/>
      <c r="F55" s="1751"/>
      <c r="G55" s="1751"/>
      <c r="H55" s="1751"/>
      <c r="I55" s="1752"/>
      <c r="J55" s="1752"/>
      <c r="K55" s="1752"/>
      <c r="L55" s="1752"/>
      <c r="M55" s="1751"/>
      <c r="N55" s="1751"/>
      <c r="O55" s="1752"/>
      <c r="P55" s="1441"/>
      <c r="Q55" s="1441"/>
      <c r="R55" s="1441"/>
      <c r="S55" s="1441"/>
      <c r="T55" s="1466">
        <f>T56+T57</f>
        <v>13800000000</v>
      </c>
      <c r="U55" s="1466">
        <f t="shared" ref="U55:AA55" si="7">U56+U57</f>
        <v>33299999999.999996</v>
      </c>
      <c r="V55" s="1466">
        <f t="shared" si="7"/>
        <v>28600000000</v>
      </c>
      <c r="W55" s="1466">
        <f t="shared" si="7"/>
        <v>57100000000</v>
      </c>
      <c r="X55" s="1466">
        <f t="shared" si="7"/>
        <v>52700000000</v>
      </c>
      <c r="Y55" s="1466">
        <f t="shared" si="7"/>
        <v>65700000000</v>
      </c>
      <c r="Z55" s="1466">
        <f t="shared" si="7"/>
        <v>69200000000</v>
      </c>
      <c r="AA55" s="1466">
        <f t="shared" si="7"/>
        <v>129200000000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1784" t="s">
        <v>4795</v>
      </c>
      <c r="B56" s="1784" t="s">
        <v>4796</v>
      </c>
      <c r="C56" s="1785" t="s">
        <v>4797</v>
      </c>
      <c r="D56" s="1433"/>
      <c r="F56" s="1751"/>
      <c r="G56" s="1751"/>
      <c r="H56" s="1751"/>
      <c r="I56" s="1752"/>
      <c r="J56" s="1752"/>
      <c r="K56" s="1752"/>
      <c r="L56" s="1752"/>
      <c r="M56" s="1751"/>
      <c r="N56" s="1751"/>
      <c r="O56" s="1752"/>
      <c r="P56" s="1441"/>
      <c r="Q56" s="1441"/>
      <c r="R56" s="1441"/>
      <c r="S56" s="1441"/>
      <c r="T56" s="1441">
        <v>13800000000</v>
      </c>
      <c r="U56" s="1788">
        <v>33299999999.999996</v>
      </c>
      <c r="V56" s="1788">
        <v>28600000000</v>
      </c>
      <c r="W56" s="1788">
        <v>28300000000</v>
      </c>
      <c r="X56" s="1788">
        <v>19200000000</v>
      </c>
      <c r="Y56" s="1789">
        <v>19300000000</v>
      </c>
      <c r="Z56" s="1789">
        <v>11000000000</v>
      </c>
      <c r="AA56" s="1789">
        <v>61200000000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1784" t="s">
        <v>1558</v>
      </c>
      <c r="B57" s="1784" t="s">
        <v>4798</v>
      </c>
      <c r="C57" s="1785" t="s">
        <v>4797</v>
      </c>
      <c r="D57" s="1433"/>
      <c r="F57" s="1751"/>
      <c r="G57" s="1751"/>
      <c r="H57" s="1751"/>
      <c r="I57" s="1752"/>
      <c r="J57" s="1752"/>
      <c r="K57" s="1752"/>
      <c r="L57" s="1752"/>
      <c r="M57" s="1751"/>
      <c r="N57" s="1751"/>
      <c r="O57" s="1752"/>
      <c r="P57" s="1441"/>
      <c r="Q57" s="1441"/>
      <c r="R57" s="1441"/>
      <c r="S57" s="1441"/>
      <c r="T57" s="1441">
        <v>0</v>
      </c>
      <c r="U57" s="1788">
        <v>0</v>
      </c>
      <c r="V57" s="1788">
        <v>0</v>
      </c>
      <c r="W57" s="1788">
        <v>28800000000</v>
      </c>
      <c r="X57" s="1788">
        <v>33500000000</v>
      </c>
      <c r="Y57" s="1789">
        <v>46400000000</v>
      </c>
      <c r="Z57" s="1789">
        <v>58200000000</v>
      </c>
      <c r="AA57" s="1789">
        <v>68000000000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1753" t="s">
        <v>4799</v>
      </c>
      <c r="B58" s="1753" t="s">
        <v>4799</v>
      </c>
      <c r="C58" s="1435" t="s">
        <v>4793</v>
      </c>
      <c r="D58" s="1433"/>
      <c r="F58" s="1751"/>
      <c r="G58" s="1751"/>
      <c r="H58" s="1751">
        <v>-2481000000</v>
      </c>
      <c r="I58" s="1752">
        <v>550000000</v>
      </c>
      <c r="J58" s="1450">
        <v>450000000</v>
      </c>
      <c r="K58" s="1752"/>
      <c r="L58" s="1762">
        <v>840000000</v>
      </c>
      <c r="M58" s="1751"/>
      <c r="N58" s="1751"/>
      <c r="O58" s="1752"/>
      <c r="P58" s="1758"/>
      <c r="Q58" s="1758"/>
      <c r="R58" s="1755"/>
      <c r="S58" s="1758"/>
      <c r="T58" s="1445"/>
      <c r="U58" s="1788"/>
      <c r="V58" s="1788"/>
      <c r="W58" s="1788"/>
      <c r="X58" s="1788"/>
      <c r="Y58" s="1789"/>
      <c r="Z58" s="1789"/>
      <c r="AA58" s="1789"/>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1435" t="s">
        <v>120</v>
      </c>
      <c r="B59" s="1435" t="s">
        <v>2257</v>
      </c>
      <c r="C59" s="1443" t="s">
        <v>119</v>
      </c>
      <c r="D59" s="1433"/>
      <c r="F59" s="1752">
        <v>806000000</v>
      </c>
      <c r="G59" s="1752">
        <v>92000000</v>
      </c>
      <c r="H59" s="1751">
        <v>-728000000</v>
      </c>
      <c r="I59" s="1752">
        <v>-2335000000</v>
      </c>
      <c r="J59" s="1752">
        <v>-5835000000</v>
      </c>
      <c r="K59" s="1751">
        <v>380000000</v>
      </c>
      <c r="L59" s="1752">
        <v>-4080000000</v>
      </c>
      <c r="M59" s="1751">
        <v>520000000</v>
      </c>
      <c r="N59" s="1751">
        <v>-40000000</v>
      </c>
      <c r="O59" s="1752">
        <v>5700000000</v>
      </c>
      <c r="P59" s="1441">
        <v>2900000000</v>
      </c>
      <c r="Q59" s="1441">
        <v>-13900000000</v>
      </c>
      <c r="R59" s="1441">
        <v>7600000000</v>
      </c>
      <c r="S59" s="1441">
        <v>3600000000</v>
      </c>
      <c r="T59" s="1441">
        <v>13900000000</v>
      </c>
      <c r="U59" s="1788">
        <v>3100000000</v>
      </c>
      <c r="V59" s="1788">
        <v>28600000000</v>
      </c>
      <c r="W59" s="1788">
        <v>17300000000</v>
      </c>
      <c r="X59" s="1788">
        <v>11600000000</v>
      </c>
      <c r="Y59" s="1789">
        <v>-1600000000</v>
      </c>
      <c r="Z59" s="1789">
        <v>-2600000000</v>
      </c>
      <c r="AA59" s="1789">
        <v>-1900000000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B60" s="1753"/>
      <c r="C60" s="1443"/>
      <c r="D60" s="1433"/>
      <c r="F60" s="1763"/>
      <c r="G60" s="1763"/>
      <c r="H60" s="1764"/>
      <c r="I60" s="1765"/>
      <c r="J60" s="1765"/>
      <c r="K60" s="1766"/>
      <c r="L60" s="1765"/>
      <c r="M60" s="1766"/>
      <c r="N60" s="1766"/>
      <c r="O60" s="1763"/>
      <c r="P60" s="1763"/>
      <c r="Q60" s="1763"/>
      <c r="R60" s="1763"/>
      <c r="S60" s="1763"/>
      <c r="T60" s="1433"/>
      <c r="U60" s="1433"/>
      <c r="V60" s="1433"/>
      <c r="W60" s="1433"/>
      <c r="X60" s="1433"/>
      <c r="Y60" s="1749"/>
      <c r="Z60" s="1749"/>
      <c r="AA60" s="1749"/>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1753"/>
      <c r="D61" s="1433"/>
      <c r="F61" s="1753" t="s">
        <v>139</v>
      </c>
      <c r="G61" s="1753" t="s">
        <v>138</v>
      </c>
      <c r="H61" s="1753" t="s">
        <v>138</v>
      </c>
      <c r="I61" s="1753" t="s">
        <v>138</v>
      </c>
      <c r="J61" s="1754" t="s">
        <v>138</v>
      </c>
      <c r="K61" s="1753" t="s">
        <v>139</v>
      </c>
      <c r="L61" s="1753" t="s">
        <v>139</v>
      </c>
      <c r="M61" s="1753" t="s">
        <v>139</v>
      </c>
      <c r="N61" s="1753" t="s">
        <v>138</v>
      </c>
      <c r="O61" s="1753" t="s">
        <v>139</v>
      </c>
      <c r="P61" s="1753" t="s">
        <v>139</v>
      </c>
      <c r="Q61" s="1753" t="s">
        <v>139</v>
      </c>
      <c r="R61" s="1753" t="s">
        <v>139</v>
      </c>
      <c r="S61" s="1753" t="s">
        <v>139</v>
      </c>
      <c r="T61" s="1753" t="s">
        <v>139</v>
      </c>
      <c r="U61" s="1753" t="s">
        <v>139</v>
      </c>
      <c r="V61" s="1753" t="s">
        <v>139</v>
      </c>
      <c r="W61" s="1753" t="s">
        <v>139</v>
      </c>
      <c r="X61" s="1753" t="s">
        <v>139</v>
      </c>
      <c r="Y61" s="1753" t="s">
        <v>139</v>
      </c>
      <c r="Z61" s="1753" t="s">
        <v>139</v>
      </c>
      <c r="AA61" s="1753" t="s">
        <v>139</v>
      </c>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B62" s="1753"/>
      <c r="D62" s="1433"/>
      <c r="H62" s="1764"/>
      <c r="I62" s="1765"/>
      <c r="O62" s="1763"/>
      <c r="P62" s="1763"/>
      <c r="Q62" s="1763"/>
      <c r="R62" s="1763"/>
      <c r="S62" s="1763"/>
      <c r="T62" s="1433"/>
      <c r="U62" s="1433"/>
      <c r="V62" s="1433"/>
      <c r="W62" s="1433"/>
      <c r="X62" s="1433"/>
      <c r="Y62" s="1749"/>
      <c r="Z62" s="1749"/>
      <c r="AA62" s="1749"/>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B63" s="1753" t="s">
        <v>875</v>
      </c>
      <c r="D63" s="1433"/>
      <c r="F63" s="1450">
        <f t="shared" ref="F63:T63" si="8">F6-F7-F39</f>
        <v>0</v>
      </c>
      <c r="G63" s="1450">
        <f t="shared" si="8"/>
        <v>0</v>
      </c>
      <c r="H63" s="1450">
        <f t="shared" si="8"/>
        <v>0</v>
      </c>
      <c r="I63" s="1450">
        <f t="shared" si="8"/>
        <v>0</v>
      </c>
      <c r="J63" s="1450">
        <f t="shared" si="8"/>
        <v>0</v>
      </c>
      <c r="K63" s="1450">
        <f t="shared" si="8"/>
        <v>0</v>
      </c>
      <c r="L63" s="1450">
        <f t="shared" si="8"/>
        <v>0</v>
      </c>
      <c r="M63" s="1450">
        <f t="shared" si="8"/>
        <v>0</v>
      </c>
      <c r="N63" s="1450">
        <f t="shared" si="8"/>
        <v>0</v>
      </c>
      <c r="O63" s="1450">
        <f t="shared" si="8"/>
        <v>0</v>
      </c>
      <c r="P63" s="1450">
        <f t="shared" si="8"/>
        <v>0</v>
      </c>
      <c r="Q63" s="1450">
        <f t="shared" si="8"/>
        <v>0</v>
      </c>
      <c r="R63" s="1450">
        <f t="shared" si="8"/>
        <v>0</v>
      </c>
      <c r="S63" s="1450">
        <f t="shared" si="8"/>
        <v>0</v>
      </c>
      <c r="T63" s="1450">
        <f t="shared" si="8"/>
        <v>0</v>
      </c>
      <c r="U63" s="1450">
        <f t="shared" ref="U63:AA63" si="9">U6-U7-U39</f>
        <v>0</v>
      </c>
      <c r="V63" s="1450">
        <f t="shared" si="9"/>
        <v>0</v>
      </c>
      <c r="W63" s="1450">
        <f t="shared" si="9"/>
        <v>0</v>
      </c>
      <c r="X63" s="1450">
        <f t="shared" si="9"/>
        <v>0</v>
      </c>
      <c r="Y63" s="1450">
        <f t="shared" si="9"/>
        <v>0</v>
      </c>
      <c r="Z63" s="1450">
        <f t="shared" si="9"/>
        <v>0</v>
      </c>
      <c r="AA63" s="1450">
        <f t="shared" si="9"/>
        <v>0</v>
      </c>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B64" s="1753" t="s">
        <v>141</v>
      </c>
      <c r="D64" s="1450"/>
      <c r="F64" s="1450">
        <f t="shared" ref="F64:T64" si="10">F7-F8-F17</f>
        <v>0</v>
      </c>
      <c r="G64" s="1450">
        <f t="shared" si="10"/>
        <v>0</v>
      </c>
      <c r="H64" s="1450">
        <f t="shared" si="10"/>
        <v>-1000000</v>
      </c>
      <c r="I64" s="1450">
        <f t="shared" si="10"/>
        <v>0</v>
      </c>
      <c r="J64" s="1450">
        <f t="shared" si="10"/>
        <v>1000000</v>
      </c>
      <c r="K64" s="1450">
        <f t="shared" si="10"/>
        <v>3.814697265625E-6</v>
      </c>
      <c r="L64" s="1450">
        <f t="shared" si="10"/>
        <v>-3.814697265625E-6</v>
      </c>
      <c r="M64" s="1450">
        <f t="shared" si="10"/>
        <v>0</v>
      </c>
      <c r="N64" s="1450">
        <f t="shared" si="10"/>
        <v>-10000000</v>
      </c>
      <c r="O64" s="1450">
        <f t="shared" si="10"/>
        <v>0</v>
      </c>
      <c r="P64" s="1450">
        <f t="shared" si="10"/>
        <v>-100000000</v>
      </c>
      <c r="Q64" s="1450">
        <f t="shared" si="10"/>
        <v>0</v>
      </c>
      <c r="R64" s="1450">
        <f t="shared" si="10"/>
        <v>0</v>
      </c>
      <c r="S64" s="1450">
        <f t="shared" si="10"/>
        <v>0</v>
      </c>
      <c r="T64" s="1450">
        <f t="shared" si="10"/>
        <v>0</v>
      </c>
      <c r="U64" s="1450">
        <f t="shared" ref="U64:AA64" si="11">U7-U8-U17</f>
        <v>0</v>
      </c>
      <c r="V64" s="1450">
        <f t="shared" si="11"/>
        <v>0</v>
      </c>
      <c r="W64" s="1450">
        <f t="shared" si="11"/>
        <v>0</v>
      </c>
      <c r="X64" s="1450">
        <f t="shared" si="11"/>
        <v>0</v>
      </c>
      <c r="Y64" s="1450">
        <f t="shared" si="11"/>
        <v>-100000000</v>
      </c>
      <c r="Z64" s="1450">
        <f t="shared" si="11"/>
        <v>0</v>
      </c>
      <c r="AA64" s="1450">
        <f t="shared" si="11"/>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2:49">
      <c r="B65" s="1753" t="s">
        <v>142</v>
      </c>
      <c r="D65" s="1450"/>
      <c r="F65" s="1450">
        <f t="shared" ref="F65:T65" si="12">F8-F9-F12-F15-F16</f>
        <v>0</v>
      </c>
      <c r="G65" s="1450">
        <f t="shared" si="12"/>
        <v>-1000000</v>
      </c>
      <c r="H65" s="1450">
        <f t="shared" si="12"/>
        <v>0</v>
      </c>
      <c r="I65" s="1450">
        <f t="shared" si="12"/>
        <v>0</v>
      </c>
      <c r="J65" s="1450">
        <f t="shared" si="12"/>
        <v>-1000000</v>
      </c>
      <c r="K65" s="1767">
        <f t="shared" si="12"/>
        <v>29080000000</v>
      </c>
      <c r="L65" s="1450">
        <f t="shared" si="12"/>
        <v>10000000.000003815</v>
      </c>
      <c r="M65" s="1450">
        <f t="shared" si="12"/>
        <v>0</v>
      </c>
      <c r="N65" s="1450">
        <f t="shared" si="12"/>
        <v>10000000</v>
      </c>
      <c r="O65" s="1450">
        <f t="shared" si="12"/>
        <v>100000000</v>
      </c>
      <c r="P65" s="1450">
        <f t="shared" si="12"/>
        <v>3.814697265625E-6</v>
      </c>
      <c r="Q65" s="1450">
        <f t="shared" si="12"/>
        <v>0</v>
      </c>
      <c r="R65" s="1450">
        <f t="shared" si="12"/>
        <v>100000000.00000048</v>
      </c>
      <c r="S65" s="1450">
        <f t="shared" si="12"/>
        <v>0</v>
      </c>
      <c r="T65" s="1450">
        <f t="shared" si="12"/>
        <v>0</v>
      </c>
      <c r="U65" s="1450">
        <f t="shared" ref="U65:AA65" si="13">U8-U9-U12-U15-U16</f>
        <v>0</v>
      </c>
      <c r="V65" s="1450">
        <f t="shared" si="13"/>
        <v>-100000000</v>
      </c>
      <c r="W65" s="1450">
        <f t="shared" si="13"/>
        <v>0</v>
      </c>
      <c r="X65" s="1450">
        <f t="shared" si="13"/>
        <v>-100000000</v>
      </c>
      <c r="Y65" s="1450">
        <f t="shared" si="13"/>
        <v>0</v>
      </c>
      <c r="Z65" s="1450">
        <f t="shared" si="13"/>
        <v>0</v>
      </c>
      <c r="AA65" s="1450">
        <f t="shared" si="13"/>
        <v>0</v>
      </c>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2:49">
      <c r="B66" s="1753" t="s">
        <v>4800</v>
      </c>
      <c r="D66" s="1450"/>
      <c r="F66" s="1767">
        <f t="shared" ref="F66:T66" si="14">F9-F10-F11</f>
        <v>2116000000</v>
      </c>
      <c r="G66" s="1767">
        <f t="shared" si="14"/>
        <v>3236000000</v>
      </c>
      <c r="H66" s="1767">
        <f t="shared" si="14"/>
        <v>3548000000</v>
      </c>
      <c r="I66" s="1767">
        <f t="shared" si="14"/>
        <v>4469000000</v>
      </c>
      <c r="J66" s="1767">
        <f t="shared" si="14"/>
        <v>6367000000</v>
      </c>
      <c r="K66" s="1450">
        <f t="shared" si="14"/>
        <v>0</v>
      </c>
      <c r="L66" s="1767">
        <f t="shared" si="14"/>
        <v>11720000000</v>
      </c>
      <c r="M66" s="1767">
        <f t="shared" si="14"/>
        <v>13720000000</v>
      </c>
      <c r="N66" s="1767">
        <f t="shared" si="14"/>
        <v>18480000000</v>
      </c>
      <c r="O66" s="1450">
        <f t="shared" si="14"/>
        <v>0</v>
      </c>
      <c r="P66" s="1450">
        <f t="shared" si="14"/>
        <v>100000000</v>
      </c>
      <c r="Q66" s="1450">
        <f t="shared" si="14"/>
        <v>-100000000</v>
      </c>
      <c r="R66" s="1450">
        <f t="shared" si="14"/>
        <v>0</v>
      </c>
      <c r="S66" s="1450">
        <f t="shared" si="14"/>
        <v>0</v>
      </c>
      <c r="T66" s="1791">
        <f t="shared" si="14"/>
        <v>0</v>
      </c>
      <c r="U66" s="1450">
        <f t="shared" ref="U66:AA66" si="15">U9-U10-U11</f>
        <v>0</v>
      </c>
      <c r="V66" s="1791">
        <f t="shared" si="15"/>
        <v>0</v>
      </c>
      <c r="W66" s="1791">
        <f t="shared" si="15"/>
        <v>0</v>
      </c>
      <c r="X66" s="1791">
        <f t="shared" si="15"/>
        <v>0</v>
      </c>
      <c r="Y66" s="1791">
        <f t="shared" si="15"/>
        <v>0</v>
      </c>
      <c r="Z66" s="1791">
        <f t="shared" si="15"/>
        <v>0</v>
      </c>
      <c r="AA66" s="1791">
        <f t="shared" si="15"/>
        <v>0</v>
      </c>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2:49">
      <c r="B67" s="1753" t="s">
        <v>3209</v>
      </c>
      <c r="D67" s="1450"/>
      <c r="F67" s="1450">
        <f t="shared" ref="F67:T67" si="16">F12-F13-F14</f>
        <v>0</v>
      </c>
      <c r="G67" s="1450">
        <f t="shared" si="16"/>
        <v>0</v>
      </c>
      <c r="H67" s="1450">
        <f t="shared" si="16"/>
        <v>0</v>
      </c>
      <c r="I67" s="1450">
        <f t="shared" si="16"/>
        <v>0</v>
      </c>
      <c r="J67" s="1450">
        <f t="shared" si="16"/>
        <v>0</v>
      </c>
      <c r="K67" s="1450">
        <f t="shared" si="16"/>
        <v>0</v>
      </c>
      <c r="L67" s="1767">
        <f t="shared" si="16"/>
        <v>18050000000</v>
      </c>
      <c r="M67" s="1767">
        <f t="shared" si="16"/>
        <v>22890000000</v>
      </c>
      <c r="N67" s="1767">
        <f t="shared" si="16"/>
        <v>28840000000</v>
      </c>
      <c r="O67" s="1450">
        <f t="shared" si="16"/>
        <v>0</v>
      </c>
      <c r="P67" s="1450">
        <f t="shared" si="16"/>
        <v>0</v>
      </c>
      <c r="Q67" s="1450">
        <f t="shared" si="16"/>
        <v>0</v>
      </c>
      <c r="R67" s="1450">
        <f t="shared" si="16"/>
        <v>0</v>
      </c>
      <c r="S67" s="1450">
        <f t="shared" si="16"/>
        <v>0</v>
      </c>
      <c r="T67" s="1791">
        <f t="shared" si="16"/>
        <v>56400000000</v>
      </c>
      <c r="U67" s="1791">
        <f t="shared" ref="U67:AA67" si="17">U12-U13-U14</f>
        <v>55800000000</v>
      </c>
      <c r="V67" s="1791">
        <f t="shared" si="17"/>
        <v>62800000000</v>
      </c>
      <c r="W67" s="1791">
        <f t="shared" si="17"/>
        <v>66700000000</v>
      </c>
      <c r="X67" s="1791">
        <f t="shared" si="17"/>
        <v>70500000000</v>
      </c>
      <c r="Y67" s="1791">
        <f t="shared" si="17"/>
        <v>75200000000</v>
      </c>
      <c r="Z67" s="1791">
        <f t="shared" si="17"/>
        <v>79700000000</v>
      </c>
      <c r="AA67" s="1791">
        <f t="shared" si="17"/>
        <v>84900000000</v>
      </c>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2:49">
      <c r="B68" s="1753" t="s">
        <v>145</v>
      </c>
      <c r="D68" s="1450"/>
      <c r="F68" s="1450">
        <f t="shared" ref="F68:S68" si="18">F19-F20-F29-F32</f>
        <v>0</v>
      </c>
      <c r="G68" s="1450">
        <f t="shared" si="18"/>
        <v>0</v>
      </c>
      <c r="H68" s="1450">
        <f t="shared" si="18"/>
        <v>0</v>
      </c>
      <c r="I68" s="1450">
        <f t="shared" si="18"/>
        <v>0</v>
      </c>
      <c r="J68" s="1450">
        <f t="shared" si="18"/>
        <v>0</v>
      </c>
      <c r="K68" s="1450">
        <f t="shared" si="18"/>
        <v>0</v>
      </c>
      <c r="L68" s="1450">
        <f t="shared" si="18"/>
        <v>0</v>
      </c>
      <c r="M68" s="1450">
        <f t="shared" si="18"/>
        <v>0</v>
      </c>
      <c r="N68" s="1450">
        <f t="shared" si="18"/>
        <v>0</v>
      </c>
      <c r="O68" s="1450">
        <f t="shared" si="18"/>
        <v>0</v>
      </c>
      <c r="P68" s="1450">
        <f t="shared" si="18"/>
        <v>-100000000</v>
      </c>
      <c r="Q68" s="1450">
        <f t="shared" si="18"/>
        <v>0</v>
      </c>
      <c r="R68" s="1450">
        <f t="shared" si="18"/>
        <v>0</v>
      </c>
      <c r="S68" s="1450">
        <f t="shared" si="18"/>
        <v>0</v>
      </c>
      <c r="T68" s="1450">
        <f>T19-T20-T29-T32-T36</f>
        <v>100000000</v>
      </c>
      <c r="U68" s="1450">
        <f t="shared" ref="U68:AA68" si="19">U19-U20-U29-U32-U36</f>
        <v>3.0517578125E-5</v>
      </c>
      <c r="V68" s="1450">
        <f t="shared" si="19"/>
        <v>-100000000</v>
      </c>
      <c r="W68" s="1450">
        <f t="shared" si="19"/>
        <v>-100000000</v>
      </c>
      <c r="X68" s="1450">
        <f t="shared" si="19"/>
        <v>0</v>
      </c>
      <c r="Y68" s="1450">
        <f t="shared" si="19"/>
        <v>-100000000</v>
      </c>
      <c r="Z68" s="1450">
        <f t="shared" si="19"/>
        <v>0</v>
      </c>
      <c r="AA68" s="1450">
        <f t="shared" si="19"/>
        <v>0</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2:49">
      <c r="B69" s="1753" t="s">
        <v>361</v>
      </c>
      <c r="D69" s="1450"/>
      <c r="F69" s="1450">
        <f t="shared" ref="F69:T69" si="20">F20-F21-F22-F24-F27</f>
        <v>0</v>
      </c>
      <c r="G69" s="1450">
        <f t="shared" si="20"/>
        <v>0</v>
      </c>
      <c r="H69" s="1450">
        <f t="shared" si="20"/>
        <v>0</v>
      </c>
      <c r="I69" s="1450">
        <f t="shared" si="20"/>
        <v>0</v>
      </c>
      <c r="J69" s="1450">
        <f t="shared" si="20"/>
        <v>1000000</v>
      </c>
      <c r="K69" s="1450">
        <f t="shared" si="20"/>
        <v>0</v>
      </c>
      <c r="L69" s="1450">
        <f t="shared" si="20"/>
        <v>-10000000</v>
      </c>
      <c r="M69" s="1450">
        <f t="shared" si="20"/>
        <v>0</v>
      </c>
      <c r="N69" s="1450">
        <f t="shared" si="20"/>
        <v>0</v>
      </c>
      <c r="O69" s="1450">
        <f t="shared" si="20"/>
        <v>-100000000</v>
      </c>
      <c r="P69" s="1450">
        <f t="shared" si="20"/>
        <v>100000000</v>
      </c>
      <c r="Q69" s="1450">
        <f t="shared" si="20"/>
        <v>-100000000</v>
      </c>
      <c r="R69" s="1450">
        <f t="shared" si="20"/>
        <v>100000000</v>
      </c>
      <c r="S69" s="1450">
        <f t="shared" si="20"/>
        <v>99999999.999992371</v>
      </c>
      <c r="T69" s="1450">
        <f t="shared" si="20"/>
        <v>0</v>
      </c>
      <c r="U69" s="1450">
        <f t="shared" ref="U69:AA69" si="21">U20-U21-U22-U24-U27</f>
        <v>-100000000</v>
      </c>
      <c r="V69" s="1450">
        <f t="shared" si="21"/>
        <v>100000000</v>
      </c>
      <c r="W69" s="1450">
        <f t="shared" si="21"/>
        <v>0</v>
      </c>
      <c r="X69" s="1450">
        <f t="shared" si="21"/>
        <v>-100000000</v>
      </c>
      <c r="Y69" s="1450">
        <f t="shared" si="21"/>
        <v>0</v>
      </c>
      <c r="Z69" s="1450">
        <f t="shared" si="21"/>
        <v>-100000000</v>
      </c>
      <c r="AA69" s="1450">
        <f t="shared" si="21"/>
        <v>0</v>
      </c>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2:49">
      <c r="B70" s="1753" t="s">
        <v>936</v>
      </c>
      <c r="D70" s="1450"/>
      <c r="F70" s="1450">
        <f t="shared" ref="F70:T70" si="22">F24-F25-F26</f>
        <v>0</v>
      </c>
      <c r="G70" s="1450">
        <f t="shared" si="22"/>
        <v>-1000000</v>
      </c>
      <c r="H70" s="1450">
        <f t="shared" si="22"/>
        <v>0</v>
      </c>
      <c r="I70" s="1450">
        <f t="shared" si="22"/>
        <v>0</v>
      </c>
      <c r="J70" s="1450">
        <f t="shared" si="22"/>
        <v>0</v>
      </c>
      <c r="K70" s="1767">
        <f t="shared" si="22"/>
        <v>1280000000</v>
      </c>
      <c r="L70" s="1450">
        <f t="shared" si="22"/>
        <v>10000000</v>
      </c>
      <c r="M70" s="1767">
        <f t="shared" si="22"/>
        <v>1360000000</v>
      </c>
      <c r="N70" s="1450">
        <f t="shared" si="22"/>
        <v>0</v>
      </c>
      <c r="O70" s="1450">
        <f t="shared" si="22"/>
        <v>0</v>
      </c>
      <c r="P70" s="1450">
        <f t="shared" si="22"/>
        <v>0</v>
      </c>
      <c r="Q70" s="1450">
        <f t="shared" si="22"/>
        <v>100000000</v>
      </c>
      <c r="R70" s="1450">
        <f t="shared" si="22"/>
        <v>0</v>
      </c>
      <c r="S70" s="1450">
        <f t="shared" si="22"/>
        <v>0</v>
      </c>
      <c r="T70" s="1450">
        <f t="shared" si="22"/>
        <v>0</v>
      </c>
      <c r="U70" s="1450">
        <f t="shared" ref="U70:AA70" si="23">U24-U25-U26</f>
        <v>0</v>
      </c>
      <c r="V70" s="1450">
        <f t="shared" si="23"/>
        <v>-100000000</v>
      </c>
      <c r="W70" s="1450">
        <f t="shared" si="23"/>
        <v>0</v>
      </c>
      <c r="X70" s="1450">
        <f t="shared" si="23"/>
        <v>0</v>
      </c>
      <c r="Y70" s="1450">
        <f t="shared" si="23"/>
        <v>0</v>
      </c>
      <c r="Z70" s="1450">
        <f t="shared" si="23"/>
        <v>0</v>
      </c>
      <c r="AA70" s="1450">
        <f t="shared" si="23"/>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2:49">
      <c r="B71" s="1753" t="s">
        <v>876</v>
      </c>
      <c r="D71" s="1450"/>
      <c r="F71" s="1450">
        <f t="shared" ref="F71:T71" si="24">F29-F30-F31</f>
        <v>0</v>
      </c>
      <c r="G71" s="1450">
        <f t="shared" si="24"/>
        <v>0</v>
      </c>
      <c r="H71" s="1450">
        <f t="shared" si="24"/>
        <v>0</v>
      </c>
      <c r="I71" s="1450">
        <f t="shared" si="24"/>
        <v>0</v>
      </c>
      <c r="J71" s="1450">
        <f t="shared" si="24"/>
        <v>0</v>
      </c>
      <c r="K71" s="1450">
        <f t="shared" si="24"/>
        <v>0</v>
      </c>
      <c r="L71" s="1450">
        <f t="shared" si="24"/>
        <v>0</v>
      </c>
      <c r="M71" s="1450">
        <f t="shared" si="24"/>
        <v>0</v>
      </c>
      <c r="N71" s="1450">
        <f t="shared" si="24"/>
        <v>0</v>
      </c>
      <c r="O71" s="1450">
        <f t="shared" si="24"/>
        <v>0</v>
      </c>
      <c r="P71" s="1450">
        <f t="shared" si="24"/>
        <v>100000000</v>
      </c>
      <c r="Q71" s="1450">
        <f t="shared" si="24"/>
        <v>0</v>
      </c>
      <c r="R71" s="1450">
        <f t="shared" si="24"/>
        <v>0</v>
      </c>
      <c r="S71" s="1450">
        <f t="shared" si="24"/>
        <v>0</v>
      </c>
      <c r="T71" s="1450">
        <f t="shared" si="24"/>
        <v>-100000000</v>
      </c>
      <c r="U71" s="1450">
        <f t="shared" ref="U71:AA71" si="25">U29-U30-U31</f>
        <v>0</v>
      </c>
      <c r="V71" s="1450">
        <f t="shared" si="25"/>
        <v>0</v>
      </c>
      <c r="W71" s="1450">
        <f t="shared" si="25"/>
        <v>100000000</v>
      </c>
      <c r="X71" s="1450">
        <f t="shared" si="25"/>
        <v>0</v>
      </c>
      <c r="Y71" s="1450">
        <f t="shared" si="25"/>
        <v>0</v>
      </c>
      <c r="Z71" s="1450">
        <f t="shared" si="25"/>
        <v>0</v>
      </c>
      <c r="AA71" s="1450">
        <f t="shared" si="25"/>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2:49">
      <c r="B72" s="1753" t="s">
        <v>4801</v>
      </c>
      <c r="D72" s="1450"/>
      <c r="F72" s="1450">
        <f t="shared" ref="F72:T72" si="26">F32-F33-F34</f>
        <v>0</v>
      </c>
      <c r="G72" s="1450">
        <f t="shared" si="26"/>
        <v>0</v>
      </c>
      <c r="H72" s="1450">
        <f t="shared" si="26"/>
        <v>0</v>
      </c>
      <c r="I72" s="1450">
        <f t="shared" si="26"/>
        <v>0</v>
      </c>
      <c r="J72" s="1450">
        <f t="shared" si="26"/>
        <v>0</v>
      </c>
      <c r="K72" s="1450">
        <f t="shared" si="26"/>
        <v>0</v>
      </c>
      <c r="L72" s="1450">
        <f t="shared" si="26"/>
        <v>0</v>
      </c>
      <c r="M72" s="1450">
        <f t="shared" si="26"/>
        <v>0</v>
      </c>
      <c r="N72" s="1450">
        <f t="shared" si="26"/>
        <v>0</v>
      </c>
      <c r="O72" s="1450">
        <f t="shared" si="26"/>
        <v>0</v>
      </c>
      <c r="P72" s="1450">
        <f t="shared" si="26"/>
        <v>0</v>
      </c>
      <c r="Q72" s="1450">
        <f t="shared" si="26"/>
        <v>0</v>
      </c>
      <c r="R72" s="1450">
        <f t="shared" si="26"/>
        <v>-99999999.999998093</v>
      </c>
      <c r="S72" s="1450">
        <f t="shared" si="26"/>
        <v>0</v>
      </c>
      <c r="T72" s="1450">
        <f t="shared" si="26"/>
        <v>0</v>
      </c>
      <c r="U72" s="1450">
        <f t="shared" ref="U72:AA72" si="27">U32-U33-U34</f>
        <v>0</v>
      </c>
      <c r="V72" s="1450">
        <f t="shared" si="27"/>
        <v>0</v>
      </c>
      <c r="W72" s="1450">
        <f t="shared" si="27"/>
        <v>0</v>
      </c>
      <c r="X72" s="1450">
        <f t="shared" si="27"/>
        <v>0</v>
      </c>
      <c r="Y72" s="1450">
        <f t="shared" si="27"/>
        <v>100000000</v>
      </c>
      <c r="Z72" s="1450">
        <f t="shared" si="27"/>
        <v>0</v>
      </c>
      <c r="AA72" s="1450">
        <f t="shared" si="27"/>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2:49">
      <c r="B73" s="1753" t="s">
        <v>1362</v>
      </c>
      <c r="D73" s="1450"/>
      <c r="F73" s="1450">
        <f t="shared" ref="F73:T73" si="28">F39-F40-F41-F42-F43</f>
        <v>0</v>
      </c>
      <c r="G73" s="1450">
        <f t="shared" si="28"/>
        <v>0</v>
      </c>
      <c r="H73" s="1450">
        <f t="shared" si="28"/>
        <v>0</v>
      </c>
      <c r="I73" s="1450">
        <f t="shared" si="28"/>
        <v>0</v>
      </c>
      <c r="J73" s="1450">
        <f t="shared" si="28"/>
        <v>0</v>
      </c>
      <c r="K73" s="1450">
        <f t="shared" si="28"/>
        <v>0</v>
      </c>
      <c r="L73" s="1450">
        <f t="shared" si="28"/>
        <v>0</v>
      </c>
      <c r="M73" s="1450">
        <f t="shared" si="28"/>
        <v>0</v>
      </c>
      <c r="N73" s="1450">
        <f t="shared" si="28"/>
        <v>-10000000</v>
      </c>
      <c r="O73" s="1450">
        <f t="shared" si="28"/>
        <v>-99999999.999998093</v>
      </c>
      <c r="P73" s="1450">
        <f t="shared" si="28"/>
        <v>-100000000</v>
      </c>
      <c r="Q73" s="1450">
        <f t="shared" si="28"/>
        <v>0</v>
      </c>
      <c r="R73" s="1450">
        <f t="shared" si="28"/>
        <v>0</v>
      </c>
      <c r="S73" s="1450">
        <f t="shared" si="28"/>
        <v>0</v>
      </c>
      <c r="T73" s="1450">
        <f t="shared" si="28"/>
        <v>100000000</v>
      </c>
      <c r="U73" s="1450">
        <f t="shared" ref="U73:AA73" si="29">U39-U40-U41-U42-U43</f>
        <v>0</v>
      </c>
      <c r="V73" s="1450">
        <f t="shared" si="29"/>
        <v>0</v>
      </c>
      <c r="W73" s="1450">
        <f t="shared" si="29"/>
        <v>0</v>
      </c>
      <c r="X73" s="1450">
        <f t="shared" si="29"/>
        <v>0</v>
      </c>
      <c r="Y73" s="1450">
        <f t="shared" si="29"/>
        <v>0</v>
      </c>
      <c r="Z73" s="1450">
        <f t="shared" si="29"/>
        <v>0</v>
      </c>
      <c r="AA73" s="1450">
        <f t="shared" si="29"/>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2:49">
      <c r="B74" s="1753" t="s">
        <v>148</v>
      </c>
      <c r="D74" s="1450"/>
      <c r="F74" s="1450">
        <f t="shared" ref="F74:S74" si="30">F47-F48-F59</f>
        <v>0</v>
      </c>
      <c r="G74" s="1450">
        <f t="shared" si="30"/>
        <v>0</v>
      </c>
      <c r="H74" s="1450">
        <f t="shared" si="30"/>
        <v>0</v>
      </c>
      <c r="I74" s="1450">
        <f t="shared" si="30"/>
        <v>0</v>
      </c>
      <c r="J74" s="1450">
        <f t="shared" si="30"/>
        <v>0</v>
      </c>
      <c r="K74" s="1450">
        <f t="shared" si="30"/>
        <v>0</v>
      </c>
      <c r="L74" s="1450">
        <f t="shared" si="30"/>
        <v>0</v>
      </c>
      <c r="M74" s="1450">
        <f t="shared" si="30"/>
        <v>0</v>
      </c>
      <c r="N74" s="1450">
        <f t="shared" si="30"/>
        <v>0</v>
      </c>
      <c r="O74" s="1450">
        <f t="shared" si="30"/>
        <v>0</v>
      </c>
      <c r="P74" s="1450">
        <f t="shared" si="30"/>
        <v>0</v>
      </c>
      <c r="Q74" s="1450">
        <f t="shared" si="30"/>
        <v>0</v>
      </c>
      <c r="R74" s="1450">
        <f t="shared" si="30"/>
        <v>0</v>
      </c>
      <c r="S74" s="1450">
        <f t="shared" si="30"/>
        <v>3.814697265625E-6</v>
      </c>
      <c r="T74" s="1450">
        <f>T47-T48-T59-T55</f>
        <v>0</v>
      </c>
      <c r="U74" s="1450">
        <f t="shared" ref="U74:AA74" si="31">U47-U48-U59-U55</f>
        <v>0</v>
      </c>
      <c r="V74" s="1450">
        <f t="shared" si="31"/>
        <v>0</v>
      </c>
      <c r="W74" s="1450">
        <f t="shared" si="31"/>
        <v>0</v>
      </c>
      <c r="X74" s="1450">
        <f t="shared" si="31"/>
        <v>0</v>
      </c>
      <c r="Y74" s="1450">
        <f t="shared" si="31"/>
        <v>0</v>
      </c>
      <c r="Z74" s="1450">
        <f t="shared" si="31"/>
        <v>0</v>
      </c>
      <c r="AA74" s="1450">
        <f t="shared" si="31"/>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2:49">
      <c r="B75" s="1753" t="s">
        <v>4802</v>
      </c>
      <c r="D75" s="1450"/>
      <c r="F75" s="1450">
        <f t="shared" ref="F75:M75" si="32">F48-F49-F54-F58</f>
        <v>0</v>
      </c>
      <c r="G75" s="1450">
        <f t="shared" si="32"/>
        <v>0</v>
      </c>
      <c r="H75" s="1450">
        <f t="shared" si="32"/>
        <v>0</v>
      </c>
      <c r="I75" s="1450">
        <f t="shared" si="32"/>
        <v>0</v>
      </c>
      <c r="J75" s="1450">
        <f t="shared" si="32"/>
        <v>0</v>
      </c>
      <c r="K75" s="1450">
        <f t="shared" si="32"/>
        <v>9.5367431640625E-7</v>
      </c>
      <c r="L75" s="1450">
        <f t="shared" si="32"/>
        <v>0</v>
      </c>
      <c r="M75" s="1450">
        <f t="shared" si="32"/>
        <v>0</v>
      </c>
      <c r="N75" s="1450">
        <f t="shared" ref="N75:T75" si="33">N48-N49-N54</f>
        <v>0</v>
      </c>
      <c r="O75" s="1450">
        <f t="shared" si="33"/>
        <v>0</v>
      </c>
      <c r="P75" s="1450">
        <f t="shared" si="33"/>
        <v>0</v>
      </c>
      <c r="Q75" s="1450">
        <f t="shared" si="33"/>
        <v>0</v>
      </c>
      <c r="R75" s="1450">
        <f t="shared" si="33"/>
        <v>0</v>
      </c>
      <c r="S75" s="1450">
        <f t="shared" si="33"/>
        <v>0</v>
      </c>
      <c r="T75" s="1450">
        <f t="shared" si="33"/>
        <v>0</v>
      </c>
      <c r="U75" s="1450">
        <f t="shared" ref="U75:AA75" si="34">U48-U49-U54</f>
        <v>100000000</v>
      </c>
      <c r="V75" s="1450">
        <f t="shared" si="34"/>
        <v>0</v>
      </c>
      <c r="W75" s="1450">
        <f t="shared" si="34"/>
        <v>0</v>
      </c>
      <c r="X75" s="1450">
        <f t="shared" si="34"/>
        <v>100000000</v>
      </c>
      <c r="Y75" s="1450">
        <f t="shared" si="34"/>
        <v>0</v>
      </c>
      <c r="Z75" s="1450">
        <f t="shared" si="34"/>
        <v>0</v>
      </c>
      <c r="AA75" s="1450">
        <f t="shared" si="34"/>
        <v>-100000000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2:49">
      <c r="B76" s="1753" t="s">
        <v>4803</v>
      </c>
      <c r="D76" s="1450"/>
      <c r="F76" s="1450"/>
      <c r="G76" s="1450"/>
      <c r="H76" s="1450"/>
      <c r="I76" s="1450"/>
      <c r="J76" s="1450"/>
      <c r="K76" s="1450"/>
      <c r="L76" s="1450"/>
      <c r="M76" s="1450"/>
      <c r="N76" s="1450"/>
      <c r="O76" s="1450"/>
      <c r="P76" s="1450"/>
      <c r="Q76" s="1450"/>
      <c r="R76" s="1450"/>
      <c r="S76" s="1450"/>
      <c r="T76" s="1450">
        <f>T55-T56-T57</f>
        <v>0</v>
      </c>
      <c r="U76" s="1450">
        <f t="shared" ref="U76:AA76" si="35">U55-U56-U57</f>
        <v>0</v>
      </c>
      <c r="V76" s="1450">
        <f t="shared" si="35"/>
        <v>0</v>
      </c>
      <c r="W76" s="1450">
        <f t="shared" si="35"/>
        <v>0</v>
      </c>
      <c r="X76" s="1450">
        <f t="shared" si="35"/>
        <v>0</v>
      </c>
      <c r="Y76" s="1450">
        <f t="shared" si="35"/>
        <v>0</v>
      </c>
      <c r="Z76" s="1450">
        <f t="shared" si="35"/>
        <v>0</v>
      </c>
      <c r="AA76" s="1450">
        <f t="shared" si="35"/>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2:49">
      <c r="B77" s="1753" t="s">
        <v>4804</v>
      </c>
      <c r="D77" s="1450"/>
      <c r="F77" s="1450">
        <f t="shared" ref="F77:T77" si="36">F49-F50-F51-F52</f>
        <v>0</v>
      </c>
      <c r="G77" s="1450">
        <f t="shared" si="36"/>
        <v>-1000000</v>
      </c>
      <c r="H77" s="1450">
        <f t="shared" si="36"/>
        <v>0</v>
      </c>
      <c r="I77" s="1450">
        <f t="shared" si="36"/>
        <v>0</v>
      </c>
      <c r="J77" s="1450">
        <f t="shared" si="36"/>
        <v>0</v>
      </c>
      <c r="K77" s="1450">
        <f t="shared" si="36"/>
        <v>-9.5367431640625E-7</v>
      </c>
      <c r="L77" s="1450">
        <f t="shared" si="36"/>
        <v>0</v>
      </c>
      <c r="M77" s="1450">
        <f t="shared" si="36"/>
        <v>0</v>
      </c>
      <c r="N77" s="1450">
        <f t="shared" si="36"/>
        <v>9.5367431640625E-7</v>
      </c>
      <c r="O77" s="1450">
        <f t="shared" si="36"/>
        <v>4.76837158203125E-7</v>
      </c>
      <c r="P77" s="1450">
        <f t="shared" si="36"/>
        <v>0</v>
      </c>
      <c r="Q77" s="1450">
        <f t="shared" si="36"/>
        <v>-100000000</v>
      </c>
      <c r="R77" s="1450">
        <f t="shared" si="36"/>
        <v>0</v>
      </c>
      <c r="S77" s="1450">
        <f t="shared" si="36"/>
        <v>-100000000</v>
      </c>
      <c r="T77" s="1450">
        <f t="shared" si="36"/>
        <v>0</v>
      </c>
      <c r="U77" s="1450">
        <f t="shared" ref="U77:AA77" si="37">U49-U50-U51-U52</f>
        <v>0</v>
      </c>
      <c r="V77" s="1450">
        <f t="shared" si="37"/>
        <v>0</v>
      </c>
      <c r="W77" s="1450">
        <f t="shared" si="37"/>
        <v>-100000000</v>
      </c>
      <c r="X77" s="1450">
        <f t="shared" si="37"/>
        <v>0</v>
      </c>
      <c r="Y77" s="1450">
        <f t="shared" si="37"/>
        <v>0</v>
      </c>
      <c r="Z77" s="1450">
        <f t="shared" si="37"/>
        <v>0</v>
      </c>
      <c r="AA77" s="1450">
        <f t="shared" si="37"/>
        <v>-3.814697265625E-6</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2:49" ht="15.75" thickBot="1">
      <c r="B78" s="1753"/>
      <c r="D78" s="1450"/>
      <c r="F78" s="1450"/>
      <c r="G78" s="1450"/>
      <c r="H78" s="1450"/>
      <c r="I78" s="1450"/>
      <c r="J78" s="1450"/>
      <c r="K78" s="1450"/>
      <c r="L78" s="1450"/>
      <c r="M78" s="1450"/>
      <c r="N78" s="1450"/>
      <c r="O78" s="1450"/>
      <c r="P78" s="1450"/>
      <c r="Q78" s="1450"/>
      <c r="R78" s="1450"/>
      <c r="S78" s="1450"/>
      <c r="T78" s="1433"/>
      <c r="U78" s="1433"/>
      <c r="V78" s="1433"/>
      <c r="W78" s="1433"/>
      <c r="X78" s="1433"/>
      <c r="Y78" s="1749"/>
      <c r="Z78" s="1749"/>
      <c r="AA78" s="1749"/>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2:49" ht="15.75" thickBot="1">
      <c r="B79" s="1753" t="s">
        <v>2161</v>
      </c>
      <c r="D79" s="1768"/>
      <c r="E79" s="1769"/>
      <c r="F79" s="1769">
        <v>99479000000</v>
      </c>
      <c r="G79" s="1769">
        <v>110973000000</v>
      </c>
      <c r="H79" s="1769">
        <v>128668000000</v>
      </c>
      <c r="I79" s="1769">
        <v>151707000000</v>
      </c>
      <c r="J79" s="1769">
        <v>180242000000</v>
      </c>
      <c r="K79" s="1769">
        <v>207644000000</v>
      </c>
      <c r="L79" s="1769">
        <v>240358000000</v>
      </c>
      <c r="M79" s="1769">
        <v>266213000000.00003</v>
      </c>
      <c r="N79" s="1769">
        <v>314961000000</v>
      </c>
      <c r="O79" s="1769">
        <v>364737000000</v>
      </c>
      <c r="P79" s="1769">
        <v>407903000000</v>
      </c>
      <c r="Q79" s="1453">
        <v>461101000000</v>
      </c>
      <c r="R79" s="1454">
        <v>527544000000</v>
      </c>
      <c r="S79" s="1454">
        <v>602547000000</v>
      </c>
      <c r="T79" s="21">
        <v>689000000000</v>
      </c>
      <c r="U79" s="21">
        <v>802000000000</v>
      </c>
      <c r="V79" s="21">
        <v>875000000000</v>
      </c>
      <c r="W79">
        <v>949000000000</v>
      </c>
      <c r="X79">
        <v>1026000000000</v>
      </c>
      <c r="Y79">
        <v>1108000000000</v>
      </c>
      <c r="Z79">
        <v>1195000000000</v>
      </c>
      <c r="AA79" s="1749"/>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2:49">
      <c r="B80" s="1753" t="s">
        <v>151</v>
      </c>
      <c r="D80" s="1770"/>
      <c r="E80" s="1770"/>
      <c r="F80" s="1456">
        <f t="shared" ref="F80:T80" si="38">(F6/F79)*100</f>
        <v>22.192623568793412</v>
      </c>
      <c r="G80" s="1456">
        <f t="shared" si="38"/>
        <v>23.028123958079895</v>
      </c>
      <c r="H80" s="1456">
        <f t="shared" si="38"/>
        <v>20.899524357260546</v>
      </c>
      <c r="I80" s="1456">
        <f t="shared" si="38"/>
        <v>20.693178297639527</v>
      </c>
      <c r="J80" s="1456">
        <f t="shared" si="38"/>
        <v>25.588375628321923</v>
      </c>
      <c r="K80" s="1456">
        <f t="shared" si="38"/>
        <v>25.201787675059233</v>
      </c>
      <c r="L80" s="1456">
        <f t="shared" si="38"/>
        <v>25.341365796020938</v>
      </c>
      <c r="M80" s="1456">
        <f t="shared" si="38"/>
        <v>27.057281199640887</v>
      </c>
      <c r="N80" s="1456">
        <f t="shared" si="38"/>
        <v>28.562266439336938</v>
      </c>
      <c r="O80" s="1456">
        <f t="shared" si="38"/>
        <v>28.623364232309857</v>
      </c>
      <c r="P80" s="1456">
        <f t="shared" si="38"/>
        <v>28.609743002625628</v>
      </c>
      <c r="Q80" s="1456">
        <f t="shared" si="38"/>
        <v>32.856142146731408</v>
      </c>
      <c r="R80" s="1456">
        <f t="shared" si="38"/>
        <v>32.054198322793923</v>
      </c>
      <c r="S80" s="1456">
        <f t="shared" si="38"/>
        <v>29.076569960517602</v>
      </c>
      <c r="T80" s="1456">
        <f t="shared" si="38"/>
        <v>26.139332365747457</v>
      </c>
      <c r="U80" s="1456">
        <f t="shared" ref="U80:V80" si="39">(U6/U79)*100</f>
        <v>26.645885286783045</v>
      </c>
      <c r="V80" s="1456">
        <f t="shared" si="39"/>
        <v>23.37142857142857</v>
      </c>
      <c r="W80" s="1456">
        <f t="shared" ref="W80:Z80" si="40">(W6/W79)*100</f>
        <v>23.182297154899896</v>
      </c>
      <c r="X80" s="1456">
        <f t="shared" si="40"/>
        <v>22.621832358674464</v>
      </c>
      <c r="Y80" s="1456">
        <f t="shared" si="40"/>
        <v>22.472924187725631</v>
      </c>
      <c r="Z80" s="1456">
        <f t="shared" si="40"/>
        <v>22.334728033472807</v>
      </c>
    </row>
    <row r="81" spans="2:27">
      <c r="B81" s="1753" t="s">
        <v>152</v>
      </c>
      <c r="D81" s="1433"/>
      <c r="F81" s="1456">
        <f t="shared" ref="F81:O81" si="41">(F18/F79)*100</f>
        <v>29.184048894741604</v>
      </c>
      <c r="G81" s="1456">
        <f t="shared" si="41"/>
        <v>27.199408865219464</v>
      </c>
      <c r="H81" s="1456">
        <f t="shared" si="41"/>
        <v>25.341965368234526</v>
      </c>
      <c r="I81" s="1456">
        <f t="shared" si="41"/>
        <v>22.895449781486683</v>
      </c>
      <c r="J81" s="1456">
        <f t="shared" si="41"/>
        <v>26.933789016988268</v>
      </c>
      <c r="K81" s="1456">
        <f t="shared" si="41"/>
        <v>28.149139874015138</v>
      </c>
      <c r="L81" s="1456">
        <f t="shared" si="41"/>
        <v>27.812679419865365</v>
      </c>
      <c r="M81" s="1456">
        <f t="shared" si="41"/>
        <v>32.56790615033826</v>
      </c>
      <c r="N81" s="1456">
        <f t="shared" si="41"/>
        <v>32.867561380615378</v>
      </c>
      <c r="O81" s="1456">
        <f t="shared" si="41"/>
        <v>33.668095093176724</v>
      </c>
      <c r="P81" s="1456">
        <f>(P19/P79)*100</f>
        <v>32.63030671507687</v>
      </c>
      <c r="Q81" s="1456">
        <f>(Q19/Q79)*100</f>
        <v>35.610419409196687</v>
      </c>
      <c r="R81" s="1456">
        <f>(R19/R79)*100</f>
        <v>42.423001683271913</v>
      </c>
      <c r="S81" s="1456">
        <f>(S19/S79)*100</f>
        <v>35.034611407906766</v>
      </c>
      <c r="T81" s="1456">
        <f>(T19/T79)*100</f>
        <v>32.380261248185775</v>
      </c>
      <c r="U81" s="1456">
        <f t="shared" ref="U81:V81" si="42">(U19/U79)*100</f>
        <v>32.119700748129681</v>
      </c>
      <c r="V81" s="1456">
        <f t="shared" si="42"/>
        <v>30.89142857142857</v>
      </c>
      <c r="W81" s="1456">
        <f t="shared" ref="W81:Z81" si="43">(W19/W79)*100</f>
        <v>34.025289778714438</v>
      </c>
      <c r="X81" s="1456">
        <f t="shared" si="43"/>
        <v>32.504873294346979</v>
      </c>
      <c r="Y81" s="1456">
        <f t="shared" si="43"/>
        <v>32.093862815884478</v>
      </c>
      <c r="Z81" s="1456">
        <f t="shared" si="43"/>
        <v>32.962343096234306</v>
      </c>
    </row>
    <row r="82" spans="2:27">
      <c r="B82" s="1753"/>
      <c r="D82" s="1433"/>
      <c r="F82" s="1770"/>
      <c r="G82" s="1770"/>
      <c r="H82" s="1770"/>
      <c r="I82" s="1770"/>
      <c r="J82" s="1770"/>
      <c r="K82" s="1770"/>
      <c r="L82" s="1770"/>
      <c r="M82" s="1770"/>
      <c r="N82" s="1770"/>
      <c r="O82" s="1770"/>
      <c r="P82" s="1770"/>
      <c r="Q82" s="1770"/>
      <c r="R82" s="1770"/>
      <c r="S82" s="1770"/>
      <c r="T82" s="1770"/>
      <c r="U82" s="1433"/>
      <c r="V82" s="1433"/>
      <c r="W82" s="1433"/>
      <c r="X82" s="1433"/>
      <c r="Y82" s="1433"/>
    </row>
    <row r="83" spans="2:27">
      <c r="B83" s="1753"/>
      <c r="D83" s="1433"/>
      <c r="F83" s="1770">
        <f>F6+F47-F18</f>
        <v>-748000000</v>
      </c>
      <c r="G83" s="1770">
        <f t="shared" ref="G83:AA83" si="44">G6+G47-G18</f>
        <v>220000000</v>
      </c>
      <c r="H83" s="1770">
        <f t="shared" si="44"/>
        <v>-2656000000</v>
      </c>
      <c r="I83" s="1770">
        <f t="shared" si="44"/>
        <v>-641000000</v>
      </c>
      <c r="J83" s="1770">
        <f t="shared" si="44"/>
        <v>507000000</v>
      </c>
      <c r="K83" s="1770">
        <f t="shared" si="44"/>
        <v>1730000000</v>
      </c>
      <c r="L83" s="1770">
        <f t="shared" si="44"/>
        <v>-369999999.99999237</v>
      </c>
      <c r="M83" s="1770">
        <f t="shared" si="44"/>
        <v>-650000000</v>
      </c>
      <c r="N83" s="1770">
        <f t="shared" si="44"/>
        <v>-350000000</v>
      </c>
      <c r="O83" s="1770">
        <f t="shared" si="44"/>
        <v>800000000</v>
      </c>
      <c r="P83" s="1770">
        <f t="shared" si="44"/>
        <v>300000000</v>
      </c>
      <c r="Q83" s="1770">
        <f t="shared" si="44"/>
        <v>500000000</v>
      </c>
      <c r="R83" s="1770">
        <f t="shared" si="44"/>
        <v>-100000000</v>
      </c>
      <c r="S83" s="1770">
        <f t="shared" si="44"/>
        <v>0</v>
      </c>
      <c r="T83" s="1770">
        <f t="shared" si="44"/>
        <v>0</v>
      </c>
      <c r="U83" s="1770">
        <f t="shared" si="44"/>
        <v>0</v>
      </c>
      <c r="V83" s="1770">
        <f t="shared" si="44"/>
        <v>0</v>
      </c>
      <c r="W83" s="1770">
        <f t="shared" si="44"/>
        <v>100000000</v>
      </c>
      <c r="X83" s="1770">
        <f t="shared" si="44"/>
        <v>100000000</v>
      </c>
      <c r="Y83" s="1770">
        <f t="shared" si="44"/>
        <v>100000000</v>
      </c>
      <c r="Z83" s="1770">
        <f t="shared" si="44"/>
        <v>100000000</v>
      </c>
      <c r="AA83" s="1770">
        <f t="shared" si="44"/>
        <v>-100000000</v>
      </c>
    </row>
    <row r="84" spans="2:27">
      <c r="B84" s="1753"/>
      <c r="D84" s="1433"/>
      <c r="F84" s="1770"/>
      <c r="G84" s="1770"/>
      <c r="H84" s="1770"/>
      <c r="I84" s="1770"/>
      <c r="J84" s="1770"/>
      <c r="K84" s="1770"/>
      <c r="L84" s="1770"/>
      <c r="M84" s="1770"/>
      <c r="N84" s="1770"/>
      <c r="O84" s="1770"/>
      <c r="P84" s="1770"/>
      <c r="Q84" s="1770"/>
      <c r="R84" s="1770"/>
      <c r="S84" s="1770"/>
      <c r="T84" s="1770"/>
      <c r="U84" s="1433"/>
      <c r="V84" s="1433"/>
      <c r="W84" s="1433"/>
      <c r="X84" s="1433"/>
      <c r="Y84" s="1433"/>
    </row>
    <row r="85" spans="2:27">
      <c r="D85" s="1433"/>
      <c r="E85" s="1450"/>
      <c r="F85" s="1770"/>
      <c r="G85" s="1770"/>
      <c r="H85" s="1770"/>
      <c r="I85" s="1770"/>
      <c r="J85" s="1770"/>
      <c r="K85" s="1770"/>
      <c r="L85" s="1770"/>
      <c r="M85" s="1770"/>
      <c r="N85" s="1770"/>
      <c r="O85" s="1770"/>
      <c r="P85" s="1770"/>
      <c r="Q85" s="1771"/>
      <c r="R85" s="1770"/>
      <c r="S85" s="1770"/>
      <c r="T85" s="1770"/>
      <c r="U85" s="1433"/>
      <c r="V85" s="1433"/>
      <c r="W85" s="1433"/>
      <c r="X85" s="1433"/>
      <c r="Y85" s="1433"/>
    </row>
    <row r="86" spans="2:27">
      <c r="B86" s="1435" t="s">
        <v>153</v>
      </c>
      <c r="D86" s="1433"/>
      <c r="F86" s="1435" t="b">
        <f>IF(F32&lt;0, (F32/F18)*100)</f>
        <v>0</v>
      </c>
      <c r="G86" s="1435" t="b">
        <f t="shared" ref="G86:S86" si="45">IF(G32&lt;0, (G32/G18)*100)</f>
        <v>0</v>
      </c>
      <c r="H86" s="1435" t="b">
        <f t="shared" si="45"/>
        <v>0</v>
      </c>
      <c r="I86" s="1435" t="b">
        <f t="shared" si="45"/>
        <v>0</v>
      </c>
      <c r="J86" s="1435" t="b">
        <f t="shared" si="45"/>
        <v>0</v>
      </c>
      <c r="K86" s="1435" t="b">
        <f t="shared" si="45"/>
        <v>0</v>
      </c>
      <c r="L86" s="1435" t="b">
        <f t="shared" si="45"/>
        <v>0</v>
      </c>
      <c r="M86" s="1435" t="b">
        <f t="shared" si="45"/>
        <v>0</v>
      </c>
      <c r="N86" s="1435" t="b">
        <f t="shared" si="45"/>
        <v>0</v>
      </c>
      <c r="O86" s="1435" t="b">
        <f t="shared" si="45"/>
        <v>0</v>
      </c>
      <c r="P86" s="1435" t="b">
        <f t="shared" si="45"/>
        <v>0</v>
      </c>
      <c r="Q86" s="1435" t="b">
        <f t="shared" si="45"/>
        <v>0</v>
      </c>
      <c r="R86" s="1435" t="b">
        <f t="shared" si="45"/>
        <v>0</v>
      </c>
      <c r="S86" s="1435" t="b">
        <f t="shared" si="45"/>
        <v>0</v>
      </c>
      <c r="T86" s="1435" t="b">
        <f>IF(T32&lt;0, (T32/T18)*100)</f>
        <v>0</v>
      </c>
      <c r="U86" s="1433"/>
      <c r="V86" s="1433"/>
      <c r="W86" s="1433"/>
      <c r="X86" s="1433"/>
      <c r="Y86" s="1433"/>
    </row>
    <row r="87" spans="2:27">
      <c r="B87" s="1753"/>
      <c r="D87" s="1433"/>
      <c r="F87" s="1770"/>
      <c r="G87" s="1770"/>
      <c r="H87" s="1770"/>
      <c r="I87" s="1770"/>
      <c r="J87" s="1770"/>
      <c r="K87" s="1770"/>
      <c r="L87" s="1770"/>
      <c r="M87" s="1770"/>
      <c r="N87" s="1770"/>
      <c r="O87" s="1770"/>
      <c r="P87" s="1770"/>
      <c r="Q87" s="1772"/>
      <c r="R87" s="1770"/>
      <c r="S87" s="1770"/>
      <c r="T87" s="1433"/>
      <c r="U87" s="1433"/>
      <c r="V87" s="1433"/>
      <c r="W87" s="1433"/>
      <c r="X87" s="1433"/>
      <c r="Y87" s="1433"/>
      <c r="Z87" s="1433"/>
    </row>
    <row r="88" spans="2:27">
      <c r="B88" s="1753"/>
      <c r="D88" s="1433"/>
      <c r="F88" s="1770"/>
      <c r="G88" s="1770"/>
      <c r="H88" s="1770"/>
      <c r="I88" s="1770"/>
      <c r="J88" s="1770"/>
      <c r="K88" s="1770"/>
      <c r="L88" s="1770"/>
      <c r="M88" s="1770"/>
      <c r="N88" s="1770"/>
      <c r="O88" s="1770"/>
      <c r="P88" s="1770"/>
      <c r="Q88" s="1772"/>
      <c r="R88" s="1770"/>
      <c r="S88" s="1770"/>
      <c r="T88" s="1433"/>
      <c r="U88" s="1433"/>
      <c r="V88" s="1433"/>
      <c r="W88" s="1433"/>
      <c r="X88" s="1433"/>
      <c r="Y88" s="1433"/>
    </row>
    <row r="89" spans="2:27">
      <c r="B89" s="1753"/>
      <c r="D89" s="1433"/>
      <c r="F89" s="1770"/>
      <c r="G89" s="1770"/>
      <c r="H89" s="1770"/>
      <c r="I89" s="1770"/>
      <c r="J89" s="1770"/>
      <c r="K89" s="1770"/>
      <c r="L89" s="1770"/>
      <c r="M89" s="1770"/>
      <c r="N89" s="1770"/>
      <c r="O89" s="1770"/>
      <c r="P89" s="1770"/>
      <c r="Q89" s="1770"/>
      <c r="R89" s="1770"/>
      <c r="S89" s="1770"/>
      <c r="T89" s="1433"/>
      <c r="U89" s="1433"/>
      <c r="V89" s="1433"/>
      <c r="W89" s="1433"/>
      <c r="X89" s="1433"/>
      <c r="Y89" s="1433"/>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V9" sqref="V9:V10"/>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4805</v>
      </c>
      <c r="B1" s="82" t="s">
        <v>4806</v>
      </c>
      <c r="C1" s="82"/>
      <c r="D1" s="27"/>
      <c r="E1" s="27"/>
      <c r="F1" s="27"/>
      <c r="G1" s="27"/>
      <c r="H1" s="27"/>
      <c r="I1" s="27"/>
      <c r="J1" s="27"/>
      <c r="K1" s="27"/>
      <c r="L1" s="27"/>
      <c r="M1" s="27"/>
      <c r="N1" s="28"/>
      <c r="O1" s="28"/>
      <c r="P1" s="28"/>
      <c r="Q1" s="29"/>
      <c r="R1" s="28"/>
      <c r="S1" s="28"/>
      <c r="T1" s="28"/>
      <c r="U1" s="28"/>
      <c r="V1" s="28"/>
      <c r="W1" s="28"/>
    </row>
    <row r="2" spans="1:23">
      <c r="B2" s="30" t="s">
        <v>4807</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59" t="s">
        <v>33</v>
      </c>
      <c r="B6" s="55" t="s">
        <v>1359</v>
      </c>
      <c r="C6" s="239" t="s">
        <v>35</v>
      </c>
      <c r="K6" s="265">
        <f>K7+K14</f>
        <v>3285200000000</v>
      </c>
      <c r="L6" s="265">
        <f>L7+L14</f>
        <v>3752300000000</v>
      </c>
      <c r="M6" s="265">
        <f>M7+M14</f>
        <v>3739460000000</v>
      </c>
      <c r="N6" s="265">
        <f t="shared" ref="N6:O6" si="0">N7+N14</f>
        <v>4550360000000</v>
      </c>
      <c r="O6" s="174">
        <f t="shared" si="0"/>
        <v>5222220000000</v>
      </c>
      <c r="P6" s="174">
        <v>9754000000000</v>
      </c>
      <c r="Q6" s="718">
        <v>11660000000000</v>
      </c>
      <c r="R6" s="718">
        <v>14340000000000</v>
      </c>
      <c r="S6" s="718">
        <f>S7+S14</f>
        <v>13619000000000</v>
      </c>
      <c r="T6" s="718">
        <f>T7+T14</f>
        <v>15001000000000</v>
      </c>
      <c r="U6" s="718">
        <f>U7+U14</f>
        <v>16458000000000</v>
      </c>
      <c r="V6" s="718">
        <f>V7+V14</f>
        <v>18834000000000</v>
      </c>
      <c r="W6" s="718">
        <f>W7+W14</f>
        <v>21617000000000</v>
      </c>
    </row>
    <row r="7" spans="1:23" ht="16.5">
      <c r="A7" s="20" t="s">
        <v>370</v>
      </c>
      <c r="B7" s="58" t="s">
        <v>824</v>
      </c>
      <c r="C7" s="11" t="s">
        <v>38</v>
      </c>
      <c r="K7" s="266">
        <f>K8+K11+K12+K13</f>
        <v>3285000000000</v>
      </c>
      <c r="L7" s="266">
        <f t="shared" ref="L7:N7" si="1">L8+L11+L12+L13</f>
        <v>3752000000000</v>
      </c>
      <c r="M7" s="266">
        <f t="shared" si="1"/>
        <v>3739000000000</v>
      </c>
      <c r="N7" s="266">
        <f t="shared" si="1"/>
        <v>4550000000000</v>
      </c>
      <c r="O7" s="141">
        <f>O8+O11+O12+O13</f>
        <v>5222000000000</v>
      </c>
      <c r="P7" s="141">
        <f t="shared" ref="P7:W7" si="2">P8+P11+P12+P13</f>
        <v>9729000000000</v>
      </c>
      <c r="Q7" s="719">
        <f t="shared" si="2"/>
        <v>11514000000000</v>
      </c>
      <c r="R7" s="719">
        <f t="shared" si="2"/>
        <v>14136000000000</v>
      </c>
      <c r="S7" s="719">
        <f t="shared" si="2"/>
        <v>13324000000000</v>
      </c>
      <c r="T7" s="719">
        <f t="shared" si="2"/>
        <v>14709000000000</v>
      </c>
      <c r="U7" s="719">
        <f t="shared" si="2"/>
        <v>15916000000000</v>
      </c>
      <c r="V7" s="719">
        <f t="shared" si="2"/>
        <v>18215000000000</v>
      </c>
      <c r="W7" s="719">
        <f t="shared" si="2"/>
        <v>20908000000000</v>
      </c>
    </row>
    <row r="8" spans="1:23" ht="16.5">
      <c r="A8" s="64" t="s">
        <v>39</v>
      </c>
      <c r="B8" s="64" t="s">
        <v>731</v>
      </c>
      <c r="C8" s="11" t="s">
        <v>41</v>
      </c>
      <c r="K8" s="266">
        <v>875000000000</v>
      </c>
      <c r="L8" s="266">
        <v>1045000000000</v>
      </c>
      <c r="M8" s="267">
        <v>1077000000000</v>
      </c>
      <c r="N8" s="268">
        <v>1318000000000</v>
      </c>
      <c r="O8" s="135">
        <v>1678000000000</v>
      </c>
      <c r="P8" s="135">
        <v>3244000000000</v>
      </c>
      <c r="Q8" s="720">
        <v>4236000000000</v>
      </c>
      <c r="R8" s="720">
        <v>5076000000000</v>
      </c>
      <c r="S8" s="720">
        <v>5442000000000</v>
      </c>
      <c r="T8" s="720">
        <f>T9+T10</f>
        <v>6189000000000</v>
      </c>
      <c r="U8" s="720">
        <v>7278000000000</v>
      </c>
      <c r="V8" s="720">
        <v>8621000000000</v>
      </c>
      <c r="W8" s="720">
        <f>W9+W10</f>
        <v>10240000000000</v>
      </c>
    </row>
    <row r="9" spans="1:23" ht="16.5">
      <c r="A9" s="374" t="s">
        <v>4809</v>
      </c>
      <c r="B9" s="375" t="s">
        <v>4809</v>
      </c>
      <c r="C9" s="11" t="s">
        <v>44</v>
      </c>
      <c r="K9" s="266"/>
      <c r="L9" s="266"/>
      <c r="M9" s="267"/>
      <c r="N9" s="268"/>
      <c r="O9" s="135"/>
      <c r="P9" s="135">
        <v>1942000000000</v>
      </c>
      <c r="Q9" s="720">
        <v>3221000000000</v>
      </c>
      <c r="R9" s="720">
        <v>3681000000000</v>
      </c>
      <c r="S9" s="720">
        <v>4410000000000</v>
      </c>
      <c r="T9" s="720">
        <v>5465000000000</v>
      </c>
      <c r="U9" s="720">
        <v>6429000000000</v>
      </c>
      <c r="V9" s="720">
        <v>7602000000000</v>
      </c>
      <c r="W9" s="720">
        <v>9071000000000</v>
      </c>
    </row>
    <row r="10" spans="1:23" ht="16.5">
      <c r="A10" s="639" t="s">
        <v>4810</v>
      </c>
      <c r="B10" s="640" t="s">
        <v>4810</v>
      </c>
      <c r="C10" s="11" t="s">
        <v>44</v>
      </c>
      <c r="K10" s="266"/>
      <c r="L10" s="266"/>
      <c r="M10" s="267"/>
      <c r="N10" s="268"/>
      <c r="O10" s="135"/>
      <c r="P10" s="135">
        <v>1302000000000</v>
      </c>
      <c r="Q10" s="720">
        <v>1015000000000</v>
      </c>
      <c r="R10" s="720">
        <v>1395000000000</v>
      </c>
      <c r="S10" s="720">
        <v>1032000000000</v>
      </c>
      <c r="T10" s="720">
        <v>724000000000</v>
      </c>
      <c r="U10" s="720">
        <v>849000000000</v>
      </c>
      <c r="V10" s="720">
        <v>1019000000000</v>
      </c>
      <c r="W10" s="720">
        <v>1169000000000</v>
      </c>
    </row>
    <row r="11" spans="1:23">
      <c r="A11" s="64" t="s">
        <v>4811</v>
      </c>
      <c r="B11" s="64" t="s">
        <v>4812</v>
      </c>
      <c r="C11" s="11" t="s">
        <v>41</v>
      </c>
      <c r="K11" s="267"/>
      <c r="L11" s="267"/>
      <c r="M11" s="269">
        <v>793000000000</v>
      </c>
      <c r="N11" s="268">
        <v>783000000000</v>
      </c>
      <c r="O11" s="135">
        <v>988000000000</v>
      </c>
      <c r="P11" s="135">
        <v>774000000000</v>
      </c>
      <c r="Q11" s="720">
        <v>746000000000</v>
      </c>
      <c r="R11" s="720">
        <v>538000000000</v>
      </c>
      <c r="S11" s="720">
        <v>819000000000</v>
      </c>
      <c r="T11" s="720">
        <v>595000000000</v>
      </c>
      <c r="U11" s="720">
        <v>632000000000</v>
      </c>
      <c r="V11" s="720">
        <v>793000000000</v>
      </c>
      <c r="W11" s="720">
        <v>927000000000</v>
      </c>
    </row>
    <row r="12" spans="1:23">
      <c r="A12" s="64" t="s">
        <v>4813</v>
      </c>
      <c r="B12" s="64" t="s">
        <v>4814</v>
      </c>
      <c r="C12" s="11" t="s">
        <v>41</v>
      </c>
      <c r="K12" s="267"/>
      <c r="L12" s="267"/>
      <c r="M12" s="269">
        <v>1706000000000</v>
      </c>
      <c r="N12" s="268">
        <v>2022000000000</v>
      </c>
      <c r="O12" s="135">
        <v>2376000000000</v>
      </c>
      <c r="P12" s="135">
        <v>5258000000000</v>
      </c>
      <c r="Q12" s="720">
        <v>5652000000000</v>
      </c>
      <c r="R12" s="720">
        <v>6199000000000</v>
      </c>
      <c r="S12" s="720">
        <v>5378000000000</v>
      </c>
      <c r="T12" s="720">
        <v>6156000000000</v>
      </c>
      <c r="U12" s="720">
        <v>6278000000000</v>
      </c>
      <c r="V12" s="720">
        <v>7256000000000</v>
      </c>
      <c r="W12" s="720">
        <v>8184000000000</v>
      </c>
    </row>
    <row r="13" spans="1:23" ht="16.5">
      <c r="A13" s="86" t="s">
        <v>377</v>
      </c>
      <c r="B13" s="64" t="s">
        <v>4815</v>
      </c>
      <c r="C13" s="11" t="s">
        <v>41</v>
      </c>
      <c r="K13" s="266">
        <v>2410000000000</v>
      </c>
      <c r="L13" s="266">
        <v>2707000000000</v>
      </c>
      <c r="M13" s="269">
        <v>163000000000</v>
      </c>
      <c r="N13" s="268">
        <v>427000000000</v>
      </c>
      <c r="O13" s="135">
        <v>180000000000</v>
      </c>
      <c r="P13" s="135">
        <v>453000000000</v>
      </c>
      <c r="Q13" s="720">
        <v>880000000000</v>
      </c>
      <c r="R13" s="720">
        <v>2323000000000</v>
      </c>
      <c r="S13" s="720">
        <v>1685000000000</v>
      </c>
      <c r="T13" s="720">
        <v>1769000000000</v>
      </c>
      <c r="U13" s="720">
        <v>1728000000000</v>
      </c>
      <c r="V13" s="720">
        <v>1545000000000</v>
      </c>
      <c r="W13" s="720">
        <v>1557000000000</v>
      </c>
    </row>
    <row r="14" spans="1:23" s="9" customFormat="1" ht="16.5">
      <c r="A14" s="55" t="s">
        <v>53</v>
      </c>
      <c r="B14" s="55" t="s">
        <v>53</v>
      </c>
      <c r="C14" s="137" t="s">
        <v>38</v>
      </c>
      <c r="K14" s="265">
        <v>200000000</v>
      </c>
      <c r="L14" s="265">
        <v>300000000</v>
      </c>
      <c r="M14" s="270">
        <v>460000000</v>
      </c>
      <c r="N14" s="271">
        <v>360000000</v>
      </c>
      <c r="O14" s="134">
        <v>220000000</v>
      </c>
      <c r="P14" s="134">
        <v>26000000000</v>
      </c>
      <c r="Q14" s="721">
        <v>146000000000</v>
      </c>
      <c r="R14" s="721">
        <v>204000000000</v>
      </c>
      <c r="S14" s="721">
        <v>295000000000</v>
      </c>
      <c r="T14" s="711">
        <v>292000000000</v>
      </c>
      <c r="U14" s="711">
        <v>542000000000</v>
      </c>
      <c r="V14" s="711">
        <v>619000000000</v>
      </c>
      <c r="W14" s="711">
        <v>709000000000</v>
      </c>
    </row>
    <row r="15" spans="1:23" s="9" customFormat="1" ht="16.5">
      <c r="A15" s="20" t="s">
        <v>71</v>
      </c>
      <c r="B15" s="55" t="s">
        <v>535</v>
      </c>
      <c r="C15" s="239" t="s">
        <v>35</v>
      </c>
      <c r="K15" s="265">
        <v>4177000000000</v>
      </c>
      <c r="L15" s="265">
        <v>4450000000000</v>
      </c>
      <c r="M15" s="270">
        <v>5463000000000</v>
      </c>
      <c r="N15" s="271">
        <v>6722000000000</v>
      </c>
      <c r="O15" s="134">
        <v>7208000000000</v>
      </c>
      <c r="P15" s="134">
        <v>9270000000000</v>
      </c>
      <c r="Q15" s="721">
        <f>Q16+Q19</f>
        <v>12440656000000</v>
      </c>
      <c r="R15" s="721">
        <f t="shared" ref="R15:W15" si="3">R16+R19</f>
        <v>14956182000000</v>
      </c>
      <c r="S15" s="721">
        <f t="shared" si="3"/>
        <v>16849094000000</v>
      </c>
      <c r="T15" s="721">
        <f t="shared" si="3"/>
        <v>17006129999999.998</v>
      </c>
      <c r="U15" s="721">
        <f t="shared" si="3"/>
        <v>19627578000000</v>
      </c>
      <c r="V15" s="721">
        <f t="shared" si="3"/>
        <v>22983580000000</v>
      </c>
      <c r="W15" s="721">
        <f t="shared" si="3"/>
        <v>26474465000000</v>
      </c>
    </row>
    <row r="16" spans="1:23" ht="16.5">
      <c r="A16" s="203" t="s">
        <v>655</v>
      </c>
      <c r="B16" s="58" t="s">
        <v>382</v>
      </c>
      <c r="C16" s="11" t="s">
        <v>75</v>
      </c>
      <c r="K16" s="266">
        <v>2557000000000</v>
      </c>
      <c r="L16" s="266">
        <v>2767000000000</v>
      </c>
      <c r="M16" s="269">
        <v>3035000000000</v>
      </c>
      <c r="N16" s="268">
        <v>3519000000000</v>
      </c>
      <c r="O16" s="135">
        <v>4259000000000</v>
      </c>
      <c r="P16" s="135">
        <v>5383000000000</v>
      </c>
      <c r="Q16" s="720">
        <f>Q17+Q18</f>
        <v>8005656000000.001</v>
      </c>
      <c r="R16" s="720">
        <f t="shared" ref="R16:W16" si="4">R17+R18</f>
        <v>10507182000000</v>
      </c>
      <c r="S16" s="720">
        <f t="shared" si="4"/>
        <v>12434094000000</v>
      </c>
      <c r="T16" s="720">
        <f t="shared" si="4"/>
        <v>13154129999999.998</v>
      </c>
      <c r="U16" s="720">
        <f t="shared" si="4"/>
        <v>14623578000000</v>
      </c>
      <c r="V16" s="720">
        <f t="shared" si="4"/>
        <v>16907580000000.002</v>
      </c>
      <c r="W16" s="720">
        <f t="shared" si="4"/>
        <v>19506465000000</v>
      </c>
    </row>
    <row r="17" spans="1:23">
      <c r="A17" s="64" t="s">
        <v>4816</v>
      </c>
      <c r="B17" s="64" t="s">
        <v>4817</v>
      </c>
      <c r="C17" s="11" t="s">
        <v>81</v>
      </c>
      <c r="K17" s="267"/>
      <c r="L17" s="267"/>
      <c r="M17" s="269">
        <v>1159000000000</v>
      </c>
      <c r="N17" s="268">
        <v>1548000000000</v>
      </c>
      <c r="O17" s="135">
        <v>1945000000000</v>
      </c>
      <c r="P17" s="135">
        <v>3844000000000</v>
      </c>
      <c r="Q17" s="720">
        <v>4292888000000.001</v>
      </c>
      <c r="R17" s="720">
        <v>6134628000000</v>
      </c>
      <c r="S17" s="720">
        <v>7707684000000</v>
      </c>
      <c r="T17" s="720">
        <v>8530253999999.999</v>
      </c>
      <c r="U17" s="720">
        <v>9478244999999.998</v>
      </c>
      <c r="V17" s="720">
        <v>11134260000000.002</v>
      </c>
      <c r="W17" s="720">
        <v>13122531000000</v>
      </c>
    </row>
    <row r="18" spans="1:23">
      <c r="A18" s="695" t="s">
        <v>4818</v>
      </c>
      <c r="B18" s="64" t="s">
        <v>4819</v>
      </c>
      <c r="C18" s="11" t="s">
        <v>81</v>
      </c>
      <c r="K18" s="267"/>
      <c r="L18" s="267"/>
      <c r="M18" s="269">
        <v>1875000000000</v>
      </c>
      <c r="N18" s="268">
        <v>1971000000000</v>
      </c>
      <c r="O18" s="135">
        <v>2314000000000</v>
      </c>
      <c r="P18" s="135">
        <v>1539000000000</v>
      </c>
      <c r="Q18" s="720">
        <v>3712768000000</v>
      </c>
      <c r="R18" s="720">
        <v>4372554000000</v>
      </c>
      <c r="S18" s="720">
        <v>4726410000000</v>
      </c>
      <c r="T18" s="720">
        <v>4623875999999.999</v>
      </c>
      <c r="U18" s="720">
        <v>5145333000000.001</v>
      </c>
      <c r="V18" s="720">
        <v>5773320000000</v>
      </c>
      <c r="W18" s="720">
        <v>6383934000000.001</v>
      </c>
    </row>
    <row r="19" spans="1:23" ht="16.5">
      <c r="A19" s="203" t="s">
        <v>237</v>
      </c>
      <c r="B19" s="58" t="s">
        <v>1186</v>
      </c>
      <c r="C19" s="11" t="s">
        <v>75</v>
      </c>
      <c r="K19" s="266">
        <v>1620000000000</v>
      </c>
      <c r="L19" s="266">
        <v>1683000000000</v>
      </c>
      <c r="M19" s="269">
        <v>2428000000000</v>
      </c>
      <c r="N19" s="268">
        <v>3203000000000</v>
      </c>
      <c r="O19" s="135">
        <v>2949000000000</v>
      </c>
      <c r="P19" s="135">
        <v>3887000000000</v>
      </c>
      <c r="Q19" s="720">
        <v>4435000000000</v>
      </c>
      <c r="R19" s="720">
        <v>4449000000000</v>
      </c>
      <c r="S19" s="720">
        <v>4415000000000</v>
      </c>
      <c r="T19" s="720">
        <v>3852000000000</v>
      </c>
      <c r="U19" s="720">
        <v>5004000000000</v>
      </c>
      <c r="V19" s="720">
        <v>6076000000000</v>
      </c>
      <c r="W19" s="720">
        <v>6968000000000</v>
      </c>
    </row>
    <row r="20" spans="1:23">
      <c r="A20" s="64" t="s">
        <v>4816</v>
      </c>
      <c r="B20" s="64" t="s">
        <v>4817</v>
      </c>
      <c r="C20" s="11" t="s">
        <v>95</v>
      </c>
      <c r="K20" s="267"/>
      <c r="L20" s="267"/>
      <c r="M20" s="269">
        <v>2016000000000</v>
      </c>
      <c r="N20" s="268">
        <v>2831000000000</v>
      </c>
      <c r="O20" s="135">
        <v>2572000000000</v>
      </c>
      <c r="P20" s="135"/>
      <c r="Q20" s="720">
        <v>3306684000000</v>
      </c>
      <c r="R20" s="720">
        <v>3458886000000</v>
      </c>
      <c r="S20" s="720">
        <v>3490272000000</v>
      </c>
      <c r="T20" s="720">
        <v>3109158000000</v>
      </c>
      <c r="U20" s="720">
        <v>3971836000000</v>
      </c>
      <c r="V20" s="720">
        <v>4845465000000</v>
      </c>
      <c r="W20" s="720">
        <v>5674608000000</v>
      </c>
    </row>
    <row r="21" spans="1:23">
      <c r="A21" s="64" t="s">
        <v>4820</v>
      </c>
      <c r="B21" s="64" t="s">
        <v>4810</v>
      </c>
      <c r="C21" s="11" t="s">
        <v>95</v>
      </c>
      <c r="K21" s="267"/>
      <c r="L21" s="267"/>
      <c r="M21" s="269">
        <v>412000000000</v>
      </c>
      <c r="N21" s="268">
        <v>372000000000</v>
      </c>
      <c r="O21" s="135">
        <v>377000000000</v>
      </c>
      <c r="P21" s="135"/>
      <c r="Q21" s="720">
        <f>Q19-Q20</f>
        <v>1128316000000</v>
      </c>
      <c r="R21" s="720">
        <f t="shared" ref="R21:W21" si="5">R19-R20</f>
        <v>990114000000</v>
      </c>
      <c r="S21" s="720">
        <f t="shared" si="5"/>
        <v>924728000000</v>
      </c>
      <c r="T21" s="720">
        <f t="shared" si="5"/>
        <v>742842000000</v>
      </c>
      <c r="U21" s="720">
        <f t="shared" si="5"/>
        <v>1032164000000</v>
      </c>
      <c r="V21" s="720">
        <f t="shared" si="5"/>
        <v>1230535000000</v>
      </c>
      <c r="W21" s="720">
        <f t="shared" si="5"/>
        <v>1293392000000</v>
      </c>
    </row>
    <row r="22" spans="1:23" ht="16.5">
      <c r="A22" t="s">
        <v>76</v>
      </c>
      <c r="B22" s="58" t="s">
        <v>1019</v>
      </c>
      <c r="K22" s="266">
        <v>728000000000</v>
      </c>
      <c r="L22" s="266">
        <v>985000000000</v>
      </c>
      <c r="M22" s="269">
        <v>705000000000</v>
      </c>
      <c r="N22" s="268">
        <v>1033000000000</v>
      </c>
      <c r="O22" s="135"/>
      <c r="P22" s="135"/>
      <c r="Q22" s="720"/>
      <c r="R22" s="720"/>
      <c r="S22" s="720"/>
      <c r="T22" s="717"/>
      <c r="U22" s="717"/>
      <c r="V22" s="717"/>
      <c r="W22" s="717"/>
    </row>
    <row r="23" spans="1:23">
      <c r="A23" t="s">
        <v>76</v>
      </c>
      <c r="B23" s="64" t="s">
        <v>4817</v>
      </c>
      <c r="K23" s="267"/>
      <c r="L23" s="267"/>
      <c r="M23" s="269">
        <v>875000000000</v>
      </c>
      <c r="N23" s="268">
        <v>982000000000</v>
      </c>
      <c r="O23" s="135"/>
      <c r="P23" s="135"/>
      <c r="Q23" s="720"/>
      <c r="R23" s="720"/>
      <c r="S23" s="720"/>
      <c r="T23" s="717"/>
      <c r="U23" s="717"/>
      <c r="V23" s="717"/>
      <c r="W23" s="717"/>
    </row>
    <row r="24" spans="1:23">
      <c r="A24" s="607" t="s">
        <v>4810</v>
      </c>
      <c r="B24" s="64" t="s">
        <v>4819</v>
      </c>
      <c r="K24" s="267"/>
      <c r="L24" s="267"/>
      <c r="M24" s="269">
        <v>-169000000000</v>
      </c>
      <c r="N24" s="268">
        <v>51000000000</v>
      </c>
      <c r="O24" s="135"/>
      <c r="P24" s="135"/>
      <c r="Q24" s="720"/>
      <c r="R24" s="720"/>
      <c r="S24" s="720"/>
      <c r="T24" s="717"/>
      <c r="U24" s="717"/>
      <c r="V24" s="717"/>
      <c r="W24" s="717"/>
    </row>
    <row r="25" spans="1:23" ht="16.5">
      <c r="A25" t="s">
        <v>76</v>
      </c>
      <c r="B25" s="58" t="s">
        <v>4821</v>
      </c>
      <c r="K25" s="266">
        <v>-892000000000</v>
      </c>
      <c r="L25" s="266">
        <v>-697000000000</v>
      </c>
      <c r="M25" s="269">
        <v>-1723000000000</v>
      </c>
      <c r="N25" s="268">
        <v>-2171000000000</v>
      </c>
      <c r="O25" s="135">
        <v>-1986000000000</v>
      </c>
      <c r="P25" s="135">
        <v>484000000000</v>
      </c>
      <c r="Q25" s="720"/>
      <c r="R25" s="720"/>
      <c r="S25" s="720"/>
      <c r="T25" s="720"/>
      <c r="U25" s="720"/>
      <c r="V25" s="720"/>
      <c r="W25" s="720"/>
    </row>
    <row r="26" spans="1:23" ht="16.5">
      <c r="B26" s="633" t="s">
        <v>4822</v>
      </c>
      <c r="K26" s="266"/>
      <c r="L26" s="266"/>
      <c r="M26" s="269"/>
      <c r="N26" s="268"/>
      <c r="O26" s="135"/>
      <c r="P26" s="135"/>
      <c r="Q26" s="720">
        <v>-781000000000</v>
      </c>
      <c r="R26" s="720">
        <v>-612000000000</v>
      </c>
      <c r="S26" s="720">
        <v>-3214000000000</v>
      </c>
      <c r="T26" s="720">
        <v>-2006000000000</v>
      </c>
      <c r="U26" s="720">
        <v>-3151000000000</v>
      </c>
      <c r="V26" s="720">
        <v>-4114000000000</v>
      </c>
      <c r="W26" s="720">
        <v>-4850000000000</v>
      </c>
    </row>
    <row r="27" spans="1:23">
      <c r="A27" t="s">
        <v>76</v>
      </c>
      <c r="B27" s="64" t="s">
        <v>4817</v>
      </c>
      <c r="K27" s="267"/>
      <c r="L27" s="267"/>
      <c r="M27" s="269">
        <v>-1141000000000</v>
      </c>
      <c r="N27" s="268">
        <v>-1850000000000</v>
      </c>
      <c r="O27" s="135">
        <v>-1671000000000</v>
      </c>
      <c r="P27" s="135"/>
      <c r="Q27" s="720"/>
      <c r="R27" s="720"/>
      <c r="S27" s="720"/>
      <c r="T27" s="720"/>
      <c r="U27" s="720"/>
      <c r="V27" s="720"/>
      <c r="W27" s="720"/>
    </row>
    <row r="28" spans="1:23">
      <c r="A28" t="s">
        <v>76</v>
      </c>
      <c r="B28" s="64" t="s">
        <v>4819</v>
      </c>
      <c r="K28" s="267"/>
      <c r="L28" s="267"/>
      <c r="M28" s="269">
        <v>-581000000000</v>
      </c>
      <c r="N28" s="268">
        <v>-321000000000</v>
      </c>
      <c r="O28" s="135">
        <v>-377000000000</v>
      </c>
      <c r="P28" s="135"/>
      <c r="Q28" s="720"/>
      <c r="R28" s="720"/>
      <c r="S28" s="720"/>
      <c r="T28" s="720"/>
      <c r="U28" s="720"/>
      <c r="V28" s="720"/>
      <c r="W28" s="720"/>
    </row>
    <row r="29" spans="1:23" s="9" customFormat="1" ht="16.5">
      <c r="A29" s="55" t="s">
        <v>115</v>
      </c>
      <c r="B29" s="55" t="s">
        <v>115</v>
      </c>
      <c r="C29" s="239" t="s">
        <v>35</v>
      </c>
      <c r="K29" s="265">
        <v>892000000000</v>
      </c>
      <c r="L29" s="352">
        <f>L30+L31</f>
        <v>697700000000</v>
      </c>
      <c r="M29" s="270">
        <v>1723000000000</v>
      </c>
      <c r="N29" s="271">
        <v>2171000000000</v>
      </c>
      <c r="O29" s="134">
        <v>1986000000000</v>
      </c>
      <c r="P29" s="134">
        <v>-484000000000</v>
      </c>
      <c r="Q29" s="721">
        <v>1348000000000</v>
      </c>
      <c r="R29" s="721">
        <v>1471000000000</v>
      </c>
      <c r="S29" s="721">
        <v>3910000000000</v>
      </c>
      <c r="T29" s="711">
        <v>2603000000000</v>
      </c>
      <c r="U29" s="711">
        <v>3151000000000</v>
      </c>
      <c r="V29" s="711">
        <v>4114000000000</v>
      </c>
      <c r="W29" s="711">
        <v>4850000000000</v>
      </c>
    </row>
    <row r="30" spans="1:23" ht="16.5">
      <c r="A30" s="43" t="s">
        <v>117</v>
      </c>
      <c r="B30" s="58" t="s">
        <v>4823</v>
      </c>
      <c r="C30" s="11" t="s">
        <v>119</v>
      </c>
      <c r="K30" s="266">
        <v>2000000000</v>
      </c>
      <c r="L30" s="266">
        <v>1700000000</v>
      </c>
      <c r="M30" s="269">
        <v>4000000000</v>
      </c>
      <c r="N30" s="268">
        <v>3000000000</v>
      </c>
      <c r="O30" s="135">
        <v>6000000000</v>
      </c>
      <c r="P30" s="135">
        <v>820000000000</v>
      </c>
      <c r="Q30" s="720">
        <v>542000000000</v>
      </c>
      <c r="R30" s="720">
        <v>355000000000</v>
      </c>
      <c r="S30" s="720">
        <v>599000000000</v>
      </c>
      <c r="T30" s="720">
        <v>15000000000</v>
      </c>
      <c r="U30" s="720">
        <v>669000000000</v>
      </c>
      <c r="V30" s="720">
        <v>1933000000000</v>
      </c>
      <c r="W30" s="720">
        <v>1411000000000</v>
      </c>
    </row>
    <row r="31" spans="1:23" ht="16.5">
      <c r="A31" s="43" t="s">
        <v>120</v>
      </c>
      <c r="B31" s="58" t="s">
        <v>4824</v>
      </c>
      <c r="C31" s="11" t="s">
        <v>119</v>
      </c>
      <c r="K31" s="266">
        <v>890000000000</v>
      </c>
      <c r="L31" s="266">
        <v>696000000000</v>
      </c>
      <c r="M31" s="269">
        <v>1719000000000</v>
      </c>
      <c r="N31" s="268">
        <v>2167000000000</v>
      </c>
      <c r="O31" s="135">
        <v>1980000000000</v>
      </c>
      <c r="P31" s="135">
        <v>-1304000000000</v>
      </c>
      <c r="Q31" s="720">
        <v>806000000000</v>
      </c>
      <c r="R31" s="720">
        <v>1116000000000</v>
      </c>
      <c r="S31" s="720">
        <v>3311000000000</v>
      </c>
      <c r="T31" s="720">
        <v>2588000000000</v>
      </c>
      <c r="U31" s="720">
        <v>2482000000000</v>
      </c>
      <c r="V31" s="720">
        <v>2181000000000</v>
      </c>
      <c r="W31" s="720">
        <v>3439000000000</v>
      </c>
    </row>
    <row r="32" spans="1:23" ht="16.5">
      <c r="A32" s="64" t="s">
        <v>4825</v>
      </c>
      <c r="B32" s="64" t="s">
        <v>4826</v>
      </c>
      <c r="C32" s="90" t="s">
        <v>124</v>
      </c>
      <c r="K32" s="266">
        <v>641000000000</v>
      </c>
      <c r="L32" s="266">
        <v>852000000000</v>
      </c>
      <c r="M32" s="269">
        <v>1189000000000</v>
      </c>
      <c r="N32" s="268">
        <v>1407000000000</v>
      </c>
      <c r="O32" s="135">
        <v>790000000000</v>
      </c>
      <c r="P32" s="135">
        <v>645000000000</v>
      </c>
      <c r="Q32" s="720">
        <v>408000000000</v>
      </c>
      <c r="R32" s="720">
        <v>21000000000</v>
      </c>
      <c r="S32" s="720">
        <v>3486000000000</v>
      </c>
      <c r="T32" s="720">
        <v>1471000000000</v>
      </c>
      <c r="U32" s="720">
        <v>745000000000</v>
      </c>
      <c r="V32" s="720">
        <v>436000000000</v>
      </c>
      <c r="W32" s="720">
        <v>344000000000</v>
      </c>
    </row>
    <row r="33" spans="1:24" ht="16.5">
      <c r="A33" s="64" t="s">
        <v>2147</v>
      </c>
      <c r="B33" s="64" t="s">
        <v>1035</v>
      </c>
      <c r="C33" s="90" t="s">
        <v>124</v>
      </c>
      <c r="K33" s="266">
        <v>62000000000</v>
      </c>
      <c r="L33" s="266">
        <v>118000000000</v>
      </c>
      <c r="M33" s="269">
        <v>467000000000</v>
      </c>
      <c r="N33" s="268">
        <v>437000000000</v>
      </c>
      <c r="O33" s="135"/>
      <c r="P33" s="135"/>
      <c r="Q33" s="135"/>
      <c r="R33" s="135"/>
      <c r="S33" s="135"/>
      <c r="T33" s="125"/>
      <c r="U33" s="125"/>
    </row>
    <row r="34" spans="1:24" ht="16.5">
      <c r="A34" s="140" t="s">
        <v>2466</v>
      </c>
      <c r="B34" s="64" t="s">
        <v>4827</v>
      </c>
      <c r="C34" s="90" t="s">
        <v>124</v>
      </c>
      <c r="K34" s="266">
        <v>187000000000</v>
      </c>
      <c r="L34" s="266">
        <v>-274000000000</v>
      </c>
      <c r="M34" s="269">
        <v>63000000000</v>
      </c>
      <c r="N34" s="268">
        <v>323000000000</v>
      </c>
      <c r="O34" s="135">
        <f t="shared" ref="O34:W34" si="6">O31-O33-O32</f>
        <v>1190000000000</v>
      </c>
      <c r="P34" s="135">
        <f>P31-P33-P32</f>
        <v>-1949000000000</v>
      </c>
      <c r="Q34" s="135">
        <f t="shared" si="6"/>
        <v>398000000000</v>
      </c>
      <c r="R34" s="135">
        <f t="shared" si="6"/>
        <v>1095000000000</v>
      </c>
      <c r="S34" s="135">
        <f t="shared" si="6"/>
        <v>-175000000000</v>
      </c>
      <c r="T34" s="135">
        <f t="shared" si="6"/>
        <v>1117000000000</v>
      </c>
      <c r="U34" s="135">
        <f t="shared" si="6"/>
        <v>1737000000000</v>
      </c>
      <c r="V34" s="135">
        <f t="shared" si="6"/>
        <v>1745000000000</v>
      </c>
      <c r="W34" s="135">
        <f t="shared" si="6"/>
        <v>3095000000000</v>
      </c>
    </row>
    <row r="35" spans="1:24" ht="16.5">
      <c r="A35" s="140"/>
      <c r="B35" s="64"/>
      <c r="C35" s="90"/>
      <c r="K35" s="266"/>
      <c r="L35" s="266"/>
      <c r="M35" s="269"/>
      <c r="N35" s="268"/>
      <c r="O35" s="135"/>
      <c r="P35" s="135"/>
      <c r="Q35" s="135"/>
      <c r="R35" s="135"/>
      <c r="S35" s="135"/>
      <c r="T35" s="135"/>
      <c r="U35" s="135"/>
      <c r="V35" s="135"/>
      <c r="W35" s="135"/>
    </row>
    <row r="36" spans="1:24" ht="16.5">
      <c r="A36" s="140"/>
      <c r="B36" s="722" t="s">
        <v>135</v>
      </c>
      <c r="C36" s="90"/>
      <c r="K36" s="266"/>
      <c r="L36" s="266"/>
      <c r="M36" s="269"/>
      <c r="N36" s="268"/>
      <c r="O36" s="135"/>
      <c r="P36" s="135"/>
      <c r="Q36" s="720"/>
      <c r="R36" s="720"/>
      <c r="S36" s="720"/>
      <c r="T36" s="720"/>
      <c r="U36" s="720"/>
      <c r="V36" s="720"/>
      <c r="W36" s="720"/>
      <c r="X36" s="650"/>
    </row>
    <row r="37" spans="1:24" ht="16.5">
      <c r="A37" s="140"/>
      <c r="B37" s="722" t="s">
        <v>275</v>
      </c>
      <c r="C37" s="90"/>
      <c r="K37" s="266"/>
      <c r="L37" s="266"/>
      <c r="M37" s="269"/>
      <c r="N37" s="268"/>
      <c r="O37" s="135"/>
      <c r="P37" s="135"/>
      <c r="Q37" s="720">
        <v>0</v>
      </c>
      <c r="R37" s="720">
        <v>261048000000</v>
      </c>
      <c r="S37" s="720">
        <v>-2326848000000</v>
      </c>
      <c r="T37" s="720">
        <v>-876942000000.00012</v>
      </c>
      <c r="U37" s="720">
        <v>-1985918000000</v>
      </c>
      <c r="V37" s="720">
        <v>-2577375000000</v>
      </c>
      <c r="W37" s="720">
        <v>-2955525000000</v>
      </c>
      <c r="X37" s="650"/>
    </row>
    <row r="38" spans="1:24" ht="16.5">
      <c r="A38" s="140"/>
      <c r="B38" s="722" t="s">
        <v>4828</v>
      </c>
      <c r="C38" s="90"/>
      <c r="K38" s="266"/>
      <c r="L38" s="266"/>
      <c r="M38" s="269"/>
      <c r="N38" s="268"/>
      <c r="O38" s="135"/>
      <c r="P38" s="135"/>
      <c r="Q38" s="720">
        <v>-986204000000.00012</v>
      </c>
      <c r="R38" s="720">
        <v>-2023122000000</v>
      </c>
      <c r="S38" s="720">
        <v>-4071983999999.9995</v>
      </c>
      <c r="T38" s="720">
        <v>-2949714000000.0005</v>
      </c>
      <c r="U38" s="720">
        <v>-3971836000000</v>
      </c>
      <c r="V38" s="720">
        <v>-4845465000000</v>
      </c>
      <c r="W38" s="720">
        <v>-5556387000000</v>
      </c>
      <c r="X38" s="650"/>
    </row>
    <row r="39" spans="1:24" ht="16.5">
      <c r="A39" s="140"/>
      <c r="B39" s="722" t="s">
        <v>4829</v>
      </c>
      <c r="C39" s="90"/>
      <c r="K39" s="266"/>
      <c r="L39" s="266"/>
      <c r="M39" s="269"/>
      <c r="N39" s="268"/>
      <c r="O39" s="135"/>
      <c r="P39" s="135"/>
      <c r="Q39" s="720">
        <v>7599572000000</v>
      </c>
      <c r="R39" s="720">
        <v>9528251999999.998</v>
      </c>
      <c r="S39" s="720">
        <v>11125242000000</v>
      </c>
      <c r="T39" s="720">
        <v>11639411999999.998</v>
      </c>
      <c r="U39" s="720">
        <v>13450081000000</v>
      </c>
      <c r="V39" s="720">
        <v>15979725000000</v>
      </c>
      <c r="W39" s="720">
        <v>18678918000000</v>
      </c>
      <c r="X39" s="650"/>
    </row>
    <row r="40" spans="1:24" ht="16.5">
      <c r="A40" s="140"/>
      <c r="B40" s="722" t="s">
        <v>796</v>
      </c>
      <c r="C40" s="90"/>
      <c r="K40" s="266"/>
      <c r="L40" s="266"/>
      <c r="M40" s="269"/>
      <c r="N40" s="268"/>
      <c r="O40" s="135"/>
      <c r="P40" s="135"/>
      <c r="Q40" s="720">
        <v>4292888000000.001</v>
      </c>
      <c r="R40" s="720">
        <v>6134628000000</v>
      </c>
      <c r="S40" s="720">
        <v>7707684000000</v>
      </c>
      <c r="T40" s="720">
        <v>8530253999999.999</v>
      </c>
      <c r="U40" s="720">
        <v>9478244999999.998</v>
      </c>
      <c r="V40" s="720">
        <v>11134260000000.002</v>
      </c>
      <c r="W40" s="720">
        <v>13122531000000</v>
      </c>
      <c r="X40" s="650"/>
    </row>
    <row r="41" spans="1:24" ht="16.5">
      <c r="A41" s="140"/>
      <c r="B41" s="722" t="s">
        <v>4830</v>
      </c>
      <c r="C41" s="90"/>
      <c r="K41" s="266"/>
      <c r="L41" s="266"/>
      <c r="M41" s="269"/>
      <c r="N41" s="268"/>
      <c r="O41" s="135"/>
      <c r="P41" s="135"/>
      <c r="Q41" s="720">
        <v>1508312000000.0002</v>
      </c>
      <c r="R41" s="720">
        <v>1696812000000.0002</v>
      </c>
      <c r="S41" s="720">
        <v>2181420000000</v>
      </c>
      <c r="T41" s="720">
        <v>2551104000000.0005</v>
      </c>
      <c r="U41" s="720">
        <v>2617801000000</v>
      </c>
      <c r="V41" s="720">
        <v>2989754999999.9995</v>
      </c>
      <c r="W41" s="720">
        <v>3428408999999.9995</v>
      </c>
      <c r="X41" s="650"/>
    </row>
    <row r="42" spans="1:24" ht="16.5">
      <c r="A42" s="140"/>
      <c r="B42" s="722" t="s">
        <v>4831</v>
      </c>
      <c r="C42" s="90"/>
      <c r="K42" s="266"/>
      <c r="L42" s="266"/>
      <c r="M42" s="269"/>
      <c r="N42" s="268"/>
      <c r="O42" s="135"/>
      <c r="P42" s="135"/>
      <c r="Q42" s="720">
        <v>580120000000</v>
      </c>
      <c r="R42" s="720">
        <v>1696812000000.0002</v>
      </c>
      <c r="S42" s="720">
        <v>1963278000000.0002</v>
      </c>
      <c r="T42" s="720">
        <v>2152494000000.0002</v>
      </c>
      <c r="U42" s="720">
        <v>2346994000000</v>
      </c>
      <c r="V42" s="720">
        <v>2783565000000.0005</v>
      </c>
      <c r="W42" s="720">
        <v>3310187999999.9995</v>
      </c>
      <c r="X42" s="650"/>
    </row>
    <row r="43" spans="1:24" ht="16.5">
      <c r="A43" s="140"/>
      <c r="B43" s="722" t="s">
        <v>757</v>
      </c>
      <c r="C43" s="90"/>
      <c r="K43" s="266"/>
      <c r="L43" s="266"/>
      <c r="M43" s="269"/>
      <c r="N43" s="268"/>
      <c r="O43" s="135"/>
      <c r="P43" s="135"/>
      <c r="Q43" s="720">
        <v>2204456000000</v>
      </c>
      <c r="R43" s="720">
        <v>2675741999999.9995</v>
      </c>
      <c r="S43" s="720">
        <v>3562986000000.0005</v>
      </c>
      <c r="T43" s="720">
        <v>3906378000000</v>
      </c>
      <c r="U43" s="720">
        <v>4513450000000</v>
      </c>
      <c r="V43" s="720">
        <v>5257844999999.999</v>
      </c>
      <c r="W43" s="720">
        <v>6383934000000.001</v>
      </c>
      <c r="X43" s="650"/>
    </row>
    <row r="44" spans="1:24" ht="16.5">
      <c r="A44" s="140"/>
      <c r="B44" s="722" t="s">
        <v>4832</v>
      </c>
      <c r="C44" s="90"/>
      <c r="K44" s="266"/>
      <c r="L44" s="266"/>
      <c r="M44" s="269"/>
      <c r="N44" s="268"/>
      <c r="O44" s="135"/>
      <c r="P44" s="135"/>
      <c r="Q44" s="720">
        <v>3306684000000</v>
      </c>
      <c r="R44" s="720">
        <v>3458886000000</v>
      </c>
      <c r="S44" s="720">
        <v>3490272000000</v>
      </c>
      <c r="T44" s="720">
        <v>3109158000000</v>
      </c>
      <c r="U44" s="720">
        <v>3971836000000</v>
      </c>
      <c r="V44" s="720">
        <v>4845465000000</v>
      </c>
      <c r="W44" s="720">
        <v>5674608000000</v>
      </c>
      <c r="X44" s="650"/>
    </row>
    <row r="45" spans="1:24" ht="16.5">
      <c r="A45" s="140"/>
      <c r="B45" s="722" t="s">
        <v>4833</v>
      </c>
      <c r="C45" s="90"/>
      <c r="K45" s="266"/>
      <c r="L45" s="266"/>
      <c r="M45" s="269"/>
      <c r="N45" s="268"/>
      <c r="O45" s="135"/>
      <c r="P45" s="135"/>
      <c r="Q45" s="720">
        <v>7599572000000</v>
      </c>
      <c r="R45" s="720">
        <v>9528251999999.998</v>
      </c>
      <c r="S45" s="720">
        <v>11125242000000</v>
      </c>
      <c r="T45" s="720">
        <v>11639411999999.998</v>
      </c>
      <c r="U45" s="720">
        <v>13450081000000</v>
      </c>
      <c r="V45" s="720">
        <v>15979725000000</v>
      </c>
      <c r="W45" s="720">
        <v>18678918000000</v>
      </c>
      <c r="X45" s="650"/>
    </row>
    <row r="46" spans="1:24" ht="16.5">
      <c r="A46" s="140"/>
      <c r="B46" s="722" t="s">
        <v>4834</v>
      </c>
      <c r="C46" s="90"/>
      <c r="K46" s="266"/>
      <c r="L46" s="266"/>
      <c r="M46" s="269"/>
      <c r="N46" s="268"/>
      <c r="O46" s="135"/>
      <c r="P46" s="135"/>
      <c r="Q46" s="720">
        <v>1334276000000</v>
      </c>
      <c r="R46" s="720">
        <v>1501026000000</v>
      </c>
      <c r="S46" s="720">
        <v>1599708000000</v>
      </c>
      <c r="T46" s="720">
        <v>2311937999999.9995</v>
      </c>
      <c r="U46" s="720">
        <v>2166456000000.0002</v>
      </c>
      <c r="V46" s="720">
        <v>2474280000000</v>
      </c>
      <c r="W46" s="720">
        <v>2837304000000</v>
      </c>
      <c r="X46" s="650"/>
    </row>
    <row r="47" spans="1:24" ht="16.5">
      <c r="A47" s="140"/>
      <c r="B47" s="722" t="s">
        <v>4835</v>
      </c>
      <c r="C47" s="90"/>
      <c r="K47" s="266"/>
      <c r="L47" s="266"/>
      <c r="M47" s="269"/>
      <c r="N47" s="268"/>
      <c r="O47" s="135"/>
      <c r="P47" s="135"/>
      <c r="Q47" s="720">
        <v>1914396000000.0002</v>
      </c>
      <c r="R47" s="720">
        <v>2284170000000</v>
      </c>
      <c r="S47" s="720">
        <v>2908560000000</v>
      </c>
      <c r="T47" s="720">
        <v>3268601999999.9995</v>
      </c>
      <c r="U47" s="720">
        <v>3520491000000</v>
      </c>
      <c r="V47" s="720">
        <v>4226894999999.9995</v>
      </c>
      <c r="W47" s="720">
        <v>5201724000000</v>
      </c>
      <c r="X47" s="650"/>
    </row>
    <row r="48" spans="1:24" ht="16.5">
      <c r="A48" s="140"/>
      <c r="B48" s="722" t="s">
        <v>4836</v>
      </c>
      <c r="C48" s="90"/>
      <c r="K48" s="266"/>
      <c r="L48" s="266"/>
      <c r="M48" s="269"/>
      <c r="N48" s="268"/>
      <c r="O48" s="135"/>
      <c r="P48" s="135"/>
      <c r="Q48" s="720">
        <v>986204000000.00012</v>
      </c>
      <c r="R48" s="720">
        <v>1239978000000</v>
      </c>
      <c r="S48" s="720">
        <v>1526994000000.0002</v>
      </c>
      <c r="T48" s="720">
        <v>1674162000000</v>
      </c>
      <c r="U48" s="720">
        <v>1715110999999.9998</v>
      </c>
      <c r="V48" s="720">
        <v>2061900000000</v>
      </c>
      <c r="W48" s="720">
        <v>2600862000000</v>
      </c>
      <c r="X48" s="650"/>
    </row>
    <row r="49" spans="1:24" ht="16.5">
      <c r="A49" s="140"/>
      <c r="B49" s="722" t="s">
        <v>4837</v>
      </c>
      <c r="C49" s="90"/>
      <c r="K49" s="266"/>
      <c r="L49" s="266"/>
      <c r="M49" s="269"/>
      <c r="N49" s="268"/>
      <c r="O49" s="135"/>
      <c r="P49" s="135"/>
      <c r="Q49" s="720">
        <v>638132000000.00012</v>
      </c>
      <c r="R49" s="720">
        <v>717882000000.00012</v>
      </c>
      <c r="S49" s="720">
        <v>799854000000</v>
      </c>
      <c r="T49" s="720">
        <v>876942000000.00012</v>
      </c>
      <c r="U49" s="720">
        <v>1083228000000.0001</v>
      </c>
      <c r="V49" s="720">
        <v>1340235000000.0002</v>
      </c>
      <c r="W49" s="720">
        <v>1655093999999.9998</v>
      </c>
      <c r="X49" s="650"/>
    </row>
    <row r="50" spans="1:24" ht="16.5">
      <c r="A50" s="140"/>
      <c r="B50" s="722" t="s">
        <v>1738</v>
      </c>
      <c r="C50" s="90"/>
      <c r="K50" s="266"/>
      <c r="L50" s="266"/>
      <c r="M50" s="269"/>
      <c r="N50" s="268"/>
      <c r="O50" s="135"/>
      <c r="P50" s="135"/>
      <c r="Q50" s="720">
        <v>2204456000000</v>
      </c>
      <c r="R50" s="720">
        <v>2479956000000</v>
      </c>
      <c r="S50" s="720">
        <v>3126702000000</v>
      </c>
      <c r="T50" s="720">
        <v>2949714000000.0005</v>
      </c>
      <c r="U50" s="720">
        <v>2888608000000</v>
      </c>
      <c r="V50" s="720">
        <v>2989754999999.9995</v>
      </c>
      <c r="W50" s="720">
        <v>3310187999999.9995</v>
      </c>
      <c r="X50" s="650"/>
    </row>
    <row r="51" spans="1:24" ht="16.5">
      <c r="A51" s="140"/>
      <c r="B51" s="722" t="s">
        <v>4838</v>
      </c>
      <c r="C51" s="90"/>
      <c r="K51" s="266"/>
      <c r="L51" s="266"/>
      <c r="M51" s="269"/>
      <c r="N51" s="268"/>
      <c r="O51" s="135"/>
      <c r="P51" s="135"/>
      <c r="Q51" s="720">
        <v>1334276000000</v>
      </c>
      <c r="R51" s="720">
        <v>2545218000000</v>
      </c>
      <c r="S51" s="720">
        <v>2908560000000</v>
      </c>
      <c r="T51" s="720">
        <v>3348324000000</v>
      </c>
      <c r="U51" s="720">
        <v>3610760000000</v>
      </c>
      <c r="V51" s="720">
        <v>4536180000000</v>
      </c>
      <c r="W51" s="720">
        <v>5438166000000</v>
      </c>
      <c r="X51" s="650"/>
    </row>
    <row r="52" spans="1:24" ht="16.5">
      <c r="A52" s="140"/>
      <c r="B52" s="722" t="s">
        <v>757</v>
      </c>
      <c r="C52" s="90"/>
      <c r="K52" s="266"/>
      <c r="L52" s="266"/>
      <c r="M52" s="269"/>
      <c r="N52" s="268"/>
      <c r="O52" s="135"/>
      <c r="P52" s="135"/>
      <c r="Q52" s="720">
        <v>754156000000.00012</v>
      </c>
      <c r="R52" s="720">
        <v>717882000000.00012</v>
      </c>
      <c r="S52" s="720">
        <v>654426000000</v>
      </c>
      <c r="T52" s="720">
        <v>-239166000000</v>
      </c>
      <c r="U52" s="720">
        <v>1263765999999.9998</v>
      </c>
      <c r="V52" s="720">
        <v>1649520000000</v>
      </c>
      <c r="W52" s="720">
        <v>2009757000000</v>
      </c>
      <c r="X52" s="650"/>
    </row>
    <row r="53" spans="1:24" ht="16.5">
      <c r="A53" s="140"/>
      <c r="B53" s="722" t="s">
        <v>4839</v>
      </c>
      <c r="C53" s="90"/>
      <c r="K53" s="266"/>
      <c r="L53" s="266"/>
      <c r="M53" s="269"/>
      <c r="N53" s="268"/>
      <c r="O53" s="135"/>
      <c r="P53" s="135"/>
      <c r="Q53" s="720">
        <v>19259984000000</v>
      </c>
      <c r="R53" s="720">
        <v>19252289999999.996</v>
      </c>
      <c r="S53" s="720">
        <v>25159044000000</v>
      </c>
      <c r="T53" s="720">
        <v>27583812000000</v>
      </c>
      <c r="U53" s="720">
        <v>31413611999999.996</v>
      </c>
      <c r="V53" s="720">
        <v>35670870000000</v>
      </c>
      <c r="W53" s="720">
        <v>41022687000000.008</v>
      </c>
      <c r="X53" s="650"/>
    </row>
    <row r="54" spans="1:24" ht="16.5">
      <c r="A54" s="140"/>
      <c r="B54" s="722" t="s">
        <v>4840</v>
      </c>
      <c r="C54" s="90"/>
      <c r="K54" s="266"/>
      <c r="L54" s="266"/>
      <c r="M54" s="269"/>
      <c r="N54" s="268"/>
      <c r="O54" s="135"/>
      <c r="P54" s="135"/>
      <c r="Q54" s="720">
        <v>8701799999999.999</v>
      </c>
      <c r="R54" s="720">
        <v>8745108000000</v>
      </c>
      <c r="S54" s="720">
        <v>12215952000000.002</v>
      </c>
      <c r="T54" s="720">
        <v>13712184000000</v>
      </c>
      <c r="U54" s="720">
        <v>14443040000000</v>
      </c>
      <c r="V54" s="720">
        <v>14845680000000.002</v>
      </c>
      <c r="W54" s="720">
        <v>15250509000000</v>
      </c>
      <c r="X54" s="650"/>
    </row>
    <row r="55" spans="1:24" ht="16.5">
      <c r="A55" s="140"/>
      <c r="B55" s="722" t="s">
        <v>4841</v>
      </c>
      <c r="C55" s="90"/>
      <c r="K55" s="266"/>
      <c r="L55" s="266"/>
      <c r="M55" s="269"/>
      <c r="N55" s="268"/>
      <c r="O55" s="135"/>
      <c r="P55" s="135"/>
      <c r="Q55" s="720">
        <v>10558184000000</v>
      </c>
      <c r="R55" s="720">
        <v>10507182000000</v>
      </c>
      <c r="S55" s="720">
        <v>12943092000000</v>
      </c>
      <c r="T55" s="720">
        <v>13871627999999.998</v>
      </c>
      <c r="U55" s="720">
        <v>16970572000000</v>
      </c>
      <c r="V55" s="720">
        <v>20825190000000</v>
      </c>
      <c r="W55" s="720">
        <v>25890398999999.996</v>
      </c>
      <c r="X55" s="650"/>
    </row>
    <row r="56" spans="1:24" ht="16.5">
      <c r="A56" s="140"/>
      <c r="B56" s="722" t="s">
        <v>4842</v>
      </c>
      <c r="C56" s="90"/>
      <c r="K56" s="266"/>
      <c r="L56" s="266"/>
      <c r="M56" s="269"/>
      <c r="N56" s="268"/>
      <c r="O56" s="135"/>
      <c r="P56" s="135"/>
      <c r="Q56" s="720">
        <v>9397944000000</v>
      </c>
      <c r="R56" s="720">
        <v>10441920000000</v>
      </c>
      <c r="S56" s="720">
        <v>13524804000000.002</v>
      </c>
      <c r="T56" s="720">
        <v>16024122000000.002</v>
      </c>
      <c r="U56" s="720">
        <v>18324607000000</v>
      </c>
      <c r="V56" s="720">
        <v>20515905000000</v>
      </c>
      <c r="W56" s="720">
        <v>23880642000000</v>
      </c>
      <c r="X56" s="650"/>
    </row>
    <row r="57" spans="1:24">
      <c r="B57" s="650" t="s">
        <v>4843</v>
      </c>
      <c r="Q57" s="720">
        <v>9862040000000</v>
      </c>
      <c r="R57" s="720">
        <v>8810370000000</v>
      </c>
      <c r="S57" s="720">
        <v>11634240000000</v>
      </c>
      <c r="T57" s="720">
        <v>11559689999999.998</v>
      </c>
      <c r="U57" s="720">
        <v>13089005000000</v>
      </c>
      <c r="V57" s="720">
        <v>15154964999999.998</v>
      </c>
      <c r="W57" s="720">
        <v>17142044999999.998</v>
      </c>
    </row>
    <row r="58" spans="1:24">
      <c r="B58" s="650"/>
      <c r="Q58" s="720"/>
      <c r="R58" s="720"/>
      <c r="S58" s="720"/>
      <c r="T58" s="720"/>
      <c r="U58" s="720"/>
      <c r="V58" s="720"/>
      <c r="W58" s="720"/>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7">L6-L7-L14</f>
        <v>0</v>
      </c>
      <c r="M62" s="130">
        <f t="shared" si="7"/>
        <v>0</v>
      </c>
      <c r="N62" s="130">
        <f t="shared" si="7"/>
        <v>0</v>
      </c>
      <c r="O62" s="130">
        <f t="shared" si="7"/>
        <v>0</v>
      </c>
      <c r="P62" s="130">
        <f t="shared" si="7"/>
        <v>-1000000000</v>
      </c>
      <c r="Q62" s="130">
        <f t="shared" si="7"/>
        <v>0</v>
      </c>
      <c r="R62" s="130">
        <f t="shared" ref="R62:W62" si="8">R6-R7-R14</f>
        <v>0</v>
      </c>
      <c r="S62" s="130">
        <f t="shared" si="8"/>
        <v>0</v>
      </c>
      <c r="T62" s="130">
        <f t="shared" si="8"/>
        <v>0</v>
      </c>
      <c r="U62" s="130">
        <f t="shared" si="8"/>
        <v>0</v>
      </c>
      <c r="V62" s="130">
        <f>V6-V7-V14</f>
        <v>0</v>
      </c>
      <c r="W62" s="130">
        <f t="shared" si="8"/>
        <v>0</v>
      </c>
    </row>
    <row r="63" spans="1:24">
      <c r="B63" t="s">
        <v>450</v>
      </c>
      <c r="D63" s="130"/>
      <c r="E63" s="130"/>
      <c r="F63" s="130"/>
      <c r="G63" s="130"/>
      <c r="H63" s="130"/>
      <c r="I63" s="130"/>
      <c r="J63" s="130"/>
      <c r="K63" s="130">
        <f>K7-K8-K11-K12-K13</f>
        <v>0</v>
      </c>
      <c r="L63" s="130">
        <f t="shared" ref="L63:Q63" si="9">L7-L8-L11-L12-L13</f>
        <v>0</v>
      </c>
      <c r="M63" s="130">
        <f t="shared" si="9"/>
        <v>0</v>
      </c>
      <c r="N63" s="130">
        <f t="shared" si="9"/>
        <v>0</v>
      </c>
      <c r="O63" s="130">
        <f t="shared" si="9"/>
        <v>0</v>
      </c>
      <c r="P63" s="130">
        <f t="shared" si="9"/>
        <v>0</v>
      </c>
      <c r="Q63" s="130">
        <f t="shared" si="9"/>
        <v>0</v>
      </c>
      <c r="R63" s="130">
        <f t="shared" ref="R63:W63" si="10">R7-R8-R11-R12-R13</f>
        <v>0</v>
      </c>
      <c r="S63" s="130">
        <f t="shared" si="10"/>
        <v>0</v>
      </c>
      <c r="T63" s="130">
        <f t="shared" si="10"/>
        <v>0</v>
      </c>
      <c r="U63" s="130">
        <f t="shared" si="10"/>
        <v>0</v>
      </c>
      <c r="V63" s="130">
        <f t="shared" si="10"/>
        <v>0</v>
      </c>
      <c r="W63" s="130">
        <f t="shared" si="10"/>
        <v>0</v>
      </c>
    </row>
    <row r="64" spans="1:24">
      <c r="B64" t="s">
        <v>1207</v>
      </c>
      <c r="D64" s="130"/>
      <c r="E64" s="130"/>
      <c r="F64" s="130"/>
      <c r="G64" s="130"/>
      <c r="H64" s="130"/>
      <c r="I64" s="130"/>
      <c r="J64" s="130"/>
      <c r="K64" s="130">
        <f>K15-K16-K19</f>
        <v>0</v>
      </c>
      <c r="L64" s="130">
        <f t="shared" ref="L64:Q64" si="11">L15-L16-L19</f>
        <v>0</v>
      </c>
      <c r="M64" s="130">
        <f t="shared" si="11"/>
        <v>0</v>
      </c>
      <c r="N64" s="130">
        <f t="shared" si="11"/>
        <v>0</v>
      </c>
      <c r="O64" s="130">
        <f t="shared" si="11"/>
        <v>0</v>
      </c>
      <c r="P64" s="130">
        <f t="shared" si="11"/>
        <v>0</v>
      </c>
      <c r="Q64" s="130">
        <f t="shared" si="11"/>
        <v>0</v>
      </c>
      <c r="R64" s="130">
        <f t="shared" ref="R64:W64" si="12">R15-R16-R19</f>
        <v>0</v>
      </c>
      <c r="S64" s="130">
        <f t="shared" si="12"/>
        <v>0</v>
      </c>
      <c r="T64" s="130">
        <f t="shared" si="12"/>
        <v>0</v>
      </c>
      <c r="U64" s="130">
        <f t="shared" si="12"/>
        <v>0</v>
      </c>
      <c r="V64" s="130">
        <f t="shared" si="12"/>
        <v>0</v>
      </c>
      <c r="W64" s="130">
        <f t="shared" si="12"/>
        <v>0</v>
      </c>
    </row>
    <row r="65" spans="2:23">
      <c r="B65" t="s">
        <v>620</v>
      </c>
      <c r="D65" s="130"/>
      <c r="E65" s="130"/>
      <c r="F65" s="130"/>
      <c r="G65" s="130"/>
      <c r="H65" s="130"/>
      <c r="I65" s="130"/>
      <c r="J65" s="130"/>
      <c r="K65" s="223">
        <f t="shared" ref="K65:P65" si="13">K16-K17-K18</f>
        <v>2557000000000</v>
      </c>
      <c r="L65" s="223">
        <f t="shared" si="13"/>
        <v>2767000000000</v>
      </c>
      <c r="M65" s="130">
        <f t="shared" si="13"/>
        <v>1000000000</v>
      </c>
      <c r="N65" s="130">
        <f t="shared" si="13"/>
        <v>0</v>
      </c>
      <c r="O65" s="130">
        <f t="shared" si="13"/>
        <v>0</v>
      </c>
      <c r="P65" s="130">
        <f t="shared" si="13"/>
        <v>0</v>
      </c>
      <c r="Q65" s="223">
        <f t="shared" ref="Q65:W65" si="14">Q16-Q17-Q18</f>
        <v>0</v>
      </c>
      <c r="R65" s="223">
        <f t="shared" si="14"/>
        <v>0</v>
      </c>
      <c r="S65" s="223">
        <f t="shared" si="14"/>
        <v>0</v>
      </c>
      <c r="T65" s="223">
        <f t="shared" si="14"/>
        <v>0</v>
      </c>
      <c r="U65" s="223">
        <f t="shared" si="14"/>
        <v>0</v>
      </c>
      <c r="V65" s="223">
        <f t="shared" si="14"/>
        <v>0</v>
      </c>
      <c r="W65" s="223">
        <f t="shared" si="14"/>
        <v>0</v>
      </c>
    </row>
    <row r="66" spans="2:23">
      <c r="B66" t="s">
        <v>876</v>
      </c>
      <c r="D66" s="130"/>
      <c r="E66" s="130"/>
      <c r="F66" s="130"/>
      <c r="G66" s="130"/>
      <c r="H66" s="130"/>
      <c r="I66" s="130"/>
      <c r="J66" s="130"/>
      <c r="K66" s="223">
        <f>K19-K20-K21</f>
        <v>1620000000000</v>
      </c>
      <c r="L66" s="223">
        <f t="shared" ref="L66:Q66" si="15">L19-L20-L21</f>
        <v>1683000000000</v>
      </c>
      <c r="M66" s="130">
        <f t="shared" si="15"/>
        <v>0</v>
      </c>
      <c r="N66" s="130">
        <f t="shared" si="15"/>
        <v>0</v>
      </c>
      <c r="O66" s="130">
        <f t="shared" si="15"/>
        <v>0</v>
      </c>
      <c r="P66" s="223">
        <f t="shared" si="15"/>
        <v>3887000000000</v>
      </c>
      <c r="Q66" s="223">
        <f t="shared" si="15"/>
        <v>0</v>
      </c>
      <c r="R66" s="223">
        <f t="shared" ref="R66:W66" si="16">R19-R20-R21</f>
        <v>0</v>
      </c>
      <c r="S66" s="223">
        <f t="shared" si="16"/>
        <v>0</v>
      </c>
      <c r="T66" s="223">
        <f t="shared" si="16"/>
        <v>0</v>
      </c>
      <c r="U66" s="223">
        <f t="shared" si="16"/>
        <v>0</v>
      </c>
      <c r="V66" s="223">
        <f t="shared" si="16"/>
        <v>0</v>
      </c>
      <c r="W66" s="223">
        <f t="shared" si="16"/>
        <v>0</v>
      </c>
    </row>
    <row r="67" spans="2:23">
      <c r="B67" t="s">
        <v>148</v>
      </c>
      <c r="D67" s="130"/>
      <c r="E67" s="130"/>
      <c r="F67" s="130"/>
      <c r="G67" s="130"/>
      <c r="H67" s="130"/>
      <c r="I67" s="130"/>
      <c r="J67" s="130"/>
      <c r="K67" s="130">
        <f t="shared" ref="K67:U67" si="17">K29-K30-K31</f>
        <v>0</v>
      </c>
      <c r="L67" s="130">
        <f t="shared" si="17"/>
        <v>0</v>
      </c>
      <c r="M67" s="130">
        <f t="shared" si="17"/>
        <v>0</v>
      </c>
      <c r="N67" s="130">
        <f t="shared" si="17"/>
        <v>1000000000</v>
      </c>
      <c r="O67" s="130">
        <f t="shared" si="17"/>
        <v>0</v>
      </c>
      <c r="P67" s="130">
        <f t="shared" si="17"/>
        <v>0</v>
      </c>
      <c r="Q67" s="130">
        <f t="shared" si="17"/>
        <v>0</v>
      </c>
      <c r="R67" s="130">
        <f t="shared" si="17"/>
        <v>0</v>
      </c>
      <c r="S67" s="130">
        <f t="shared" si="17"/>
        <v>0</v>
      </c>
      <c r="T67" s="130">
        <f t="shared" si="17"/>
        <v>0</v>
      </c>
      <c r="U67" s="130">
        <f t="shared" si="17"/>
        <v>0</v>
      </c>
      <c r="V67" s="130">
        <f t="shared" ref="V67:W67" si="18">V29-V30-V31</f>
        <v>0</v>
      </c>
      <c r="W67" s="130">
        <f t="shared" si="18"/>
        <v>0</v>
      </c>
    </row>
    <row r="68" spans="2:23">
      <c r="B68" t="s">
        <v>149</v>
      </c>
      <c r="D68" s="130"/>
      <c r="E68" s="130"/>
      <c r="F68" s="130"/>
      <c r="G68" s="130"/>
      <c r="H68" s="130"/>
      <c r="I68" s="130"/>
      <c r="J68" s="130"/>
      <c r="K68" s="130">
        <f>K31-K32-K33-K34</f>
        <v>0</v>
      </c>
      <c r="L68" s="130">
        <f t="shared" ref="L68:Q68" si="19">L31-L32-L33-L34</f>
        <v>0</v>
      </c>
      <c r="M68" s="130">
        <f t="shared" si="19"/>
        <v>0</v>
      </c>
      <c r="N68" s="130">
        <f t="shared" si="19"/>
        <v>0</v>
      </c>
      <c r="O68" s="130">
        <f t="shared" si="19"/>
        <v>0</v>
      </c>
      <c r="P68" s="130">
        <f t="shared" si="19"/>
        <v>0</v>
      </c>
      <c r="Q68" s="130">
        <f t="shared" si="19"/>
        <v>0</v>
      </c>
      <c r="R68" s="130">
        <f t="shared" ref="R68:W68" si="20">R31-R32-R33-R34</f>
        <v>0</v>
      </c>
      <c r="S68" s="130">
        <f t="shared" si="20"/>
        <v>0</v>
      </c>
      <c r="T68" s="130">
        <f t="shared" si="20"/>
        <v>0</v>
      </c>
      <c r="U68" s="130">
        <f t="shared" si="20"/>
        <v>0</v>
      </c>
      <c r="V68" s="130">
        <f t="shared" si="20"/>
        <v>0</v>
      </c>
      <c r="W68" s="130">
        <f t="shared" si="20"/>
        <v>0</v>
      </c>
    </row>
    <row r="69" spans="2:23">
      <c r="J69" s="21"/>
      <c r="P69" s="524"/>
      <c r="Q69" s="524"/>
      <c r="R69" s="524"/>
      <c r="S69" s="524"/>
      <c r="T69" s="524"/>
      <c r="U69" s="524"/>
      <c r="V69" s="524"/>
      <c r="W69" s="524"/>
    </row>
    <row r="70" spans="2:23">
      <c r="B70" t="s">
        <v>623</v>
      </c>
      <c r="D70" s="154"/>
      <c r="E70" s="154"/>
      <c r="F70" s="154"/>
      <c r="G70" s="154"/>
      <c r="H70" s="154"/>
      <c r="I70" s="154"/>
      <c r="J70" s="154"/>
      <c r="K70" s="154">
        <v>31699306000000</v>
      </c>
      <c r="L70" s="154">
        <v>34957867000000</v>
      </c>
      <c r="M70" s="154">
        <v>39846694000000</v>
      </c>
      <c r="N70" s="154">
        <v>43368386000000</v>
      </c>
      <c r="O70" s="154">
        <v>47850546000000</v>
      </c>
      <c r="P70" s="524">
        <v>51259000000000</v>
      </c>
      <c r="Q70" s="524">
        <v>58012000000000</v>
      </c>
      <c r="R70" s="524">
        <v>65262000000000</v>
      </c>
      <c r="S70" s="524">
        <v>72780000000000</v>
      </c>
      <c r="T70" s="524">
        <v>83479000000000</v>
      </c>
      <c r="U70" s="524">
        <v>96479000000000</v>
      </c>
      <c r="V70" s="524">
        <v>111395000000000</v>
      </c>
      <c r="W70" s="524">
        <v>111395000000001</v>
      </c>
    </row>
    <row r="71" spans="2:23">
      <c r="B71" t="s">
        <v>363</v>
      </c>
      <c r="K71" s="364">
        <f>(K6/K70)*100</f>
        <v>10.363633828450377</v>
      </c>
      <c r="L71" s="364">
        <f t="shared" ref="L71:S71" si="21">(L6/L70)*100</f>
        <v>10.73377846537376</v>
      </c>
      <c r="M71" s="364">
        <f t="shared" si="21"/>
        <v>9.3846179560090981</v>
      </c>
      <c r="N71" s="364">
        <f t="shared" si="21"/>
        <v>10.492343431918357</v>
      </c>
      <c r="O71" s="364">
        <f t="shared" si="21"/>
        <v>10.913605876095959</v>
      </c>
      <c r="P71" s="364">
        <f t="shared" si="21"/>
        <v>19.028853469634601</v>
      </c>
      <c r="Q71" s="364">
        <f t="shared" si="21"/>
        <v>20.099289802109908</v>
      </c>
      <c r="R71" s="364">
        <f t="shared" si="21"/>
        <v>21.972970488186082</v>
      </c>
      <c r="S71" s="364">
        <f t="shared" si="21"/>
        <v>18.712558395163505</v>
      </c>
      <c r="T71" s="364">
        <f t="shared" ref="T71:V71" si="22">(T6/T70)*100</f>
        <v>17.969788809161585</v>
      </c>
      <c r="U71" s="364">
        <f t="shared" si="22"/>
        <v>17.058634521502089</v>
      </c>
      <c r="V71" s="364">
        <f t="shared" si="22"/>
        <v>16.907401588940257</v>
      </c>
      <c r="W71" s="364">
        <f t="shared" ref="W71" si="23">(W6/W70)*100</f>
        <v>19.405718389514615</v>
      </c>
    </row>
    <row r="72" spans="2:23">
      <c r="B72" t="s">
        <v>152</v>
      </c>
      <c r="K72" s="364">
        <f>(K15/K70)*100</f>
        <v>13.176944630901383</v>
      </c>
      <c r="L72" s="364">
        <f t="shared" ref="L72:S72" si="24">(L15/L70)*100</f>
        <v>12.729609618344275</v>
      </c>
      <c r="M72" s="364">
        <f t="shared" si="24"/>
        <v>13.710045807062437</v>
      </c>
      <c r="N72" s="364">
        <f t="shared" si="24"/>
        <v>15.499769809279968</v>
      </c>
      <c r="O72" s="364">
        <f t="shared" si="24"/>
        <v>15.063568971605884</v>
      </c>
      <c r="P72" s="364">
        <f t="shared" si="24"/>
        <v>18.084629040753818</v>
      </c>
      <c r="Q72" s="364">
        <f t="shared" si="24"/>
        <v>21.444970006205612</v>
      </c>
      <c r="R72" s="364">
        <f t="shared" si="24"/>
        <v>22.917137078238483</v>
      </c>
      <c r="S72" s="364">
        <f t="shared" si="24"/>
        <v>23.150719978015939</v>
      </c>
      <c r="T72" s="364">
        <f t="shared" ref="T72:V72" si="25">(T15/T70)*100</f>
        <v>20.371746187663963</v>
      </c>
      <c r="U72" s="364">
        <f t="shared" si="25"/>
        <v>20.343886234310059</v>
      </c>
      <c r="V72" s="364">
        <f t="shared" si="25"/>
        <v>20.632505947304637</v>
      </c>
      <c r="W72" s="364">
        <f t="shared" ref="W72" si="26">(W15/W70)*100</f>
        <v>23.766295614704216</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zoomScaleSheetLayoutView="85" workbookViewId="0">
      <pane xSplit="3" ySplit="5" topLeftCell="F6" activePane="bottomRight" state="frozen"/>
      <selection pane="topRight" activeCell="D1" sqref="D1"/>
      <selection pane="bottomLeft" activeCell="A6" sqref="A6"/>
      <selection pane="bottomRight" activeCell="O22" sqref="O22"/>
    </sheetView>
  </sheetViews>
  <sheetFormatPr defaultRowHeight="16.5"/>
  <cols>
    <col min="1" max="1" width="27.7109375" style="1797" customWidth="1"/>
    <col min="2" max="2" width="23.7109375" style="1797" customWidth="1"/>
    <col min="3" max="3" width="39" style="1797" customWidth="1"/>
    <col min="4" max="5" width="14.85546875" style="1797" bestFit="1" customWidth="1"/>
    <col min="6" max="8" width="15.85546875" style="1797" bestFit="1" customWidth="1"/>
    <col min="9" max="11" width="18.140625" style="1797" bestFit="1" customWidth="1"/>
    <col min="12" max="14" width="16.42578125" style="1797" bestFit="1" customWidth="1"/>
    <col min="15" max="15" width="16.5703125" style="1797" bestFit="1" customWidth="1"/>
    <col min="16" max="16" width="21.28515625" style="1797" bestFit="1" customWidth="1"/>
    <col min="17" max="18" width="16.5703125" style="1797" bestFit="1" customWidth="1"/>
    <col min="19" max="19" width="19.28515625" style="1797" bestFit="1" customWidth="1"/>
    <col min="20" max="20" width="19.7109375" style="1797" bestFit="1" customWidth="1"/>
    <col min="21" max="21" width="18.85546875" style="1797" bestFit="1" customWidth="1"/>
    <col min="22" max="22" width="19.28515625" style="1797" bestFit="1" customWidth="1"/>
    <col min="23" max="23" width="19.7109375" style="1797" bestFit="1" customWidth="1"/>
    <col min="24" max="24" width="20.140625" style="1797" bestFit="1" customWidth="1"/>
    <col min="25" max="26" width="19.7109375" style="1797" bestFit="1" customWidth="1"/>
    <col min="27" max="27" width="20.140625" style="1797" bestFit="1" customWidth="1"/>
    <col min="28" max="30" width="8.85546875" style="1797"/>
  </cols>
  <sheetData>
    <row r="1" spans="1:30">
      <c r="A1" s="1817" t="s">
        <v>4844</v>
      </c>
      <c r="B1" s="1823" t="s">
        <v>4845</v>
      </c>
      <c r="C1" s="1793"/>
      <c r="D1" s="1794"/>
      <c r="E1" s="1794"/>
      <c r="F1" s="1794"/>
      <c r="G1" s="1794"/>
      <c r="H1" s="1794"/>
      <c r="I1" s="1794"/>
      <c r="J1" s="1794"/>
      <c r="K1" s="1794"/>
      <c r="L1" s="1794"/>
      <c r="M1" s="1794"/>
      <c r="N1" s="1794"/>
      <c r="O1" s="1795"/>
      <c r="P1" s="1795"/>
      <c r="Q1" s="1795"/>
      <c r="R1" s="1796"/>
      <c r="S1" s="1795"/>
      <c r="T1" s="1795"/>
      <c r="U1" s="1795"/>
      <c r="V1" s="1795"/>
      <c r="W1" s="1795"/>
      <c r="X1" s="1795"/>
    </row>
    <row r="2" spans="1:30">
      <c r="B2" s="1822" t="s">
        <v>7171</v>
      </c>
      <c r="C2" s="1798"/>
      <c r="D2" s="1795"/>
      <c r="E2" s="1795"/>
      <c r="F2" s="1795"/>
      <c r="G2" s="1795"/>
      <c r="H2" s="1795"/>
      <c r="I2" s="1795"/>
      <c r="J2" s="1795"/>
      <c r="K2" s="1795"/>
      <c r="L2" s="1795"/>
      <c r="M2" s="1795"/>
      <c r="N2" s="1795"/>
      <c r="O2" s="1795"/>
      <c r="P2" s="1795"/>
      <c r="Q2" s="1795"/>
      <c r="R2" s="1799"/>
      <c r="S2" s="1800"/>
      <c r="T2" s="1801"/>
      <c r="U2" s="1795"/>
      <c r="V2" s="1795"/>
      <c r="W2" s="1795"/>
      <c r="X2" s="1795"/>
    </row>
    <row r="3" spans="1:30">
      <c r="B3" s="1802" t="s">
        <v>3</v>
      </c>
      <c r="C3" s="1802"/>
      <c r="D3" s="1803">
        <v>1999</v>
      </c>
      <c r="E3" s="1795">
        <v>2000</v>
      </c>
      <c r="F3" s="1795">
        <v>2001</v>
      </c>
      <c r="G3" s="1795">
        <v>2002</v>
      </c>
      <c r="H3" s="1795">
        <v>2003</v>
      </c>
      <c r="I3" s="1795">
        <v>2004</v>
      </c>
      <c r="J3" s="1795">
        <v>2005</v>
      </c>
      <c r="K3" s="1795">
        <v>2006</v>
      </c>
      <c r="L3" s="1795">
        <v>2007</v>
      </c>
      <c r="M3" s="1795">
        <v>2008</v>
      </c>
      <c r="N3" s="1795">
        <v>2009</v>
      </c>
      <c r="O3" s="1795">
        <v>2010</v>
      </c>
      <c r="P3" s="1795">
        <v>2011</v>
      </c>
      <c r="Q3" s="1795">
        <v>2012</v>
      </c>
      <c r="R3" s="1795">
        <v>2013</v>
      </c>
      <c r="S3" s="1795">
        <v>2014</v>
      </c>
      <c r="T3" s="1795">
        <v>2015</v>
      </c>
      <c r="U3" s="1795">
        <v>2016</v>
      </c>
      <c r="V3" s="1795">
        <v>2017</v>
      </c>
      <c r="W3" s="1795">
        <v>2018</v>
      </c>
      <c r="X3" s="1795">
        <v>2019</v>
      </c>
      <c r="Y3" s="1795">
        <v>2020</v>
      </c>
      <c r="Z3" s="1795">
        <v>2021</v>
      </c>
      <c r="AA3" s="1795">
        <v>2022</v>
      </c>
    </row>
    <row r="4" spans="1:30">
      <c r="B4" s="1802" t="s">
        <v>4</v>
      </c>
      <c r="C4" s="1802"/>
      <c r="D4" s="1795" t="s">
        <v>5</v>
      </c>
      <c r="E4" s="1795" t="s">
        <v>6</v>
      </c>
      <c r="F4" s="1795" t="s">
        <v>7</v>
      </c>
      <c r="G4" s="1795" t="s">
        <v>8</v>
      </c>
      <c r="H4" s="1795" t="s">
        <v>9</v>
      </c>
      <c r="I4" s="1795" t="s">
        <v>10</v>
      </c>
      <c r="J4" s="1795" t="s">
        <v>11</v>
      </c>
      <c r="K4" s="1795" t="s">
        <v>12</v>
      </c>
      <c r="L4" s="1795" t="s">
        <v>13</v>
      </c>
      <c r="M4" s="1795" t="s">
        <v>14</v>
      </c>
      <c r="N4" s="1795" t="s">
        <v>15</v>
      </c>
      <c r="O4" s="1795" t="s">
        <v>16</v>
      </c>
      <c r="P4" s="1795" t="s">
        <v>17</v>
      </c>
      <c r="Q4" s="1795" t="s">
        <v>18</v>
      </c>
      <c r="R4" s="1796" t="s">
        <v>19</v>
      </c>
      <c r="S4" s="1795" t="s">
        <v>20</v>
      </c>
      <c r="T4" s="1795" t="s">
        <v>21</v>
      </c>
      <c r="U4" s="1795" t="s">
        <v>22</v>
      </c>
      <c r="V4" s="1795" t="s">
        <v>23</v>
      </c>
      <c r="W4" s="1795" t="s">
        <v>24</v>
      </c>
      <c r="X4" s="1795" t="s">
        <v>25</v>
      </c>
      <c r="Y4" s="1795" t="s">
        <v>3185</v>
      </c>
      <c r="Z4" s="1797" t="s">
        <v>27</v>
      </c>
      <c r="AA4" s="1797" t="s">
        <v>1137</v>
      </c>
    </row>
    <row r="5" spans="1:30">
      <c r="A5" s="1797" t="s">
        <v>157</v>
      </c>
      <c r="B5" s="1802" t="s">
        <v>29</v>
      </c>
      <c r="C5" s="1802"/>
      <c r="D5" s="1795" t="s">
        <v>30</v>
      </c>
      <c r="E5" s="1795" t="s">
        <v>30</v>
      </c>
      <c r="F5" s="1795" t="s">
        <v>30</v>
      </c>
      <c r="G5" s="1795" t="s">
        <v>30</v>
      </c>
      <c r="H5" s="1795" t="s">
        <v>30</v>
      </c>
      <c r="I5" s="1794" t="s">
        <v>31</v>
      </c>
      <c r="J5" s="1794" t="s">
        <v>30</v>
      </c>
      <c r="K5" s="1794" t="s">
        <v>30</v>
      </c>
      <c r="L5" s="1794" t="s">
        <v>30</v>
      </c>
      <c r="M5" s="1794" t="s">
        <v>30</v>
      </c>
      <c r="N5" s="1795" t="s">
        <v>31</v>
      </c>
      <c r="O5" s="1795" t="s">
        <v>30</v>
      </c>
      <c r="P5" s="1795" t="s">
        <v>30</v>
      </c>
      <c r="Q5" s="1795" t="s">
        <v>30</v>
      </c>
      <c r="R5" s="1795" t="s">
        <v>30</v>
      </c>
      <c r="S5" s="1795" t="s">
        <v>30</v>
      </c>
      <c r="T5" s="1795" t="s">
        <v>30</v>
      </c>
      <c r="U5" s="1795" t="s">
        <v>30</v>
      </c>
      <c r="V5" s="1795" t="s">
        <v>369</v>
      </c>
      <c r="W5" s="1795" t="s">
        <v>32</v>
      </c>
      <c r="X5" s="1795" t="s">
        <v>32</v>
      </c>
      <c r="Y5" s="1795" t="s">
        <v>32</v>
      </c>
      <c r="Z5" s="1795" t="s">
        <v>32</v>
      </c>
      <c r="AA5" s="1795" t="s">
        <v>32</v>
      </c>
    </row>
    <row r="6" spans="1:30" s="848" customFormat="1">
      <c r="A6" s="1818" t="s">
        <v>33</v>
      </c>
      <c r="B6" s="1818" t="s">
        <v>4846</v>
      </c>
      <c r="C6" s="1818" t="s">
        <v>35</v>
      </c>
      <c r="D6" s="1819">
        <v>7228000000</v>
      </c>
      <c r="E6" s="1819">
        <v>8209000000</v>
      </c>
      <c r="F6" s="1819">
        <v>8960000000</v>
      </c>
      <c r="G6" s="1819">
        <v>10469000000</v>
      </c>
      <c r="H6" s="1819">
        <v>9754100000</v>
      </c>
      <c r="I6" s="1819">
        <v>11387800000</v>
      </c>
      <c r="J6" s="1819">
        <v>13075300000</v>
      </c>
      <c r="K6" s="1819">
        <v>16893000000</v>
      </c>
      <c r="L6" s="1819">
        <v>20672000000</v>
      </c>
      <c r="M6" s="1819">
        <v>23447000000</v>
      </c>
      <c r="N6" s="1819">
        <v>24017000000</v>
      </c>
      <c r="O6" s="1819">
        <v>23378000000</v>
      </c>
      <c r="P6" s="1819">
        <v>29917000000</v>
      </c>
      <c r="Q6" s="1819">
        <v>36590000000</v>
      </c>
      <c r="R6" s="1819">
        <f>R7+R22</f>
        <v>39991000000</v>
      </c>
      <c r="S6" s="1825">
        <v>49954000000</v>
      </c>
      <c r="T6" s="1825">
        <v>52200000000</v>
      </c>
      <c r="U6" s="1825">
        <v>50848000000</v>
      </c>
      <c r="V6" s="1825">
        <v>58804000000</v>
      </c>
      <c r="W6" s="1825">
        <v>58508000000</v>
      </c>
      <c r="X6" s="1825">
        <v>60752000000</v>
      </c>
      <c r="Y6" s="1825">
        <v>68542000000</v>
      </c>
      <c r="Z6" s="1826">
        <v>74278000000</v>
      </c>
      <c r="AA6" s="1826">
        <v>81242000000</v>
      </c>
      <c r="AB6" s="1820"/>
      <c r="AC6" s="1820"/>
      <c r="AD6" s="1820"/>
    </row>
    <row r="7" spans="1:30">
      <c r="A7" s="1804" t="s">
        <v>36</v>
      </c>
      <c r="B7" s="1804" t="s">
        <v>36</v>
      </c>
      <c r="C7" s="1805" t="s">
        <v>38</v>
      </c>
      <c r="D7" s="354">
        <v>7183000000</v>
      </c>
      <c r="E7" s="354">
        <v>8166000000</v>
      </c>
      <c r="F7" s="354">
        <v>8902000000</v>
      </c>
      <c r="G7" s="354">
        <v>10435000000</v>
      </c>
      <c r="H7" s="354">
        <v>9719900000</v>
      </c>
      <c r="I7" s="354">
        <v>11317300000</v>
      </c>
      <c r="J7" s="354">
        <v>13036300000</v>
      </c>
      <c r="K7" s="354">
        <v>16843000000</v>
      </c>
      <c r="L7" s="354">
        <v>20594000000</v>
      </c>
      <c r="M7" s="354">
        <v>23364000000</v>
      </c>
      <c r="N7" s="354">
        <v>23816000000</v>
      </c>
      <c r="O7" s="354">
        <v>23354000000</v>
      </c>
      <c r="P7" s="354">
        <v>29739000000</v>
      </c>
      <c r="Q7" s="354">
        <v>36405000000</v>
      </c>
      <c r="R7" s="1834">
        <f>R8+R18</f>
        <v>39713000000</v>
      </c>
      <c r="S7" s="1827">
        <v>49843000000</v>
      </c>
      <c r="T7" s="1827">
        <v>52048000000</v>
      </c>
      <c r="U7" s="1827">
        <v>50848000000</v>
      </c>
      <c r="V7" s="1827">
        <v>58754000000</v>
      </c>
      <c r="W7" s="1827">
        <v>58454000000</v>
      </c>
      <c r="X7" s="1827">
        <v>60693000000</v>
      </c>
      <c r="Y7" s="1827">
        <v>68478000000</v>
      </c>
      <c r="Z7" s="1828">
        <v>74207000000</v>
      </c>
      <c r="AA7" s="1828">
        <v>81164000000</v>
      </c>
    </row>
    <row r="8" spans="1:30">
      <c r="A8" s="1804" t="s">
        <v>39</v>
      </c>
      <c r="B8" s="1804" t="s">
        <v>4847</v>
      </c>
      <c r="C8" s="1804" t="s">
        <v>41</v>
      </c>
      <c r="D8" s="354">
        <v>6486000000</v>
      </c>
      <c r="E8" s="354">
        <v>7461000000</v>
      </c>
      <c r="F8" s="354">
        <v>8054000000</v>
      </c>
      <c r="G8" s="354">
        <v>9196000000</v>
      </c>
      <c r="H8" s="354">
        <v>8632700000</v>
      </c>
      <c r="I8" s="354">
        <v>10358000000</v>
      </c>
      <c r="J8" s="354">
        <v>11886700000</v>
      </c>
      <c r="K8" s="354">
        <v>15734000000</v>
      </c>
      <c r="L8" s="354">
        <v>19027000000</v>
      </c>
      <c r="M8" s="354">
        <v>21086000000</v>
      </c>
      <c r="N8" s="354">
        <v>22138000000</v>
      </c>
      <c r="O8" s="354">
        <v>21393000000</v>
      </c>
      <c r="P8" s="354">
        <v>27053000000</v>
      </c>
      <c r="Q8" s="354">
        <v>34234000000</v>
      </c>
      <c r="R8" s="1834">
        <f>R9+R10+R15+R16+R17</f>
        <v>37587000000</v>
      </c>
      <c r="S8" s="1827">
        <v>46836000000</v>
      </c>
      <c r="T8" s="1827">
        <v>48903000000</v>
      </c>
      <c r="U8" s="1827">
        <v>47641000000</v>
      </c>
      <c r="V8" s="1827">
        <v>55110000000</v>
      </c>
      <c r="W8" s="1827">
        <v>54674000000</v>
      </c>
      <c r="X8" s="1827">
        <v>56558000000</v>
      </c>
      <c r="Y8" s="1827">
        <v>63991000000</v>
      </c>
      <c r="Z8" s="1828">
        <v>69340000000</v>
      </c>
      <c r="AA8" s="1828">
        <v>75959000000</v>
      </c>
    </row>
    <row r="9" spans="1:30">
      <c r="A9" s="1806" t="s">
        <v>170</v>
      </c>
      <c r="B9" s="1806" t="s">
        <v>4848</v>
      </c>
      <c r="C9" s="1794" t="s">
        <v>44</v>
      </c>
      <c r="D9" s="354">
        <v>1509000000</v>
      </c>
      <c r="E9" s="354">
        <v>1507000000</v>
      </c>
      <c r="F9" s="354">
        <v>1833000000</v>
      </c>
      <c r="G9" s="354">
        <v>2181000000</v>
      </c>
      <c r="H9" s="354">
        <v>2333600000</v>
      </c>
      <c r="I9" s="354">
        <v>2661900000</v>
      </c>
      <c r="J9" s="354">
        <v>2905300000</v>
      </c>
      <c r="K9" s="354">
        <v>3374000000</v>
      </c>
      <c r="L9" s="354">
        <v>3714000000</v>
      </c>
      <c r="M9" s="354">
        <v>4606000000</v>
      </c>
      <c r="N9" s="354">
        <v>5084000000</v>
      </c>
      <c r="O9" s="354">
        <v>5945000000</v>
      </c>
      <c r="P9" s="354">
        <v>7326000000</v>
      </c>
      <c r="Q9" s="354">
        <v>8189000000</v>
      </c>
      <c r="R9" s="354">
        <v>9537000000</v>
      </c>
      <c r="S9" s="1827">
        <v>10197000000</v>
      </c>
      <c r="T9" s="1827">
        <v>10794000000</v>
      </c>
      <c r="U9" s="1827">
        <v>12002000000</v>
      </c>
      <c r="V9" s="1827">
        <v>12488000000</v>
      </c>
      <c r="W9" s="1827">
        <v>13238000000</v>
      </c>
      <c r="X9" s="1827">
        <v>14629000000</v>
      </c>
      <c r="Y9" s="1827">
        <v>16303000000</v>
      </c>
      <c r="Z9" s="1828">
        <v>17821000000</v>
      </c>
      <c r="AA9" s="1829">
        <v>19746000000</v>
      </c>
    </row>
    <row r="10" spans="1:30">
      <c r="A10" s="1806" t="s">
        <v>1504</v>
      </c>
      <c r="B10" s="1806" t="s">
        <v>4849</v>
      </c>
      <c r="C10" s="1794" t="s">
        <v>44</v>
      </c>
      <c r="D10" s="354">
        <v>713000000</v>
      </c>
      <c r="E10" s="354">
        <v>903000000</v>
      </c>
      <c r="F10" s="354">
        <v>1335000000</v>
      </c>
      <c r="G10" s="354">
        <v>2113000000</v>
      </c>
      <c r="H10" s="354">
        <v>1198400000</v>
      </c>
      <c r="I10" s="354">
        <v>1222200000</v>
      </c>
      <c r="J10" s="354">
        <v>1573100000</v>
      </c>
      <c r="K10" s="354">
        <v>2161000000</v>
      </c>
      <c r="L10" s="354">
        <v>2834000000</v>
      </c>
      <c r="M10" s="354">
        <v>3269000000</v>
      </c>
      <c r="N10" s="354">
        <v>2852000000</v>
      </c>
      <c r="O10" s="354">
        <v>3585000000</v>
      </c>
      <c r="P10" s="354">
        <v>3916000000</v>
      </c>
      <c r="Q10" s="354">
        <v>4510000000</v>
      </c>
      <c r="R10" s="354">
        <v>3434000000</v>
      </c>
      <c r="S10" s="1827">
        <v>7019000000</v>
      </c>
      <c r="T10" s="1827">
        <v>7722000000</v>
      </c>
      <c r="U10" s="1827">
        <v>7708000000</v>
      </c>
      <c r="V10" s="1827">
        <v>8491000000</v>
      </c>
      <c r="W10" s="1827">
        <v>8850000000</v>
      </c>
      <c r="X10" s="1827">
        <v>9561000000</v>
      </c>
      <c r="Y10" s="1827">
        <v>10349000000</v>
      </c>
      <c r="Z10" s="1828">
        <v>11190000000</v>
      </c>
      <c r="AA10" s="1828">
        <v>12089000000</v>
      </c>
    </row>
    <row r="11" spans="1:30">
      <c r="A11" s="1807" t="s">
        <v>4850</v>
      </c>
      <c r="B11" s="1807" t="s">
        <v>4851</v>
      </c>
      <c r="C11" s="1794" t="s">
        <v>4852</v>
      </c>
      <c r="D11" s="354">
        <v>143000000</v>
      </c>
      <c r="E11" s="354">
        <v>440000000</v>
      </c>
      <c r="F11" s="354">
        <v>764000000</v>
      </c>
      <c r="G11" s="354">
        <v>1157000000</v>
      </c>
      <c r="H11" s="354">
        <v>175400000</v>
      </c>
      <c r="I11" s="354">
        <v>301400000</v>
      </c>
      <c r="J11" s="354">
        <v>199300000</v>
      </c>
      <c r="K11" s="354">
        <v>360000000</v>
      </c>
      <c r="L11" s="354">
        <v>221000000</v>
      </c>
      <c r="M11" s="354">
        <v>499000000</v>
      </c>
      <c r="N11" s="354">
        <v>511000000</v>
      </c>
      <c r="O11" s="354">
        <v>354000000</v>
      </c>
      <c r="P11" s="354">
        <v>841000000</v>
      </c>
      <c r="Q11" s="354">
        <v>685000000</v>
      </c>
      <c r="R11" s="354">
        <v>592000000</v>
      </c>
      <c r="S11" s="1827">
        <v>1980000000</v>
      </c>
      <c r="T11" s="1827">
        <v>2199000000</v>
      </c>
      <c r="U11" s="1827">
        <v>1611000000</v>
      </c>
      <c r="V11" s="1827">
        <v>2157000000</v>
      </c>
      <c r="W11" s="1827">
        <v>2268000000</v>
      </c>
      <c r="X11" s="1827">
        <v>2354000000</v>
      </c>
      <c r="Y11" s="1830">
        <v>2446000000</v>
      </c>
      <c r="Z11" s="1828">
        <v>2540000000</v>
      </c>
      <c r="AA11" s="1828">
        <v>2639000000</v>
      </c>
    </row>
    <row r="12" spans="1:30">
      <c r="A12" s="1807" t="s">
        <v>4853</v>
      </c>
      <c r="B12" s="1807" t="s">
        <v>4854</v>
      </c>
      <c r="C12" s="1794" t="s">
        <v>4852</v>
      </c>
      <c r="D12" s="354">
        <v>212000000</v>
      </c>
      <c r="E12" s="354">
        <v>36000000</v>
      </c>
      <c r="F12" s="354">
        <v>106000000</v>
      </c>
      <c r="G12" s="354">
        <v>284000000</v>
      </c>
      <c r="H12" s="354">
        <v>3200000</v>
      </c>
      <c r="I12" s="354">
        <v>7900000</v>
      </c>
      <c r="J12" s="354">
        <v>900000</v>
      </c>
      <c r="K12" s="354">
        <v>351000000</v>
      </c>
      <c r="L12" s="354">
        <v>780000000</v>
      </c>
      <c r="M12" s="354">
        <v>731000000</v>
      </c>
      <c r="N12" s="354">
        <v>61000000</v>
      </c>
      <c r="O12" s="354">
        <v>213000000</v>
      </c>
      <c r="P12" s="354">
        <v>10000000</v>
      </c>
      <c r="Q12" s="354">
        <v>11000000</v>
      </c>
      <c r="R12" s="354">
        <v>646000000</v>
      </c>
      <c r="S12" s="1827"/>
      <c r="T12" s="1827"/>
      <c r="U12" s="1827"/>
      <c r="V12" s="1827"/>
      <c r="W12" s="1827"/>
      <c r="X12" s="1827"/>
      <c r="Y12" s="1830"/>
      <c r="Z12" s="1828"/>
      <c r="AA12" s="1828"/>
    </row>
    <row r="13" spans="1:30">
      <c r="A13" s="1807" t="s">
        <v>4855</v>
      </c>
      <c r="B13" s="1807" t="s">
        <v>4855</v>
      </c>
      <c r="C13" s="1794" t="s">
        <v>4852</v>
      </c>
      <c r="D13" s="354">
        <v>359000000</v>
      </c>
      <c r="E13" s="354">
        <v>426000000</v>
      </c>
      <c r="F13" s="354">
        <v>465000000</v>
      </c>
      <c r="G13" s="354">
        <v>672000000</v>
      </c>
      <c r="H13" s="354">
        <v>1019800000</v>
      </c>
      <c r="I13" s="354">
        <v>912900000</v>
      </c>
      <c r="J13" s="354">
        <v>1373000000</v>
      </c>
      <c r="K13" s="354">
        <v>1451000000</v>
      </c>
      <c r="L13" s="354">
        <v>1834000000</v>
      </c>
      <c r="M13" s="354">
        <v>2039000000</v>
      </c>
      <c r="N13" s="354">
        <v>2279000000</v>
      </c>
      <c r="O13" s="354">
        <v>3018000000</v>
      </c>
      <c r="P13" s="354">
        <v>3065000000</v>
      </c>
      <c r="Q13" s="354">
        <f>Q10-Q11-Q12</f>
        <v>3814000000</v>
      </c>
      <c r="R13" s="354">
        <f>R10-R11-R12</f>
        <v>2196000000</v>
      </c>
      <c r="S13" s="1827"/>
      <c r="T13" s="1827"/>
      <c r="U13" s="1827"/>
      <c r="V13" s="1827"/>
      <c r="W13" s="1827"/>
      <c r="X13" s="1827"/>
      <c r="Y13" s="1830"/>
      <c r="Z13" s="1828"/>
      <c r="AA13" s="1828"/>
    </row>
    <row r="14" spans="1:30">
      <c r="A14" s="2668" t="s">
        <v>50</v>
      </c>
      <c r="B14" s="2668" t="s">
        <v>4856</v>
      </c>
      <c r="C14" s="2669" t="s">
        <v>4852</v>
      </c>
      <c r="D14" s="354"/>
      <c r="E14" s="354"/>
      <c r="F14" s="354"/>
      <c r="G14" s="354"/>
      <c r="H14" s="354"/>
      <c r="I14" s="354"/>
      <c r="J14" s="354"/>
      <c r="K14" s="354"/>
      <c r="L14" s="354"/>
      <c r="M14" s="354"/>
      <c r="N14" s="354"/>
      <c r="O14" s="354"/>
      <c r="P14" s="354"/>
      <c r="Q14" s="354"/>
      <c r="R14" s="354"/>
      <c r="S14" s="1827">
        <f>S10-S11</f>
        <v>5039000000</v>
      </c>
      <c r="T14" s="1827">
        <f t="shared" ref="T14:AA14" si="0">T10-T11</f>
        <v>5523000000</v>
      </c>
      <c r="U14" s="1827">
        <f t="shared" si="0"/>
        <v>6097000000</v>
      </c>
      <c r="V14" s="1827">
        <f t="shared" si="0"/>
        <v>6334000000</v>
      </c>
      <c r="W14" s="1827">
        <f t="shared" si="0"/>
        <v>6582000000</v>
      </c>
      <c r="X14" s="1827">
        <f t="shared" si="0"/>
        <v>7207000000</v>
      </c>
      <c r="Y14" s="1830">
        <f t="shared" si="0"/>
        <v>7903000000</v>
      </c>
      <c r="Z14" s="1828">
        <f t="shared" si="0"/>
        <v>8650000000</v>
      </c>
      <c r="AA14" s="1828">
        <f t="shared" si="0"/>
        <v>9450000000</v>
      </c>
    </row>
    <row r="15" spans="1:30">
      <c r="A15" s="1806" t="s">
        <v>4857</v>
      </c>
      <c r="B15" s="1806" t="s">
        <v>4858</v>
      </c>
      <c r="C15" s="1794" t="s">
        <v>44</v>
      </c>
      <c r="D15" s="354">
        <v>1470000000</v>
      </c>
      <c r="E15" s="354">
        <v>1766000000</v>
      </c>
      <c r="F15" s="354">
        <v>1938000000</v>
      </c>
      <c r="G15" s="354">
        <v>2009000000</v>
      </c>
      <c r="H15" s="354">
        <v>1756400000</v>
      </c>
      <c r="I15" s="354">
        <v>1827800000</v>
      </c>
      <c r="J15" s="354">
        <v>3108100000</v>
      </c>
      <c r="K15" s="354">
        <v>3002000000</v>
      </c>
      <c r="L15" s="354">
        <v>3854000000</v>
      </c>
      <c r="M15" s="354">
        <v>4096000000</v>
      </c>
      <c r="N15" s="354">
        <v>4976000000</v>
      </c>
      <c r="O15" s="354">
        <v>5057000000</v>
      </c>
      <c r="P15" s="354">
        <v>7782000000</v>
      </c>
      <c r="Q15" s="354">
        <v>6971000000</v>
      </c>
      <c r="R15" s="354">
        <v>8199000000</v>
      </c>
      <c r="S15" s="1827">
        <v>10270000000</v>
      </c>
      <c r="T15" s="1827">
        <v>11903000000</v>
      </c>
      <c r="U15" s="1827">
        <v>12389000000</v>
      </c>
      <c r="V15" s="1827">
        <v>12981000000</v>
      </c>
      <c r="W15" s="1827">
        <v>13541000000</v>
      </c>
      <c r="X15" s="1827">
        <v>14822000000</v>
      </c>
      <c r="Y15" s="1827">
        <v>16253000000</v>
      </c>
      <c r="Z15" s="1828">
        <v>17783000000</v>
      </c>
      <c r="AA15" s="1828">
        <v>19456000000</v>
      </c>
    </row>
    <row r="16" spans="1:30">
      <c r="A16" s="1806" t="s">
        <v>3765</v>
      </c>
      <c r="B16" s="1806" t="s">
        <v>4859</v>
      </c>
      <c r="C16" s="1794" t="s">
        <v>44</v>
      </c>
      <c r="D16" s="354">
        <v>2241000000</v>
      </c>
      <c r="E16" s="354">
        <v>2877000000</v>
      </c>
      <c r="F16" s="354">
        <v>2641000000</v>
      </c>
      <c r="G16" s="354">
        <v>2597000000</v>
      </c>
      <c r="H16" s="354">
        <v>3035600000</v>
      </c>
      <c r="I16" s="354">
        <v>4206800000</v>
      </c>
      <c r="J16" s="354">
        <v>3891900000</v>
      </c>
      <c r="K16" s="354">
        <v>6698000000</v>
      </c>
      <c r="L16" s="354">
        <v>8085000000</v>
      </c>
      <c r="M16" s="354">
        <v>8502000000</v>
      </c>
      <c r="N16" s="354">
        <v>8585000000</v>
      </c>
      <c r="O16" s="354">
        <v>5976000000</v>
      </c>
      <c r="P16" s="354">
        <v>7137000000</v>
      </c>
      <c r="Q16" s="354">
        <v>13796000000</v>
      </c>
      <c r="R16" s="354">
        <v>14727000000</v>
      </c>
      <c r="S16" s="1827">
        <v>18117000000</v>
      </c>
      <c r="T16" s="1827">
        <v>17355000000</v>
      </c>
      <c r="U16" s="1827">
        <v>14071000000</v>
      </c>
      <c r="V16" s="1827">
        <v>19597000000</v>
      </c>
      <c r="W16" s="1827">
        <v>17375000000</v>
      </c>
      <c r="X16" s="1827">
        <v>15721000000</v>
      </c>
      <c r="Y16" s="1827">
        <v>19083000000</v>
      </c>
      <c r="Z16" s="1828">
        <v>20356000000</v>
      </c>
      <c r="AA16" s="1828">
        <v>22271000000</v>
      </c>
    </row>
    <row r="17" spans="1:30">
      <c r="A17" s="1806" t="s">
        <v>49</v>
      </c>
      <c r="B17" s="1806" t="s">
        <v>4860</v>
      </c>
      <c r="C17" s="1794" t="s">
        <v>44</v>
      </c>
      <c r="D17" s="354">
        <v>553000000</v>
      </c>
      <c r="E17" s="354">
        <v>407000000</v>
      </c>
      <c r="F17" s="354">
        <v>306000000</v>
      </c>
      <c r="G17" s="354">
        <v>296000000</v>
      </c>
      <c r="H17" s="354">
        <v>308700000</v>
      </c>
      <c r="I17" s="354">
        <v>439400000</v>
      </c>
      <c r="J17" s="354">
        <v>408200000</v>
      </c>
      <c r="K17" s="354">
        <v>500000000</v>
      </c>
      <c r="L17" s="354">
        <v>539000000</v>
      </c>
      <c r="M17" s="354">
        <v>613000000</v>
      </c>
      <c r="N17" s="354">
        <v>641000000</v>
      </c>
      <c r="O17" s="354">
        <v>830000000</v>
      </c>
      <c r="P17" s="354">
        <v>892000000</v>
      </c>
      <c r="Q17" s="354">
        <v>768000000</v>
      </c>
      <c r="R17" s="354">
        <v>1690000000</v>
      </c>
      <c r="S17" s="1827">
        <v>1234000000</v>
      </c>
      <c r="T17" s="1827">
        <v>1129000000</v>
      </c>
      <c r="U17" s="1827">
        <v>1472000000</v>
      </c>
      <c r="V17" s="1827">
        <v>1552000000</v>
      </c>
      <c r="W17" s="1827">
        <v>1670000000</v>
      </c>
      <c r="X17" s="1827">
        <v>1826000000</v>
      </c>
      <c r="Y17" s="1827">
        <v>2003000000</v>
      </c>
      <c r="Z17" s="1828">
        <v>2191000000</v>
      </c>
      <c r="AA17" s="1828">
        <v>2397000000</v>
      </c>
    </row>
    <row r="18" spans="1:30">
      <c r="A18" s="1804" t="s">
        <v>51</v>
      </c>
      <c r="B18" s="1804" t="s">
        <v>4861</v>
      </c>
      <c r="C18" s="1804" t="s">
        <v>41</v>
      </c>
      <c r="D18" s="354">
        <v>697000000</v>
      </c>
      <c r="E18" s="354">
        <v>704000000</v>
      </c>
      <c r="F18" s="354">
        <v>847000000</v>
      </c>
      <c r="G18" s="354">
        <v>1239000000</v>
      </c>
      <c r="H18" s="354">
        <v>1087200000</v>
      </c>
      <c r="I18" s="354">
        <v>959300000</v>
      </c>
      <c r="J18" s="354">
        <v>1149600000</v>
      </c>
      <c r="K18" s="354">
        <v>1109000000</v>
      </c>
      <c r="L18" s="354">
        <v>1568000000</v>
      </c>
      <c r="M18" s="354">
        <v>2277000000</v>
      </c>
      <c r="N18" s="354">
        <v>1678000000</v>
      </c>
      <c r="O18" s="354">
        <v>1961000000</v>
      </c>
      <c r="P18" s="354">
        <v>2685000000</v>
      </c>
      <c r="Q18" s="354">
        <v>2171000000</v>
      </c>
      <c r="R18" s="354">
        <v>2126000000</v>
      </c>
      <c r="S18" s="1827">
        <v>3008000000</v>
      </c>
      <c r="T18" s="1827">
        <v>3146000000</v>
      </c>
      <c r="U18" s="1827">
        <v>3207000000</v>
      </c>
      <c r="V18" s="1827">
        <v>3644000000</v>
      </c>
      <c r="W18" s="1827">
        <v>3781000000</v>
      </c>
      <c r="X18" s="1827">
        <v>4134000000</v>
      </c>
      <c r="Y18" s="1827">
        <v>4487000000</v>
      </c>
      <c r="Z18" s="1828">
        <v>4867000000</v>
      </c>
      <c r="AA18" s="1828">
        <v>5205000000</v>
      </c>
    </row>
    <row r="19" spans="1:30">
      <c r="A19" s="1806" t="s">
        <v>4862</v>
      </c>
      <c r="B19" s="1806" t="s">
        <v>4863</v>
      </c>
      <c r="C19" s="1794" t="s">
        <v>1802</v>
      </c>
      <c r="D19" s="354">
        <v>270000000</v>
      </c>
      <c r="E19" s="354">
        <v>240000000</v>
      </c>
      <c r="F19" s="354">
        <v>286000000</v>
      </c>
      <c r="G19" s="354">
        <v>479000000</v>
      </c>
      <c r="H19" s="354">
        <v>301900000</v>
      </c>
      <c r="I19" s="354">
        <v>385400000</v>
      </c>
      <c r="J19" s="354">
        <v>404600000</v>
      </c>
      <c r="K19" s="354">
        <v>482000000</v>
      </c>
      <c r="L19" s="354">
        <v>643000000</v>
      </c>
      <c r="M19" s="354">
        <v>545000000</v>
      </c>
      <c r="N19" s="354">
        <v>492000000</v>
      </c>
      <c r="O19" s="354">
        <v>882000000</v>
      </c>
      <c r="P19" s="354">
        <v>937000000</v>
      </c>
      <c r="Q19" s="354">
        <v>944000000</v>
      </c>
      <c r="R19" s="354">
        <v>293000000</v>
      </c>
      <c r="S19" s="1827">
        <v>1244000000</v>
      </c>
      <c r="T19" s="1827">
        <v>1369000000</v>
      </c>
      <c r="U19" s="1827">
        <v>1368000000</v>
      </c>
      <c r="V19" s="1827">
        <v>1832000000</v>
      </c>
      <c r="W19" s="1827">
        <v>2068000000</v>
      </c>
      <c r="X19" s="1827">
        <v>2261000000</v>
      </c>
      <c r="Y19" s="1827">
        <v>2433000000</v>
      </c>
      <c r="Z19" s="1828">
        <v>2620000000</v>
      </c>
      <c r="AA19" s="1828">
        <v>2746000000</v>
      </c>
    </row>
    <row r="20" spans="1:30">
      <c r="A20" s="1806" t="s">
        <v>4864</v>
      </c>
      <c r="B20" s="1806" t="s">
        <v>4865</v>
      </c>
      <c r="C20" s="1794" t="s">
        <v>1802</v>
      </c>
      <c r="D20" s="354">
        <v>210000000</v>
      </c>
      <c r="E20" s="354">
        <v>237000000</v>
      </c>
      <c r="F20" s="354">
        <v>258000000</v>
      </c>
      <c r="G20" s="354">
        <v>388000000</v>
      </c>
      <c r="H20" s="354">
        <v>461100000</v>
      </c>
      <c r="I20" s="354">
        <v>348800000</v>
      </c>
      <c r="J20" s="354">
        <v>519200000.00000006</v>
      </c>
      <c r="K20" s="354">
        <v>412000000</v>
      </c>
      <c r="L20" s="354">
        <v>478000000</v>
      </c>
      <c r="M20" s="354">
        <v>503000000</v>
      </c>
      <c r="N20" s="354">
        <v>433000000</v>
      </c>
      <c r="O20" s="354">
        <v>545000000</v>
      </c>
      <c r="P20" s="354">
        <v>483000000</v>
      </c>
      <c r="Q20" s="354">
        <v>211000000</v>
      </c>
      <c r="R20" s="354">
        <v>450000000</v>
      </c>
      <c r="S20" s="1827">
        <v>772000000</v>
      </c>
      <c r="T20" s="1827">
        <v>628000000</v>
      </c>
      <c r="U20" s="1827">
        <v>835000000</v>
      </c>
      <c r="V20" s="1827">
        <v>881000000</v>
      </c>
      <c r="W20" s="1827">
        <v>948000000</v>
      </c>
      <c r="X20" s="1827">
        <v>1036000000</v>
      </c>
      <c r="Y20" s="1827">
        <v>1136000000</v>
      </c>
      <c r="Z20" s="1828">
        <v>1243000000</v>
      </c>
      <c r="AA20" s="1828">
        <v>1360000000</v>
      </c>
    </row>
    <row r="21" spans="1:30">
      <c r="A21" s="1806" t="s">
        <v>50</v>
      </c>
      <c r="B21" s="1806" t="s">
        <v>50</v>
      </c>
      <c r="C21" s="1794" t="s">
        <v>1802</v>
      </c>
      <c r="D21" s="354">
        <v>217000000</v>
      </c>
      <c r="E21" s="354">
        <v>227000000</v>
      </c>
      <c r="F21" s="354">
        <v>303000000</v>
      </c>
      <c r="G21" s="354">
        <v>372000000</v>
      </c>
      <c r="H21" s="354">
        <v>324200000</v>
      </c>
      <c r="I21" s="354">
        <v>225100000</v>
      </c>
      <c r="J21" s="354">
        <v>225800000</v>
      </c>
      <c r="K21" s="354">
        <v>215000000</v>
      </c>
      <c r="L21" s="354">
        <v>446000000</v>
      </c>
      <c r="M21" s="354">
        <v>1230000000</v>
      </c>
      <c r="N21" s="354">
        <v>753000000</v>
      </c>
      <c r="O21" s="354">
        <v>534000000</v>
      </c>
      <c r="P21" s="354">
        <v>1265000000</v>
      </c>
      <c r="Q21" s="354">
        <v>1016000000</v>
      </c>
      <c r="R21" s="354">
        <v>1383000000</v>
      </c>
      <c r="S21" s="1827">
        <v>992000000</v>
      </c>
      <c r="T21" s="1827">
        <v>1149000000</v>
      </c>
      <c r="U21" s="1827">
        <v>1004000000</v>
      </c>
      <c r="V21" s="1827">
        <v>931000000</v>
      </c>
      <c r="W21" s="1827">
        <v>765000000</v>
      </c>
      <c r="X21" s="1827">
        <v>837000000</v>
      </c>
      <c r="Y21" s="1827">
        <v>918000000</v>
      </c>
      <c r="Z21" s="1828">
        <v>1004000000</v>
      </c>
      <c r="AA21" s="1828">
        <v>1098000000</v>
      </c>
    </row>
    <row r="22" spans="1:30">
      <c r="A22" s="1804" t="s">
        <v>53</v>
      </c>
      <c r="B22" s="1804" t="s">
        <v>53</v>
      </c>
      <c r="C22" s="1805" t="s">
        <v>38</v>
      </c>
      <c r="D22" s="354">
        <v>44000000</v>
      </c>
      <c r="E22" s="354">
        <v>44000000</v>
      </c>
      <c r="F22" s="354">
        <v>58000000</v>
      </c>
      <c r="G22" s="354">
        <v>34000000</v>
      </c>
      <c r="H22" s="354">
        <v>34200000</v>
      </c>
      <c r="I22" s="354">
        <v>70400000</v>
      </c>
      <c r="J22" s="354">
        <v>39000000</v>
      </c>
      <c r="K22" s="354">
        <v>50000000</v>
      </c>
      <c r="L22" s="354">
        <v>78000000</v>
      </c>
      <c r="M22" s="354">
        <v>83000000</v>
      </c>
      <c r="N22" s="354">
        <v>201000000</v>
      </c>
      <c r="O22" s="354">
        <v>24000000</v>
      </c>
      <c r="P22" s="354">
        <v>179000000</v>
      </c>
      <c r="Q22" s="354">
        <v>184000000</v>
      </c>
      <c r="R22" s="354">
        <v>278000000</v>
      </c>
      <c r="S22" s="1827">
        <v>110000000</v>
      </c>
      <c r="T22" s="1827">
        <v>152000000</v>
      </c>
      <c r="U22" s="1827">
        <v>0</v>
      </c>
      <c r="V22" s="1827">
        <v>50000000</v>
      </c>
      <c r="W22" s="1827">
        <v>54000000</v>
      </c>
      <c r="X22" s="1827">
        <v>59000000</v>
      </c>
      <c r="Y22" s="1827">
        <v>65000000</v>
      </c>
      <c r="Z22" s="1828">
        <v>71000000</v>
      </c>
      <c r="AA22" s="1828">
        <v>77000000</v>
      </c>
    </row>
    <row r="23" spans="1:30" s="848" customFormat="1">
      <c r="A23" s="1820" t="s">
        <v>71</v>
      </c>
      <c r="B23" s="1818" t="s">
        <v>4866</v>
      </c>
      <c r="C23" s="1818" t="s">
        <v>35</v>
      </c>
      <c r="D23" s="1819">
        <v>7736000000</v>
      </c>
      <c r="E23" s="1819">
        <v>8566000000</v>
      </c>
      <c r="F23" s="1819">
        <v>10256000000</v>
      </c>
      <c r="G23" s="1819">
        <v>11573000000</v>
      </c>
      <c r="H23" s="1819">
        <v>12334800000</v>
      </c>
      <c r="I23" s="1819">
        <v>12640300000</v>
      </c>
      <c r="J23" s="1819">
        <v>13279400000</v>
      </c>
      <c r="K23" s="1819">
        <v>15315000000</v>
      </c>
      <c r="L23" s="1819">
        <v>17541000000</v>
      </c>
      <c r="M23" s="1819">
        <v>21898000000</v>
      </c>
      <c r="N23" s="1819">
        <v>25712000000</v>
      </c>
      <c r="O23" s="1819">
        <v>28142000000</v>
      </c>
      <c r="P23" s="1819">
        <v>37961000000</v>
      </c>
      <c r="Q23" s="1819">
        <v>38395000000</v>
      </c>
      <c r="R23" s="1819">
        <f>R24+R32+R36</f>
        <v>47414000000</v>
      </c>
      <c r="S23" s="1825">
        <v>59334000000</v>
      </c>
      <c r="T23" s="1825">
        <v>65262000000</v>
      </c>
      <c r="U23" s="1825">
        <v>66076000000</v>
      </c>
      <c r="V23" s="1825">
        <v>67671000000</v>
      </c>
      <c r="W23" s="1825">
        <v>74273000000</v>
      </c>
      <c r="X23" s="1825">
        <v>80719000000</v>
      </c>
      <c r="Y23" s="1825">
        <v>88448000000</v>
      </c>
      <c r="Z23" s="1826">
        <v>95649000000</v>
      </c>
      <c r="AA23" s="1826">
        <v>106007000000</v>
      </c>
      <c r="AB23" s="1820"/>
      <c r="AC23" s="1820"/>
      <c r="AD23" s="1820"/>
    </row>
    <row r="24" spans="1:30">
      <c r="A24" s="1797" t="s">
        <v>73</v>
      </c>
      <c r="B24" s="1804" t="s">
        <v>4867</v>
      </c>
      <c r="C24" s="1804" t="s">
        <v>201</v>
      </c>
      <c r="D24" s="354">
        <v>6705000000</v>
      </c>
      <c r="E24" s="354">
        <v>7253000000</v>
      </c>
      <c r="F24" s="354">
        <v>8717000000</v>
      </c>
      <c r="G24" s="354">
        <v>9482000000</v>
      </c>
      <c r="H24" s="354">
        <v>10387000000</v>
      </c>
      <c r="I24" s="354">
        <v>10684100000</v>
      </c>
      <c r="J24" s="354">
        <v>11614300000</v>
      </c>
      <c r="K24" s="354">
        <v>12512000000</v>
      </c>
      <c r="L24" s="354">
        <v>13812000000</v>
      </c>
      <c r="M24" s="354">
        <v>16854000000</v>
      </c>
      <c r="N24" s="354">
        <v>19708000000</v>
      </c>
      <c r="O24" s="354">
        <v>22153000000</v>
      </c>
      <c r="P24" s="354">
        <v>27922000000</v>
      </c>
      <c r="Q24" s="354">
        <v>30803000000</v>
      </c>
      <c r="R24" s="354">
        <v>38595000000</v>
      </c>
      <c r="S24" s="1827">
        <v>50198000000</v>
      </c>
      <c r="T24" s="1827">
        <v>55205000000</v>
      </c>
      <c r="U24" s="1827">
        <v>57670000000</v>
      </c>
      <c r="V24" s="1827">
        <v>60654000000</v>
      </c>
      <c r="W24" s="1827">
        <v>65725000000</v>
      </c>
      <c r="X24" s="1827">
        <v>72119000000</v>
      </c>
      <c r="Y24" s="1827">
        <v>79163000000</v>
      </c>
      <c r="Z24" s="1828">
        <v>87131000000</v>
      </c>
      <c r="AA24" s="1828">
        <v>96688000000</v>
      </c>
    </row>
    <row r="25" spans="1:30">
      <c r="A25" s="1806" t="s">
        <v>4868</v>
      </c>
      <c r="B25" s="1806" t="s">
        <v>4868</v>
      </c>
      <c r="C25" s="1804" t="s">
        <v>204</v>
      </c>
      <c r="D25" s="354">
        <v>3615000000</v>
      </c>
      <c r="E25" s="354">
        <v>3720000000</v>
      </c>
      <c r="F25" s="354">
        <v>4326000000</v>
      </c>
      <c r="G25" s="354">
        <v>4709000000</v>
      </c>
      <c r="H25" s="354">
        <v>5117000000</v>
      </c>
      <c r="I25" s="354">
        <v>5445800000</v>
      </c>
      <c r="J25" s="354">
        <v>5888800000</v>
      </c>
      <c r="K25" s="354">
        <v>6213000000</v>
      </c>
      <c r="L25" s="354">
        <v>6805000000</v>
      </c>
      <c r="M25" s="354">
        <v>7559000000</v>
      </c>
      <c r="N25" s="354">
        <v>9045000000</v>
      </c>
      <c r="O25" s="354">
        <v>10797000000</v>
      </c>
      <c r="P25" s="354">
        <v>12690000000</v>
      </c>
      <c r="Q25" s="354">
        <v>13925000000</v>
      </c>
      <c r="R25" s="354">
        <v>17932000000</v>
      </c>
      <c r="S25" s="1827">
        <v>21655000000</v>
      </c>
      <c r="T25" s="1827">
        <v>23961000000</v>
      </c>
      <c r="U25" s="1827">
        <v>26738000000</v>
      </c>
      <c r="V25" s="1827">
        <v>29411000000</v>
      </c>
      <c r="W25" s="1827">
        <v>32227000000</v>
      </c>
      <c r="X25" s="1827">
        <v>35142000000</v>
      </c>
      <c r="Y25" s="1827">
        <v>38217000000</v>
      </c>
      <c r="Z25" s="1828">
        <v>41561000000</v>
      </c>
      <c r="AA25" s="1828">
        <v>45197000000</v>
      </c>
    </row>
    <row r="26" spans="1:30">
      <c r="A26" s="1806" t="s">
        <v>83</v>
      </c>
      <c r="B26" s="1806" t="s">
        <v>4869</v>
      </c>
      <c r="C26" s="1804" t="s">
        <v>204</v>
      </c>
      <c r="D26" s="354">
        <v>1421000000</v>
      </c>
      <c r="E26" s="354">
        <v>1571000000</v>
      </c>
      <c r="F26" s="354">
        <v>2034000000</v>
      </c>
      <c r="G26" s="354">
        <v>2057000000</v>
      </c>
      <c r="H26" s="354">
        <v>2149900000</v>
      </c>
      <c r="I26" s="354">
        <v>1957100000</v>
      </c>
      <c r="J26" s="354">
        <v>2017600000</v>
      </c>
      <c r="K26" s="354">
        <v>2289000000</v>
      </c>
      <c r="L26" s="354">
        <v>2864000000</v>
      </c>
      <c r="M26" s="354">
        <v>3683000000</v>
      </c>
      <c r="N26" s="354">
        <v>4271000000</v>
      </c>
      <c r="O26" s="354">
        <v>4105000000</v>
      </c>
      <c r="P26" s="354">
        <v>5467000000</v>
      </c>
      <c r="Q26" s="354">
        <v>5290000000</v>
      </c>
      <c r="R26" s="354">
        <v>6551000000</v>
      </c>
      <c r="S26" s="1827">
        <v>11310000000</v>
      </c>
      <c r="T26" s="1827">
        <v>10794000000</v>
      </c>
      <c r="U26" s="1827">
        <v>10281000000</v>
      </c>
      <c r="V26" s="1827">
        <v>9181000000</v>
      </c>
      <c r="W26" s="1827">
        <v>9257000000</v>
      </c>
      <c r="X26" s="1827">
        <v>9789000000</v>
      </c>
      <c r="Y26" s="1827">
        <v>10352000000</v>
      </c>
      <c r="Z26" s="1828">
        <v>10947000000</v>
      </c>
      <c r="AA26" s="1828">
        <v>11576000000</v>
      </c>
    </row>
    <row r="27" spans="1:30">
      <c r="A27" s="1806" t="s">
        <v>90</v>
      </c>
      <c r="B27" s="1806" t="s">
        <v>4870</v>
      </c>
      <c r="C27" s="1804" t="s">
        <v>204</v>
      </c>
      <c r="D27" s="354">
        <v>492000000</v>
      </c>
      <c r="E27" s="354">
        <v>533000000</v>
      </c>
      <c r="F27" s="354">
        <v>587000000</v>
      </c>
      <c r="G27" s="354">
        <v>823000000</v>
      </c>
      <c r="H27" s="354">
        <v>864800000</v>
      </c>
      <c r="I27" s="354">
        <v>999200000</v>
      </c>
      <c r="J27" s="354">
        <v>1162400000</v>
      </c>
      <c r="K27" s="354">
        <v>1263000000</v>
      </c>
      <c r="L27" s="354">
        <v>1179000000</v>
      </c>
      <c r="M27" s="354">
        <v>1111000000</v>
      </c>
      <c r="N27" s="354">
        <v>1197000000</v>
      </c>
      <c r="O27" s="354">
        <v>966000000</v>
      </c>
      <c r="P27" s="354">
        <v>1131000000</v>
      </c>
      <c r="Q27" s="354">
        <v>1719000000</v>
      </c>
      <c r="R27" s="354">
        <v>1796000000</v>
      </c>
      <c r="S27" s="1831">
        <f>S28+S29</f>
        <v>2060000000</v>
      </c>
      <c r="T27" s="1831">
        <f t="shared" ref="T27:AA27" si="1">T28+T29</f>
        <v>2627000000</v>
      </c>
      <c r="U27" s="1831">
        <f t="shared" si="1"/>
        <v>4310000000</v>
      </c>
      <c r="V27" s="1831">
        <f t="shared" si="1"/>
        <v>5073000000</v>
      </c>
      <c r="W27" s="1831">
        <f t="shared" si="1"/>
        <v>6281000000</v>
      </c>
      <c r="X27" s="1831">
        <f t="shared" si="1"/>
        <v>7947000000</v>
      </c>
      <c r="Y27" s="1831">
        <f t="shared" si="1"/>
        <v>9932000000</v>
      </c>
      <c r="Z27" s="1831">
        <f t="shared" si="1"/>
        <v>11999000000</v>
      </c>
      <c r="AA27" s="1831">
        <f t="shared" si="1"/>
        <v>15150000000</v>
      </c>
    </row>
    <row r="28" spans="1:30">
      <c r="A28" s="1807" t="s">
        <v>209</v>
      </c>
      <c r="B28" s="1807" t="s">
        <v>209</v>
      </c>
      <c r="C28" s="1794" t="s">
        <v>211</v>
      </c>
      <c r="D28" s="354">
        <v>479000000</v>
      </c>
      <c r="E28" s="354">
        <v>520000000</v>
      </c>
      <c r="F28" s="354">
        <v>559000000</v>
      </c>
      <c r="G28" s="354">
        <v>772000000</v>
      </c>
      <c r="H28" s="354">
        <v>813800000</v>
      </c>
      <c r="I28" s="354">
        <v>930200000</v>
      </c>
      <c r="J28" s="354">
        <v>1080100000</v>
      </c>
      <c r="K28" s="354">
        <v>1169000000</v>
      </c>
      <c r="L28" s="354">
        <v>1067000000</v>
      </c>
      <c r="M28" s="354">
        <v>952000000</v>
      </c>
      <c r="N28" s="354">
        <v>1033000000</v>
      </c>
      <c r="O28" s="354">
        <v>881000000</v>
      </c>
      <c r="P28" s="354">
        <v>1060000000</v>
      </c>
      <c r="Q28" s="354">
        <v>1419000000</v>
      </c>
      <c r="R28" s="354">
        <v>1389000000</v>
      </c>
      <c r="S28" s="1827">
        <v>1600000000</v>
      </c>
      <c r="T28" s="1827">
        <v>2031000000</v>
      </c>
      <c r="U28" s="1827">
        <v>2831000000</v>
      </c>
      <c r="V28" s="1827">
        <v>3676000000</v>
      </c>
      <c r="W28" s="1827">
        <v>4667000000</v>
      </c>
      <c r="X28" s="1827">
        <v>6019000000</v>
      </c>
      <c r="Y28" s="1827">
        <v>7948000000</v>
      </c>
      <c r="Z28" s="1828">
        <v>10090000000</v>
      </c>
      <c r="AA28" s="1828">
        <v>12507000000</v>
      </c>
    </row>
    <row r="29" spans="1:30">
      <c r="A29" s="1807" t="s">
        <v>212</v>
      </c>
      <c r="B29" s="1807" t="s">
        <v>212</v>
      </c>
      <c r="C29" s="1794" t="s">
        <v>211</v>
      </c>
      <c r="D29" s="354">
        <v>13000000</v>
      </c>
      <c r="E29" s="354">
        <v>13000000</v>
      </c>
      <c r="F29" s="354">
        <v>28000000</v>
      </c>
      <c r="G29" s="354">
        <v>52000000</v>
      </c>
      <c r="H29" s="354">
        <v>51100000</v>
      </c>
      <c r="I29" s="354">
        <v>69000000</v>
      </c>
      <c r="J29" s="354">
        <v>82300000</v>
      </c>
      <c r="K29" s="354">
        <v>94000000</v>
      </c>
      <c r="L29" s="354">
        <v>112000000</v>
      </c>
      <c r="M29" s="354">
        <v>158000000</v>
      </c>
      <c r="N29" s="354">
        <v>164000000</v>
      </c>
      <c r="O29" s="354">
        <v>85000000</v>
      </c>
      <c r="P29" s="354">
        <v>72000000</v>
      </c>
      <c r="Q29" s="354">
        <v>300000000</v>
      </c>
      <c r="R29" s="354">
        <v>407000000</v>
      </c>
      <c r="S29" s="1827">
        <v>460000000</v>
      </c>
      <c r="T29" s="1827">
        <v>596000000</v>
      </c>
      <c r="U29" s="1827">
        <v>1479000000</v>
      </c>
      <c r="V29" s="1827">
        <v>1397000000</v>
      </c>
      <c r="W29" s="1827">
        <v>1614000000</v>
      </c>
      <c r="X29" s="1827">
        <v>1928000000</v>
      </c>
      <c r="Y29" s="1827">
        <v>1984000000</v>
      </c>
      <c r="Z29" s="1828">
        <v>1909000000</v>
      </c>
      <c r="AA29" s="1828">
        <v>2643000000</v>
      </c>
    </row>
    <row r="30" spans="1:30">
      <c r="A30" s="1806" t="s">
        <v>4871</v>
      </c>
      <c r="B30" s="1806" t="s">
        <v>4872</v>
      </c>
      <c r="C30" s="1804" t="s">
        <v>204</v>
      </c>
      <c r="D30" s="354">
        <v>1141000000</v>
      </c>
      <c r="E30" s="354">
        <v>1395000000</v>
      </c>
      <c r="F30" s="354">
        <v>1770000000</v>
      </c>
      <c r="G30" s="354">
        <v>1893000000</v>
      </c>
      <c r="H30" s="354">
        <v>2255300000</v>
      </c>
      <c r="I30" s="354">
        <v>2282000000</v>
      </c>
      <c r="J30" s="354">
        <v>2545600000</v>
      </c>
      <c r="K30" s="354">
        <v>2747000000</v>
      </c>
      <c r="L30" s="354">
        <v>2964000000</v>
      </c>
      <c r="M30" s="354">
        <v>4501000000</v>
      </c>
      <c r="N30" s="354">
        <v>4965000000</v>
      </c>
      <c r="O30" s="354">
        <v>6285000000</v>
      </c>
      <c r="P30" s="354">
        <v>8375000000</v>
      </c>
      <c r="Q30" s="354">
        <v>9869000000</v>
      </c>
      <c r="R30" s="354">
        <v>12316000000</v>
      </c>
      <c r="S30" s="1827">
        <v>15168000000</v>
      </c>
      <c r="T30" s="1827">
        <v>17817000000</v>
      </c>
      <c r="U30" s="1827">
        <v>16298000000</v>
      </c>
      <c r="V30" s="1827">
        <v>16987000000</v>
      </c>
      <c r="W30" s="1827">
        <v>17958000000</v>
      </c>
      <c r="X30" s="1827">
        <v>19240000000</v>
      </c>
      <c r="Y30" s="1827">
        <v>20662000000</v>
      </c>
      <c r="Z30" s="1828">
        <v>22623000000</v>
      </c>
      <c r="AA30" s="1828">
        <v>24763000000</v>
      </c>
    </row>
    <row r="31" spans="1:30">
      <c r="A31" s="1832" t="s">
        <v>50</v>
      </c>
      <c r="B31" s="1832" t="s">
        <v>50</v>
      </c>
      <c r="C31" s="1833" t="s">
        <v>204</v>
      </c>
      <c r="D31" s="354">
        <v>36000000</v>
      </c>
      <c r="E31" s="354">
        <v>34000000</v>
      </c>
      <c r="F31" s="354">
        <v>0</v>
      </c>
      <c r="G31" s="354">
        <v>0</v>
      </c>
      <c r="H31" s="354">
        <v>0</v>
      </c>
      <c r="I31" s="354">
        <v>0</v>
      </c>
      <c r="J31" s="354">
        <v>0</v>
      </c>
      <c r="K31" s="354">
        <f>K24-K25-K26-K27-K30</f>
        <v>0</v>
      </c>
      <c r="L31" s="354">
        <f>L24-L25-L26-L27-L30</f>
        <v>0</v>
      </c>
      <c r="M31" s="354">
        <f>M24-M25-M26-M27-M30</f>
        <v>0</v>
      </c>
      <c r="N31" s="354">
        <f>N24-N25-N26-N27-N30</f>
        <v>230000000</v>
      </c>
      <c r="O31" s="354">
        <f t="shared" ref="O31:AA31" si="2">O24-O25-O26-O27-O30</f>
        <v>0</v>
      </c>
      <c r="P31" s="354">
        <f t="shared" si="2"/>
        <v>259000000</v>
      </c>
      <c r="Q31" s="354">
        <f t="shared" si="2"/>
        <v>0</v>
      </c>
      <c r="R31" s="354">
        <f t="shared" si="2"/>
        <v>0</v>
      </c>
      <c r="S31" s="354">
        <f t="shared" si="2"/>
        <v>5000000</v>
      </c>
      <c r="T31" s="354">
        <f t="shared" si="2"/>
        <v>6000000</v>
      </c>
      <c r="U31" s="354">
        <f t="shared" si="2"/>
        <v>43000000</v>
      </c>
      <c r="V31" s="354">
        <f t="shared" si="2"/>
        <v>2000000</v>
      </c>
      <c r="W31" s="354">
        <f t="shared" si="2"/>
        <v>2000000</v>
      </c>
      <c r="X31" s="354">
        <f t="shared" si="2"/>
        <v>1000000</v>
      </c>
      <c r="Y31" s="354">
        <f t="shared" si="2"/>
        <v>0</v>
      </c>
      <c r="Z31" s="354">
        <f t="shared" si="2"/>
        <v>1000000</v>
      </c>
      <c r="AA31" s="354">
        <f t="shared" si="2"/>
        <v>2000000</v>
      </c>
    </row>
    <row r="32" spans="1:30">
      <c r="A32" s="1804" t="s">
        <v>237</v>
      </c>
      <c r="B32" s="1804" t="s">
        <v>4873</v>
      </c>
      <c r="C32" s="1804" t="s">
        <v>201</v>
      </c>
      <c r="D32" s="354">
        <v>941000000</v>
      </c>
      <c r="E32" s="354">
        <v>1182000000</v>
      </c>
      <c r="F32" s="354">
        <v>1082000000</v>
      </c>
      <c r="G32" s="354">
        <v>1457000000</v>
      </c>
      <c r="H32" s="354">
        <v>1561200000</v>
      </c>
      <c r="I32" s="354">
        <v>1627100000</v>
      </c>
      <c r="J32" s="354">
        <v>1489900000</v>
      </c>
      <c r="K32" s="354">
        <v>2169000000</v>
      </c>
      <c r="L32" s="354">
        <v>2530000000</v>
      </c>
      <c r="M32" s="354">
        <v>3925000000</v>
      </c>
      <c r="N32" s="354">
        <v>5334000000</v>
      </c>
      <c r="O32" s="354">
        <v>5989000000</v>
      </c>
      <c r="P32" s="354">
        <v>8795000000</v>
      </c>
      <c r="Q32" s="354">
        <v>6887000000</v>
      </c>
      <c r="R32" s="354">
        <v>8819000000</v>
      </c>
      <c r="S32" s="1827">
        <v>9132000000</v>
      </c>
      <c r="T32" s="1827">
        <v>10050000000</v>
      </c>
      <c r="U32" s="1827">
        <v>8396000000</v>
      </c>
      <c r="V32" s="1827">
        <v>7006000000</v>
      </c>
      <c r="W32" s="1827">
        <v>8539000000</v>
      </c>
      <c r="X32" s="1827">
        <v>8587000000</v>
      </c>
      <c r="Y32" s="1827">
        <v>9271000000</v>
      </c>
      <c r="Z32" s="1828">
        <v>8502000000</v>
      </c>
      <c r="AA32" s="1828">
        <v>9302000000</v>
      </c>
    </row>
    <row r="33" spans="1:30">
      <c r="A33" s="1806" t="s">
        <v>4874</v>
      </c>
      <c r="B33" s="1806" t="s">
        <v>4875</v>
      </c>
      <c r="C33" s="1804" t="s">
        <v>241</v>
      </c>
      <c r="D33" s="354">
        <v>907000000</v>
      </c>
      <c r="E33" s="354">
        <v>1152000000</v>
      </c>
      <c r="F33" s="354">
        <v>1038000000</v>
      </c>
      <c r="G33" s="354">
        <v>1370000000</v>
      </c>
      <c r="H33" s="354">
        <v>1470300000</v>
      </c>
      <c r="I33" s="354">
        <v>1421400000</v>
      </c>
      <c r="J33" s="354">
        <v>1383900000</v>
      </c>
      <c r="K33" s="354"/>
      <c r="L33" s="354">
        <v>1791000000</v>
      </c>
      <c r="M33" s="354">
        <v>2930000000</v>
      </c>
      <c r="N33" s="354">
        <v>3632000000</v>
      </c>
      <c r="O33" s="354">
        <v>3335000000</v>
      </c>
      <c r="P33" s="354">
        <v>4111000000</v>
      </c>
      <c r="Q33" s="354">
        <v>5371000000</v>
      </c>
      <c r="R33" s="354">
        <v>7337000000</v>
      </c>
      <c r="S33" s="1827">
        <v>6004000000</v>
      </c>
      <c r="T33" s="1827">
        <v>7441000000</v>
      </c>
      <c r="U33" s="1827">
        <v>7537000000</v>
      </c>
      <c r="V33" s="1827">
        <v>5969000000</v>
      </c>
      <c r="W33" s="1827">
        <v>6423000000</v>
      </c>
      <c r="X33" s="1827">
        <v>5867000000</v>
      </c>
      <c r="Y33" s="1827">
        <v>6433000000</v>
      </c>
      <c r="Z33" s="1828">
        <v>7039000000</v>
      </c>
      <c r="AA33" s="1828">
        <v>7701000000</v>
      </c>
    </row>
    <row r="34" spans="1:30">
      <c r="A34" s="1806" t="s">
        <v>4876</v>
      </c>
      <c r="B34" s="1806" t="s">
        <v>4877</v>
      </c>
      <c r="C34" s="1804" t="s">
        <v>241</v>
      </c>
      <c r="D34" s="1808"/>
      <c r="E34" s="1808"/>
      <c r="F34" s="1808"/>
      <c r="G34" s="1808"/>
      <c r="H34" s="1808"/>
      <c r="I34" s="1808"/>
      <c r="J34" s="354">
        <v>106000000</v>
      </c>
      <c r="K34" s="354"/>
      <c r="L34" s="354">
        <v>355000000</v>
      </c>
      <c r="M34" s="354">
        <v>226000000</v>
      </c>
      <c r="N34" s="354">
        <v>802000000</v>
      </c>
      <c r="O34" s="354">
        <v>1259000000</v>
      </c>
      <c r="P34" s="354">
        <v>1354000000</v>
      </c>
      <c r="Q34" s="354">
        <v>302000000</v>
      </c>
      <c r="R34" s="354">
        <v>678000000</v>
      </c>
      <c r="S34" s="1827">
        <v>578000000</v>
      </c>
      <c r="T34" s="1827">
        <v>684000000</v>
      </c>
      <c r="U34" s="1827">
        <v>0</v>
      </c>
      <c r="V34" s="1827">
        <v>0</v>
      </c>
      <c r="W34" s="1827">
        <v>1000000000</v>
      </c>
      <c r="X34" s="1827">
        <v>1500000000</v>
      </c>
      <c r="Y34" s="1827">
        <v>1500000000</v>
      </c>
      <c r="Z34" s="1828">
        <v>0</v>
      </c>
      <c r="AA34" s="1828">
        <v>0</v>
      </c>
    </row>
    <row r="35" spans="1:30">
      <c r="A35" s="1806" t="s">
        <v>1232</v>
      </c>
      <c r="B35" s="1806" t="s">
        <v>4878</v>
      </c>
      <c r="C35" s="1804" t="s">
        <v>241</v>
      </c>
      <c r="D35" s="354">
        <v>33000000</v>
      </c>
      <c r="E35" s="354">
        <v>30000000</v>
      </c>
      <c r="F35" s="354">
        <v>44000000</v>
      </c>
      <c r="G35" s="354">
        <v>87000000</v>
      </c>
      <c r="H35" s="1808">
        <v>91000000</v>
      </c>
      <c r="I35" s="1808">
        <v>205700000</v>
      </c>
      <c r="J35" s="1808"/>
      <c r="K35" s="354"/>
      <c r="L35" s="354">
        <v>383000000</v>
      </c>
      <c r="M35" s="354">
        <v>769000000</v>
      </c>
      <c r="N35" s="354">
        <v>900000000</v>
      </c>
      <c r="O35" s="354">
        <v>1395000000</v>
      </c>
      <c r="P35" s="354">
        <v>3330000000</v>
      </c>
      <c r="Q35" s="354">
        <v>1214000000</v>
      </c>
      <c r="R35" s="354">
        <v>804000000</v>
      </c>
      <c r="S35" s="1827">
        <v>2550000000</v>
      </c>
      <c r="T35" s="1827">
        <v>1925000000</v>
      </c>
      <c r="U35" s="1827">
        <v>860000000</v>
      </c>
      <c r="V35" s="1827">
        <v>1037000000</v>
      </c>
      <c r="W35" s="1827">
        <v>1116000000</v>
      </c>
      <c r="X35" s="1827">
        <v>1220000000</v>
      </c>
      <c r="Y35" s="1827">
        <v>1338000000</v>
      </c>
      <c r="Z35" s="1828">
        <v>1464000000</v>
      </c>
      <c r="AA35" s="1828">
        <v>1601000000</v>
      </c>
    </row>
    <row r="36" spans="1:30">
      <c r="A36" s="1804" t="s">
        <v>612</v>
      </c>
      <c r="B36" s="1804" t="s">
        <v>4879</v>
      </c>
      <c r="C36" s="1804" t="s">
        <v>201</v>
      </c>
      <c r="D36" s="354">
        <v>89000000</v>
      </c>
      <c r="E36" s="354">
        <v>131000000</v>
      </c>
      <c r="F36" s="354">
        <v>456000000</v>
      </c>
      <c r="G36" s="1808">
        <v>634000000</v>
      </c>
      <c r="H36" s="1808">
        <v>386500000</v>
      </c>
      <c r="I36" s="1808">
        <v>329100000</v>
      </c>
      <c r="J36" s="354">
        <v>175100000</v>
      </c>
      <c r="K36" s="354">
        <v>633000000</v>
      </c>
      <c r="L36" s="354">
        <v>1200000000</v>
      </c>
      <c r="M36" s="354">
        <v>1119000000</v>
      </c>
      <c r="N36" s="354">
        <v>670000000</v>
      </c>
      <c r="O36" s="354">
        <v>0</v>
      </c>
      <c r="P36" s="354">
        <v>1243000000</v>
      </c>
      <c r="Q36" s="354">
        <v>705000000</v>
      </c>
      <c r="R36" s="2761">
        <v>0</v>
      </c>
      <c r="S36" s="1827">
        <v>4000000</v>
      </c>
      <c r="T36" s="1827">
        <v>7000000</v>
      </c>
      <c r="U36" s="1827">
        <v>10000000</v>
      </c>
      <c r="V36" s="1827">
        <v>10000000</v>
      </c>
      <c r="W36" s="1827">
        <v>9000000</v>
      </c>
      <c r="X36" s="1827">
        <v>13000000</v>
      </c>
      <c r="Y36" s="1827">
        <v>14000000</v>
      </c>
      <c r="Z36" s="1828">
        <v>15000000</v>
      </c>
      <c r="AA36" s="1828">
        <v>17000000</v>
      </c>
    </row>
    <row r="37" spans="1:30">
      <c r="A37" s="1797" t="s">
        <v>76</v>
      </c>
      <c r="B37" s="1804" t="s">
        <v>542</v>
      </c>
      <c r="C37" s="1802"/>
      <c r="D37" s="354">
        <v>-508000000</v>
      </c>
      <c r="E37" s="354">
        <v>-357000000</v>
      </c>
      <c r="F37" s="354">
        <v>-1296000000</v>
      </c>
      <c r="G37" s="354">
        <v>-1104000000</v>
      </c>
      <c r="H37" s="1808">
        <v>-2580700000</v>
      </c>
      <c r="I37" s="1808">
        <v>-1252600000</v>
      </c>
      <c r="J37" s="1808">
        <v>-204100000</v>
      </c>
      <c r="K37" s="1808">
        <v>1578000000</v>
      </c>
      <c r="L37" s="354">
        <v>3131000000</v>
      </c>
      <c r="M37" s="354">
        <v>1549000000</v>
      </c>
      <c r="N37" s="354">
        <v>-1695000000</v>
      </c>
      <c r="O37" s="354">
        <v>-4764000000</v>
      </c>
      <c r="P37" s="354">
        <v>-8044000000</v>
      </c>
      <c r="Q37" s="354">
        <v>-1805000000</v>
      </c>
      <c r="R37" s="354">
        <v>-5519000000</v>
      </c>
      <c r="S37" s="1827">
        <v>-9380000000</v>
      </c>
      <c r="T37" s="1827">
        <v>-13062000000</v>
      </c>
      <c r="U37" s="1827">
        <v>-15228000000</v>
      </c>
      <c r="V37" s="1827">
        <v>-8867000000</v>
      </c>
      <c r="W37" s="1827">
        <v>-15764000000</v>
      </c>
      <c r="X37" s="1827">
        <v>-19967000000</v>
      </c>
      <c r="Y37" s="1827">
        <v>-19906000000</v>
      </c>
      <c r="Z37" s="1828">
        <v>-21371000000</v>
      </c>
      <c r="AA37" s="1828">
        <v>-24766000000</v>
      </c>
    </row>
    <row r="38" spans="1:30">
      <c r="A38" s="1797" t="s">
        <v>76</v>
      </c>
      <c r="B38" s="1804" t="s">
        <v>4880</v>
      </c>
      <c r="C38" s="1802"/>
      <c r="D38" s="1808"/>
      <c r="E38" s="1808"/>
      <c r="F38" s="1808"/>
      <c r="G38" s="1808"/>
      <c r="H38" s="1808">
        <v>-2345600000</v>
      </c>
      <c r="I38" s="1808">
        <v>-1027000000</v>
      </c>
      <c r="J38" s="1808">
        <v>-57800000</v>
      </c>
      <c r="K38" s="1808">
        <v>1776000000</v>
      </c>
      <c r="L38" s="354">
        <v>3486000000</v>
      </c>
      <c r="M38" s="354">
        <v>1774000000</v>
      </c>
      <c r="N38" s="354">
        <v>-1895000000</v>
      </c>
      <c r="O38" s="354">
        <v>-4788000000</v>
      </c>
      <c r="P38" s="354">
        <v>-8222000000</v>
      </c>
      <c r="Q38" s="354">
        <v>-1989000000</v>
      </c>
      <c r="R38" s="354">
        <v>-5797000000</v>
      </c>
      <c r="S38" s="1827"/>
      <c r="T38" s="1827"/>
      <c r="U38" s="1827"/>
      <c r="V38" s="1827"/>
      <c r="W38" s="1827"/>
      <c r="X38" s="1827"/>
      <c r="Y38" s="1827"/>
      <c r="Z38" s="1828"/>
      <c r="AA38" s="1828"/>
    </row>
    <row r="39" spans="1:30">
      <c r="A39" s="1797" t="s">
        <v>76</v>
      </c>
      <c r="B39" s="1804" t="s">
        <v>4881</v>
      </c>
      <c r="C39" s="1802"/>
      <c r="D39" s="1808"/>
      <c r="E39" s="1808"/>
      <c r="F39" s="1808"/>
      <c r="G39" s="1808"/>
      <c r="H39" s="1808"/>
      <c r="I39" s="1808"/>
      <c r="J39" s="1808"/>
      <c r="K39" s="1808"/>
      <c r="L39" s="1808"/>
      <c r="M39" s="1808"/>
      <c r="N39" s="354">
        <v>-2323000000</v>
      </c>
      <c r="O39" s="354"/>
      <c r="P39" s="354"/>
      <c r="Q39" s="354"/>
      <c r="R39" s="354"/>
      <c r="S39" s="1827"/>
      <c r="T39" s="1827"/>
      <c r="U39" s="1827"/>
      <c r="V39" s="1827"/>
      <c r="W39" s="1827"/>
      <c r="X39" s="1827"/>
      <c r="Y39" s="1830"/>
      <c r="Z39" s="1828"/>
      <c r="AA39" s="1828"/>
    </row>
    <row r="40" spans="1:30">
      <c r="A40" s="1797" t="s">
        <v>76</v>
      </c>
      <c r="B40" s="1804" t="s">
        <v>4882</v>
      </c>
      <c r="C40" s="1802"/>
      <c r="D40" s="354">
        <v>-16000000</v>
      </c>
      <c r="E40" s="354">
        <v>176000000</v>
      </c>
      <c r="F40" s="354">
        <v>-709000000</v>
      </c>
      <c r="G40" s="354">
        <v>-280000000</v>
      </c>
      <c r="H40" s="1808">
        <v>-1715800000</v>
      </c>
      <c r="I40" s="1808">
        <v>-253400000</v>
      </c>
      <c r="J40" s="1808">
        <v>958300000</v>
      </c>
      <c r="K40" s="1808">
        <v>2840000000</v>
      </c>
      <c r="L40" s="354">
        <v>4310000000</v>
      </c>
      <c r="M40" s="354">
        <v>2659000000</v>
      </c>
      <c r="N40" s="354">
        <v>-497000000</v>
      </c>
      <c r="O40" s="354">
        <v>-3798000000</v>
      </c>
      <c r="P40" s="354">
        <v>-6912000000</v>
      </c>
      <c r="Q40" s="354">
        <v>-86000000</v>
      </c>
      <c r="R40" s="354">
        <v>-3722000000</v>
      </c>
      <c r="S40" s="1827">
        <v>-7314000000</v>
      </c>
      <c r="T40" s="1827">
        <v>-10428000000</v>
      </c>
      <c r="U40" s="1827">
        <v>-10916000000</v>
      </c>
      <c r="V40" s="1827">
        <v>-3791000000</v>
      </c>
      <c r="W40" s="1827">
        <v>-9481000000</v>
      </c>
      <c r="X40" s="1827">
        <v>-12019000000</v>
      </c>
      <c r="Y40" s="1827">
        <v>-9973000000</v>
      </c>
      <c r="Z40" s="1828">
        <v>-9371000000</v>
      </c>
      <c r="AA40" s="1828">
        <v>-9614000000</v>
      </c>
    </row>
    <row r="41" spans="1:30" s="848" customFormat="1">
      <c r="A41" s="1818" t="s">
        <v>115</v>
      </c>
      <c r="B41" s="1818" t="s">
        <v>115</v>
      </c>
      <c r="C41" s="1818" t="s">
        <v>35</v>
      </c>
      <c r="D41" s="1819">
        <v>603000000</v>
      </c>
      <c r="E41" s="1819">
        <v>702000000</v>
      </c>
      <c r="F41" s="1819">
        <v>1164000000</v>
      </c>
      <c r="G41" s="1819">
        <v>1076000000</v>
      </c>
      <c r="H41" s="1821">
        <v>2602900000</v>
      </c>
      <c r="I41" s="1821">
        <f>I42+I47</f>
        <v>1451800000</v>
      </c>
      <c r="J41" s="1821">
        <v>213100000</v>
      </c>
      <c r="K41" s="1821">
        <v>-1578000000</v>
      </c>
      <c r="L41" s="1819">
        <v>-3131000000</v>
      </c>
      <c r="M41" s="1819">
        <v>-1549000000</v>
      </c>
      <c r="N41" s="1819">
        <v>1695000000</v>
      </c>
      <c r="O41" s="1819">
        <v>4764000000</v>
      </c>
      <c r="P41" s="1819">
        <v>8044000000</v>
      </c>
      <c r="Q41" s="1819">
        <v>1805000000</v>
      </c>
      <c r="R41" s="1819">
        <v>5519000000</v>
      </c>
      <c r="S41" s="1825">
        <v>6013000000</v>
      </c>
      <c r="T41" s="1825">
        <v>15627000000</v>
      </c>
      <c r="U41" s="1825">
        <v>18102000000</v>
      </c>
      <c r="V41" s="1825">
        <v>8867000000</v>
      </c>
      <c r="W41" s="1825">
        <v>15764000000</v>
      </c>
      <c r="X41" s="1825">
        <v>19967000000</v>
      </c>
      <c r="Y41" s="1825">
        <v>19906000000</v>
      </c>
      <c r="Z41" s="1826">
        <v>21371000000</v>
      </c>
      <c r="AA41" s="1826">
        <v>24766000000</v>
      </c>
      <c r="AB41" s="1820"/>
      <c r="AC41" s="1820"/>
      <c r="AD41" s="1820"/>
    </row>
    <row r="42" spans="1:30">
      <c r="A42" s="1797" t="s">
        <v>120</v>
      </c>
      <c r="B42" s="1804" t="s">
        <v>4883</v>
      </c>
      <c r="C42" s="1804" t="s">
        <v>252</v>
      </c>
      <c r="D42" s="354">
        <v>596000000</v>
      </c>
      <c r="E42" s="354">
        <v>401000000</v>
      </c>
      <c r="F42" s="354">
        <v>1062000000</v>
      </c>
      <c r="G42" s="354">
        <v>815000000</v>
      </c>
      <c r="H42" s="1808">
        <v>2387200000</v>
      </c>
      <c r="I42" s="1808">
        <v>1254000000</v>
      </c>
      <c r="J42" s="1808">
        <v>100900000</v>
      </c>
      <c r="K42" s="1808">
        <v>-1742000000</v>
      </c>
      <c r="L42" s="354">
        <v>-3415000000</v>
      </c>
      <c r="M42" s="354">
        <v>-1624000000</v>
      </c>
      <c r="N42" s="354">
        <v>967000000</v>
      </c>
      <c r="O42" s="354">
        <v>3678000000</v>
      </c>
      <c r="P42" s="354">
        <v>3233000000</v>
      </c>
      <c r="Q42" s="354">
        <v>908000000</v>
      </c>
      <c r="R42" s="354">
        <v>5115000000</v>
      </c>
      <c r="S42" s="1827">
        <v>5712000000</v>
      </c>
      <c r="T42" s="1827">
        <v>2229000000</v>
      </c>
      <c r="U42" s="1827">
        <v>17970000000</v>
      </c>
      <c r="V42" s="1827">
        <v>6151000000</v>
      </c>
      <c r="W42" s="1827">
        <v>11581000000</v>
      </c>
      <c r="X42" s="1827">
        <v>18289000000</v>
      </c>
      <c r="Y42" s="1827">
        <v>19079000000</v>
      </c>
      <c r="Z42" s="1828">
        <v>20973000000</v>
      </c>
      <c r="AA42" s="1828">
        <v>26751000000</v>
      </c>
    </row>
    <row r="43" spans="1:30">
      <c r="A43" s="1806" t="s">
        <v>4884</v>
      </c>
      <c r="B43" s="1806" t="s">
        <v>4885</v>
      </c>
      <c r="C43" s="1804" t="s">
        <v>124</v>
      </c>
      <c r="D43" s="1808"/>
      <c r="E43" s="1808"/>
      <c r="F43" s="1808"/>
      <c r="G43" s="1808"/>
      <c r="H43" s="1808"/>
      <c r="I43" s="1808"/>
      <c r="J43" s="1808"/>
      <c r="K43" s="1808"/>
      <c r="L43" s="354"/>
      <c r="M43" s="354">
        <v>-4023000000</v>
      </c>
      <c r="N43" s="354">
        <v>1439000000</v>
      </c>
      <c r="O43" s="354"/>
      <c r="P43" s="354"/>
      <c r="Q43" s="354"/>
      <c r="R43" s="354"/>
      <c r="S43" s="1827"/>
      <c r="T43" s="1827"/>
      <c r="U43" s="1827"/>
      <c r="V43" s="1827"/>
      <c r="W43" s="1827"/>
      <c r="X43" s="1827"/>
      <c r="Y43" s="1830"/>
      <c r="Z43" s="1828"/>
      <c r="AA43" s="1828"/>
    </row>
    <row r="44" spans="1:30">
      <c r="A44" s="1807" t="s">
        <v>76</v>
      </c>
      <c r="B44" s="1807" t="s">
        <v>4886</v>
      </c>
      <c r="C44" s="1804" t="s">
        <v>124</v>
      </c>
      <c r="D44" s="1808"/>
      <c r="E44" s="1808"/>
      <c r="F44" s="1808"/>
      <c r="G44" s="1808"/>
      <c r="H44" s="1808"/>
      <c r="I44" s="1808">
        <v>-682800000</v>
      </c>
      <c r="J44" s="1808">
        <v>-46000000</v>
      </c>
      <c r="K44" s="1808">
        <v>-2800000000</v>
      </c>
      <c r="L44" s="354"/>
      <c r="M44" s="354"/>
      <c r="N44" s="354"/>
      <c r="O44" s="354"/>
      <c r="P44" s="354"/>
      <c r="Q44" s="354"/>
      <c r="R44" s="354"/>
      <c r="S44" s="1827"/>
      <c r="T44" s="1827"/>
      <c r="U44" s="1827"/>
      <c r="V44" s="1827"/>
      <c r="W44" s="1827"/>
      <c r="X44" s="1827"/>
      <c r="Y44" s="1830"/>
      <c r="Z44" s="1828"/>
      <c r="AA44" s="1828"/>
    </row>
    <row r="45" spans="1:30">
      <c r="A45" s="1807" t="s">
        <v>76</v>
      </c>
      <c r="B45" s="1807" t="s">
        <v>4887</v>
      </c>
      <c r="C45" s="1804" t="s">
        <v>124</v>
      </c>
      <c r="D45" s="1808"/>
      <c r="E45" s="1808"/>
      <c r="F45" s="1808"/>
      <c r="G45" s="1808"/>
      <c r="H45" s="1808"/>
      <c r="I45" s="1808">
        <v>517799999.99999994</v>
      </c>
      <c r="J45" s="1808">
        <v>481600000</v>
      </c>
      <c r="K45" s="1808">
        <v>584000000</v>
      </c>
      <c r="L45" s="354"/>
      <c r="M45" s="354"/>
      <c r="N45" s="354"/>
      <c r="O45" s="354"/>
      <c r="P45" s="354"/>
      <c r="Q45" s="354"/>
      <c r="R45" s="354"/>
      <c r="S45" s="1827"/>
      <c r="T45" s="1827"/>
      <c r="U45" s="1827"/>
      <c r="V45" s="1827"/>
      <c r="W45" s="1827"/>
      <c r="X45" s="1827"/>
      <c r="Y45" s="1830"/>
      <c r="Z45" s="1828"/>
      <c r="AA45" s="1828"/>
    </row>
    <row r="46" spans="1:30">
      <c r="A46" s="1806" t="s">
        <v>4888</v>
      </c>
      <c r="B46" s="1806" t="s">
        <v>4889</v>
      </c>
      <c r="C46" s="1804" t="s">
        <v>124</v>
      </c>
      <c r="D46" s="1808"/>
      <c r="E46" s="1808"/>
      <c r="F46" s="1808"/>
      <c r="G46" s="1808"/>
      <c r="H46" s="1808"/>
      <c r="I46" s="1808">
        <v>1419000000</v>
      </c>
      <c r="J46" s="1808">
        <v>-334800000</v>
      </c>
      <c r="K46" s="1808">
        <v>473000000</v>
      </c>
      <c r="L46" s="354"/>
      <c r="M46" s="354">
        <v>2398000000</v>
      </c>
      <c r="N46" s="354">
        <v>-472000000</v>
      </c>
      <c r="O46" s="354"/>
      <c r="P46" s="354"/>
      <c r="Q46" s="354"/>
      <c r="R46" s="354"/>
      <c r="S46" s="1827"/>
      <c r="T46" s="1827"/>
      <c r="U46" s="1827"/>
      <c r="V46" s="1827"/>
      <c r="W46" s="1827"/>
      <c r="X46" s="1827"/>
      <c r="Y46" s="1830"/>
      <c r="Z46" s="1828"/>
      <c r="AA46" s="1828"/>
    </row>
    <row r="47" spans="1:30">
      <c r="A47" s="1804" t="s">
        <v>117</v>
      </c>
      <c r="B47" s="1804" t="s">
        <v>4890</v>
      </c>
      <c r="C47" s="1804" t="s">
        <v>252</v>
      </c>
      <c r="D47" s="354">
        <v>6000000</v>
      </c>
      <c r="E47" s="354">
        <v>301000000</v>
      </c>
      <c r="F47" s="354">
        <v>103000000</v>
      </c>
      <c r="G47" s="354">
        <v>261000000</v>
      </c>
      <c r="H47" s="1808">
        <v>215700000</v>
      </c>
      <c r="I47" s="1809">
        <f>I48+I49</f>
        <v>197800000</v>
      </c>
      <c r="J47" s="1808">
        <v>112200000</v>
      </c>
      <c r="K47" s="1808">
        <v>164000000</v>
      </c>
      <c r="L47" s="354">
        <v>284000000</v>
      </c>
      <c r="M47" s="354">
        <v>76000000</v>
      </c>
      <c r="N47" s="354">
        <v>728000000</v>
      </c>
      <c r="O47" s="354">
        <v>1086000000</v>
      </c>
      <c r="P47" s="354">
        <v>4810000000</v>
      </c>
      <c r="Q47" s="354">
        <v>896000000</v>
      </c>
      <c r="R47" s="354">
        <v>403000000</v>
      </c>
      <c r="S47" s="1827">
        <v>300000000</v>
      </c>
      <c r="T47" s="1827">
        <v>13398000000</v>
      </c>
      <c r="U47" s="1827">
        <v>132000000</v>
      </c>
      <c r="V47" s="1827">
        <v>2716000000</v>
      </c>
      <c r="W47" s="1827">
        <v>4183000000</v>
      </c>
      <c r="X47" s="1827">
        <v>1678000000</v>
      </c>
      <c r="Y47" s="1827">
        <v>828000000</v>
      </c>
      <c r="Z47" s="1828">
        <v>398000000</v>
      </c>
      <c r="AA47" s="1828">
        <v>-1986000000</v>
      </c>
    </row>
    <row r="48" spans="1:30">
      <c r="A48" s="1806" t="s">
        <v>415</v>
      </c>
      <c r="B48" s="1806" t="s">
        <v>415</v>
      </c>
      <c r="C48" s="1804" t="s">
        <v>264</v>
      </c>
      <c r="D48" s="354">
        <v>7000000</v>
      </c>
      <c r="E48" s="354">
        <v>308000000</v>
      </c>
      <c r="F48" s="354">
        <v>110000000</v>
      </c>
      <c r="G48" s="354">
        <v>275000000</v>
      </c>
      <c r="H48" s="1808">
        <v>235100000</v>
      </c>
      <c r="I48" s="1808">
        <v>225200000</v>
      </c>
      <c r="J48" s="1808">
        <v>146200000</v>
      </c>
      <c r="K48" s="1808">
        <v>198000000</v>
      </c>
      <c r="L48" s="354">
        <v>355000000</v>
      </c>
      <c r="M48" s="354">
        <v>226000000</v>
      </c>
      <c r="N48" s="354">
        <v>802000000</v>
      </c>
      <c r="O48" s="354">
        <v>1259000000</v>
      </c>
      <c r="P48" s="354">
        <v>5004000000</v>
      </c>
      <c r="Q48" s="354">
        <v>1152000000</v>
      </c>
      <c r="R48" s="354">
        <v>678000000</v>
      </c>
      <c r="S48" s="1827">
        <v>578000000</v>
      </c>
      <c r="T48" s="1827">
        <v>13484000000</v>
      </c>
      <c r="U48" s="1827">
        <v>492000000</v>
      </c>
      <c r="V48" s="1827">
        <v>3000000000</v>
      </c>
      <c r="W48" s="1827">
        <v>4500000000</v>
      </c>
      <c r="X48" s="1827">
        <v>2000000000</v>
      </c>
      <c r="Y48" s="1827">
        <v>2000000000</v>
      </c>
      <c r="Z48" s="1828">
        <v>8500000000</v>
      </c>
      <c r="AA48" s="1828">
        <v>500000000</v>
      </c>
    </row>
    <row r="49" spans="1:27">
      <c r="A49" s="1806" t="s">
        <v>258</v>
      </c>
      <c r="B49" s="1806" t="s">
        <v>258</v>
      </c>
      <c r="C49" s="1804" t="s">
        <v>264</v>
      </c>
      <c r="D49" s="354">
        <v>-1000000</v>
      </c>
      <c r="E49" s="354">
        <v>-7000000</v>
      </c>
      <c r="F49" s="354">
        <v>-7000000</v>
      </c>
      <c r="G49" s="354">
        <v>-14000000</v>
      </c>
      <c r="H49" s="1808">
        <v>-19400000</v>
      </c>
      <c r="I49" s="1808">
        <v>-27400000</v>
      </c>
      <c r="J49" s="1808">
        <v>-34000000</v>
      </c>
      <c r="K49" s="1808">
        <v>-34000000</v>
      </c>
      <c r="L49" s="354">
        <v>-71000000</v>
      </c>
      <c r="M49" s="354">
        <v>-150000000</v>
      </c>
      <c r="N49" s="354">
        <v>-74000000</v>
      </c>
      <c r="O49" s="354">
        <v>-174000000</v>
      </c>
      <c r="P49" s="354">
        <v>-194000000</v>
      </c>
      <c r="Q49" s="354">
        <v>-256000000</v>
      </c>
      <c r="R49" s="354">
        <v>-275000000</v>
      </c>
      <c r="S49" s="1827">
        <v>-278000000</v>
      </c>
      <c r="T49" s="1827">
        <v>-86000000</v>
      </c>
      <c r="U49" s="1827">
        <v>-360000000</v>
      </c>
      <c r="V49" s="1827">
        <v>-284000000</v>
      </c>
      <c r="W49" s="1827">
        <v>-317000000</v>
      </c>
      <c r="X49" s="1827">
        <v>-322000000</v>
      </c>
      <c r="Y49" s="1827">
        <v>-1172000000</v>
      </c>
      <c r="Z49" s="1828">
        <v>-8102000000</v>
      </c>
      <c r="AA49" s="1828">
        <v>-2486000000</v>
      </c>
    </row>
    <row r="50" spans="1:27">
      <c r="A50" s="1806"/>
      <c r="B50" s="2667" t="s">
        <v>1560</v>
      </c>
      <c r="C50" s="1804"/>
      <c r="D50" s="354"/>
      <c r="E50" s="354"/>
      <c r="F50" s="354"/>
      <c r="G50" s="354"/>
      <c r="H50" s="1808"/>
      <c r="I50" s="1808"/>
      <c r="J50" s="1808"/>
      <c r="K50" s="1808"/>
      <c r="L50" s="354"/>
      <c r="M50" s="354"/>
      <c r="N50" s="354"/>
      <c r="O50" s="354"/>
      <c r="P50" s="354"/>
      <c r="Q50" s="354"/>
      <c r="R50" s="354"/>
      <c r="S50" s="1827">
        <v>-3367000000</v>
      </c>
      <c r="T50" s="1827">
        <v>2565000000</v>
      </c>
      <c r="U50" s="1827">
        <v>2875000000</v>
      </c>
      <c r="V50" s="1827">
        <v>0</v>
      </c>
      <c r="W50" s="1827">
        <v>0</v>
      </c>
      <c r="X50" s="1827">
        <v>0</v>
      </c>
      <c r="Y50" s="1827">
        <v>0</v>
      </c>
      <c r="Z50" s="1828">
        <v>0</v>
      </c>
      <c r="AA50" s="1828">
        <v>0</v>
      </c>
    </row>
    <row r="51" spans="1:27" ht="16.149999999999999" customHeight="1">
      <c r="C51" s="1802"/>
      <c r="W51" s="1795"/>
      <c r="X51" s="1795"/>
    </row>
    <row r="52" spans="1:27">
      <c r="C52" s="1802"/>
      <c r="D52" s="1797" t="s">
        <v>139</v>
      </c>
      <c r="E52" s="1797" t="s">
        <v>139</v>
      </c>
      <c r="F52" s="1797" t="s">
        <v>139</v>
      </c>
      <c r="G52" s="1797" t="s">
        <v>139</v>
      </c>
      <c r="H52" s="1797" t="s">
        <v>139</v>
      </c>
      <c r="I52" s="1797" t="s">
        <v>139</v>
      </c>
      <c r="J52" s="1797" t="s">
        <v>139</v>
      </c>
      <c r="K52" s="1797" t="s">
        <v>139</v>
      </c>
      <c r="L52" s="1797" t="s">
        <v>139</v>
      </c>
      <c r="M52" s="1797" t="s">
        <v>139</v>
      </c>
      <c r="N52" s="1797" t="s">
        <v>139</v>
      </c>
      <c r="O52" s="1797" t="s">
        <v>139</v>
      </c>
      <c r="P52" s="1797" t="s">
        <v>139</v>
      </c>
      <c r="Q52" s="1797" t="s">
        <v>139</v>
      </c>
      <c r="R52" s="1797" t="s">
        <v>139</v>
      </c>
      <c r="S52" s="1797" t="s">
        <v>139</v>
      </c>
      <c r="T52" s="1797" t="s">
        <v>139</v>
      </c>
      <c r="U52" s="1797" t="s">
        <v>139</v>
      </c>
      <c r="V52" s="1797" t="s">
        <v>139</v>
      </c>
      <c r="W52" s="1797" t="s">
        <v>139</v>
      </c>
      <c r="X52" s="1797" t="s">
        <v>139</v>
      </c>
      <c r="Y52" s="1797" t="s">
        <v>139</v>
      </c>
      <c r="Z52" s="1797" t="s">
        <v>139</v>
      </c>
      <c r="AA52" s="1797" t="s">
        <v>139</v>
      </c>
    </row>
    <row r="53" spans="1:27">
      <c r="C53" s="1802"/>
      <c r="W53" s="1795"/>
      <c r="X53" s="1795"/>
    </row>
    <row r="54" spans="1:27">
      <c r="B54" s="1797" t="s">
        <v>1828</v>
      </c>
      <c r="C54" s="1802"/>
      <c r="D54" s="1810">
        <f>D6-D7-D22</f>
        <v>1000000</v>
      </c>
      <c r="E54" s="1810">
        <f t="shared" ref="E54:T54" si="3">E6-E7-E22</f>
        <v>-1000000</v>
      </c>
      <c r="F54" s="1810">
        <f t="shared" si="3"/>
        <v>0</v>
      </c>
      <c r="G54" s="1810">
        <f t="shared" si="3"/>
        <v>0</v>
      </c>
      <c r="H54" s="1810">
        <f t="shared" si="3"/>
        <v>0</v>
      </c>
      <c r="I54" s="1810">
        <f t="shared" si="3"/>
        <v>100000</v>
      </c>
      <c r="J54" s="1810">
        <f t="shared" si="3"/>
        <v>0</v>
      </c>
      <c r="K54" s="1810">
        <f t="shared" si="3"/>
        <v>0</v>
      </c>
      <c r="L54" s="1810">
        <f t="shared" si="3"/>
        <v>0</v>
      </c>
      <c r="M54" s="1810">
        <f t="shared" si="3"/>
        <v>0</v>
      </c>
      <c r="N54" s="1810">
        <f t="shared" si="3"/>
        <v>0</v>
      </c>
      <c r="O54" s="1810">
        <f t="shared" si="3"/>
        <v>0</v>
      </c>
      <c r="P54" s="1810">
        <f t="shared" si="3"/>
        <v>-1000000</v>
      </c>
      <c r="Q54" s="1810">
        <f t="shared" si="3"/>
        <v>1000000</v>
      </c>
      <c r="R54" s="1810">
        <f t="shared" si="3"/>
        <v>0</v>
      </c>
      <c r="S54" s="1810">
        <f t="shared" si="3"/>
        <v>1000000</v>
      </c>
      <c r="T54" s="1810">
        <f t="shared" si="3"/>
        <v>0</v>
      </c>
      <c r="U54" s="1810">
        <f t="shared" ref="U54:AA54" si="4">U6-U7-U22</f>
        <v>0</v>
      </c>
      <c r="V54" s="1810">
        <f t="shared" si="4"/>
        <v>0</v>
      </c>
      <c r="W54" s="1810">
        <f t="shared" si="4"/>
        <v>0</v>
      </c>
      <c r="X54" s="1810">
        <f t="shared" si="4"/>
        <v>0</v>
      </c>
      <c r="Y54" s="1810">
        <f t="shared" si="4"/>
        <v>-1000000</v>
      </c>
      <c r="Z54" s="1810">
        <f t="shared" si="4"/>
        <v>0</v>
      </c>
      <c r="AA54" s="1810">
        <f t="shared" si="4"/>
        <v>1000000</v>
      </c>
    </row>
    <row r="55" spans="1:27">
      <c r="B55" s="1797" t="s">
        <v>141</v>
      </c>
      <c r="C55" s="1802"/>
      <c r="D55" s="1810">
        <f>D7-D8-D18</f>
        <v>0</v>
      </c>
      <c r="E55" s="1810">
        <f t="shared" ref="E55:T55" si="5">E7-E8-E18</f>
        <v>1000000</v>
      </c>
      <c r="F55" s="1810">
        <f t="shared" si="5"/>
        <v>1000000</v>
      </c>
      <c r="G55" s="1810">
        <f t="shared" si="5"/>
        <v>0</v>
      </c>
      <c r="H55" s="1810">
        <f t="shared" si="5"/>
        <v>0</v>
      </c>
      <c r="I55" s="1810">
        <f t="shared" si="5"/>
        <v>0</v>
      </c>
      <c r="J55" s="1810">
        <f t="shared" si="5"/>
        <v>0</v>
      </c>
      <c r="K55" s="1810">
        <f t="shared" si="5"/>
        <v>0</v>
      </c>
      <c r="L55" s="1810">
        <f t="shared" si="5"/>
        <v>-1000000</v>
      </c>
      <c r="M55" s="1810">
        <f t="shared" si="5"/>
        <v>1000000</v>
      </c>
      <c r="N55" s="1810">
        <f t="shared" si="5"/>
        <v>0</v>
      </c>
      <c r="O55" s="1810">
        <f t="shared" si="5"/>
        <v>0</v>
      </c>
      <c r="P55" s="1810">
        <f t="shared" si="5"/>
        <v>1000000</v>
      </c>
      <c r="Q55" s="1810">
        <f t="shared" si="5"/>
        <v>0</v>
      </c>
      <c r="R55" s="1810">
        <f t="shared" si="5"/>
        <v>0</v>
      </c>
      <c r="S55" s="1810">
        <f t="shared" si="5"/>
        <v>-1000000</v>
      </c>
      <c r="T55" s="1810">
        <f t="shared" si="5"/>
        <v>-1000000</v>
      </c>
      <c r="U55" s="1810">
        <f t="shared" ref="U55:AA55" si="6">U7-U8-U18</f>
        <v>0</v>
      </c>
      <c r="V55" s="1810">
        <f t="shared" si="6"/>
        <v>0</v>
      </c>
      <c r="W55" s="1810">
        <f t="shared" si="6"/>
        <v>-1000000</v>
      </c>
      <c r="X55" s="1810">
        <f t="shared" si="6"/>
        <v>1000000</v>
      </c>
      <c r="Y55" s="1810">
        <f t="shared" si="6"/>
        <v>0</v>
      </c>
      <c r="Z55" s="1810">
        <f t="shared" si="6"/>
        <v>0</v>
      </c>
      <c r="AA55" s="1810">
        <f t="shared" si="6"/>
        <v>0</v>
      </c>
    </row>
    <row r="56" spans="1:27">
      <c r="B56" s="1797" t="s">
        <v>142</v>
      </c>
      <c r="C56" s="1802"/>
      <c r="D56" s="1810">
        <f>D8-D9-D10-D15-D16-D17</f>
        <v>0</v>
      </c>
      <c r="E56" s="1810">
        <f t="shared" ref="E56:T56" si="7">E8-E9-E10-E15-E16-E17</f>
        <v>1000000</v>
      </c>
      <c r="F56" s="1810">
        <f t="shared" si="7"/>
        <v>1000000</v>
      </c>
      <c r="G56" s="1810">
        <f t="shared" si="7"/>
        <v>0</v>
      </c>
      <c r="H56" s="1810">
        <f t="shared" si="7"/>
        <v>0</v>
      </c>
      <c r="I56" s="1810">
        <f t="shared" si="7"/>
        <v>-100000</v>
      </c>
      <c r="J56" s="1810">
        <f t="shared" si="7"/>
        <v>100000</v>
      </c>
      <c r="K56" s="1810">
        <f t="shared" si="7"/>
        <v>-1000000</v>
      </c>
      <c r="L56" s="1810">
        <f t="shared" si="7"/>
        <v>1000000</v>
      </c>
      <c r="M56" s="1810">
        <f t="shared" si="7"/>
        <v>0</v>
      </c>
      <c r="N56" s="1810">
        <f t="shared" si="7"/>
        <v>0</v>
      </c>
      <c r="O56" s="1810">
        <f t="shared" si="7"/>
        <v>0</v>
      </c>
      <c r="P56" s="1810">
        <f t="shared" si="7"/>
        <v>0</v>
      </c>
      <c r="Q56" s="1810">
        <f t="shared" si="7"/>
        <v>0</v>
      </c>
      <c r="R56" s="1810">
        <f>R8-R9-R10-R15-R16-R17</f>
        <v>0</v>
      </c>
      <c r="S56" s="1810">
        <f t="shared" si="7"/>
        <v>-1000000</v>
      </c>
      <c r="T56" s="1810">
        <f t="shared" si="7"/>
        <v>0</v>
      </c>
      <c r="U56" s="1810">
        <f t="shared" ref="U56:AA56" si="8">U8-U9-U10-U15-U16-U17</f>
        <v>-1000000</v>
      </c>
      <c r="V56" s="1810">
        <f t="shared" si="8"/>
        <v>1000000</v>
      </c>
      <c r="W56" s="1810">
        <f t="shared" si="8"/>
        <v>0</v>
      </c>
      <c r="X56" s="1810">
        <f t="shared" si="8"/>
        <v>-1000000</v>
      </c>
      <c r="Y56" s="1810">
        <f t="shared" si="8"/>
        <v>0</v>
      </c>
      <c r="Z56" s="1810">
        <f t="shared" si="8"/>
        <v>-1000000</v>
      </c>
      <c r="AA56" s="1810">
        <f t="shared" si="8"/>
        <v>0</v>
      </c>
    </row>
    <row r="57" spans="1:27">
      <c r="B57" s="1797" t="s">
        <v>4891</v>
      </c>
      <c r="C57" s="1802"/>
      <c r="D57" s="1810"/>
      <c r="E57" s="1810"/>
      <c r="F57" s="1810"/>
      <c r="G57" s="1810"/>
      <c r="H57" s="1810"/>
      <c r="I57" s="1810"/>
      <c r="J57" s="1810"/>
      <c r="K57" s="1810"/>
      <c r="L57" s="1810"/>
      <c r="M57" s="1810"/>
      <c r="N57" s="1810"/>
      <c r="O57" s="1810"/>
      <c r="P57" s="1810"/>
      <c r="Q57" s="1810"/>
      <c r="R57" s="1810"/>
      <c r="S57" s="1810">
        <f>S10-S11-S14</f>
        <v>0</v>
      </c>
      <c r="T57" s="1810">
        <f t="shared" ref="T57:AA57" si="9">T10-T11-T14</f>
        <v>0</v>
      </c>
      <c r="U57" s="1810">
        <f t="shared" si="9"/>
        <v>0</v>
      </c>
      <c r="V57" s="1810">
        <f t="shared" si="9"/>
        <v>0</v>
      </c>
      <c r="W57" s="1810">
        <f t="shared" si="9"/>
        <v>0</v>
      </c>
      <c r="X57" s="1810">
        <f t="shared" si="9"/>
        <v>0</v>
      </c>
      <c r="Y57" s="1810">
        <f t="shared" si="9"/>
        <v>0</v>
      </c>
      <c r="Z57" s="1810">
        <f t="shared" si="9"/>
        <v>0</v>
      </c>
      <c r="AA57" s="1810">
        <f t="shared" si="9"/>
        <v>0</v>
      </c>
    </row>
    <row r="58" spans="1:27">
      <c r="B58" s="1797" t="s">
        <v>360</v>
      </c>
      <c r="C58" s="1802"/>
      <c r="D58" s="1810">
        <f t="shared" ref="D58:T58" si="10">D18-D19-D20-D21</f>
        <v>0</v>
      </c>
      <c r="E58" s="1810">
        <f t="shared" si="10"/>
        <v>0</v>
      </c>
      <c r="F58" s="1810">
        <f t="shared" si="10"/>
        <v>0</v>
      </c>
      <c r="G58" s="1810">
        <f t="shared" si="10"/>
        <v>0</v>
      </c>
      <c r="H58" s="1810">
        <f t="shared" si="10"/>
        <v>0</v>
      </c>
      <c r="I58" s="1810">
        <f t="shared" si="10"/>
        <v>0</v>
      </c>
      <c r="J58" s="1810">
        <f t="shared" si="10"/>
        <v>0</v>
      </c>
      <c r="K58" s="1810">
        <f t="shared" si="10"/>
        <v>0</v>
      </c>
      <c r="L58" s="1810">
        <f t="shared" si="10"/>
        <v>1000000</v>
      </c>
      <c r="M58" s="1810">
        <f t="shared" si="10"/>
        <v>-1000000</v>
      </c>
      <c r="N58" s="1810">
        <f t="shared" si="10"/>
        <v>0</v>
      </c>
      <c r="O58" s="1810">
        <f t="shared" si="10"/>
        <v>0</v>
      </c>
      <c r="P58" s="1810">
        <f t="shared" si="10"/>
        <v>0</v>
      </c>
      <c r="Q58" s="1810">
        <f t="shared" si="10"/>
        <v>0</v>
      </c>
      <c r="R58" s="1810">
        <f t="shared" si="10"/>
        <v>0</v>
      </c>
      <c r="S58" s="1810">
        <f t="shared" si="10"/>
        <v>0</v>
      </c>
      <c r="T58" s="1810">
        <f t="shared" si="10"/>
        <v>0</v>
      </c>
      <c r="U58" s="1810">
        <f t="shared" ref="U58:AA58" si="11">U18-U19-U20-U21</f>
        <v>0</v>
      </c>
      <c r="V58" s="1810">
        <f t="shared" si="11"/>
        <v>0</v>
      </c>
      <c r="W58" s="1810">
        <f t="shared" si="11"/>
        <v>0</v>
      </c>
      <c r="X58" s="1810">
        <f t="shared" si="11"/>
        <v>0</v>
      </c>
      <c r="Y58" s="1810">
        <f t="shared" si="11"/>
        <v>0</v>
      </c>
      <c r="Z58" s="1810">
        <f t="shared" si="11"/>
        <v>0</v>
      </c>
      <c r="AA58" s="1810">
        <f t="shared" si="11"/>
        <v>1000000</v>
      </c>
    </row>
    <row r="59" spans="1:27">
      <c r="B59" s="1797" t="s">
        <v>145</v>
      </c>
      <c r="C59" s="1802"/>
      <c r="D59" s="1810">
        <f t="shared" ref="D59:T59" si="12">D23-D24-D32-D36</f>
        <v>1000000</v>
      </c>
      <c r="E59" s="1810">
        <f t="shared" si="12"/>
        <v>0</v>
      </c>
      <c r="F59" s="1810">
        <f t="shared" si="12"/>
        <v>1000000</v>
      </c>
      <c r="G59" s="1810">
        <f t="shared" si="12"/>
        <v>0</v>
      </c>
      <c r="H59" s="1810">
        <f t="shared" si="12"/>
        <v>100000</v>
      </c>
      <c r="I59" s="1810">
        <f t="shared" si="12"/>
        <v>0</v>
      </c>
      <c r="J59" s="1810">
        <f t="shared" si="12"/>
        <v>100000</v>
      </c>
      <c r="K59" s="1810">
        <f t="shared" si="12"/>
        <v>1000000</v>
      </c>
      <c r="L59" s="1810">
        <f t="shared" si="12"/>
        <v>-1000000</v>
      </c>
      <c r="M59" s="1810">
        <f t="shared" si="12"/>
        <v>0</v>
      </c>
      <c r="N59" s="1810">
        <f t="shared" si="12"/>
        <v>0</v>
      </c>
      <c r="O59" s="1810">
        <f t="shared" si="12"/>
        <v>0</v>
      </c>
      <c r="P59" s="1810">
        <f t="shared" si="12"/>
        <v>1000000</v>
      </c>
      <c r="Q59" s="1810">
        <f t="shared" si="12"/>
        <v>0</v>
      </c>
      <c r="R59" s="1810">
        <f t="shared" si="12"/>
        <v>0</v>
      </c>
      <c r="S59" s="1810">
        <f t="shared" si="12"/>
        <v>0</v>
      </c>
      <c r="T59" s="1810">
        <f t="shared" si="12"/>
        <v>0</v>
      </c>
      <c r="U59" s="1810">
        <f t="shared" ref="U59:AA59" si="13">U23-U24-U32-U36</f>
        <v>0</v>
      </c>
      <c r="V59" s="1810">
        <f t="shared" si="13"/>
        <v>1000000</v>
      </c>
      <c r="W59" s="1810">
        <f t="shared" si="13"/>
        <v>0</v>
      </c>
      <c r="X59" s="1810">
        <f t="shared" si="13"/>
        <v>0</v>
      </c>
      <c r="Y59" s="1810">
        <f t="shared" si="13"/>
        <v>0</v>
      </c>
      <c r="Z59" s="1810">
        <f t="shared" si="13"/>
        <v>1000000</v>
      </c>
      <c r="AA59" s="1810">
        <f t="shared" si="13"/>
        <v>0</v>
      </c>
    </row>
    <row r="60" spans="1:27">
      <c r="B60" s="1797" t="s">
        <v>361</v>
      </c>
      <c r="C60" s="1802"/>
      <c r="D60" s="1810">
        <f t="shared" ref="D60:T60" si="14">D24-D25-D26-D27-D30-D31</f>
        <v>0</v>
      </c>
      <c r="E60" s="1810">
        <f t="shared" si="14"/>
        <v>0</v>
      </c>
      <c r="F60" s="1810">
        <f t="shared" si="14"/>
        <v>0</v>
      </c>
      <c r="G60" s="1810">
        <f t="shared" si="14"/>
        <v>0</v>
      </c>
      <c r="H60" s="1810">
        <f t="shared" si="14"/>
        <v>0</v>
      </c>
      <c r="I60" s="1810">
        <f t="shared" si="14"/>
        <v>0</v>
      </c>
      <c r="J60" s="1810">
        <f t="shared" si="14"/>
        <v>-100000</v>
      </c>
      <c r="K60" s="1810">
        <f t="shared" si="14"/>
        <v>0</v>
      </c>
      <c r="L60" s="1810">
        <f t="shared" si="14"/>
        <v>0</v>
      </c>
      <c r="M60" s="1810">
        <f t="shared" si="14"/>
        <v>0</v>
      </c>
      <c r="N60" s="1810">
        <f t="shared" si="14"/>
        <v>0</v>
      </c>
      <c r="O60" s="1810">
        <f t="shared" si="14"/>
        <v>0</v>
      </c>
      <c r="P60" s="1810">
        <f t="shared" si="14"/>
        <v>0</v>
      </c>
      <c r="Q60" s="1810">
        <f t="shared" si="14"/>
        <v>0</v>
      </c>
      <c r="R60" s="1810">
        <f t="shared" si="14"/>
        <v>0</v>
      </c>
      <c r="S60" s="1810">
        <f t="shared" si="14"/>
        <v>0</v>
      </c>
      <c r="T60" s="1810">
        <f t="shared" si="14"/>
        <v>0</v>
      </c>
      <c r="U60" s="1810">
        <f t="shared" ref="U60:AA60" si="15">U24-U25-U26-U27-U30-U31</f>
        <v>0</v>
      </c>
      <c r="V60" s="1810">
        <f t="shared" si="15"/>
        <v>0</v>
      </c>
      <c r="W60" s="1810">
        <f t="shared" si="15"/>
        <v>0</v>
      </c>
      <c r="X60" s="1810">
        <f t="shared" si="15"/>
        <v>0</v>
      </c>
      <c r="Y60" s="1810">
        <f t="shared" si="15"/>
        <v>0</v>
      </c>
      <c r="Z60" s="1810">
        <f t="shared" si="15"/>
        <v>0</v>
      </c>
      <c r="AA60" s="1810">
        <f t="shared" si="15"/>
        <v>0</v>
      </c>
    </row>
    <row r="61" spans="1:27">
      <c r="B61" s="1797" t="s">
        <v>936</v>
      </c>
      <c r="C61" s="1802"/>
      <c r="D61" s="1810">
        <f t="shared" ref="D61:M61" si="16">D27-D28-D29</f>
        <v>0</v>
      </c>
      <c r="E61" s="1810">
        <f t="shared" si="16"/>
        <v>0</v>
      </c>
      <c r="F61" s="1810">
        <f t="shared" si="16"/>
        <v>0</v>
      </c>
      <c r="G61" s="1810">
        <f t="shared" si="16"/>
        <v>-1000000</v>
      </c>
      <c r="H61" s="1810">
        <f t="shared" si="16"/>
        <v>-100000</v>
      </c>
      <c r="I61" s="1810">
        <f t="shared" si="16"/>
        <v>0</v>
      </c>
      <c r="J61" s="1810">
        <f t="shared" si="16"/>
        <v>0</v>
      </c>
      <c r="K61" s="1810">
        <f t="shared" si="16"/>
        <v>0</v>
      </c>
      <c r="L61" s="1810">
        <f t="shared" si="16"/>
        <v>0</v>
      </c>
      <c r="M61" s="1810">
        <f t="shared" si="16"/>
        <v>1000000</v>
      </c>
      <c r="N61" s="1810">
        <f t="shared" ref="N61:T61" si="17">N27-N28-N29</f>
        <v>0</v>
      </c>
      <c r="O61" s="1810">
        <f t="shared" si="17"/>
        <v>0</v>
      </c>
      <c r="P61" s="1810">
        <f t="shared" si="17"/>
        <v>-1000000</v>
      </c>
      <c r="Q61" s="1810">
        <f t="shared" si="17"/>
        <v>0</v>
      </c>
      <c r="R61" s="1810">
        <f t="shared" si="17"/>
        <v>0</v>
      </c>
      <c r="S61" s="1810">
        <f t="shared" si="17"/>
        <v>0</v>
      </c>
      <c r="T61" s="1810">
        <f t="shared" si="17"/>
        <v>0</v>
      </c>
      <c r="U61" s="1810">
        <f t="shared" ref="U61:AA61" si="18">U27-U28-U29</f>
        <v>0</v>
      </c>
      <c r="V61" s="1810">
        <f t="shared" si="18"/>
        <v>0</v>
      </c>
      <c r="W61" s="1810">
        <f t="shared" si="18"/>
        <v>0</v>
      </c>
      <c r="X61" s="1810">
        <f t="shared" si="18"/>
        <v>0</v>
      </c>
      <c r="Y61" s="1810">
        <f t="shared" si="18"/>
        <v>0</v>
      </c>
      <c r="Z61" s="1810">
        <f t="shared" si="18"/>
        <v>0</v>
      </c>
      <c r="AA61" s="1810">
        <f t="shared" si="18"/>
        <v>0</v>
      </c>
    </row>
    <row r="62" spans="1:27">
      <c r="B62" s="1797" t="s">
        <v>876</v>
      </c>
      <c r="C62" s="1802"/>
      <c r="D62" s="1810">
        <f>D32-D33-D34-D35</f>
        <v>1000000</v>
      </c>
      <c r="E62" s="1810">
        <f t="shared" ref="E62:M62" si="19">E32-E33-E34-E35</f>
        <v>0</v>
      </c>
      <c r="F62" s="1810">
        <f t="shared" si="19"/>
        <v>0</v>
      </c>
      <c r="G62" s="1810">
        <f t="shared" si="19"/>
        <v>0</v>
      </c>
      <c r="H62" s="1810">
        <f t="shared" si="19"/>
        <v>-100000</v>
      </c>
      <c r="I62" s="1810">
        <f t="shared" si="19"/>
        <v>0</v>
      </c>
      <c r="J62" s="1810">
        <f t="shared" si="19"/>
        <v>0</v>
      </c>
      <c r="K62" s="1811">
        <f t="shared" si="19"/>
        <v>2169000000</v>
      </c>
      <c r="L62" s="1810">
        <f t="shared" si="19"/>
        <v>1000000</v>
      </c>
      <c r="M62" s="1810">
        <f t="shared" si="19"/>
        <v>0</v>
      </c>
      <c r="N62" s="1810">
        <f t="shared" ref="N62:T62" si="20">N32-N33-N34-N35</f>
        <v>0</v>
      </c>
      <c r="O62" s="1810">
        <f t="shared" si="20"/>
        <v>0</v>
      </c>
      <c r="P62" s="1810">
        <f t="shared" si="20"/>
        <v>0</v>
      </c>
      <c r="Q62" s="1810">
        <f t="shared" si="20"/>
        <v>0</v>
      </c>
      <c r="R62" s="1810">
        <f t="shared" si="20"/>
        <v>0</v>
      </c>
      <c r="S62" s="1810">
        <f t="shared" si="20"/>
        <v>0</v>
      </c>
      <c r="T62" s="1810">
        <f t="shared" si="20"/>
        <v>0</v>
      </c>
      <c r="U62" s="1810">
        <f t="shared" ref="U62:AA62" si="21">U32-U33-U34-U35</f>
        <v>-1000000</v>
      </c>
      <c r="V62" s="1810">
        <f t="shared" si="21"/>
        <v>0</v>
      </c>
      <c r="W62" s="1810">
        <f t="shared" si="21"/>
        <v>0</v>
      </c>
      <c r="X62" s="1810">
        <f t="shared" si="21"/>
        <v>0</v>
      </c>
      <c r="Y62" s="1810">
        <f t="shared" si="21"/>
        <v>0</v>
      </c>
      <c r="Z62" s="1810">
        <f t="shared" si="21"/>
        <v>-1000000</v>
      </c>
      <c r="AA62" s="1810">
        <f t="shared" si="21"/>
        <v>0</v>
      </c>
    </row>
    <row r="63" spans="1:27">
      <c r="B63" s="1797" t="s">
        <v>148</v>
      </c>
      <c r="C63" s="1802"/>
      <c r="D63" s="1810">
        <f>D41-D42-D47</f>
        <v>1000000</v>
      </c>
      <c r="E63" s="1810">
        <f t="shared" ref="E63:M63" si="22">E41-E42-E47</f>
        <v>0</v>
      </c>
      <c r="F63" s="1810">
        <f t="shared" si="22"/>
        <v>-1000000</v>
      </c>
      <c r="G63" s="1810">
        <f t="shared" si="22"/>
        <v>0</v>
      </c>
      <c r="H63" s="1810">
        <f t="shared" si="22"/>
        <v>0</v>
      </c>
      <c r="I63" s="1810">
        <f t="shared" si="22"/>
        <v>0</v>
      </c>
      <c r="J63" s="1810">
        <f t="shared" si="22"/>
        <v>0</v>
      </c>
      <c r="K63" s="1810">
        <f t="shared" si="22"/>
        <v>0</v>
      </c>
      <c r="L63" s="1810">
        <f t="shared" si="22"/>
        <v>0</v>
      </c>
      <c r="M63" s="1810">
        <f t="shared" si="22"/>
        <v>-1000000</v>
      </c>
      <c r="N63" s="1810">
        <f t="shared" ref="N63:T63" si="23">N41-N42-N47</f>
        <v>0</v>
      </c>
      <c r="O63" s="1810">
        <f t="shared" si="23"/>
        <v>0</v>
      </c>
      <c r="P63" s="1810">
        <f t="shared" si="23"/>
        <v>1000000</v>
      </c>
      <c r="Q63" s="1810">
        <f t="shared" si="23"/>
        <v>1000000</v>
      </c>
      <c r="R63" s="1810">
        <f t="shared" si="23"/>
        <v>1000000</v>
      </c>
      <c r="S63" s="1810">
        <f t="shared" si="23"/>
        <v>1000000</v>
      </c>
      <c r="T63" s="1810">
        <f t="shared" si="23"/>
        <v>0</v>
      </c>
      <c r="U63" s="1810">
        <f t="shared" ref="U63:AA63" si="24">U41-U42-U47</f>
        <v>0</v>
      </c>
      <c r="V63" s="1810">
        <f t="shared" si="24"/>
        <v>0</v>
      </c>
      <c r="W63" s="1810">
        <f t="shared" si="24"/>
        <v>0</v>
      </c>
      <c r="X63" s="1810">
        <f t="shared" si="24"/>
        <v>0</v>
      </c>
      <c r="Y63" s="1810">
        <f t="shared" si="24"/>
        <v>-1000000</v>
      </c>
      <c r="Z63" s="1810">
        <f t="shared" si="24"/>
        <v>0</v>
      </c>
      <c r="AA63" s="1810">
        <f t="shared" si="24"/>
        <v>1000000</v>
      </c>
    </row>
    <row r="64" spans="1:27">
      <c r="B64" s="1797" t="s">
        <v>362</v>
      </c>
      <c r="C64" s="1802"/>
      <c r="D64" s="1812">
        <f t="shared" ref="D64:K64" si="25">D42-D43-D46</f>
        <v>596000000</v>
      </c>
      <c r="E64" s="1812">
        <f t="shared" si="25"/>
        <v>401000000</v>
      </c>
      <c r="F64" s="1812">
        <f t="shared" si="25"/>
        <v>1062000000</v>
      </c>
      <c r="G64" s="1812">
        <f t="shared" si="25"/>
        <v>815000000</v>
      </c>
      <c r="H64" s="1812">
        <f t="shared" si="25"/>
        <v>2387200000</v>
      </c>
      <c r="I64" s="1812">
        <f t="shared" si="25"/>
        <v>-165000000</v>
      </c>
      <c r="J64" s="1812">
        <f t="shared" si="25"/>
        <v>435700000</v>
      </c>
      <c r="K64" s="1812">
        <f t="shared" si="25"/>
        <v>-2215000000</v>
      </c>
      <c r="L64" s="1812">
        <f t="shared" ref="L64:T64" si="26">L42-L43-L46</f>
        <v>-3415000000</v>
      </c>
      <c r="M64" s="1813">
        <f t="shared" si="26"/>
        <v>1000000</v>
      </c>
      <c r="N64" s="1813">
        <f t="shared" si="26"/>
        <v>0</v>
      </c>
      <c r="O64" s="1812">
        <f t="shared" si="26"/>
        <v>3678000000</v>
      </c>
      <c r="P64" s="1812">
        <f t="shared" si="26"/>
        <v>3233000000</v>
      </c>
      <c r="Q64" s="1812">
        <f t="shared" si="26"/>
        <v>908000000</v>
      </c>
      <c r="R64" s="1812">
        <f t="shared" si="26"/>
        <v>5115000000</v>
      </c>
      <c r="S64" s="1812">
        <f t="shared" si="26"/>
        <v>5712000000</v>
      </c>
      <c r="T64" s="1812">
        <f t="shared" si="26"/>
        <v>2229000000</v>
      </c>
      <c r="U64" s="1812">
        <f t="shared" ref="U64:AA64" si="27">U42-U43-U46</f>
        <v>17970000000</v>
      </c>
      <c r="V64" s="1812">
        <f t="shared" si="27"/>
        <v>6151000000</v>
      </c>
      <c r="W64" s="1812">
        <f t="shared" si="27"/>
        <v>11581000000</v>
      </c>
      <c r="X64" s="1812">
        <f t="shared" si="27"/>
        <v>18289000000</v>
      </c>
      <c r="Y64" s="1812">
        <f t="shared" si="27"/>
        <v>19079000000</v>
      </c>
      <c r="Z64" s="1812">
        <f t="shared" si="27"/>
        <v>20973000000</v>
      </c>
      <c r="AA64" s="1812">
        <f t="shared" si="27"/>
        <v>26751000000</v>
      </c>
    </row>
    <row r="65" spans="2:27">
      <c r="B65" s="1797" t="s">
        <v>528</v>
      </c>
      <c r="C65" s="1802"/>
      <c r="D65" s="1813">
        <f t="shared" ref="D65:N65" si="28">D47-D48-D49</f>
        <v>0</v>
      </c>
      <c r="E65" s="1813">
        <f t="shared" si="28"/>
        <v>0</v>
      </c>
      <c r="F65" s="1813">
        <f t="shared" si="28"/>
        <v>0</v>
      </c>
      <c r="G65" s="1813">
        <f t="shared" si="28"/>
        <v>0</v>
      </c>
      <c r="H65" s="1813">
        <f t="shared" si="28"/>
        <v>0</v>
      </c>
      <c r="I65" s="1813">
        <f t="shared" si="28"/>
        <v>0</v>
      </c>
      <c r="J65" s="1813">
        <f t="shared" si="28"/>
        <v>0</v>
      </c>
      <c r="K65" s="1813">
        <f t="shared" si="28"/>
        <v>0</v>
      </c>
      <c r="L65" s="1813">
        <f t="shared" si="28"/>
        <v>0</v>
      </c>
      <c r="M65" s="1813">
        <f t="shared" si="28"/>
        <v>0</v>
      </c>
      <c r="N65" s="1813">
        <f t="shared" si="28"/>
        <v>0</v>
      </c>
      <c r="O65" s="1813">
        <f t="shared" ref="O65:T65" si="29">O47-O48-O49</f>
        <v>1000000</v>
      </c>
      <c r="P65" s="1813">
        <f t="shared" si="29"/>
        <v>0</v>
      </c>
      <c r="Q65" s="1813">
        <f t="shared" si="29"/>
        <v>0</v>
      </c>
      <c r="R65" s="1813">
        <f t="shared" si="29"/>
        <v>0</v>
      </c>
      <c r="S65" s="1813">
        <f t="shared" si="29"/>
        <v>0</v>
      </c>
      <c r="T65" s="1813">
        <f t="shared" si="29"/>
        <v>0</v>
      </c>
      <c r="U65" s="1813">
        <f t="shared" ref="U65:AA65" si="30">U47-U48-U49</f>
        <v>0</v>
      </c>
      <c r="V65" s="1813">
        <f t="shared" si="30"/>
        <v>0</v>
      </c>
      <c r="W65" s="1813">
        <f t="shared" si="30"/>
        <v>0</v>
      </c>
      <c r="X65" s="1813">
        <f t="shared" si="30"/>
        <v>0</v>
      </c>
      <c r="Y65" s="1813">
        <f t="shared" si="30"/>
        <v>0</v>
      </c>
      <c r="Z65" s="1813">
        <f t="shared" si="30"/>
        <v>0</v>
      </c>
      <c r="AA65" s="1813">
        <f t="shared" si="30"/>
        <v>0</v>
      </c>
    </row>
    <row r="66" spans="2:27">
      <c r="D66" s="1814"/>
    </row>
    <row r="67" spans="2:27">
      <c r="B67" s="1797" t="s">
        <v>623</v>
      </c>
      <c r="D67" s="1797">
        <v>27126000000</v>
      </c>
      <c r="E67" s="1797">
        <v>30538000000</v>
      </c>
      <c r="F67" s="1797">
        <v>35430000000</v>
      </c>
      <c r="G67" s="1797">
        <v>37306000000</v>
      </c>
      <c r="H67" s="1797">
        <v>42679000000</v>
      </c>
      <c r="I67" s="1797">
        <v>46176000000</v>
      </c>
      <c r="J67" s="1797">
        <v>54026000000</v>
      </c>
      <c r="K67" s="1797">
        <v>62082000000</v>
      </c>
      <c r="L67" s="1797">
        <v>72946000000</v>
      </c>
      <c r="M67" s="1797">
        <v>75071000000</v>
      </c>
      <c r="N67" s="1797">
        <v>81015000000</v>
      </c>
      <c r="O67" s="1797">
        <v>91658000000</v>
      </c>
      <c r="P67" s="1797">
        <v>107324000000</v>
      </c>
      <c r="Q67" s="1797">
        <v>118230000000</v>
      </c>
      <c r="R67" s="1797">
        <v>130600000000</v>
      </c>
      <c r="S67" s="1828">
        <v>140981000000</v>
      </c>
      <c r="T67" s="1828">
        <v>150984000000</v>
      </c>
      <c r="U67" s="1828">
        <v>163011000000</v>
      </c>
      <c r="V67" s="1828">
        <v>171928000000</v>
      </c>
      <c r="W67" s="1828">
        <v>185009000000</v>
      </c>
      <c r="X67" s="1828">
        <v>202299000000</v>
      </c>
      <c r="Y67" s="1828">
        <v>221836000000</v>
      </c>
      <c r="Z67" s="1828">
        <v>242717000000</v>
      </c>
      <c r="AA67" s="1828">
        <v>265549000000</v>
      </c>
    </row>
    <row r="68" spans="2:27">
      <c r="B68" s="1797" t="s">
        <v>151</v>
      </c>
      <c r="D68" s="1815">
        <f>(D6/D67)*100</f>
        <v>26.646022266460221</v>
      </c>
      <c r="E68" s="1815">
        <f t="shared" ref="E68:V68" si="31">(E6/E67)*100</f>
        <v>26.881262689108652</v>
      </c>
      <c r="F68" s="1815">
        <f t="shared" si="31"/>
        <v>25.289302850691502</v>
      </c>
      <c r="G68" s="1815">
        <f t="shared" si="31"/>
        <v>28.062510052002359</v>
      </c>
      <c r="H68" s="1815">
        <f t="shared" si="31"/>
        <v>22.854565477166759</v>
      </c>
      <c r="I68" s="1815">
        <f t="shared" si="31"/>
        <v>24.661729036729035</v>
      </c>
      <c r="J68" s="1815">
        <f t="shared" si="31"/>
        <v>24.201865768333768</v>
      </c>
      <c r="K68" s="1815">
        <f t="shared" si="31"/>
        <v>27.210785734995653</v>
      </c>
      <c r="L68" s="1815">
        <f t="shared" si="31"/>
        <v>28.338771145779067</v>
      </c>
      <c r="M68" s="1815">
        <f t="shared" si="31"/>
        <v>31.233099332631774</v>
      </c>
      <c r="N68" s="1815">
        <f t="shared" si="31"/>
        <v>29.645127445534779</v>
      </c>
      <c r="O68" s="1815">
        <f t="shared" si="31"/>
        <v>25.505684173776427</v>
      </c>
      <c r="P68" s="1815">
        <f t="shared" si="31"/>
        <v>27.875405314747866</v>
      </c>
      <c r="Q68" s="1815">
        <f t="shared" si="31"/>
        <v>30.94815190729933</v>
      </c>
      <c r="R68" s="1815">
        <f t="shared" si="31"/>
        <v>30.620980091883617</v>
      </c>
      <c r="S68" s="1815">
        <f t="shared" si="31"/>
        <v>35.433143473233983</v>
      </c>
      <c r="T68" s="1815">
        <f t="shared" si="31"/>
        <v>34.573199809251307</v>
      </c>
      <c r="U68" s="1815">
        <f t="shared" si="31"/>
        <v>31.192986976339022</v>
      </c>
      <c r="V68" s="1815">
        <f t="shared" si="31"/>
        <v>34.20268949792937</v>
      </c>
      <c r="W68" s="1815">
        <f t="shared" ref="W68:AA68" si="32">(W6/W67)*100</f>
        <v>31.624407461258642</v>
      </c>
      <c r="X68" s="1815">
        <f t="shared" si="32"/>
        <v>30.030795999980224</v>
      </c>
      <c r="Y68" s="1815">
        <f t="shared" si="32"/>
        <v>30.897600028850142</v>
      </c>
      <c r="Z68" s="1815">
        <f t="shared" si="32"/>
        <v>30.602718392201616</v>
      </c>
      <c r="AA68" s="1815">
        <f t="shared" si="32"/>
        <v>30.593977006126927</v>
      </c>
    </row>
    <row r="69" spans="2:27">
      <c r="B69" s="1797" t="s">
        <v>152</v>
      </c>
      <c r="D69" s="1815">
        <f>(D23/D67)*100</f>
        <v>28.518764285187643</v>
      </c>
      <c r="E69" s="1815">
        <f t="shared" ref="E69:V69" si="33">(E23/E67)*100</f>
        <v>28.050297989390266</v>
      </c>
      <c r="F69" s="1815">
        <f t="shared" si="33"/>
        <v>28.947219870166524</v>
      </c>
      <c r="G69" s="1815">
        <f t="shared" si="33"/>
        <v>31.021819546453656</v>
      </c>
      <c r="H69" s="1815">
        <f t="shared" si="33"/>
        <v>28.901333208369458</v>
      </c>
      <c r="I69" s="1815">
        <f t="shared" si="33"/>
        <v>27.374177061677063</v>
      </c>
      <c r="J69" s="1815">
        <f t="shared" si="33"/>
        <v>24.579646836708253</v>
      </c>
      <c r="K69" s="1815">
        <f t="shared" si="33"/>
        <v>24.668986179568957</v>
      </c>
      <c r="L69" s="1815">
        <f t="shared" si="33"/>
        <v>24.046554985879968</v>
      </c>
      <c r="M69" s="1815">
        <f t="shared" si="33"/>
        <v>29.169719332365361</v>
      </c>
      <c r="N69" s="1815">
        <f t="shared" si="33"/>
        <v>31.737332592729739</v>
      </c>
      <c r="O69" s="1815">
        <f t="shared" si="33"/>
        <v>30.703266490650027</v>
      </c>
      <c r="P69" s="1815">
        <f t="shared" si="33"/>
        <v>35.370466997130187</v>
      </c>
      <c r="Q69" s="1815">
        <f t="shared" si="33"/>
        <v>32.474837181764357</v>
      </c>
      <c r="R69" s="1815">
        <f t="shared" si="33"/>
        <v>36.304747320061253</v>
      </c>
      <c r="S69" s="1815">
        <f t="shared" si="33"/>
        <v>42.086522297330845</v>
      </c>
      <c r="T69" s="1815">
        <f t="shared" si="33"/>
        <v>43.224447623589256</v>
      </c>
      <c r="U69" s="1815">
        <f t="shared" si="33"/>
        <v>40.534687843151687</v>
      </c>
      <c r="V69" s="1815">
        <f t="shared" si="33"/>
        <v>39.360080964124514</v>
      </c>
      <c r="W69" s="1815">
        <f t="shared" ref="W69:AA69" si="34">(W23/W67)*100</f>
        <v>40.145614537671143</v>
      </c>
      <c r="X69" s="1815">
        <f t="shared" si="34"/>
        <v>39.900839845970573</v>
      </c>
      <c r="Y69" s="1815">
        <f t="shared" si="34"/>
        <v>39.87089561658162</v>
      </c>
      <c r="Z69" s="1815">
        <f t="shared" si="34"/>
        <v>39.407622869432302</v>
      </c>
      <c r="AA69" s="1815">
        <f t="shared" si="34"/>
        <v>39.919939446203898</v>
      </c>
    </row>
    <row r="70" spans="2:27">
      <c r="B70" s="1816" t="s">
        <v>4892</v>
      </c>
      <c r="D70" s="1797" t="b">
        <f>IF(D36&lt;0, (D36/D23)*100)</f>
        <v>0</v>
      </c>
      <c r="E70" s="1797" t="b">
        <f t="shared" ref="E70:V70" si="35">IF(E36&lt;0, (E36/E23)*100)</f>
        <v>0</v>
      </c>
      <c r="F70" s="1797" t="b">
        <f t="shared" si="35"/>
        <v>0</v>
      </c>
      <c r="G70" s="1797" t="b">
        <f t="shared" si="35"/>
        <v>0</v>
      </c>
      <c r="H70" s="1797" t="b">
        <f t="shared" si="35"/>
        <v>0</v>
      </c>
      <c r="I70" s="1797" t="b">
        <f t="shared" si="35"/>
        <v>0</v>
      </c>
      <c r="J70" s="1797" t="b">
        <f t="shared" si="35"/>
        <v>0</v>
      </c>
      <c r="K70" s="1797" t="b">
        <f t="shared" si="35"/>
        <v>0</v>
      </c>
      <c r="L70" s="1797" t="b">
        <f t="shared" si="35"/>
        <v>0</v>
      </c>
      <c r="M70" s="1797" t="b">
        <f t="shared" si="35"/>
        <v>0</v>
      </c>
      <c r="N70" s="1797" t="b">
        <f t="shared" si="35"/>
        <v>0</v>
      </c>
      <c r="O70" s="1797" t="b">
        <f t="shared" si="35"/>
        <v>0</v>
      </c>
      <c r="P70" s="1797" t="b">
        <f t="shared" si="35"/>
        <v>0</v>
      </c>
      <c r="Q70" s="1797" t="b">
        <f t="shared" si="35"/>
        <v>0</v>
      </c>
      <c r="R70" s="1797" t="b">
        <f t="shared" si="35"/>
        <v>0</v>
      </c>
      <c r="S70" s="1797" t="b">
        <f t="shared" si="35"/>
        <v>0</v>
      </c>
      <c r="T70" s="1797" t="b">
        <f t="shared" si="35"/>
        <v>0</v>
      </c>
      <c r="U70" s="1797" t="b">
        <f t="shared" si="35"/>
        <v>0</v>
      </c>
      <c r="V70" s="1797" t="b">
        <f t="shared" si="35"/>
        <v>0</v>
      </c>
    </row>
    <row r="72" spans="2:27">
      <c r="N72" s="1814">
        <f>N6+N41-N23</f>
        <v>0</v>
      </c>
      <c r="O72" s="1814">
        <f t="shared" ref="O72:AA72" si="36">O6+O41-O23</f>
        <v>0</v>
      </c>
      <c r="P72" s="1814">
        <f t="shared" si="36"/>
        <v>0</v>
      </c>
      <c r="Q72" s="1814">
        <f t="shared" si="36"/>
        <v>0</v>
      </c>
      <c r="R72" s="1814">
        <f t="shared" si="36"/>
        <v>-1904000000</v>
      </c>
      <c r="S72" s="1814">
        <f t="shared" si="36"/>
        <v>-3367000000</v>
      </c>
      <c r="T72" s="1814">
        <f t="shared" si="36"/>
        <v>2565000000</v>
      </c>
      <c r="U72" s="1814">
        <f t="shared" si="36"/>
        <v>2874000000</v>
      </c>
      <c r="V72" s="1814">
        <f t="shared" si="36"/>
        <v>0</v>
      </c>
      <c r="W72" s="1814">
        <f t="shared" si="36"/>
        <v>-1000000</v>
      </c>
      <c r="X72" s="1814">
        <f t="shared" si="36"/>
        <v>0</v>
      </c>
      <c r="Y72" s="1814">
        <f t="shared" si="36"/>
        <v>0</v>
      </c>
      <c r="Z72" s="1814">
        <f t="shared" si="36"/>
        <v>0</v>
      </c>
      <c r="AA72" s="1814">
        <f t="shared" si="36"/>
        <v>1000000</v>
      </c>
    </row>
  </sheetData>
  <pageMargins left="0.7" right="0.7" top="0.75" bottom="0.75" header="0.3" footer="0.3"/>
  <pageSetup paperSize="9" orientation="portrait"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7906-47D4-4DAD-B72E-27D364FCC539}">
  <dimension ref="A1:AB45"/>
  <sheetViews>
    <sheetView zoomScale="70" zoomScaleNormal="70" workbookViewId="0">
      <selection activeCell="F53" sqref="F53"/>
    </sheetView>
  </sheetViews>
  <sheetFormatPr defaultRowHeight="15"/>
  <cols>
    <col min="1" max="1" width="35.5703125" style="1570" bestFit="1" customWidth="1"/>
    <col min="2" max="2" width="49" style="1570" bestFit="1" customWidth="1"/>
    <col min="3" max="6" width="25.5703125" style="1570" customWidth="1"/>
    <col min="7" max="8" width="16.5703125" style="1570" bestFit="1" customWidth="1"/>
    <col min="9" max="10" width="16.5703125" bestFit="1" customWidth="1"/>
    <col min="11" max="11" width="15.85546875" bestFit="1" customWidth="1"/>
  </cols>
  <sheetData>
    <row r="1" spans="1:27">
      <c r="A1" s="2634" t="s">
        <v>7174</v>
      </c>
      <c r="B1" s="1566" t="s">
        <v>7172</v>
      </c>
      <c r="C1" s="1566"/>
      <c r="D1" s="1566"/>
      <c r="E1" s="1566"/>
      <c r="F1" s="1566"/>
      <c r="G1" s="1568"/>
      <c r="H1" s="1568"/>
    </row>
    <row r="2" spans="1:27">
      <c r="B2" s="1571" t="s">
        <v>7173</v>
      </c>
      <c r="C2" s="1571"/>
      <c r="D2" s="1571"/>
      <c r="E2" s="1571"/>
      <c r="F2" s="1571"/>
      <c r="G2" s="1573"/>
      <c r="H2" s="1574"/>
    </row>
    <row r="3" spans="1:27">
      <c r="B3" s="1575" t="s">
        <v>3</v>
      </c>
      <c r="C3" s="1575"/>
      <c r="D3" s="1568">
        <v>2012</v>
      </c>
      <c r="E3" s="1568">
        <v>2013</v>
      </c>
      <c r="F3" s="1568">
        <v>2014</v>
      </c>
      <c r="G3" s="1568">
        <v>2015</v>
      </c>
      <c r="H3" s="1568">
        <v>2016</v>
      </c>
      <c r="I3" s="1568">
        <v>2017</v>
      </c>
      <c r="J3" s="1568">
        <v>2018</v>
      </c>
      <c r="K3" s="1568">
        <v>2019</v>
      </c>
      <c r="M3" s="2463"/>
      <c r="N3" s="2463"/>
      <c r="O3" s="2463"/>
      <c r="P3" s="2463"/>
      <c r="Q3" s="2463"/>
      <c r="R3" s="2463"/>
      <c r="S3" s="2463"/>
      <c r="T3" s="2463"/>
      <c r="U3" s="2463"/>
      <c r="V3" s="2463"/>
      <c r="W3" s="2463"/>
      <c r="X3" s="2463"/>
      <c r="Y3" s="2463"/>
      <c r="Z3" s="2463"/>
      <c r="AA3" s="2463"/>
    </row>
    <row r="4" spans="1:27">
      <c r="B4" s="1575" t="s">
        <v>4</v>
      </c>
      <c r="C4" s="1575"/>
      <c r="D4" s="1568" t="s">
        <v>17</v>
      </c>
      <c r="E4" s="1568" t="s">
        <v>18</v>
      </c>
      <c r="F4" s="1568" t="s">
        <v>19</v>
      </c>
      <c r="G4" s="1568" t="s">
        <v>20</v>
      </c>
      <c r="H4" s="1568" t="s">
        <v>21</v>
      </c>
      <c r="I4" s="1568" t="s">
        <v>22</v>
      </c>
      <c r="J4" s="1568" t="s">
        <v>23</v>
      </c>
      <c r="K4" s="1568" t="s">
        <v>24</v>
      </c>
      <c r="L4" s="2463"/>
      <c r="M4" s="2463"/>
      <c r="N4" s="2463"/>
      <c r="O4" s="2463"/>
      <c r="P4" s="2463"/>
      <c r="Q4" s="2463"/>
      <c r="R4" s="2463"/>
      <c r="S4" s="2463"/>
      <c r="T4" s="2463"/>
      <c r="U4" s="2463"/>
      <c r="V4" s="2463"/>
      <c r="W4" s="2463"/>
      <c r="X4" s="2463"/>
      <c r="Y4" s="2463"/>
      <c r="Z4" s="2463"/>
      <c r="AA4" s="2463"/>
    </row>
    <row r="5" spans="1:27">
      <c r="A5" s="1570" t="s">
        <v>28</v>
      </c>
      <c r="B5" s="1575" t="s">
        <v>29</v>
      </c>
      <c r="C5" s="1575"/>
      <c r="D5" s="2008" t="s">
        <v>30</v>
      </c>
      <c r="E5" s="2008" t="s">
        <v>30</v>
      </c>
      <c r="F5" s="2008" t="s">
        <v>30</v>
      </c>
      <c r="G5" s="2008" t="s">
        <v>30</v>
      </c>
      <c r="H5" s="2008" t="s">
        <v>30</v>
      </c>
      <c r="I5" s="2008" t="s">
        <v>32</v>
      </c>
      <c r="J5" s="2008" t="s">
        <v>32</v>
      </c>
      <c r="K5" s="2008" t="s">
        <v>32</v>
      </c>
      <c r="L5" s="2463"/>
      <c r="M5" s="2463"/>
      <c r="N5" s="2463"/>
      <c r="O5" s="2463"/>
      <c r="P5" s="2463"/>
      <c r="Q5" s="2463"/>
      <c r="R5" s="2463"/>
      <c r="S5" s="2463"/>
      <c r="T5" s="2463"/>
      <c r="U5" s="2463"/>
      <c r="V5" s="2463"/>
      <c r="W5" s="2463"/>
      <c r="X5" s="2463"/>
      <c r="Y5" s="2463"/>
      <c r="Z5" s="2463"/>
      <c r="AA5" s="2463"/>
    </row>
    <row r="6" spans="1:27" s="848" customFormat="1">
      <c r="A6" s="2313" t="s">
        <v>33</v>
      </c>
      <c r="B6" s="2313" t="s">
        <v>6840</v>
      </c>
      <c r="C6" s="2260" t="s">
        <v>35</v>
      </c>
      <c r="D6" s="2673">
        <f>D7+D13</f>
        <v>52900000</v>
      </c>
      <c r="E6" s="2673">
        <f t="shared" ref="E6:K6" si="0">E7+E13</f>
        <v>62400000</v>
      </c>
      <c r="F6" s="2673">
        <f t="shared" si="0"/>
        <v>98000000</v>
      </c>
      <c r="G6" s="2673">
        <f t="shared" si="0"/>
        <v>97600000</v>
      </c>
      <c r="H6" s="2673">
        <f t="shared" si="0"/>
        <v>161500000</v>
      </c>
      <c r="I6" s="2673">
        <f t="shared" si="0"/>
        <v>166500000</v>
      </c>
      <c r="J6" s="2673">
        <f t="shared" si="0"/>
        <v>151800000</v>
      </c>
      <c r="K6" s="2673">
        <f t="shared" si="0"/>
        <v>148900000</v>
      </c>
      <c r="L6" s="2463"/>
      <c r="M6" s="2463"/>
      <c r="N6" s="2463"/>
      <c r="O6" s="2463"/>
      <c r="P6" s="2463"/>
      <c r="Q6" s="2463"/>
      <c r="R6" s="2463"/>
      <c r="S6" s="2463"/>
      <c r="T6" s="2463"/>
      <c r="U6" s="2463"/>
      <c r="V6" s="2463"/>
      <c r="W6" s="2463"/>
      <c r="X6" s="2463"/>
      <c r="Y6" s="2463"/>
      <c r="Z6" s="2463"/>
      <c r="AA6" s="2463"/>
    </row>
    <row r="7" spans="1:27" ht="20.25" customHeight="1">
      <c r="A7" s="1567" t="s">
        <v>159</v>
      </c>
      <c r="B7" s="1567" t="s">
        <v>159</v>
      </c>
      <c r="C7" s="1578" t="s">
        <v>38</v>
      </c>
      <c r="D7" s="2070">
        <f>D8+D9</f>
        <v>32100000</v>
      </c>
      <c r="E7" s="2070">
        <f t="shared" ref="E7:K7" si="1">E8+E9</f>
        <v>41400000</v>
      </c>
      <c r="F7" s="2070">
        <f t="shared" si="1"/>
        <v>76500000</v>
      </c>
      <c r="G7" s="2070">
        <f t="shared" si="1"/>
        <v>77700000</v>
      </c>
      <c r="H7" s="2070">
        <f t="shared" si="1"/>
        <v>132000000</v>
      </c>
      <c r="I7" s="2070">
        <f t="shared" si="1"/>
        <v>139800000</v>
      </c>
      <c r="J7" s="2070">
        <f t="shared" si="1"/>
        <v>109600000</v>
      </c>
      <c r="K7" s="2070">
        <f t="shared" si="1"/>
        <v>111100000</v>
      </c>
      <c r="L7" s="2463"/>
      <c r="M7" s="2463"/>
      <c r="N7" s="2463"/>
      <c r="O7" s="2463"/>
      <c r="P7" s="2463"/>
      <c r="Q7" s="2463"/>
      <c r="R7" s="2463"/>
      <c r="S7" s="2463"/>
      <c r="T7" s="2463"/>
      <c r="U7" s="2463"/>
      <c r="V7" s="2463"/>
      <c r="W7" s="2463"/>
      <c r="X7" s="2463"/>
      <c r="Y7" s="2463"/>
      <c r="Z7" s="2463"/>
      <c r="AA7" s="2463"/>
    </row>
    <row r="8" spans="1:27" ht="18" customHeight="1">
      <c r="A8" s="1577" t="s">
        <v>285</v>
      </c>
      <c r="B8" s="1577" t="s">
        <v>285</v>
      </c>
      <c r="C8" s="1577" t="s">
        <v>41</v>
      </c>
      <c r="D8" s="1579">
        <v>8100000</v>
      </c>
      <c r="E8" s="125">
        <v>16200000</v>
      </c>
      <c r="F8" s="1579">
        <v>19000000</v>
      </c>
      <c r="G8" s="2635">
        <v>22600000</v>
      </c>
      <c r="H8" s="125">
        <v>31600000</v>
      </c>
      <c r="I8" s="2635">
        <v>30600000</v>
      </c>
      <c r="J8" s="2635">
        <v>21800000</v>
      </c>
      <c r="K8" s="2635">
        <v>22400000</v>
      </c>
      <c r="L8" s="2463"/>
      <c r="M8" s="2463"/>
      <c r="N8" s="2463"/>
      <c r="O8" s="2463"/>
      <c r="P8" s="2463"/>
      <c r="Q8" s="2463"/>
      <c r="R8" s="2463"/>
      <c r="S8" s="2463"/>
      <c r="T8" s="2463"/>
      <c r="U8" s="2463"/>
      <c r="V8" s="2463"/>
      <c r="W8" s="2463"/>
      <c r="X8" s="2463"/>
      <c r="Y8" s="2463"/>
      <c r="Z8" s="2463"/>
      <c r="AA8" s="2463"/>
    </row>
    <row r="9" spans="1:27">
      <c r="A9" t="s">
        <v>843</v>
      </c>
      <c r="B9" s="1577" t="s">
        <v>843</v>
      </c>
      <c r="C9" s="1577" t="s">
        <v>41</v>
      </c>
      <c r="D9" s="13">
        <v>24000000</v>
      </c>
      <c r="E9" s="13">
        <v>25200000</v>
      </c>
      <c r="F9" s="13">
        <v>57500000</v>
      </c>
      <c r="G9" s="13">
        <v>55100000</v>
      </c>
      <c r="H9" s="1579">
        <v>100400000</v>
      </c>
      <c r="I9" s="13">
        <v>109200000</v>
      </c>
      <c r="J9" s="13">
        <v>87800000</v>
      </c>
      <c r="K9" s="13">
        <v>88700000</v>
      </c>
      <c r="L9" s="2463"/>
      <c r="M9" s="2463"/>
      <c r="N9" s="2463"/>
      <c r="O9" s="2463"/>
      <c r="P9" s="2463"/>
      <c r="Q9" s="2463"/>
      <c r="R9" s="2463"/>
      <c r="S9" s="2463"/>
      <c r="T9" s="2463"/>
      <c r="U9" s="2463"/>
      <c r="V9" s="2463"/>
      <c r="W9" s="2463"/>
      <c r="X9" s="2463"/>
      <c r="Y9" s="2463"/>
      <c r="Z9" s="2463"/>
      <c r="AA9" s="2463"/>
    </row>
    <row r="10" spans="1:27">
      <c r="A10" s="1577" t="s">
        <v>7175</v>
      </c>
      <c r="B10" s="1577" t="s">
        <v>7175</v>
      </c>
      <c r="C10" s="1577" t="s">
        <v>7182</v>
      </c>
      <c r="D10" s="1579">
        <v>12800000</v>
      </c>
      <c r="E10" s="125">
        <v>13500000</v>
      </c>
      <c r="F10" s="125">
        <v>19900000</v>
      </c>
      <c r="G10" s="125">
        <v>28900000</v>
      </c>
      <c r="H10" s="125">
        <v>37400000</v>
      </c>
      <c r="I10" s="125">
        <v>42100000</v>
      </c>
      <c r="J10" s="125">
        <v>38400000</v>
      </c>
      <c r="K10" s="125">
        <v>39700000</v>
      </c>
      <c r="L10" s="2463"/>
      <c r="M10" s="2463"/>
      <c r="N10" s="2463"/>
      <c r="O10" s="2463"/>
      <c r="P10" s="2463"/>
      <c r="Q10" s="2463"/>
      <c r="R10" s="2463"/>
      <c r="S10" s="2463"/>
      <c r="T10" s="2463"/>
      <c r="U10" s="2463"/>
      <c r="V10" s="2463"/>
      <c r="W10" s="2463"/>
      <c r="X10" s="2463"/>
      <c r="Y10" s="2463"/>
      <c r="Z10" s="2463"/>
      <c r="AA10" s="2463"/>
    </row>
    <row r="11" spans="1:27">
      <c r="A11" s="1577" t="s">
        <v>7176</v>
      </c>
      <c r="B11" s="1577" t="s">
        <v>7176</v>
      </c>
      <c r="C11" s="1577" t="s">
        <v>7182</v>
      </c>
      <c r="D11" s="1579">
        <v>100000</v>
      </c>
      <c r="E11" s="1579">
        <v>300000</v>
      </c>
      <c r="F11" s="1579">
        <v>16000000</v>
      </c>
      <c r="G11" s="1581">
        <v>18400000</v>
      </c>
      <c r="H11" s="125">
        <v>33100000</v>
      </c>
      <c r="I11" s="2523">
        <v>29600000</v>
      </c>
      <c r="J11" s="125">
        <v>19800000</v>
      </c>
      <c r="K11" s="125">
        <v>19800000</v>
      </c>
      <c r="L11" s="2463"/>
      <c r="M11" s="2463"/>
      <c r="N11" s="2463"/>
      <c r="O11" s="2463"/>
      <c r="P11" s="2463"/>
      <c r="Q11" s="2463"/>
      <c r="R11" s="2463"/>
      <c r="S11" s="2463"/>
      <c r="T11" s="2463"/>
      <c r="U11" s="2463"/>
      <c r="V11" s="2463"/>
      <c r="W11" s="2463"/>
      <c r="X11" s="2463"/>
      <c r="Y11" s="2463"/>
      <c r="Z11" s="2463"/>
      <c r="AA11" s="2463"/>
    </row>
    <row r="12" spans="1:27">
      <c r="A12" s="1577" t="s">
        <v>50</v>
      </c>
      <c r="B12" s="1577" t="s">
        <v>50</v>
      </c>
      <c r="C12" s="1577" t="s">
        <v>7182</v>
      </c>
      <c r="D12" s="1579">
        <f>D9-D10-D11</f>
        <v>11100000</v>
      </c>
      <c r="E12" s="1579">
        <f t="shared" ref="E12:K12" si="2">E9-E10-E11</f>
        <v>11400000</v>
      </c>
      <c r="F12" s="1579">
        <f t="shared" si="2"/>
        <v>21600000</v>
      </c>
      <c r="G12" s="1579">
        <f t="shared" si="2"/>
        <v>7800000</v>
      </c>
      <c r="H12" s="1579">
        <f t="shared" si="2"/>
        <v>29900000</v>
      </c>
      <c r="I12" s="1579">
        <f t="shared" si="2"/>
        <v>37500000</v>
      </c>
      <c r="J12" s="1579">
        <f t="shared" si="2"/>
        <v>29600000</v>
      </c>
      <c r="K12" s="1579">
        <f t="shared" si="2"/>
        <v>29200000</v>
      </c>
      <c r="L12" s="2463"/>
      <c r="M12" s="2463"/>
      <c r="N12" s="2463"/>
      <c r="O12" s="2463"/>
      <c r="P12" s="2463"/>
      <c r="Q12" s="2463"/>
      <c r="R12" s="2463"/>
      <c r="S12" s="2463"/>
      <c r="T12" s="2463"/>
      <c r="U12" s="2463"/>
      <c r="V12" s="2463"/>
      <c r="W12" s="2463"/>
      <c r="X12" s="2463"/>
      <c r="Y12" s="2463"/>
      <c r="Z12" s="2463"/>
      <c r="AA12" s="2463"/>
    </row>
    <row r="13" spans="1:27" s="848" customFormat="1">
      <c r="A13" s="2617" t="s">
        <v>53</v>
      </c>
      <c r="B13" s="2617" t="s">
        <v>53</v>
      </c>
      <c r="C13" s="2614" t="s">
        <v>38</v>
      </c>
      <c r="D13" s="2671">
        <f>D14+D15+D16</f>
        <v>20800000</v>
      </c>
      <c r="E13" s="2671">
        <f t="shared" ref="E13:K13" si="3">E14+E15+E16</f>
        <v>21000000</v>
      </c>
      <c r="F13" s="2671">
        <f t="shared" si="3"/>
        <v>21500000</v>
      </c>
      <c r="G13" s="2671">
        <f t="shared" si="3"/>
        <v>19900000</v>
      </c>
      <c r="H13" s="2671">
        <f t="shared" si="3"/>
        <v>29500000</v>
      </c>
      <c r="I13" s="2671">
        <f t="shared" si="3"/>
        <v>26700000</v>
      </c>
      <c r="J13" s="2671">
        <f t="shared" si="3"/>
        <v>42200000</v>
      </c>
      <c r="K13" s="2671">
        <f t="shared" si="3"/>
        <v>37800000</v>
      </c>
      <c r="L13" s="2463"/>
      <c r="M13" s="2463"/>
      <c r="N13" s="2463"/>
      <c r="O13" s="2463"/>
      <c r="P13" s="2463"/>
      <c r="Q13" s="2463"/>
      <c r="R13" s="2463"/>
      <c r="S13" s="2463"/>
      <c r="T13" s="2463"/>
      <c r="U13" s="2463"/>
      <c r="V13" s="2463"/>
      <c r="W13" s="2463"/>
      <c r="X13" s="2463"/>
      <c r="Y13" s="2463"/>
      <c r="Z13" s="2463"/>
      <c r="AA13" s="2463"/>
    </row>
    <row r="14" spans="1:27" s="848" customFormat="1">
      <c r="A14" s="2617" t="s">
        <v>3597</v>
      </c>
      <c r="B14" s="2617" t="s">
        <v>7177</v>
      </c>
      <c r="C14" s="2614" t="s">
        <v>57</v>
      </c>
      <c r="D14" s="125">
        <v>4000000</v>
      </c>
      <c r="E14" s="125">
        <v>4000000</v>
      </c>
      <c r="F14" s="125">
        <v>3400000</v>
      </c>
      <c r="G14" s="2635">
        <v>7300000</v>
      </c>
      <c r="H14" s="2635">
        <v>4400000</v>
      </c>
      <c r="I14" s="2635">
        <v>4300000</v>
      </c>
      <c r="J14" s="2635">
        <v>9500000</v>
      </c>
      <c r="K14" s="2635">
        <v>4700000</v>
      </c>
      <c r="L14" s="2463"/>
      <c r="M14" s="2463"/>
      <c r="N14" s="2463"/>
      <c r="O14" s="2463"/>
      <c r="P14" s="2463"/>
      <c r="Q14" s="2463"/>
      <c r="R14" s="2463"/>
      <c r="S14" s="2463"/>
      <c r="T14" s="2463"/>
      <c r="U14" s="2463"/>
      <c r="V14" s="2463"/>
      <c r="W14" s="2463"/>
      <c r="X14" s="2463"/>
      <c r="Y14" s="2463"/>
      <c r="Z14" s="2463"/>
      <c r="AA14" s="2463"/>
    </row>
    <row r="15" spans="1:27" s="848" customFormat="1">
      <c r="A15" s="2617" t="s">
        <v>7183</v>
      </c>
      <c r="B15" s="2617" t="s">
        <v>7178</v>
      </c>
      <c r="C15" s="2614" t="s">
        <v>57</v>
      </c>
      <c r="D15" s="125">
        <v>16800000</v>
      </c>
      <c r="E15" s="125">
        <v>17000000</v>
      </c>
      <c r="F15" s="125">
        <v>18100000</v>
      </c>
      <c r="G15" s="125">
        <v>12600000</v>
      </c>
      <c r="H15" s="125">
        <v>14600000</v>
      </c>
      <c r="I15" s="125">
        <v>17200000</v>
      </c>
      <c r="J15" s="125">
        <v>27500000</v>
      </c>
      <c r="K15" s="125">
        <v>27900000</v>
      </c>
      <c r="L15" s="2463"/>
      <c r="M15" s="2463"/>
      <c r="N15" s="2463"/>
      <c r="O15" s="2463"/>
      <c r="P15" s="2463"/>
      <c r="Q15" s="2463"/>
      <c r="R15" s="2463"/>
      <c r="S15" s="2463"/>
      <c r="T15" s="2463"/>
      <c r="U15" s="2463"/>
      <c r="V15" s="2463"/>
      <c r="W15" s="2463"/>
      <c r="X15" s="2463"/>
      <c r="Y15" s="2463"/>
      <c r="Z15" s="2463"/>
      <c r="AA15" s="2463"/>
    </row>
    <row r="16" spans="1:27" s="848" customFormat="1">
      <c r="A16" s="2617" t="s">
        <v>7179</v>
      </c>
      <c r="B16" s="2617" t="s">
        <v>7179</v>
      </c>
      <c r="C16" s="2614" t="s">
        <v>57</v>
      </c>
      <c r="D16" s="2671">
        <v>0</v>
      </c>
      <c r="E16" s="2671">
        <v>0</v>
      </c>
      <c r="F16" s="2671">
        <v>0</v>
      </c>
      <c r="G16" s="2635">
        <v>0</v>
      </c>
      <c r="H16" s="2635">
        <v>10500000</v>
      </c>
      <c r="I16" s="2635">
        <v>5200000</v>
      </c>
      <c r="J16" s="125">
        <v>5200000</v>
      </c>
      <c r="K16" s="125">
        <v>5200000</v>
      </c>
      <c r="L16" s="2463"/>
      <c r="M16" s="2463"/>
      <c r="N16" s="2463"/>
      <c r="O16" s="2463"/>
      <c r="P16" s="2463"/>
      <c r="Q16" s="2463"/>
      <c r="R16" s="2463"/>
      <c r="S16" s="2463"/>
      <c r="T16" s="2463"/>
      <c r="U16" s="2463"/>
      <c r="V16" s="2463"/>
      <c r="W16" s="2463"/>
      <c r="X16" s="2463"/>
      <c r="Y16" s="2463"/>
      <c r="Z16" s="2463"/>
      <c r="AA16" s="2463"/>
    </row>
    <row r="17" spans="1:28" s="848" customFormat="1">
      <c r="A17" s="2003" t="s">
        <v>71</v>
      </c>
      <c r="B17" s="2674" t="s">
        <v>379</v>
      </c>
      <c r="C17" s="2675" t="s">
        <v>35</v>
      </c>
      <c r="D17" s="2676">
        <f>D18+D24</f>
        <v>45000000</v>
      </c>
      <c r="E17" s="2676">
        <f t="shared" ref="E17:J17" si="4">E18+E24</f>
        <v>60800000</v>
      </c>
      <c r="F17" s="2676">
        <f t="shared" si="4"/>
        <v>66200000</v>
      </c>
      <c r="G17" s="2676">
        <f t="shared" si="4"/>
        <v>86800000</v>
      </c>
      <c r="H17" s="2676">
        <f t="shared" si="4"/>
        <v>128400000</v>
      </c>
      <c r="I17" s="2676">
        <f t="shared" si="4"/>
        <v>150900000</v>
      </c>
      <c r="J17" s="2676">
        <f t="shared" si="4"/>
        <v>138600000</v>
      </c>
      <c r="K17" s="2676">
        <f>K18+K24</f>
        <v>126800000</v>
      </c>
      <c r="L17" s="2463"/>
      <c r="M17" s="2463"/>
      <c r="N17" s="2463"/>
      <c r="O17" s="2463"/>
      <c r="P17" s="2463"/>
      <c r="Q17" s="2463"/>
      <c r="R17" s="2463"/>
      <c r="S17" s="2463"/>
      <c r="T17" s="2463"/>
      <c r="U17" s="2463"/>
      <c r="V17" s="2463"/>
      <c r="W17" s="2463"/>
      <c r="X17" s="2463"/>
      <c r="Y17" s="2463"/>
      <c r="Z17" s="2463"/>
      <c r="AA17" s="2463"/>
    </row>
    <row r="18" spans="1:28" s="848" customFormat="1">
      <c r="A18" s="2670" t="s">
        <v>1969</v>
      </c>
      <c r="B18" s="2617" t="s">
        <v>796</v>
      </c>
      <c r="C18" s="2670" t="s">
        <v>75</v>
      </c>
      <c r="D18" s="2672">
        <f>D19+D20+D21+D22+D23</f>
        <v>28200000</v>
      </c>
      <c r="E18" s="2672">
        <f t="shared" ref="E18:K18" si="5">E19+E20+E21+E22+E23</f>
        <v>43800000</v>
      </c>
      <c r="F18" s="2672">
        <f t="shared" si="5"/>
        <v>48100000</v>
      </c>
      <c r="G18" s="2672">
        <f t="shared" si="5"/>
        <v>74200000</v>
      </c>
      <c r="H18" s="2672">
        <f t="shared" si="5"/>
        <v>113800000</v>
      </c>
      <c r="I18" s="2672">
        <f t="shared" si="5"/>
        <v>133700000</v>
      </c>
      <c r="J18" s="2672">
        <f t="shared" si="5"/>
        <v>111100000</v>
      </c>
      <c r="K18" s="2672">
        <f t="shared" si="5"/>
        <v>98900000</v>
      </c>
      <c r="L18" s="2463"/>
      <c r="M18" s="2463"/>
      <c r="N18" s="2463"/>
      <c r="O18" s="2463"/>
      <c r="P18" s="2463"/>
      <c r="Q18" s="2463"/>
      <c r="R18" s="2463"/>
      <c r="S18" s="2463"/>
      <c r="T18" s="2463"/>
      <c r="U18" s="2463"/>
      <c r="V18" s="2463"/>
      <c r="W18" s="2463"/>
      <c r="X18" s="2463"/>
      <c r="Y18" s="2463"/>
      <c r="Z18" s="2463"/>
      <c r="AA18" s="2463"/>
    </row>
    <row r="19" spans="1:28" s="848" customFormat="1">
      <c r="A19" s="2670" t="s">
        <v>5283</v>
      </c>
      <c r="B19" s="2670" t="s">
        <v>5283</v>
      </c>
      <c r="C19" s="2670" t="s">
        <v>81</v>
      </c>
      <c r="D19" s="2672">
        <v>10900000</v>
      </c>
      <c r="E19" s="2625">
        <v>10700000</v>
      </c>
      <c r="F19" s="2625">
        <v>13700000</v>
      </c>
      <c r="G19" s="2625">
        <v>24200000</v>
      </c>
      <c r="H19" s="2625">
        <v>33900000</v>
      </c>
      <c r="I19" s="2635">
        <v>49500000</v>
      </c>
      <c r="J19" s="2523">
        <v>42900000</v>
      </c>
      <c r="K19" s="2523">
        <v>43100000</v>
      </c>
      <c r="L19" s="2463"/>
      <c r="M19" s="2463"/>
      <c r="N19" s="2463"/>
      <c r="O19" s="2463"/>
      <c r="P19" s="2463"/>
      <c r="Q19" s="2463"/>
      <c r="R19" s="2463"/>
      <c r="S19" s="2463"/>
      <c r="T19" s="2463"/>
      <c r="U19" s="2463"/>
      <c r="V19" s="2463"/>
      <c r="W19" s="2463"/>
      <c r="X19" s="2463"/>
      <c r="Y19" s="2463"/>
      <c r="Z19" s="2463"/>
      <c r="AA19" s="2463"/>
    </row>
    <row r="20" spans="1:28" s="848" customFormat="1">
      <c r="A20" s="2670" t="s">
        <v>537</v>
      </c>
      <c r="B20" s="2617" t="s">
        <v>537</v>
      </c>
      <c r="C20" s="2670" t="s">
        <v>81</v>
      </c>
      <c r="D20" s="2672">
        <v>12000000</v>
      </c>
      <c r="E20" s="2672">
        <v>18800000</v>
      </c>
      <c r="F20" s="2672">
        <v>21900000</v>
      </c>
      <c r="G20" s="2672">
        <v>26000000</v>
      </c>
      <c r="H20" s="2635">
        <v>40800000</v>
      </c>
      <c r="I20" s="2523">
        <v>45300000</v>
      </c>
      <c r="J20" s="2523">
        <v>40300000</v>
      </c>
      <c r="K20" s="2523">
        <v>34700000</v>
      </c>
      <c r="L20" s="2463"/>
      <c r="M20" s="2463"/>
      <c r="N20" s="2463"/>
      <c r="O20" s="2463"/>
      <c r="P20" s="2463"/>
      <c r="Q20" s="2463"/>
      <c r="R20" s="2463"/>
      <c r="S20" s="2463"/>
      <c r="T20" s="2463"/>
      <c r="U20" s="2463"/>
      <c r="V20" s="2463"/>
      <c r="W20" s="2463"/>
      <c r="X20" s="2463"/>
      <c r="Y20" s="2463"/>
      <c r="Z20" s="2463"/>
      <c r="AA20" s="2463"/>
    </row>
    <row r="21" spans="1:28" s="848" customFormat="1">
      <c r="A21" t="s">
        <v>7180</v>
      </c>
      <c r="B21" t="s">
        <v>7180</v>
      </c>
      <c r="C21" s="2670" t="s">
        <v>81</v>
      </c>
      <c r="D21" s="2672">
        <v>2600000</v>
      </c>
      <c r="E21" s="2672">
        <v>4700000</v>
      </c>
      <c r="F21" s="2672">
        <v>7600000</v>
      </c>
      <c r="G21" s="2672">
        <v>11700000</v>
      </c>
      <c r="H21" s="2635">
        <v>20500000</v>
      </c>
      <c r="I21" s="2635">
        <v>14500000</v>
      </c>
      <c r="J21" s="2523">
        <v>13500000</v>
      </c>
      <c r="K21" s="2523">
        <v>13200000</v>
      </c>
      <c r="L21" s="2463"/>
      <c r="M21" s="2463"/>
      <c r="N21" s="2463"/>
      <c r="O21" s="2463"/>
      <c r="P21" s="2463"/>
      <c r="Q21" s="2463"/>
      <c r="R21" s="2463"/>
      <c r="S21" s="2463"/>
      <c r="T21" s="2463"/>
      <c r="U21" s="2463"/>
      <c r="V21" s="2463"/>
      <c r="W21" s="2463"/>
      <c r="X21" s="2463"/>
      <c r="Y21" s="2463"/>
      <c r="Z21" s="2463"/>
      <c r="AA21" s="2463"/>
    </row>
    <row r="22" spans="1:28" s="848" customFormat="1">
      <c r="A22" t="s">
        <v>7181</v>
      </c>
      <c r="B22" t="s">
        <v>7181</v>
      </c>
      <c r="C22" s="2670" t="s">
        <v>81</v>
      </c>
      <c r="D22" s="2672">
        <v>700000</v>
      </c>
      <c r="E22" s="2672">
        <v>2200000</v>
      </c>
      <c r="F22" s="2672">
        <v>1000000</v>
      </c>
      <c r="G22" s="2672">
        <v>3200000</v>
      </c>
      <c r="H22" s="2635">
        <v>11000000</v>
      </c>
      <c r="I22" s="2635">
        <v>9400000</v>
      </c>
      <c r="J22" s="2523">
        <v>5800000</v>
      </c>
      <c r="K22" s="2523">
        <v>3600000</v>
      </c>
      <c r="L22" s="2463"/>
      <c r="M22" s="2463"/>
      <c r="N22" s="2463"/>
      <c r="O22" s="2463"/>
      <c r="P22" s="2463"/>
      <c r="Q22" s="2463"/>
      <c r="R22" s="2463"/>
      <c r="S22" s="2463"/>
      <c r="T22" s="2463"/>
      <c r="U22" s="2463"/>
      <c r="V22" s="2463"/>
      <c r="W22" s="2463"/>
      <c r="X22" s="2463"/>
      <c r="Y22" s="2463"/>
      <c r="Z22" s="2463"/>
      <c r="AA22" s="2463"/>
    </row>
    <row r="23" spans="1:28" s="848" customFormat="1">
      <c r="A23" t="s">
        <v>50</v>
      </c>
      <c r="B23" t="s">
        <v>50</v>
      </c>
      <c r="C23" s="2670" t="s">
        <v>81</v>
      </c>
      <c r="D23" s="2672">
        <v>2000000</v>
      </c>
      <c r="E23" s="2625">
        <v>7400000</v>
      </c>
      <c r="F23" s="2672">
        <v>3900000</v>
      </c>
      <c r="G23" s="2635">
        <v>9100000</v>
      </c>
      <c r="H23" s="2635">
        <v>7600000</v>
      </c>
      <c r="I23" s="2523">
        <v>15000000</v>
      </c>
      <c r="J23" s="2523">
        <v>8600000</v>
      </c>
      <c r="K23" s="2523">
        <v>4300000</v>
      </c>
      <c r="L23" s="2463"/>
      <c r="M23" s="2463"/>
      <c r="N23" s="2463"/>
      <c r="O23" s="2463"/>
      <c r="P23" s="2463"/>
      <c r="Q23" s="2463"/>
      <c r="R23" s="2463"/>
      <c r="S23" s="2463"/>
      <c r="T23" s="2463"/>
      <c r="U23" s="2463"/>
      <c r="V23" s="2463"/>
      <c r="W23" s="2463"/>
      <c r="X23" s="2463"/>
      <c r="Y23" s="2463"/>
      <c r="Z23" s="2463"/>
      <c r="AA23" s="2463"/>
    </row>
    <row r="24" spans="1:28" s="848" customFormat="1">
      <c r="A24" s="2670" t="s">
        <v>904</v>
      </c>
      <c r="B24" t="s">
        <v>5563</v>
      </c>
      <c r="C24" s="2670" t="s">
        <v>75</v>
      </c>
      <c r="D24" s="2672">
        <v>16800000</v>
      </c>
      <c r="E24" s="2672">
        <v>17000000</v>
      </c>
      <c r="F24" s="2672">
        <v>18100000</v>
      </c>
      <c r="G24" s="2635">
        <v>12600000</v>
      </c>
      <c r="H24" s="2635">
        <v>14600000</v>
      </c>
      <c r="I24" s="2523">
        <v>17200000</v>
      </c>
      <c r="J24" s="2523">
        <v>27500000</v>
      </c>
      <c r="K24" s="2523">
        <v>27900000</v>
      </c>
      <c r="L24" s="2463"/>
      <c r="M24" s="2463"/>
      <c r="N24" s="2463"/>
      <c r="O24" s="2463"/>
      <c r="P24" s="2463"/>
      <c r="Q24" s="2463"/>
      <c r="R24" s="2463"/>
      <c r="S24" s="2463"/>
      <c r="T24" s="2463"/>
      <c r="U24" s="2463"/>
      <c r="V24" s="2463"/>
      <c r="W24" s="2463"/>
      <c r="X24" s="2463"/>
      <c r="Y24" s="2463"/>
      <c r="Z24" s="2463"/>
      <c r="AA24" s="2463"/>
    </row>
    <row r="25" spans="1:28" s="848" customFormat="1">
      <c r="A25" s="2004" t="s">
        <v>115</v>
      </c>
      <c r="B25" s="2674" t="s">
        <v>115</v>
      </c>
      <c r="C25" s="2674" t="s">
        <v>35</v>
      </c>
      <c r="D25" s="2677">
        <f>D26+D27</f>
        <v>-9300000</v>
      </c>
      <c r="E25" s="2677">
        <f t="shared" ref="E25:K25" si="6">E26+E27</f>
        <v>-7500000</v>
      </c>
      <c r="F25" s="2677">
        <f t="shared" si="6"/>
        <v>-38300000</v>
      </c>
      <c r="G25" s="2677">
        <f t="shared" si="6"/>
        <v>-12700000</v>
      </c>
      <c r="H25" s="2677">
        <f t="shared" si="6"/>
        <v>-23500000</v>
      </c>
      <c r="I25" s="2677">
        <f t="shared" si="6"/>
        <v>-15700000</v>
      </c>
      <c r="J25" s="2677">
        <f t="shared" si="6"/>
        <v>-13300000</v>
      </c>
      <c r="K25" s="2677">
        <f t="shared" si="6"/>
        <v>-22100000</v>
      </c>
      <c r="L25" s="2463"/>
      <c r="M25" s="2463"/>
      <c r="N25" s="2463"/>
      <c r="O25" s="2463"/>
      <c r="P25" s="2463"/>
      <c r="Q25" s="2463"/>
      <c r="R25" s="2463"/>
      <c r="S25" s="2463"/>
      <c r="T25" s="2463"/>
      <c r="U25" s="2463"/>
      <c r="V25" s="2463"/>
      <c r="W25" s="2463"/>
      <c r="X25" s="2463"/>
      <c r="Y25" s="2463"/>
      <c r="Z25" s="2463"/>
      <c r="AA25" s="2463"/>
    </row>
    <row r="26" spans="1:28">
      <c r="A26" s="1577" t="s">
        <v>688</v>
      </c>
      <c r="B26" s="1577" t="s">
        <v>688</v>
      </c>
      <c r="C26" s="11" t="s">
        <v>119</v>
      </c>
      <c r="D26" s="2070">
        <v>-4700000</v>
      </c>
      <c r="E26" s="2070">
        <v>1000000</v>
      </c>
      <c r="F26" s="2070">
        <v>-15000000</v>
      </c>
      <c r="G26" s="1581">
        <v>-5100000</v>
      </c>
      <c r="H26" s="1581">
        <v>-18900000</v>
      </c>
      <c r="I26" s="1581">
        <v>-13000000</v>
      </c>
      <c r="J26" s="1581">
        <v>-10300000</v>
      </c>
      <c r="K26" s="1581">
        <v>-19200000</v>
      </c>
      <c r="L26" s="2463"/>
      <c r="M26" s="2463"/>
      <c r="N26" s="2463"/>
      <c r="O26" s="2463"/>
      <c r="P26" s="2463"/>
      <c r="Q26" s="2463"/>
      <c r="R26" s="2463"/>
      <c r="S26" s="2463"/>
      <c r="T26" s="2463"/>
      <c r="U26" s="2463"/>
      <c r="V26" s="2463"/>
      <c r="W26" s="2463"/>
      <c r="X26" s="2463"/>
      <c r="Y26" s="2463"/>
      <c r="Z26" s="2463"/>
      <c r="AA26" s="2463"/>
    </row>
    <row r="27" spans="1:28" ht="15.75" customHeight="1">
      <c r="A27" s="1577" t="s">
        <v>6887</v>
      </c>
      <c r="B27" s="1577" t="s">
        <v>6887</v>
      </c>
      <c r="C27" s="11" t="s">
        <v>119</v>
      </c>
      <c r="D27" s="2070">
        <v>-4600000</v>
      </c>
      <c r="E27" s="2070">
        <v>-8500000</v>
      </c>
      <c r="F27" s="2070">
        <v>-23300000</v>
      </c>
      <c r="G27" s="1581">
        <v>-7600000</v>
      </c>
      <c r="H27" s="1581">
        <v>-4600000</v>
      </c>
      <c r="I27" s="2523">
        <v>-2700000</v>
      </c>
      <c r="J27" s="2523">
        <v>-3000000</v>
      </c>
      <c r="K27" s="2523">
        <v>-2900000</v>
      </c>
      <c r="L27" s="2463"/>
      <c r="M27" s="2463"/>
      <c r="N27" s="2463"/>
      <c r="O27" s="2463"/>
      <c r="P27" s="2463"/>
      <c r="Q27" s="2463"/>
      <c r="R27" s="2463"/>
      <c r="S27" s="2463"/>
      <c r="T27" s="2463"/>
      <c r="U27" s="2463"/>
      <c r="V27" s="2463"/>
      <c r="W27" s="2463"/>
      <c r="X27" s="2463"/>
      <c r="Y27" s="2463"/>
      <c r="Z27" s="2463"/>
      <c r="AA27" s="2463"/>
    </row>
    <row r="28" spans="1:28">
      <c r="B28" s="1580"/>
      <c r="I28" s="2520"/>
      <c r="J28" s="2520"/>
      <c r="K28" s="2520"/>
      <c r="L28" s="2463"/>
      <c r="M28" s="2463"/>
      <c r="N28" s="2463"/>
      <c r="O28" s="2463"/>
      <c r="P28" s="2463"/>
      <c r="Q28" s="2463"/>
      <c r="R28" s="2463"/>
      <c r="S28" s="2463"/>
      <c r="T28" s="2463"/>
      <c r="U28" s="2463"/>
      <c r="V28" s="2463"/>
      <c r="W28" s="2463"/>
      <c r="X28" s="2463"/>
      <c r="Y28" s="2463"/>
      <c r="Z28" s="2463"/>
      <c r="AA28" s="2463"/>
    </row>
    <row r="29" spans="1:28">
      <c r="A29" s="1577"/>
      <c r="B29" s="1577"/>
      <c r="C29" s="1577"/>
      <c r="D29" s="1570" t="s">
        <v>139</v>
      </c>
      <c r="E29" s="1570" t="s">
        <v>139</v>
      </c>
      <c r="F29" s="1570" t="s">
        <v>139</v>
      </c>
      <c r="G29" s="1570" t="s">
        <v>139</v>
      </c>
      <c r="H29" s="1570" t="s">
        <v>139</v>
      </c>
      <c r="I29" s="1570" t="s">
        <v>139</v>
      </c>
      <c r="J29" s="1570" t="s">
        <v>139</v>
      </c>
      <c r="K29" s="1570" t="s">
        <v>139</v>
      </c>
      <c r="L29" s="2520"/>
      <c r="M29" s="2463"/>
      <c r="N29" s="2463"/>
      <c r="O29" s="2463"/>
      <c r="P29" s="2463"/>
      <c r="Q29" s="2463"/>
      <c r="R29" s="2463"/>
      <c r="S29" s="2463"/>
      <c r="T29" s="2463"/>
      <c r="U29" s="2463"/>
      <c r="V29" s="2463"/>
      <c r="W29" s="2463"/>
      <c r="X29" s="2463"/>
      <c r="Y29" s="2463"/>
      <c r="Z29" s="2463"/>
      <c r="AA29" s="2463"/>
      <c r="AB29" s="2463"/>
    </row>
    <row r="30" spans="1:28">
      <c r="A30" s="1576"/>
      <c r="I30" s="1570"/>
      <c r="J30" s="1570"/>
      <c r="K30" s="2520"/>
      <c r="L30" s="2463"/>
      <c r="M30" s="2463"/>
      <c r="N30" s="2463"/>
      <c r="O30" s="2463"/>
      <c r="P30" s="2463"/>
      <c r="Q30" s="2463"/>
      <c r="R30" s="2463"/>
      <c r="S30" s="2463"/>
      <c r="T30" s="2463"/>
      <c r="U30" s="2463"/>
      <c r="V30" s="2463"/>
      <c r="W30" s="2463"/>
      <c r="X30" s="2463"/>
      <c r="Y30" s="2463"/>
      <c r="Z30" s="2463"/>
      <c r="AA30" s="2463"/>
    </row>
    <row r="31" spans="1:28">
      <c r="I31" s="1570"/>
      <c r="J31" s="1570"/>
      <c r="K31" s="2520"/>
      <c r="L31" s="2463"/>
      <c r="M31" s="2463"/>
      <c r="N31" s="2463"/>
      <c r="O31" s="2463"/>
      <c r="P31" s="2463"/>
      <c r="Q31" s="2463"/>
      <c r="R31" s="2463"/>
      <c r="S31" s="2463"/>
      <c r="T31" s="2463"/>
      <c r="U31" s="2463"/>
      <c r="V31" s="2463"/>
      <c r="W31" s="2463"/>
      <c r="X31" s="2463"/>
      <c r="Y31" s="2463"/>
      <c r="Z31" s="2463"/>
      <c r="AA31" s="2463"/>
    </row>
    <row r="32" spans="1:28">
      <c r="A32" s="1576"/>
      <c r="B32" s="1570" t="s">
        <v>284</v>
      </c>
      <c r="D32" s="2639" t="e">
        <f t="shared" ref="D32:G32" si="7">C6-C7-C13</f>
        <v>#VALUE!</v>
      </c>
      <c r="E32" s="2639">
        <f t="shared" si="7"/>
        <v>0</v>
      </c>
      <c r="F32" s="2639">
        <f t="shared" si="7"/>
        <v>0</v>
      </c>
      <c r="G32" s="2639">
        <f t="shared" si="7"/>
        <v>0</v>
      </c>
      <c r="H32" s="2639">
        <f>G6-G7-G13</f>
        <v>0</v>
      </c>
      <c r="I32" s="2639">
        <f>H6-H7-H13</f>
        <v>0</v>
      </c>
      <c r="J32" s="2639">
        <f>I6-I7-I13</f>
        <v>0</v>
      </c>
      <c r="K32" s="2639">
        <f>J6-J7-J13</f>
        <v>0</v>
      </c>
      <c r="L32" s="365"/>
      <c r="N32" s="2463"/>
      <c r="O32" s="2463"/>
      <c r="P32" s="2463"/>
      <c r="Q32" s="2463"/>
      <c r="R32" s="2463"/>
      <c r="S32" s="2463"/>
      <c r="T32" s="2463"/>
      <c r="U32" s="2463"/>
      <c r="V32" s="2463"/>
      <c r="W32" s="2463"/>
      <c r="X32" s="2463"/>
      <c r="Y32" s="2463"/>
      <c r="Z32" s="2463"/>
      <c r="AA32" s="2463"/>
      <c r="AB32" s="2463"/>
    </row>
    <row r="33" spans="2:28">
      <c r="B33" s="1570" t="s">
        <v>358</v>
      </c>
      <c r="D33" s="2639" t="e">
        <f>C7-C8-C9-#REF!</f>
        <v>#VALUE!</v>
      </c>
      <c r="E33" s="2639" t="e">
        <f>D7-D8-D9-#REF!</f>
        <v>#REF!</v>
      </c>
      <c r="F33" s="2639" t="e">
        <f>E7-E8-E9-#REF!</f>
        <v>#REF!</v>
      </c>
      <c r="G33" s="2639" t="e">
        <f>F7-F8-F9-#REF!</f>
        <v>#REF!</v>
      </c>
      <c r="H33" s="2639" t="e">
        <f>G7-G8-G9-#REF!</f>
        <v>#REF!</v>
      </c>
      <c r="I33" s="2639" t="e">
        <f>H7-H8-H9-#REF!</f>
        <v>#REF!</v>
      </c>
      <c r="J33" s="2639" t="e">
        <f>I7-I8-I9-#REF!</f>
        <v>#REF!</v>
      </c>
      <c r="K33" s="2639" t="e">
        <f>J7-J8-J9-#REF!</f>
        <v>#REF!</v>
      </c>
      <c r="L33" s="365"/>
      <c r="N33" s="2463"/>
      <c r="O33" s="2463"/>
      <c r="P33" s="2463"/>
      <c r="Q33" s="2463"/>
      <c r="R33" s="2463"/>
      <c r="S33" s="2463"/>
      <c r="T33" s="2463"/>
      <c r="U33" s="2463"/>
      <c r="V33" s="2463"/>
      <c r="W33" s="2463"/>
      <c r="X33" s="2463"/>
      <c r="Y33" s="2463"/>
      <c r="Z33" s="2463"/>
      <c r="AA33" s="2463"/>
      <c r="AB33" s="2463"/>
    </row>
    <row r="34" spans="2:28">
      <c r="B34" s="1570" t="s">
        <v>142</v>
      </c>
      <c r="D34" s="2641" t="e">
        <f>C8-#REF!-#REF!-#REF!</f>
        <v>#VALUE!</v>
      </c>
      <c r="E34" s="2641" t="e">
        <f>D8-#REF!-#REF!-#REF!</f>
        <v>#REF!</v>
      </c>
      <c r="F34" s="2641" t="e">
        <f>E8-#REF!-#REF!-#REF!</f>
        <v>#REF!</v>
      </c>
      <c r="G34" s="2641" t="e">
        <f>F8-#REF!-#REF!-#REF!</f>
        <v>#REF!</v>
      </c>
      <c r="H34" s="2641" t="e">
        <f>G8-#REF!-#REF!-#REF!</f>
        <v>#REF!</v>
      </c>
      <c r="I34" s="2641" t="e">
        <f>H8-#REF!-#REF!-#REF!</f>
        <v>#REF!</v>
      </c>
      <c r="J34" s="2641" t="e">
        <f>I8-#REF!-#REF!-#REF!</f>
        <v>#REF!</v>
      </c>
      <c r="K34" s="2641" t="e">
        <f>J8-#REF!-#REF!-#REF!</f>
        <v>#REF!</v>
      </c>
      <c r="L34" s="365"/>
      <c r="N34" s="2463"/>
      <c r="O34" s="2463"/>
      <c r="P34" s="2463"/>
      <c r="Q34" s="2463"/>
      <c r="R34" s="2463"/>
      <c r="S34" s="2463"/>
      <c r="T34" s="2463"/>
      <c r="U34" s="2463"/>
      <c r="V34" s="2463"/>
      <c r="W34" s="2463"/>
      <c r="X34" s="2463"/>
      <c r="Y34" s="2463"/>
      <c r="Z34" s="2463"/>
      <c r="AA34" s="2463"/>
      <c r="AB34" s="2463"/>
    </row>
    <row r="35" spans="2:28">
      <c r="B35" s="1570" t="s">
        <v>145</v>
      </c>
      <c r="D35" s="2639" t="e">
        <f>C17-#REF!-#REF!</f>
        <v>#VALUE!</v>
      </c>
      <c r="E35" s="2639" t="e">
        <f>D17-#REF!-#REF!</f>
        <v>#REF!</v>
      </c>
      <c r="F35" s="2639" t="e">
        <f>E17-#REF!-#REF!</f>
        <v>#REF!</v>
      </c>
      <c r="G35" s="2639" t="e">
        <f>F17-#REF!-#REF!</f>
        <v>#REF!</v>
      </c>
      <c r="H35" s="2639" t="e">
        <f>G17-#REF!-#REF!</f>
        <v>#REF!</v>
      </c>
      <c r="I35" s="2639" t="e">
        <f>H17-#REF!-#REF!</f>
        <v>#REF!</v>
      </c>
      <c r="J35" s="2639" t="e">
        <f>I17-#REF!-#REF!</f>
        <v>#REF!</v>
      </c>
      <c r="K35" s="2639" t="e">
        <f>J17-#REF!-#REF!</f>
        <v>#REF!</v>
      </c>
      <c r="L35" s="365"/>
      <c r="N35" s="2463"/>
      <c r="O35" s="2463"/>
      <c r="P35" s="2463"/>
      <c r="Q35" s="2463"/>
      <c r="R35" s="2463"/>
      <c r="S35" s="2463"/>
      <c r="T35" s="2463"/>
      <c r="U35" s="2463"/>
      <c r="V35" s="2463"/>
      <c r="W35" s="2463"/>
      <c r="X35" s="2463"/>
      <c r="Y35" s="2463"/>
      <c r="Z35" s="2463"/>
      <c r="AA35" s="2463"/>
      <c r="AB35" s="2463"/>
    </row>
    <row r="36" spans="2:28">
      <c r="B36" s="1570" t="s">
        <v>620</v>
      </c>
      <c r="D36" s="2639" t="e">
        <f>#REF!-#REF!-#REF!-#REF!-#REF!-#REF!-#REF!-#REF!-#REF!-#REF!</f>
        <v>#REF!</v>
      </c>
      <c r="E36" s="2639" t="e">
        <f>#REF!-#REF!-#REF!-#REF!-#REF!-#REF!-#REF!-#REF!-#REF!-#REF!</f>
        <v>#REF!</v>
      </c>
      <c r="F36" s="2639" t="e">
        <f>#REF!-#REF!-#REF!-#REF!-#REF!-#REF!-#REF!-#REF!-#REF!-#REF!</f>
        <v>#REF!</v>
      </c>
      <c r="G36" s="2639" t="e">
        <f>#REF!-#REF!-#REF!-#REF!-#REF!-#REF!-#REF!-#REF!-#REF!-#REF!</f>
        <v>#REF!</v>
      </c>
      <c r="H36" s="2639" t="e">
        <f>#REF!-#REF!-#REF!-#REF!-#REF!-#REF!-#REF!-#REF!-#REF!-#REF!</f>
        <v>#REF!</v>
      </c>
      <c r="I36" s="2639" t="e">
        <f>#REF!-#REF!-#REF!-#REF!-#REF!-#REF!-#REF!-#REF!-#REF!-#REF!</f>
        <v>#REF!</v>
      </c>
      <c r="J36" s="2639" t="e">
        <f>#REF!-#REF!-#REF!-#REF!-#REF!-#REF!-#REF!-#REF!-#REF!-#REF!</f>
        <v>#REF!</v>
      </c>
      <c r="K36" s="2639" t="e">
        <f>#REF!-#REF!-#REF!-#REF!-#REF!-#REF!-#REF!-#REF!-#REF!-#REF!</f>
        <v>#REF!</v>
      </c>
      <c r="L36" s="365"/>
    </row>
    <row r="37" spans="2:28">
      <c r="B37" s="1570" t="s">
        <v>148</v>
      </c>
      <c r="D37" s="2642" t="e">
        <f>C25-#REF!-#REF!</f>
        <v>#VALUE!</v>
      </c>
      <c r="E37" s="2642" t="e">
        <f>D25-#REF!-#REF!</f>
        <v>#REF!</v>
      </c>
      <c r="F37" s="2642" t="e">
        <f>E25-#REF!-#REF!</f>
        <v>#REF!</v>
      </c>
      <c r="G37" s="2642" t="e">
        <f>F25-#REF!-#REF!</f>
        <v>#REF!</v>
      </c>
      <c r="H37" s="2642" t="e">
        <f>G25-#REF!-#REF!</f>
        <v>#REF!</v>
      </c>
      <c r="I37" s="2642" t="e">
        <f>H25-#REF!-#REF!</f>
        <v>#REF!</v>
      </c>
      <c r="J37" s="2642" t="e">
        <f>I25-#REF!-#REF!</f>
        <v>#REF!</v>
      </c>
      <c r="K37" s="2642" t="e">
        <f>J25-#REF!-#REF!</f>
        <v>#REF!</v>
      </c>
      <c r="L37" s="365"/>
    </row>
    <row r="38" spans="2:28">
      <c r="B38" s="1570" t="s">
        <v>1171</v>
      </c>
      <c r="D38" s="2642"/>
      <c r="E38" s="2642"/>
      <c r="F38" s="2642"/>
      <c r="G38" s="2642"/>
      <c r="H38" s="2642"/>
      <c r="I38" s="2642"/>
      <c r="J38" s="2642"/>
      <c r="K38" s="2642"/>
      <c r="L38" s="365"/>
    </row>
    <row r="39" spans="2:28">
      <c r="B39" s="1570" t="s">
        <v>362</v>
      </c>
      <c r="D39" s="2059"/>
      <c r="E39" s="2059"/>
      <c r="F39" s="2059"/>
      <c r="G39" s="2059"/>
      <c r="H39" s="2059"/>
      <c r="I39" s="2059"/>
      <c r="J39" s="2059"/>
      <c r="K39" s="2059"/>
    </row>
    <row r="40" spans="2:28">
      <c r="B40" s="1570" t="s">
        <v>6863</v>
      </c>
      <c r="D40" s="2645" t="e">
        <f>#REF!-#REF!-#REF!</f>
        <v>#REF!</v>
      </c>
      <c r="E40" s="2645" t="e">
        <f>#REF!-#REF!-#REF!</f>
        <v>#REF!</v>
      </c>
      <c r="F40" s="2645" t="e">
        <f>#REF!-#REF!-#REF!</f>
        <v>#REF!</v>
      </c>
      <c r="G40" s="2645" t="e">
        <f>#REF!-#REF!-#REF!</f>
        <v>#REF!</v>
      </c>
      <c r="H40" s="2645" t="e">
        <f>#REF!-#REF!-#REF!</f>
        <v>#REF!</v>
      </c>
      <c r="I40" s="2645" t="e">
        <f>#REF!-#REF!-#REF!</f>
        <v>#REF!</v>
      </c>
      <c r="J40" s="2645" t="e">
        <f>#REF!-#REF!-#REF!</f>
        <v>#REF!</v>
      </c>
      <c r="K40" s="2645" t="e">
        <f>#REF!-#REF!-#REF!</f>
        <v>#REF!</v>
      </c>
    </row>
    <row r="41" spans="2:28">
      <c r="G41" s="1585"/>
      <c r="H41" s="1585"/>
    </row>
    <row r="42" spans="2:28">
      <c r="G42" s="1585"/>
      <c r="H42" s="1585"/>
    </row>
    <row r="43" spans="2:28">
      <c r="B43" s="1570" t="s">
        <v>150</v>
      </c>
      <c r="G43" s="1585"/>
      <c r="H43" s="1585"/>
    </row>
    <row r="44" spans="2:28">
      <c r="B44" s="1570" t="s">
        <v>151</v>
      </c>
      <c r="G44" s="1585"/>
      <c r="H44" s="1585"/>
    </row>
    <row r="45" spans="2:28">
      <c r="B45" s="1570" t="s">
        <v>152</v>
      </c>
      <c r="G45" s="1585"/>
      <c r="H45" s="1585"/>
    </row>
  </sheetData>
  <hyperlinks>
    <hyperlink ref="A1" r:id="rId1" display="https://en.wikipedia.org/wiki/.tm" xr:uid="{9EA2CC98-F7C1-4833-B0AE-4BBC86AF98F3}"/>
  </hyperlinks>
  <pageMargins left="0.7" right="0.7" top="0.75" bottom="0.75" header="0.3" footer="0.3"/>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3"/>
  <sheetViews>
    <sheetView zoomScale="70" zoomScaleNormal="70" workbookViewId="0">
      <pane xSplit="3" ySplit="5" topLeftCell="L6" activePane="bottomRight" state="frozen"/>
      <selection pane="topRight" activeCell="C1" sqref="C1"/>
      <selection pane="bottomLeft" activeCell="A6" sqref="A6"/>
      <selection pane="bottomRight" activeCell="N15" sqref="N13:N15"/>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797" bestFit="1" customWidth="1"/>
  </cols>
  <sheetData>
    <row r="1" spans="1:50">
      <c r="A1" s="26" t="s">
        <v>4893</v>
      </c>
      <c r="B1" s="82" t="s">
        <v>4894</v>
      </c>
      <c r="C1" s="82"/>
      <c r="D1" s="27"/>
      <c r="E1" s="27"/>
      <c r="F1" s="27"/>
      <c r="G1" s="27"/>
      <c r="H1" s="27"/>
      <c r="I1" s="27"/>
      <c r="J1" s="27"/>
      <c r="K1" s="27"/>
      <c r="L1" s="27"/>
      <c r="M1" s="27"/>
      <c r="N1" s="27"/>
      <c r="O1" s="28"/>
      <c r="P1" s="28"/>
      <c r="Q1" s="28"/>
      <c r="R1" s="29"/>
      <c r="S1" s="28"/>
      <c r="T1" s="28"/>
      <c r="U1" s="28"/>
      <c r="V1" s="28"/>
      <c r="W1" s="28"/>
      <c r="X1" s="2"/>
      <c r="Y1" s="365"/>
      <c r="Z1" s="1856"/>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4895</v>
      </c>
      <c r="C2" s="30"/>
      <c r="D2" s="28"/>
      <c r="E2" s="28"/>
      <c r="F2" s="28"/>
      <c r="G2" s="28"/>
      <c r="H2" s="28"/>
      <c r="I2" s="28"/>
      <c r="J2" s="28"/>
      <c r="K2" s="28"/>
      <c r="L2" s="28"/>
      <c r="M2" s="28"/>
      <c r="N2" s="28"/>
      <c r="O2" s="28"/>
      <c r="P2" s="28"/>
      <c r="Q2" s="28"/>
      <c r="R2" s="31"/>
      <c r="S2" s="32"/>
      <c r="T2" s="33"/>
      <c r="U2" s="28"/>
      <c r="V2" s="28"/>
      <c r="W2" s="28"/>
      <c r="X2" s="2"/>
      <c r="Y2" s="365"/>
      <c r="Z2" s="1856"/>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795">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8" t="s">
        <v>26</v>
      </c>
      <c r="Z4" s="1857"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9" t="s">
        <v>729</v>
      </c>
      <c r="B6" s="19" t="s">
        <v>34</v>
      </c>
      <c r="C6" s="848" t="s">
        <v>35</v>
      </c>
      <c r="G6" s="1835">
        <v>65700000000</v>
      </c>
      <c r="H6" s="1835">
        <v>71800000000</v>
      </c>
      <c r="I6" s="1836">
        <v>83300000000</v>
      </c>
      <c r="J6" s="1836">
        <v>84600000000</v>
      </c>
      <c r="K6" s="1836">
        <v>102000000000</v>
      </c>
      <c r="L6" s="1836">
        <v>125300000000</v>
      </c>
      <c r="M6" s="1837">
        <v>163800000000</v>
      </c>
      <c r="N6" s="1837">
        <v>214700000000</v>
      </c>
      <c r="O6" s="1837">
        <v>242000000000</v>
      </c>
      <c r="P6" s="1837">
        <v>285000000000</v>
      </c>
      <c r="Q6" s="1843">
        <v>327000000000</v>
      </c>
      <c r="R6" s="1843">
        <v>400000000000</v>
      </c>
      <c r="S6" s="1843">
        <v>442000000000</v>
      </c>
      <c r="T6" s="1844">
        <v>525000000000</v>
      </c>
      <c r="U6" s="1844">
        <v>612000000000</v>
      </c>
      <c r="V6" s="1826">
        <v>687000000000</v>
      </c>
      <c r="W6" s="1826">
        <v>763000000000</v>
      </c>
      <c r="X6" s="1826">
        <v>846000000000</v>
      </c>
      <c r="Y6" s="1853">
        <v>934000000000</v>
      </c>
      <c r="Z6" s="1853">
        <v>1033000000000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t="s">
        <v>370</v>
      </c>
      <c r="B7" s="90" t="s">
        <v>1139</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845">
        <v>296000000000</v>
      </c>
      <c r="R7" s="1845">
        <v>357000000000</v>
      </c>
      <c r="S7" s="1845">
        <v>406000000000</v>
      </c>
      <c r="T7" s="1814">
        <v>482000000000</v>
      </c>
      <c r="U7" s="1814">
        <v>565000000000</v>
      </c>
      <c r="V7" s="1828">
        <v>635000000000</v>
      </c>
      <c r="W7" s="1828">
        <v>706000000000</v>
      </c>
      <c r="X7" s="1828">
        <v>782000000000</v>
      </c>
      <c r="Y7" s="1854">
        <v>864000000000</v>
      </c>
      <c r="Z7" s="1854">
        <v>957000000000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845">
        <v>260000000000</v>
      </c>
      <c r="R8" s="1845">
        <v>312000000000</v>
      </c>
      <c r="S8" s="1845">
        <v>356000000000</v>
      </c>
      <c r="T8" s="1814">
        <v>421000000000</v>
      </c>
      <c r="U8" s="1814">
        <v>506000000000</v>
      </c>
      <c r="V8" s="1828">
        <v>572000000000</v>
      </c>
      <c r="W8" s="1828">
        <v>635000000000</v>
      </c>
      <c r="X8" s="1828">
        <v>704000000000</v>
      </c>
      <c r="Y8" s="1854">
        <v>778000000000</v>
      </c>
      <c r="Z8" s="1854">
        <v>861000000000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 t="s">
        <v>51</v>
      </c>
      <c r="B9" s="99" t="s">
        <v>1911</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845">
        <v>36000000000</v>
      </c>
      <c r="R9" s="1845">
        <v>44000000000</v>
      </c>
      <c r="S9" s="1845">
        <v>50000000000</v>
      </c>
      <c r="T9" s="1814">
        <v>61000000000</v>
      </c>
      <c r="U9" s="1814">
        <v>60000000000</v>
      </c>
      <c r="V9" s="1828">
        <v>63000000000</v>
      </c>
      <c r="W9" s="1828">
        <v>70000000000</v>
      </c>
      <c r="X9" s="1828">
        <v>78000000000</v>
      </c>
      <c r="Y9" s="1854">
        <v>87000000000</v>
      </c>
      <c r="Z9" s="1854">
        <v>96000000000</v>
      </c>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s="848" customFormat="1">
      <c r="A10" s="1838" t="s">
        <v>53</v>
      </c>
      <c r="B10" s="918" t="s">
        <v>53</v>
      </c>
      <c r="C10" s="118" t="s">
        <v>38</v>
      </c>
      <c r="G10" s="1835">
        <v>9600000000</v>
      </c>
      <c r="H10" s="1835">
        <v>11300000000</v>
      </c>
      <c r="I10" s="1836">
        <v>14400000000</v>
      </c>
      <c r="J10" s="1836">
        <v>13800000000</v>
      </c>
      <c r="K10" s="1836">
        <v>15800000000</v>
      </c>
      <c r="L10" s="1836">
        <v>20400000000</v>
      </c>
      <c r="M10" s="1837">
        <v>26400000000</v>
      </c>
      <c r="N10" s="1837">
        <v>38500000000</v>
      </c>
      <c r="O10" s="1837">
        <v>44000000000</v>
      </c>
      <c r="P10" s="1837">
        <v>41000000000</v>
      </c>
      <c r="Q10" s="1843">
        <v>31000000000</v>
      </c>
      <c r="R10" s="1843">
        <v>44000000000</v>
      </c>
      <c r="S10" s="1843">
        <v>36000000000</v>
      </c>
      <c r="T10" s="1844">
        <v>43000000000</v>
      </c>
      <c r="U10" s="1844">
        <v>47000000000</v>
      </c>
      <c r="V10" s="1826">
        <v>51000000000</v>
      </c>
      <c r="W10" s="1826">
        <v>57000000000</v>
      </c>
      <c r="X10" s="1826">
        <v>63000000000</v>
      </c>
      <c r="Y10" s="1853">
        <v>70000000000</v>
      </c>
      <c r="Z10" s="1853">
        <v>76000000000</v>
      </c>
      <c r="AA10" s="916"/>
      <c r="AB10" s="916"/>
      <c r="AC10" s="916"/>
      <c r="AD10" s="916"/>
      <c r="AE10" s="916"/>
      <c r="AF10" s="916"/>
      <c r="AG10" s="916"/>
      <c r="AH10" s="916"/>
      <c r="AI10" s="916"/>
      <c r="AJ10" s="916"/>
      <c r="AK10" s="916"/>
      <c r="AL10" s="916"/>
      <c r="AM10" s="916"/>
      <c r="AN10" s="916"/>
      <c r="AO10" s="916"/>
      <c r="AP10" s="916"/>
      <c r="AQ10" s="916"/>
      <c r="AR10" s="916"/>
      <c r="AS10" s="916"/>
      <c r="AT10" s="916"/>
      <c r="AU10" s="916"/>
      <c r="AV10" s="916"/>
      <c r="AW10" s="916"/>
      <c r="AX10" s="916"/>
    </row>
    <row r="11" spans="1:50" s="848" customFormat="1">
      <c r="A11" s="848" t="s">
        <v>71</v>
      </c>
      <c r="B11" s="848" t="s">
        <v>535</v>
      </c>
      <c r="C11" s="909" t="s">
        <v>35</v>
      </c>
      <c r="G11" s="1835">
        <v>72900000000</v>
      </c>
      <c r="H11" s="1835">
        <v>76800000000</v>
      </c>
      <c r="I11" s="1836">
        <v>87800000000</v>
      </c>
      <c r="J11" s="1836">
        <v>95100000000</v>
      </c>
      <c r="K11" s="1836">
        <v>115800000000</v>
      </c>
      <c r="L11" s="1836">
        <v>142300000000</v>
      </c>
      <c r="M11" s="1837">
        <v>189200000000</v>
      </c>
      <c r="N11" s="1837">
        <v>224000000000</v>
      </c>
      <c r="O11" s="1837">
        <v>255000000000</v>
      </c>
      <c r="P11" s="1837">
        <v>295000000000</v>
      </c>
      <c r="Q11" s="1843">
        <v>292000000000</v>
      </c>
      <c r="R11" s="1843">
        <v>370000000000</v>
      </c>
      <c r="S11" s="1843">
        <v>428000000000</v>
      </c>
      <c r="T11" s="1844">
        <v>495000000000</v>
      </c>
      <c r="U11" s="1844">
        <v>639000000000</v>
      </c>
      <c r="V11" s="1826">
        <v>720000000000</v>
      </c>
      <c r="W11" s="1826">
        <v>793000000000</v>
      </c>
      <c r="X11" s="1826">
        <v>863000000000</v>
      </c>
      <c r="Y11" s="1853">
        <v>951000000000</v>
      </c>
      <c r="Z11" s="1853">
        <v>1048000000000</v>
      </c>
      <c r="AA11" s="916"/>
      <c r="AB11" s="916"/>
      <c r="AC11" s="916"/>
      <c r="AD11" s="916"/>
      <c r="AE11" s="916"/>
      <c r="AF11" s="916"/>
      <c r="AG11" s="916"/>
      <c r="AH11" s="916"/>
      <c r="AI11" s="916"/>
      <c r="AJ11" s="916"/>
      <c r="AK11" s="916"/>
      <c r="AL11" s="916"/>
      <c r="AM11" s="916"/>
      <c r="AN11" s="916"/>
      <c r="AO11" s="916"/>
      <c r="AP11" s="916"/>
      <c r="AQ11" s="916"/>
      <c r="AR11" s="916"/>
      <c r="AS11" s="916"/>
      <c r="AT11" s="916"/>
      <c r="AU11" s="916"/>
      <c r="AV11" s="916"/>
      <c r="AW11" s="916"/>
      <c r="AX11" s="916"/>
    </row>
    <row r="12" spans="1:50">
      <c r="A12" s="1" t="s">
        <v>73</v>
      </c>
      <c r="B12" s="139" t="s">
        <v>796</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845">
        <v>240000000000</v>
      </c>
      <c r="R12" s="1845">
        <v>304000000000</v>
      </c>
      <c r="S12" s="1845">
        <v>339000000000</v>
      </c>
      <c r="T12" s="1814">
        <v>371000000000</v>
      </c>
      <c r="U12" s="1814">
        <v>488000000000</v>
      </c>
      <c r="V12" s="1828">
        <v>551000000000</v>
      </c>
      <c r="W12" s="1828">
        <v>604000000000</v>
      </c>
      <c r="X12" s="1828">
        <v>671000000000</v>
      </c>
      <c r="Y12" s="1854">
        <v>739000000000</v>
      </c>
      <c r="Z12" s="1854">
        <v>813000000000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0" t="s">
        <v>90</v>
      </c>
      <c r="B13" s="99" t="s">
        <v>4896</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845">
        <v>14000000000</v>
      </c>
      <c r="R13" s="1845"/>
      <c r="S13" s="1845"/>
      <c r="T13" s="1814"/>
      <c r="U13" s="1814"/>
      <c r="V13" s="1828"/>
      <c r="W13" s="1828"/>
      <c r="X13" s="1828"/>
      <c r="Y13" s="1854"/>
      <c r="Z13" s="185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4897</v>
      </c>
      <c r="B14" s="99" t="s">
        <v>4898</v>
      </c>
      <c r="C14" s="11" t="s">
        <v>81</v>
      </c>
      <c r="G14" s="149"/>
      <c r="H14" s="149"/>
      <c r="I14" s="149"/>
      <c r="J14" s="149"/>
      <c r="K14" s="149"/>
      <c r="L14" s="149"/>
      <c r="M14" s="150">
        <v>34400000000</v>
      </c>
      <c r="N14" s="147">
        <v>41900000000</v>
      </c>
      <c r="O14" s="147">
        <v>45000000000</v>
      </c>
      <c r="P14" s="147">
        <v>53000000000</v>
      </c>
      <c r="Q14" s="1845">
        <v>51000000000</v>
      </c>
      <c r="R14" s="1845"/>
      <c r="S14" s="1845"/>
      <c r="T14" s="1814"/>
      <c r="U14" s="1814"/>
      <c r="V14" s="1828"/>
      <c r="W14" s="1828"/>
      <c r="X14" s="1828"/>
      <c r="Y14" s="1854"/>
      <c r="Z14" s="185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20" t="s">
        <v>50</v>
      </c>
      <c r="B15" s="99" t="s">
        <v>50</v>
      </c>
      <c r="C15" s="11" t="s">
        <v>81</v>
      </c>
      <c r="G15" s="149">
        <f>G12-G13</f>
        <v>45500000000</v>
      </c>
      <c r="H15" s="149">
        <f t="shared" ref="H15:L15" si="0">H12-H13</f>
        <v>49100000000</v>
      </c>
      <c r="I15" s="149">
        <f t="shared" si="0"/>
        <v>55500000000</v>
      </c>
      <c r="J15" s="149">
        <f t="shared" si="0"/>
        <v>60800000000</v>
      </c>
      <c r="K15" s="149">
        <f t="shared" si="0"/>
        <v>70900000000</v>
      </c>
      <c r="L15" s="149">
        <f t="shared" si="0"/>
        <v>85100000000</v>
      </c>
      <c r="M15" s="115">
        <f>M12-M13-M14</f>
        <v>119200000000</v>
      </c>
      <c r="N15" s="115">
        <f t="shared" ref="N15:Q15" si="1">N12-N13-N14</f>
        <v>134300000000</v>
      </c>
      <c r="O15" s="115">
        <f t="shared" si="1"/>
        <v>150000000000</v>
      </c>
      <c r="P15" s="115">
        <f t="shared" si="1"/>
        <v>175000000000</v>
      </c>
      <c r="Q15" s="115">
        <f t="shared" si="1"/>
        <v>175000000000</v>
      </c>
      <c r="R15" s="1845"/>
      <c r="S15" s="1845"/>
      <c r="T15" s="1814"/>
      <c r="U15" s="1814"/>
      <c r="V15" s="1828"/>
      <c r="W15" s="1828"/>
      <c r="X15" s="1828"/>
      <c r="Y15" s="1854"/>
      <c r="Z15" s="185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237</v>
      </c>
      <c r="B16" s="90" t="s">
        <v>4832</v>
      </c>
      <c r="C16" s="11" t="s">
        <v>75</v>
      </c>
      <c r="G16" s="149">
        <v>20800000000</v>
      </c>
      <c r="H16" s="149">
        <v>21200000000</v>
      </c>
      <c r="I16" s="149">
        <v>26100000000</v>
      </c>
      <c r="J16" s="149">
        <v>28100000000</v>
      </c>
      <c r="K16" s="146">
        <v>38700000000</v>
      </c>
      <c r="L16" s="146">
        <v>50800000000</v>
      </c>
      <c r="M16" s="147">
        <v>27500000000</v>
      </c>
      <c r="N16" s="147">
        <v>37800000000</v>
      </c>
      <c r="O16" s="147">
        <v>47000000000</v>
      </c>
      <c r="P16" s="147">
        <v>51000000000</v>
      </c>
      <c r="Q16" s="1845">
        <v>52000000000</v>
      </c>
      <c r="R16" s="1845">
        <v>67000000000</v>
      </c>
      <c r="S16" s="1845">
        <v>89000000000</v>
      </c>
      <c r="T16" s="1814">
        <v>123000000000</v>
      </c>
      <c r="U16" s="1814">
        <v>151000000000</v>
      </c>
      <c r="V16" s="1828">
        <v>170000000000</v>
      </c>
      <c r="W16" s="1828">
        <v>189000000000</v>
      </c>
      <c r="X16" s="1828">
        <v>192000000000</v>
      </c>
      <c r="Y16" s="1854">
        <v>212000000000</v>
      </c>
      <c r="Z16" s="1854">
        <v>235000000000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c r="B17" s="90" t="s">
        <v>4899</v>
      </c>
      <c r="C17" s="90"/>
      <c r="G17" s="149"/>
      <c r="H17" s="149"/>
      <c r="I17" s="149"/>
      <c r="J17" s="149"/>
      <c r="K17" s="146">
        <v>30800000000</v>
      </c>
      <c r="L17" s="146">
        <v>35500000000</v>
      </c>
      <c r="M17" s="146"/>
      <c r="N17" s="146"/>
      <c r="O17" s="146"/>
      <c r="P17" s="146"/>
      <c r="Q17" s="1845"/>
      <c r="R17" s="1845"/>
      <c r="S17" s="1846"/>
      <c r="T17" s="1814"/>
      <c r="U17" s="1814"/>
      <c r="V17" s="1828"/>
      <c r="W17" s="1828"/>
      <c r="X17" s="1828"/>
      <c r="Y17" s="1854"/>
      <c r="Z17" s="185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B18" s="90" t="s">
        <v>4900</v>
      </c>
      <c r="C18" s="90"/>
      <c r="G18" s="149"/>
      <c r="H18" s="149"/>
      <c r="I18" s="149"/>
      <c r="J18" s="149"/>
      <c r="K18" s="149"/>
      <c r="L18" s="149"/>
      <c r="M18" s="149"/>
      <c r="N18" s="147">
        <v>28500000000</v>
      </c>
      <c r="O18" s="147">
        <v>34000000000</v>
      </c>
      <c r="P18" s="147">
        <v>42000000000</v>
      </c>
      <c r="Q18" s="1845">
        <v>86000000000</v>
      </c>
      <c r="R18" s="1845">
        <v>97000000000</v>
      </c>
      <c r="S18" s="1845">
        <v>103000000000</v>
      </c>
      <c r="T18" s="1814">
        <v>154000000000</v>
      </c>
      <c r="U18" s="1814">
        <v>124000000000</v>
      </c>
      <c r="V18" s="1828">
        <v>136000000000</v>
      </c>
      <c r="W18" s="1828">
        <v>159000000000</v>
      </c>
      <c r="X18" s="1828">
        <v>174000000000</v>
      </c>
      <c r="Y18" s="1854">
        <v>196000000000</v>
      </c>
      <c r="Z18" s="1854">
        <v>220000000000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B19" s="90" t="s">
        <v>4901</v>
      </c>
      <c r="C19" s="90"/>
      <c r="G19" s="149"/>
      <c r="H19" s="149">
        <v>21200000000</v>
      </c>
      <c r="I19" s="149">
        <v>-18900000000</v>
      </c>
      <c r="J19" s="149">
        <v>-24300000000</v>
      </c>
      <c r="K19" s="146">
        <v>-29700000000</v>
      </c>
      <c r="L19" s="146">
        <v>-37400000000</v>
      </c>
      <c r="M19" s="149"/>
      <c r="N19" s="149"/>
      <c r="O19" s="149"/>
      <c r="P19" s="149"/>
      <c r="Q19" s="1847"/>
      <c r="R19" s="1847"/>
      <c r="S19" s="1847"/>
      <c r="T19" s="1814"/>
      <c r="U19" s="1814"/>
      <c r="V19" s="1828"/>
      <c r="W19" s="1828"/>
      <c r="X19" s="1828"/>
      <c r="Y19" s="1854"/>
      <c r="Z19" s="1854"/>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B20" s="90" t="s">
        <v>4902</v>
      </c>
      <c r="C20" s="90"/>
      <c r="G20" s="149"/>
      <c r="H20" s="149">
        <v>-5000000000</v>
      </c>
      <c r="I20" s="149">
        <v>-4500000000</v>
      </c>
      <c r="J20" s="149">
        <v>-10500000000</v>
      </c>
      <c r="K20" s="146">
        <v>-13900000000</v>
      </c>
      <c r="L20" s="146">
        <v>-17000000000</v>
      </c>
      <c r="M20" s="149"/>
      <c r="N20" s="149"/>
      <c r="O20" s="149"/>
      <c r="P20" s="149"/>
      <c r="Q20" s="1847"/>
      <c r="R20" s="1847"/>
      <c r="S20" s="1848"/>
      <c r="T20" s="1814"/>
      <c r="U20" s="1814"/>
      <c r="V20" s="1828"/>
      <c r="W20" s="1828"/>
      <c r="X20" s="1828"/>
      <c r="Y20" s="1854"/>
      <c r="Z20" s="185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848" customFormat="1">
      <c r="A21" s="909" t="s">
        <v>115</v>
      </c>
      <c r="B21" s="909" t="s">
        <v>115</v>
      </c>
      <c r="C21" s="909" t="s">
        <v>35</v>
      </c>
      <c r="G21" s="1835">
        <v>7300000000</v>
      </c>
      <c r="H21" s="1835">
        <v>5000000000</v>
      </c>
      <c r="I21" s="1839">
        <v>4500000000</v>
      </c>
      <c r="J21" s="1839">
        <v>10500000000</v>
      </c>
      <c r="K21" s="1836">
        <v>13900000000</v>
      </c>
      <c r="L21" s="1836">
        <v>17000000000</v>
      </c>
      <c r="M21" s="1473">
        <f t="shared" ref="M21:S21" si="2">M26+M33</f>
        <v>25500000000</v>
      </c>
      <c r="N21" s="1473">
        <f t="shared" si="2"/>
        <v>9200000000</v>
      </c>
      <c r="O21" s="1473">
        <f t="shared" si="2"/>
        <v>14000000000</v>
      </c>
      <c r="P21" s="1473">
        <f t="shared" si="2"/>
        <v>10000000000</v>
      </c>
      <c r="Q21" s="1849">
        <f t="shared" si="2"/>
        <v>-37000000000</v>
      </c>
      <c r="R21" s="1849">
        <f t="shared" si="2"/>
        <v>-47000000000</v>
      </c>
      <c r="S21" s="1849">
        <f t="shared" si="2"/>
        <v>-40000000000</v>
      </c>
      <c r="T21" s="1849">
        <f t="shared" ref="T21:Z21" si="3">T26+T33</f>
        <v>-55000000000</v>
      </c>
      <c r="U21" s="1849">
        <f t="shared" si="3"/>
        <v>28000000000</v>
      </c>
      <c r="V21" s="1849">
        <f t="shared" si="3"/>
        <v>34000000000</v>
      </c>
      <c r="W21" s="1849">
        <f t="shared" si="3"/>
        <v>31000000000</v>
      </c>
      <c r="X21" s="1849">
        <f t="shared" si="3"/>
        <v>18000000000</v>
      </c>
      <c r="Y21" s="1849">
        <f t="shared" si="3"/>
        <v>17000000000</v>
      </c>
      <c r="Z21" s="1849">
        <f t="shared" si="3"/>
        <v>15000000000</v>
      </c>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row>
    <row r="22" spans="1:50">
      <c r="B22" s="90" t="s">
        <v>4166</v>
      </c>
      <c r="C22" s="90"/>
      <c r="G22" s="149"/>
      <c r="H22" s="149"/>
      <c r="I22" s="149"/>
      <c r="J22" s="149"/>
      <c r="K22" s="149"/>
      <c r="L22" s="149"/>
      <c r="M22" s="149">
        <v>-25500000000</v>
      </c>
      <c r="N22" s="147">
        <v>-9200000000</v>
      </c>
      <c r="O22" s="147">
        <v>-13000000000</v>
      </c>
      <c r="P22" s="147">
        <v>-10000000000</v>
      </c>
      <c r="Q22" s="1850">
        <v>38000000000</v>
      </c>
      <c r="R22" s="1850">
        <v>30000000000</v>
      </c>
      <c r="S22" s="1850">
        <v>14000000000</v>
      </c>
      <c r="T22" s="1808">
        <v>30000000000</v>
      </c>
      <c r="U22" s="1808">
        <v>-27000000000</v>
      </c>
      <c r="V22" s="1830">
        <v>-34000000000</v>
      </c>
      <c r="W22" s="1830">
        <v>-30000000000</v>
      </c>
      <c r="X22" s="1830">
        <v>-18000000000</v>
      </c>
      <c r="Y22" s="1854">
        <v>-17000000000</v>
      </c>
      <c r="Z22" s="1854">
        <v>-15000000000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0"/>
      <c r="B23" s="90"/>
      <c r="C23" s="90"/>
      <c r="G23" s="149"/>
      <c r="H23" s="149"/>
      <c r="I23" s="149"/>
      <c r="J23" s="149"/>
      <c r="K23" s="149"/>
      <c r="L23" s="149"/>
      <c r="M23" s="149"/>
      <c r="N23" s="147"/>
      <c r="O23" s="147"/>
      <c r="P23" s="147"/>
      <c r="Q23" s="1850"/>
      <c r="R23" s="1850"/>
      <c r="S23" s="1850"/>
      <c r="T23" s="1808"/>
      <c r="U23" s="1808"/>
      <c r="V23" s="1830"/>
      <c r="W23" s="1830"/>
      <c r="X23" s="1830"/>
      <c r="Y23" s="1854"/>
      <c r="Z23" s="1854"/>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B24" s="90" t="s">
        <v>2457</v>
      </c>
      <c r="C24" s="90"/>
      <c r="G24" s="149"/>
      <c r="H24" s="149"/>
      <c r="I24" s="149"/>
      <c r="J24" s="149"/>
      <c r="K24" s="149"/>
      <c r="L24" s="149"/>
      <c r="M24" s="149"/>
      <c r="N24" s="147">
        <v>9200000000</v>
      </c>
      <c r="O24" s="147">
        <v>13000000000</v>
      </c>
      <c r="P24" s="147">
        <v>10000000000</v>
      </c>
      <c r="Q24" s="1850">
        <v>-38000000000</v>
      </c>
      <c r="R24" s="1850">
        <v>-47000000000</v>
      </c>
      <c r="S24" s="1850">
        <v>-40000000000</v>
      </c>
      <c r="T24" s="1808">
        <v>-55000000000</v>
      </c>
      <c r="U24" s="1808">
        <v>27000000000</v>
      </c>
      <c r="V24" s="1830">
        <v>34000000000</v>
      </c>
      <c r="W24" s="1830">
        <v>30000000000</v>
      </c>
      <c r="X24" s="1830">
        <v>18000000000</v>
      </c>
      <c r="Y24" s="1854">
        <v>17000000000</v>
      </c>
      <c r="Z24" s="1854">
        <v>15000000000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B25" s="90" t="s">
        <v>815</v>
      </c>
      <c r="C25" s="90"/>
      <c r="G25" s="149"/>
      <c r="H25" s="149"/>
      <c r="I25" s="149"/>
      <c r="J25" s="149"/>
      <c r="K25" s="149"/>
      <c r="L25" s="149"/>
      <c r="M25" s="147">
        <v>-4200000000</v>
      </c>
      <c r="N25" s="147">
        <v>-12100000000</v>
      </c>
      <c r="O25" s="147">
        <v>-14000000000</v>
      </c>
      <c r="P25" s="147">
        <v>-24000000000</v>
      </c>
      <c r="Q25" s="1850">
        <v>-18000000000</v>
      </c>
      <c r="R25" s="1850">
        <v>-46000000000</v>
      </c>
      <c r="S25" s="1850">
        <v>-47000000000</v>
      </c>
      <c r="T25" s="1808">
        <v>-117000000000</v>
      </c>
      <c r="U25" s="1808">
        <v>33000000000</v>
      </c>
      <c r="V25" s="1830">
        <v>35000000000</v>
      </c>
      <c r="W25" s="1830">
        <v>-36000000000</v>
      </c>
      <c r="X25" s="1830">
        <v>-40000000000</v>
      </c>
      <c r="Y25" s="1854">
        <v>-45000000000</v>
      </c>
      <c r="Z25" s="1854">
        <v>-49000000000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t="s">
        <v>120</v>
      </c>
      <c r="B26" s="90" t="s">
        <v>2643</v>
      </c>
      <c r="C26" s="11" t="s">
        <v>119</v>
      </c>
      <c r="G26" s="145">
        <v>4200000000</v>
      </c>
      <c r="H26" s="145">
        <v>3200000000</v>
      </c>
      <c r="I26" s="149">
        <v>1200000000</v>
      </c>
      <c r="J26" s="149">
        <v>9300000000</v>
      </c>
      <c r="K26" s="146">
        <v>11300000000</v>
      </c>
      <c r="L26" s="146">
        <v>15900000000</v>
      </c>
      <c r="M26" s="147">
        <f>M28+M36</f>
        <v>25700000000</v>
      </c>
      <c r="N26" s="147">
        <f>N28+N36</f>
        <v>8700000000</v>
      </c>
      <c r="O26" s="147">
        <f>O28+O36</f>
        <v>18000000000</v>
      </c>
      <c r="P26" s="147">
        <f>P28+P36</f>
        <v>12000000000</v>
      </c>
      <c r="Q26" s="1850">
        <f>Q28+Q36</f>
        <v>-32000000000</v>
      </c>
      <c r="R26" s="1850">
        <f>R36+R28</f>
        <v>-51000000000</v>
      </c>
      <c r="S26" s="1850">
        <f t="shared" ref="S26:Z26" si="4">S36+S28</f>
        <v>-52000000000</v>
      </c>
      <c r="T26" s="1850">
        <f t="shared" si="4"/>
        <v>-80000000000</v>
      </c>
      <c r="U26" s="1850">
        <f t="shared" si="4"/>
        <v>7000000000</v>
      </c>
      <c r="V26" s="1827">
        <f t="shared" si="4"/>
        <v>13000000000</v>
      </c>
      <c r="W26" s="1827">
        <f t="shared" si="4"/>
        <v>-8000000000</v>
      </c>
      <c r="X26" s="1827">
        <f t="shared" si="4"/>
        <v>-19000000000</v>
      </c>
      <c r="Y26" s="1854">
        <f t="shared" si="4"/>
        <v>-36000000000</v>
      </c>
      <c r="Z26" s="1854">
        <f t="shared" si="4"/>
        <v>-39000000000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B27" s="100" t="s">
        <v>212</v>
      </c>
      <c r="C27" s="90"/>
      <c r="G27" s="149"/>
      <c r="H27" s="149"/>
      <c r="I27" s="149"/>
      <c r="J27" s="149"/>
      <c r="K27" s="149"/>
      <c r="L27" s="149"/>
      <c r="M27" s="147">
        <v>0</v>
      </c>
      <c r="N27" s="147"/>
      <c r="O27" s="147"/>
      <c r="P27" s="147"/>
      <c r="Q27" s="1850"/>
      <c r="R27" s="1850">
        <v>0</v>
      </c>
      <c r="S27" s="1850">
        <v>0</v>
      </c>
      <c r="T27" s="1808">
        <v>0</v>
      </c>
      <c r="U27" s="1808">
        <v>0</v>
      </c>
      <c r="V27" s="1830">
        <v>0</v>
      </c>
      <c r="W27" s="1830">
        <v>0</v>
      </c>
      <c r="X27" s="1830">
        <v>0</v>
      </c>
      <c r="Y27" s="1854">
        <v>0</v>
      </c>
      <c r="Z27" s="1854">
        <v>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B28" s="100" t="s">
        <v>2707</v>
      </c>
      <c r="C28" s="11"/>
      <c r="G28" s="145">
        <v>4200000000</v>
      </c>
      <c r="H28" s="145">
        <v>3200000000</v>
      </c>
      <c r="I28" s="149">
        <v>1200000000</v>
      </c>
      <c r="J28" s="149">
        <v>9300000000</v>
      </c>
      <c r="K28" s="146">
        <v>11300000000</v>
      </c>
      <c r="L28" s="146">
        <v>15900000000</v>
      </c>
      <c r="M28" s="147">
        <v>-4200000000</v>
      </c>
      <c r="N28" s="147">
        <v>-12100000000</v>
      </c>
      <c r="O28" s="147">
        <v>-14000000000</v>
      </c>
      <c r="P28" s="147">
        <v>-24000000000</v>
      </c>
      <c r="Q28" s="1850">
        <f>Q25</f>
        <v>-18000000000</v>
      </c>
      <c r="R28" s="1850">
        <v>-46000000000</v>
      </c>
      <c r="S28" s="1850">
        <v>-47000000000</v>
      </c>
      <c r="T28" s="1850">
        <v>-117000000000</v>
      </c>
      <c r="U28" s="1850">
        <v>33000000000</v>
      </c>
      <c r="V28" s="1827">
        <v>35000000000</v>
      </c>
      <c r="W28" s="1827">
        <v>-36000000000</v>
      </c>
      <c r="X28" s="1827">
        <v>-40000000000</v>
      </c>
      <c r="Y28" s="1854">
        <v>-45000000000</v>
      </c>
      <c r="Z28" s="1854">
        <v>-49000000000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100" t="s">
        <v>4903</v>
      </c>
      <c r="C29" s="90"/>
      <c r="G29" s="149"/>
      <c r="H29" s="149"/>
      <c r="I29" s="149"/>
      <c r="J29" s="149"/>
      <c r="K29" s="149"/>
      <c r="L29" s="149"/>
      <c r="M29" s="147">
        <v>-4099999999.9999995</v>
      </c>
      <c r="N29" s="147"/>
      <c r="O29" s="147"/>
      <c r="P29" s="147"/>
      <c r="Q29" s="1850"/>
      <c r="R29" s="1850">
        <v>9000000000</v>
      </c>
      <c r="S29" s="1850">
        <v>11000000000</v>
      </c>
      <c r="T29" s="1808">
        <v>13000000000</v>
      </c>
      <c r="U29" s="1808">
        <v>14000000000</v>
      </c>
      <c r="V29" s="1830">
        <v>17000000000</v>
      </c>
      <c r="W29" s="1830">
        <v>19000000000</v>
      </c>
      <c r="X29" s="1830">
        <v>22000000000</v>
      </c>
      <c r="Y29" s="1854">
        <v>24000000000</v>
      </c>
      <c r="Z29" s="1854">
        <v>26000000000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B30" s="100" t="s">
        <v>4904</v>
      </c>
      <c r="C30" s="90"/>
      <c r="G30" s="149"/>
      <c r="H30" s="149"/>
      <c r="I30" s="149"/>
      <c r="J30" s="149"/>
      <c r="K30" s="149"/>
      <c r="L30" s="149"/>
      <c r="M30" s="147">
        <v>-200000000</v>
      </c>
      <c r="N30" s="147"/>
      <c r="O30" s="147"/>
      <c r="P30" s="147"/>
      <c r="Q30" s="1850"/>
      <c r="R30" s="1850">
        <v>13000000000</v>
      </c>
      <c r="S30" s="1850">
        <v>26000000000</v>
      </c>
      <c r="T30" s="1808">
        <v>11000000000</v>
      </c>
      <c r="U30" s="1808">
        <v>13000000000</v>
      </c>
      <c r="V30" s="1830">
        <v>15000000000</v>
      </c>
      <c r="W30" s="1830">
        <v>17000000000</v>
      </c>
      <c r="X30" s="1830">
        <v>19000000000</v>
      </c>
      <c r="Y30" s="1854">
        <v>21000000000</v>
      </c>
      <c r="Z30" s="1854">
        <v>23000000000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100" t="s">
        <v>4905</v>
      </c>
      <c r="C31" s="90"/>
      <c r="G31" s="149"/>
      <c r="H31" s="149"/>
      <c r="I31" s="149"/>
      <c r="J31" s="149"/>
      <c r="K31" s="149"/>
      <c r="L31" s="149"/>
      <c r="M31" s="147"/>
      <c r="N31" s="147"/>
      <c r="O31" s="147"/>
      <c r="P31" s="147"/>
      <c r="Q31" s="1850"/>
      <c r="R31" s="1850">
        <v>23000000000</v>
      </c>
      <c r="S31" s="1850">
        <v>10000000000</v>
      </c>
      <c r="T31" s="1808">
        <v>94000000000</v>
      </c>
      <c r="U31" s="1808">
        <v>-59000000000</v>
      </c>
      <c r="V31" s="1830">
        <v>-68000000000</v>
      </c>
      <c r="W31" s="1830">
        <v>0</v>
      </c>
      <c r="X31" s="1830">
        <v>0</v>
      </c>
      <c r="Y31" s="1854">
        <v>0</v>
      </c>
      <c r="Z31" s="1854">
        <v>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B32" s="90" t="s">
        <v>821</v>
      </c>
      <c r="C32" s="90"/>
      <c r="G32" s="149"/>
      <c r="H32" s="149"/>
      <c r="I32" s="149"/>
      <c r="J32" s="149"/>
      <c r="K32" s="149"/>
      <c r="L32" s="149"/>
      <c r="M32" s="147">
        <v>29700000000</v>
      </c>
      <c r="N32" s="147">
        <v>21300000000</v>
      </c>
      <c r="O32" s="147">
        <v>27000000000</v>
      </c>
      <c r="P32" s="147">
        <v>34000000000</v>
      </c>
      <c r="Q32" s="1850">
        <v>20000000000</v>
      </c>
      <c r="R32" s="1850">
        <v>-1000000000</v>
      </c>
      <c r="S32" s="1850">
        <v>7000000000</v>
      </c>
      <c r="T32" s="1850">
        <v>63000000000</v>
      </c>
      <c r="U32" s="1850">
        <v>-5000000000</v>
      </c>
      <c r="V32" s="1827">
        <v>-2000000000</v>
      </c>
      <c r="W32" s="1827">
        <v>67000000000</v>
      </c>
      <c r="X32" s="1827">
        <v>58000000000</v>
      </c>
      <c r="Y32" s="1854">
        <v>61000000000</v>
      </c>
      <c r="Z32" s="1854">
        <v>64000000000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t="s">
        <v>117</v>
      </c>
      <c r="B33" s="152" t="s">
        <v>212</v>
      </c>
      <c r="C33" s="11" t="s">
        <v>119</v>
      </c>
      <c r="G33" s="145">
        <v>3100000000</v>
      </c>
      <c r="H33" s="145">
        <v>1900000000</v>
      </c>
      <c r="I33" s="149">
        <v>3300000000</v>
      </c>
      <c r="J33" s="149">
        <v>1200000000</v>
      </c>
      <c r="K33" s="146">
        <v>2500000000</v>
      </c>
      <c r="L33" s="146">
        <v>1100000000</v>
      </c>
      <c r="M33" s="147">
        <v>-200000000</v>
      </c>
      <c r="N33" s="147">
        <v>500000000</v>
      </c>
      <c r="O33" s="147">
        <v>-4000000000</v>
      </c>
      <c r="P33" s="147">
        <v>-2000000000</v>
      </c>
      <c r="Q33" s="1850">
        <v>-5000000000</v>
      </c>
      <c r="R33" s="1850">
        <v>4000000000</v>
      </c>
      <c r="S33" s="1850">
        <v>12000000000</v>
      </c>
      <c r="T33" s="1808">
        <v>25000000000</v>
      </c>
      <c r="U33" s="1808">
        <v>21000000000</v>
      </c>
      <c r="V33" s="1830">
        <v>21000000000</v>
      </c>
      <c r="W33" s="1830">
        <v>39000000000</v>
      </c>
      <c r="X33" s="1830">
        <v>37000000000</v>
      </c>
      <c r="Y33" s="1854">
        <v>53000000000</v>
      </c>
      <c r="Z33" s="1854">
        <v>54000000000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20" t="s">
        <v>415</v>
      </c>
      <c r="B34" s="100" t="s">
        <v>4906</v>
      </c>
      <c r="C34" s="58" t="s">
        <v>264</v>
      </c>
      <c r="G34" s="145">
        <v>8600000000</v>
      </c>
      <c r="H34" s="145">
        <v>7600000000</v>
      </c>
      <c r="I34" s="149">
        <v>9300000000</v>
      </c>
      <c r="J34" s="149">
        <v>8199999999.999999</v>
      </c>
      <c r="K34" s="146">
        <v>10100000000</v>
      </c>
      <c r="L34" s="146">
        <v>9000000000</v>
      </c>
      <c r="M34" s="149"/>
      <c r="N34" s="149"/>
      <c r="O34" s="149"/>
      <c r="P34" s="149"/>
      <c r="Q34" s="1851"/>
      <c r="R34" s="1851"/>
      <c r="S34" s="1851"/>
      <c r="T34" s="1808"/>
      <c r="U34" s="1808"/>
      <c r="V34" s="1830"/>
      <c r="W34" s="1830"/>
      <c r="X34" s="1830"/>
      <c r="Y34" s="1854"/>
      <c r="Z34" s="1854"/>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20" t="s">
        <v>258</v>
      </c>
      <c r="B35" s="126" t="s">
        <v>258</v>
      </c>
      <c r="C35" s="58" t="s">
        <v>264</v>
      </c>
      <c r="G35" s="145">
        <v>-5500000000</v>
      </c>
      <c r="H35" s="145">
        <v>-5800000000</v>
      </c>
      <c r="I35" s="149">
        <v>-6000000000</v>
      </c>
      <c r="J35" s="149">
        <v>-7000000000</v>
      </c>
      <c r="K35" s="146">
        <v>-7500000000</v>
      </c>
      <c r="L35" s="146">
        <v>-7900000000</v>
      </c>
      <c r="M35" s="149"/>
      <c r="N35" s="149"/>
      <c r="O35" s="149"/>
      <c r="P35" s="149"/>
      <c r="Q35" s="1851"/>
      <c r="R35" s="1851"/>
      <c r="S35" s="1851"/>
      <c r="T35" s="1808"/>
      <c r="U35" s="1808"/>
      <c r="V35" s="1830"/>
      <c r="W35" s="1830"/>
      <c r="X35" s="1830"/>
      <c r="Y35" s="1854"/>
      <c r="Z35" s="185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B36" s="152" t="s">
        <v>209</v>
      </c>
      <c r="C36" s="139"/>
      <c r="G36" s="21"/>
      <c r="H36" s="21"/>
      <c r="I36" s="21"/>
      <c r="J36" s="21"/>
      <c r="K36" s="21"/>
      <c r="L36" s="21"/>
      <c r="M36" s="147">
        <v>29900000000</v>
      </c>
      <c r="N36" s="147">
        <v>20800000000</v>
      </c>
      <c r="O36" s="147">
        <v>32000000000</v>
      </c>
      <c r="P36" s="147">
        <v>36000000000</v>
      </c>
      <c r="Q36" s="1850">
        <v>-14000000000</v>
      </c>
      <c r="R36" s="1850">
        <v>-5000000000</v>
      </c>
      <c r="S36" s="1850">
        <v>-5000000000</v>
      </c>
      <c r="T36" s="1808">
        <v>37000000000</v>
      </c>
      <c r="U36" s="1808">
        <v>-26000000000</v>
      </c>
      <c r="V36" s="1830">
        <v>-22000000000</v>
      </c>
      <c r="W36" s="1830">
        <v>28000000000</v>
      </c>
      <c r="X36" s="1830">
        <v>21000000000</v>
      </c>
      <c r="Y36" s="1854">
        <v>9000000000</v>
      </c>
      <c r="Z36" s="1854">
        <v>10000000000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B37" s="90"/>
      <c r="C37" s="90"/>
      <c r="R37" s="90"/>
      <c r="S37" s="90"/>
      <c r="V37" s="1537"/>
      <c r="W37" s="1537"/>
      <c r="X37" s="1537"/>
      <c r="Y37" s="603"/>
      <c r="Z37" s="1852"/>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B38" s="90"/>
      <c r="C38" s="90"/>
      <c r="G38" t="s">
        <v>138</v>
      </c>
      <c r="H38" t="s">
        <v>138</v>
      </c>
      <c r="I38" t="s">
        <v>139</v>
      </c>
      <c r="J38" t="s">
        <v>139</v>
      </c>
      <c r="K38" t="s">
        <v>139</v>
      </c>
      <c r="L38" t="s">
        <v>139</v>
      </c>
      <c r="M38" t="s">
        <v>138</v>
      </c>
      <c r="N38" t="s">
        <v>138</v>
      </c>
      <c r="O38" s="136" t="s">
        <v>138</v>
      </c>
      <c r="P38" s="136" t="s">
        <v>138</v>
      </c>
      <c r="Q38" s="136" t="s">
        <v>138</v>
      </c>
      <c r="R38" s="136" t="s">
        <v>138</v>
      </c>
      <c r="S38" s="136" t="s">
        <v>138</v>
      </c>
      <c r="T38" s="136" t="s">
        <v>138</v>
      </c>
      <c r="U38" s="136" t="s">
        <v>138</v>
      </c>
      <c r="V38" s="136" t="s">
        <v>138</v>
      </c>
      <c r="W38" s="136" t="s">
        <v>138</v>
      </c>
      <c r="X38" s="136" t="s">
        <v>138</v>
      </c>
      <c r="Y38" s="136" t="s">
        <v>138</v>
      </c>
      <c r="Z38" s="136" t="s">
        <v>138</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90"/>
      <c r="R39" s="136"/>
      <c r="S39" s="136"/>
      <c r="V39" s="1537"/>
      <c r="W39" s="1537"/>
      <c r="X39" s="1537"/>
      <c r="Y39" s="603"/>
      <c r="Z39" s="1852"/>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t="s">
        <v>875</v>
      </c>
      <c r="C40" s="90"/>
      <c r="D40" s="136">
        <f t="shared" ref="D40:R40" si="5">D6-D7-D10</f>
        <v>0</v>
      </c>
      <c r="E40" s="136">
        <f t="shared" si="5"/>
        <v>0</v>
      </c>
      <c r="F40" s="136">
        <f t="shared" si="5"/>
        <v>0</v>
      </c>
      <c r="G40" s="136">
        <f t="shared" si="5"/>
        <v>0</v>
      </c>
      <c r="H40" s="136">
        <f t="shared" si="5"/>
        <v>0</v>
      </c>
      <c r="I40" s="136">
        <f t="shared" si="5"/>
        <v>0</v>
      </c>
      <c r="J40" s="136">
        <f t="shared" si="5"/>
        <v>0</v>
      </c>
      <c r="K40" s="136">
        <f t="shared" si="5"/>
        <v>0</v>
      </c>
      <c r="L40" s="136">
        <f t="shared" si="5"/>
        <v>0</v>
      </c>
      <c r="M40" s="136">
        <f t="shared" si="5"/>
        <v>0</v>
      </c>
      <c r="N40" s="136">
        <f t="shared" si="5"/>
        <v>0</v>
      </c>
      <c r="O40" s="136">
        <f t="shared" si="5"/>
        <v>1000000000</v>
      </c>
      <c r="P40" s="136">
        <f t="shared" si="5"/>
        <v>0</v>
      </c>
      <c r="Q40" s="136">
        <f t="shared" si="5"/>
        <v>0</v>
      </c>
      <c r="R40" s="1840">
        <f t="shared" si="5"/>
        <v>-1000000000</v>
      </c>
      <c r="S40" s="1840">
        <f>S6-S7-S10</f>
        <v>0</v>
      </c>
      <c r="T40" s="1840">
        <f t="shared" ref="T40:Y40" si="6">T6-T7-T10</f>
        <v>0</v>
      </c>
      <c r="U40" s="1840">
        <f t="shared" si="6"/>
        <v>0</v>
      </c>
      <c r="V40" s="1840">
        <f t="shared" si="6"/>
        <v>1000000000</v>
      </c>
      <c r="W40" s="1840">
        <f t="shared" si="6"/>
        <v>0</v>
      </c>
      <c r="X40" s="1840">
        <f t="shared" si="6"/>
        <v>1000000000</v>
      </c>
      <c r="Y40" s="1840">
        <f t="shared" si="6"/>
        <v>0</v>
      </c>
      <c r="Z40" s="1829">
        <f>Z6-Z7-Z10</f>
        <v>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t="s">
        <v>145</v>
      </c>
      <c r="C41" s="90"/>
      <c r="G41" s="51">
        <f>G11-G12-G16</f>
        <v>0</v>
      </c>
      <c r="H41" s="51">
        <f t="shared" ref="H41:R41" si="7">H11-H12-H16</f>
        <v>0</v>
      </c>
      <c r="I41" s="51">
        <f t="shared" si="7"/>
        <v>0</v>
      </c>
      <c r="J41" s="51">
        <f t="shared" si="7"/>
        <v>0</v>
      </c>
      <c r="K41" s="51">
        <f t="shared" si="7"/>
        <v>0</v>
      </c>
      <c r="L41" s="51">
        <f t="shared" si="7"/>
        <v>0</v>
      </c>
      <c r="M41" s="136">
        <f t="shared" si="7"/>
        <v>-100000000</v>
      </c>
      <c r="N41" s="136">
        <f t="shared" si="7"/>
        <v>0</v>
      </c>
      <c r="O41" s="136">
        <f t="shared" si="7"/>
        <v>0</v>
      </c>
      <c r="P41" s="136">
        <f t="shared" si="7"/>
        <v>1000000000</v>
      </c>
      <c r="Q41" s="136">
        <f t="shared" si="7"/>
        <v>0</v>
      </c>
      <c r="R41" s="1840">
        <f t="shared" si="7"/>
        <v>-1000000000</v>
      </c>
      <c r="S41" s="1840">
        <f>S11-S12-S16</f>
        <v>0</v>
      </c>
      <c r="T41" s="1840">
        <f t="shared" ref="T41:Y41" si="8">T11-T12-T16</f>
        <v>1000000000</v>
      </c>
      <c r="U41" s="1840">
        <f t="shared" si="8"/>
        <v>0</v>
      </c>
      <c r="V41" s="1840">
        <f t="shared" si="8"/>
        <v>-1000000000</v>
      </c>
      <c r="W41" s="1840">
        <f t="shared" si="8"/>
        <v>0</v>
      </c>
      <c r="X41" s="1840">
        <f t="shared" si="8"/>
        <v>0</v>
      </c>
      <c r="Y41" s="1840">
        <f t="shared" si="8"/>
        <v>0</v>
      </c>
      <c r="Z41" s="1829">
        <f>Z11-Z12-Z16</f>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139" t="s">
        <v>527</v>
      </c>
      <c r="C42" s="139"/>
      <c r="G42" s="51">
        <f t="shared" ref="G42:L42" si="9">G21-G33-G28</f>
        <v>0</v>
      </c>
      <c r="H42" s="51">
        <f t="shared" si="9"/>
        <v>-100000000</v>
      </c>
      <c r="I42" s="51">
        <f t="shared" si="9"/>
        <v>0</v>
      </c>
      <c r="J42" s="51">
        <f t="shared" si="9"/>
        <v>0</v>
      </c>
      <c r="K42" s="51">
        <f t="shared" si="9"/>
        <v>100000000</v>
      </c>
      <c r="L42" s="51">
        <f t="shared" si="9"/>
        <v>0</v>
      </c>
      <c r="M42" s="51">
        <f t="shared" ref="M42:Z42" si="10">M21-M26-M33</f>
        <v>0</v>
      </c>
      <c r="N42" s="51">
        <f t="shared" si="10"/>
        <v>0</v>
      </c>
      <c r="O42" s="51">
        <f t="shared" si="10"/>
        <v>0</v>
      </c>
      <c r="P42" s="51">
        <f t="shared" si="10"/>
        <v>0</v>
      </c>
      <c r="Q42" s="51">
        <f t="shared" si="10"/>
        <v>0</v>
      </c>
      <c r="R42" s="51">
        <f t="shared" si="10"/>
        <v>0</v>
      </c>
      <c r="S42" s="51">
        <f t="shared" si="10"/>
        <v>0</v>
      </c>
      <c r="T42" s="51">
        <f t="shared" si="10"/>
        <v>0</v>
      </c>
      <c r="U42" s="51">
        <f t="shared" si="10"/>
        <v>0</v>
      </c>
      <c r="V42" s="51">
        <f t="shared" si="10"/>
        <v>0</v>
      </c>
      <c r="W42" s="51">
        <f t="shared" si="10"/>
        <v>0</v>
      </c>
      <c r="X42" s="51">
        <f t="shared" si="10"/>
        <v>0</v>
      </c>
      <c r="Y42" s="51">
        <f t="shared" si="10"/>
        <v>0</v>
      </c>
      <c r="Z42" s="51">
        <f t="shared" si="10"/>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153" t="s">
        <v>528</v>
      </c>
      <c r="C43" s="153"/>
      <c r="G43" s="21">
        <f>G33-G34-G35</f>
        <v>0</v>
      </c>
      <c r="H43" s="21">
        <f t="shared" ref="H43:S43" si="11">H33-H34-H35</f>
        <v>100000000</v>
      </c>
      <c r="I43" s="21">
        <f t="shared" si="11"/>
        <v>0</v>
      </c>
      <c r="J43" s="21">
        <f t="shared" si="11"/>
        <v>0</v>
      </c>
      <c r="K43" s="21">
        <f t="shared" si="11"/>
        <v>-100000000</v>
      </c>
      <c r="L43" s="21">
        <f t="shared" si="11"/>
        <v>0</v>
      </c>
      <c r="M43" s="131">
        <f>M33-M34-M35</f>
        <v>-200000000</v>
      </c>
      <c r="N43" s="131">
        <f>N33-N34-N35</f>
        <v>500000000</v>
      </c>
      <c r="O43" s="131">
        <f t="shared" si="11"/>
        <v>-4000000000</v>
      </c>
      <c r="P43" s="131">
        <f t="shared" si="11"/>
        <v>-2000000000</v>
      </c>
      <c r="Q43" s="131">
        <f t="shared" si="11"/>
        <v>-5000000000</v>
      </c>
      <c r="R43" s="1842">
        <f t="shared" si="11"/>
        <v>4000000000</v>
      </c>
      <c r="S43" s="1842">
        <f t="shared" si="11"/>
        <v>12000000000</v>
      </c>
      <c r="T43" s="1842">
        <f t="shared" ref="T43:Z43" si="12">T33-T34-T35</f>
        <v>25000000000</v>
      </c>
      <c r="U43" s="1842">
        <f t="shared" si="12"/>
        <v>21000000000</v>
      </c>
      <c r="V43" s="1842">
        <f t="shared" si="12"/>
        <v>21000000000</v>
      </c>
      <c r="W43" s="1842">
        <f t="shared" si="12"/>
        <v>39000000000</v>
      </c>
      <c r="X43" s="1842">
        <f t="shared" si="12"/>
        <v>37000000000</v>
      </c>
      <c r="Y43" s="1842">
        <f t="shared" si="12"/>
        <v>53000000000</v>
      </c>
      <c r="Z43" s="1855">
        <f t="shared" si="12"/>
        <v>54000000000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139"/>
      <c r="C44" s="139"/>
      <c r="F44" s="21"/>
      <c r="R44" s="136"/>
      <c r="S44" s="136"/>
      <c r="Y44" s="365"/>
      <c r="Z44" s="1856"/>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3935</v>
      </c>
      <c r="C45" s="90"/>
      <c r="G45">
        <v>459443000000</v>
      </c>
      <c r="H45">
        <v>492231000000</v>
      </c>
      <c r="I45">
        <v>536749000000</v>
      </c>
      <c r="J45">
        <v>589412000000</v>
      </c>
      <c r="K45">
        <v>654083999999.99988</v>
      </c>
      <c r="L45">
        <v>727827000000</v>
      </c>
      <c r="M45">
        <v>815658000000</v>
      </c>
      <c r="N45">
        <v>988272000000</v>
      </c>
      <c r="O45" s="154">
        <v>1192773999999.9998</v>
      </c>
      <c r="P45" s="154">
        <v>1366954000000</v>
      </c>
      <c r="Q45" s="154">
        <v>1527344000000</v>
      </c>
      <c r="R45" s="154">
        <v>1692643000000</v>
      </c>
      <c r="S45" s="154">
        <v>1928517000000</v>
      </c>
      <c r="T45" s="154"/>
      <c r="U45" s="154"/>
      <c r="V45" s="154"/>
      <c r="W45" s="154"/>
      <c r="X45" s="154"/>
      <c r="Y45" s="365"/>
      <c r="Z45" s="1856"/>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363</v>
      </c>
      <c r="C46" s="90"/>
      <c r="G46">
        <f t="shared" ref="G46:S46" si="13">(G6/G45)*100</f>
        <v>14.299924038455261</v>
      </c>
      <c r="H46">
        <f t="shared" si="13"/>
        <v>14.586647326153775</v>
      </c>
      <c r="I46">
        <f t="shared" si="13"/>
        <v>15.519358210262151</v>
      </c>
      <c r="J46">
        <f t="shared" si="13"/>
        <v>14.353287683318289</v>
      </c>
      <c r="K46">
        <f t="shared" si="13"/>
        <v>15.59432733410388</v>
      </c>
      <c r="L46">
        <f t="shared" si="13"/>
        <v>17.215629538338096</v>
      </c>
      <c r="M46">
        <f t="shared" si="13"/>
        <v>20.081946109766594</v>
      </c>
      <c r="N46">
        <f t="shared" si="13"/>
        <v>21.724788317386306</v>
      </c>
      <c r="O46">
        <f t="shared" si="13"/>
        <v>20.288839293948396</v>
      </c>
      <c r="P46">
        <f t="shared" si="13"/>
        <v>20.849275103624553</v>
      </c>
      <c r="Q46">
        <f t="shared" si="13"/>
        <v>21.409715165673219</v>
      </c>
      <c r="R46">
        <f t="shared" si="13"/>
        <v>23.631681340956128</v>
      </c>
      <c r="S46">
        <f t="shared" si="13"/>
        <v>22.919165348296126</v>
      </c>
      <c r="Y46" s="365"/>
      <c r="Z46" s="1856"/>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152</v>
      </c>
      <c r="C47" s="90"/>
      <c r="G47">
        <f t="shared" ref="G47:S47" si="14">(G11/G45)*100</f>
        <v>15.867039001573643</v>
      </c>
      <c r="H47">
        <f t="shared" si="14"/>
        <v>15.602430566136629</v>
      </c>
      <c r="I47">
        <f t="shared" si="14"/>
        <v>16.357738905894561</v>
      </c>
      <c r="J47">
        <f t="shared" si="14"/>
        <v>16.134724097914532</v>
      </c>
      <c r="K47">
        <f t="shared" si="14"/>
        <v>17.704148091070877</v>
      </c>
      <c r="L47">
        <f t="shared" si="14"/>
        <v>19.551349427817325</v>
      </c>
      <c r="M47">
        <f t="shared" si="14"/>
        <v>23.195996361220018</v>
      </c>
      <c r="N47">
        <f t="shared" si="14"/>
        <v>22.665824793174348</v>
      </c>
      <c r="O47">
        <f t="shared" si="14"/>
        <v>21.378735619656368</v>
      </c>
      <c r="P47">
        <f t="shared" si="14"/>
        <v>21.580828616032434</v>
      </c>
      <c r="Q47">
        <f t="shared" si="14"/>
        <v>19.118155438460491</v>
      </c>
      <c r="R47">
        <f t="shared" si="14"/>
        <v>21.859305240384415</v>
      </c>
      <c r="S47">
        <f t="shared" si="14"/>
        <v>22.19321893454919</v>
      </c>
    </row>
    <row r="48" spans="1:50">
      <c r="B48" s="90"/>
      <c r="C48" s="90"/>
      <c r="R48" s="136"/>
      <c r="S48" s="136"/>
    </row>
    <row r="49" spans="2:19">
      <c r="B49" s="90"/>
      <c r="C49" s="90"/>
      <c r="R49" s="136"/>
      <c r="S49" s="136"/>
    </row>
    <row r="50" spans="2:19">
      <c r="B50" t="s">
        <v>153</v>
      </c>
      <c r="C50" s="90"/>
      <c r="R50" s="90"/>
      <c r="S50" s="90"/>
    </row>
    <row r="51" spans="2:19">
      <c r="B51" s="90"/>
      <c r="C51" s="90"/>
      <c r="R51" s="136"/>
      <c r="S51" s="136"/>
    </row>
    <row r="52" spans="2:19">
      <c r="B52" s="139"/>
      <c r="C52" s="139"/>
      <c r="R52" s="136"/>
      <c r="S52" s="136"/>
    </row>
    <row r="53" spans="2:19">
      <c r="B53" s="139"/>
      <c r="C53" s="139"/>
      <c r="R53" s="136"/>
      <c r="S53" s="136"/>
    </row>
  </sheetData>
  <pageMargins left="0.7" right="0.7" top="0.75" bottom="0.75" header="0.3" footer="0.3"/>
  <pageSetup paperSize="9"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85" bestFit="1" customWidth="1"/>
    <col min="2" max="2" width="47.140625" style="585" bestFit="1" customWidth="1"/>
    <col min="3" max="3" width="23.5703125" style="585" bestFit="1" customWidth="1"/>
    <col min="4" max="5" width="9.28515625" style="585" bestFit="1" customWidth="1"/>
    <col min="6" max="6" width="15" style="585" bestFit="1" customWidth="1"/>
    <col min="7" max="7" width="11.85546875" style="585" bestFit="1" customWidth="1"/>
    <col min="8" max="9" width="12.28515625" style="585" bestFit="1" customWidth="1"/>
    <col min="10" max="16" width="13.5703125" style="585" customWidth="1"/>
    <col min="17" max="21" width="14" style="585" bestFit="1" customWidth="1"/>
    <col min="22" max="23" width="15.28515625" style="585" bestFit="1" customWidth="1"/>
    <col min="24" max="26" width="16" style="585" bestFit="1" customWidth="1"/>
    <col min="27" max="16384" width="9.140625" style="585"/>
  </cols>
  <sheetData>
    <row r="1" spans="1:26">
      <c r="A1" s="1866" t="s">
        <v>4907</v>
      </c>
      <c r="B1" s="581" t="s">
        <v>4908</v>
      </c>
      <c r="C1" s="581"/>
      <c r="D1" s="582"/>
      <c r="E1" s="582"/>
      <c r="F1" s="582"/>
      <c r="G1" s="582"/>
      <c r="H1" s="582"/>
      <c r="I1" s="582"/>
      <c r="J1" s="582"/>
      <c r="K1" s="582"/>
      <c r="L1" s="582"/>
      <c r="M1" s="582"/>
      <c r="N1" s="582"/>
      <c r="O1" s="583"/>
      <c r="P1" s="583"/>
      <c r="Q1" s="583"/>
      <c r="R1" s="584"/>
      <c r="S1" s="583"/>
      <c r="T1" s="583"/>
      <c r="U1" s="583"/>
      <c r="V1" s="583"/>
      <c r="W1" s="583"/>
      <c r="X1" s="583"/>
    </row>
    <row r="2" spans="1:26">
      <c r="B2" s="586" t="s">
        <v>4909</v>
      </c>
      <c r="C2" s="586"/>
      <c r="D2" s="583"/>
      <c r="E2" s="583"/>
      <c r="F2" s="583"/>
      <c r="G2" s="583"/>
      <c r="H2" s="583"/>
      <c r="I2" s="583"/>
      <c r="J2" s="583"/>
      <c r="K2" s="583"/>
      <c r="L2" s="583"/>
      <c r="M2" s="583"/>
      <c r="N2" s="583"/>
      <c r="O2" s="583"/>
      <c r="P2" s="583"/>
      <c r="Q2" s="583"/>
      <c r="R2" s="587"/>
      <c r="S2" s="588"/>
      <c r="T2" s="589"/>
      <c r="U2" s="583"/>
    </row>
    <row r="3" spans="1:26">
      <c r="B3" s="590" t="s">
        <v>3</v>
      </c>
      <c r="C3" s="590"/>
      <c r="D3" s="583">
        <v>2000</v>
      </c>
      <c r="E3" s="583">
        <v>2001</v>
      </c>
      <c r="F3" s="583">
        <v>2002</v>
      </c>
      <c r="G3" s="583">
        <v>2003</v>
      </c>
      <c r="H3" s="583">
        <v>2004</v>
      </c>
      <c r="I3" s="583">
        <v>2005</v>
      </c>
      <c r="J3" s="583">
        <v>2006</v>
      </c>
      <c r="K3" s="583">
        <v>2007</v>
      </c>
      <c r="L3" s="583">
        <v>2008</v>
      </c>
      <c r="M3" s="583">
        <v>2009</v>
      </c>
      <c r="N3" s="583">
        <v>2010</v>
      </c>
      <c r="O3" s="583">
        <v>2011</v>
      </c>
      <c r="P3" s="583">
        <v>2012</v>
      </c>
      <c r="Q3" s="583">
        <v>2013</v>
      </c>
      <c r="R3" s="583">
        <v>2014</v>
      </c>
      <c r="S3" s="583">
        <v>2015</v>
      </c>
      <c r="T3" s="583">
        <v>2016</v>
      </c>
      <c r="U3" s="583">
        <v>2017</v>
      </c>
      <c r="V3" s="583">
        <v>2018</v>
      </c>
      <c r="W3" s="583">
        <v>2019</v>
      </c>
      <c r="X3" s="583">
        <v>2020</v>
      </c>
      <c r="Y3" s="583">
        <v>2021</v>
      </c>
      <c r="Z3" s="583">
        <v>2022</v>
      </c>
    </row>
    <row r="4" spans="1:26">
      <c r="B4" s="590" t="s">
        <v>4</v>
      </c>
      <c r="C4" s="590"/>
      <c r="D4" s="583" t="s">
        <v>5</v>
      </c>
      <c r="E4" s="583" t="s">
        <v>6</v>
      </c>
      <c r="F4" s="583" t="s">
        <v>7</v>
      </c>
      <c r="G4" s="583" t="s">
        <v>8</v>
      </c>
      <c r="H4" s="583" t="s">
        <v>9</v>
      </c>
      <c r="I4" s="583" t="s">
        <v>10</v>
      </c>
      <c r="J4" s="583" t="s">
        <v>11</v>
      </c>
      <c r="K4" s="583" t="s">
        <v>12</v>
      </c>
      <c r="L4" s="583" t="s">
        <v>13</v>
      </c>
      <c r="M4" s="583" t="s">
        <v>14</v>
      </c>
      <c r="N4" s="583" t="s">
        <v>15</v>
      </c>
      <c r="O4" s="583" t="s">
        <v>16</v>
      </c>
      <c r="P4" s="583" t="s">
        <v>17</v>
      </c>
      <c r="Q4" s="583" t="s">
        <v>18</v>
      </c>
      <c r="R4" s="584" t="s">
        <v>19</v>
      </c>
      <c r="S4" s="583" t="s">
        <v>20</v>
      </c>
      <c r="T4" s="583" t="s">
        <v>21</v>
      </c>
      <c r="U4" s="583" t="s">
        <v>22</v>
      </c>
      <c r="V4" s="583" t="s">
        <v>23</v>
      </c>
      <c r="W4" s="583" t="s">
        <v>24</v>
      </c>
      <c r="X4" s="583" t="s">
        <v>7075</v>
      </c>
      <c r="Y4" s="583" t="s">
        <v>26</v>
      </c>
      <c r="Z4" s="583" t="s">
        <v>27</v>
      </c>
    </row>
    <row r="5" spans="1:26">
      <c r="A5" s="585" t="s">
        <v>28</v>
      </c>
      <c r="B5" s="590" t="s">
        <v>29</v>
      </c>
      <c r="C5" s="590"/>
      <c r="D5" s="583" t="s">
        <v>30</v>
      </c>
      <c r="E5" s="583" t="s">
        <v>30</v>
      </c>
      <c r="F5" s="583" t="s">
        <v>30</v>
      </c>
      <c r="G5" s="583" t="s">
        <v>30</v>
      </c>
      <c r="H5" s="583" t="s">
        <v>30</v>
      </c>
      <c r="I5" s="582" t="s">
        <v>31</v>
      </c>
      <c r="J5" s="582" t="s">
        <v>30</v>
      </c>
      <c r="K5" s="582" t="s">
        <v>30</v>
      </c>
      <c r="L5" s="582" t="s">
        <v>30</v>
      </c>
      <c r="M5" s="582" t="s">
        <v>30</v>
      </c>
      <c r="N5" s="583" t="s">
        <v>31</v>
      </c>
      <c r="O5" s="583" t="s">
        <v>30</v>
      </c>
      <c r="P5" s="583" t="s">
        <v>30</v>
      </c>
      <c r="Q5" s="583" t="s">
        <v>30</v>
      </c>
      <c r="R5" s="583" t="s">
        <v>30</v>
      </c>
      <c r="S5" s="583" t="s">
        <v>30</v>
      </c>
      <c r="T5" s="583" t="s">
        <v>30</v>
      </c>
      <c r="U5" s="583" t="s">
        <v>32</v>
      </c>
      <c r="V5" s="583" t="s">
        <v>32</v>
      </c>
      <c r="W5" s="583" t="s">
        <v>32</v>
      </c>
      <c r="X5" s="583" t="s">
        <v>32</v>
      </c>
      <c r="Y5" s="583" t="s">
        <v>32</v>
      </c>
      <c r="Z5" s="583" t="s">
        <v>32</v>
      </c>
    </row>
    <row r="6" spans="1:26" s="1862" customFormat="1">
      <c r="A6" s="1859" t="s">
        <v>785</v>
      </c>
      <c r="B6" s="1859" t="s">
        <v>785</v>
      </c>
      <c r="C6" s="1859" t="s">
        <v>35</v>
      </c>
      <c r="D6" s="1860"/>
      <c r="E6" s="1860"/>
      <c r="F6" s="1861">
        <f t="shared" ref="F6:O6" si="0">F7+F40</f>
        <v>10040800000</v>
      </c>
      <c r="G6" s="1861">
        <f t="shared" si="0"/>
        <v>11970734000</v>
      </c>
      <c r="H6" s="1861">
        <f t="shared" si="0"/>
        <v>14665806000</v>
      </c>
      <c r="I6" s="1861">
        <f t="shared" si="0"/>
        <v>17764116000</v>
      </c>
      <c r="J6" s="1861">
        <f t="shared" si="0"/>
        <v>19859320000.000004</v>
      </c>
      <c r="K6" s="1861">
        <f t="shared" si="0"/>
        <v>24491000000</v>
      </c>
      <c r="L6" s="1861">
        <f t="shared" si="0"/>
        <v>27042000000</v>
      </c>
      <c r="M6" s="1861">
        <f t="shared" si="0"/>
        <v>26939000000</v>
      </c>
      <c r="N6" s="1861">
        <f t="shared" si="0"/>
        <v>31082000000</v>
      </c>
      <c r="O6" s="1861">
        <f t="shared" si="0"/>
        <v>39033000000</v>
      </c>
      <c r="P6" s="1861">
        <f>P7+P40</f>
        <v>45327000000</v>
      </c>
      <c r="Q6" s="1861">
        <f t="shared" ref="Q6" si="1">Q7+Q40</f>
        <v>48410000000</v>
      </c>
      <c r="R6" s="1861">
        <v>53731000000</v>
      </c>
      <c r="S6" s="1861">
        <v>61470000000</v>
      </c>
      <c r="T6" s="1861">
        <v>70328000000</v>
      </c>
      <c r="U6" s="1861">
        <v>77575000000</v>
      </c>
      <c r="V6" s="1883">
        <v>86596000000</v>
      </c>
      <c r="W6" s="1883">
        <v>96150000000</v>
      </c>
      <c r="X6" s="1883">
        <v>107029000000</v>
      </c>
      <c r="Y6" s="1886">
        <v>118999000000</v>
      </c>
      <c r="Z6" s="1886">
        <v>133419000000</v>
      </c>
    </row>
    <row r="7" spans="1:26">
      <c r="A7" s="592" t="s">
        <v>36</v>
      </c>
      <c r="B7" s="592" t="s">
        <v>4910</v>
      </c>
      <c r="C7" s="591" t="s">
        <v>38</v>
      </c>
      <c r="D7" s="592"/>
      <c r="E7" s="583"/>
      <c r="F7" s="1867">
        <v>8606400000</v>
      </c>
      <c r="G7" s="1867">
        <v>10153188000</v>
      </c>
      <c r="H7" s="1867">
        <v>12269907000</v>
      </c>
      <c r="I7" s="1867">
        <v>14747568000.000002</v>
      </c>
      <c r="J7" s="1867">
        <v>16565120000.000002</v>
      </c>
      <c r="K7" s="1867">
        <v>20579000000</v>
      </c>
      <c r="L7" s="1867">
        <v>23468000000</v>
      </c>
      <c r="M7" s="1867">
        <v>23859000000</v>
      </c>
      <c r="N7" s="1867">
        <v>27575000000</v>
      </c>
      <c r="O7" s="1867">
        <v>34548000000</v>
      </c>
      <c r="P7" s="1876">
        <f>P8+P15</f>
        <v>40730000000</v>
      </c>
      <c r="Q7" s="1876">
        <f t="shared" ref="Q7" si="2">Q8+Q15</f>
        <v>44041000000</v>
      </c>
      <c r="R7" s="1876">
        <f t="shared" ref="R7" si="3">R8+R15</f>
        <v>50685000000</v>
      </c>
      <c r="S7" s="1876">
        <f t="shared" ref="S7" si="4">S8+S15</f>
        <v>58684000000</v>
      </c>
      <c r="T7" s="1876">
        <f t="shared" ref="T7" si="5">T8+T15</f>
        <v>66788000000</v>
      </c>
      <c r="U7" s="1876">
        <f t="shared" ref="U7" si="6">U8+U15</f>
        <v>74056000000</v>
      </c>
      <c r="V7" s="1885">
        <f t="shared" ref="V7" si="7">V8+V15</f>
        <v>82616000000</v>
      </c>
      <c r="W7" s="1885">
        <f t="shared" ref="W7" si="8">W8+W15</f>
        <v>92174000000</v>
      </c>
      <c r="X7" s="1885">
        <f t="shared" ref="X7" si="9">X8+X15</f>
        <v>102757000000</v>
      </c>
      <c r="Y7" s="1885">
        <f t="shared" ref="Y7" si="10">Y8+Y15</f>
        <v>114727000000</v>
      </c>
      <c r="Z7" s="1885">
        <f t="shared" ref="Z7" si="11">Z8+Z15</f>
        <v>128630000000</v>
      </c>
    </row>
    <row r="8" spans="1:26">
      <c r="A8" s="1868" t="s">
        <v>1372</v>
      </c>
      <c r="B8" s="1868" t="s">
        <v>1372</v>
      </c>
      <c r="C8" s="592" t="s">
        <v>41</v>
      </c>
      <c r="D8" s="583"/>
      <c r="E8" s="583"/>
      <c r="F8" s="1867">
        <v>7745760000</v>
      </c>
      <c r="G8" s="1867">
        <v>9401100000</v>
      </c>
      <c r="H8" s="1867">
        <v>11253465000</v>
      </c>
      <c r="I8" s="1867">
        <v>13742051999.999998</v>
      </c>
      <c r="J8" s="1867">
        <v>15341560000.000002</v>
      </c>
      <c r="K8" s="1867">
        <v>18984000000</v>
      </c>
      <c r="L8" s="1867">
        <v>21730000000</v>
      </c>
      <c r="M8" s="1867">
        <v>22175000000</v>
      </c>
      <c r="N8" s="1867">
        <v>25586000000</v>
      </c>
      <c r="O8" s="1867">
        <v>31825000000</v>
      </c>
      <c r="P8" s="1867">
        <v>37222000000</v>
      </c>
      <c r="Q8" s="1884">
        <v>40785000000</v>
      </c>
      <c r="R8" s="1884">
        <v>47236000000</v>
      </c>
      <c r="S8" s="1238">
        <v>54725000000</v>
      </c>
      <c r="T8" s="1884">
        <v>62163000000</v>
      </c>
      <c r="U8" s="1884">
        <v>69003000000</v>
      </c>
      <c r="V8" s="1884">
        <v>76974000000</v>
      </c>
      <c r="W8" s="1884">
        <v>85860000000</v>
      </c>
      <c r="X8" s="1884">
        <v>95677000000</v>
      </c>
      <c r="Y8" s="1238">
        <v>106788000000</v>
      </c>
      <c r="Z8" s="1238">
        <v>119730000000</v>
      </c>
    </row>
    <row r="9" spans="1:26">
      <c r="A9" s="1869" t="s">
        <v>2351</v>
      </c>
      <c r="B9" s="1869" t="s">
        <v>4911</v>
      </c>
      <c r="C9" s="592" t="s">
        <v>44</v>
      </c>
      <c r="D9" s="583"/>
      <c r="E9" s="583"/>
      <c r="F9" s="593"/>
      <c r="G9" s="593"/>
      <c r="H9" s="593"/>
      <c r="I9" s="593"/>
      <c r="J9" s="593"/>
      <c r="K9" s="1867">
        <v>5746000000</v>
      </c>
      <c r="L9" s="1867">
        <v>7002000000</v>
      </c>
      <c r="M9" s="1867">
        <v>7865000000</v>
      </c>
      <c r="N9" s="1867">
        <v>8481000000</v>
      </c>
      <c r="O9" s="1867">
        <v>11335000000</v>
      </c>
      <c r="P9" s="1867">
        <v>13346000000</v>
      </c>
      <c r="Q9" s="1884">
        <v>14832000000</v>
      </c>
      <c r="R9" s="1884">
        <v>18033000000</v>
      </c>
      <c r="S9" s="1884">
        <v>21832000000</v>
      </c>
      <c r="T9" s="1884">
        <v>25599000000</v>
      </c>
      <c r="U9" s="1884">
        <v>27562000000</v>
      </c>
      <c r="V9" s="1884">
        <v>30869000000</v>
      </c>
      <c r="W9" s="1884">
        <v>34552000000</v>
      </c>
      <c r="X9" s="1884">
        <v>38751000000</v>
      </c>
      <c r="Y9" s="1238">
        <v>43402000000</v>
      </c>
      <c r="Z9" s="1238">
        <v>48653000000</v>
      </c>
    </row>
    <row r="10" spans="1:26">
      <c r="A10" s="1870" t="s">
        <v>1052</v>
      </c>
      <c r="B10" s="1870" t="s">
        <v>4912</v>
      </c>
      <c r="C10" s="1871" t="s">
        <v>44</v>
      </c>
      <c r="D10" s="583"/>
      <c r="E10" s="583"/>
      <c r="F10" s="593"/>
      <c r="G10" s="593"/>
      <c r="H10" s="593"/>
      <c r="I10" s="593"/>
      <c r="J10" s="593"/>
      <c r="K10" s="1867"/>
      <c r="L10" s="1867"/>
      <c r="M10" s="1867"/>
      <c r="N10" s="1867"/>
      <c r="O10" s="1867"/>
      <c r="P10" s="1867">
        <v>22059000000</v>
      </c>
      <c r="Q10" s="1884">
        <v>24067000000</v>
      </c>
      <c r="R10" s="1884">
        <v>27226000000</v>
      </c>
      <c r="S10" s="1884">
        <v>30576000000</v>
      </c>
      <c r="T10" s="1884">
        <v>33862000000</v>
      </c>
      <c r="U10" s="1884">
        <v>38297000000</v>
      </c>
      <c r="V10" s="1884">
        <v>42632000000</v>
      </c>
      <c r="W10" s="1884">
        <v>47467000000</v>
      </c>
      <c r="X10" s="1884">
        <v>52714000000</v>
      </c>
      <c r="Y10" s="1238">
        <v>58727000000</v>
      </c>
      <c r="Z10" s="1238">
        <v>65851000000</v>
      </c>
    </row>
    <row r="11" spans="1:26">
      <c r="A11" s="1870" t="s">
        <v>4913</v>
      </c>
      <c r="B11" s="1870" t="s">
        <v>2996</v>
      </c>
      <c r="C11" s="1871" t="s">
        <v>44</v>
      </c>
      <c r="D11" s="583"/>
      <c r="E11" s="583"/>
      <c r="F11" s="593"/>
      <c r="G11" s="593"/>
      <c r="H11" s="593"/>
      <c r="I11" s="593"/>
      <c r="J11" s="593"/>
      <c r="K11" s="1867"/>
      <c r="L11" s="1867"/>
      <c r="M11" s="1867"/>
      <c r="N11" s="1867"/>
      <c r="O11" s="1867"/>
      <c r="P11" s="1867">
        <v>1816000000</v>
      </c>
      <c r="Q11" s="1884">
        <v>1886000000</v>
      </c>
      <c r="R11" s="1884">
        <v>1977000000</v>
      </c>
      <c r="S11" s="1884">
        <v>2317000000</v>
      </c>
      <c r="T11" s="1884">
        <v>2703000000</v>
      </c>
      <c r="U11" s="1884">
        <v>3144000000</v>
      </c>
      <c r="V11" s="1884">
        <v>3473000000</v>
      </c>
      <c r="W11" s="1884">
        <v>3841000000</v>
      </c>
      <c r="X11" s="1884">
        <v>4211000000</v>
      </c>
      <c r="Y11" s="1238">
        <v>4659000000</v>
      </c>
      <c r="Z11" s="1238">
        <v>5226000000</v>
      </c>
    </row>
    <row r="12" spans="1:26">
      <c r="A12" s="1869" t="s">
        <v>161</v>
      </c>
      <c r="B12" s="1869" t="s">
        <v>4914</v>
      </c>
      <c r="C12" s="592" t="s">
        <v>44</v>
      </c>
      <c r="D12" s="583"/>
      <c r="E12" s="583"/>
      <c r="F12" s="593"/>
      <c r="G12" s="593"/>
      <c r="H12" s="593"/>
      <c r="I12" s="593"/>
      <c r="J12" s="593"/>
      <c r="K12" s="1867">
        <v>3103000000</v>
      </c>
      <c r="L12" s="1867">
        <v>3139000000</v>
      </c>
      <c r="M12" s="1867">
        <v>3885000000</v>
      </c>
      <c r="N12" s="1867">
        <v>4028000000</v>
      </c>
      <c r="O12" s="1867">
        <v>4605000000</v>
      </c>
      <c r="P12" s="595"/>
      <c r="V12" s="1238"/>
      <c r="W12" s="1238"/>
      <c r="X12" s="1238"/>
      <c r="Y12" s="1238"/>
      <c r="Z12" s="1238"/>
    </row>
    <row r="13" spans="1:26">
      <c r="A13" s="1869" t="s">
        <v>2077</v>
      </c>
      <c r="B13" s="1869" t="s">
        <v>4915</v>
      </c>
      <c r="C13" s="592" t="s">
        <v>44</v>
      </c>
      <c r="D13" s="583"/>
      <c r="E13" s="583"/>
      <c r="F13" s="593"/>
      <c r="G13" s="593"/>
      <c r="H13" s="593"/>
      <c r="I13" s="593"/>
      <c r="J13" s="593"/>
      <c r="K13" s="1867">
        <v>3036000000</v>
      </c>
      <c r="L13" s="1867">
        <v>3338000000</v>
      </c>
      <c r="M13" s="1867">
        <v>3339000000</v>
      </c>
      <c r="N13" s="1867">
        <v>5541000000</v>
      </c>
      <c r="O13" s="1867">
        <v>6070000000</v>
      </c>
      <c r="P13" s="1867"/>
      <c r="Q13" s="1884"/>
      <c r="R13" s="1884"/>
      <c r="S13" s="1884"/>
      <c r="T13" s="1884"/>
      <c r="U13" s="1884"/>
      <c r="V13" s="1884"/>
      <c r="W13" s="1884"/>
      <c r="X13" s="1884"/>
      <c r="Y13" s="1238"/>
      <c r="Z13" s="1238"/>
    </row>
    <row r="14" spans="1:26">
      <c r="A14" s="1869" t="s">
        <v>2670</v>
      </c>
      <c r="B14" s="1869" t="s">
        <v>4916</v>
      </c>
      <c r="C14" s="592" t="s">
        <v>44</v>
      </c>
      <c r="D14" s="583"/>
      <c r="E14" s="583"/>
      <c r="F14" s="593"/>
      <c r="G14" s="593"/>
      <c r="H14" s="593"/>
      <c r="I14" s="593"/>
      <c r="J14" s="593"/>
      <c r="K14" s="1867">
        <v>7099000000</v>
      </c>
      <c r="L14" s="1867">
        <v>8251000000</v>
      </c>
      <c r="M14" s="1867">
        <v>7086000000</v>
      </c>
      <c r="N14" s="1867">
        <v>7535000000</v>
      </c>
      <c r="O14" s="1867">
        <v>9814000000</v>
      </c>
      <c r="P14" s="1867"/>
      <c r="Q14" s="1884"/>
      <c r="R14" s="1884"/>
      <c r="S14" s="1884"/>
      <c r="T14" s="1884"/>
      <c r="U14" s="1884"/>
      <c r="V14" s="1884"/>
      <c r="W14" s="1884"/>
      <c r="X14" s="1884"/>
      <c r="Y14" s="1238"/>
      <c r="Z14" s="1238"/>
    </row>
    <row r="15" spans="1:26">
      <c r="A15" s="1868" t="s">
        <v>4917</v>
      </c>
      <c r="B15" s="1868" t="s">
        <v>4918</v>
      </c>
      <c r="C15" s="592" t="s">
        <v>41</v>
      </c>
      <c r="D15" s="583"/>
      <c r="E15" s="583"/>
      <c r="F15" s="1867">
        <v>860640000</v>
      </c>
      <c r="G15" s="1867">
        <v>752088000</v>
      </c>
      <c r="H15" s="1867">
        <v>1016441999.9999999</v>
      </c>
      <c r="I15" s="1867">
        <v>1005515999.9999999</v>
      </c>
      <c r="J15" s="1867">
        <v>1223560000.0000002</v>
      </c>
      <c r="K15" s="1867">
        <v>1595000000</v>
      </c>
      <c r="L15" s="1867">
        <v>1739000000</v>
      </c>
      <c r="M15" s="1867">
        <v>1684000000</v>
      </c>
      <c r="N15" s="1867">
        <v>1989000000</v>
      </c>
      <c r="O15" s="1867">
        <v>2723000000</v>
      </c>
      <c r="P15" s="1867">
        <v>3508000000</v>
      </c>
      <c r="Q15" s="1884">
        <v>3256000000</v>
      </c>
      <c r="R15" s="1884">
        <v>3449000000</v>
      </c>
      <c r="S15" s="1238">
        <v>3959000000</v>
      </c>
      <c r="T15" s="1884">
        <v>4625000000</v>
      </c>
      <c r="U15" s="1884">
        <v>5053000000</v>
      </c>
      <c r="V15" s="1884">
        <v>5642000000</v>
      </c>
      <c r="W15" s="1884">
        <v>6314000000</v>
      </c>
      <c r="X15" s="1884">
        <v>7080000000</v>
      </c>
      <c r="Y15" s="1238">
        <v>7939000000</v>
      </c>
      <c r="Z15" s="1238">
        <v>8900000000</v>
      </c>
    </row>
    <row r="16" spans="1:26">
      <c r="A16" s="585" t="s">
        <v>76</v>
      </c>
      <c r="B16" s="592" t="s">
        <v>4919</v>
      </c>
      <c r="C16" s="592"/>
      <c r="D16" s="592"/>
      <c r="E16" s="583"/>
      <c r="F16" s="1867">
        <v>12278463999.999998</v>
      </c>
      <c r="G16" s="1867">
        <v>13976302000.000002</v>
      </c>
      <c r="H16" s="1867">
        <v>16190469000</v>
      </c>
      <c r="I16" s="1867">
        <v>19188596999.999996</v>
      </c>
      <c r="J16" s="1867">
        <v>21365240000</v>
      </c>
      <c r="K16" s="1867">
        <v>24092000000</v>
      </c>
      <c r="L16" s="1867">
        <v>28578000000</v>
      </c>
      <c r="M16" s="1867">
        <v>30424000000</v>
      </c>
      <c r="N16" s="1867">
        <v>32487000000</v>
      </c>
      <c r="O16" s="1867">
        <v>38611000000</v>
      </c>
      <c r="P16" s="1867"/>
      <c r="Q16" s="1884"/>
      <c r="R16" s="1884"/>
      <c r="S16" s="1884"/>
      <c r="T16" s="1884"/>
      <c r="U16" s="1884"/>
      <c r="V16" s="1884"/>
      <c r="W16" s="1884"/>
      <c r="X16" s="1884"/>
      <c r="Y16" s="1238"/>
      <c r="Z16" s="1238"/>
    </row>
    <row r="17" spans="1:26" s="1862" customFormat="1">
      <c r="A17" s="1872" t="s">
        <v>198</v>
      </c>
      <c r="B17" s="1872" t="s">
        <v>4920</v>
      </c>
      <c r="C17" s="1872" t="s">
        <v>35</v>
      </c>
      <c r="D17" s="1872"/>
      <c r="E17" s="1860"/>
      <c r="F17" s="1873">
        <f>F18+F31+F34+F35</f>
        <v>10844064000</v>
      </c>
      <c r="G17" s="1873">
        <f>G18+G31+G34+G35</f>
        <v>12158756000</v>
      </c>
      <c r="H17" s="1873">
        <f>(H16-H35-H40)</f>
        <v>13794570000</v>
      </c>
      <c r="I17" s="1873">
        <f>(I16-I35-I40)</f>
        <v>16172048999.999996</v>
      </c>
      <c r="J17" s="1873">
        <f>J18+J31+J34</f>
        <v>18165160000</v>
      </c>
      <c r="K17" s="1873">
        <f>K18+K31+K34+K35</f>
        <v>24092000000</v>
      </c>
      <c r="L17" s="1873">
        <f>L18+L31+L34+L35</f>
        <v>28578000000</v>
      </c>
      <c r="M17" s="1873">
        <f>M18+M31+M34+M35</f>
        <v>30424000000</v>
      </c>
      <c r="N17" s="1873">
        <f>N18+N31+N34+N35</f>
        <v>32486000000</v>
      </c>
      <c r="O17" s="1873">
        <f>O18+O31+O34+O35</f>
        <v>38611000000</v>
      </c>
      <c r="P17" s="1873">
        <f>P18+P31</f>
        <v>45703000000</v>
      </c>
      <c r="Q17" s="1883">
        <f t="shared" ref="Q17" si="12">Q18+Q31</f>
        <v>49543000000</v>
      </c>
      <c r="R17" s="1883">
        <f t="shared" ref="R17" si="13">R18+R31</f>
        <v>56531000000</v>
      </c>
      <c r="S17" s="1883">
        <f t="shared" ref="S17" si="14">S18+S31</f>
        <v>65785000000</v>
      </c>
      <c r="T17" s="1883">
        <f t="shared" ref="T17" si="15">T18+T31</f>
        <v>74249000000</v>
      </c>
      <c r="U17" s="1883">
        <f t="shared" ref="U17" si="16">U18+U31</f>
        <v>82300000000</v>
      </c>
      <c r="V17" s="1883">
        <f t="shared" ref="V17" si="17">V18+V31</f>
        <v>89486000000</v>
      </c>
      <c r="W17" s="1883">
        <f t="shared" ref="W17" si="18">W18+W31</f>
        <v>99074000000</v>
      </c>
      <c r="X17" s="1883">
        <f t="shared" ref="X17" si="19">X18+X31</f>
        <v>111472000000</v>
      </c>
      <c r="Y17" s="1883">
        <f t="shared" ref="Y17" si="20">Y18+Y31</f>
        <v>126933000000</v>
      </c>
      <c r="Z17" s="1883">
        <f t="shared" ref="Z17" si="21">Z18+Z31</f>
        <v>142028000000</v>
      </c>
    </row>
    <row r="18" spans="1:26">
      <c r="A18" s="592" t="s">
        <v>655</v>
      </c>
      <c r="B18" s="592" t="s">
        <v>4921</v>
      </c>
      <c r="C18" s="592" t="s">
        <v>201</v>
      </c>
      <c r="D18" s="583"/>
      <c r="E18" s="583"/>
      <c r="F18" s="593">
        <f>F19+F21+F22+F29</f>
        <v>8376896000</v>
      </c>
      <c r="G18" s="593">
        <f>G19+G21+G22+G29</f>
        <v>8711686000</v>
      </c>
      <c r="H18" s="593">
        <f>H19+H21+H22+H29</f>
        <v>9220581000</v>
      </c>
      <c r="I18" s="593">
        <f>I19+I21+I22+I29</f>
        <v>11144469000</v>
      </c>
      <c r="J18" s="593">
        <f>J19+J21+J22+J29</f>
        <v>13647400000</v>
      </c>
      <c r="K18" s="1867">
        <v>16562000000</v>
      </c>
      <c r="L18" s="1867">
        <v>21063000000</v>
      </c>
      <c r="M18" s="1867">
        <v>23410000000</v>
      </c>
      <c r="N18" s="1867">
        <v>24922000000</v>
      </c>
      <c r="O18" s="1867">
        <v>30339000000</v>
      </c>
      <c r="P18" s="1867">
        <v>37035000000</v>
      </c>
      <c r="Q18" s="1884">
        <v>39802000000</v>
      </c>
      <c r="R18" s="1884">
        <v>44650000000</v>
      </c>
      <c r="S18" s="1884">
        <v>51733000000</v>
      </c>
      <c r="T18" s="1884">
        <v>57735000000</v>
      </c>
      <c r="U18" s="1884">
        <v>62959000000</v>
      </c>
      <c r="V18" s="1884">
        <v>67721000000</v>
      </c>
      <c r="W18" s="1884">
        <v>74676000000</v>
      </c>
      <c r="X18" s="1884">
        <v>83230000000</v>
      </c>
      <c r="Y18" s="1238">
        <v>94082000000</v>
      </c>
      <c r="Z18" s="1238">
        <v>105203000000</v>
      </c>
    </row>
    <row r="19" spans="1:26">
      <c r="A19" s="1868" t="s">
        <v>79</v>
      </c>
      <c r="B19" s="1868" t="s">
        <v>4922</v>
      </c>
      <c r="C19" s="592" t="s">
        <v>204</v>
      </c>
      <c r="D19" s="583"/>
      <c r="E19" s="583"/>
      <c r="F19" s="1867">
        <v>2524544000.0000005</v>
      </c>
      <c r="G19" s="1867">
        <v>2820330000</v>
      </c>
      <c r="H19" s="1867">
        <v>2904120000</v>
      </c>
      <c r="I19" s="1867">
        <v>3351720000</v>
      </c>
      <c r="J19" s="1867">
        <v>3953040000.0000005</v>
      </c>
      <c r="K19" s="1867">
        <v>5745000000</v>
      </c>
      <c r="L19" s="1867">
        <v>7629000000</v>
      </c>
      <c r="M19" s="1867">
        <v>8615000000</v>
      </c>
      <c r="N19" s="1867">
        <v>9606000000</v>
      </c>
      <c r="O19" s="1867">
        <v>11390000000</v>
      </c>
      <c r="P19" s="1867">
        <v>14491000000</v>
      </c>
      <c r="Q19" s="1884">
        <v>16134000000</v>
      </c>
      <c r="R19" s="1884">
        <v>18305000000</v>
      </c>
      <c r="S19" s="1884">
        <v>20547000000</v>
      </c>
      <c r="T19" s="1884">
        <v>22736000000</v>
      </c>
      <c r="U19" s="1884">
        <v>25136000000</v>
      </c>
      <c r="V19" s="1884">
        <v>27318000000</v>
      </c>
      <c r="W19" s="1884">
        <v>30804000000</v>
      </c>
      <c r="X19" s="1884">
        <v>34248000000</v>
      </c>
      <c r="Y19" s="1238">
        <v>38383000000</v>
      </c>
      <c r="Z19" s="1238">
        <v>43026000000</v>
      </c>
    </row>
    <row r="20" spans="1:26">
      <c r="A20" s="585" t="s">
        <v>76</v>
      </c>
      <c r="B20" s="1869" t="s">
        <v>4923</v>
      </c>
      <c r="C20" s="592"/>
      <c r="D20" s="583"/>
      <c r="E20" s="583"/>
      <c r="F20" s="593"/>
      <c r="G20" s="593"/>
      <c r="H20" s="593"/>
      <c r="I20" s="593"/>
      <c r="J20" s="593"/>
      <c r="K20" s="1867">
        <v>0</v>
      </c>
      <c r="L20" s="1867">
        <v>0</v>
      </c>
      <c r="M20" s="1867">
        <v>0</v>
      </c>
      <c r="N20" s="1867">
        <v>673000000</v>
      </c>
      <c r="O20" s="1867">
        <v>1334000000</v>
      </c>
      <c r="P20" s="1867"/>
      <c r="Q20" s="1884"/>
      <c r="R20" s="1884"/>
      <c r="S20" s="1884"/>
      <c r="T20" s="1884"/>
      <c r="U20" s="1884"/>
      <c r="V20" s="1884"/>
      <c r="W20" s="1884"/>
      <c r="X20" s="1884"/>
      <c r="Y20" s="1238"/>
      <c r="Z20" s="1238"/>
    </row>
    <row r="21" spans="1:26">
      <c r="A21" s="1868" t="s">
        <v>83</v>
      </c>
      <c r="B21" s="1868" t="s">
        <v>4924</v>
      </c>
      <c r="C21" s="592" t="s">
        <v>204</v>
      </c>
      <c r="D21" s="583"/>
      <c r="E21" s="583"/>
      <c r="F21" s="1867">
        <v>1377024000</v>
      </c>
      <c r="G21" s="1867">
        <v>1316154000</v>
      </c>
      <c r="H21" s="1867">
        <v>1524663000</v>
      </c>
      <c r="I21" s="1867">
        <v>1759653000</v>
      </c>
      <c r="J21" s="1867">
        <v>2447120000.0000005</v>
      </c>
      <c r="K21" s="1867">
        <v>2915000000</v>
      </c>
      <c r="L21" s="1867">
        <v>4831000000</v>
      </c>
      <c r="M21" s="1867">
        <v>4652000000</v>
      </c>
      <c r="N21" s="1867">
        <v>4867000000</v>
      </c>
      <c r="O21" s="1867">
        <v>6341000000</v>
      </c>
      <c r="P21" s="1867">
        <v>7606000000</v>
      </c>
      <c r="Q21" s="1884">
        <v>7291000000</v>
      </c>
      <c r="R21" s="1884">
        <v>7433000000</v>
      </c>
      <c r="S21" s="1884">
        <v>8589000000</v>
      </c>
      <c r="T21" s="1884">
        <v>11239000000</v>
      </c>
      <c r="U21" s="1884">
        <v>11625000000</v>
      </c>
      <c r="V21" s="1884">
        <v>12284000000</v>
      </c>
      <c r="W21" s="1884">
        <v>12793000000</v>
      </c>
      <c r="X21" s="1884">
        <v>14230000000</v>
      </c>
      <c r="Y21" s="1238">
        <v>18278000000</v>
      </c>
      <c r="Z21" s="1238">
        <v>18933000000</v>
      </c>
    </row>
    <row r="22" spans="1:26">
      <c r="A22" s="1868" t="s">
        <v>91</v>
      </c>
      <c r="B22" s="1868" t="s">
        <v>91</v>
      </c>
      <c r="C22" s="592" t="s">
        <v>204</v>
      </c>
      <c r="D22" s="583"/>
      <c r="E22" s="583"/>
      <c r="F22" s="1867">
        <v>2008159999.9999998</v>
      </c>
      <c r="G22" s="1867">
        <v>1942894000</v>
      </c>
      <c r="H22" s="1867">
        <v>1452060000</v>
      </c>
      <c r="I22" s="1867">
        <v>1675860000</v>
      </c>
      <c r="J22" s="1867">
        <v>1788280000</v>
      </c>
      <c r="K22" s="1867">
        <v>1580000000</v>
      </c>
      <c r="L22" s="1867">
        <v>1447000000</v>
      </c>
      <c r="M22" s="1867">
        <v>1711000000</v>
      </c>
      <c r="N22" s="1867">
        <v>1991000000</v>
      </c>
      <c r="O22" s="1867">
        <v>2262000000</v>
      </c>
      <c r="P22" s="1867">
        <v>2465000000</v>
      </c>
      <c r="Q22" s="1884">
        <v>2520000000</v>
      </c>
      <c r="R22" s="1884">
        <v>2639000000</v>
      </c>
      <c r="S22" s="1884">
        <v>3050000000</v>
      </c>
      <c r="T22" s="1884">
        <v>3755000000</v>
      </c>
      <c r="U22" s="1884">
        <v>4049000000</v>
      </c>
      <c r="V22" s="1884">
        <v>3721000000</v>
      </c>
      <c r="W22" s="1884">
        <v>3881000000</v>
      </c>
      <c r="X22" s="1884">
        <v>4105000000</v>
      </c>
      <c r="Y22" s="1238">
        <v>4478000000</v>
      </c>
      <c r="Z22" s="1238">
        <v>6558000000</v>
      </c>
    </row>
    <row r="23" spans="1:26">
      <c r="A23" s="1869" t="s">
        <v>280</v>
      </c>
      <c r="B23" s="1869" t="s">
        <v>2326</v>
      </c>
      <c r="C23" s="592"/>
      <c r="D23" s="583"/>
      <c r="E23" s="583"/>
      <c r="F23" s="593"/>
      <c r="G23" s="593"/>
      <c r="H23" s="593"/>
      <c r="I23" s="593"/>
      <c r="J23" s="593"/>
      <c r="K23" s="1867">
        <v>463000000</v>
      </c>
      <c r="L23" s="1867">
        <v>515000000</v>
      </c>
      <c r="M23" s="1867">
        <v>553000000</v>
      </c>
      <c r="N23" s="1867">
        <v>594000000</v>
      </c>
      <c r="O23" s="1867">
        <v>709000000</v>
      </c>
      <c r="P23" s="1867"/>
      <c r="Q23" s="1884"/>
      <c r="R23" s="1884"/>
      <c r="S23" s="1884"/>
      <c r="T23" s="1884"/>
      <c r="U23" s="1884"/>
      <c r="V23" s="1884"/>
      <c r="W23" s="1884"/>
      <c r="X23" s="1884"/>
      <c r="Y23" s="1238"/>
      <c r="Z23" s="1238"/>
    </row>
    <row r="24" spans="1:26">
      <c r="A24" s="1874" t="s">
        <v>209</v>
      </c>
      <c r="B24" s="1874" t="s">
        <v>209</v>
      </c>
      <c r="C24" s="592"/>
      <c r="D24" s="583"/>
      <c r="E24" s="583"/>
      <c r="F24" s="593"/>
      <c r="G24" s="593"/>
      <c r="H24" s="593"/>
      <c r="I24" s="593"/>
      <c r="J24" s="593"/>
      <c r="K24" s="1867">
        <f>K22-K23</f>
        <v>1117000000</v>
      </c>
      <c r="L24" s="1867">
        <f t="shared" ref="L24:O24" si="22">L22-L23</f>
        <v>932000000</v>
      </c>
      <c r="M24" s="1867">
        <f t="shared" si="22"/>
        <v>1158000000</v>
      </c>
      <c r="N24" s="1867">
        <f t="shared" si="22"/>
        <v>1397000000</v>
      </c>
      <c r="O24" s="1867">
        <f t="shared" si="22"/>
        <v>1553000000</v>
      </c>
      <c r="P24" s="1867"/>
      <c r="Q24" s="1884"/>
      <c r="R24" s="1884"/>
      <c r="S24" s="1884"/>
      <c r="T24" s="1884"/>
      <c r="U24" s="1884"/>
      <c r="V24" s="1884"/>
      <c r="W24" s="1884"/>
      <c r="X24" s="1884"/>
      <c r="Y24" s="1238"/>
      <c r="Z24" s="1238"/>
    </row>
    <row r="25" spans="1:26">
      <c r="A25" s="1870" t="s">
        <v>215</v>
      </c>
      <c r="B25" s="1870" t="s">
        <v>215</v>
      </c>
      <c r="C25" s="1871" t="s">
        <v>204</v>
      </c>
      <c r="D25" s="583"/>
      <c r="E25" s="583"/>
      <c r="F25" s="593"/>
      <c r="G25" s="593"/>
      <c r="H25" s="593"/>
      <c r="I25" s="593"/>
      <c r="J25" s="593"/>
      <c r="K25" s="1867"/>
      <c r="L25" s="1867"/>
      <c r="M25" s="1867"/>
      <c r="N25" s="1867"/>
      <c r="O25" s="1867"/>
      <c r="P25" s="1867">
        <v>3903000000</v>
      </c>
      <c r="Q25" s="1884">
        <v>4457000000</v>
      </c>
      <c r="R25" s="1884">
        <v>5072000000</v>
      </c>
      <c r="S25" s="1884">
        <v>5693000000</v>
      </c>
      <c r="T25" s="1884">
        <v>6041000000</v>
      </c>
      <c r="U25" s="1884">
        <v>6914000000</v>
      </c>
      <c r="V25" s="1884">
        <v>7042000000</v>
      </c>
      <c r="W25" s="1884">
        <v>7832000000</v>
      </c>
      <c r="X25" s="1884">
        <v>8411000000</v>
      </c>
      <c r="Y25" s="1238">
        <v>8330000000</v>
      </c>
      <c r="Z25" s="1238">
        <v>9220000000</v>
      </c>
    </row>
    <row r="26" spans="1:26">
      <c r="A26" s="1870" t="s">
        <v>3108</v>
      </c>
      <c r="B26" s="1870" t="s">
        <v>3108</v>
      </c>
      <c r="C26" s="1871" t="s">
        <v>204</v>
      </c>
      <c r="D26" s="583"/>
      <c r="E26" s="583"/>
      <c r="F26" s="593"/>
      <c r="G26" s="593"/>
      <c r="H26" s="593"/>
      <c r="I26" s="593"/>
      <c r="J26" s="593"/>
      <c r="K26" s="1867"/>
      <c r="L26" s="1867"/>
      <c r="M26" s="1867"/>
      <c r="N26" s="1867"/>
      <c r="O26" s="1867"/>
      <c r="P26" s="1867">
        <v>467000000</v>
      </c>
      <c r="Q26" s="1884">
        <v>511000000</v>
      </c>
      <c r="R26" s="1884">
        <v>1104000000</v>
      </c>
      <c r="S26" s="1884">
        <v>1224000000</v>
      </c>
      <c r="T26" s="1884">
        <v>1423000000</v>
      </c>
      <c r="U26" s="1884">
        <v>1654000000</v>
      </c>
      <c r="V26" s="1884">
        <v>1923000000</v>
      </c>
      <c r="W26" s="1884">
        <v>2235000000</v>
      </c>
      <c r="X26" s="1884">
        <v>2598000000</v>
      </c>
      <c r="Y26" s="1238">
        <v>3020000000</v>
      </c>
      <c r="Z26" s="1238">
        <v>3262000000</v>
      </c>
    </row>
    <row r="27" spans="1:26">
      <c r="A27" s="1870" t="s">
        <v>4925</v>
      </c>
      <c r="B27" s="1870" t="s">
        <v>675</v>
      </c>
      <c r="C27" s="1871" t="s">
        <v>204</v>
      </c>
      <c r="D27" s="583"/>
      <c r="E27" s="583"/>
      <c r="F27" s="593"/>
      <c r="G27" s="593"/>
      <c r="H27" s="593"/>
      <c r="I27" s="593"/>
      <c r="J27" s="593"/>
      <c r="K27" s="1867"/>
      <c r="L27" s="1867"/>
      <c r="M27" s="1867"/>
      <c r="N27" s="1867"/>
      <c r="O27" s="1867"/>
      <c r="P27" s="1867">
        <v>604000000</v>
      </c>
      <c r="Q27" s="1884">
        <v>402000000</v>
      </c>
      <c r="R27" s="1884">
        <v>729000000</v>
      </c>
      <c r="S27" s="1884">
        <v>556000000</v>
      </c>
      <c r="T27" s="1884">
        <v>433000000</v>
      </c>
      <c r="U27" s="1884">
        <v>145000000</v>
      </c>
      <c r="V27" s="1884">
        <v>182000000</v>
      </c>
      <c r="W27" s="1884">
        <v>192000000</v>
      </c>
      <c r="X27" s="1884">
        <v>201000000</v>
      </c>
      <c r="Y27" s="1238">
        <v>211000000</v>
      </c>
      <c r="Z27" s="1238">
        <v>237000000</v>
      </c>
    </row>
    <row r="28" spans="1:26">
      <c r="A28" s="1870" t="s">
        <v>53</v>
      </c>
      <c r="B28" s="1870" t="s">
        <v>53</v>
      </c>
      <c r="C28" s="1871" t="s">
        <v>204</v>
      </c>
      <c r="D28" s="583"/>
      <c r="E28" s="583"/>
      <c r="F28" s="593"/>
      <c r="G28" s="593"/>
      <c r="H28" s="593"/>
      <c r="I28" s="593"/>
      <c r="J28" s="593"/>
      <c r="K28" s="1867"/>
      <c r="L28" s="1867"/>
      <c r="M28" s="1867"/>
      <c r="N28" s="1867"/>
      <c r="O28" s="1867"/>
      <c r="P28" s="1867">
        <v>7499000000</v>
      </c>
      <c r="Q28" s="1884">
        <v>8488000000</v>
      </c>
      <c r="R28" s="1884">
        <v>9368000000</v>
      </c>
      <c r="S28" s="1884">
        <v>12075000000</v>
      </c>
      <c r="T28" s="1884">
        <v>12107000000</v>
      </c>
      <c r="U28" s="1884">
        <v>13437000000</v>
      </c>
      <c r="V28" s="1884">
        <v>15251000000</v>
      </c>
      <c r="W28" s="1884">
        <v>16940000000</v>
      </c>
      <c r="X28" s="1884">
        <v>19437000000</v>
      </c>
      <c r="Y28" s="1238">
        <v>21381000000</v>
      </c>
      <c r="Z28" s="1238">
        <v>23968000000</v>
      </c>
    </row>
    <row r="29" spans="1:26">
      <c r="A29" s="1868" t="s">
        <v>339</v>
      </c>
      <c r="B29" s="1868" t="s">
        <v>4926</v>
      </c>
      <c r="C29" s="592" t="s">
        <v>204</v>
      </c>
      <c r="D29" s="583"/>
      <c r="E29" s="583"/>
      <c r="F29" s="1867">
        <v>2467167999.9999995</v>
      </c>
      <c r="G29" s="1867">
        <v>2632308000</v>
      </c>
      <c r="H29" s="1867">
        <v>3339738000</v>
      </c>
      <c r="I29" s="1867">
        <v>4357236000</v>
      </c>
      <c r="J29" s="1867">
        <v>5458960000</v>
      </c>
      <c r="K29" s="1867">
        <v>6323000000</v>
      </c>
      <c r="L29" s="1867">
        <v>7156000000</v>
      </c>
      <c r="M29" s="1867">
        <v>8432000000</v>
      </c>
      <c r="N29" s="1867">
        <v>8459000000</v>
      </c>
      <c r="O29" s="1867">
        <v>10346000000</v>
      </c>
      <c r="P29" s="1867"/>
      <c r="Q29" s="1884"/>
      <c r="R29" s="1884"/>
      <c r="S29" s="1884"/>
      <c r="T29" s="1884"/>
      <c r="U29" s="1884"/>
      <c r="V29" s="1884"/>
      <c r="W29" s="1884"/>
      <c r="X29" s="1884"/>
      <c r="Y29" s="1238"/>
      <c r="Z29" s="1238"/>
    </row>
    <row r="30" spans="1:26">
      <c r="A30" s="585" t="s">
        <v>76</v>
      </c>
      <c r="B30" s="1869" t="s">
        <v>4927</v>
      </c>
      <c r="C30" s="592"/>
      <c r="D30" s="583"/>
      <c r="E30" s="583"/>
      <c r="F30" s="1867">
        <v>57376000.000000007</v>
      </c>
      <c r="G30" s="1867">
        <v>0</v>
      </c>
      <c r="H30" s="1867">
        <v>145206000</v>
      </c>
      <c r="I30" s="1867">
        <v>251378999.99999997</v>
      </c>
      <c r="J30" s="1867">
        <v>282360000</v>
      </c>
      <c r="K30" s="1867"/>
      <c r="L30" s="1867"/>
      <c r="M30" s="1867"/>
      <c r="N30" s="1867"/>
      <c r="O30" s="1867"/>
      <c r="P30" s="1867"/>
      <c r="Q30" s="1884"/>
      <c r="R30" s="1884"/>
      <c r="S30" s="1884"/>
      <c r="T30" s="1884"/>
      <c r="U30" s="1884"/>
      <c r="V30" s="1884"/>
      <c r="W30" s="1884"/>
      <c r="X30" s="1884"/>
      <c r="Y30" s="1238"/>
      <c r="Z30" s="1238"/>
    </row>
    <row r="31" spans="1:26">
      <c r="A31" s="592" t="s">
        <v>88</v>
      </c>
      <c r="B31" s="592" t="s">
        <v>4928</v>
      </c>
      <c r="C31" s="592" t="s">
        <v>201</v>
      </c>
      <c r="D31" s="583"/>
      <c r="E31" s="583"/>
      <c r="F31" s="593">
        <v>2467167999.9999995</v>
      </c>
      <c r="G31" s="593">
        <v>3447070000</v>
      </c>
      <c r="H31" s="593">
        <v>4283577000</v>
      </c>
      <c r="I31" s="593">
        <v>4692407999.999999</v>
      </c>
      <c r="J31" s="593">
        <v>4517760000</v>
      </c>
      <c r="K31" s="1867">
        <v>7488000000</v>
      </c>
      <c r="L31" s="1867">
        <v>7417000000</v>
      </c>
      <c r="M31" s="1867">
        <v>6977000000</v>
      </c>
      <c r="N31" s="1867">
        <v>7564000000</v>
      </c>
      <c r="O31" s="1867">
        <v>8272000000</v>
      </c>
      <c r="P31" s="1867">
        <v>8668000000</v>
      </c>
      <c r="Q31" s="1884">
        <v>9741000000</v>
      </c>
      <c r="R31" s="1884">
        <v>11881000000</v>
      </c>
      <c r="S31" s="1884">
        <v>14052000000</v>
      </c>
      <c r="T31" s="1884">
        <v>16514000000</v>
      </c>
      <c r="U31" s="1884">
        <v>19341000000</v>
      </c>
      <c r="V31" s="1884">
        <v>21765000000</v>
      </c>
      <c r="W31" s="1884">
        <v>24398000000</v>
      </c>
      <c r="X31" s="1884">
        <v>28242000000</v>
      </c>
      <c r="Y31" s="1238">
        <v>32851000000</v>
      </c>
      <c r="Z31" s="1238">
        <v>36825000000</v>
      </c>
    </row>
    <row r="32" spans="1:26">
      <c r="A32" s="1868" t="s">
        <v>239</v>
      </c>
      <c r="B32" s="1868" t="s">
        <v>4929</v>
      </c>
      <c r="C32" s="592" t="s">
        <v>241</v>
      </c>
      <c r="D32" s="583"/>
      <c r="E32" s="583"/>
      <c r="F32" s="593"/>
      <c r="G32" s="593"/>
      <c r="H32" s="593"/>
      <c r="I32" s="593"/>
      <c r="J32" s="593"/>
      <c r="K32" s="1867">
        <v>2192000000</v>
      </c>
      <c r="L32" s="1867">
        <v>1839000000</v>
      </c>
      <c r="M32" s="1867">
        <v>904000000</v>
      </c>
      <c r="N32" s="1867">
        <v>1699000000</v>
      </c>
      <c r="O32" s="1867">
        <v>2245000000</v>
      </c>
      <c r="P32" s="1867"/>
      <c r="Q32" s="1884"/>
      <c r="R32" s="1884"/>
      <c r="S32" s="1884"/>
      <c r="T32" s="1884"/>
      <c r="U32" s="1884"/>
      <c r="V32" s="1884"/>
      <c r="W32" s="1884"/>
      <c r="X32" s="1884"/>
      <c r="Y32" s="1238"/>
      <c r="Z32" s="1238"/>
    </row>
    <row r="33" spans="1:26">
      <c r="A33" s="1868" t="s">
        <v>395</v>
      </c>
      <c r="B33" s="1868" t="s">
        <v>4930</v>
      </c>
      <c r="C33" s="592" t="s">
        <v>241</v>
      </c>
      <c r="D33" s="583"/>
      <c r="E33" s="583"/>
      <c r="F33" s="593"/>
      <c r="G33" s="593"/>
      <c r="H33" s="593"/>
      <c r="I33" s="593"/>
      <c r="J33" s="593"/>
      <c r="K33" s="1867">
        <v>5296000000</v>
      </c>
      <c r="L33" s="1867">
        <v>5578000000</v>
      </c>
      <c r="M33" s="1867">
        <v>6073000000</v>
      </c>
      <c r="N33" s="1867">
        <v>5866000000</v>
      </c>
      <c r="O33" s="1867">
        <v>6027000000</v>
      </c>
      <c r="P33" s="1867"/>
      <c r="Q33" s="1884"/>
      <c r="R33" s="1884"/>
      <c r="S33" s="1884"/>
      <c r="T33" s="1884"/>
      <c r="U33" s="1884"/>
      <c r="V33" s="1884"/>
      <c r="W33" s="1884"/>
      <c r="X33" s="1884"/>
      <c r="Y33" s="1238"/>
      <c r="Z33" s="1238"/>
    </row>
    <row r="34" spans="1:26">
      <c r="A34" s="1875" t="s">
        <v>398</v>
      </c>
      <c r="B34" s="1875" t="s">
        <v>398</v>
      </c>
      <c r="C34" s="592" t="s">
        <v>201</v>
      </c>
      <c r="D34" s="583"/>
      <c r="E34" s="583"/>
      <c r="F34" s="593"/>
      <c r="G34" s="593"/>
      <c r="H34" s="593">
        <f>H17-H18-H31</f>
        <v>290412000</v>
      </c>
      <c r="I34" s="593">
        <f>I17-I18-I31</f>
        <v>335171999.99999714</v>
      </c>
      <c r="J34" s="593"/>
      <c r="K34" s="1867"/>
      <c r="L34" s="1867"/>
      <c r="M34" s="1867"/>
      <c r="N34" s="1867"/>
      <c r="O34" s="1867"/>
      <c r="P34" s="1867"/>
      <c r="Q34" s="1867"/>
      <c r="R34" s="1867"/>
      <c r="S34" s="1867"/>
      <c r="T34" s="1867"/>
      <c r="U34" s="1867"/>
      <c r="V34" s="1884"/>
      <c r="W34" s="1884"/>
      <c r="X34" s="1884"/>
      <c r="Y34" s="1238"/>
      <c r="Z34" s="1238"/>
    </row>
    <row r="35" spans="1:26">
      <c r="A35" s="592" t="s">
        <v>588</v>
      </c>
      <c r="B35" s="592" t="s">
        <v>588</v>
      </c>
      <c r="C35" s="592" t="s">
        <v>201</v>
      </c>
      <c r="D35" s="583"/>
      <c r="E35" s="583"/>
      <c r="F35" s="593"/>
      <c r="G35" s="593"/>
      <c r="H35" s="593"/>
      <c r="I35" s="593"/>
      <c r="J35" s="593"/>
      <c r="K35" s="1867">
        <v>42000000</v>
      </c>
      <c r="L35" s="1867">
        <v>98000000</v>
      </c>
      <c r="M35" s="1867">
        <v>37000000</v>
      </c>
      <c r="N35" s="1867"/>
      <c r="O35" s="1867"/>
      <c r="P35" s="1867"/>
      <c r="Q35" s="1884"/>
      <c r="R35" s="1884"/>
      <c r="S35" s="1884"/>
      <c r="T35" s="1884"/>
      <c r="U35" s="1884"/>
      <c r="V35" s="1884"/>
      <c r="W35" s="1884"/>
      <c r="X35" s="1884"/>
      <c r="Y35" s="1238"/>
      <c r="Z35" s="1238"/>
    </row>
    <row r="36" spans="1:26">
      <c r="A36" s="585" t="s">
        <v>76</v>
      </c>
      <c r="B36" s="592" t="s">
        <v>2414</v>
      </c>
      <c r="C36" s="592"/>
      <c r="D36" s="583"/>
      <c r="E36" s="583"/>
      <c r="F36" s="1867">
        <v>1491776000</v>
      </c>
      <c r="G36" s="1867">
        <v>1880220000</v>
      </c>
      <c r="H36" s="1867">
        <v>2686311000</v>
      </c>
      <c r="I36" s="1867">
        <v>3435512999.9999995</v>
      </c>
      <c r="J36" s="1867">
        <v>3200080000</v>
      </c>
      <c r="K36" s="1867"/>
      <c r="L36" s="1867"/>
      <c r="M36" s="1867"/>
      <c r="N36" s="1867"/>
      <c r="O36" s="1867"/>
      <c r="P36" s="1867"/>
      <c r="Q36" s="1884"/>
      <c r="R36" s="1884"/>
      <c r="S36" s="1884"/>
      <c r="T36" s="1884"/>
      <c r="U36" s="1884"/>
      <c r="V36" s="1884"/>
      <c r="W36" s="1884"/>
      <c r="X36" s="1884"/>
      <c r="Y36" s="1238"/>
      <c r="Z36" s="1238"/>
    </row>
    <row r="37" spans="1:26">
      <c r="A37" s="585" t="s">
        <v>76</v>
      </c>
      <c r="B37" s="592" t="s">
        <v>4927</v>
      </c>
      <c r="C37" s="592"/>
      <c r="D37" s="583"/>
      <c r="E37" s="583"/>
      <c r="F37" s="1867">
        <v>114752000.00000001</v>
      </c>
      <c r="G37" s="1867">
        <v>125348000.00000001</v>
      </c>
      <c r="H37" s="1867">
        <v>290412000</v>
      </c>
      <c r="I37" s="1867">
        <v>586550999.99999988</v>
      </c>
      <c r="J37" s="1867">
        <v>658840000</v>
      </c>
      <c r="K37" s="1867"/>
      <c r="L37" s="1867"/>
      <c r="M37" s="1867"/>
      <c r="N37" s="1867"/>
      <c r="O37" s="1867"/>
      <c r="P37" s="1867"/>
      <c r="Q37" s="1884"/>
      <c r="R37" s="1884"/>
      <c r="S37" s="1884"/>
      <c r="T37" s="1884"/>
      <c r="U37" s="1884"/>
      <c r="V37" s="1884"/>
      <c r="W37" s="1884"/>
      <c r="X37" s="1884"/>
      <c r="Y37" s="1238"/>
      <c r="Z37" s="1238"/>
    </row>
    <row r="38" spans="1:26">
      <c r="A38" s="585" t="s">
        <v>76</v>
      </c>
      <c r="B38" s="592" t="s">
        <v>4931</v>
      </c>
      <c r="C38" s="592"/>
      <c r="D38" s="592"/>
      <c r="E38" s="583"/>
      <c r="F38" s="1867">
        <v>-6400000</v>
      </c>
      <c r="G38" s="1867">
        <v>-6100000</v>
      </c>
      <c r="H38" s="1867">
        <v>-5400000</v>
      </c>
      <c r="I38" s="1867">
        <v>-5300000</v>
      </c>
      <c r="J38" s="1867">
        <v>-5100000</v>
      </c>
      <c r="K38" s="1867">
        <v>-3513000000</v>
      </c>
      <c r="L38" s="1867">
        <v>-5110000000</v>
      </c>
      <c r="M38" s="1867">
        <v>-6564000000</v>
      </c>
      <c r="N38" s="1867">
        <v>-4912000000</v>
      </c>
      <c r="O38" s="1867">
        <v>-4063000000</v>
      </c>
      <c r="P38" s="1867"/>
      <c r="Q38" s="1884"/>
      <c r="R38" s="1884"/>
      <c r="S38" s="1884"/>
      <c r="T38" s="1884"/>
      <c r="U38" s="1884"/>
      <c r="V38" s="1884"/>
      <c r="W38" s="1884"/>
      <c r="X38" s="1884"/>
      <c r="Y38" s="1238"/>
      <c r="Z38" s="1238"/>
    </row>
    <row r="39" spans="1:26">
      <c r="A39" s="585" t="s">
        <v>76</v>
      </c>
      <c r="B39" s="592" t="s">
        <v>4932</v>
      </c>
      <c r="C39" s="592"/>
      <c r="D39" s="592"/>
      <c r="E39" s="583"/>
      <c r="F39" s="594">
        <v>-1663904000</v>
      </c>
      <c r="G39" s="594">
        <v>-1880220000</v>
      </c>
      <c r="H39" s="594">
        <v>-2468502000</v>
      </c>
      <c r="I39" s="594">
        <v>-2848961999.9999995</v>
      </c>
      <c r="J39" s="594">
        <v>-3011840000</v>
      </c>
      <c r="K39" s="1867"/>
      <c r="L39" s="1867"/>
      <c r="M39" s="1867"/>
      <c r="N39" s="1867"/>
      <c r="O39" s="1867"/>
      <c r="P39" s="1867"/>
      <c r="Q39" s="1884"/>
      <c r="R39" s="1884"/>
      <c r="S39" s="1884"/>
      <c r="T39" s="1884"/>
      <c r="U39" s="1884"/>
      <c r="V39" s="1884"/>
      <c r="W39" s="1884"/>
      <c r="X39" s="1884"/>
      <c r="Y39" s="1238"/>
      <c r="Z39" s="1238"/>
    </row>
    <row r="40" spans="1:26" s="1862" customFormat="1">
      <c r="A40" s="1872" t="s">
        <v>53</v>
      </c>
      <c r="B40" s="1872" t="s">
        <v>4933</v>
      </c>
      <c r="C40" s="1863" t="s">
        <v>38</v>
      </c>
      <c r="D40" s="1860"/>
      <c r="E40" s="1860"/>
      <c r="F40" s="1864">
        <v>1434400000</v>
      </c>
      <c r="G40" s="1864">
        <v>1817546000</v>
      </c>
      <c r="H40" s="1864">
        <v>2395899000</v>
      </c>
      <c r="I40" s="1864">
        <v>3016548000</v>
      </c>
      <c r="J40" s="1864">
        <v>3294200000.0000005</v>
      </c>
      <c r="K40" s="1873">
        <v>3912000000</v>
      </c>
      <c r="L40" s="1873">
        <v>3574000000</v>
      </c>
      <c r="M40" s="1873">
        <v>3080000000</v>
      </c>
      <c r="N40" s="1873">
        <v>3507000000</v>
      </c>
      <c r="O40" s="1873">
        <v>4485000000</v>
      </c>
      <c r="P40" s="1873">
        <v>4597000000</v>
      </c>
      <c r="Q40" s="1883">
        <v>4369000000</v>
      </c>
      <c r="R40" s="1883">
        <v>3046000000</v>
      </c>
      <c r="S40" s="1883">
        <v>2787000000</v>
      </c>
      <c r="T40" s="1883">
        <v>3540000000</v>
      </c>
      <c r="U40" s="1883">
        <v>3519000000</v>
      </c>
      <c r="V40" s="1883">
        <v>3980000000</v>
      </c>
      <c r="W40" s="1883">
        <v>3976000000</v>
      </c>
      <c r="X40" s="1883">
        <v>4273000000</v>
      </c>
      <c r="Y40" s="1886">
        <v>4273000000</v>
      </c>
      <c r="Z40" s="1886">
        <v>4789000000</v>
      </c>
    </row>
    <row r="41" spans="1:26">
      <c r="A41" s="592" t="s">
        <v>4934</v>
      </c>
      <c r="B41" s="592" t="s">
        <v>4934</v>
      </c>
      <c r="C41" s="592" t="s">
        <v>57</v>
      </c>
      <c r="D41" s="583"/>
      <c r="E41" s="583"/>
      <c r="F41" s="593"/>
      <c r="G41" s="593"/>
      <c r="H41" s="593"/>
      <c r="I41" s="593"/>
      <c r="J41" s="593"/>
      <c r="K41" s="1867">
        <v>2930000000</v>
      </c>
      <c r="L41" s="1867">
        <v>2977000000</v>
      </c>
      <c r="M41" s="1867">
        <v>2742000000</v>
      </c>
      <c r="N41" s="1867">
        <v>2396000000</v>
      </c>
      <c r="O41" s="1867">
        <v>3151000000</v>
      </c>
      <c r="P41" s="1867"/>
      <c r="Q41" s="1884"/>
      <c r="R41" s="1884"/>
      <c r="S41" s="1884"/>
      <c r="T41" s="1884"/>
      <c r="U41" s="1884"/>
      <c r="V41" s="1884"/>
      <c r="W41" s="1884"/>
      <c r="X41" s="1884"/>
      <c r="Y41" s="1238"/>
      <c r="Z41" s="1238"/>
    </row>
    <row r="42" spans="1:26">
      <c r="A42" s="1875" t="s">
        <v>67</v>
      </c>
      <c r="B42" s="1875" t="s">
        <v>4935</v>
      </c>
      <c r="C42" s="592" t="s">
        <v>57</v>
      </c>
      <c r="D42" s="583"/>
      <c r="E42" s="583"/>
      <c r="F42" s="593"/>
      <c r="G42" s="593"/>
      <c r="H42" s="593"/>
      <c r="I42" s="593"/>
      <c r="J42" s="593"/>
      <c r="K42" s="1867">
        <f>K40-K41</f>
        <v>982000000</v>
      </c>
      <c r="L42" s="1867">
        <f t="shared" ref="L42:O42" si="23">L40-L41</f>
        <v>597000000</v>
      </c>
      <c r="M42" s="1867">
        <f t="shared" si="23"/>
        <v>338000000</v>
      </c>
      <c r="N42" s="1867">
        <f t="shared" si="23"/>
        <v>1111000000</v>
      </c>
      <c r="O42" s="1867">
        <f t="shared" si="23"/>
        <v>1334000000</v>
      </c>
      <c r="P42" s="1867"/>
      <c r="Q42" s="1884"/>
      <c r="R42" s="1884"/>
      <c r="S42" s="1884"/>
      <c r="T42" s="1884"/>
      <c r="U42" s="1884"/>
      <c r="V42" s="1884"/>
      <c r="W42" s="1884"/>
      <c r="X42" s="1884"/>
      <c r="Y42" s="1238"/>
      <c r="Z42" s="1238"/>
    </row>
    <row r="43" spans="1:26">
      <c r="A43" s="585" t="s">
        <v>76</v>
      </c>
      <c r="B43" s="592" t="s">
        <v>4936</v>
      </c>
      <c r="C43" s="592"/>
      <c r="D43" s="592"/>
      <c r="E43" s="583"/>
      <c r="F43" s="593"/>
      <c r="G43" s="593"/>
      <c r="H43" s="593"/>
      <c r="I43" s="593"/>
      <c r="J43" s="593"/>
      <c r="K43" s="1867">
        <v>1979000000</v>
      </c>
      <c r="L43" s="1867">
        <v>-89000000</v>
      </c>
      <c r="M43" s="1867">
        <v>-1774000000</v>
      </c>
      <c r="N43" s="1867">
        <v>586000000</v>
      </c>
      <c r="O43" s="1867">
        <v>2684000000</v>
      </c>
      <c r="P43" s="1867"/>
      <c r="Q43" s="1884"/>
      <c r="R43" s="1884"/>
      <c r="S43" s="1884"/>
      <c r="T43" s="1884"/>
      <c r="U43" s="1884"/>
      <c r="V43" s="1884"/>
      <c r="W43" s="1884"/>
      <c r="X43" s="1884"/>
      <c r="Y43" s="1238"/>
      <c r="Z43" s="1238"/>
    </row>
    <row r="44" spans="1:26">
      <c r="A44" s="585" t="s">
        <v>76</v>
      </c>
      <c r="B44" s="592" t="s">
        <v>4937</v>
      </c>
      <c r="C44" s="592"/>
      <c r="D44" s="592"/>
      <c r="E44" s="583"/>
      <c r="F44" s="593">
        <v>-2237664000</v>
      </c>
      <c r="G44" s="593">
        <v>-2005568000.0000002</v>
      </c>
      <c r="H44" s="593">
        <v>-1597266000</v>
      </c>
      <c r="I44" s="593">
        <v>-1424480999.9999998</v>
      </c>
      <c r="J44" s="593">
        <v>-1600040000</v>
      </c>
      <c r="K44" s="1867">
        <v>399000000</v>
      </c>
      <c r="L44" s="1867">
        <v>-1537000000</v>
      </c>
      <c r="M44" s="1867">
        <v>-3485000000</v>
      </c>
      <c r="N44" s="1867">
        <v>-1405000000</v>
      </c>
      <c r="O44" s="1867">
        <v>423000000</v>
      </c>
      <c r="P44" s="1867"/>
      <c r="Q44" s="1884"/>
      <c r="R44" s="1884">
        <v>-2800000000</v>
      </c>
      <c r="S44" s="1884">
        <v>-4315000000</v>
      </c>
      <c r="T44" s="1884">
        <v>-3921000000</v>
      </c>
      <c r="U44" s="1884">
        <v>-4725000000</v>
      </c>
      <c r="V44" s="1884">
        <v>-2890000000</v>
      </c>
      <c r="W44" s="1884">
        <v>-2924000000</v>
      </c>
      <c r="X44" s="1884">
        <v>-4444000000</v>
      </c>
      <c r="Y44" s="1238">
        <v>-7933000000</v>
      </c>
      <c r="Z44" s="1238">
        <v>-8609000000</v>
      </c>
    </row>
    <row r="45" spans="1:26" s="1862" customFormat="1">
      <c r="A45" s="1872" t="s">
        <v>115</v>
      </c>
      <c r="B45" s="1872" t="s">
        <v>4938</v>
      </c>
      <c r="C45" s="1872" t="s">
        <v>35</v>
      </c>
      <c r="D45" s="1872"/>
      <c r="E45" s="1860"/>
      <c r="F45" s="1865">
        <f>F46+F52</f>
        <v>2295040000.0000005</v>
      </c>
      <c r="G45" s="1865">
        <v>2005568000.0000002</v>
      </c>
      <c r="H45" s="1865">
        <v>1597266000</v>
      </c>
      <c r="I45" s="1865">
        <f>I46+I52</f>
        <v>1592067000</v>
      </c>
      <c r="J45" s="1865">
        <f>J46+J52</f>
        <v>1505920000</v>
      </c>
      <c r="K45" s="1873">
        <v>-399000000</v>
      </c>
      <c r="L45" s="1873">
        <v>1537000000</v>
      </c>
      <c r="M45" s="1873">
        <v>3485000000</v>
      </c>
      <c r="N45" s="1873">
        <v>1405000000</v>
      </c>
      <c r="O45" s="1873">
        <v>-423000000</v>
      </c>
      <c r="P45" s="1873">
        <v>376000000</v>
      </c>
      <c r="Q45" s="1883">
        <v>1132000000</v>
      </c>
      <c r="R45" s="1883">
        <v>2800000000</v>
      </c>
      <c r="S45" s="1883">
        <v>4315000000</v>
      </c>
      <c r="T45" s="1883">
        <v>3921000000</v>
      </c>
      <c r="U45" s="1883">
        <v>4725000000</v>
      </c>
      <c r="V45" s="1883">
        <v>2890000000</v>
      </c>
      <c r="W45" s="1883">
        <v>2924000000</v>
      </c>
      <c r="X45" s="1883">
        <v>4444000000</v>
      </c>
      <c r="Y45" s="1886">
        <v>7933000000</v>
      </c>
      <c r="Z45" s="1886">
        <v>8609000000</v>
      </c>
    </row>
    <row r="46" spans="1:26">
      <c r="A46" s="592" t="s">
        <v>117</v>
      </c>
      <c r="B46" s="592" t="s">
        <v>280</v>
      </c>
      <c r="C46" s="592" t="s">
        <v>252</v>
      </c>
      <c r="D46" s="592"/>
      <c r="E46" s="583"/>
      <c r="F46" s="593">
        <v>2122912000.0000002</v>
      </c>
      <c r="G46" s="593">
        <v>3384396000</v>
      </c>
      <c r="H46" s="593">
        <v>4065767999.9999995</v>
      </c>
      <c r="I46" s="1858">
        <f>I47+I48+I51</f>
        <v>2848962000</v>
      </c>
      <c r="J46" s="1858">
        <f>J47+J48+J51</f>
        <v>4329520000</v>
      </c>
      <c r="K46" s="1867">
        <v>2754000000</v>
      </c>
      <c r="L46" s="1867">
        <v>1865000000</v>
      </c>
      <c r="M46" s="1867">
        <v>4019000000</v>
      </c>
      <c r="N46" s="1867">
        <v>3458000000</v>
      </c>
      <c r="O46" s="1867">
        <v>3019000000</v>
      </c>
      <c r="P46" s="1885">
        <f>P64-P61</f>
        <v>2983000000</v>
      </c>
      <c r="Q46" s="1885">
        <f>Q64-Q61</f>
        <v>4183000000</v>
      </c>
      <c r="R46" s="1885">
        <f>R64-R61</f>
        <v>5291000000</v>
      </c>
      <c r="S46" s="1885">
        <f t="shared" ref="S46:Z46" si="24">S64-S61</f>
        <v>6836000000</v>
      </c>
      <c r="T46" s="1885">
        <f t="shared" si="24"/>
        <v>5602000000</v>
      </c>
      <c r="U46" s="1885">
        <f t="shared" si="24"/>
        <v>10333000000</v>
      </c>
      <c r="V46" s="1885">
        <f t="shared" si="24"/>
        <v>9151000000</v>
      </c>
      <c r="W46" s="1885">
        <f t="shared" si="24"/>
        <v>9745000000</v>
      </c>
      <c r="X46" s="1885">
        <f t="shared" si="24"/>
        <v>11255000000</v>
      </c>
      <c r="Y46" s="1885">
        <f t="shared" si="24"/>
        <v>12407000000</v>
      </c>
      <c r="Z46" s="1885">
        <f t="shared" si="24"/>
        <v>14999000000</v>
      </c>
    </row>
    <row r="47" spans="1:26">
      <c r="A47" s="1868" t="s">
        <v>418</v>
      </c>
      <c r="B47" s="1868" t="s">
        <v>418</v>
      </c>
      <c r="C47" s="592" t="s">
        <v>264</v>
      </c>
      <c r="D47" s="592"/>
      <c r="E47" s="583"/>
      <c r="F47" s="593">
        <v>-2639296000</v>
      </c>
      <c r="G47" s="593">
        <v>-2757656000.0000005</v>
      </c>
      <c r="H47" s="593">
        <v>-363015000</v>
      </c>
      <c r="I47" s="593">
        <v>-502757999.99999994</v>
      </c>
      <c r="J47" s="593">
        <v>-752960000</v>
      </c>
      <c r="K47" s="1867">
        <v>-635000000</v>
      </c>
      <c r="L47" s="1867">
        <v>-735000000</v>
      </c>
      <c r="M47" s="1867">
        <v>-911000000</v>
      </c>
      <c r="N47" s="1867">
        <v>-921000000</v>
      </c>
      <c r="O47" s="1867">
        <v>-865000000</v>
      </c>
      <c r="P47" s="1867"/>
      <c r="Q47" s="1884"/>
      <c r="R47" s="1884"/>
      <c r="S47" s="1884"/>
      <c r="T47" s="1884"/>
      <c r="U47" s="1884"/>
      <c r="V47" s="1884"/>
      <c r="W47" s="1884"/>
      <c r="X47" s="1884"/>
      <c r="Y47" s="1238"/>
      <c r="Z47" s="1238"/>
    </row>
    <row r="48" spans="1:26">
      <c r="A48" s="1868" t="s">
        <v>415</v>
      </c>
      <c r="B48" s="1868" t="s">
        <v>415</v>
      </c>
      <c r="C48" s="592" t="s">
        <v>264</v>
      </c>
      <c r="D48" s="592"/>
      <c r="E48" s="583"/>
      <c r="F48" s="593">
        <v>2467167999.9999995</v>
      </c>
      <c r="G48" s="593">
        <v>3697766000</v>
      </c>
      <c r="H48" s="593">
        <v>4428782999.999999</v>
      </c>
      <c r="I48" s="593">
        <v>3351720000</v>
      </c>
      <c r="J48" s="593">
        <v>5082480000</v>
      </c>
      <c r="K48" s="1867">
        <v>3389000000</v>
      </c>
      <c r="L48" s="1867">
        <v>2600000000</v>
      </c>
      <c r="M48" s="1867">
        <v>4930000000</v>
      </c>
      <c r="N48" s="1867">
        <v>4380000000</v>
      </c>
      <c r="O48" s="1867">
        <v>3884000000</v>
      </c>
      <c r="P48" s="1867"/>
      <c r="Q48" s="1884"/>
      <c r="R48" s="1884"/>
      <c r="S48" s="1884"/>
      <c r="T48" s="1884"/>
      <c r="U48" s="1884"/>
      <c r="V48" s="1884"/>
      <c r="W48" s="1884"/>
      <c r="X48" s="1884"/>
      <c r="Y48" s="1238"/>
      <c r="Z48" s="1238"/>
    </row>
    <row r="49" spans="1:26">
      <c r="A49" s="1869" t="s">
        <v>4939</v>
      </c>
      <c r="B49" s="1869" t="s">
        <v>4940</v>
      </c>
      <c r="C49" s="592" t="s">
        <v>708</v>
      </c>
      <c r="D49" s="592"/>
      <c r="E49" s="583"/>
      <c r="F49" s="593"/>
      <c r="G49" s="593"/>
      <c r="H49" s="593"/>
      <c r="I49" s="593"/>
      <c r="J49" s="593"/>
      <c r="K49" s="1867">
        <v>2366000000</v>
      </c>
      <c r="L49" s="1867">
        <v>2600000000</v>
      </c>
      <c r="M49" s="1867">
        <v>3331000000</v>
      </c>
      <c r="N49" s="1867">
        <v>3470000000</v>
      </c>
      <c r="O49" s="1867">
        <v>2876000000</v>
      </c>
      <c r="P49" s="1867"/>
      <c r="Q49" s="1884"/>
      <c r="R49" s="1884"/>
      <c r="S49" s="1884"/>
      <c r="T49" s="1884"/>
      <c r="U49" s="1884"/>
      <c r="V49" s="1884"/>
      <c r="W49" s="1884"/>
      <c r="X49" s="1884"/>
      <c r="Y49" s="1238"/>
      <c r="Z49" s="1238"/>
    </row>
    <row r="50" spans="1:26">
      <c r="A50" s="1869" t="s">
        <v>262</v>
      </c>
      <c r="B50" s="1869" t="s">
        <v>4941</v>
      </c>
      <c r="C50" s="592" t="s">
        <v>708</v>
      </c>
      <c r="D50" s="592"/>
      <c r="E50" s="583"/>
      <c r="F50" s="593"/>
      <c r="G50" s="593"/>
      <c r="H50" s="593"/>
      <c r="I50" s="593"/>
      <c r="J50" s="593"/>
      <c r="K50" s="1867">
        <v>1022000000</v>
      </c>
      <c r="L50" s="1867">
        <v>0</v>
      </c>
      <c r="M50" s="1867">
        <v>1599000000</v>
      </c>
      <c r="N50" s="1867">
        <v>910000000</v>
      </c>
      <c r="O50" s="1867">
        <v>1008000000</v>
      </c>
      <c r="P50" s="1867"/>
      <c r="Q50" s="1884"/>
      <c r="R50" s="1884"/>
      <c r="S50" s="1884"/>
      <c r="T50" s="1884"/>
      <c r="U50" s="1884"/>
      <c r="V50" s="1884"/>
      <c r="W50" s="1884"/>
      <c r="X50" s="1884"/>
      <c r="Y50" s="1238"/>
      <c r="Z50" s="1238"/>
    </row>
    <row r="51" spans="1:26">
      <c r="A51" s="1868" t="s">
        <v>608</v>
      </c>
      <c r="B51" s="1868" t="s">
        <v>910</v>
      </c>
      <c r="C51" s="592" t="s">
        <v>264</v>
      </c>
      <c r="D51" s="592"/>
      <c r="E51" s="583"/>
      <c r="F51" s="593">
        <v>2295040000</v>
      </c>
      <c r="G51" s="593">
        <v>2444286000</v>
      </c>
      <c r="H51" s="593">
        <v>0</v>
      </c>
      <c r="I51" s="593">
        <v>0</v>
      </c>
      <c r="J51" s="593">
        <v>0</v>
      </c>
      <c r="K51" s="1867"/>
      <c r="L51" s="1867"/>
      <c r="M51" s="1867"/>
      <c r="N51" s="1867"/>
      <c r="O51" s="1867"/>
      <c r="P51" s="1867"/>
      <c r="Q51" s="1884"/>
      <c r="R51" s="1884"/>
      <c r="S51" s="1884"/>
      <c r="T51" s="1884"/>
      <c r="U51" s="1884"/>
      <c r="V51" s="1884"/>
      <c r="W51" s="1884"/>
      <c r="X51" s="1884"/>
      <c r="Y51" s="1238"/>
      <c r="Z51" s="1238"/>
    </row>
    <row r="52" spans="1:26">
      <c r="A52" s="592" t="s">
        <v>120</v>
      </c>
      <c r="B52" s="592" t="s">
        <v>209</v>
      </c>
      <c r="C52" s="592" t="s">
        <v>252</v>
      </c>
      <c r="D52" s="592"/>
      <c r="E52" s="583"/>
      <c r="F52" s="1858">
        <f>F53+F54+F55+F56+F57+F58</f>
        <v>172128000.00000003</v>
      </c>
      <c r="G52" s="1858">
        <f t="shared" ref="G52:M52" si="25">G53+G54+G55+G56+G57+G58</f>
        <v>-1378828000</v>
      </c>
      <c r="H52" s="1858">
        <f t="shared" si="25"/>
        <v>-2468502000</v>
      </c>
      <c r="I52" s="1858">
        <f t="shared" si="25"/>
        <v>-1256895000</v>
      </c>
      <c r="J52" s="1858">
        <f t="shared" si="25"/>
        <v>-2823600000</v>
      </c>
      <c r="K52" s="1858">
        <f t="shared" si="25"/>
        <v>-3154000000</v>
      </c>
      <c r="L52" s="1858">
        <f t="shared" si="25"/>
        <v>-328000000</v>
      </c>
      <c r="M52" s="1858">
        <f t="shared" si="25"/>
        <v>-535000000</v>
      </c>
      <c r="N52" s="1867">
        <v>-2053000000</v>
      </c>
      <c r="O52" s="1867">
        <v>-3442000000</v>
      </c>
      <c r="P52" s="1876">
        <f>P63-P60</f>
        <v>-586000000</v>
      </c>
      <c r="Q52" s="1876">
        <f t="shared" ref="Q52:Z52" si="26">Q63-Q60</f>
        <v>-4205000000</v>
      </c>
      <c r="R52" s="1876">
        <f>R63-R60</f>
        <v>105000000</v>
      </c>
      <c r="S52" s="1876">
        <f t="shared" si="26"/>
        <v>-635000000</v>
      </c>
      <c r="T52" s="1876">
        <f t="shared" si="26"/>
        <v>-1491000000</v>
      </c>
      <c r="U52" s="1876">
        <f t="shared" si="26"/>
        <v>-4452000000</v>
      </c>
      <c r="V52" s="1885">
        <f t="shared" si="26"/>
        <v>-4301000000</v>
      </c>
      <c r="W52" s="1885">
        <f t="shared" si="26"/>
        <v>-5139000000</v>
      </c>
      <c r="X52" s="1885">
        <f t="shared" si="26"/>
        <v>-5050000000</v>
      </c>
      <c r="Y52" s="1885">
        <f t="shared" si="26"/>
        <v>-3154000000</v>
      </c>
      <c r="Z52" s="1885">
        <f t="shared" si="26"/>
        <v>-5238000000</v>
      </c>
    </row>
    <row r="53" spans="1:26">
      <c r="A53" s="1868" t="s">
        <v>2146</v>
      </c>
      <c r="B53" s="1868" t="s">
        <v>4942</v>
      </c>
      <c r="C53" s="592" t="s">
        <v>124</v>
      </c>
      <c r="D53" s="592"/>
      <c r="E53" s="583"/>
      <c r="F53" s="593">
        <v>-1377024000</v>
      </c>
      <c r="G53" s="593">
        <v>-1002784000.0000001</v>
      </c>
      <c r="H53" s="593">
        <v>-3194532000</v>
      </c>
      <c r="I53" s="593">
        <v>-754137000</v>
      </c>
      <c r="J53" s="593">
        <v>-1976520000.0000002</v>
      </c>
      <c r="K53" s="1867">
        <v>-2389000000</v>
      </c>
      <c r="L53" s="1867">
        <v>932000000</v>
      </c>
      <c r="M53" s="1867">
        <v>-824000000</v>
      </c>
      <c r="N53" s="1867"/>
      <c r="O53" s="1867"/>
      <c r="P53" s="1867"/>
      <c r="Q53" s="1884"/>
      <c r="R53" s="1884"/>
      <c r="S53" s="1884"/>
      <c r="T53" s="1884"/>
      <c r="U53" s="1884"/>
      <c r="V53" s="1884"/>
      <c r="W53" s="1884"/>
      <c r="X53" s="1884"/>
      <c r="Y53" s="1238"/>
      <c r="Z53" s="1238"/>
    </row>
    <row r="54" spans="1:26">
      <c r="A54" s="1868" t="s">
        <v>2147</v>
      </c>
      <c r="B54" s="1868" t="s">
        <v>4943</v>
      </c>
      <c r="C54" s="592" t="s">
        <v>124</v>
      </c>
      <c r="D54" s="592"/>
      <c r="E54" s="583"/>
      <c r="F54" s="593">
        <v>344256000</v>
      </c>
      <c r="G54" s="593">
        <v>62674000.000000007</v>
      </c>
      <c r="H54" s="593">
        <v>-72603000</v>
      </c>
      <c r="I54" s="593">
        <v>-83793000</v>
      </c>
      <c r="J54" s="593">
        <v>-94120000</v>
      </c>
      <c r="K54" s="1867">
        <v>11000000</v>
      </c>
      <c r="L54" s="1867">
        <v>-147000000</v>
      </c>
      <c r="M54" s="1867">
        <v>-19000000</v>
      </c>
      <c r="N54" s="1867"/>
      <c r="O54" s="1867"/>
      <c r="P54" s="1867"/>
      <c r="Q54" s="1884"/>
      <c r="R54" s="1884"/>
      <c r="S54" s="1884"/>
      <c r="T54" s="1884"/>
      <c r="U54" s="1884"/>
      <c r="V54" s="1884"/>
      <c r="W54" s="1884"/>
      <c r="X54" s="1884"/>
      <c r="Y54" s="1238"/>
      <c r="Z54" s="1238"/>
    </row>
    <row r="55" spans="1:26">
      <c r="A55" s="1868" t="s">
        <v>4944</v>
      </c>
      <c r="B55" s="1868" t="s">
        <v>4945</v>
      </c>
      <c r="C55" s="592" t="s">
        <v>124</v>
      </c>
      <c r="D55" s="592"/>
      <c r="E55" s="583"/>
      <c r="F55" s="593"/>
      <c r="G55" s="593"/>
      <c r="H55" s="593"/>
      <c r="I55" s="593"/>
      <c r="J55" s="593"/>
      <c r="K55" s="1867">
        <v>-1724000000</v>
      </c>
      <c r="L55" s="1867">
        <v>-2320000000</v>
      </c>
      <c r="M55" s="1867">
        <v>-2313000000</v>
      </c>
      <c r="N55" s="1867"/>
      <c r="O55" s="1867"/>
      <c r="P55" s="1867"/>
      <c r="Q55" s="1884"/>
      <c r="R55" s="1884"/>
      <c r="S55" s="1884"/>
      <c r="T55" s="1884"/>
      <c r="U55" s="1884"/>
      <c r="V55" s="1884"/>
      <c r="W55" s="1884"/>
      <c r="X55" s="1884"/>
      <c r="Y55" s="1238"/>
      <c r="Z55" s="1238"/>
    </row>
    <row r="56" spans="1:26">
      <c r="A56" s="1868" t="s">
        <v>4946</v>
      </c>
      <c r="B56" s="1868" t="s">
        <v>4947</v>
      </c>
      <c r="C56" s="592" t="s">
        <v>124</v>
      </c>
      <c r="D56" s="592"/>
      <c r="E56" s="583"/>
      <c r="F56" s="593"/>
      <c r="G56" s="593"/>
      <c r="H56" s="593"/>
      <c r="I56" s="593"/>
      <c r="J56" s="593"/>
      <c r="K56" s="1867">
        <v>142000000</v>
      </c>
      <c r="L56" s="1867">
        <v>867000000</v>
      </c>
      <c r="M56" s="1867">
        <v>2414000000</v>
      </c>
      <c r="N56" s="1867"/>
      <c r="O56" s="1867"/>
      <c r="P56" s="1867"/>
      <c r="Q56" s="1884"/>
      <c r="R56" s="1884"/>
      <c r="S56" s="1884"/>
      <c r="T56" s="1884"/>
      <c r="U56" s="1884"/>
      <c r="V56" s="1884"/>
      <c r="W56" s="1884"/>
      <c r="X56" s="1884"/>
      <c r="Y56" s="1238"/>
      <c r="Z56" s="1238"/>
    </row>
    <row r="57" spans="1:26">
      <c r="A57" s="1868" t="s">
        <v>3577</v>
      </c>
      <c r="B57" s="1868" t="s">
        <v>3577</v>
      </c>
      <c r="C57" s="592" t="s">
        <v>124</v>
      </c>
      <c r="D57" s="592"/>
      <c r="E57" s="583"/>
      <c r="F57" s="593">
        <v>975392000</v>
      </c>
      <c r="G57" s="593">
        <v>-626740000</v>
      </c>
      <c r="H57" s="593">
        <v>-217809000</v>
      </c>
      <c r="I57" s="593">
        <v>-586550999.99999988</v>
      </c>
      <c r="J57" s="593">
        <v>-941200000</v>
      </c>
      <c r="K57" s="1867">
        <v>806000000</v>
      </c>
      <c r="L57" s="1867">
        <v>340000000</v>
      </c>
      <c r="M57" s="1867">
        <v>207000000</v>
      </c>
      <c r="N57" s="1867"/>
      <c r="O57" s="1867"/>
      <c r="P57" s="1867"/>
      <c r="Q57" s="1884"/>
      <c r="R57" s="1884"/>
      <c r="S57" s="1884"/>
      <c r="T57" s="1884"/>
      <c r="U57" s="1884"/>
      <c r="V57" s="1884"/>
      <c r="W57" s="1884"/>
      <c r="X57" s="1884"/>
      <c r="Y57" s="1238"/>
      <c r="Z57" s="1238"/>
    </row>
    <row r="58" spans="1:26">
      <c r="A58" s="592" t="s">
        <v>858</v>
      </c>
      <c r="B58" s="592" t="s">
        <v>858</v>
      </c>
      <c r="C58" s="592" t="s">
        <v>124</v>
      </c>
      <c r="D58" s="592"/>
      <c r="E58" s="583"/>
      <c r="F58" s="593">
        <v>229504000.00000003</v>
      </c>
      <c r="G58" s="593">
        <v>188022000</v>
      </c>
      <c r="H58" s="593">
        <v>1016441999.9999999</v>
      </c>
      <c r="I58" s="593">
        <v>167586000</v>
      </c>
      <c r="J58" s="593">
        <v>188240000</v>
      </c>
      <c r="K58" s="1867">
        <v>0</v>
      </c>
      <c r="L58" s="1867">
        <v>0</v>
      </c>
      <c r="M58" s="593"/>
      <c r="N58" s="1867"/>
      <c r="O58" s="1867"/>
      <c r="P58" s="1867"/>
      <c r="Q58" s="1884"/>
      <c r="R58" s="1884"/>
      <c r="S58" s="1884"/>
      <c r="T58" s="1884"/>
      <c r="U58" s="1884"/>
      <c r="V58" s="1884"/>
      <c r="W58" s="1884"/>
      <c r="X58" s="1884"/>
      <c r="Y58" s="1238"/>
      <c r="Z58" s="1238"/>
    </row>
    <row r="59" spans="1:26">
      <c r="A59" s="592"/>
      <c r="B59" s="1871" t="s">
        <v>4948</v>
      </c>
      <c r="C59" s="592"/>
      <c r="D59" s="592"/>
      <c r="E59" s="583"/>
      <c r="F59" s="593"/>
      <c r="G59" s="593"/>
      <c r="H59" s="593"/>
      <c r="I59" s="593"/>
      <c r="J59" s="593"/>
      <c r="K59" s="1867"/>
      <c r="L59" s="1867"/>
      <c r="M59" s="593"/>
      <c r="N59" s="1867"/>
      <c r="O59" s="1867"/>
      <c r="P59" s="1867">
        <v>0</v>
      </c>
      <c r="Q59" s="1884">
        <v>319000000</v>
      </c>
      <c r="R59" s="1884">
        <v>290000000</v>
      </c>
      <c r="S59" s="1884">
        <v>84000000</v>
      </c>
      <c r="T59" s="1884">
        <v>387000000</v>
      </c>
      <c r="U59" s="1884">
        <v>439000000</v>
      </c>
      <c r="V59" s="1884">
        <v>174000000</v>
      </c>
      <c r="W59" s="1884">
        <v>182000000</v>
      </c>
      <c r="X59" s="1884">
        <v>191000000</v>
      </c>
      <c r="Y59" s="1238">
        <v>201000000</v>
      </c>
      <c r="Z59" s="1238">
        <v>0</v>
      </c>
    </row>
    <row r="60" spans="1:26">
      <c r="A60" s="592"/>
      <c r="B60" s="1871" t="s">
        <v>209</v>
      </c>
      <c r="C60" s="592"/>
      <c r="D60" s="592"/>
      <c r="E60" s="583"/>
      <c r="F60" s="593"/>
      <c r="G60" s="593"/>
      <c r="H60" s="593"/>
      <c r="I60" s="593"/>
      <c r="J60" s="593"/>
      <c r="K60" s="1867"/>
      <c r="L60" s="1867"/>
      <c r="M60" s="593"/>
      <c r="N60" s="1867"/>
      <c r="O60" s="1867"/>
      <c r="P60" s="1867">
        <v>0</v>
      </c>
      <c r="Q60" s="1884">
        <v>0</v>
      </c>
      <c r="R60" s="1884">
        <v>0</v>
      </c>
      <c r="S60" s="1884">
        <v>-66000000</v>
      </c>
      <c r="T60" s="1884">
        <v>230000000</v>
      </c>
      <c r="U60" s="1884">
        <v>240000000</v>
      </c>
      <c r="V60" s="1884">
        <v>174000000</v>
      </c>
      <c r="W60" s="1884">
        <v>182000000</v>
      </c>
      <c r="X60" s="1884">
        <v>191000000</v>
      </c>
      <c r="Y60" s="1238">
        <v>201000000</v>
      </c>
      <c r="Z60" s="1238">
        <v>0</v>
      </c>
    </row>
    <row r="61" spans="1:26">
      <c r="A61" s="592"/>
      <c r="B61" s="1871" t="s">
        <v>212</v>
      </c>
      <c r="C61" s="592"/>
      <c r="D61" s="592"/>
      <c r="E61" s="583"/>
      <c r="F61" s="593"/>
      <c r="G61" s="593"/>
      <c r="H61" s="593"/>
      <c r="I61" s="593"/>
      <c r="J61" s="593"/>
      <c r="K61" s="1867"/>
      <c r="L61" s="1867"/>
      <c r="M61" s="593"/>
      <c r="N61" s="1867"/>
      <c r="O61" s="1867"/>
      <c r="P61" s="1867">
        <v>0</v>
      </c>
      <c r="Q61" s="1884">
        <v>319000000</v>
      </c>
      <c r="R61" s="1884">
        <v>290000000</v>
      </c>
      <c r="S61" s="1884">
        <v>150000000</v>
      </c>
      <c r="T61" s="1884">
        <v>157000000</v>
      </c>
      <c r="U61" s="1884">
        <v>199000000</v>
      </c>
      <c r="V61" s="1884">
        <v>0</v>
      </c>
      <c r="W61" s="1884">
        <v>0</v>
      </c>
      <c r="X61" s="1884">
        <v>0</v>
      </c>
      <c r="Y61" s="1238">
        <v>0</v>
      </c>
      <c r="Z61" s="1238">
        <v>0</v>
      </c>
    </row>
    <row r="62" spans="1:26">
      <c r="A62" s="592"/>
      <c r="B62" s="1871" t="s">
        <v>689</v>
      </c>
      <c r="C62" s="592"/>
      <c r="D62" s="592"/>
      <c r="E62" s="583"/>
      <c r="F62" s="593"/>
      <c r="G62" s="593"/>
      <c r="H62" s="593"/>
      <c r="I62" s="593"/>
      <c r="J62" s="593"/>
      <c r="K62" s="1867"/>
      <c r="L62" s="1867"/>
      <c r="M62" s="593"/>
      <c r="N62" s="1867"/>
      <c r="O62" s="1867"/>
      <c r="P62" s="1867">
        <v>2398000000</v>
      </c>
      <c r="Q62" s="1884">
        <v>297000000</v>
      </c>
      <c r="R62" s="1884">
        <v>5686000000</v>
      </c>
      <c r="S62" s="1884">
        <v>6284000000</v>
      </c>
      <c r="T62" s="1884">
        <v>4498000000</v>
      </c>
      <c r="U62" s="1884">
        <v>6320000000</v>
      </c>
      <c r="V62" s="1884">
        <v>5024000000</v>
      </c>
      <c r="W62" s="1884">
        <v>4788000000</v>
      </c>
      <c r="X62" s="1884">
        <v>6396000000</v>
      </c>
      <c r="Y62" s="1238">
        <v>9454000000</v>
      </c>
      <c r="Z62" s="1238">
        <v>9761000000</v>
      </c>
    </row>
    <row r="63" spans="1:26">
      <c r="A63" s="592"/>
      <c r="B63" s="1871" t="s">
        <v>209</v>
      </c>
      <c r="C63" s="592"/>
      <c r="D63" s="592"/>
      <c r="E63" s="583"/>
      <c r="F63" s="593"/>
      <c r="G63" s="593"/>
      <c r="H63" s="593"/>
      <c r="I63" s="593"/>
      <c r="J63" s="593"/>
      <c r="K63" s="1867"/>
      <c r="L63" s="1867"/>
      <c r="M63" s="593"/>
      <c r="N63" s="1867"/>
      <c r="O63" s="1867"/>
      <c r="P63" s="1867">
        <v>-586000000</v>
      </c>
      <c r="Q63" s="1884">
        <v>-4205000000</v>
      </c>
      <c r="R63" s="1884">
        <v>105000000</v>
      </c>
      <c r="S63" s="1884">
        <v>-701000000</v>
      </c>
      <c r="T63" s="1884">
        <v>-1261000000</v>
      </c>
      <c r="U63" s="1884">
        <v>-4212000000</v>
      </c>
      <c r="V63" s="1884">
        <v>-4127000000</v>
      </c>
      <c r="W63" s="1884">
        <v>-4957000000</v>
      </c>
      <c r="X63" s="1884">
        <v>-4859000000</v>
      </c>
      <c r="Y63" s="1238">
        <v>-2953000000</v>
      </c>
      <c r="Z63" s="1238">
        <v>-5238000000</v>
      </c>
    </row>
    <row r="64" spans="1:26">
      <c r="A64" s="592"/>
      <c r="B64" s="1871" t="s">
        <v>212</v>
      </c>
      <c r="C64" s="592"/>
      <c r="D64" s="592"/>
      <c r="E64" s="583"/>
      <c r="F64" s="593"/>
      <c r="G64" s="593"/>
      <c r="H64" s="593"/>
      <c r="I64" s="593"/>
      <c r="J64" s="593"/>
      <c r="K64" s="1867"/>
      <c r="L64" s="1867"/>
      <c r="M64" s="593"/>
      <c r="N64" s="1867"/>
      <c r="O64" s="1867"/>
      <c r="P64" s="1867">
        <v>2983000000</v>
      </c>
      <c r="Q64" s="1884">
        <v>4502000000</v>
      </c>
      <c r="R64" s="1884">
        <v>5581000000</v>
      </c>
      <c r="S64" s="1884">
        <v>6986000000</v>
      </c>
      <c r="T64" s="1884">
        <v>5759000000</v>
      </c>
      <c r="U64" s="1884">
        <v>10532000000</v>
      </c>
      <c r="V64" s="1884">
        <v>9151000000</v>
      </c>
      <c r="W64" s="1884">
        <v>9745000000</v>
      </c>
      <c r="X64" s="1884">
        <v>11255000000</v>
      </c>
      <c r="Y64" s="1238">
        <v>12407000000</v>
      </c>
      <c r="Z64" s="1238">
        <v>14999000000</v>
      </c>
    </row>
    <row r="65" spans="1:26 16384:16384">
      <c r="A65" s="592"/>
      <c r="B65" s="1871" t="s">
        <v>4949</v>
      </c>
      <c r="C65" s="592"/>
      <c r="D65" s="592"/>
      <c r="E65" s="583"/>
      <c r="F65" s="593"/>
      <c r="G65" s="593"/>
      <c r="H65" s="593"/>
      <c r="I65" s="593"/>
      <c r="J65" s="593"/>
      <c r="K65" s="1867"/>
      <c r="L65" s="1867"/>
      <c r="M65" s="593"/>
      <c r="N65" s="1867"/>
      <c r="O65" s="1867"/>
      <c r="P65" s="1867">
        <v>2398000000</v>
      </c>
      <c r="Q65" s="1884">
        <v>-22000000</v>
      </c>
      <c r="R65" s="1884">
        <v>5397000000</v>
      </c>
      <c r="S65" s="1884">
        <v>6200000000</v>
      </c>
      <c r="T65" s="1884">
        <v>4111000000</v>
      </c>
      <c r="U65" s="1884">
        <v>5881000000</v>
      </c>
      <c r="V65" s="1884">
        <v>4851000000</v>
      </c>
      <c r="W65" s="1884">
        <v>4606000000</v>
      </c>
      <c r="X65" s="1884">
        <v>6205000000</v>
      </c>
      <c r="Y65" s="1238">
        <v>9253000000</v>
      </c>
      <c r="Z65" s="1238">
        <v>9761000000</v>
      </c>
    </row>
    <row r="66" spans="1:26 16384:16384">
      <c r="A66" s="1871" t="s">
        <v>4950</v>
      </c>
      <c r="B66" s="1871" t="s">
        <v>4951</v>
      </c>
      <c r="C66" s="1871" t="s">
        <v>252</v>
      </c>
      <c r="D66" s="592"/>
      <c r="E66" s="583"/>
      <c r="F66" s="593"/>
      <c r="G66" s="593"/>
      <c r="H66" s="593"/>
      <c r="I66" s="593"/>
      <c r="J66" s="593"/>
      <c r="K66" s="1867"/>
      <c r="L66" s="1867"/>
      <c r="M66" s="593"/>
      <c r="N66" s="1867"/>
      <c r="O66" s="1867"/>
      <c r="P66" s="1876">
        <v>-2021000000</v>
      </c>
      <c r="Q66" s="1885">
        <v>1154000000</v>
      </c>
      <c r="R66" s="1885">
        <v>-2597000000</v>
      </c>
      <c r="S66" s="1885">
        <v>-1885000000</v>
      </c>
      <c r="T66" s="1885">
        <v>-190000000</v>
      </c>
      <c r="U66" s="1885">
        <v>-1156000000</v>
      </c>
      <c r="V66" s="1885">
        <v>-1961000000</v>
      </c>
      <c r="W66" s="1885">
        <v>-1682000000</v>
      </c>
      <c r="X66" s="1885">
        <v>-1761000000</v>
      </c>
      <c r="Y66" s="1887">
        <v>-1320000000</v>
      </c>
      <c r="Z66" s="1887">
        <v>-1152000000</v>
      </c>
    </row>
    <row r="67" spans="1:26 16384:16384">
      <c r="B67" s="1868"/>
      <c r="C67" s="592"/>
      <c r="D67" s="592"/>
      <c r="E67" s="583"/>
      <c r="L67" s="1877"/>
      <c r="N67" s="1878"/>
      <c r="O67" s="1878"/>
      <c r="P67" s="1878"/>
      <c r="Q67" s="1878"/>
      <c r="R67" s="1878"/>
      <c r="S67" s="583"/>
      <c r="T67" s="583"/>
      <c r="U67" s="583"/>
      <c r="V67" s="583"/>
      <c r="W67" s="583"/>
      <c r="X67" s="583"/>
    </row>
    <row r="68" spans="1:26 16384:16384">
      <c r="B68" s="1868"/>
      <c r="C68" s="592"/>
      <c r="D68" s="592"/>
      <c r="E68" s="583"/>
      <c r="F68" s="585" t="s">
        <v>139</v>
      </c>
      <c r="G68" s="585" t="s">
        <v>139</v>
      </c>
      <c r="H68" s="585" t="s">
        <v>139</v>
      </c>
      <c r="I68" s="585" t="s">
        <v>139</v>
      </c>
      <c r="J68" s="585" t="s">
        <v>139</v>
      </c>
      <c r="K68" s="585" t="s">
        <v>139</v>
      </c>
      <c r="L68" s="585" t="s">
        <v>138</v>
      </c>
      <c r="M68" s="585" t="s">
        <v>139</v>
      </c>
      <c r="N68" s="585" t="s">
        <v>139</v>
      </c>
      <c r="O68" s="585" t="s">
        <v>139</v>
      </c>
      <c r="P68" s="585" t="s">
        <v>139</v>
      </c>
      <c r="Q68" s="585" t="s">
        <v>139</v>
      </c>
      <c r="R68" s="585" t="s">
        <v>139</v>
      </c>
      <c r="S68" s="585" t="s">
        <v>139</v>
      </c>
      <c r="T68" s="585" t="s">
        <v>139</v>
      </c>
      <c r="U68" s="585" t="s">
        <v>139</v>
      </c>
      <c r="V68" s="585" t="s">
        <v>139</v>
      </c>
      <c r="W68" s="585" t="s">
        <v>139</v>
      </c>
      <c r="X68" s="585" t="s">
        <v>139</v>
      </c>
      <c r="Y68" s="585" t="s">
        <v>139</v>
      </c>
      <c r="Z68" s="585" t="s">
        <v>139</v>
      </c>
    </row>
    <row r="69" spans="1:26 16384:16384">
      <c r="B69" s="1868"/>
      <c r="C69" s="592"/>
      <c r="D69" s="592"/>
      <c r="E69" s="583"/>
      <c r="N69" s="1878"/>
      <c r="O69" s="1878"/>
      <c r="P69" s="1878"/>
      <c r="Q69" s="1878"/>
      <c r="R69" s="1878"/>
      <c r="S69" s="583"/>
      <c r="T69" s="583"/>
      <c r="U69" s="583"/>
      <c r="V69" s="583"/>
      <c r="W69" s="583"/>
      <c r="X69" s="583"/>
    </row>
    <row r="70" spans="1:26 16384:16384">
      <c r="B70" s="1868" t="s">
        <v>2430</v>
      </c>
      <c r="C70" s="592"/>
      <c r="D70" s="592"/>
      <c r="E70" s="583"/>
      <c r="F70" s="595">
        <f>F6-F40-F7</f>
        <v>0</v>
      </c>
      <c r="G70" s="595">
        <f t="shared" ref="G70:R70" si="27">G6-G40-G7</f>
        <v>0</v>
      </c>
      <c r="H70" s="595">
        <f t="shared" si="27"/>
        <v>0</v>
      </c>
      <c r="I70" s="595">
        <f t="shared" si="27"/>
        <v>0</v>
      </c>
      <c r="J70" s="595">
        <f t="shared" si="27"/>
        <v>0</v>
      </c>
      <c r="K70" s="595">
        <f t="shared" si="27"/>
        <v>0</v>
      </c>
      <c r="L70" s="595">
        <f t="shared" si="27"/>
        <v>0</v>
      </c>
      <c r="M70" s="595">
        <f t="shared" si="27"/>
        <v>0</v>
      </c>
      <c r="N70" s="595">
        <f t="shared" si="27"/>
        <v>0</v>
      </c>
      <c r="O70" s="595">
        <f t="shared" si="27"/>
        <v>0</v>
      </c>
      <c r="P70" s="595">
        <f t="shared" si="27"/>
        <v>0</v>
      </c>
      <c r="Q70" s="595">
        <f t="shared" si="27"/>
        <v>0</v>
      </c>
      <c r="R70" s="595">
        <f t="shared" si="27"/>
        <v>0</v>
      </c>
      <c r="S70" s="595">
        <f t="shared" ref="S70:Z70" si="28">S6-S40-S7</f>
        <v>-1000000</v>
      </c>
      <c r="T70" s="595">
        <f t="shared" si="28"/>
        <v>0</v>
      </c>
      <c r="U70" s="595">
        <f t="shared" si="28"/>
        <v>0</v>
      </c>
      <c r="V70" s="595">
        <f t="shared" si="28"/>
        <v>0</v>
      </c>
      <c r="W70" s="595">
        <f t="shared" si="28"/>
        <v>0</v>
      </c>
      <c r="X70" s="595">
        <f t="shared" si="28"/>
        <v>-1000000</v>
      </c>
      <c r="Y70" s="595">
        <f t="shared" si="28"/>
        <v>-1000000</v>
      </c>
      <c r="Z70" s="595">
        <f t="shared" si="28"/>
        <v>0</v>
      </c>
      <c r="XFD70" s="595"/>
    </row>
    <row r="71" spans="1:26 16384:16384">
      <c r="B71" s="585" t="s">
        <v>141</v>
      </c>
      <c r="C71" s="592"/>
      <c r="D71" s="592"/>
      <c r="E71" s="583"/>
      <c r="F71" s="596">
        <f t="shared" ref="F71:Q71" si="29">F7-F8-F15</f>
        <v>0</v>
      </c>
      <c r="G71" s="596">
        <f t="shared" si="29"/>
        <v>0</v>
      </c>
      <c r="H71" s="596">
        <f t="shared" si="29"/>
        <v>0</v>
      </c>
      <c r="I71" s="596">
        <f t="shared" si="29"/>
        <v>3.9339065551757813E-6</v>
      </c>
      <c r="J71" s="596">
        <f t="shared" si="29"/>
        <v>0</v>
      </c>
      <c r="K71" s="596">
        <f t="shared" si="29"/>
        <v>0</v>
      </c>
      <c r="L71" s="596">
        <f t="shared" si="29"/>
        <v>-1000000</v>
      </c>
      <c r="M71" s="596">
        <f t="shared" si="29"/>
        <v>0</v>
      </c>
      <c r="N71" s="596">
        <f t="shared" si="29"/>
        <v>0</v>
      </c>
      <c r="O71" s="596">
        <f t="shared" si="29"/>
        <v>0</v>
      </c>
      <c r="P71" s="596">
        <f t="shared" si="29"/>
        <v>0</v>
      </c>
      <c r="Q71" s="596">
        <f t="shared" si="29"/>
        <v>0</v>
      </c>
      <c r="R71" s="596">
        <f>R7-R8-R15</f>
        <v>0</v>
      </c>
      <c r="S71" s="596">
        <f t="shared" ref="S71:Z71" si="30">S7-S8-S15</f>
        <v>0</v>
      </c>
      <c r="T71" s="596">
        <f t="shared" si="30"/>
        <v>0</v>
      </c>
      <c r="U71" s="596">
        <f t="shared" si="30"/>
        <v>0</v>
      </c>
      <c r="V71" s="596">
        <f t="shared" si="30"/>
        <v>0</v>
      </c>
      <c r="W71" s="596">
        <f t="shared" si="30"/>
        <v>0</v>
      </c>
      <c r="X71" s="596">
        <f t="shared" si="30"/>
        <v>0</v>
      </c>
      <c r="Y71" s="596">
        <f t="shared" si="30"/>
        <v>0</v>
      </c>
      <c r="Z71" s="596">
        <f t="shared" si="30"/>
        <v>0</v>
      </c>
      <c r="XFD71" s="596"/>
    </row>
    <row r="72" spans="1:26 16384:16384">
      <c r="B72" s="585" t="s">
        <v>142</v>
      </c>
      <c r="C72" s="592"/>
      <c r="D72" s="592"/>
      <c r="E72" s="583"/>
      <c r="F72" s="597">
        <f t="shared" ref="F72:O72" si="31">F8-F9-F12-F13-F14</f>
        <v>7745760000</v>
      </c>
      <c r="G72" s="597">
        <f t="shared" si="31"/>
        <v>9401100000</v>
      </c>
      <c r="H72" s="597">
        <f t="shared" si="31"/>
        <v>11253465000</v>
      </c>
      <c r="I72" s="597">
        <f t="shared" si="31"/>
        <v>13742051999.999998</v>
      </c>
      <c r="J72" s="597">
        <f t="shared" si="31"/>
        <v>15341560000.000002</v>
      </c>
      <c r="K72" s="596">
        <f t="shared" si="31"/>
        <v>0</v>
      </c>
      <c r="L72" s="596">
        <f t="shared" si="31"/>
        <v>0</v>
      </c>
      <c r="M72" s="596">
        <f t="shared" si="31"/>
        <v>0</v>
      </c>
      <c r="N72" s="596">
        <f t="shared" si="31"/>
        <v>1000000</v>
      </c>
      <c r="O72" s="596">
        <f t="shared" si="31"/>
        <v>1000000</v>
      </c>
      <c r="P72" s="596">
        <f>P8-P9-P13-P14-P10-P11-P12</f>
        <v>1000000</v>
      </c>
      <c r="Q72" s="596">
        <f t="shared" ref="Q72:R72" si="32">Q8-Q9-Q13-Q14-Q10-Q11</f>
        <v>0</v>
      </c>
      <c r="R72" s="596">
        <f t="shared" si="32"/>
        <v>0</v>
      </c>
      <c r="S72" s="596">
        <f t="shared" ref="S72:Z72" si="33">S8-S9-S13-S14-S10-S11</f>
        <v>0</v>
      </c>
      <c r="T72" s="596">
        <f t="shared" si="33"/>
        <v>-1000000</v>
      </c>
      <c r="U72" s="596">
        <f t="shared" si="33"/>
        <v>0</v>
      </c>
      <c r="V72" s="596">
        <f t="shared" si="33"/>
        <v>0</v>
      </c>
      <c r="W72" s="596">
        <f t="shared" si="33"/>
        <v>0</v>
      </c>
      <c r="X72" s="596">
        <f t="shared" si="33"/>
        <v>1000000</v>
      </c>
      <c r="Y72" s="596">
        <f t="shared" si="33"/>
        <v>0</v>
      </c>
      <c r="Z72" s="596">
        <f t="shared" si="33"/>
        <v>0</v>
      </c>
      <c r="XFD72" s="596"/>
    </row>
    <row r="73" spans="1:26 16384:16384">
      <c r="B73" s="585" t="s">
        <v>145</v>
      </c>
      <c r="C73" s="592"/>
      <c r="D73" s="592"/>
      <c r="E73" s="583"/>
      <c r="F73" s="596">
        <f>F17-F18-F31-F34-F35</f>
        <v>4.76837158203125E-7</v>
      </c>
      <c r="G73" s="596">
        <f t="shared" ref="G73:R73" si="34">G17-G18-G31-G34-G35</f>
        <v>0</v>
      </c>
      <c r="H73" s="596">
        <f t="shared" si="34"/>
        <v>0</v>
      </c>
      <c r="I73" s="596">
        <f t="shared" si="34"/>
        <v>0</v>
      </c>
      <c r="J73" s="596">
        <f t="shared" si="34"/>
        <v>0</v>
      </c>
      <c r="K73" s="596">
        <f t="shared" si="34"/>
        <v>0</v>
      </c>
      <c r="L73" s="596">
        <f t="shared" si="34"/>
        <v>0</v>
      </c>
      <c r="M73" s="596">
        <f t="shared" si="34"/>
        <v>0</v>
      </c>
      <c r="N73" s="596">
        <f t="shared" si="34"/>
        <v>0</v>
      </c>
      <c r="O73" s="596">
        <f t="shared" si="34"/>
        <v>0</v>
      </c>
      <c r="P73" s="596">
        <f t="shared" si="34"/>
        <v>0</v>
      </c>
      <c r="Q73" s="596">
        <f t="shared" si="34"/>
        <v>0</v>
      </c>
      <c r="R73" s="596">
        <f t="shared" si="34"/>
        <v>0</v>
      </c>
      <c r="S73" s="596">
        <f t="shared" ref="S73:Z73" si="35">S17-S18-S31-S34-S35</f>
        <v>0</v>
      </c>
      <c r="T73" s="596">
        <f t="shared" si="35"/>
        <v>0</v>
      </c>
      <c r="U73" s="596">
        <f t="shared" si="35"/>
        <v>0</v>
      </c>
      <c r="V73" s="596">
        <f t="shared" si="35"/>
        <v>0</v>
      </c>
      <c r="W73" s="596">
        <f t="shared" si="35"/>
        <v>0</v>
      </c>
      <c r="X73" s="596">
        <f t="shared" si="35"/>
        <v>0</v>
      </c>
      <c r="Y73" s="596">
        <f t="shared" si="35"/>
        <v>0</v>
      </c>
      <c r="Z73" s="596">
        <f t="shared" si="35"/>
        <v>0</v>
      </c>
    </row>
    <row r="74" spans="1:26 16384:16384">
      <c r="B74" s="585" t="s">
        <v>361</v>
      </c>
      <c r="C74" s="592"/>
      <c r="D74" s="592"/>
      <c r="E74" s="583"/>
      <c r="F74" s="596">
        <f t="shared" ref="F74:O74" si="36">F18-F19-F21-F22-F29</f>
        <v>0</v>
      </c>
      <c r="G74" s="596">
        <f t="shared" si="36"/>
        <v>0</v>
      </c>
      <c r="H74" s="596">
        <f t="shared" si="36"/>
        <v>0</v>
      </c>
      <c r="I74" s="596">
        <f t="shared" si="36"/>
        <v>0</v>
      </c>
      <c r="J74" s="596">
        <f t="shared" si="36"/>
        <v>0</v>
      </c>
      <c r="K74" s="596">
        <f t="shared" si="36"/>
        <v>-1000000</v>
      </c>
      <c r="L74" s="596">
        <f t="shared" si="36"/>
        <v>0</v>
      </c>
      <c r="M74" s="596">
        <f t="shared" si="36"/>
        <v>0</v>
      </c>
      <c r="N74" s="596">
        <f t="shared" si="36"/>
        <v>-1000000</v>
      </c>
      <c r="O74" s="596">
        <f t="shared" si="36"/>
        <v>0</v>
      </c>
      <c r="P74" s="596">
        <f>P18-P19-P21-P22-P29-P25-P26-P27-P28</f>
        <v>0</v>
      </c>
      <c r="Q74" s="596">
        <f t="shared" ref="Q74:R74" si="37">Q18-Q19-Q21-Q22-Q29-Q25-Q26-Q27-Q28</f>
        <v>-1000000</v>
      </c>
      <c r="R74" s="596">
        <f t="shared" si="37"/>
        <v>0</v>
      </c>
      <c r="S74" s="596">
        <f t="shared" ref="S74:Z74" si="38">S18-S19-S21-S22-S29-S25-S26-S27-S28</f>
        <v>-1000000</v>
      </c>
      <c r="T74" s="596">
        <f t="shared" si="38"/>
        <v>1000000</v>
      </c>
      <c r="U74" s="596">
        <f t="shared" si="38"/>
        <v>-1000000</v>
      </c>
      <c r="V74" s="596">
        <f t="shared" si="38"/>
        <v>0</v>
      </c>
      <c r="W74" s="596">
        <f t="shared" si="38"/>
        <v>-1000000</v>
      </c>
      <c r="X74" s="596">
        <f t="shared" si="38"/>
        <v>0</v>
      </c>
      <c r="Y74" s="596">
        <f t="shared" si="38"/>
        <v>1000000</v>
      </c>
      <c r="Z74" s="596">
        <f t="shared" si="38"/>
        <v>-1000000</v>
      </c>
    </row>
    <row r="75" spans="1:26 16384:16384">
      <c r="B75" s="585" t="s">
        <v>876</v>
      </c>
      <c r="C75" s="592"/>
      <c r="D75" s="592"/>
      <c r="E75" s="583"/>
      <c r="F75" s="597">
        <f t="shared" ref="F75:K75" si="39">F31-F32-F33</f>
        <v>2467167999.9999995</v>
      </c>
      <c r="G75" s="597">
        <f t="shared" si="39"/>
        <v>3447070000</v>
      </c>
      <c r="H75" s="597">
        <f t="shared" si="39"/>
        <v>4283577000</v>
      </c>
      <c r="I75" s="597">
        <f t="shared" si="39"/>
        <v>4692407999.999999</v>
      </c>
      <c r="J75" s="597">
        <f t="shared" si="39"/>
        <v>4517760000</v>
      </c>
      <c r="K75" s="596">
        <f t="shared" si="39"/>
        <v>0</v>
      </c>
      <c r="L75" s="596">
        <f t="shared" ref="L75:Q75" si="40">L31-L32-L33</f>
        <v>0</v>
      </c>
      <c r="M75" s="596">
        <f t="shared" si="40"/>
        <v>0</v>
      </c>
      <c r="N75" s="596">
        <f t="shared" si="40"/>
        <v>-1000000</v>
      </c>
      <c r="O75" s="596">
        <f t="shared" si="40"/>
        <v>0</v>
      </c>
      <c r="P75" s="597">
        <f t="shared" si="40"/>
        <v>8668000000</v>
      </c>
      <c r="Q75" s="597">
        <f t="shared" si="40"/>
        <v>9741000000</v>
      </c>
      <c r="R75" s="597">
        <f>R31-R32-R33</f>
        <v>11881000000</v>
      </c>
      <c r="S75" s="597">
        <f t="shared" ref="S75:Z75" si="41">S31-S32-S33</f>
        <v>14052000000</v>
      </c>
      <c r="T75" s="597">
        <f t="shared" si="41"/>
        <v>16514000000</v>
      </c>
      <c r="U75" s="597">
        <f t="shared" si="41"/>
        <v>19341000000</v>
      </c>
      <c r="V75" s="597">
        <f t="shared" si="41"/>
        <v>21765000000</v>
      </c>
      <c r="W75" s="597">
        <f t="shared" si="41"/>
        <v>24398000000</v>
      </c>
      <c r="X75" s="597">
        <f t="shared" si="41"/>
        <v>28242000000</v>
      </c>
      <c r="Y75" s="597">
        <f t="shared" si="41"/>
        <v>32851000000</v>
      </c>
      <c r="Z75" s="597">
        <f t="shared" si="41"/>
        <v>36825000000</v>
      </c>
    </row>
    <row r="76" spans="1:26 16384:16384">
      <c r="B76" s="585" t="s">
        <v>148</v>
      </c>
      <c r="C76" s="592"/>
      <c r="D76" s="592"/>
      <c r="E76" s="583"/>
      <c r="F76" s="596">
        <f>F45-F46-F52</f>
        <v>0</v>
      </c>
      <c r="G76" s="596">
        <f t="shared" ref="G76:O76" si="42">G45-G46-G52</f>
        <v>0</v>
      </c>
      <c r="H76" s="596">
        <f t="shared" si="42"/>
        <v>0</v>
      </c>
      <c r="I76" s="596">
        <f t="shared" si="42"/>
        <v>0</v>
      </c>
      <c r="J76" s="596">
        <f t="shared" si="42"/>
        <v>0</v>
      </c>
      <c r="K76" s="596">
        <f>K45-K46-K52</f>
        <v>1000000</v>
      </c>
      <c r="L76" s="596">
        <f t="shared" si="42"/>
        <v>0</v>
      </c>
      <c r="M76" s="596">
        <f t="shared" si="42"/>
        <v>1000000</v>
      </c>
      <c r="N76" s="596">
        <f t="shared" si="42"/>
        <v>0</v>
      </c>
      <c r="O76" s="596">
        <f t="shared" si="42"/>
        <v>0</v>
      </c>
      <c r="P76" s="596">
        <f>P45-P46-P52-P66</f>
        <v>0</v>
      </c>
      <c r="Q76" s="596">
        <f t="shared" ref="Q76:R76" si="43">Q45-Q46-Q52-Q66</f>
        <v>0</v>
      </c>
      <c r="R76" s="596">
        <f t="shared" si="43"/>
        <v>1000000</v>
      </c>
      <c r="S76" s="596">
        <f t="shared" ref="S76:Z76" si="44">S45-S46-S52-S66</f>
        <v>-1000000</v>
      </c>
      <c r="T76" s="596">
        <f t="shared" si="44"/>
        <v>0</v>
      </c>
      <c r="U76" s="596">
        <f t="shared" si="44"/>
        <v>0</v>
      </c>
      <c r="V76" s="596">
        <f t="shared" si="44"/>
        <v>1000000</v>
      </c>
      <c r="W76" s="596">
        <f t="shared" si="44"/>
        <v>0</v>
      </c>
      <c r="X76" s="596">
        <f t="shared" si="44"/>
        <v>0</v>
      </c>
      <c r="Y76" s="596">
        <f t="shared" si="44"/>
        <v>0</v>
      </c>
      <c r="Z76" s="596">
        <f t="shared" si="44"/>
        <v>0</v>
      </c>
    </row>
    <row r="77" spans="1:26 16384:16384">
      <c r="B77" s="585" t="s">
        <v>528</v>
      </c>
      <c r="C77" s="592"/>
      <c r="D77" s="592"/>
      <c r="E77" s="583"/>
      <c r="F77" s="596">
        <f>F46-F47-F48-F51</f>
        <v>0</v>
      </c>
      <c r="G77" s="596">
        <f>G46-G47-G48-G51</f>
        <v>0</v>
      </c>
      <c r="H77" s="596">
        <f>H46-H47-H48-H51</f>
        <v>9.5367431640625E-7</v>
      </c>
      <c r="I77" s="596">
        <f>I46-I47-I48-I51</f>
        <v>0</v>
      </c>
      <c r="J77" s="596">
        <f>J46-J47-J48-J51</f>
        <v>0</v>
      </c>
      <c r="K77" s="596">
        <f t="shared" ref="K77:Q77" si="45">K46-K47-K48</f>
        <v>0</v>
      </c>
      <c r="L77" s="596">
        <f t="shared" si="45"/>
        <v>0</v>
      </c>
      <c r="M77" s="596">
        <f t="shared" si="45"/>
        <v>0</v>
      </c>
      <c r="N77" s="596">
        <f t="shared" si="45"/>
        <v>-1000000</v>
      </c>
      <c r="O77" s="596">
        <f t="shared" si="45"/>
        <v>0</v>
      </c>
      <c r="P77" s="597">
        <f t="shared" si="45"/>
        <v>2983000000</v>
      </c>
      <c r="Q77" s="597">
        <f t="shared" si="45"/>
        <v>4183000000</v>
      </c>
      <c r="R77" s="597">
        <f>R46-R47-R48</f>
        <v>5291000000</v>
      </c>
      <c r="S77" s="597">
        <f t="shared" ref="S77:Z77" si="46">S46-S47-S48</f>
        <v>6836000000</v>
      </c>
      <c r="T77" s="597">
        <f t="shared" si="46"/>
        <v>5602000000</v>
      </c>
      <c r="U77" s="597">
        <f t="shared" si="46"/>
        <v>10333000000</v>
      </c>
      <c r="V77" s="597">
        <f t="shared" si="46"/>
        <v>9151000000</v>
      </c>
      <c r="W77" s="597">
        <f t="shared" si="46"/>
        <v>9745000000</v>
      </c>
      <c r="X77" s="597">
        <f t="shared" si="46"/>
        <v>11255000000</v>
      </c>
      <c r="Y77" s="597">
        <f t="shared" si="46"/>
        <v>12407000000</v>
      </c>
      <c r="Z77" s="597">
        <f t="shared" si="46"/>
        <v>14999000000</v>
      </c>
    </row>
    <row r="78" spans="1:26 16384:16384">
      <c r="B78" s="585" t="s">
        <v>4952</v>
      </c>
      <c r="C78" s="592"/>
      <c r="D78" s="592"/>
      <c r="E78" s="583"/>
      <c r="F78" s="597">
        <f>F48-F49-F50</f>
        <v>2467167999.9999995</v>
      </c>
      <c r="G78" s="597">
        <f t="shared" ref="G78:Q78" si="47">G48-G49-G50</f>
        <v>3697766000</v>
      </c>
      <c r="H78" s="597">
        <f t="shared" si="47"/>
        <v>4428782999.999999</v>
      </c>
      <c r="I78" s="597">
        <f t="shared" si="47"/>
        <v>3351720000</v>
      </c>
      <c r="J78" s="597">
        <f t="shared" si="47"/>
        <v>5082480000</v>
      </c>
      <c r="K78" s="596">
        <f t="shared" si="47"/>
        <v>1000000</v>
      </c>
      <c r="L78" s="596">
        <f t="shared" si="47"/>
        <v>0</v>
      </c>
      <c r="M78" s="596">
        <f t="shared" si="47"/>
        <v>0</v>
      </c>
      <c r="N78" s="596">
        <f t="shared" si="47"/>
        <v>0</v>
      </c>
      <c r="O78" s="596">
        <f t="shared" si="47"/>
        <v>0</v>
      </c>
      <c r="P78" s="596">
        <f t="shared" si="47"/>
        <v>0</v>
      </c>
      <c r="Q78" s="596">
        <f t="shared" si="47"/>
        <v>0</v>
      </c>
      <c r="R78" s="596">
        <f>R48-R49-R50</f>
        <v>0</v>
      </c>
      <c r="S78" s="596">
        <f t="shared" ref="S78:Z78" si="48">S48-S49-S50</f>
        <v>0</v>
      </c>
      <c r="T78" s="596">
        <f t="shared" si="48"/>
        <v>0</v>
      </c>
      <c r="U78" s="596">
        <f t="shared" si="48"/>
        <v>0</v>
      </c>
      <c r="V78" s="596">
        <f t="shared" si="48"/>
        <v>0</v>
      </c>
      <c r="W78" s="596">
        <f t="shared" si="48"/>
        <v>0</v>
      </c>
      <c r="X78" s="596">
        <f t="shared" si="48"/>
        <v>0</v>
      </c>
      <c r="Y78" s="596">
        <f t="shared" si="48"/>
        <v>0</v>
      </c>
      <c r="Z78" s="596">
        <f t="shared" si="48"/>
        <v>0</v>
      </c>
    </row>
    <row r="79" spans="1:26 16384:16384">
      <c r="B79" s="585" t="s">
        <v>297</v>
      </c>
      <c r="C79" s="592"/>
      <c r="D79" s="592"/>
      <c r="E79" s="583"/>
      <c r="F79" s="596">
        <f>F52-F53-F54-F55-F56-F57-F58</f>
        <v>0</v>
      </c>
      <c r="G79" s="596">
        <f t="shared" ref="G79:R79" si="49">G52-G53-G54-G55-G56-G57-G58</f>
        <v>0</v>
      </c>
      <c r="H79" s="596">
        <f t="shared" si="49"/>
        <v>0</v>
      </c>
      <c r="I79" s="596">
        <f t="shared" si="49"/>
        <v>0</v>
      </c>
      <c r="J79" s="596">
        <f t="shared" si="49"/>
        <v>2.384185791015625E-7</v>
      </c>
      <c r="K79" s="596">
        <f t="shared" si="49"/>
        <v>0</v>
      </c>
      <c r="L79" s="596">
        <f t="shared" si="49"/>
        <v>0</v>
      </c>
      <c r="M79" s="596">
        <f t="shared" si="49"/>
        <v>0</v>
      </c>
      <c r="N79" s="597">
        <f>N52-N53-N54-N55-N56-N57-N58</f>
        <v>-2053000000</v>
      </c>
      <c r="O79" s="597">
        <f t="shared" si="49"/>
        <v>-3442000000</v>
      </c>
      <c r="P79" s="597">
        <f t="shared" si="49"/>
        <v>-586000000</v>
      </c>
      <c r="Q79" s="597">
        <f t="shared" si="49"/>
        <v>-4205000000</v>
      </c>
      <c r="R79" s="597">
        <f t="shared" si="49"/>
        <v>105000000</v>
      </c>
      <c r="S79" s="597">
        <f t="shared" ref="S79:Z79" si="50">S52-S53-S54-S55-S56-S57-S58</f>
        <v>-635000000</v>
      </c>
      <c r="T79" s="597">
        <f t="shared" si="50"/>
        <v>-1491000000</v>
      </c>
      <c r="U79" s="597">
        <f t="shared" si="50"/>
        <v>-4452000000</v>
      </c>
      <c r="V79" s="597">
        <f t="shared" si="50"/>
        <v>-4301000000</v>
      </c>
      <c r="W79" s="597">
        <f t="shared" si="50"/>
        <v>-5139000000</v>
      </c>
      <c r="X79" s="597">
        <f t="shared" si="50"/>
        <v>-5050000000</v>
      </c>
      <c r="Y79" s="597">
        <f t="shared" si="50"/>
        <v>-3154000000</v>
      </c>
      <c r="Z79" s="597">
        <f t="shared" si="50"/>
        <v>-5238000000</v>
      </c>
    </row>
    <row r="80" spans="1:26 16384:16384" ht="12.75" thickBot="1">
      <c r="E80" s="595"/>
    </row>
    <row r="81" spans="2:22" ht="12.75" thickBot="1">
      <c r="B81" s="585" t="s">
        <v>623</v>
      </c>
      <c r="F81" s="1879">
        <v>74445000000</v>
      </c>
      <c r="G81" s="1880">
        <v>80390000000</v>
      </c>
      <c r="H81" s="1880">
        <v>92323000000</v>
      </c>
      <c r="I81" s="1880">
        <v>105777000000</v>
      </c>
      <c r="J81" s="1880">
        <v>119235000000</v>
      </c>
      <c r="K81" s="1880">
        <v>137591000000</v>
      </c>
      <c r="L81" s="1880">
        <v>164494000000</v>
      </c>
      <c r="M81" s="1880">
        <v>170460000000</v>
      </c>
      <c r="N81" s="1880">
        <v>190888000000</v>
      </c>
      <c r="O81" s="1880">
        <v>221969000000</v>
      </c>
      <c r="P81" s="1880">
        <v>250653000000</v>
      </c>
      <c r="Q81" s="1880">
        <v>278270000000</v>
      </c>
      <c r="R81" s="1881">
        <v>307544000000</v>
      </c>
      <c r="S81" s="1881"/>
      <c r="T81" s="1881"/>
      <c r="U81" s="1881"/>
      <c r="V81" s="1882"/>
    </row>
    <row r="82" spans="2:22">
      <c r="B82" s="585" t="s">
        <v>151</v>
      </c>
      <c r="F82" s="585">
        <f>F7/F81</f>
        <v>0.11560749546645174</v>
      </c>
      <c r="G82" s="585">
        <f t="shared" ref="G82:R82" si="51">G7/G81</f>
        <v>0.1262991416842891</v>
      </c>
      <c r="H82" s="585">
        <f t="shared" si="51"/>
        <v>0.13290195292613974</v>
      </c>
      <c r="I82" s="585">
        <f t="shared" si="51"/>
        <v>0.13942131087098331</v>
      </c>
      <c r="J82" s="585">
        <f t="shared" si="51"/>
        <v>0.13892833480102321</v>
      </c>
      <c r="K82" s="585">
        <f t="shared" si="51"/>
        <v>0.14956646873705401</v>
      </c>
      <c r="L82" s="585">
        <f t="shared" si="51"/>
        <v>0.14266781767116127</v>
      </c>
      <c r="M82" s="585">
        <f t="shared" si="51"/>
        <v>0.13996832101372755</v>
      </c>
      <c r="N82" s="585">
        <f t="shared" si="51"/>
        <v>0.14445643518712545</v>
      </c>
      <c r="O82" s="585">
        <f t="shared" si="51"/>
        <v>0.15564335560371043</v>
      </c>
      <c r="P82" s="585">
        <f t="shared" si="51"/>
        <v>0.16249556159311879</v>
      </c>
      <c r="Q82" s="585">
        <f t="shared" si="51"/>
        <v>0.15826715060912064</v>
      </c>
      <c r="R82" s="585">
        <f t="shared" si="51"/>
        <v>0.16480568634081627</v>
      </c>
    </row>
    <row r="83" spans="2:22">
      <c r="B83" s="585" t="s">
        <v>152</v>
      </c>
      <c r="F83" s="585">
        <f>F17/F81</f>
        <v>0.14566544428772921</v>
      </c>
      <c r="G83" s="585">
        <f t="shared" ref="G83:R83" si="52">G17/G81</f>
        <v>0.15124712028859311</v>
      </c>
      <c r="H83" s="585">
        <f t="shared" si="52"/>
        <v>0.14941639678086718</v>
      </c>
      <c r="I83" s="585">
        <f t="shared" si="52"/>
        <v>0.15288814203465778</v>
      </c>
      <c r="J83" s="585">
        <f t="shared" si="52"/>
        <v>0.1523475489579402</v>
      </c>
      <c r="K83" s="585">
        <f t="shared" si="52"/>
        <v>0.17509866197643742</v>
      </c>
      <c r="L83" s="585">
        <f t="shared" si="52"/>
        <v>0.17373278052694932</v>
      </c>
      <c r="M83" s="585">
        <f t="shared" si="52"/>
        <v>0.17848175525049864</v>
      </c>
      <c r="N83" s="585">
        <f t="shared" si="52"/>
        <v>0.17018356313649888</v>
      </c>
      <c r="O83" s="585">
        <f t="shared" si="52"/>
        <v>0.17394771341944146</v>
      </c>
      <c r="P83" s="585">
        <f t="shared" si="52"/>
        <v>0.18233573904960243</v>
      </c>
      <c r="Q83" s="585">
        <f t="shared" si="52"/>
        <v>0.17803931433499839</v>
      </c>
      <c r="R83" s="585">
        <f t="shared" si="52"/>
        <v>0.18381434851598472</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N9" activePane="bottomRight" state="frozen"/>
      <selection pane="topRight" activeCell="C1" sqref="C1"/>
      <selection pane="bottomLeft" activeCell="A6" sqref="A6"/>
      <selection pane="bottomRight" activeCell="T31" sqref="T31"/>
    </sheetView>
  </sheetViews>
  <sheetFormatPr defaultRowHeight="15.75"/>
  <cols>
    <col min="1" max="1" width="33.85546875" style="1602" customWidth="1"/>
    <col min="2" max="2" width="54.7109375" style="1602" customWidth="1"/>
    <col min="3" max="3" width="41.42578125" style="1602" customWidth="1"/>
    <col min="4" max="4" width="26.28515625" style="1602" bestFit="1" customWidth="1"/>
    <col min="5" max="10" width="26.85546875" style="1602" bestFit="1" customWidth="1"/>
    <col min="11" max="11" width="27.28515625" style="1602" bestFit="1" customWidth="1"/>
    <col min="12" max="12" width="26.85546875" style="1602" bestFit="1" customWidth="1"/>
    <col min="13" max="15" width="27.28515625" style="1602" bestFit="1" customWidth="1"/>
    <col min="16" max="17" width="26.28515625" style="1602" bestFit="1" customWidth="1"/>
    <col min="18" max="18" width="27.28515625" style="1602" bestFit="1" customWidth="1"/>
    <col min="19" max="19" width="26.85546875" style="1602" bestFit="1" customWidth="1"/>
    <col min="20" max="20" width="27.28515625" style="1602" bestFit="1" customWidth="1"/>
    <col min="21" max="21" width="26.85546875" style="1602" bestFit="1" customWidth="1"/>
    <col min="22" max="22" width="27.28515625" style="1602" bestFit="1" customWidth="1"/>
    <col min="23" max="25" width="25.42578125" style="1602" bestFit="1" customWidth="1"/>
    <col min="26" max="27" width="25.42578125" style="1915" bestFit="1" customWidth="1"/>
    <col min="28" max="28" width="8.85546875" style="1602"/>
    <col min="29" max="29" width="19.7109375" style="1602" bestFit="1" customWidth="1"/>
  </cols>
  <sheetData>
    <row r="1" spans="1:54">
      <c r="A1" s="1602" t="s">
        <v>4953</v>
      </c>
      <c r="B1" s="1905" t="s">
        <v>4954</v>
      </c>
      <c r="C1" s="1603"/>
      <c r="D1" s="1604"/>
      <c r="E1" s="1604"/>
      <c r="F1" s="1604"/>
      <c r="G1" s="1604"/>
      <c r="H1" s="1604"/>
      <c r="I1" s="1604"/>
      <c r="J1" s="1604"/>
      <c r="K1" s="1604"/>
      <c r="L1" s="1604"/>
      <c r="M1" s="1604"/>
      <c r="N1" s="1604"/>
      <c r="O1" s="1605"/>
      <c r="P1" s="1605"/>
      <c r="Q1" s="1605"/>
      <c r="R1" s="1606"/>
      <c r="S1" s="1605"/>
      <c r="T1" s="1605"/>
      <c r="U1" s="1605"/>
      <c r="V1" s="1605"/>
      <c r="W1" s="1605"/>
      <c r="X1" s="1605"/>
      <c r="Y1" s="1910"/>
      <c r="AB1" s="1910"/>
      <c r="AC1" s="1910"/>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1906" t="s">
        <v>1210</v>
      </c>
      <c r="C2" s="1607"/>
      <c r="D2" s="1605"/>
      <c r="E2" s="1605"/>
      <c r="F2" s="1605"/>
      <c r="G2" s="1605"/>
      <c r="H2" s="1605"/>
      <c r="I2" s="1605"/>
      <c r="J2" s="1605"/>
      <c r="K2" s="1605"/>
      <c r="L2" s="1605"/>
      <c r="M2" s="1605"/>
      <c r="N2" s="1605"/>
      <c r="O2" s="1605"/>
      <c r="P2" s="1605"/>
      <c r="Q2" s="1605"/>
      <c r="R2" s="1608"/>
      <c r="S2" s="1609"/>
      <c r="T2" s="1610"/>
      <c r="U2" s="1605"/>
      <c r="V2" s="1605"/>
      <c r="W2" s="1605"/>
      <c r="X2" s="1605"/>
      <c r="Y2" s="1910"/>
      <c r="AB2" s="1910"/>
      <c r="AC2" s="1910"/>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c r="AB3" s="1910"/>
      <c r="AC3" s="1910"/>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19" t="s">
        <v>26</v>
      </c>
      <c r="Z4" s="1920" t="s">
        <v>27</v>
      </c>
      <c r="AA4" s="1920" t="s">
        <v>1137</v>
      </c>
      <c r="AB4" s="1910"/>
      <c r="AC4" s="1910"/>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6" t="s">
        <v>369</v>
      </c>
      <c r="S5" s="1605" t="s">
        <v>30</v>
      </c>
      <c r="T5" s="1605" t="s">
        <v>30</v>
      </c>
      <c r="U5" s="1605" t="s">
        <v>369</v>
      </c>
      <c r="V5" s="1605" t="s">
        <v>32</v>
      </c>
      <c r="W5" s="1605" t="s">
        <v>32</v>
      </c>
      <c r="X5" s="1605" t="s">
        <v>32</v>
      </c>
      <c r="Y5" s="1605" t="s">
        <v>32</v>
      </c>
      <c r="Z5" s="1605" t="s">
        <v>32</v>
      </c>
      <c r="AA5" s="1605" t="s">
        <v>32</v>
      </c>
      <c r="AB5" s="1910"/>
      <c r="AC5" s="1910"/>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848" customFormat="1">
      <c r="A6" s="1898" t="s">
        <v>33</v>
      </c>
      <c r="B6" s="1898" t="s">
        <v>4955</v>
      </c>
      <c r="C6" s="1899" t="s">
        <v>35</v>
      </c>
      <c r="D6" s="1900">
        <v>169400000000</v>
      </c>
      <c r="E6" s="1900">
        <v>199300000000</v>
      </c>
      <c r="F6" s="1900">
        <v>235500000000</v>
      </c>
      <c r="G6" s="1900">
        <v>232700000000</v>
      </c>
      <c r="H6" s="1900">
        <v>263000000000</v>
      </c>
      <c r="I6" s="1900">
        <v>291200000000</v>
      </c>
      <c r="J6" s="1900">
        <v>1145800000000</v>
      </c>
      <c r="K6" s="1900">
        <v>455500000000</v>
      </c>
      <c r="L6" s="1900">
        <v>583900000000</v>
      </c>
      <c r="M6" s="1900">
        <v>474500000000</v>
      </c>
      <c r="N6" s="1900">
        <v>515700000000</v>
      </c>
      <c r="O6" s="1900">
        <v>542300000000</v>
      </c>
      <c r="P6" s="1900">
        <v>759500000000</v>
      </c>
      <c r="Q6" s="1901">
        <f t="shared" ref="Q6:AA6" si="0">Q7+Q53</f>
        <v>933400000000</v>
      </c>
      <c r="R6" s="1901">
        <f t="shared" si="0"/>
        <v>936300000000</v>
      </c>
      <c r="S6" s="1901">
        <f t="shared" si="0"/>
        <v>1001300000000</v>
      </c>
      <c r="T6" s="1901">
        <f t="shared" si="0"/>
        <v>914100000000</v>
      </c>
      <c r="U6" s="1901">
        <f t="shared" si="0"/>
        <v>1022900000000</v>
      </c>
      <c r="V6" s="1901">
        <f t="shared" si="0"/>
        <v>1182900000000</v>
      </c>
      <c r="W6" s="1901">
        <f t="shared" si="0"/>
        <v>1338800000000</v>
      </c>
      <c r="X6" s="1901">
        <f t="shared" si="0"/>
        <v>1485200000000</v>
      </c>
      <c r="Y6" s="1901">
        <f t="shared" si="0"/>
        <v>1573300000000</v>
      </c>
      <c r="Z6" s="1901">
        <f t="shared" si="0"/>
        <v>1745800000000</v>
      </c>
      <c r="AA6" s="1901">
        <f t="shared" si="0"/>
        <v>1877700000000</v>
      </c>
      <c r="AB6" s="1911"/>
      <c r="AC6" s="1912"/>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row>
    <row r="7" spans="1:54">
      <c r="A7" s="1612" t="s">
        <v>370</v>
      </c>
      <c r="B7" s="1612" t="s">
        <v>4956</v>
      </c>
      <c r="C7" s="1613" t="s">
        <v>38</v>
      </c>
      <c r="D7" s="1893">
        <v>110100000000</v>
      </c>
      <c r="E7" s="1893">
        <v>132800000000.00002</v>
      </c>
      <c r="F7" s="1893">
        <v>160900000000</v>
      </c>
      <c r="G7" s="1893">
        <v>156700000000</v>
      </c>
      <c r="H7" s="1893">
        <v>173800000000</v>
      </c>
      <c r="I7" s="1893">
        <v>189000000000</v>
      </c>
      <c r="J7" s="1893">
        <v>247200000000</v>
      </c>
      <c r="K7" s="1893">
        <v>309000000000</v>
      </c>
      <c r="L7" s="1893">
        <v>442000000000</v>
      </c>
      <c r="M7" s="1893">
        <v>363600000000</v>
      </c>
      <c r="N7" s="1893">
        <v>385600000000</v>
      </c>
      <c r="O7" s="1893">
        <v>428800000000</v>
      </c>
      <c r="P7" s="1637">
        <v>543000000000</v>
      </c>
      <c r="Q7" s="1637">
        <v>628500000000</v>
      </c>
      <c r="R7" s="1637">
        <v>714200000000</v>
      </c>
      <c r="S7" s="1637">
        <v>768700000000</v>
      </c>
      <c r="T7" s="1637">
        <v>643800000000</v>
      </c>
      <c r="U7" s="1637">
        <v>680700000000</v>
      </c>
      <c r="V7" s="1637">
        <v>803300000000</v>
      </c>
      <c r="W7" s="1637">
        <v>885200000000</v>
      </c>
      <c r="X7" s="1637">
        <v>1016400000000</v>
      </c>
      <c r="Y7" s="1636">
        <v>1152300000000</v>
      </c>
      <c r="Z7" s="1917">
        <v>1307100000000</v>
      </c>
      <c r="AA7" s="1917">
        <v>1438200000000</v>
      </c>
      <c r="AB7" s="1910"/>
      <c r="AC7" s="1910"/>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A8" s="1617" t="s">
        <v>39</v>
      </c>
      <c r="B8" s="1612" t="s">
        <v>3886</v>
      </c>
      <c r="C8" s="1613" t="s">
        <v>41</v>
      </c>
      <c r="D8" s="1893">
        <v>102800000000</v>
      </c>
      <c r="E8" s="1893">
        <v>125500000000</v>
      </c>
      <c r="F8" s="1893">
        <v>144600000000</v>
      </c>
      <c r="G8" s="1893">
        <v>152100000000</v>
      </c>
      <c r="H8" s="1893">
        <v>167600000000</v>
      </c>
      <c r="I8" s="1893">
        <v>181300000000</v>
      </c>
      <c r="J8" s="1893">
        <v>203800000000</v>
      </c>
      <c r="K8" s="1893">
        <v>233200000000</v>
      </c>
      <c r="L8" s="1893">
        <v>281100000000</v>
      </c>
      <c r="M8" s="1893">
        <v>343000000000</v>
      </c>
      <c r="N8" s="1893">
        <v>361800000000</v>
      </c>
      <c r="O8" s="1893">
        <v>399900000000</v>
      </c>
      <c r="P8" s="1637">
        <v>495700000000</v>
      </c>
      <c r="Q8" s="1637">
        <v>577300000000</v>
      </c>
      <c r="R8" s="1637">
        <v>633200000000</v>
      </c>
      <c r="S8" s="1637">
        <v>684800000000</v>
      </c>
      <c r="T8" s="1637">
        <v>606900000000</v>
      </c>
      <c r="U8" s="1637">
        <v>619800000000</v>
      </c>
      <c r="V8" s="1637">
        <v>728200000000</v>
      </c>
      <c r="W8" s="1637">
        <v>795100000000</v>
      </c>
      <c r="X8" s="1637">
        <v>906900000000</v>
      </c>
      <c r="Y8" s="1636">
        <v>1014100000000</v>
      </c>
      <c r="Z8" s="1917">
        <v>1158300000000</v>
      </c>
      <c r="AA8" s="1917">
        <v>1286300000000</v>
      </c>
      <c r="AB8" s="1910"/>
      <c r="AC8" s="1910"/>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s="2660" t="s">
        <v>4957</v>
      </c>
      <c r="B9" s="2660" t="s">
        <v>4957</v>
      </c>
      <c r="C9" s="2661" t="s">
        <v>44</v>
      </c>
      <c r="D9" s="1636"/>
      <c r="E9" s="1636"/>
      <c r="F9" s="1636"/>
      <c r="G9" s="1636"/>
      <c r="H9" s="1636"/>
      <c r="I9" s="1636"/>
      <c r="J9" s="1893"/>
      <c r="K9" s="1893"/>
      <c r="L9" s="1893"/>
      <c r="M9" s="1893"/>
      <c r="N9" s="1893"/>
      <c r="O9" s="1893"/>
      <c r="P9" s="1893"/>
      <c r="Q9" s="1633"/>
      <c r="R9" s="1633"/>
      <c r="S9" s="1633"/>
      <c r="T9" s="1633">
        <v>164700000000</v>
      </c>
      <c r="U9" s="1633">
        <v>172200000000</v>
      </c>
      <c r="V9" s="1638">
        <v>208400000000</v>
      </c>
      <c r="W9" s="1636">
        <v>231500000000</v>
      </c>
      <c r="X9" s="1913">
        <v>254900000000</v>
      </c>
      <c r="Y9" s="1636">
        <v>279200000000</v>
      </c>
      <c r="Z9" s="1917">
        <v>304400000000</v>
      </c>
      <c r="AA9" s="1917">
        <v>329000000000</v>
      </c>
      <c r="AB9" s="1910"/>
      <c r="AC9" s="1910"/>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2660" t="s">
        <v>537</v>
      </c>
      <c r="B10" s="2660" t="s">
        <v>537</v>
      </c>
      <c r="C10" s="2661" t="s">
        <v>44</v>
      </c>
      <c r="D10" s="1636"/>
      <c r="E10" s="1636"/>
      <c r="F10" s="1636"/>
      <c r="G10" s="1636"/>
      <c r="H10" s="1636"/>
      <c r="I10" s="1636"/>
      <c r="J10" s="1893"/>
      <c r="K10" s="1893"/>
      <c r="L10" s="1893"/>
      <c r="M10" s="1893"/>
      <c r="N10" s="1893"/>
      <c r="O10" s="1893"/>
      <c r="P10" s="1893"/>
      <c r="Q10" s="1633"/>
      <c r="R10" s="1633"/>
      <c r="S10" s="1633"/>
      <c r="T10" s="1633">
        <v>239000000000</v>
      </c>
      <c r="U10" s="1633">
        <v>233800000000</v>
      </c>
      <c r="V10" s="1638">
        <v>279500000000</v>
      </c>
      <c r="W10" s="1636">
        <v>297400000000</v>
      </c>
      <c r="X10" s="1913">
        <v>318200000000</v>
      </c>
      <c r="Y10" s="1636">
        <v>330000000000</v>
      </c>
      <c r="Z10" s="1917">
        <v>372800000000</v>
      </c>
      <c r="AA10" s="1917">
        <v>399700000000</v>
      </c>
      <c r="AB10" s="1910"/>
      <c r="AC10" s="1910"/>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2660" t="s">
        <v>4958</v>
      </c>
      <c r="B11" s="2660" t="s">
        <v>4958</v>
      </c>
      <c r="C11" s="2661" t="s">
        <v>44</v>
      </c>
      <c r="D11" s="1636"/>
      <c r="E11" s="1636"/>
      <c r="F11" s="1636"/>
      <c r="G11" s="1636"/>
      <c r="H11" s="1636"/>
      <c r="I11" s="1636"/>
      <c r="J11" s="1893"/>
      <c r="K11" s="1893"/>
      <c r="L11" s="1893"/>
      <c r="M11" s="1893"/>
      <c r="N11" s="1893"/>
      <c r="O11" s="1893"/>
      <c r="P11" s="1893"/>
      <c r="Q11" s="1633"/>
      <c r="R11" s="1633"/>
      <c r="S11" s="1633"/>
      <c r="T11" s="1633">
        <v>156200000000</v>
      </c>
      <c r="U11" s="1633">
        <v>170800000000</v>
      </c>
      <c r="V11" s="1638">
        <v>194000000000</v>
      </c>
      <c r="W11" s="1636">
        <v>213700000000</v>
      </c>
      <c r="X11" s="1913">
        <v>271200000000</v>
      </c>
      <c r="Y11" s="1636">
        <v>304900000000</v>
      </c>
      <c r="Z11" s="1917">
        <v>372000000000</v>
      </c>
      <c r="AA11" s="1917">
        <v>416900000000</v>
      </c>
      <c r="AB11" s="1910"/>
      <c r="AC11" s="1910"/>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2660" t="s">
        <v>50</v>
      </c>
      <c r="B12" s="2660" t="s">
        <v>50</v>
      </c>
      <c r="C12" s="2661" t="s">
        <v>44</v>
      </c>
      <c r="D12" s="1636"/>
      <c r="E12" s="1636"/>
      <c r="F12" s="1636"/>
      <c r="G12" s="1636"/>
      <c r="H12" s="1636"/>
      <c r="I12" s="1636"/>
      <c r="J12" s="1893"/>
      <c r="K12" s="1893"/>
      <c r="L12" s="1893"/>
      <c r="M12" s="1893"/>
      <c r="N12" s="1893"/>
      <c r="O12" s="1893"/>
      <c r="P12" s="1893"/>
      <c r="Q12" s="1633"/>
      <c r="R12" s="1633"/>
      <c r="S12" s="1633"/>
      <c r="T12" s="1633">
        <v>47000000000</v>
      </c>
      <c r="U12" s="1633">
        <v>43100000000</v>
      </c>
      <c r="V12" s="1638">
        <v>46300000000</v>
      </c>
      <c r="W12" s="1636">
        <v>52500000000</v>
      </c>
      <c r="X12" s="1913">
        <v>62600000000</v>
      </c>
      <c r="Y12" s="1636">
        <v>100000000000</v>
      </c>
      <c r="Z12" s="1917">
        <v>109000000000</v>
      </c>
      <c r="AA12" s="1917">
        <v>140800000000</v>
      </c>
      <c r="AB12" s="1910"/>
      <c r="AC12" s="1910"/>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1617" t="s">
        <v>51</v>
      </c>
      <c r="B13" s="1612" t="s">
        <v>4959</v>
      </c>
      <c r="C13" s="1613" t="s">
        <v>41</v>
      </c>
      <c r="D13" s="1893">
        <v>3800000000</v>
      </c>
      <c r="E13" s="1893">
        <v>4099999999.9999995</v>
      </c>
      <c r="F13" s="1893">
        <v>3800000000</v>
      </c>
      <c r="G13" s="1893">
        <v>1200000000</v>
      </c>
      <c r="H13" s="1893">
        <v>1400000000</v>
      </c>
      <c r="I13" s="1893">
        <v>4900000000</v>
      </c>
      <c r="J13" s="1893">
        <v>38500000000</v>
      </c>
      <c r="K13" s="1893">
        <v>71200000000</v>
      </c>
      <c r="L13" s="1893">
        <v>158800000000</v>
      </c>
      <c r="M13" s="1893">
        <v>20600000000</v>
      </c>
      <c r="N13" s="1893">
        <v>19800000000</v>
      </c>
      <c r="O13" s="1893">
        <v>19400000000</v>
      </c>
      <c r="P13" s="1637">
        <v>43700000000</v>
      </c>
      <c r="Q13" s="1637">
        <v>46200000000</v>
      </c>
      <c r="R13" s="1637">
        <v>76300000000</v>
      </c>
      <c r="S13" s="1637">
        <v>77000000000</v>
      </c>
      <c r="T13" s="1637">
        <v>27900000000</v>
      </c>
      <c r="U13" s="1637">
        <v>48600000000</v>
      </c>
      <c r="V13" s="1637">
        <v>61800000000</v>
      </c>
      <c r="W13" s="1637">
        <v>74500000000</v>
      </c>
      <c r="X13" s="1637">
        <v>92700000000</v>
      </c>
      <c r="Y13" s="1636">
        <v>113600000000</v>
      </c>
      <c r="Z13" s="1917">
        <v>122000000000</v>
      </c>
      <c r="AA13" s="1917">
        <v>122800000000</v>
      </c>
      <c r="AB13" s="1910"/>
      <c r="AC13" s="1910"/>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B14" s="1616" t="s">
        <v>4960</v>
      </c>
      <c r="C14" s="1612"/>
      <c r="D14" s="1636"/>
      <c r="E14" s="1636"/>
      <c r="F14" s="1636"/>
      <c r="G14" s="1636"/>
      <c r="H14" s="1636"/>
      <c r="I14" s="1636"/>
      <c r="J14" s="1893">
        <v>30400000000</v>
      </c>
      <c r="K14" s="1893">
        <v>27500000000</v>
      </c>
      <c r="L14" s="1893">
        <v>123400000000</v>
      </c>
      <c r="M14" s="1893"/>
      <c r="N14" s="1893"/>
      <c r="O14" s="1893"/>
      <c r="P14" s="1893"/>
      <c r="Q14" s="1633"/>
      <c r="R14" s="1633"/>
      <c r="S14" s="1633"/>
      <c r="T14" s="1633"/>
      <c r="U14" s="1633"/>
      <c r="V14" s="1638"/>
      <c r="W14" s="1636"/>
      <c r="X14" s="1913"/>
      <c r="Y14" s="1636"/>
      <c r="Z14" s="1917"/>
      <c r="AA14" s="1917"/>
      <c r="AB14" s="1910"/>
      <c r="AC14" s="1910"/>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1612" t="s">
        <v>4961</v>
      </c>
      <c r="B15" s="1612" t="s">
        <v>4962</v>
      </c>
      <c r="C15" s="1613" t="s">
        <v>41</v>
      </c>
      <c r="D15" s="1893">
        <v>3500000000</v>
      </c>
      <c r="E15" s="1893">
        <v>3200000000</v>
      </c>
      <c r="F15" s="1893">
        <v>4099999999.9999995</v>
      </c>
      <c r="G15" s="1893">
        <v>3400000000</v>
      </c>
      <c r="H15" s="1893">
        <v>3900000000</v>
      </c>
      <c r="I15" s="1893">
        <v>2800000000</v>
      </c>
      <c r="J15" s="1893">
        <v>4900000000</v>
      </c>
      <c r="K15" s="1893">
        <v>4600000000</v>
      </c>
      <c r="L15" s="1893">
        <v>2100000000</v>
      </c>
      <c r="M15" s="1636"/>
      <c r="N15" s="1893">
        <v>4000000000</v>
      </c>
      <c r="O15" s="1893">
        <v>9500000000</v>
      </c>
      <c r="P15" s="1637">
        <v>3600000000</v>
      </c>
      <c r="Q15" s="1637">
        <v>5000000000</v>
      </c>
      <c r="R15" s="1637">
        <v>4700000000</v>
      </c>
      <c r="S15" s="1637">
        <v>6800000000</v>
      </c>
      <c r="T15" s="1637">
        <v>8900000000</v>
      </c>
      <c r="U15" s="1637">
        <v>12300000000</v>
      </c>
      <c r="V15" s="1637">
        <v>13300000000</v>
      </c>
      <c r="W15" s="1637">
        <v>15600000000</v>
      </c>
      <c r="X15" s="1637">
        <v>16800000000</v>
      </c>
      <c r="Y15" s="1636">
        <v>24600000000</v>
      </c>
      <c r="Z15" s="1917">
        <v>26800000000</v>
      </c>
      <c r="AA15" s="1917">
        <v>29000000000</v>
      </c>
      <c r="AB15" s="1910"/>
      <c r="AC15" s="1910"/>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612" t="s">
        <v>377</v>
      </c>
      <c r="B16" s="1907" t="s">
        <v>377</v>
      </c>
      <c r="C16" s="1613" t="s">
        <v>41</v>
      </c>
      <c r="D16" s="1893"/>
      <c r="E16" s="1893"/>
      <c r="F16" s="1893">
        <f>F7-F8-F13-F15</f>
        <v>8400000000</v>
      </c>
      <c r="G16" s="1893">
        <f>G7-G8-G13-G15</f>
        <v>0</v>
      </c>
      <c r="H16" s="1893">
        <f>H7-H8-H13-H15</f>
        <v>900000000</v>
      </c>
      <c r="I16" s="1893">
        <f>I7-I8-I13-I15</f>
        <v>0</v>
      </c>
      <c r="J16" s="1893"/>
      <c r="K16" s="1893"/>
      <c r="L16" s="1893"/>
      <c r="M16" s="1636"/>
      <c r="N16" s="1893"/>
      <c r="O16" s="1893"/>
      <c r="P16" s="1893"/>
      <c r="Q16" s="1633"/>
      <c r="R16" s="1633"/>
      <c r="S16" s="1633"/>
      <c r="T16" s="1633"/>
      <c r="U16" s="1633"/>
      <c r="V16" s="1638"/>
      <c r="W16" s="1636"/>
      <c r="X16" s="1913"/>
      <c r="Y16" s="1636"/>
      <c r="Z16" s="1917"/>
      <c r="AA16" s="1917"/>
      <c r="AB16" s="1910"/>
      <c r="AC16" s="1910"/>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s="848" customFormat="1">
      <c r="A17" s="1899"/>
      <c r="B17" s="1899" t="s">
        <v>379</v>
      </c>
      <c r="C17" s="1899"/>
      <c r="D17" s="1900">
        <v>214300000000</v>
      </c>
      <c r="E17" s="1900">
        <v>245600000000</v>
      </c>
      <c r="F17" s="1900">
        <v>278100000000</v>
      </c>
      <c r="G17" s="1900">
        <v>275400000000</v>
      </c>
      <c r="H17" s="1900">
        <v>317600000000</v>
      </c>
      <c r="I17" s="1900">
        <v>358400000000</v>
      </c>
      <c r="J17" s="1900">
        <v>376600000000</v>
      </c>
      <c r="K17" s="1900">
        <v>476000000000</v>
      </c>
      <c r="L17" s="1900">
        <v>547900000000</v>
      </c>
      <c r="M17" s="1900">
        <v>609900000000</v>
      </c>
      <c r="N17" s="1900">
        <v>584100000000</v>
      </c>
      <c r="O17" s="1900">
        <v>632500000000</v>
      </c>
      <c r="P17" s="1897">
        <v>799200000000</v>
      </c>
      <c r="Q17" s="1897">
        <v>1030300000000</v>
      </c>
      <c r="R17" s="1897">
        <v>1263700000000</v>
      </c>
      <c r="S17" s="1897"/>
      <c r="T17" s="1897"/>
      <c r="U17" s="1897"/>
      <c r="V17" s="1897"/>
      <c r="W17" s="1897"/>
      <c r="X17" s="1897"/>
      <c r="Y17" s="1914"/>
      <c r="Z17" s="1916"/>
      <c r="AA17" s="1916"/>
      <c r="AB17" s="1911"/>
      <c r="AC17" s="1911"/>
      <c r="AD17" s="916"/>
      <c r="AE17" s="916"/>
      <c r="AF17" s="916"/>
      <c r="AG17" s="916"/>
      <c r="AH17" s="916"/>
      <c r="AI17" s="916"/>
      <c r="AJ17" s="916"/>
      <c r="AK17" s="916"/>
      <c r="AL17" s="916"/>
      <c r="AM17" s="916"/>
      <c r="AN17" s="916"/>
      <c r="AO17" s="916"/>
      <c r="AP17" s="916"/>
      <c r="AQ17" s="916"/>
      <c r="AR17" s="916"/>
      <c r="AS17" s="916"/>
      <c r="AT17" s="916"/>
      <c r="AU17" s="916"/>
      <c r="AV17" s="916"/>
      <c r="AW17" s="916"/>
      <c r="AX17" s="916"/>
      <c r="AY17" s="916"/>
      <c r="AZ17" s="916"/>
      <c r="BA17" s="916"/>
      <c r="BB17" s="916"/>
    </row>
    <row r="18" spans="1:54" s="848" customFormat="1">
      <c r="A18" s="1899" t="s">
        <v>71</v>
      </c>
      <c r="B18" s="1899" t="s">
        <v>379</v>
      </c>
      <c r="C18" s="1902" t="s">
        <v>35</v>
      </c>
      <c r="D18" s="1900">
        <f>D20+D33+D40</f>
        <v>217400000000</v>
      </c>
      <c r="E18" s="1900">
        <f t="shared" ref="E18:U18" si="1">E20+E33+E40</f>
        <v>246400000000</v>
      </c>
      <c r="F18" s="1900">
        <f t="shared" si="1"/>
        <v>278300000000</v>
      </c>
      <c r="G18" s="1900">
        <f t="shared" si="1"/>
        <v>275400000000</v>
      </c>
      <c r="H18" s="1900">
        <f t="shared" si="1"/>
        <v>317600000000</v>
      </c>
      <c r="I18" s="1900">
        <f t="shared" si="1"/>
        <v>358600000000</v>
      </c>
      <c r="J18" s="1900">
        <f t="shared" si="1"/>
        <v>376500000000</v>
      </c>
      <c r="K18" s="1900">
        <f t="shared" si="1"/>
        <v>476000000000</v>
      </c>
      <c r="L18" s="1900">
        <f t="shared" si="1"/>
        <v>547900000000</v>
      </c>
      <c r="M18" s="1900">
        <f t="shared" si="1"/>
        <v>613900000000</v>
      </c>
      <c r="N18" s="1900">
        <f t="shared" si="1"/>
        <v>584100000000</v>
      </c>
      <c r="O18" s="1900">
        <f t="shared" si="1"/>
        <v>633100000000</v>
      </c>
      <c r="P18" s="1900">
        <f t="shared" si="1"/>
        <v>803700000000</v>
      </c>
      <c r="Q18" s="1900">
        <f t="shared" si="1"/>
        <v>1030300000000</v>
      </c>
      <c r="R18" s="1900">
        <f t="shared" si="1"/>
        <v>1263700000000</v>
      </c>
      <c r="S18" s="1900">
        <f t="shared" si="1"/>
        <v>1387800000000</v>
      </c>
      <c r="T18" s="1900">
        <f t="shared" si="1"/>
        <v>1187900000000</v>
      </c>
      <c r="U18" s="1900">
        <f t="shared" si="1"/>
        <v>1271300000000</v>
      </c>
      <c r="V18" s="1900">
        <v>1491300000000</v>
      </c>
      <c r="W18" s="1900">
        <v>1592800000000</v>
      </c>
      <c r="X18" s="1900">
        <v>1706400000000</v>
      </c>
      <c r="Y18" s="1914">
        <v>1769200000000</v>
      </c>
      <c r="Z18" s="1916">
        <v>1955000000000</v>
      </c>
      <c r="AA18" s="1916">
        <v>2100600000000</v>
      </c>
      <c r="AB18" s="1911"/>
      <c r="AC18" s="1911"/>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row>
    <row r="19" spans="1:54">
      <c r="A19" s="1602" t="s">
        <v>76</v>
      </c>
      <c r="B19" s="1612" t="s">
        <v>4963</v>
      </c>
      <c r="C19" s="1612"/>
      <c r="D19" s="1893"/>
      <c r="E19" s="1893"/>
      <c r="F19" s="1893"/>
      <c r="G19" s="1893"/>
      <c r="H19" s="1893"/>
      <c r="I19" s="1893"/>
      <c r="J19" s="1893">
        <v>241400000000</v>
      </c>
      <c r="K19" s="1893">
        <v>326900000000</v>
      </c>
      <c r="L19" s="1893">
        <v>411100000000</v>
      </c>
      <c r="M19" s="1893">
        <v>464500000000</v>
      </c>
      <c r="N19" s="1893">
        <v>466400000000</v>
      </c>
      <c r="O19" s="1893">
        <v>541000000000</v>
      </c>
      <c r="P19" s="1637">
        <v>603600000000</v>
      </c>
      <c r="Q19" s="1637">
        <v>706200000000</v>
      </c>
      <c r="R19" s="1637">
        <v>976000000000</v>
      </c>
      <c r="S19" s="1637">
        <v>1085500000000</v>
      </c>
      <c r="T19" s="1637">
        <v>832700000000</v>
      </c>
      <c r="U19" s="1637">
        <v>913100000000</v>
      </c>
      <c r="V19" s="1637">
        <v>1013300000000</v>
      </c>
      <c r="W19" s="1637">
        <v>1035900000000.0001</v>
      </c>
      <c r="X19" s="1637">
        <v>1077200000000</v>
      </c>
      <c r="Y19" s="1636">
        <v>1200100000000</v>
      </c>
      <c r="Z19" s="1917">
        <v>1359100000000</v>
      </c>
      <c r="AA19" s="1917">
        <v>1483700000000</v>
      </c>
      <c r="AB19" s="1910"/>
      <c r="AC19" s="1910"/>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1619" t="s">
        <v>73</v>
      </c>
      <c r="B20" s="1612" t="s">
        <v>4964</v>
      </c>
      <c r="C20" s="1613" t="s">
        <v>75</v>
      </c>
      <c r="D20" s="1893">
        <v>143800000000</v>
      </c>
      <c r="E20" s="1893">
        <v>157400000000</v>
      </c>
      <c r="F20" s="1893">
        <v>161800000000</v>
      </c>
      <c r="G20" s="1893">
        <v>159900000000</v>
      </c>
      <c r="H20" s="1893">
        <v>172700000000</v>
      </c>
      <c r="I20" s="1893">
        <v>165300000000</v>
      </c>
      <c r="J20" s="1893">
        <v>174200000000</v>
      </c>
      <c r="K20" s="1893">
        <v>239400000000</v>
      </c>
      <c r="L20" s="1893">
        <v>300800000000</v>
      </c>
      <c r="M20" s="1894">
        <f>M22+M23+M26+M24+M27+M30+M31</f>
        <v>304800000000</v>
      </c>
      <c r="N20" s="1893">
        <v>366400000000</v>
      </c>
      <c r="O20" s="1894">
        <f>O22+O23+O26+O24+O27+O30+O31</f>
        <v>381600000000</v>
      </c>
      <c r="P20" s="1637">
        <f>P22+P23+P26+P27+P30+P31</f>
        <v>409500000000</v>
      </c>
      <c r="Q20" s="1637">
        <v>511600000000</v>
      </c>
      <c r="R20" s="1637">
        <v>595200000000</v>
      </c>
      <c r="S20" s="1637">
        <f>S22+S23+S26+S27+S30+S31</f>
        <v>661000000000</v>
      </c>
      <c r="T20" s="1637">
        <f t="shared" ref="T20:U20" si="2">T22+T23+T26+T27+T30+T31</f>
        <v>631300000000</v>
      </c>
      <c r="U20" s="1637">
        <f t="shared" si="2"/>
        <v>671100000000</v>
      </c>
      <c r="V20" s="1637">
        <v>732600000000</v>
      </c>
      <c r="W20" s="1637">
        <v>772900000000</v>
      </c>
      <c r="X20" s="1637">
        <v>827200000000</v>
      </c>
      <c r="Y20" s="1636">
        <v>855100000000</v>
      </c>
      <c r="Z20" s="1917">
        <v>910600000000</v>
      </c>
      <c r="AA20" s="1917">
        <v>979200000000</v>
      </c>
      <c r="AB20" s="1910"/>
      <c r="AC20" s="1910"/>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1602" t="s">
        <v>76</v>
      </c>
      <c r="B21" s="1612" t="s">
        <v>4965</v>
      </c>
      <c r="C21" s="1612"/>
      <c r="D21" s="1893">
        <v>138500000000</v>
      </c>
      <c r="E21" s="1893">
        <v>147100000000</v>
      </c>
      <c r="F21" s="1893">
        <v>153700000000</v>
      </c>
      <c r="G21" s="1893">
        <v>151300000000</v>
      </c>
      <c r="H21" s="1893">
        <v>155800000000</v>
      </c>
      <c r="I21" s="1893">
        <v>148700000000</v>
      </c>
      <c r="J21" s="1893">
        <v>163800000000</v>
      </c>
      <c r="K21" s="1893">
        <v>199300000000</v>
      </c>
      <c r="L21" s="1893">
        <v>254800000000</v>
      </c>
      <c r="M21" s="1893">
        <v>276500000000</v>
      </c>
      <c r="N21" s="1893">
        <v>346300000000</v>
      </c>
      <c r="O21" s="1893">
        <v>356300000000</v>
      </c>
      <c r="P21" s="1637">
        <v>391600000000</v>
      </c>
      <c r="Q21" s="1637">
        <v>497000000000</v>
      </c>
      <c r="R21" s="1637">
        <v>580900000000</v>
      </c>
      <c r="S21" s="1637">
        <v>639100000000</v>
      </c>
      <c r="T21" s="1637">
        <v>609500000000</v>
      </c>
      <c r="U21" s="1637">
        <v>639300000000</v>
      </c>
      <c r="V21" s="1637">
        <v>708800000000</v>
      </c>
      <c r="W21" s="1637">
        <v>747300000000</v>
      </c>
      <c r="X21" s="1637">
        <v>799700000000</v>
      </c>
      <c r="Y21" s="1636">
        <v>825400000000</v>
      </c>
      <c r="Z21" s="1917">
        <v>878200000000</v>
      </c>
      <c r="AA21" s="1917">
        <v>944100000000</v>
      </c>
      <c r="AB21" s="1910"/>
      <c r="AC21" s="1910"/>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c r="A22" s="1616" t="s">
        <v>79</v>
      </c>
      <c r="B22" s="1616" t="s">
        <v>4966</v>
      </c>
      <c r="C22" s="1613" t="s">
        <v>81</v>
      </c>
      <c r="D22" s="1893">
        <v>51800000000</v>
      </c>
      <c r="E22" s="1893">
        <v>50400000000</v>
      </c>
      <c r="F22" s="1893">
        <v>55300000000</v>
      </c>
      <c r="G22" s="1893">
        <v>57100000000</v>
      </c>
      <c r="H22" s="1893">
        <v>59200000000</v>
      </c>
      <c r="I22" s="1893">
        <v>63000000000</v>
      </c>
      <c r="J22" s="1893">
        <v>68000000000</v>
      </c>
      <c r="K22" s="1893">
        <v>72200000000</v>
      </c>
      <c r="L22" s="1893">
        <v>83800000000</v>
      </c>
      <c r="M22" s="1893">
        <v>93600000000</v>
      </c>
      <c r="N22" s="1893">
        <v>103200000000</v>
      </c>
      <c r="O22" s="1893">
        <v>134600000000</v>
      </c>
      <c r="P22" s="1637">
        <v>155200000000</v>
      </c>
      <c r="Q22" s="1637">
        <v>189800000000</v>
      </c>
      <c r="R22" s="1637">
        <v>214500000000</v>
      </c>
      <c r="S22" s="1637">
        <v>250200000000</v>
      </c>
      <c r="T22" s="1637">
        <v>265100000000.00003</v>
      </c>
      <c r="U22" s="1637">
        <v>269700000000</v>
      </c>
      <c r="V22" s="1637">
        <v>276400000000</v>
      </c>
      <c r="W22" s="1637">
        <v>284700000000</v>
      </c>
      <c r="X22" s="1637">
        <v>309700000000</v>
      </c>
      <c r="Y22" s="1636">
        <v>325400000000</v>
      </c>
      <c r="Z22" s="1917">
        <v>346900000000</v>
      </c>
      <c r="AA22" s="1917">
        <v>373300000000</v>
      </c>
      <c r="AB22" s="1910"/>
      <c r="AC22" s="1910"/>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c r="A23" s="1617" t="s">
        <v>83</v>
      </c>
      <c r="B23" s="1616" t="s">
        <v>4967</v>
      </c>
      <c r="C23" s="1613" t="s">
        <v>81</v>
      </c>
      <c r="D23" s="1893">
        <v>39900000000</v>
      </c>
      <c r="E23" s="1893">
        <v>44200000000</v>
      </c>
      <c r="F23" s="1893">
        <v>48700000000</v>
      </c>
      <c r="G23" s="1893">
        <v>39500000000</v>
      </c>
      <c r="H23" s="1893">
        <v>50300000000</v>
      </c>
      <c r="I23" s="1893">
        <v>43600000000</v>
      </c>
      <c r="J23" s="1893">
        <v>47400000000</v>
      </c>
      <c r="K23" s="1893">
        <v>61700000000</v>
      </c>
      <c r="L23" s="1893">
        <v>63400000000</v>
      </c>
      <c r="M23" s="1893">
        <v>83900000000</v>
      </c>
      <c r="N23" s="1893">
        <v>94300000000</v>
      </c>
      <c r="O23" s="1893">
        <v>115400000000</v>
      </c>
      <c r="P23" s="1637">
        <v>80400000000</v>
      </c>
      <c r="Q23" s="1637">
        <v>105800000000</v>
      </c>
      <c r="R23" s="1637">
        <v>127400000000</v>
      </c>
      <c r="S23" s="1637">
        <v>157900000000</v>
      </c>
      <c r="T23" s="1637">
        <v>107100000000</v>
      </c>
      <c r="U23" s="1637">
        <v>112000000000</v>
      </c>
      <c r="V23" s="1637">
        <v>136000000000</v>
      </c>
      <c r="W23" s="1637">
        <v>146000000000</v>
      </c>
      <c r="X23" s="1637">
        <v>154900000000</v>
      </c>
      <c r="Y23" s="1636">
        <v>160400000000</v>
      </c>
      <c r="Z23" s="1917">
        <v>168200000000</v>
      </c>
      <c r="AA23" s="1917">
        <v>176500000000</v>
      </c>
      <c r="AB23" s="1910"/>
      <c r="AC23" s="1910"/>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c r="A24" s="1616" t="s">
        <v>85</v>
      </c>
      <c r="B24" s="1616" t="s">
        <v>4968</v>
      </c>
      <c r="C24" s="1613" t="s">
        <v>81</v>
      </c>
      <c r="D24" s="1893">
        <v>24000000000</v>
      </c>
      <c r="E24" s="1893">
        <v>28100000000</v>
      </c>
      <c r="F24" s="1893">
        <v>30300000000</v>
      </c>
      <c r="G24" s="1893">
        <v>37300000000</v>
      </c>
      <c r="H24" s="1893">
        <v>38200000000</v>
      </c>
      <c r="I24" s="1893">
        <v>31900000000</v>
      </c>
      <c r="J24" s="1893">
        <v>43500000000</v>
      </c>
      <c r="K24" s="1893">
        <v>58300000000</v>
      </c>
      <c r="L24" s="1893">
        <v>102100000000</v>
      </c>
      <c r="M24" s="1893">
        <v>97200000000</v>
      </c>
      <c r="N24" s="1893"/>
      <c r="O24" s="1893"/>
      <c r="P24" s="1893"/>
      <c r="Q24" s="1633"/>
      <c r="R24" s="1633"/>
      <c r="S24" s="1633"/>
      <c r="T24" s="1633"/>
      <c r="U24" s="1633"/>
      <c r="V24" s="1638"/>
      <c r="W24" s="1636"/>
      <c r="X24" s="1913"/>
      <c r="Y24" s="1636"/>
      <c r="Z24" s="1917"/>
      <c r="AA24" s="1917"/>
      <c r="AB24" s="1910"/>
      <c r="AC24" s="1910"/>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c r="A25" s="1602" t="s">
        <v>76</v>
      </c>
      <c r="B25" s="1620" t="s">
        <v>4969</v>
      </c>
      <c r="C25" s="1612"/>
      <c r="D25" s="1893"/>
      <c r="E25" s="1893"/>
      <c r="F25" s="1893"/>
      <c r="G25" s="1893"/>
      <c r="H25" s="1893"/>
      <c r="I25" s="1893"/>
      <c r="J25" s="1636"/>
      <c r="K25" s="1636"/>
      <c r="L25" s="1636"/>
      <c r="M25" s="1893">
        <v>13500000000</v>
      </c>
      <c r="N25" s="1893"/>
      <c r="O25" s="1893"/>
      <c r="P25" s="1893"/>
      <c r="Q25" s="1633"/>
      <c r="R25" s="1633"/>
      <c r="S25" s="1633"/>
      <c r="T25" s="1633"/>
      <c r="U25" s="1633"/>
      <c r="V25" s="1638"/>
      <c r="W25" s="1636"/>
      <c r="X25" s="1913"/>
      <c r="Y25" s="1636"/>
      <c r="Z25" s="1917"/>
      <c r="AA25" s="1917"/>
      <c r="AB25" s="1910"/>
      <c r="AC25" s="1910"/>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c r="A26" s="1617" t="s">
        <v>391</v>
      </c>
      <c r="B26" s="1616" t="s">
        <v>4970</v>
      </c>
      <c r="C26" s="1613" t="s">
        <v>81</v>
      </c>
      <c r="D26" s="1893"/>
      <c r="E26" s="1893"/>
      <c r="F26" s="1893"/>
      <c r="G26" s="1893"/>
      <c r="H26" s="1893"/>
      <c r="I26" s="1893"/>
      <c r="J26" s="1636"/>
      <c r="K26" s="1895">
        <f>K20-K22-K23-K24-K27-K30-K31</f>
        <v>300000000</v>
      </c>
      <c r="L26" s="1895">
        <f>L20-L22-L23-L24-L27-L30-L31</f>
        <v>9300000000</v>
      </c>
      <c r="M26" s="1636"/>
      <c r="N26" s="1893">
        <v>135500000000</v>
      </c>
      <c r="O26" s="1893">
        <v>96800000000</v>
      </c>
      <c r="P26" s="1637">
        <v>149600000000</v>
      </c>
      <c r="Q26" s="1637">
        <v>188000000000</v>
      </c>
      <c r="R26" s="1637">
        <v>221000000000</v>
      </c>
      <c r="S26" s="1637">
        <v>204500000000</v>
      </c>
      <c r="T26" s="1637">
        <v>195400000000</v>
      </c>
      <c r="U26" s="1637">
        <v>215300000000</v>
      </c>
      <c r="V26" s="1637">
        <v>232400000000</v>
      </c>
      <c r="W26" s="1637">
        <v>249500000000</v>
      </c>
      <c r="X26" s="1637">
        <v>265800000000</v>
      </c>
      <c r="Y26" s="1636">
        <v>271399999999.99997</v>
      </c>
      <c r="Z26" s="1917">
        <v>292300000000</v>
      </c>
      <c r="AA26" s="1917">
        <v>320700000000</v>
      </c>
      <c r="AB26" s="1910"/>
      <c r="AC26" s="1910"/>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1617" t="s">
        <v>90</v>
      </c>
      <c r="B27" s="1616" t="s">
        <v>91</v>
      </c>
      <c r="C27" s="1613" t="s">
        <v>81</v>
      </c>
      <c r="D27" s="1893">
        <v>21600000000</v>
      </c>
      <c r="E27" s="1893">
        <v>25400000000</v>
      </c>
      <c r="F27" s="1893">
        <v>22600000000</v>
      </c>
      <c r="G27" s="1893">
        <v>17400000000</v>
      </c>
      <c r="H27" s="1893">
        <v>8100000000</v>
      </c>
      <c r="I27" s="1893">
        <v>10100000000</v>
      </c>
      <c r="J27" s="1893">
        <v>4900000000</v>
      </c>
      <c r="K27" s="1893">
        <v>7100000000</v>
      </c>
      <c r="L27" s="1893">
        <v>5500000000</v>
      </c>
      <c r="M27" s="1893">
        <v>5800000000</v>
      </c>
      <c r="N27" s="1893">
        <v>6000000000</v>
      </c>
      <c r="O27" s="1893">
        <v>10200000000</v>
      </c>
      <c r="P27" s="1637">
        <v>10900000000</v>
      </c>
      <c r="Q27" s="1637">
        <v>11500000000</v>
      </c>
      <c r="R27" s="1637">
        <v>16000000000</v>
      </c>
      <c r="S27" s="1637">
        <v>26600000000</v>
      </c>
      <c r="T27" s="1637">
        <v>41900000000</v>
      </c>
      <c r="U27" s="1637">
        <v>49900000000</v>
      </c>
      <c r="V27" s="1637">
        <v>63900000000</v>
      </c>
      <c r="W27" s="1637">
        <v>67099999999.999992</v>
      </c>
      <c r="X27" s="1637">
        <v>69300000000</v>
      </c>
      <c r="Y27" s="1636">
        <v>68200000000</v>
      </c>
      <c r="Z27" s="1917">
        <v>70900000000</v>
      </c>
      <c r="AA27" s="1917">
        <v>73700000000</v>
      </c>
      <c r="AB27" s="1910"/>
      <c r="AC27" s="1910"/>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1617" t="s">
        <v>583</v>
      </c>
      <c r="B28" s="1620" t="s">
        <v>4971</v>
      </c>
      <c r="C28" s="1612" t="s">
        <v>211</v>
      </c>
      <c r="D28" s="1893">
        <v>19600000000</v>
      </c>
      <c r="E28" s="1893">
        <v>24100000000</v>
      </c>
      <c r="F28" s="1893">
        <v>21200000000</v>
      </c>
      <c r="G28" s="1893">
        <v>16100000000.000002</v>
      </c>
      <c r="H28" s="1893">
        <v>8000000000</v>
      </c>
      <c r="I28" s="1893">
        <v>8000000000</v>
      </c>
      <c r="J28" s="1893">
        <v>3700000000</v>
      </c>
      <c r="K28" s="1893">
        <v>4400000000</v>
      </c>
      <c r="L28" s="1893">
        <v>3700000000</v>
      </c>
      <c r="M28" s="1893">
        <v>4500000000</v>
      </c>
      <c r="N28" s="1893">
        <v>3800000000</v>
      </c>
      <c r="O28" s="1893">
        <v>6900000000</v>
      </c>
      <c r="P28" s="1637">
        <v>6900000000</v>
      </c>
      <c r="Q28" s="1637">
        <v>8400000000</v>
      </c>
      <c r="R28" s="1637">
        <v>10000000000</v>
      </c>
      <c r="S28" s="1637">
        <v>11900000000</v>
      </c>
      <c r="T28" s="1637">
        <v>18400000000</v>
      </c>
      <c r="U28" s="1637">
        <v>16399999999.999998</v>
      </c>
      <c r="V28" s="1637">
        <v>23400000000</v>
      </c>
      <c r="W28" s="1637">
        <v>19300000000</v>
      </c>
      <c r="X28" s="1637">
        <v>19800000000</v>
      </c>
      <c r="Y28" s="1636">
        <v>21100000000</v>
      </c>
      <c r="Z28" s="1917">
        <v>26000000000</v>
      </c>
      <c r="AA28" s="1917">
        <v>30400000000</v>
      </c>
      <c r="AB28" s="1910"/>
      <c r="AC28" s="1910"/>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1617" t="s">
        <v>209</v>
      </c>
      <c r="B29" s="1620" t="s">
        <v>4972</v>
      </c>
      <c r="C29" s="1612" t="s">
        <v>211</v>
      </c>
      <c r="D29" s="1893">
        <v>2000000000</v>
      </c>
      <c r="E29" s="1893">
        <v>1300000000</v>
      </c>
      <c r="F29" s="1893">
        <v>1500000000</v>
      </c>
      <c r="G29" s="1893">
        <v>1300000000</v>
      </c>
      <c r="H29" s="1893">
        <v>100000000</v>
      </c>
      <c r="I29" s="1893">
        <v>2100000000</v>
      </c>
      <c r="J29" s="1893">
        <v>1200000000</v>
      </c>
      <c r="K29" s="1893">
        <v>2700000000</v>
      </c>
      <c r="L29" s="1893">
        <v>1800000000</v>
      </c>
      <c r="M29" s="1893">
        <v>1300000000</v>
      </c>
      <c r="N29" s="1893">
        <v>2200000000</v>
      </c>
      <c r="O29" s="1893">
        <v>3300000000</v>
      </c>
      <c r="P29" s="1645">
        <f t="shared" ref="P29:S29" si="3">P27-P28</f>
        <v>4000000000</v>
      </c>
      <c r="Q29" s="1645">
        <f t="shared" si="3"/>
        <v>3100000000</v>
      </c>
      <c r="R29" s="1645">
        <f t="shared" si="3"/>
        <v>6000000000</v>
      </c>
      <c r="S29" s="1645">
        <f t="shared" si="3"/>
        <v>14700000000</v>
      </c>
      <c r="T29" s="1645">
        <f>T27-T28</f>
        <v>23500000000</v>
      </c>
      <c r="U29" s="1645">
        <f t="shared" ref="U29:AA29" si="4">U27-U28</f>
        <v>33500000000</v>
      </c>
      <c r="V29" s="1645">
        <f t="shared" si="4"/>
        <v>40500000000</v>
      </c>
      <c r="W29" s="1645">
        <f t="shared" si="4"/>
        <v>47799999999.999992</v>
      </c>
      <c r="X29" s="1645">
        <f t="shared" si="4"/>
        <v>49500000000</v>
      </c>
      <c r="Y29" s="1923">
        <f t="shared" si="4"/>
        <v>47100000000</v>
      </c>
      <c r="Z29" s="1924">
        <f t="shared" si="4"/>
        <v>44900000000</v>
      </c>
      <c r="AA29" s="1924">
        <f t="shared" si="4"/>
        <v>43300000000</v>
      </c>
      <c r="AB29" s="1910"/>
      <c r="AC29" s="1910"/>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1616" t="s">
        <v>4973</v>
      </c>
      <c r="B30" s="1616" t="s">
        <v>4974</v>
      </c>
      <c r="C30" s="1613" t="s">
        <v>81</v>
      </c>
      <c r="D30" s="1893"/>
      <c r="E30" s="1893"/>
      <c r="F30" s="1893"/>
      <c r="G30" s="1893"/>
      <c r="H30" s="1893"/>
      <c r="I30" s="1893"/>
      <c r="J30" s="1636"/>
      <c r="K30" s="1636"/>
      <c r="L30" s="1636"/>
      <c r="M30" s="1893"/>
      <c r="N30" s="1893">
        <v>7300000000</v>
      </c>
      <c r="O30" s="1893"/>
      <c r="P30" s="2762">
        <v>0</v>
      </c>
      <c r="Q30" s="1637">
        <v>1900000000</v>
      </c>
      <c r="R30" s="1637">
        <v>1900000000</v>
      </c>
      <c r="S30" s="2762">
        <v>0</v>
      </c>
      <c r="T30" s="1637">
        <v>21800000000</v>
      </c>
      <c r="U30" s="1637">
        <v>24200000000</v>
      </c>
      <c r="V30" s="1637">
        <v>23900000000</v>
      </c>
      <c r="W30" s="1637">
        <v>25600000000</v>
      </c>
      <c r="X30" s="1637">
        <v>27600000000</v>
      </c>
      <c r="Y30" s="1636">
        <v>29700000000</v>
      </c>
      <c r="Z30" s="1917">
        <v>32400000000</v>
      </c>
      <c r="AA30" s="1917">
        <v>35000000000</v>
      </c>
      <c r="AB30" s="1910"/>
      <c r="AC30" s="1910"/>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1616" t="s">
        <v>4346</v>
      </c>
      <c r="B31" s="1616" t="s">
        <v>4975</v>
      </c>
      <c r="C31" s="1613" t="s">
        <v>81</v>
      </c>
      <c r="D31" s="1893">
        <v>6400000000</v>
      </c>
      <c r="E31" s="1893">
        <v>9300000000</v>
      </c>
      <c r="F31" s="1893">
        <v>4900000000</v>
      </c>
      <c r="G31" s="1893">
        <v>8600000000</v>
      </c>
      <c r="H31" s="1893">
        <v>16899999999.999998</v>
      </c>
      <c r="I31" s="1893">
        <v>16600000000.000002</v>
      </c>
      <c r="J31" s="1893">
        <v>10400000000</v>
      </c>
      <c r="K31" s="1893">
        <v>39800000000</v>
      </c>
      <c r="L31" s="1893">
        <v>36700000000</v>
      </c>
      <c r="M31" s="1893">
        <v>24300000000</v>
      </c>
      <c r="N31" s="1893">
        <v>20100000000</v>
      </c>
      <c r="O31" s="1893">
        <v>24600000000</v>
      </c>
      <c r="P31" s="1637">
        <v>13400000000</v>
      </c>
      <c r="Q31" s="1637">
        <v>14600000000</v>
      </c>
      <c r="R31" s="1637">
        <v>14300000000</v>
      </c>
      <c r="S31" s="1637">
        <v>21800000000</v>
      </c>
      <c r="T31" s="2762">
        <v>0</v>
      </c>
      <c r="U31" s="2762">
        <v>0</v>
      </c>
      <c r="V31" s="1637">
        <v>0</v>
      </c>
      <c r="W31" s="1637">
        <v>0</v>
      </c>
      <c r="X31" s="1637">
        <v>0</v>
      </c>
      <c r="Y31" s="1636">
        <v>0</v>
      </c>
      <c r="Z31" s="1917">
        <v>0</v>
      </c>
      <c r="AA31" s="1917">
        <v>0</v>
      </c>
      <c r="AB31" s="1910"/>
      <c r="AC31" s="1910"/>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1602" t="s">
        <v>76</v>
      </c>
      <c r="B32" s="1612" t="s">
        <v>4976</v>
      </c>
      <c r="C32" s="1612"/>
      <c r="D32" s="1893">
        <v>70500000000</v>
      </c>
      <c r="E32" s="1893">
        <v>88100000000</v>
      </c>
      <c r="F32" s="1893">
        <v>116300000000</v>
      </c>
      <c r="G32" s="1893">
        <v>115500000000</v>
      </c>
      <c r="H32" s="1893">
        <v>144900000000</v>
      </c>
      <c r="I32" s="1893">
        <v>192900000000</v>
      </c>
      <c r="J32" s="1893">
        <v>202300000000</v>
      </c>
      <c r="K32" s="1893">
        <v>236600000000</v>
      </c>
      <c r="L32" s="1893">
        <v>247100000000</v>
      </c>
      <c r="M32" s="1893">
        <v>309100000000</v>
      </c>
      <c r="N32" s="1893">
        <v>217700000000</v>
      </c>
      <c r="O32" s="1893">
        <v>251500000000</v>
      </c>
      <c r="P32" s="1637">
        <v>394200000000</v>
      </c>
      <c r="Q32" s="1637">
        <v>518700000000.00006</v>
      </c>
      <c r="R32" s="1637">
        <v>668500000000</v>
      </c>
      <c r="S32" s="1637">
        <v>726800000000</v>
      </c>
      <c r="T32" s="1637">
        <v>556600000000</v>
      </c>
      <c r="U32" s="1637">
        <v>600200000000</v>
      </c>
      <c r="V32" s="1637">
        <v>758700000000</v>
      </c>
      <c r="W32" s="1637">
        <v>819900000000</v>
      </c>
      <c r="X32" s="1637">
        <v>879200000000</v>
      </c>
      <c r="Y32" s="1636">
        <v>914100000000</v>
      </c>
      <c r="Z32" s="1917">
        <v>1044400000000.0001</v>
      </c>
      <c r="AA32" s="1917">
        <v>1121400000000</v>
      </c>
      <c r="AB32" s="1910"/>
      <c r="AC32" s="1910"/>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612" t="s">
        <v>237</v>
      </c>
      <c r="B33" s="1612" t="s">
        <v>3898</v>
      </c>
      <c r="C33" s="1613" t="s">
        <v>75</v>
      </c>
      <c r="D33" s="1893">
        <v>73600000000</v>
      </c>
      <c r="E33" s="1893">
        <v>89000000000</v>
      </c>
      <c r="F33" s="1893">
        <v>116500000000</v>
      </c>
      <c r="G33" s="1893">
        <v>115500000000</v>
      </c>
      <c r="H33" s="1893">
        <f>144000000000</f>
        <v>144000000000</v>
      </c>
      <c r="I33" s="1908">
        <f>I34+I37</f>
        <v>193300000000</v>
      </c>
      <c r="J33" s="1893">
        <v>202300000000</v>
      </c>
      <c r="K33" s="1893">
        <v>236600000000</v>
      </c>
      <c r="L33" s="1893">
        <v>247100000000</v>
      </c>
      <c r="M33" s="1893">
        <v>309100000000</v>
      </c>
      <c r="N33" s="1893">
        <v>217700000000</v>
      </c>
      <c r="O33" s="1893">
        <v>206000000000</v>
      </c>
      <c r="P33" s="1637">
        <v>394200000000</v>
      </c>
      <c r="Q33" s="1637">
        <v>518700000000.00006</v>
      </c>
      <c r="R33" s="1637">
        <v>668500000000</v>
      </c>
      <c r="S33" s="1637">
        <v>726800000000</v>
      </c>
      <c r="T33" s="1637">
        <v>556600000000</v>
      </c>
      <c r="U33" s="1637">
        <v>600200000000</v>
      </c>
      <c r="V33" s="1637">
        <v>758700000000</v>
      </c>
      <c r="W33" s="1637">
        <v>819900000000</v>
      </c>
      <c r="X33" s="1637">
        <v>879200000000</v>
      </c>
      <c r="Y33" s="1636">
        <v>914100000000</v>
      </c>
      <c r="Z33" s="1917">
        <v>1044400000000.0001</v>
      </c>
      <c r="AA33" s="1917">
        <v>1121400000000</v>
      </c>
      <c r="AB33" s="1910"/>
      <c r="AC33" s="1910"/>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1616" t="s">
        <v>239</v>
      </c>
      <c r="B34" s="1616" t="s">
        <v>4977</v>
      </c>
      <c r="C34" s="1613" t="s">
        <v>95</v>
      </c>
      <c r="D34" s="1893">
        <v>8100000000</v>
      </c>
      <c r="E34" s="1893">
        <v>25100000000</v>
      </c>
      <c r="F34" s="1893">
        <v>27100000000</v>
      </c>
      <c r="G34" s="1893">
        <f>28500000000+G35</f>
        <v>40500000000</v>
      </c>
      <c r="H34" s="1893">
        <f>34000000000+H35</f>
        <v>51000000000</v>
      </c>
      <c r="I34" s="1908">
        <f>51000000000+I35</f>
        <v>73300000000</v>
      </c>
      <c r="J34" s="1908">
        <f>51500000000+J35</f>
        <v>67100000000</v>
      </c>
      <c r="K34" s="1908">
        <f>73700000000+K35</f>
        <v>87500000000</v>
      </c>
      <c r="L34" s="1893">
        <f>96700000000+L35</f>
        <v>110300000000</v>
      </c>
      <c r="M34" s="1893">
        <v>163700000000</v>
      </c>
      <c r="N34" s="1893">
        <v>100000000000</v>
      </c>
      <c r="O34" s="1893">
        <v>114500000000</v>
      </c>
      <c r="P34" s="1637">
        <v>198600000000</v>
      </c>
      <c r="Q34" s="1637">
        <v>194600000000</v>
      </c>
      <c r="R34" s="1637">
        <v>380800000000</v>
      </c>
      <c r="S34" s="1637">
        <v>424600000000</v>
      </c>
      <c r="T34" s="1637">
        <v>201400000000</v>
      </c>
      <c r="U34" s="1637">
        <v>249600000000</v>
      </c>
      <c r="V34" s="1637">
        <v>280700000000</v>
      </c>
      <c r="W34" s="1637">
        <v>263000000000</v>
      </c>
      <c r="X34" s="1637">
        <v>250000000000</v>
      </c>
      <c r="Y34" s="1636">
        <v>345000000000</v>
      </c>
      <c r="Z34" s="1917">
        <v>448500000000</v>
      </c>
      <c r="AA34" s="1917">
        <v>504600000000</v>
      </c>
      <c r="AB34" s="1910"/>
      <c r="AC34" s="1910"/>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1620" t="s">
        <v>4978</v>
      </c>
      <c r="B35" s="1620" t="s">
        <v>4979</v>
      </c>
      <c r="C35" s="1612" t="s">
        <v>1234</v>
      </c>
      <c r="D35" s="1893">
        <v>0</v>
      </c>
      <c r="E35" s="1893">
        <v>7900000000</v>
      </c>
      <c r="F35" s="1893">
        <v>9800000000</v>
      </c>
      <c r="G35" s="1893">
        <v>12000000000</v>
      </c>
      <c r="H35" s="1893">
        <v>17000000000</v>
      </c>
      <c r="I35" s="1893">
        <v>22300000000</v>
      </c>
      <c r="J35" s="1893">
        <v>15600000000</v>
      </c>
      <c r="K35" s="1893">
        <v>13800000000</v>
      </c>
      <c r="L35" s="1893">
        <v>13600000000</v>
      </c>
      <c r="M35" s="1893"/>
      <c r="N35" s="1893"/>
      <c r="O35" s="1893"/>
      <c r="P35" s="1893"/>
      <c r="Q35" s="1633"/>
      <c r="R35" s="1633"/>
      <c r="S35" s="1633"/>
      <c r="T35" s="1633"/>
      <c r="U35" s="1633"/>
      <c r="V35" s="1638"/>
      <c r="W35" s="1636"/>
      <c r="X35" s="1913"/>
      <c r="Y35" s="1636"/>
      <c r="Z35" s="1917"/>
      <c r="AA35" s="1917"/>
      <c r="AB35" s="1910"/>
      <c r="AC35" s="1910"/>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c r="A36" s="1620" t="s">
        <v>4980</v>
      </c>
      <c r="B36" s="1620" t="s">
        <v>4981</v>
      </c>
      <c r="C36" s="1612" t="s">
        <v>1234</v>
      </c>
      <c r="D36" s="1893">
        <v>8100000000</v>
      </c>
      <c r="E36" s="1893">
        <v>17200000000</v>
      </c>
      <c r="F36" s="1893">
        <v>17300000000</v>
      </c>
      <c r="G36" s="1893">
        <f t="shared" ref="G36:L36" si="5">G34-G35</f>
        <v>28500000000</v>
      </c>
      <c r="H36" s="1893">
        <f t="shared" si="5"/>
        <v>34000000000</v>
      </c>
      <c r="I36" s="1908">
        <f t="shared" si="5"/>
        <v>51000000000</v>
      </c>
      <c r="J36" s="1908">
        <f t="shared" si="5"/>
        <v>51500000000</v>
      </c>
      <c r="K36" s="1908">
        <f t="shared" si="5"/>
        <v>73700000000</v>
      </c>
      <c r="L36" s="1893">
        <f t="shared" si="5"/>
        <v>96700000000</v>
      </c>
      <c r="M36" s="1893"/>
      <c r="N36" s="1893"/>
      <c r="O36" s="1893"/>
      <c r="P36" s="1893"/>
      <c r="Q36" s="1633"/>
      <c r="R36" s="1633"/>
      <c r="S36" s="1633"/>
      <c r="T36" s="1633"/>
      <c r="U36" s="1633"/>
      <c r="V36" s="1638"/>
      <c r="W36" s="1636"/>
      <c r="X36" s="1913"/>
      <c r="Y36" s="1636"/>
      <c r="Z36" s="1917"/>
      <c r="AA36" s="1917"/>
      <c r="AB36" s="1910"/>
      <c r="AC36" s="1910"/>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s="1616" t="s">
        <v>395</v>
      </c>
      <c r="B37" s="1616" t="s">
        <v>4982</v>
      </c>
      <c r="C37" s="1613" t="s">
        <v>95</v>
      </c>
      <c r="D37" s="1893">
        <v>65500000000</v>
      </c>
      <c r="E37" s="1893">
        <v>63900000000</v>
      </c>
      <c r="F37" s="1893">
        <v>89400000000</v>
      </c>
      <c r="G37" s="1893">
        <v>75000000000</v>
      </c>
      <c r="H37" s="1893">
        <v>93000000000</v>
      </c>
      <c r="I37" s="1893">
        <v>120000000000</v>
      </c>
      <c r="J37" s="1893">
        <v>135199999999.99998</v>
      </c>
      <c r="K37" s="1893">
        <v>149100000000</v>
      </c>
      <c r="L37" s="1893">
        <v>136800000000.00002</v>
      </c>
      <c r="M37" s="1893">
        <v>145400000000</v>
      </c>
      <c r="N37" s="1893">
        <v>117700000000</v>
      </c>
      <c r="O37" s="1893">
        <v>91500000000</v>
      </c>
      <c r="P37" s="1637">
        <v>195600000000</v>
      </c>
      <c r="Q37" s="1637">
        <v>324100000000</v>
      </c>
      <c r="R37" s="1637">
        <v>287800000000</v>
      </c>
      <c r="S37" s="1637">
        <v>302200000000</v>
      </c>
      <c r="T37" s="1637">
        <v>355200000000</v>
      </c>
      <c r="U37" s="1637">
        <v>350600000000</v>
      </c>
      <c r="V37" s="1637">
        <v>478000000000</v>
      </c>
      <c r="W37" s="1637">
        <v>556900000000</v>
      </c>
      <c r="X37" s="1637">
        <v>629200000000</v>
      </c>
      <c r="Y37" s="1636">
        <v>569100000000</v>
      </c>
      <c r="Z37" s="1917">
        <v>595900000000</v>
      </c>
      <c r="AA37" s="1917">
        <v>616800000000</v>
      </c>
      <c r="AB37" s="1910"/>
      <c r="AC37" s="1910"/>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s="1602" t="s">
        <v>795</v>
      </c>
      <c r="B38" s="1620" t="s">
        <v>4983</v>
      </c>
      <c r="C38" s="1612" t="s">
        <v>4984</v>
      </c>
      <c r="D38" s="1893"/>
      <c r="E38" s="1893"/>
      <c r="F38" s="1893"/>
      <c r="G38" s="1893"/>
      <c r="H38" s="1893"/>
      <c r="I38" s="1893"/>
      <c r="J38" s="1893">
        <v>95700000000</v>
      </c>
      <c r="K38" s="1893">
        <v>119000000000</v>
      </c>
      <c r="L38" s="1893">
        <v>106300000000</v>
      </c>
      <c r="M38" s="1893">
        <v>105000000000</v>
      </c>
      <c r="N38" s="1893">
        <v>83000000000</v>
      </c>
      <c r="O38" s="1893">
        <v>57000000000</v>
      </c>
      <c r="P38" s="1637">
        <v>123400000000</v>
      </c>
      <c r="Q38" s="1637">
        <v>251000000000</v>
      </c>
      <c r="R38" s="1637">
        <v>154300000000</v>
      </c>
      <c r="S38" s="1637">
        <v>156000000000</v>
      </c>
      <c r="T38" s="1637">
        <v>204000000000</v>
      </c>
      <c r="U38" s="1637">
        <v>201000000000</v>
      </c>
      <c r="V38" s="1637">
        <v>269899999999.99997</v>
      </c>
      <c r="W38" s="1637">
        <v>333700000000</v>
      </c>
      <c r="X38" s="1637">
        <v>360100000000</v>
      </c>
      <c r="Y38" s="1636">
        <v>309000000000</v>
      </c>
      <c r="Z38" s="1917">
        <v>322900000000</v>
      </c>
      <c r="AA38" s="1917">
        <v>313200000000</v>
      </c>
      <c r="AB38" s="1910"/>
      <c r="AC38" s="1910"/>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s="1602" t="s">
        <v>4985</v>
      </c>
      <c r="B39" s="1620" t="s">
        <v>4986</v>
      </c>
      <c r="C39" s="1612" t="s">
        <v>4984</v>
      </c>
      <c r="D39" s="1893"/>
      <c r="E39" s="1893"/>
      <c r="F39" s="1893"/>
      <c r="G39" s="1893"/>
      <c r="H39" s="1893"/>
      <c r="I39" s="1893"/>
      <c r="J39" s="1636">
        <f>J37-J38</f>
        <v>39499999999.999985</v>
      </c>
      <c r="K39" s="1636">
        <f t="shared" ref="K39:L39" si="6">K37-K38</f>
        <v>30100000000</v>
      </c>
      <c r="L39" s="1636">
        <f t="shared" si="6"/>
        <v>30500000000.000015</v>
      </c>
      <c r="M39" s="1893">
        <v>40400000000</v>
      </c>
      <c r="N39" s="1893">
        <v>34700000000</v>
      </c>
      <c r="O39" s="1893">
        <v>34500000000</v>
      </c>
      <c r="P39" s="1637">
        <v>72200000000</v>
      </c>
      <c r="Q39" s="1637">
        <v>73200000000</v>
      </c>
      <c r="R39" s="1637">
        <v>133500000000</v>
      </c>
      <c r="S39" s="1637">
        <v>146100000000</v>
      </c>
      <c r="T39" s="1637">
        <v>151200000000</v>
      </c>
      <c r="U39" s="1637">
        <v>149600000000</v>
      </c>
      <c r="V39" s="1637">
        <v>208100000000</v>
      </c>
      <c r="W39" s="1637">
        <v>223200000000</v>
      </c>
      <c r="X39" s="1637">
        <v>269100000000.00003</v>
      </c>
      <c r="Y39" s="1636">
        <v>260100000000.00003</v>
      </c>
      <c r="Z39" s="1917">
        <v>273000000000</v>
      </c>
      <c r="AA39" s="1917">
        <v>303600000000</v>
      </c>
      <c r="AB39" s="1910"/>
      <c r="AC39" s="1910"/>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1612" t="s">
        <v>244</v>
      </c>
      <c r="B40" s="1612" t="s">
        <v>4987</v>
      </c>
      <c r="C40" s="1613" t="s">
        <v>75</v>
      </c>
      <c r="D40" s="2763">
        <v>0</v>
      </c>
      <c r="E40" s="2763">
        <v>0</v>
      </c>
      <c r="F40" s="2763">
        <v>0</v>
      </c>
      <c r="G40" s="1893">
        <v>0</v>
      </c>
      <c r="H40" s="1893">
        <v>900000000</v>
      </c>
      <c r="I40" s="2763">
        <v>0</v>
      </c>
      <c r="J40" s="1893">
        <v>0</v>
      </c>
      <c r="K40" s="1893">
        <v>0</v>
      </c>
      <c r="L40" s="1893">
        <v>0</v>
      </c>
      <c r="M40" s="1893">
        <v>0</v>
      </c>
      <c r="N40" s="1893">
        <v>0</v>
      </c>
      <c r="O40" s="1893">
        <v>45500000000</v>
      </c>
      <c r="P40" s="1637">
        <v>0</v>
      </c>
      <c r="Q40" s="1637">
        <v>0</v>
      </c>
      <c r="R40" s="1637">
        <v>0</v>
      </c>
      <c r="S40" s="1637">
        <v>0</v>
      </c>
      <c r="T40" s="1637">
        <v>0</v>
      </c>
      <c r="U40" s="1637">
        <v>0</v>
      </c>
      <c r="V40" s="1637">
        <v>0</v>
      </c>
      <c r="W40" s="1637">
        <v>0</v>
      </c>
      <c r="X40" s="1637">
        <v>0</v>
      </c>
      <c r="Y40" s="1636">
        <v>0</v>
      </c>
      <c r="Z40" s="1917">
        <v>0</v>
      </c>
      <c r="AA40" s="1917">
        <v>0</v>
      </c>
      <c r="AB40" s="1910"/>
      <c r="AC40" s="1910"/>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1602" t="s">
        <v>76</v>
      </c>
      <c r="B41" s="1612" t="s">
        <v>4988</v>
      </c>
      <c r="C41" s="1612"/>
      <c r="D41" s="1893">
        <v>-104200000000</v>
      </c>
      <c r="E41" s="1893">
        <v>-112800000000</v>
      </c>
      <c r="F41" s="1893">
        <v>-117200000000</v>
      </c>
      <c r="G41" s="1893">
        <v>-118700000000</v>
      </c>
      <c r="H41" s="1893">
        <v>-143800000000</v>
      </c>
      <c r="I41" s="1893">
        <v>-169300000000</v>
      </c>
      <c r="J41" s="1893">
        <v>-129400000000</v>
      </c>
      <c r="K41" s="1893">
        <v>-167000000000</v>
      </c>
      <c r="L41" s="1893">
        <v>-105900000000</v>
      </c>
      <c r="M41" s="1893">
        <v>-246300000000</v>
      </c>
      <c r="N41" s="1893">
        <v>-198500000000</v>
      </c>
      <c r="O41" s="1893">
        <v>-203700000000</v>
      </c>
      <c r="P41" s="1637">
        <v>-256200000000</v>
      </c>
      <c r="Q41" s="1637">
        <v>-401800000000</v>
      </c>
      <c r="R41" s="1637">
        <v>-549600000000</v>
      </c>
      <c r="S41" s="1637">
        <v>-386400000000</v>
      </c>
      <c r="T41" s="1637">
        <v>-273899999999.99997</v>
      </c>
      <c r="U41" s="1637">
        <v>-240800000000</v>
      </c>
      <c r="V41" s="1637">
        <v>-308400000000</v>
      </c>
      <c r="W41" s="1637">
        <v>-254100000000</v>
      </c>
      <c r="X41" s="1637">
        <v>-221300000000</v>
      </c>
      <c r="Y41" s="1636">
        <v>-195900000000</v>
      </c>
      <c r="Z41" s="1917">
        <v>-209300000000</v>
      </c>
      <c r="AA41" s="1917">
        <v>-222800000000</v>
      </c>
      <c r="AB41" s="1910"/>
      <c r="AC41" s="1910"/>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1602" t="s">
        <v>76</v>
      </c>
      <c r="B42" s="1612" t="s">
        <v>4989</v>
      </c>
      <c r="C42" s="1612"/>
      <c r="D42" s="1893">
        <v>-38700000000</v>
      </c>
      <c r="E42" s="1893">
        <v>-48900000000</v>
      </c>
      <c r="F42" s="1893">
        <v>-27800000000</v>
      </c>
      <c r="G42" s="1893">
        <v>-31700000000</v>
      </c>
      <c r="H42" s="1893">
        <v>-33799999999.999996</v>
      </c>
      <c r="I42" s="1893">
        <v>-27000000000</v>
      </c>
      <c r="J42" s="1893"/>
      <c r="K42" s="1893"/>
      <c r="L42" s="1893"/>
      <c r="M42" s="1893"/>
      <c r="N42" s="1893"/>
      <c r="O42" s="1893"/>
      <c r="P42" s="1893"/>
      <c r="Q42" s="1633"/>
      <c r="R42" s="1633"/>
      <c r="S42" s="1633"/>
      <c r="T42" s="1633"/>
      <c r="U42" s="1633"/>
      <c r="V42" s="1638"/>
      <c r="W42" s="1636"/>
      <c r="X42" s="1913"/>
      <c r="Y42" s="1636"/>
      <c r="Z42" s="1917"/>
      <c r="AA42" s="1917"/>
      <c r="AB42" s="1910"/>
      <c r="AC42" s="1910"/>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1602" t="s">
        <v>76</v>
      </c>
      <c r="B43" s="1612" t="s">
        <v>4990</v>
      </c>
      <c r="C43" s="1612"/>
      <c r="D43" s="1893">
        <v>-38700000000</v>
      </c>
      <c r="E43" s="1893">
        <v>-56800000000</v>
      </c>
      <c r="F43" s="1893">
        <v>-37600000000</v>
      </c>
      <c r="G43" s="1893">
        <v>-43700000000</v>
      </c>
      <c r="H43" s="1893">
        <v>-50800000000</v>
      </c>
      <c r="I43" s="1893">
        <v>-49300000000</v>
      </c>
      <c r="J43" s="1893">
        <v>5800000000</v>
      </c>
      <c r="K43" s="1893">
        <v>-17900000000</v>
      </c>
      <c r="L43" s="1893">
        <v>30900000000</v>
      </c>
      <c r="M43" s="1893">
        <v>-100900000000</v>
      </c>
      <c r="N43" s="1893">
        <v>-80800000000</v>
      </c>
      <c r="O43" s="1893">
        <v>-112200000000</v>
      </c>
      <c r="P43" s="1637">
        <v>-60600000000</v>
      </c>
      <c r="Q43" s="1637">
        <v>-77700000000</v>
      </c>
      <c r="R43" s="1637">
        <v>-261800000000</v>
      </c>
      <c r="S43" s="1637">
        <v>-316800000000</v>
      </c>
      <c r="T43" s="1637">
        <v>-188900000000</v>
      </c>
      <c r="U43" s="1637">
        <v>-232400000000</v>
      </c>
      <c r="V43" s="1637">
        <v>-210000000000</v>
      </c>
      <c r="W43" s="1637">
        <v>-150700000000</v>
      </c>
      <c r="X43" s="1637">
        <v>-60800000000</v>
      </c>
      <c r="Y43" s="1636">
        <v>-47800000000</v>
      </c>
      <c r="Z43" s="1917">
        <v>-52100000000</v>
      </c>
      <c r="AA43" s="1917">
        <v>-45600000000</v>
      </c>
      <c r="AB43" s="1910"/>
      <c r="AC43" s="1910"/>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1602" t="s">
        <v>76</v>
      </c>
      <c r="B44" s="1612" t="s">
        <v>4991</v>
      </c>
      <c r="C44" s="1612"/>
      <c r="D44" s="1893">
        <v>-112000000000</v>
      </c>
      <c r="E44" s="1893">
        <v>-17000000000</v>
      </c>
      <c r="F44" s="1893">
        <v>-33400000000</v>
      </c>
      <c r="G44" s="1893">
        <v>-12200000000</v>
      </c>
      <c r="H44" s="1893">
        <v>-19300000000</v>
      </c>
      <c r="I44" s="1893">
        <v>-12400000000</v>
      </c>
      <c r="J44" s="1893">
        <v>-14000000000</v>
      </c>
      <c r="K44" s="1893">
        <v>-8400000000</v>
      </c>
      <c r="L44" s="1893">
        <v>-15700000000</v>
      </c>
      <c r="M44" s="1893">
        <v>-13900000000</v>
      </c>
      <c r="N44" s="1893">
        <v>-12400000000</v>
      </c>
      <c r="O44" s="1893">
        <v>-1900000000</v>
      </c>
      <c r="P44" s="1637">
        <v>8800000000</v>
      </c>
      <c r="Q44" s="1637">
        <v>-22400000000</v>
      </c>
      <c r="R44" s="1637">
        <v>57700000000</v>
      </c>
      <c r="S44" s="1637">
        <v>-13000000000</v>
      </c>
      <c r="T44" s="1637">
        <v>19000000000</v>
      </c>
      <c r="U44" s="1637">
        <v>-53700000000</v>
      </c>
      <c r="V44" s="1637">
        <v>-29200000000</v>
      </c>
      <c r="W44" s="1637">
        <v>0</v>
      </c>
      <c r="X44" s="1637">
        <v>0</v>
      </c>
      <c r="Y44" s="1636">
        <v>0</v>
      </c>
      <c r="Z44" s="1917">
        <v>0</v>
      </c>
      <c r="AA44" s="1917">
        <v>0</v>
      </c>
      <c r="AB44" s="1910"/>
      <c r="AC44" s="1910"/>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1602" t="s">
        <v>76</v>
      </c>
      <c r="B45" s="1612" t="s">
        <v>4992</v>
      </c>
      <c r="C45" s="1612"/>
      <c r="D45" s="1893">
        <v>3600000000</v>
      </c>
      <c r="E45" s="1893">
        <v>-17000000000</v>
      </c>
      <c r="F45" s="1893">
        <v>-33400000000</v>
      </c>
      <c r="G45" s="1893">
        <v>-12200000000</v>
      </c>
      <c r="H45" s="1893">
        <v>-19300000000</v>
      </c>
      <c r="I45" s="1893">
        <v>-12400000000</v>
      </c>
      <c r="J45" s="1893">
        <v>-14000000000</v>
      </c>
      <c r="K45" s="1893">
        <v>-14800000000</v>
      </c>
      <c r="L45" s="1893">
        <v>-15700000000</v>
      </c>
      <c r="M45" s="1893"/>
      <c r="N45" s="1893"/>
      <c r="O45" s="1893"/>
      <c r="P45" s="1893"/>
      <c r="Q45" s="1638"/>
      <c r="R45" s="1638"/>
      <c r="S45" s="1638"/>
      <c r="T45" s="1638">
        <v>19000000000</v>
      </c>
      <c r="U45" s="1638">
        <v>-78900000000</v>
      </c>
      <c r="V45" s="1638">
        <v>-29200000000</v>
      </c>
      <c r="W45" s="1636">
        <v>0</v>
      </c>
      <c r="X45" s="1913">
        <v>0</v>
      </c>
      <c r="Y45" s="1636">
        <v>0</v>
      </c>
      <c r="Z45" s="1917">
        <v>0</v>
      </c>
      <c r="AA45" s="1917">
        <v>0</v>
      </c>
      <c r="AB45" s="1910"/>
      <c r="AC45" s="1910"/>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1602" t="s">
        <v>76</v>
      </c>
      <c r="B46" s="1612" t="s">
        <v>4993</v>
      </c>
      <c r="C46" s="1612"/>
      <c r="D46" s="1893">
        <v>-115600000000</v>
      </c>
      <c r="E46" s="1893">
        <v>0</v>
      </c>
      <c r="F46" s="1893">
        <v>0</v>
      </c>
      <c r="G46" s="1893">
        <v>0</v>
      </c>
      <c r="H46" s="1893">
        <v>0</v>
      </c>
      <c r="I46" s="1893">
        <v>0</v>
      </c>
      <c r="J46" s="1893"/>
      <c r="K46" s="1893"/>
      <c r="L46" s="1893"/>
      <c r="M46" s="1893"/>
      <c r="N46" s="1893"/>
      <c r="O46" s="1893"/>
      <c r="P46" s="1893"/>
      <c r="Q46" s="1633"/>
      <c r="R46" s="1633"/>
      <c r="S46" s="1633"/>
      <c r="T46" s="1633"/>
      <c r="U46" s="1633"/>
      <c r="V46" s="1638"/>
      <c r="W46" s="1636"/>
      <c r="X46" s="1913"/>
      <c r="Y46" s="1636"/>
      <c r="Z46" s="1917"/>
      <c r="AA46" s="1917"/>
      <c r="AB46" s="1910"/>
      <c r="AC46" s="1910"/>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1602" t="s">
        <v>76</v>
      </c>
      <c r="B47" s="1612" t="s">
        <v>2925</v>
      </c>
      <c r="C47" s="1612"/>
      <c r="D47" s="1893"/>
      <c r="E47" s="1893"/>
      <c r="F47" s="1893"/>
      <c r="G47" s="1893"/>
      <c r="H47" s="1893"/>
      <c r="I47" s="1893"/>
      <c r="J47" s="1893">
        <v>0</v>
      </c>
      <c r="K47" s="1893">
        <v>0</v>
      </c>
      <c r="L47" s="1893">
        <v>0</v>
      </c>
      <c r="M47" s="1893"/>
      <c r="N47" s="1893"/>
      <c r="O47" s="1893"/>
      <c r="P47" s="1893"/>
      <c r="Q47" s="1633"/>
      <c r="R47" s="1633"/>
      <c r="S47" s="1633"/>
      <c r="T47" s="1633"/>
      <c r="U47" s="1633"/>
      <c r="V47" s="1638"/>
      <c r="W47" s="1636"/>
      <c r="X47" s="1913"/>
      <c r="Y47" s="1636"/>
      <c r="Z47" s="1917"/>
      <c r="AA47" s="1917"/>
      <c r="AB47" s="1910"/>
      <c r="AC47" s="1910"/>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c r="A48" s="1602" t="s">
        <v>76</v>
      </c>
      <c r="B48" s="1612" t="s">
        <v>4994</v>
      </c>
      <c r="C48" s="1612"/>
      <c r="D48" s="1893">
        <v>-216200000000</v>
      </c>
      <c r="E48" s="1893">
        <v>-129800000000.00002</v>
      </c>
      <c r="F48" s="1893">
        <v>-150600000000</v>
      </c>
      <c r="G48" s="1893">
        <v>-131199999999.99998</v>
      </c>
      <c r="H48" s="1893">
        <v>-163100000000</v>
      </c>
      <c r="I48" s="1893">
        <v>-181700000000</v>
      </c>
      <c r="J48" s="1893">
        <v>-143800000000</v>
      </c>
      <c r="K48" s="1893">
        <v>-175400000000</v>
      </c>
      <c r="L48" s="1893">
        <v>-121800000000</v>
      </c>
      <c r="M48" s="1893">
        <v>-260200000000</v>
      </c>
      <c r="N48" s="1893">
        <v>-210900000000</v>
      </c>
      <c r="O48" s="1893">
        <v>-205700000000</v>
      </c>
      <c r="P48" s="1637">
        <v>-247300000000</v>
      </c>
      <c r="Q48" s="1637">
        <v>-424300000000</v>
      </c>
      <c r="R48" s="1637">
        <v>-491800000000</v>
      </c>
      <c r="S48" s="1637">
        <v>-632000000000</v>
      </c>
      <c r="T48" s="1637">
        <v>-525100000000</v>
      </c>
      <c r="U48" s="1637">
        <v>-636700000000</v>
      </c>
      <c r="V48" s="1637">
        <v>-717200000000</v>
      </c>
      <c r="W48" s="1637">
        <v>-707600000000</v>
      </c>
      <c r="X48" s="1637">
        <v>-690000000000</v>
      </c>
      <c r="Y48" s="1636">
        <v>-616900000000</v>
      </c>
      <c r="Z48" s="1917">
        <v>-648000000000</v>
      </c>
      <c r="AA48" s="1917">
        <v>-662400000000</v>
      </c>
      <c r="AB48" s="1910"/>
      <c r="AC48" s="1910"/>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s="848" customFormat="1">
      <c r="A49" s="1903" t="s">
        <v>115</v>
      </c>
      <c r="B49" s="1902" t="s">
        <v>115</v>
      </c>
      <c r="C49" s="1902" t="s">
        <v>35</v>
      </c>
      <c r="D49" s="1900">
        <v>156900000000</v>
      </c>
      <c r="E49" s="1900">
        <v>63300000000.000015</v>
      </c>
      <c r="F49" s="1900">
        <v>76000000000</v>
      </c>
      <c r="G49" s="1900">
        <v>55199999999.999985</v>
      </c>
      <c r="H49" s="1900">
        <v>73900000000</v>
      </c>
      <c r="I49" s="1900">
        <v>79400000000</v>
      </c>
      <c r="J49" s="1900">
        <v>-754800000000</v>
      </c>
      <c r="K49" s="1900">
        <v>28900000000</v>
      </c>
      <c r="L49" s="1900">
        <v>-20100000000</v>
      </c>
      <c r="M49" s="1900">
        <v>149300000000</v>
      </c>
      <c r="N49" s="1900">
        <v>80800000000</v>
      </c>
      <c r="O49" s="1900">
        <v>92200000000</v>
      </c>
      <c r="P49" s="1901">
        <f t="shared" ref="P49:AA49" si="7">P51+P64</f>
        <v>30800000000</v>
      </c>
      <c r="Q49" s="1901">
        <f t="shared" si="7"/>
        <v>119400000000</v>
      </c>
      <c r="R49" s="1901">
        <f t="shared" si="7"/>
        <v>269700000000</v>
      </c>
      <c r="S49" s="1901">
        <f t="shared" si="7"/>
        <v>399500000000</v>
      </c>
      <c r="T49" s="1901">
        <f t="shared" si="7"/>
        <v>254900000000</v>
      </c>
      <c r="U49" s="1901">
        <f t="shared" si="7"/>
        <v>294500000000</v>
      </c>
      <c r="V49" s="1901">
        <f t="shared" si="7"/>
        <v>337600000000</v>
      </c>
      <c r="W49" s="1901">
        <f t="shared" si="7"/>
        <v>254000000000</v>
      </c>
      <c r="X49" s="1901">
        <f t="shared" si="7"/>
        <v>221300000000</v>
      </c>
      <c r="Y49" s="1901">
        <f t="shared" si="7"/>
        <v>195800000000</v>
      </c>
      <c r="Z49" s="1901">
        <f t="shared" si="7"/>
        <v>209200000000</v>
      </c>
      <c r="AA49" s="1901">
        <f t="shared" si="7"/>
        <v>222800000000</v>
      </c>
      <c r="AB49" s="1911"/>
      <c r="AC49" s="1911"/>
      <c r="AD49" s="916"/>
      <c r="AE49" s="916"/>
      <c r="AF49" s="916"/>
      <c r="AG49" s="916"/>
      <c r="AH49" s="916"/>
      <c r="AI49" s="916"/>
      <c r="AJ49" s="916"/>
      <c r="AK49" s="916"/>
      <c r="AL49" s="916"/>
      <c r="AM49" s="916"/>
      <c r="AN49" s="916"/>
      <c r="AO49" s="916"/>
      <c r="AP49" s="916"/>
      <c r="AQ49" s="916"/>
      <c r="AR49" s="916"/>
      <c r="AS49" s="916"/>
      <c r="AT49" s="916"/>
      <c r="AU49" s="916"/>
      <c r="AV49" s="916"/>
      <c r="AW49" s="916"/>
      <c r="AX49" s="916"/>
      <c r="AY49" s="916"/>
      <c r="AZ49" s="916"/>
      <c r="BA49" s="916"/>
      <c r="BB49" s="916"/>
    </row>
    <row r="50" spans="1:54">
      <c r="A50" s="1602" t="s">
        <v>76</v>
      </c>
      <c r="B50" s="1612" t="s">
        <v>4995</v>
      </c>
      <c r="C50" s="1613"/>
      <c r="D50" s="1893">
        <v>216200000000</v>
      </c>
      <c r="E50" s="1893">
        <v>129800000000.00002</v>
      </c>
      <c r="F50" s="1893">
        <v>150600000000</v>
      </c>
      <c r="G50" s="1893">
        <v>131199999999.99998</v>
      </c>
      <c r="H50" s="1893">
        <v>163100000000</v>
      </c>
      <c r="I50" s="1893">
        <v>181600000000</v>
      </c>
      <c r="J50" s="1893">
        <v>143800000000</v>
      </c>
      <c r="K50" s="1893">
        <v>175400000000</v>
      </c>
      <c r="L50" s="1893">
        <v>121800000000</v>
      </c>
      <c r="M50" s="1893">
        <v>260200000000</v>
      </c>
      <c r="N50" s="1893">
        <v>210900000000</v>
      </c>
      <c r="O50" s="1893">
        <v>205700000000</v>
      </c>
      <c r="P50" s="1637">
        <v>247300000000</v>
      </c>
      <c r="Q50" s="1637">
        <v>424300000000</v>
      </c>
      <c r="R50" s="1637">
        <v>491800000000</v>
      </c>
      <c r="S50" s="1637"/>
      <c r="T50" s="1637"/>
      <c r="U50" s="1637"/>
      <c r="V50" s="1637"/>
      <c r="W50" s="1637"/>
      <c r="X50" s="1637"/>
      <c r="Y50" s="1636"/>
      <c r="Z50" s="1917"/>
      <c r="AA50" s="1917"/>
      <c r="AB50" s="1910"/>
      <c r="AC50" s="1910"/>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c r="A51" s="1602" t="s">
        <v>117</v>
      </c>
      <c r="B51" s="1907" t="s">
        <v>4996</v>
      </c>
      <c r="C51" s="1613" t="s">
        <v>119</v>
      </c>
      <c r="D51" s="1893">
        <v>177000000000</v>
      </c>
      <c r="E51" s="1893">
        <v>54000000000</v>
      </c>
      <c r="F51" s="1893">
        <v>65300000000</v>
      </c>
      <c r="G51" s="1893">
        <v>58500000000</v>
      </c>
      <c r="H51" s="1893">
        <v>49400000000</v>
      </c>
      <c r="I51" s="1893">
        <v>77900000000</v>
      </c>
      <c r="J51" s="1893">
        <v>-663600000000</v>
      </c>
      <c r="K51" s="1893">
        <v>50600000000</v>
      </c>
      <c r="L51" s="1893">
        <v>25700000000</v>
      </c>
      <c r="M51" s="1893">
        <v>35300000000</v>
      </c>
      <c r="N51" s="1893">
        <v>27300000000</v>
      </c>
      <c r="O51" s="1893">
        <v>82400000000</v>
      </c>
      <c r="P51" s="1893">
        <v>73000000000</v>
      </c>
      <c r="Q51" s="1633">
        <f t="shared" ref="Q51:R51" si="8">Q52-Q53</f>
        <v>102000000000</v>
      </c>
      <c r="R51" s="1633">
        <f t="shared" si="8"/>
        <v>120200000000</v>
      </c>
      <c r="S51" s="1633">
        <f>S58+S61+S62</f>
        <v>183700000000</v>
      </c>
      <c r="T51" s="1633">
        <f t="shared" ref="T51:AA51" si="9">T58+T61+T62</f>
        <v>170900000000</v>
      </c>
      <c r="U51" s="1633">
        <f t="shared" si="9"/>
        <v>161400000000</v>
      </c>
      <c r="V51" s="1633">
        <f t="shared" si="9"/>
        <v>196500000000</v>
      </c>
      <c r="W51" s="1633">
        <f t="shared" si="9"/>
        <v>227900000000</v>
      </c>
      <c r="X51" s="1633">
        <f t="shared" si="9"/>
        <v>277900000000</v>
      </c>
      <c r="Y51" s="1633">
        <f t="shared" si="9"/>
        <v>259300000000</v>
      </c>
      <c r="Z51" s="1633">
        <f t="shared" si="9"/>
        <v>266300000000</v>
      </c>
      <c r="AA51" s="1633">
        <f t="shared" si="9"/>
        <v>292200000000</v>
      </c>
      <c r="AB51" s="1910"/>
      <c r="AC51" s="1910"/>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c r="A52" s="1602" t="s">
        <v>76</v>
      </c>
      <c r="B52" s="1612" t="s">
        <v>4997</v>
      </c>
      <c r="C52" s="1612"/>
      <c r="D52" s="1893">
        <v>236300000000</v>
      </c>
      <c r="E52" s="1893">
        <v>120500000000</v>
      </c>
      <c r="F52" s="1893">
        <v>139900000000</v>
      </c>
      <c r="G52" s="1893">
        <v>134500000000</v>
      </c>
      <c r="H52" s="1893">
        <v>138600000000</v>
      </c>
      <c r="I52" s="1893">
        <v>180100000000</v>
      </c>
      <c r="J52" s="1893">
        <v>235000000000</v>
      </c>
      <c r="K52" s="1893">
        <v>197100000000</v>
      </c>
      <c r="L52" s="1893">
        <v>167600000000</v>
      </c>
      <c r="M52" s="1893">
        <v>146200000000</v>
      </c>
      <c r="N52" s="1893">
        <v>157400000000</v>
      </c>
      <c r="O52" s="1893">
        <v>195900000000</v>
      </c>
      <c r="P52" s="1637">
        <v>289500000000</v>
      </c>
      <c r="Q52" s="1637">
        <v>406900000000</v>
      </c>
      <c r="R52" s="1637">
        <v>342300000000</v>
      </c>
      <c r="S52" s="1637"/>
      <c r="T52" s="1637"/>
      <c r="U52" s="1637"/>
      <c r="V52" s="1637"/>
      <c r="W52" s="1637"/>
      <c r="X52" s="1637"/>
      <c r="Y52" s="1636"/>
      <c r="Z52" s="1917"/>
      <c r="AA52" s="1917"/>
      <c r="AB52" s="1910"/>
      <c r="AC52" s="1910"/>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s="848" customFormat="1">
      <c r="A53" s="1902" t="s">
        <v>53</v>
      </c>
      <c r="B53" s="1902" t="s">
        <v>53</v>
      </c>
      <c r="C53" s="1904" t="s">
        <v>38</v>
      </c>
      <c r="D53" s="1900">
        <v>59300000000</v>
      </c>
      <c r="E53" s="1900">
        <v>66500000000</v>
      </c>
      <c r="F53" s="1900">
        <v>74600000000</v>
      </c>
      <c r="G53" s="1900">
        <v>76000000000</v>
      </c>
      <c r="H53" s="1900">
        <v>89200000000</v>
      </c>
      <c r="I53" s="1900">
        <v>102200000000</v>
      </c>
      <c r="J53" s="1900">
        <v>898600000000</v>
      </c>
      <c r="K53" s="1900">
        <v>146500000000</v>
      </c>
      <c r="L53" s="1900">
        <v>141900000000</v>
      </c>
      <c r="M53" s="1900">
        <v>110900000000</v>
      </c>
      <c r="N53" s="1900">
        <v>130100000000</v>
      </c>
      <c r="O53" s="1900">
        <v>113500000000</v>
      </c>
      <c r="P53" s="1897">
        <v>216500000000</v>
      </c>
      <c r="Q53" s="1897">
        <v>304900000000</v>
      </c>
      <c r="R53" s="1897">
        <v>222100000000</v>
      </c>
      <c r="S53" s="1897">
        <v>232600000000</v>
      </c>
      <c r="T53" s="1897">
        <v>270300000000</v>
      </c>
      <c r="U53" s="1897">
        <v>342200000000</v>
      </c>
      <c r="V53" s="1897">
        <v>379600000000</v>
      </c>
      <c r="W53" s="1897">
        <v>453600000000</v>
      </c>
      <c r="X53" s="1897">
        <v>468800000000</v>
      </c>
      <c r="Y53" s="1914">
        <v>421000000000</v>
      </c>
      <c r="Z53" s="1916">
        <v>438700000000</v>
      </c>
      <c r="AA53" s="1916">
        <v>439500000000</v>
      </c>
      <c r="AB53" s="1911"/>
      <c r="AC53" s="1911"/>
      <c r="AD53" s="916"/>
      <c r="AE53" s="916"/>
      <c r="AF53" s="916"/>
      <c r="AG53" s="916"/>
      <c r="AH53" s="916"/>
      <c r="AI53" s="916"/>
      <c r="AJ53" s="916"/>
      <c r="AK53" s="916"/>
      <c r="AL53" s="916"/>
      <c r="AM53" s="916"/>
      <c r="AN53" s="916"/>
      <c r="AO53" s="916"/>
      <c r="AP53" s="916"/>
      <c r="AQ53" s="916"/>
      <c r="AR53" s="916"/>
      <c r="AS53" s="916"/>
      <c r="AT53" s="916"/>
      <c r="AU53" s="916"/>
      <c r="AV53" s="916"/>
      <c r="AW53" s="916"/>
      <c r="AX53" s="916"/>
      <c r="AY53" s="916"/>
      <c r="AZ53" s="916"/>
      <c r="BA53" s="916"/>
      <c r="BB53" s="916"/>
    </row>
    <row r="54" spans="1:54">
      <c r="A54" s="1617" t="s">
        <v>886</v>
      </c>
      <c r="B54" s="1616" t="s">
        <v>4998</v>
      </c>
      <c r="C54" s="1890" t="s">
        <v>57</v>
      </c>
      <c r="D54" s="1893">
        <v>22200000000</v>
      </c>
      <c r="E54" s="1893">
        <v>25700000000</v>
      </c>
      <c r="F54" s="1893">
        <v>18600000000</v>
      </c>
      <c r="G54" s="1893">
        <v>25100000000</v>
      </c>
      <c r="H54" s="1893">
        <v>26500000000</v>
      </c>
      <c r="I54" s="1893">
        <v>38700000000</v>
      </c>
      <c r="J54" s="1893">
        <v>18600000000</v>
      </c>
      <c r="K54" s="1893">
        <v>27500000000</v>
      </c>
      <c r="L54" s="1893">
        <v>35600000000</v>
      </c>
      <c r="M54" s="1893">
        <v>5900000000</v>
      </c>
      <c r="N54" s="1896">
        <v>0</v>
      </c>
      <c r="O54" s="1896">
        <v>0</v>
      </c>
      <c r="P54" s="1896">
        <v>0</v>
      </c>
      <c r="Q54" s="1896">
        <v>0</v>
      </c>
      <c r="R54" s="1896">
        <v>0</v>
      </c>
      <c r="S54" s="1896"/>
      <c r="T54" s="1896">
        <v>66200000000</v>
      </c>
      <c r="U54" s="1896">
        <v>141100000000</v>
      </c>
      <c r="V54" s="1638">
        <v>109800000000</v>
      </c>
      <c r="W54" s="1636">
        <v>119900000000</v>
      </c>
      <c r="X54" s="1913">
        <v>108700000000</v>
      </c>
      <c r="Y54" s="1636">
        <v>112100000000</v>
      </c>
      <c r="Z54" s="1917">
        <v>115800000000</v>
      </c>
      <c r="AA54" s="1917">
        <v>126300000000</v>
      </c>
      <c r="AB54" s="1910"/>
      <c r="AC54" s="1910"/>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1617" t="s">
        <v>4999</v>
      </c>
      <c r="B55" s="1616" t="s">
        <v>5000</v>
      </c>
      <c r="C55" s="1890" t="s">
        <v>57</v>
      </c>
      <c r="D55" s="1893">
        <v>37100000000</v>
      </c>
      <c r="E55" s="1893">
        <v>32700000000.000004</v>
      </c>
      <c r="F55" s="1893">
        <v>45800000000</v>
      </c>
      <c r="G55" s="1893">
        <v>39400000000</v>
      </c>
      <c r="H55" s="1893">
        <v>46500000000</v>
      </c>
      <c r="I55" s="1893">
        <v>45300000000</v>
      </c>
      <c r="J55" s="1893">
        <v>95700000000</v>
      </c>
      <c r="K55" s="1893">
        <v>119000000000</v>
      </c>
      <c r="L55" s="1893">
        <v>106300000000</v>
      </c>
      <c r="M55" s="1893">
        <v>105000000000</v>
      </c>
      <c r="N55" s="1896">
        <v>83000000000</v>
      </c>
      <c r="O55" s="1896">
        <v>57000000000</v>
      </c>
      <c r="P55" s="1637">
        <v>123400000000</v>
      </c>
      <c r="Q55" s="1637">
        <v>251000000000</v>
      </c>
      <c r="R55" s="1637">
        <v>154300000000</v>
      </c>
      <c r="S55" s="1637">
        <v>156000000000</v>
      </c>
      <c r="T55" s="1637"/>
      <c r="U55" s="1637"/>
      <c r="V55" s="1637"/>
      <c r="W55" s="1637"/>
      <c r="X55" s="1637"/>
      <c r="Y55" s="1636"/>
      <c r="Z55" s="1917"/>
      <c r="AA55" s="1917"/>
      <c r="AB55" s="1910"/>
      <c r="AC55" s="1910"/>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1616" t="s">
        <v>5001</v>
      </c>
      <c r="B56" s="1616" t="s">
        <v>5002</v>
      </c>
      <c r="C56" s="1890" t="s">
        <v>57</v>
      </c>
      <c r="D56" s="1893">
        <v>100000000</v>
      </c>
      <c r="E56" s="1893">
        <v>8100000000</v>
      </c>
      <c r="F56" s="1893">
        <v>10300000000</v>
      </c>
      <c r="G56" s="1893">
        <v>11500000000</v>
      </c>
      <c r="H56" s="1893">
        <v>16200000000</v>
      </c>
      <c r="I56" s="1893">
        <v>18200000000</v>
      </c>
      <c r="J56" s="1893">
        <v>784300000000</v>
      </c>
      <c r="K56" s="1893">
        <v>0</v>
      </c>
      <c r="L56" s="1893">
        <v>0</v>
      </c>
      <c r="M56" s="1893"/>
      <c r="N56" s="1896"/>
      <c r="O56" s="1896"/>
      <c r="P56" s="1896"/>
      <c r="Q56" s="1896"/>
      <c r="R56" s="1896"/>
      <c r="S56" s="1896"/>
      <c r="T56" s="1896"/>
      <c r="U56" s="1896"/>
      <c r="V56" s="1638"/>
      <c r="W56" s="1636"/>
      <c r="X56" s="1913"/>
      <c r="Y56" s="1636"/>
      <c r="Z56" s="1917"/>
      <c r="AA56" s="1917"/>
      <c r="AB56" s="1910"/>
      <c r="AC56" s="1910"/>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c r="A57" s="1616" t="s">
        <v>50</v>
      </c>
      <c r="B57" s="1646" t="s">
        <v>50</v>
      </c>
      <c r="C57" s="1890" t="s">
        <v>57</v>
      </c>
      <c r="D57" s="1893"/>
      <c r="E57" s="1893"/>
      <c r="F57" s="1893"/>
      <c r="G57" s="1893"/>
      <c r="H57" s="1893"/>
      <c r="I57" s="1893"/>
      <c r="J57" s="1893"/>
      <c r="K57" s="1893"/>
      <c r="L57" s="1893"/>
      <c r="M57" s="1893"/>
      <c r="N57" s="1896">
        <v>47100000000</v>
      </c>
      <c r="O57" s="1896">
        <v>56500000000</v>
      </c>
      <c r="P57" s="1896">
        <f t="shared" ref="P57:R57" si="10">P53-P54-P55-P56</f>
        <v>93100000000</v>
      </c>
      <c r="Q57" s="1896">
        <f t="shared" si="10"/>
        <v>53900000000</v>
      </c>
      <c r="R57" s="1896">
        <f t="shared" si="10"/>
        <v>67800000000</v>
      </c>
      <c r="S57" s="1896">
        <f>S53-S54-S55-S56</f>
        <v>76600000000</v>
      </c>
      <c r="T57" s="1896">
        <f t="shared" ref="T57:AA57" si="11">T53-T54-T55-T56</f>
        <v>204100000000</v>
      </c>
      <c r="U57" s="1896">
        <f t="shared" si="11"/>
        <v>201100000000</v>
      </c>
      <c r="V57" s="1896">
        <f t="shared" si="11"/>
        <v>269800000000</v>
      </c>
      <c r="W57" s="1896">
        <f t="shared" si="11"/>
        <v>333700000000</v>
      </c>
      <c r="X57" s="1896">
        <f t="shared" si="11"/>
        <v>360100000000</v>
      </c>
      <c r="Y57" s="1896">
        <f t="shared" si="11"/>
        <v>308900000000</v>
      </c>
      <c r="Z57" s="1896">
        <f t="shared" si="11"/>
        <v>322900000000</v>
      </c>
      <c r="AA57" s="1896">
        <f t="shared" si="11"/>
        <v>313200000000</v>
      </c>
      <c r="AB57" s="1910"/>
      <c r="AC57" s="1910"/>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616" t="s">
        <v>444</v>
      </c>
      <c r="B58" s="1616" t="s">
        <v>444</v>
      </c>
      <c r="C58" s="1612" t="s">
        <v>264</v>
      </c>
      <c r="D58" s="1893">
        <v>54700000000</v>
      </c>
      <c r="E58" s="1893">
        <v>53700000000</v>
      </c>
      <c r="F58" s="1893">
        <v>78000000000</v>
      </c>
      <c r="G58" s="1893">
        <v>68400000000.000008</v>
      </c>
      <c r="H58" s="1893">
        <v>64099999999.999992</v>
      </c>
      <c r="I58" s="1893">
        <v>55000000000</v>
      </c>
      <c r="J58" s="1893">
        <v>59300000000</v>
      </c>
      <c r="K58" s="1893">
        <v>53100000000</v>
      </c>
      <c r="L58" s="1893">
        <v>30500000000</v>
      </c>
      <c r="M58" s="1893">
        <v>40400000000</v>
      </c>
      <c r="N58" s="1893">
        <v>34700000000</v>
      </c>
      <c r="O58" s="1893">
        <v>90600000000</v>
      </c>
      <c r="P58" s="1637">
        <v>88600000000</v>
      </c>
      <c r="Q58" s="1637">
        <v>116600000000</v>
      </c>
      <c r="R58" s="1637">
        <v>140800000000</v>
      </c>
      <c r="S58" s="1637">
        <v>209600000000</v>
      </c>
      <c r="T58" s="1637">
        <v>203400000000</v>
      </c>
      <c r="U58" s="1637">
        <v>182900000000</v>
      </c>
      <c r="V58" s="1637">
        <v>245200000000</v>
      </c>
      <c r="W58" s="1637">
        <v>263700000000</v>
      </c>
      <c r="X58" s="1637">
        <v>312600000000</v>
      </c>
      <c r="Y58" s="1636">
        <v>306900000000</v>
      </c>
      <c r="Z58" s="1917">
        <v>323500000000</v>
      </c>
      <c r="AA58" s="1917">
        <v>358600000000</v>
      </c>
      <c r="AB58" s="1910"/>
      <c r="AC58" s="1910"/>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s="1602" t="s">
        <v>3302</v>
      </c>
      <c r="B59" s="1620" t="s">
        <v>5003</v>
      </c>
      <c r="C59" s="1612" t="s">
        <v>499</v>
      </c>
      <c r="D59" s="1893">
        <v>26300000000</v>
      </c>
      <c r="E59" s="1893">
        <v>30400000000</v>
      </c>
      <c r="F59" s="1893">
        <v>44200000000</v>
      </c>
      <c r="G59" s="1893">
        <v>32799999999.999996</v>
      </c>
      <c r="H59" s="1893">
        <v>17600000000</v>
      </c>
      <c r="I59" s="1893">
        <v>14800000000</v>
      </c>
      <c r="J59" s="1893">
        <v>19800000000</v>
      </c>
      <c r="K59" s="1893">
        <v>23000000000</v>
      </c>
      <c r="L59" s="1893">
        <v>0</v>
      </c>
      <c r="M59" s="1893">
        <v>0</v>
      </c>
      <c r="N59" s="1893">
        <v>0</v>
      </c>
      <c r="O59" s="1893">
        <v>10600000000</v>
      </c>
      <c r="P59" s="1637">
        <v>16399999999.999998</v>
      </c>
      <c r="Q59" s="1637">
        <v>43500000000</v>
      </c>
      <c r="R59" s="1637">
        <v>7300000000</v>
      </c>
      <c r="S59" s="1637">
        <v>63500000000</v>
      </c>
      <c r="T59" s="1637">
        <v>52200000000</v>
      </c>
      <c r="U59" s="1637">
        <v>33299999999.999996</v>
      </c>
      <c r="V59" s="1637">
        <v>37100000000</v>
      </c>
      <c r="W59" s="1637">
        <v>40500000000</v>
      </c>
      <c r="X59" s="1637">
        <v>43500000000</v>
      </c>
      <c r="Y59" s="1636">
        <v>46800000000</v>
      </c>
      <c r="Z59" s="1917">
        <v>50500000000</v>
      </c>
      <c r="AA59" s="1917">
        <v>55100000000</v>
      </c>
      <c r="AB59" s="1910"/>
      <c r="AC59" s="1910"/>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1602" t="s">
        <v>1253</v>
      </c>
      <c r="B60" s="1620" t="s">
        <v>925</v>
      </c>
      <c r="C60" s="1612" t="s">
        <v>499</v>
      </c>
      <c r="D60" s="1893">
        <v>28400000000</v>
      </c>
      <c r="E60" s="1893">
        <v>23300000000</v>
      </c>
      <c r="F60" s="1893">
        <v>33799999999.999996</v>
      </c>
      <c r="G60" s="1893">
        <v>35600000000</v>
      </c>
      <c r="H60" s="1893">
        <v>46500000000</v>
      </c>
      <c r="I60" s="1908">
        <v>40200000000</v>
      </c>
      <c r="J60" s="1908">
        <f>J58-J59</f>
        <v>39500000000</v>
      </c>
      <c r="K60" s="1908">
        <f>K58-K59</f>
        <v>30100000000</v>
      </c>
      <c r="L60" s="1908">
        <f t="shared" ref="L60:AA60" si="12">L58-L59</f>
        <v>30500000000</v>
      </c>
      <c r="M60" s="1908">
        <f t="shared" si="12"/>
        <v>40400000000</v>
      </c>
      <c r="N60" s="1908">
        <f t="shared" si="12"/>
        <v>34700000000</v>
      </c>
      <c r="O60" s="1908">
        <f t="shared" si="12"/>
        <v>80000000000</v>
      </c>
      <c r="P60" s="1908">
        <f t="shared" si="12"/>
        <v>72200000000</v>
      </c>
      <c r="Q60" s="1645">
        <f t="shared" si="12"/>
        <v>73100000000</v>
      </c>
      <c r="R60" s="1645">
        <f t="shared" si="12"/>
        <v>133500000000</v>
      </c>
      <c r="S60" s="1645">
        <f t="shared" si="12"/>
        <v>146100000000</v>
      </c>
      <c r="T60" s="1645">
        <f t="shared" si="12"/>
        <v>151200000000</v>
      </c>
      <c r="U60" s="1645">
        <f t="shared" si="12"/>
        <v>149600000000</v>
      </c>
      <c r="V60" s="1645">
        <f t="shared" si="12"/>
        <v>208100000000</v>
      </c>
      <c r="W60" s="1645">
        <f t="shared" si="12"/>
        <v>223200000000</v>
      </c>
      <c r="X60" s="1645">
        <f t="shared" si="12"/>
        <v>269100000000</v>
      </c>
      <c r="Y60" s="1645">
        <f t="shared" si="12"/>
        <v>260100000000</v>
      </c>
      <c r="Z60" s="1645">
        <f t="shared" si="12"/>
        <v>273000000000</v>
      </c>
      <c r="AA60" s="1645">
        <f t="shared" si="12"/>
        <v>303500000000</v>
      </c>
      <c r="AB60" s="1910"/>
      <c r="AC60" s="1910"/>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1617" t="s">
        <v>258</v>
      </c>
      <c r="B61" s="1616" t="s">
        <v>258</v>
      </c>
      <c r="C61" s="1612" t="s">
        <v>264</v>
      </c>
      <c r="D61" s="1893">
        <v>-35400000000</v>
      </c>
      <c r="E61" s="1893">
        <v>-41300000000</v>
      </c>
      <c r="F61" s="1893">
        <v>-46200000000</v>
      </c>
      <c r="G61" s="1893">
        <v>-38600000000</v>
      </c>
      <c r="H61" s="1893">
        <v>-22400000000</v>
      </c>
      <c r="I61" s="1893">
        <v>-14600000000</v>
      </c>
      <c r="J61" s="1893">
        <v>-726000000000</v>
      </c>
      <c r="K61" s="1893">
        <v>-6100000000</v>
      </c>
      <c r="L61" s="1893">
        <v>-8800000000</v>
      </c>
      <c r="M61" s="1893">
        <v>-8400000000</v>
      </c>
      <c r="N61" s="1893">
        <v>-11200000000</v>
      </c>
      <c r="O61" s="1893">
        <v>-10100000000</v>
      </c>
      <c r="P61" s="1637">
        <v>-17900000000</v>
      </c>
      <c r="Q61" s="1637">
        <v>-14600000000</v>
      </c>
      <c r="R61" s="1637">
        <v>-20600000000</v>
      </c>
      <c r="S61" s="1637">
        <v>-25900000000</v>
      </c>
      <c r="T61" s="1637">
        <v>-32500000000</v>
      </c>
      <c r="U61" s="1637">
        <v>-21500000000</v>
      </c>
      <c r="V61" s="1637">
        <v>-48700000000</v>
      </c>
      <c r="W61" s="1637">
        <v>-35800000000</v>
      </c>
      <c r="X61" s="1637">
        <v>-34700000000</v>
      </c>
      <c r="Y61" s="1636">
        <v>-47600000000</v>
      </c>
      <c r="Z61" s="1917">
        <v>-57200000000</v>
      </c>
      <c r="AA61" s="1917">
        <v>-66400000000.000008</v>
      </c>
      <c r="AB61" s="1910"/>
      <c r="AC61" s="1910"/>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1617" t="s">
        <v>1348</v>
      </c>
      <c r="B62" s="1616" t="s">
        <v>5004</v>
      </c>
      <c r="C62" s="1612" t="s">
        <v>264</v>
      </c>
      <c r="D62" s="1893">
        <v>157700000000</v>
      </c>
      <c r="E62" s="1893">
        <v>41600000000</v>
      </c>
      <c r="F62" s="1893">
        <v>33500000000</v>
      </c>
      <c r="G62" s="1893">
        <v>28700000000</v>
      </c>
      <c r="H62" s="1893">
        <v>7700000000</v>
      </c>
      <c r="I62" s="1893">
        <v>3000000000</v>
      </c>
      <c r="J62" s="1893">
        <v>3100000000</v>
      </c>
      <c r="K62" s="1893">
        <v>3500000000</v>
      </c>
      <c r="L62" s="1893">
        <v>4000000000</v>
      </c>
      <c r="M62" s="1893">
        <v>3300000000</v>
      </c>
      <c r="N62" s="1893">
        <v>3700000000</v>
      </c>
      <c r="O62" s="1893">
        <v>1900000000</v>
      </c>
      <c r="P62" s="1637">
        <v>2400000000</v>
      </c>
      <c r="Q62" s="1637">
        <v>0</v>
      </c>
      <c r="R62" s="1637">
        <v>0</v>
      </c>
      <c r="S62" s="1637">
        <v>0</v>
      </c>
      <c r="T62" s="1637">
        <v>0</v>
      </c>
      <c r="U62" s="1637">
        <v>0</v>
      </c>
      <c r="V62" s="1637">
        <v>0</v>
      </c>
      <c r="W62" s="1637">
        <v>0</v>
      </c>
      <c r="X62" s="1637">
        <v>0</v>
      </c>
      <c r="Y62" s="1636">
        <v>0</v>
      </c>
      <c r="Z62" s="1917">
        <v>0</v>
      </c>
      <c r="AA62" s="1917">
        <v>0</v>
      </c>
      <c r="AB62" s="1910"/>
      <c r="AC62" s="1910"/>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1646" t="s">
        <v>1688</v>
      </c>
      <c r="B63" s="1646" t="s">
        <v>1688</v>
      </c>
      <c r="C63" s="1907" t="s">
        <v>264</v>
      </c>
      <c r="D63" s="1893"/>
      <c r="E63" s="1893"/>
      <c r="F63" s="1893"/>
      <c r="G63" s="1893"/>
      <c r="H63" s="1893"/>
      <c r="I63" s="1893">
        <f>I51-I58-I61-I62</f>
        <v>34500000000</v>
      </c>
      <c r="J63" s="1893"/>
      <c r="K63" s="1893"/>
      <c r="L63" s="1893"/>
      <c r="M63" s="1893"/>
      <c r="N63" s="1893"/>
      <c r="O63" s="1893"/>
      <c r="P63" s="1893"/>
      <c r="Q63" s="1633"/>
      <c r="R63" s="1633"/>
      <c r="S63" s="1893"/>
      <c r="T63" s="1893"/>
      <c r="U63" s="1893"/>
      <c r="V63" s="1893"/>
      <c r="W63" s="1893"/>
      <c r="X63" s="1893"/>
      <c r="Y63" s="1893"/>
      <c r="Z63" s="1893"/>
      <c r="AA63" s="1893"/>
      <c r="AB63" s="1910"/>
      <c r="AC63" s="1910"/>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A64" s="1617" t="s">
        <v>120</v>
      </c>
      <c r="B64" s="1612" t="s">
        <v>5005</v>
      </c>
      <c r="C64" s="1613" t="s">
        <v>119</v>
      </c>
      <c r="D64" s="1893">
        <v>-20200000000</v>
      </c>
      <c r="E64" s="1893">
        <v>9300000000</v>
      </c>
      <c r="F64" s="1893">
        <v>10700000000</v>
      </c>
      <c r="G64" s="1893">
        <v>-3400000000</v>
      </c>
      <c r="H64" s="1893">
        <v>24500000000</v>
      </c>
      <c r="I64" s="1893">
        <v>1500000000</v>
      </c>
      <c r="J64" s="1893">
        <v>-91200000000</v>
      </c>
      <c r="K64" s="1893">
        <v>-21700000000</v>
      </c>
      <c r="L64" s="1893">
        <v>-45900000000</v>
      </c>
      <c r="M64" s="1893">
        <v>114000000000</v>
      </c>
      <c r="N64" s="1893">
        <v>53500000000</v>
      </c>
      <c r="O64" s="1893">
        <v>9800000000</v>
      </c>
      <c r="P64" s="1637">
        <v>-42200000000</v>
      </c>
      <c r="Q64" s="1637">
        <v>17400000000</v>
      </c>
      <c r="R64" s="1637">
        <v>149500000000</v>
      </c>
      <c r="S64" s="1637">
        <v>215800000000</v>
      </c>
      <c r="T64" s="1637">
        <v>84000000000</v>
      </c>
      <c r="U64" s="1637">
        <v>133100000000</v>
      </c>
      <c r="V64" s="1637">
        <v>141100000000</v>
      </c>
      <c r="W64" s="1637">
        <v>26100000000</v>
      </c>
      <c r="X64" s="1637">
        <v>-56600000000</v>
      </c>
      <c r="Y64" s="1636">
        <v>-63500000000</v>
      </c>
      <c r="Z64" s="1917">
        <v>-57100000000</v>
      </c>
      <c r="AA64" s="1917">
        <v>-69400000000</v>
      </c>
      <c r="AB64" s="1910"/>
      <c r="AC64" s="1910"/>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1617" t="s">
        <v>122</v>
      </c>
      <c r="B65" s="1616" t="s">
        <v>5006</v>
      </c>
      <c r="C65" s="1612" t="s">
        <v>124</v>
      </c>
      <c r="D65" s="1893">
        <v>-28600000000</v>
      </c>
      <c r="E65" s="1893">
        <v>5000000000</v>
      </c>
      <c r="F65" s="1893">
        <v>5100000000</v>
      </c>
      <c r="G65" s="1893">
        <v>3500000000</v>
      </c>
      <c r="H65" s="1893">
        <v>28700000000</v>
      </c>
      <c r="I65" s="1893">
        <v>-14800000000</v>
      </c>
      <c r="J65" s="1893">
        <v>-82800000000</v>
      </c>
      <c r="K65" s="1893">
        <v>-31600000000</v>
      </c>
      <c r="L65" s="1893">
        <v>-56400000000</v>
      </c>
      <c r="M65" s="1893">
        <v>115200000000</v>
      </c>
      <c r="N65" s="1893">
        <v>24800000000</v>
      </c>
      <c r="O65" s="1893">
        <v>23700000000</v>
      </c>
      <c r="P65" s="1637">
        <v>-42700000000</v>
      </c>
      <c r="Q65" s="1637">
        <v>-31500000000</v>
      </c>
      <c r="R65" s="1637">
        <v>54900000000</v>
      </c>
      <c r="S65" s="1637">
        <v>132000000000</v>
      </c>
      <c r="T65" s="1637">
        <v>11600000000</v>
      </c>
      <c r="U65" s="1637">
        <v>66599999999.999992</v>
      </c>
      <c r="V65" s="1637">
        <v>27000000000</v>
      </c>
      <c r="W65" s="1637">
        <v>2500000000</v>
      </c>
      <c r="X65" s="1637">
        <v>-4800000000</v>
      </c>
      <c r="Y65" s="1636">
        <v>-21800000000</v>
      </c>
      <c r="Z65" s="1917">
        <v>-34800000000</v>
      </c>
      <c r="AA65" s="1917">
        <v>-38600000000</v>
      </c>
      <c r="AB65" s="1910"/>
      <c r="AC65" s="1910"/>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1602" t="s">
        <v>76</v>
      </c>
      <c r="B66" s="1620" t="s">
        <v>273</v>
      </c>
      <c r="C66" s="1612"/>
      <c r="D66" s="1893">
        <v>6700000000</v>
      </c>
      <c r="E66" s="1893">
        <v>6900000000</v>
      </c>
      <c r="F66" s="1893">
        <v>12900000000</v>
      </c>
      <c r="G66" s="1893">
        <v>8199999999.999999</v>
      </c>
      <c r="H66" s="1893">
        <v>600000000</v>
      </c>
      <c r="I66" s="1893">
        <v>1700000000</v>
      </c>
      <c r="J66" s="1893">
        <v>-61400000000</v>
      </c>
      <c r="K66" s="1893">
        <v>5800000000</v>
      </c>
      <c r="L66" s="1893">
        <v>5300000000</v>
      </c>
      <c r="M66" s="1893">
        <v>2400000000</v>
      </c>
      <c r="N66" s="1893">
        <v>2300000000</v>
      </c>
      <c r="O66" s="1893">
        <v>-2300000000</v>
      </c>
      <c r="P66" s="1637">
        <v>5300000000</v>
      </c>
      <c r="Q66" s="1637">
        <v>4300000000</v>
      </c>
      <c r="R66" s="1637">
        <v>20200000000</v>
      </c>
      <c r="S66" s="1637">
        <v>27000000000</v>
      </c>
      <c r="T66" s="1637">
        <v>6600000000</v>
      </c>
      <c r="U66" s="1637">
        <v>19200000000</v>
      </c>
      <c r="V66" s="1637">
        <v>17300000000</v>
      </c>
      <c r="W66" s="1637">
        <v>15400000000</v>
      </c>
      <c r="X66" s="1637">
        <v>1700000000</v>
      </c>
      <c r="Y66" s="1636">
        <v>-14600000000</v>
      </c>
      <c r="Z66" s="1917">
        <v>-23000000000</v>
      </c>
      <c r="AA66" s="1917">
        <v>-26900000000</v>
      </c>
      <c r="AB66" s="1910"/>
      <c r="AC66" s="1910"/>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1602" t="s">
        <v>76</v>
      </c>
      <c r="B67" s="1620" t="s">
        <v>5007</v>
      </c>
      <c r="C67" s="1612"/>
      <c r="D67" s="1636"/>
      <c r="E67" s="1636"/>
      <c r="F67" s="1636"/>
      <c r="G67" s="1636"/>
      <c r="H67" s="1636"/>
      <c r="I67" s="1636"/>
      <c r="J67" s="1636"/>
      <c r="K67" s="1636"/>
      <c r="L67" s="1636"/>
      <c r="M67" s="1893">
        <v>-500000000</v>
      </c>
      <c r="N67" s="1893">
        <v>-4200000000</v>
      </c>
      <c r="O67" s="1893">
        <v>2200000000</v>
      </c>
      <c r="P67" s="1637">
        <v>-4099999999.9999995</v>
      </c>
      <c r="Q67" s="1637">
        <v>-7100000000</v>
      </c>
      <c r="R67" s="1637">
        <v>-7500000000</v>
      </c>
      <c r="S67" s="1637">
        <v>-7900000000</v>
      </c>
      <c r="T67" s="1637">
        <v>-8199999999.999999</v>
      </c>
      <c r="U67" s="1637">
        <v>-8400000000</v>
      </c>
      <c r="V67" s="1637">
        <v>-8700000000</v>
      </c>
      <c r="W67" s="1637">
        <v>-7600000000</v>
      </c>
      <c r="X67" s="1637">
        <v>-3600000000</v>
      </c>
      <c r="Y67" s="1636">
        <v>-1000000000</v>
      </c>
      <c r="Z67" s="1917">
        <v>0</v>
      </c>
      <c r="AA67" s="1917">
        <v>0</v>
      </c>
      <c r="AB67" s="1910"/>
      <c r="AC67" s="1910"/>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1602" t="s">
        <v>76</v>
      </c>
      <c r="B68" s="1620" t="s">
        <v>5008</v>
      </c>
      <c r="C68" s="1612"/>
      <c r="D68" s="1636"/>
      <c r="E68" s="1636"/>
      <c r="F68" s="1636"/>
      <c r="G68" s="1636"/>
      <c r="H68" s="1636"/>
      <c r="I68" s="1636"/>
      <c r="J68" s="1636"/>
      <c r="K68" s="1636"/>
      <c r="L68" s="1636"/>
      <c r="M68" s="1893">
        <v>113300000000</v>
      </c>
      <c r="N68" s="1893">
        <v>18100000000</v>
      </c>
      <c r="O68" s="1893">
        <v>18500000000</v>
      </c>
      <c r="P68" s="1637">
        <v>-44100000000</v>
      </c>
      <c r="Q68" s="1637">
        <v>-29400000000</v>
      </c>
      <c r="R68" s="1637">
        <v>-28500000000</v>
      </c>
      <c r="S68" s="1637">
        <v>49700000000</v>
      </c>
      <c r="T68" s="1637">
        <v>31000000000</v>
      </c>
      <c r="U68" s="1637">
        <v>-37900000000</v>
      </c>
      <c r="V68" s="1637">
        <v>4099999999.9999995</v>
      </c>
      <c r="W68" s="1637">
        <v>0</v>
      </c>
      <c r="X68" s="1637">
        <v>0</v>
      </c>
      <c r="Y68" s="1636">
        <v>0</v>
      </c>
      <c r="Z68" s="1917">
        <v>-5000000000</v>
      </c>
      <c r="AA68" s="1917">
        <v>-10000000000</v>
      </c>
      <c r="AB68" s="1910"/>
      <c r="AC68" s="1910"/>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1602" t="s">
        <v>76</v>
      </c>
      <c r="B69" s="1620" t="s">
        <v>5009</v>
      </c>
      <c r="C69" s="1612"/>
      <c r="D69" s="1636"/>
      <c r="E69" s="1636"/>
      <c r="F69" s="1636"/>
      <c r="G69" s="1636"/>
      <c r="H69" s="1636"/>
      <c r="I69" s="1636"/>
      <c r="J69" s="1636"/>
      <c r="K69" s="1636"/>
      <c r="L69" s="1636"/>
      <c r="M69" s="1893"/>
      <c r="N69" s="1893">
        <v>8600000000</v>
      </c>
      <c r="O69" s="1893">
        <v>5300000000</v>
      </c>
      <c r="P69" s="1637">
        <v>200000000</v>
      </c>
      <c r="Q69" s="1637">
        <v>700000000</v>
      </c>
      <c r="R69" s="1637">
        <v>70700000000</v>
      </c>
      <c r="S69" s="1637">
        <v>63200000000</v>
      </c>
      <c r="T69" s="1637">
        <v>-17800000000</v>
      </c>
      <c r="U69" s="1637">
        <v>93700000000</v>
      </c>
      <c r="V69" s="1637">
        <v>14300000000</v>
      </c>
      <c r="W69" s="1637">
        <v>-5400000000</v>
      </c>
      <c r="X69" s="1637">
        <v>-2900000000</v>
      </c>
      <c r="Y69" s="1636">
        <v>-6100000000</v>
      </c>
      <c r="Z69" s="1917">
        <v>-6800000000</v>
      </c>
      <c r="AA69" s="1917">
        <v>-1700000000</v>
      </c>
      <c r="AB69" s="1910"/>
      <c r="AC69" s="1910"/>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1617" t="s">
        <v>428</v>
      </c>
      <c r="B70" s="1616" t="s">
        <v>5010</v>
      </c>
      <c r="C70" s="1612" t="s">
        <v>124</v>
      </c>
      <c r="D70" s="1893">
        <v>0</v>
      </c>
      <c r="E70" s="1893">
        <v>-700000000</v>
      </c>
      <c r="F70" s="1893">
        <v>8600000000</v>
      </c>
      <c r="G70" s="1893">
        <v>-4300000000</v>
      </c>
      <c r="H70" s="1893">
        <v>-4200000000</v>
      </c>
      <c r="I70" s="1893">
        <v>16300000000</v>
      </c>
      <c r="J70" s="1893">
        <v>-8400000000</v>
      </c>
      <c r="K70" s="1893">
        <v>9900000000</v>
      </c>
      <c r="L70" s="1893">
        <v>10500000000</v>
      </c>
      <c r="M70" s="1893">
        <v>-1300000000</v>
      </c>
      <c r="N70" s="1893">
        <v>28800000000</v>
      </c>
      <c r="O70" s="1893">
        <v>-13800000000</v>
      </c>
      <c r="P70" s="1637">
        <v>500000000</v>
      </c>
      <c r="Q70" s="1637">
        <v>48900000000</v>
      </c>
      <c r="R70" s="1637">
        <v>94600000000</v>
      </c>
      <c r="S70" s="1637">
        <v>83800000000</v>
      </c>
      <c r="T70" s="1637">
        <v>72400000000</v>
      </c>
      <c r="U70" s="1637">
        <v>66500000000</v>
      </c>
      <c r="V70" s="1637">
        <v>114100000000</v>
      </c>
      <c r="W70" s="1637">
        <v>23600000000</v>
      </c>
      <c r="X70" s="1637">
        <v>-51800000000</v>
      </c>
      <c r="Y70" s="1636">
        <v>-41700000000</v>
      </c>
      <c r="Z70" s="1917">
        <v>-22300000000</v>
      </c>
      <c r="AA70" s="1917">
        <v>-30900000000</v>
      </c>
      <c r="AB70" s="1910"/>
      <c r="AC70" s="1910"/>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1602" t="s">
        <v>253</v>
      </c>
      <c r="B71" s="1612" t="s">
        <v>5011</v>
      </c>
      <c r="C71" s="1612" t="s">
        <v>124</v>
      </c>
      <c r="D71" s="1893">
        <v>8500000000</v>
      </c>
      <c r="E71" s="1893">
        <v>5000000000</v>
      </c>
      <c r="F71" s="1893">
        <v>-3000000000</v>
      </c>
      <c r="G71" s="1893">
        <v>-2500000000</v>
      </c>
      <c r="H71" s="1893">
        <v>0</v>
      </c>
      <c r="I71" s="1893">
        <v>0</v>
      </c>
      <c r="J71" s="1893">
        <v>0</v>
      </c>
      <c r="K71" s="1893"/>
      <c r="L71" s="1893"/>
      <c r="M71" s="1893"/>
      <c r="N71" s="1893"/>
      <c r="O71" s="1893"/>
      <c r="P71" s="1893"/>
      <c r="Q71" s="1633"/>
      <c r="R71" s="1633"/>
      <c r="S71" s="1633"/>
      <c r="T71" s="1633"/>
      <c r="U71" s="1633"/>
      <c r="V71" s="1638"/>
      <c r="W71" s="1636"/>
      <c r="X71" s="1913"/>
      <c r="Y71" s="1636"/>
      <c r="Z71" s="1917"/>
      <c r="AA71" s="1917"/>
      <c r="AB71" s="1910"/>
      <c r="AC71" s="1910"/>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602" t="s">
        <v>76</v>
      </c>
      <c r="B72" s="1612" t="s">
        <v>5012</v>
      </c>
      <c r="C72" s="1612"/>
      <c r="D72" s="1889"/>
      <c r="E72" s="1889"/>
      <c r="F72" s="1889"/>
      <c r="G72" s="1889"/>
      <c r="H72" s="1889"/>
      <c r="I72" s="1889"/>
      <c r="J72" s="1888">
        <v>0</v>
      </c>
      <c r="K72" s="1888">
        <v>0</v>
      </c>
      <c r="L72" s="1888">
        <v>0</v>
      </c>
      <c r="M72" s="1888">
        <v>0</v>
      </c>
      <c r="N72" s="1888">
        <v>0</v>
      </c>
      <c r="O72" s="1888">
        <v>0</v>
      </c>
      <c r="P72" s="1888">
        <v>0</v>
      </c>
      <c r="Q72" s="1891">
        <v>0</v>
      </c>
      <c r="R72" s="1891">
        <v>0</v>
      </c>
      <c r="S72" s="1891">
        <v>0</v>
      </c>
      <c r="T72" s="1891">
        <v>0</v>
      </c>
      <c r="U72" s="1891">
        <v>0</v>
      </c>
      <c r="V72" s="1891">
        <v>0</v>
      </c>
      <c r="W72" s="1602">
        <v>0</v>
      </c>
      <c r="X72" s="1913">
        <v>0</v>
      </c>
      <c r="Y72" s="1636">
        <v>0</v>
      </c>
      <c r="Z72" s="1917">
        <v>0</v>
      </c>
      <c r="AA72" s="1917">
        <v>0</v>
      </c>
      <c r="AB72" s="1910"/>
      <c r="AC72" s="1910"/>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X73" s="1636"/>
      <c r="Y73" s="1913"/>
      <c r="Z73" s="1917"/>
      <c r="AA73" s="1917"/>
      <c r="AB73" s="1910"/>
      <c r="AC73" s="1910"/>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D74" s="1602" t="s">
        <v>139</v>
      </c>
      <c r="E74" s="1602" t="s">
        <v>139</v>
      </c>
      <c r="F74" s="1602" t="s">
        <v>139</v>
      </c>
      <c r="G74" s="1602" t="s">
        <v>139</v>
      </c>
      <c r="H74" s="1602" t="s">
        <v>139</v>
      </c>
      <c r="I74" s="1602" t="s">
        <v>139</v>
      </c>
      <c r="J74" s="1602" t="s">
        <v>139</v>
      </c>
      <c r="K74" s="1602" t="s">
        <v>139</v>
      </c>
      <c r="L74" s="1602" t="s">
        <v>139</v>
      </c>
      <c r="M74" s="1602" t="s">
        <v>139</v>
      </c>
      <c r="N74" s="1602" t="s">
        <v>139</v>
      </c>
      <c r="O74" s="1602" t="s">
        <v>139</v>
      </c>
      <c r="P74" s="1602" t="s">
        <v>139</v>
      </c>
      <c r="Q74" s="1602" t="s">
        <v>139</v>
      </c>
      <c r="R74" s="1915" t="s">
        <v>139</v>
      </c>
      <c r="S74" s="1915" t="s">
        <v>139</v>
      </c>
      <c r="T74" s="1602" t="s">
        <v>139</v>
      </c>
      <c r="U74" s="1602" t="s">
        <v>139</v>
      </c>
      <c r="V74" s="1602" t="s">
        <v>139</v>
      </c>
      <c r="W74" s="1602" t="s">
        <v>139</v>
      </c>
      <c r="X74" s="1602" t="s">
        <v>139</v>
      </c>
      <c r="Y74" s="1602" t="s">
        <v>139</v>
      </c>
      <c r="Z74" s="1602" t="s">
        <v>139</v>
      </c>
      <c r="AA74" s="1602" t="s">
        <v>139</v>
      </c>
      <c r="AB74" s="1910"/>
      <c r="AC74" s="1910"/>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X75" s="1636"/>
      <c r="Y75" s="1913"/>
      <c r="Z75" s="1917"/>
      <c r="AA75" s="1917"/>
      <c r="AB75" s="1910"/>
      <c r="AC75" s="1910"/>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B76" s="1602" t="s">
        <v>284</v>
      </c>
      <c r="D76" s="1624">
        <f>D6-D7-D53</f>
        <v>0</v>
      </c>
      <c r="E76" s="1624">
        <f t="shared" ref="E76:O76" si="13">E6-E7-E53</f>
        <v>0</v>
      </c>
      <c r="F76" s="1624">
        <f t="shared" si="13"/>
        <v>0</v>
      </c>
      <c r="G76" s="1624">
        <f t="shared" si="13"/>
        <v>0</v>
      </c>
      <c r="H76" s="1624">
        <f t="shared" si="13"/>
        <v>0</v>
      </c>
      <c r="I76" s="1624">
        <f t="shared" si="13"/>
        <v>0</v>
      </c>
      <c r="J76" s="1624">
        <f t="shared" si="13"/>
        <v>0</v>
      </c>
      <c r="K76" s="1624">
        <f t="shared" si="13"/>
        <v>0</v>
      </c>
      <c r="L76" s="1624">
        <f t="shared" si="13"/>
        <v>0</v>
      </c>
      <c r="M76" s="1624">
        <f t="shared" si="13"/>
        <v>0</v>
      </c>
      <c r="N76" s="1624">
        <f t="shared" si="13"/>
        <v>0</v>
      </c>
      <c r="O76" s="1624">
        <f t="shared" si="13"/>
        <v>0</v>
      </c>
      <c r="P76" s="1624">
        <f>P6-P7-P53</f>
        <v>0</v>
      </c>
      <c r="Q76" s="1624">
        <f>Q6-Q7-Q53</f>
        <v>0</v>
      </c>
      <c r="R76" s="1624">
        <f>R6-R7-R53</f>
        <v>0</v>
      </c>
      <c r="S76" s="1624">
        <f>S6-S7-S53</f>
        <v>0</v>
      </c>
      <c r="T76" s="1624">
        <f t="shared" ref="T76" si="14">T6-T7-T53</f>
        <v>0</v>
      </c>
      <c r="U76" s="1624">
        <f t="shared" ref="U76:AA76" si="15">U6-U7-U53</f>
        <v>0</v>
      </c>
      <c r="V76" s="1624">
        <f t="shared" si="15"/>
        <v>0</v>
      </c>
      <c r="W76" s="1624">
        <f t="shared" si="15"/>
        <v>0</v>
      </c>
      <c r="X76" s="1624">
        <f t="shared" si="15"/>
        <v>0</v>
      </c>
      <c r="Y76" s="1624">
        <f t="shared" si="15"/>
        <v>0</v>
      </c>
      <c r="Z76" s="1624">
        <f t="shared" si="15"/>
        <v>0</v>
      </c>
      <c r="AA76" s="1624">
        <f t="shared" si="15"/>
        <v>0</v>
      </c>
      <c r="AB76" s="1910"/>
      <c r="AC76" s="1910"/>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B77" s="1602" t="s">
        <v>141</v>
      </c>
      <c r="D77" s="1626">
        <f t="shared" ref="D77:S77" si="16">D7-D8-D13-D15-D16</f>
        <v>0</v>
      </c>
      <c r="E77" s="1626">
        <f t="shared" si="16"/>
        <v>1.5735626220703125E-5</v>
      </c>
      <c r="F77" s="1626">
        <f>F7-F8-F13-F15-F16</f>
        <v>0</v>
      </c>
      <c r="G77" s="1626">
        <f t="shared" si="16"/>
        <v>0</v>
      </c>
      <c r="H77" s="1626">
        <f t="shared" si="16"/>
        <v>0</v>
      </c>
      <c r="I77" s="1626">
        <f t="shared" si="16"/>
        <v>0</v>
      </c>
      <c r="J77" s="1626">
        <f t="shared" si="16"/>
        <v>0</v>
      </c>
      <c r="K77" s="1626">
        <f t="shared" si="16"/>
        <v>0</v>
      </c>
      <c r="L77" s="1626">
        <f t="shared" si="16"/>
        <v>0</v>
      </c>
      <c r="M77" s="1626">
        <f t="shared" si="16"/>
        <v>0</v>
      </c>
      <c r="N77" s="1626">
        <f t="shared" si="16"/>
        <v>0</v>
      </c>
      <c r="O77" s="1626">
        <f t="shared" si="16"/>
        <v>0</v>
      </c>
      <c r="P77" s="1626">
        <f t="shared" si="16"/>
        <v>0</v>
      </c>
      <c r="Q77" s="1626">
        <f t="shared" si="16"/>
        <v>0</v>
      </c>
      <c r="R77" s="1626">
        <f t="shared" si="16"/>
        <v>0</v>
      </c>
      <c r="S77" s="1626">
        <f t="shared" si="16"/>
        <v>100000000</v>
      </c>
      <c r="T77" s="1626">
        <f t="shared" ref="T77" si="17">T7-T8-T13-T15-T16</f>
        <v>100000000</v>
      </c>
      <c r="U77" s="1626">
        <f t="shared" ref="U77:AA77" si="18">U7-U8-U13-U15-U16</f>
        <v>0</v>
      </c>
      <c r="V77" s="1626">
        <f t="shared" si="18"/>
        <v>0</v>
      </c>
      <c r="W77" s="1626">
        <f t="shared" si="18"/>
        <v>0</v>
      </c>
      <c r="X77" s="1626">
        <f t="shared" si="18"/>
        <v>0</v>
      </c>
      <c r="Y77" s="1626">
        <f t="shared" si="18"/>
        <v>0</v>
      </c>
      <c r="Z77" s="1626">
        <f t="shared" si="18"/>
        <v>0</v>
      </c>
      <c r="AA77" s="1626">
        <f t="shared" si="18"/>
        <v>100000000</v>
      </c>
      <c r="AB77" s="1910"/>
      <c r="AC77" s="1910"/>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B78" s="1602" t="s">
        <v>145</v>
      </c>
      <c r="D78" s="1626">
        <f>D18-D20-D33-D40</f>
        <v>0</v>
      </c>
      <c r="E78" s="1626">
        <f t="shared" ref="E78:S78" si="19">E18-E20-E33-E40</f>
        <v>0</v>
      </c>
      <c r="F78" s="1626">
        <f t="shared" si="19"/>
        <v>0</v>
      </c>
      <c r="G78" s="1626">
        <f t="shared" si="19"/>
        <v>0</v>
      </c>
      <c r="H78" s="1626">
        <f t="shared" si="19"/>
        <v>0</v>
      </c>
      <c r="I78" s="1626">
        <f t="shared" si="19"/>
        <v>0</v>
      </c>
      <c r="J78" s="1626">
        <f t="shared" si="19"/>
        <v>0</v>
      </c>
      <c r="K78" s="1626">
        <f t="shared" si="19"/>
        <v>0</v>
      </c>
      <c r="L78" s="1626">
        <f t="shared" si="19"/>
        <v>0</v>
      </c>
      <c r="M78" s="1626">
        <f t="shared" si="19"/>
        <v>0</v>
      </c>
      <c r="N78" s="1626">
        <f t="shared" si="19"/>
        <v>0</v>
      </c>
      <c r="O78" s="1626">
        <f t="shared" si="19"/>
        <v>0</v>
      </c>
      <c r="P78" s="1626">
        <f t="shared" si="19"/>
        <v>0</v>
      </c>
      <c r="Q78" s="1626">
        <f t="shared" si="19"/>
        <v>-6.103515625E-5</v>
      </c>
      <c r="R78" s="1626">
        <f t="shared" si="19"/>
        <v>0</v>
      </c>
      <c r="S78" s="1626">
        <f t="shared" si="19"/>
        <v>0</v>
      </c>
      <c r="T78" s="1626">
        <f t="shared" ref="T78" si="20">T18-T20-T33-T40</f>
        <v>0</v>
      </c>
      <c r="U78" s="1626">
        <f t="shared" ref="U78:AA78" si="21">U18-U20-U33-U40</f>
        <v>0</v>
      </c>
      <c r="V78" s="1626">
        <f t="shared" si="21"/>
        <v>0</v>
      </c>
      <c r="W78" s="1626">
        <f t="shared" si="21"/>
        <v>0</v>
      </c>
      <c r="X78" s="1626">
        <f t="shared" si="21"/>
        <v>0</v>
      </c>
      <c r="Y78" s="1626">
        <f t="shared" si="21"/>
        <v>0</v>
      </c>
      <c r="Z78" s="1626">
        <f t="shared" si="21"/>
        <v>-1.220703125E-4</v>
      </c>
      <c r="AA78" s="1626">
        <f t="shared" si="21"/>
        <v>0</v>
      </c>
      <c r="AB78" s="1910"/>
      <c r="AC78" s="1910"/>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B79" s="1602" t="s">
        <v>361</v>
      </c>
      <c r="D79" s="1626">
        <f t="shared" ref="D79:S79" si="22">D20-D22-D23-D24-D27-D26-D30-D31</f>
        <v>100000000</v>
      </c>
      <c r="E79" s="1626">
        <f t="shared" si="22"/>
        <v>0</v>
      </c>
      <c r="F79" s="1626">
        <f t="shared" si="22"/>
        <v>0</v>
      </c>
      <c r="G79" s="1626">
        <f t="shared" si="22"/>
        <v>0</v>
      </c>
      <c r="H79" s="1626">
        <f t="shared" si="22"/>
        <v>0</v>
      </c>
      <c r="I79" s="1626">
        <f t="shared" si="22"/>
        <v>99999999.999998093</v>
      </c>
      <c r="J79" s="1626">
        <f t="shared" si="22"/>
        <v>0</v>
      </c>
      <c r="K79" s="1626">
        <f t="shared" si="22"/>
        <v>0</v>
      </c>
      <c r="L79" s="1626">
        <f t="shared" si="22"/>
        <v>0</v>
      </c>
      <c r="M79" s="1626">
        <f>M20-M22-M23-M24-M27-M26-M30-M31</f>
        <v>0</v>
      </c>
      <c r="N79" s="1626">
        <f t="shared" si="22"/>
        <v>0</v>
      </c>
      <c r="O79" s="1626">
        <f t="shared" si="22"/>
        <v>0</v>
      </c>
      <c r="P79" s="1626">
        <f t="shared" si="22"/>
        <v>0</v>
      </c>
      <c r="Q79" s="1626">
        <f t="shared" si="22"/>
        <v>0</v>
      </c>
      <c r="R79" s="1626">
        <f t="shared" si="22"/>
        <v>100000000</v>
      </c>
      <c r="S79" s="1626">
        <f t="shared" si="22"/>
        <v>0</v>
      </c>
      <c r="T79" s="1626">
        <f t="shared" ref="T79" si="23">T20-T22-T23-T24-T27-T26-T30-T31</f>
        <v>0</v>
      </c>
      <c r="U79" s="1626">
        <f t="shared" ref="U79:AA79" si="24">U20-U22-U23-U24-U27-U26-U30-U31</f>
        <v>0</v>
      </c>
      <c r="V79" s="1626">
        <f t="shared" si="24"/>
        <v>0</v>
      </c>
      <c r="W79" s="1626">
        <f t="shared" si="24"/>
        <v>0</v>
      </c>
      <c r="X79" s="1626">
        <f t="shared" si="24"/>
        <v>-100000000</v>
      </c>
      <c r="Y79" s="1626">
        <f t="shared" si="24"/>
        <v>3.0517578125E-5</v>
      </c>
      <c r="Z79" s="1626">
        <f t="shared" si="24"/>
        <v>-100000000</v>
      </c>
      <c r="AA79" s="1626">
        <f t="shared" si="24"/>
        <v>0</v>
      </c>
      <c r="AB79" s="1910"/>
      <c r="AC79" s="1910"/>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c r="B80" s="1602" t="s">
        <v>291</v>
      </c>
      <c r="D80" s="1626">
        <f>D27-D28-D29</f>
        <v>0</v>
      </c>
      <c r="E80" s="1626">
        <f t="shared" ref="E80:S80" si="25">E27-E28-E29</f>
        <v>0</v>
      </c>
      <c r="F80" s="1626">
        <f t="shared" si="25"/>
        <v>-100000000</v>
      </c>
      <c r="G80" s="1626">
        <f t="shared" si="25"/>
        <v>-1.9073486328125E-6</v>
      </c>
      <c r="H80" s="1626">
        <f t="shared" si="25"/>
        <v>0</v>
      </c>
      <c r="I80" s="1626">
        <f t="shared" si="25"/>
        <v>0</v>
      </c>
      <c r="J80" s="1626">
        <f t="shared" si="25"/>
        <v>0</v>
      </c>
      <c r="K80" s="1626">
        <f t="shared" si="25"/>
        <v>0</v>
      </c>
      <c r="L80" s="1626">
        <f t="shared" si="25"/>
        <v>0</v>
      </c>
      <c r="M80" s="1626">
        <f t="shared" si="25"/>
        <v>0</v>
      </c>
      <c r="N80" s="1626">
        <f t="shared" si="25"/>
        <v>0</v>
      </c>
      <c r="O80" s="1626">
        <f t="shared" si="25"/>
        <v>0</v>
      </c>
      <c r="P80" s="1626">
        <f t="shared" si="25"/>
        <v>0</v>
      </c>
      <c r="Q80" s="1626">
        <f t="shared" si="25"/>
        <v>0</v>
      </c>
      <c r="R80" s="1626">
        <f t="shared" si="25"/>
        <v>0</v>
      </c>
      <c r="S80" s="1626">
        <f t="shared" si="25"/>
        <v>0</v>
      </c>
      <c r="T80" s="1626">
        <f t="shared" ref="T80" si="26">T27-T28-T29</f>
        <v>0</v>
      </c>
      <c r="U80" s="1626">
        <f t="shared" ref="U80:AA80" si="27">U27-U28-U29</f>
        <v>0</v>
      </c>
      <c r="V80" s="1626">
        <f t="shared" si="27"/>
        <v>0</v>
      </c>
      <c r="W80" s="1626">
        <f t="shared" si="27"/>
        <v>0</v>
      </c>
      <c r="X80" s="1626">
        <f t="shared" si="27"/>
        <v>0</v>
      </c>
      <c r="Y80" s="1626">
        <f t="shared" si="27"/>
        <v>0</v>
      </c>
      <c r="Z80" s="1626">
        <f t="shared" si="27"/>
        <v>0</v>
      </c>
      <c r="AA80" s="1626">
        <f t="shared" si="27"/>
        <v>0</v>
      </c>
      <c r="AB80" s="1910"/>
      <c r="AC80" s="1910"/>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2:54">
      <c r="B81" s="1602" t="s">
        <v>876</v>
      </c>
      <c r="D81" s="1626">
        <f t="shared" ref="D81:S81" si="28">D33-D34-D37</f>
        <v>0</v>
      </c>
      <c r="E81" s="1626">
        <f t="shared" si="28"/>
        <v>0</v>
      </c>
      <c r="F81" s="1626">
        <f t="shared" si="28"/>
        <v>0</v>
      </c>
      <c r="G81" s="1626">
        <f t="shared" si="28"/>
        <v>0</v>
      </c>
      <c r="H81" s="1626">
        <f t="shared" si="28"/>
        <v>0</v>
      </c>
      <c r="I81" s="1626">
        <f>I33-I34-I37</f>
        <v>0</v>
      </c>
      <c r="J81" s="1626">
        <f t="shared" si="28"/>
        <v>0</v>
      </c>
      <c r="K81" s="1626">
        <f t="shared" si="28"/>
        <v>0</v>
      </c>
      <c r="L81" s="1626">
        <f t="shared" si="28"/>
        <v>0</v>
      </c>
      <c r="M81" s="1626">
        <f t="shared" si="28"/>
        <v>0</v>
      </c>
      <c r="N81" s="1626">
        <f t="shared" si="28"/>
        <v>0</v>
      </c>
      <c r="O81" s="1626">
        <f t="shared" si="28"/>
        <v>0</v>
      </c>
      <c r="P81" s="1626">
        <f t="shared" si="28"/>
        <v>0</v>
      </c>
      <c r="Q81" s="1626">
        <f t="shared" si="28"/>
        <v>0</v>
      </c>
      <c r="R81" s="1626">
        <f t="shared" si="28"/>
        <v>-100000000</v>
      </c>
      <c r="S81" s="1626">
        <f t="shared" si="28"/>
        <v>0</v>
      </c>
      <c r="T81" s="1626">
        <f t="shared" ref="T81" si="29">T33-T34-T37</f>
        <v>0</v>
      </c>
      <c r="U81" s="1626">
        <f t="shared" ref="U81:AA81" si="30">U33-U34-U37</f>
        <v>0</v>
      </c>
      <c r="V81" s="1626">
        <f t="shared" si="30"/>
        <v>0</v>
      </c>
      <c r="W81" s="1626">
        <f t="shared" si="30"/>
        <v>0</v>
      </c>
      <c r="X81" s="1626">
        <f t="shared" si="30"/>
        <v>0</v>
      </c>
      <c r="Y81" s="1626">
        <f t="shared" si="30"/>
        <v>0</v>
      </c>
      <c r="Z81" s="1626">
        <f t="shared" si="30"/>
        <v>0</v>
      </c>
      <c r="AA81" s="1626">
        <f t="shared" si="30"/>
        <v>0</v>
      </c>
      <c r="AB81" s="1910"/>
      <c r="AC81" s="1910"/>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row>
    <row r="82" spans="2:54">
      <c r="B82" s="1602" t="s">
        <v>2612</v>
      </c>
      <c r="D82" s="1624">
        <f t="shared" ref="D82:S82" si="31">D34-D35-D36</f>
        <v>0</v>
      </c>
      <c r="E82" s="1624">
        <f t="shared" si="31"/>
        <v>0</v>
      </c>
      <c r="F82" s="1624">
        <f t="shared" si="31"/>
        <v>0</v>
      </c>
      <c r="G82" s="1624">
        <f t="shared" si="31"/>
        <v>0</v>
      </c>
      <c r="H82" s="1624">
        <f t="shared" si="31"/>
        <v>0</v>
      </c>
      <c r="I82" s="1624">
        <f t="shared" si="31"/>
        <v>0</v>
      </c>
      <c r="J82" s="1624">
        <f t="shared" si="31"/>
        <v>0</v>
      </c>
      <c r="K82" s="1624">
        <f t="shared" si="31"/>
        <v>0</v>
      </c>
      <c r="L82" s="1624">
        <f t="shared" si="31"/>
        <v>0</v>
      </c>
      <c r="M82" s="1918">
        <f t="shared" si="31"/>
        <v>163700000000</v>
      </c>
      <c r="N82" s="1918">
        <f t="shared" si="31"/>
        <v>100000000000</v>
      </c>
      <c r="O82" s="1918">
        <f t="shared" si="31"/>
        <v>114500000000</v>
      </c>
      <c r="P82" s="1918">
        <f t="shared" si="31"/>
        <v>198600000000</v>
      </c>
      <c r="Q82" s="1918">
        <f t="shared" si="31"/>
        <v>194600000000</v>
      </c>
      <c r="R82" s="1918">
        <f t="shared" si="31"/>
        <v>380800000000</v>
      </c>
      <c r="S82" s="1918">
        <f t="shared" si="31"/>
        <v>424600000000</v>
      </c>
      <c r="T82" s="1918">
        <f t="shared" ref="T82" si="32">T34-T35-T36</f>
        <v>201400000000</v>
      </c>
      <c r="U82" s="1918">
        <f t="shared" ref="U82:AA82" si="33">U34-U35-U36</f>
        <v>249600000000</v>
      </c>
      <c r="V82" s="1918">
        <f t="shared" si="33"/>
        <v>280700000000</v>
      </c>
      <c r="W82" s="1918">
        <f t="shared" si="33"/>
        <v>263000000000</v>
      </c>
      <c r="X82" s="1918">
        <f t="shared" si="33"/>
        <v>250000000000</v>
      </c>
      <c r="Y82" s="1918">
        <f t="shared" si="33"/>
        <v>345000000000</v>
      </c>
      <c r="Z82" s="1918">
        <f t="shared" si="33"/>
        <v>448500000000</v>
      </c>
      <c r="AA82" s="1918">
        <f t="shared" si="33"/>
        <v>504600000000</v>
      </c>
      <c r="AB82" s="1910"/>
      <c r="AC82" s="1910"/>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row>
    <row r="83" spans="2:54">
      <c r="B83" s="1602" t="s">
        <v>5013</v>
      </c>
      <c r="D83" s="1627">
        <f>D37-D38-D39</f>
        <v>65500000000</v>
      </c>
      <c r="E83" s="1627">
        <f t="shared" ref="E83:S83" si="34">E37-E38-E39</f>
        <v>63900000000</v>
      </c>
      <c r="F83" s="1627">
        <f t="shared" si="34"/>
        <v>89400000000</v>
      </c>
      <c r="G83" s="1627">
        <f t="shared" si="34"/>
        <v>75000000000</v>
      </c>
      <c r="H83" s="1627">
        <f t="shared" si="34"/>
        <v>93000000000</v>
      </c>
      <c r="I83" s="1627">
        <f t="shared" si="34"/>
        <v>120000000000</v>
      </c>
      <c r="J83" s="1627">
        <f t="shared" si="34"/>
        <v>0</v>
      </c>
      <c r="K83" s="1627">
        <f t="shared" si="34"/>
        <v>0</v>
      </c>
      <c r="L83" s="1627">
        <f t="shared" si="34"/>
        <v>0</v>
      </c>
      <c r="M83" s="1624">
        <f t="shared" si="34"/>
        <v>0</v>
      </c>
      <c r="N83" s="1624">
        <f t="shared" si="34"/>
        <v>0</v>
      </c>
      <c r="O83" s="1624">
        <f t="shared" si="34"/>
        <v>0</v>
      </c>
      <c r="P83" s="1624">
        <f t="shared" si="34"/>
        <v>0</v>
      </c>
      <c r="Q83" s="1624">
        <f t="shared" si="34"/>
        <v>-100000000</v>
      </c>
      <c r="R83" s="1624">
        <f t="shared" si="34"/>
        <v>0</v>
      </c>
      <c r="S83" s="1624">
        <f t="shared" si="34"/>
        <v>100000000</v>
      </c>
      <c r="T83" s="1624">
        <f t="shared" ref="T83" si="35">T37-T38-T39</f>
        <v>0</v>
      </c>
      <c r="U83" s="1624">
        <f t="shared" ref="U83:AA83" si="36">U37-U38-U39</f>
        <v>0</v>
      </c>
      <c r="V83" s="1624">
        <f t="shared" si="36"/>
        <v>0</v>
      </c>
      <c r="W83" s="1624">
        <f t="shared" si="36"/>
        <v>0</v>
      </c>
      <c r="X83" s="1624">
        <f t="shared" si="36"/>
        <v>0</v>
      </c>
      <c r="Y83" s="1624">
        <f t="shared" si="36"/>
        <v>0</v>
      </c>
      <c r="Z83" s="1624">
        <f t="shared" si="36"/>
        <v>0</v>
      </c>
      <c r="AA83" s="1624">
        <f t="shared" si="36"/>
        <v>0</v>
      </c>
      <c r="AB83" s="1910"/>
      <c r="AC83" s="1910"/>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row>
    <row r="84" spans="2:54">
      <c r="B84" s="1602" t="s">
        <v>457</v>
      </c>
      <c r="D84" s="1624">
        <f>D49-D51-D64</f>
        <v>100000000</v>
      </c>
      <c r="E84" s="1624">
        <f t="shared" ref="E84:R84" si="37">E49-E51-E64</f>
        <v>1.52587890625E-5</v>
      </c>
      <c r="F84" s="1624">
        <f t="shared" si="37"/>
        <v>0</v>
      </c>
      <c r="G84" s="1624">
        <f t="shared" si="37"/>
        <v>99999999.999984741</v>
      </c>
      <c r="H84" s="1624">
        <f t="shared" si="37"/>
        <v>0</v>
      </c>
      <c r="I84" s="1624">
        <f t="shared" si="37"/>
        <v>0</v>
      </c>
      <c r="J84" s="1624">
        <f t="shared" si="37"/>
        <v>0</v>
      </c>
      <c r="K84" s="1624">
        <f t="shared" si="37"/>
        <v>0</v>
      </c>
      <c r="L84" s="1624">
        <f t="shared" si="37"/>
        <v>100000000</v>
      </c>
      <c r="M84" s="1624">
        <f t="shared" si="37"/>
        <v>0</v>
      </c>
      <c r="N84" s="1624">
        <f t="shared" si="37"/>
        <v>0</v>
      </c>
      <c r="O84" s="1624">
        <f t="shared" si="37"/>
        <v>0</v>
      </c>
      <c r="P84" s="1624">
        <f t="shared" si="37"/>
        <v>0</v>
      </c>
      <c r="Q84" s="1624">
        <f t="shared" si="37"/>
        <v>0</v>
      </c>
      <c r="R84" s="1624">
        <f t="shared" si="37"/>
        <v>0</v>
      </c>
      <c r="S84" s="1624">
        <f>S49-S51-S64</f>
        <v>0</v>
      </c>
      <c r="T84" s="1624">
        <f t="shared" ref="T84" si="38">T49-T51-T64</f>
        <v>0</v>
      </c>
      <c r="U84" s="1624">
        <f t="shared" ref="U84:AA84" si="39">U49-U51-U64</f>
        <v>0</v>
      </c>
      <c r="V84" s="1624">
        <f t="shared" si="39"/>
        <v>0</v>
      </c>
      <c r="W84" s="1624">
        <f t="shared" si="39"/>
        <v>0</v>
      </c>
      <c r="X84" s="1624">
        <f t="shared" si="39"/>
        <v>0</v>
      </c>
      <c r="Y84" s="1624">
        <f t="shared" si="39"/>
        <v>0</v>
      </c>
      <c r="Z84" s="1624">
        <f t="shared" si="39"/>
        <v>0</v>
      </c>
      <c r="AA84" s="1624">
        <f t="shared" si="39"/>
        <v>0</v>
      </c>
      <c r="AB84" s="1910"/>
      <c r="AC84" s="1910"/>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row>
    <row r="85" spans="2:54">
      <c r="B85" s="1602" t="s">
        <v>2525</v>
      </c>
      <c r="D85" s="1624">
        <f t="shared" ref="D85:I85" si="40">D51-D58-D61-D62-D63</f>
        <v>0</v>
      </c>
      <c r="E85" s="1624">
        <f t="shared" si="40"/>
        <v>0</v>
      </c>
      <c r="F85" s="1624">
        <f t="shared" si="40"/>
        <v>0</v>
      </c>
      <c r="G85" s="1624">
        <f t="shared" si="40"/>
        <v>-7.62939453125E-6</v>
      </c>
      <c r="H85" s="1624">
        <f t="shared" si="40"/>
        <v>7.62939453125E-6</v>
      </c>
      <c r="I85" s="1624">
        <f t="shared" si="40"/>
        <v>0</v>
      </c>
      <c r="J85" s="1624">
        <f t="shared" ref="J85:S85" si="41">J51-J58-J61-J62-J63</f>
        <v>0</v>
      </c>
      <c r="K85" s="1624">
        <f t="shared" si="41"/>
        <v>100000000</v>
      </c>
      <c r="L85" s="1624">
        <f t="shared" si="41"/>
        <v>0</v>
      </c>
      <c r="M85" s="1624">
        <f t="shared" si="41"/>
        <v>0</v>
      </c>
      <c r="N85" s="1624">
        <f t="shared" si="41"/>
        <v>100000000</v>
      </c>
      <c r="O85" s="1624">
        <f t="shared" si="41"/>
        <v>0</v>
      </c>
      <c r="P85" s="1624">
        <f t="shared" si="41"/>
        <v>-100000000</v>
      </c>
      <c r="Q85" s="1624">
        <f t="shared" si="41"/>
        <v>0</v>
      </c>
      <c r="R85" s="1624">
        <f t="shared" si="41"/>
        <v>0</v>
      </c>
      <c r="S85" s="1624">
        <f t="shared" si="41"/>
        <v>0</v>
      </c>
      <c r="T85" s="1624">
        <f t="shared" ref="T85" si="42">T51-T58-T61-T62-T63</f>
        <v>0</v>
      </c>
      <c r="U85" s="1624">
        <f t="shared" ref="U85:AA85" si="43">U51-U58-U61-U62-U63</f>
        <v>0</v>
      </c>
      <c r="V85" s="1624">
        <f t="shared" si="43"/>
        <v>0</v>
      </c>
      <c r="W85" s="1624">
        <f t="shared" si="43"/>
        <v>0</v>
      </c>
      <c r="X85" s="1624">
        <f t="shared" si="43"/>
        <v>0</v>
      </c>
      <c r="Y85" s="1624">
        <f t="shared" si="43"/>
        <v>0</v>
      </c>
      <c r="Z85" s="1624">
        <f t="shared" si="43"/>
        <v>0</v>
      </c>
      <c r="AA85" s="1624">
        <f t="shared" si="43"/>
        <v>7.62939453125E-6</v>
      </c>
      <c r="AB85" s="1910"/>
      <c r="AC85" s="1910"/>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row>
    <row r="86" spans="2:54">
      <c r="B86" s="1602" t="s">
        <v>3095</v>
      </c>
      <c r="D86" s="1624">
        <f t="shared" ref="D86:S86" si="44">D58-D59-D60</f>
        <v>0</v>
      </c>
      <c r="E86" s="1624">
        <f t="shared" si="44"/>
        <v>0</v>
      </c>
      <c r="F86" s="1624">
        <f t="shared" si="44"/>
        <v>0</v>
      </c>
      <c r="G86" s="1624">
        <f t="shared" si="44"/>
        <v>0</v>
      </c>
      <c r="H86" s="1624">
        <f t="shared" si="44"/>
        <v>0</v>
      </c>
      <c r="I86" s="1624">
        <f t="shared" si="44"/>
        <v>0</v>
      </c>
      <c r="J86" s="1624">
        <f t="shared" si="44"/>
        <v>0</v>
      </c>
      <c r="K86" s="1624">
        <f t="shared" si="44"/>
        <v>0</v>
      </c>
      <c r="L86" s="1624">
        <f t="shared" si="44"/>
        <v>0</v>
      </c>
      <c r="M86" s="1624">
        <f t="shared" si="44"/>
        <v>0</v>
      </c>
      <c r="N86" s="1624">
        <f t="shared" si="44"/>
        <v>0</v>
      </c>
      <c r="O86" s="1624">
        <f t="shared" si="44"/>
        <v>0</v>
      </c>
      <c r="P86" s="1624">
        <f t="shared" si="44"/>
        <v>0</v>
      </c>
      <c r="Q86" s="1624">
        <f t="shared" si="44"/>
        <v>0</v>
      </c>
      <c r="R86" s="1624">
        <f t="shared" si="44"/>
        <v>0</v>
      </c>
      <c r="S86" s="1624">
        <f t="shared" si="44"/>
        <v>0</v>
      </c>
      <c r="T86" s="1624">
        <f t="shared" ref="T86" si="45">T58-T59-T60</f>
        <v>0</v>
      </c>
      <c r="U86" s="1624">
        <f t="shared" ref="U86:AA86" si="46">U58-U59-U60</f>
        <v>0</v>
      </c>
      <c r="V86" s="1624">
        <f t="shared" si="46"/>
        <v>0</v>
      </c>
      <c r="W86" s="1624">
        <f t="shared" si="46"/>
        <v>0</v>
      </c>
      <c r="X86" s="1624">
        <f t="shared" si="46"/>
        <v>0</v>
      </c>
      <c r="Y86" s="1624">
        <f t="shared" si="46"/>
        <v>0</v>
      </c>
      <c r="Z86" s="1624">
        <f t="shared" si="46"/>
        <v>0</v>
      </c>
      <c r="AA86" s="1624">
        <f t="shared" si="46"/>
        <v>0</v>
      </c>
      <c r="AB86" s="1910"/>
      <c r="AC86" s="1910"/>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row>
    <row r="87" spans="2:54">
      <c r="B87" s="1602" t="s">
        <v>362</v>
      </c>
      <c r="D87" s="1624">
        <f t="shared" ref="D87:I87" si="47">D64-D65-D70-D71</f>
        <v>-100000000</v>
      </c>
      <c r="E87" s="1624">
        <f t="shared" si="47"/>
        <v>0</v>
      </c>
      <c r="F87" s="1624">
        <f t="shared" si="47"/>
        <v>0</v>
      </c>
      <c r="G87" s="1624">
        <f t="shared" si="47"/>
        <v>-100000000</v>
      </c>
      <c r="H87" s="1624">
        <f t="shared" si="47"/>
        <v>0</v>
      </c>
      <c r="I87" s="1624">
        <f t="shared" si="47"/>
        <v>0</v>
      </c>
      <c r="J87" s="1624">
        <f t="shared" ref="J87:S87" si="48">J64-J65-J70</f>
        <v>0</v>
      </c>
      <c r="K87" s="1624">
        <f t="shared" si="48"/>
        <v>0</v>
      </c>
      <c r="L87" s="1624">
        <f t="shared" si="48"/>
        <v>0</v>
      </c>
      <c r="M87" s="1624">
        <f t="shared" si="48"/>
        <v>100000000</v>
      </c>
      <c r="N87" s="1624">
        <f t="shared" si="48"/>
        <v>-100000000</v>
      </c>
      <c r="O87" s="1624">
        <f t="shared" si="48"/>
        <v>-100000000</v>
      </c>
      <c r="P87" s="1624">
        <f t="shared" si="48"/>
        <v>0</v>
      </c>
      <c r="Q87" s="1624">
        <f t="shared" si="48"/>
        <v>0</v>
      </c>
      <c r="R87" s="1624">
        <f t="shared" si="48"/>
        <v>0</v>
      </c>
      <c r="S87" s="1624">
        <f t="shared" si="48"/>
        <v>0</v>
      </c>
      <c r="T87" s="1624">
        <f t="shared" ref="T87" si="49">T64-T65-T70</f>
        <v>0</v>
      </c>
      <c r="U87" s="1624">
        <f t="shared" ref="U87:AA87" si="50">U64-U65-U70</f>
        <v>0</v>
      </c>
      <c r="V87" s="1624">
        <f t="shared" si="50"/>
        <v>0</v>
      </c>
      <c r="W87" s="1624">
        <f t="shared" si="50"/>
        <v>0</v>
      </c>
      <c r="X87" s="1624">
        <f t="shared" si="50"/>
        <v>0</v>
      </c>
      <c r="Y87" s="1624">
        <f t="shared" si="50"/>
        <v>0</v>
      </c>
      <c r="Z87" s="1624">
        <f t="shared" si="50"/>
        <v>0</v>
      </c>
      <c r="AA87" s="1624">
        <f t="shared" si="50"/>
        <v>100000000</v>
      </c>
      <c r="AB87" s="1910"/>
      <c r="AC87" s="1910"/>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row>
    <row r="88" spans="2:54">
      <c r="B88" s="1602" t="s">
        <v>143</v>
      </c>
      <c r="D88" s="1624">
        <f t="shared" ref="D88:S88" si="51">D53-D54-D55-D56-D57</f>
        <v>-100000000</v>
      </c>
      <c r="E88" s="1624">
        <f t="shared" si="51"/>
        <v>-3.814697265625E-6</v>
      </c>
      <c r="F88" s="1624">
        <f t="shared" si="51"/>
        <v>-100000000</v>
      </c>
      <c r="G88" s="1624">
        <f t="shared" si="51"/>
        <v>0</v>
      </c>
      <c r="H88" s="1624">
        <f t="shared" si="51"/>
        <v>0</v>
      </c>
      <c r="I88" s="1624">
        <f t="shared" si="51"/>
        <v>0</v>
      </c>
      <c r="J88" s="1624">
        <f t="shared" si="51"/>
        <v>0</v>
      </c>
      <c r="K88" s="1624">
        <f t="shared" si="51"/>
        <v>0</v>
      </c>
      <c r="L88" s="1624">
        <f t="shared" si="51"/>
        <v>0</v>
      </c>
      <c r="M88" s="1624">
        <f t="shared" si="51"/>
        <v>0</v>
      </c>
      <c r="N88" s="1624">
        <f t="shared" si="51"/>
        <v>0</v>
      </c>
      <c r="O88" s="1624">
        <f t="shared" si="51"/>
        <v>0</v>
      </c>
      <c r="P88" s="1624">
        <f t="shared" si="51"/>
        <v>0</v>
      </c>
      <c r="Q88" s="1624">
        <f t="shared" si="51"/>
        <v>0</v>
      </c>
      <c r="R88" s="1624">
        <f t="shared" si="51"/>
        <v>0</v>
      </c>
      <c r="S88" s="1624">
        <f t="shared" si="51"/>
        <v>0</v>
      </c>
      <c r="T88" s="1918">
        <f t="shared" ref="T88" si="52">T53-T54-T55-T56-T57</f>
        <v>0</v>
      </c>
      <c r="U88" s="1918">
        <f t="shared" ref="U88:AA88" si="53">U53-U54-U55-U56-U57</f>
        <v>0</v>
      </c>
      <c r="V88" s="1918">
        <f t="shared" si="53"/>
        <v>0</v>
      </c>
      <c r="W88" s="1918">
        <f t="shared" si="53"/>
        <v>0</v>
      </c>
      <c r="X88" s="1918">
        <f t="shared" si="53"/>
        <v>0</v>
      </c>
      <c r="Y88" s="1918">
        <f t="shared" si="53"/>
        <v>0</v>
      </c>
      <c r="Z88" s="1918">
        <f t="shared" si="53"/>
        <v>0</v>
      </c>
      <c r="AA88" s="1918">
        <f t="shared" si="53"/>
        <v>0</v>
      </c>
      <c r="AB88" s="1910"/>
      <c r="AC88" s="1910"/>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row>
    <row r="89" spans="2:54">
      <c r="Y89" s="1910"/>
      <c r="AB89" s="1910"/>
      <c r="AC89" s="1910"/>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row>
    <row r="90" spans="2:54">
      <c r="Y90" s="1910"/>
      <c r="AB90" s="1910"/>
      <c r="AC90" s="1910"/>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row>
    <row r="91" spans="2:54">
      <c r="Y91" s="1910"/>
      <c r="AB91" s="1910"/>
      <c r="AC91" s="1910"/>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row>
    <row r="92" spans="2:54">
      <c r="B92" s="1602" t="s">
        <v>543</v>
      </c>
      <c r="D92" s="1892">
        <v>1186278000000</v>
      </c>
      <c r="E92" s="1892">
        <v>1329445000000</v>
      </c>
      <c r="F92" s="1892">
        <v>1439530000000</v>
      </c>
      <c r="G92" s="1892">
        <v>1534306000000</v>
      </c>
      <c r="H92" s="1892">
        <v>1530443000000</v>
      </c>
      <c r="I92" s="1892">
        <v>1776953000000</v>
      </c>
      <c r="J92" s="1892">
        <v>1906838000000</v>
      </c>
      <c r="K92" s="1892">
        <v>2052962000000</v>
      </c>
      <c r="L92" s="1892">
        <v>2419656000000</v>
      </c>
      <c r="M92" s="1892">
        <v>2548447000000</v>
      </c>
      <c r="N92" s="1892">
        <v>2832286000000</v>
      </c>
      <c r="O92" s="1892">
        <v>3025530000000</v>
      </c>
      <c r="P92" s="1892">
        <v>3413801000000</v>
      </c>
      <c r="Q92" s="1892">
        <v>3661172000000</v>
      </c>
      <c r="R92" s="1892">
        <v>3952076000000</v>
      </c>
      <c r="S92" s="1892">
        <v>4216559000000</v>
      </c>
      <c r="T92" s="1892">
        <v>4505409000000</v>
      </c>
      <c r="U92" s="1892">
        <v>5100997000000</v>
      </c>
      <c r="V92" s="1892">
        <v>5629943000000</v>
      </c>
      <c r="W92" s="1892"/>
      <c r="Y92" s="1910"/>
      <c r="AB92" s="1910"/>
      <c r="AC92" s="1910"/>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row>
    <row r="93" spans="2:54">
      <c r="B93" s="1602" t="s">
        <v>5014</v>
      </c>
      <c r="D93" s="1602">
        <f>(D6/D92)*100</f>
        <v>14.279957986239314</v>
      </c>
      <c r="E93" s="1602">
        <f t="shared" ref="E93:S93" si="54">(E6/E92)*100</f>
        <v>14.991218139900484</v>
      </c>
      <c r="F93" s="1602">
        <f t="shared" si="54"/>
        <v>16.359506227727106</v>
      </c>
      <c r="G93" s="1602">
        <f t="shared" si="54"/>
        <v>15.166466141695334</v>
      </c>
      <c r="H93" s="1602">
        <f t="shared" si="54"/>
        <v>17.18456682150201</v>
      </c>
      <c r="I93" s="1602">
        <f t="shared" si="54"/>
        <v>16.387602823484919</v>
      </c>
      <c r="J93" s="1602">
        <f t="shared" si="54"/>
        <v>60.089005987923457</v>
      </c>
      <c r="K93" s="1602">
        <f t="shared" si="54"/>
        <v>22.187454029835916</v>
      </c>
      <c r="L93" s="1602">
        <f t="shared" si="54"/>
        <v>24.131529440548576</v>
      </c>
      <c r="M93" s="1602">
        <f t="shared" si="54"/>
        <v>18.619182584530893</v>
      </c>
      <c r="N93" s="1602">
        <f t="shared" si="54"/>
        <v>18.20790696984697</v>
      </c>
      <c r="O93" s="1602">
        <f t="shared" si="54"/>
        <v>17.924132300786969</v>
      </c>
      <c r="P93" s="1602">
        <f t="shared" si="54"/>
        <v>22.247928335600111</v>
      </c>
      <c r="Q93" s="1602">
        <f t="shared" si="54"/>
        <v>25.494568405963992</v>
      </c>
      <c r="R93" s="1602">
        <f t="shared" si="54"/>
        <v>23.691346016625186</v>
      </c>
      <c r="S93" s="1602">
        <f t="shared" si="54"/>
        <v>23.746851401818404</v>
      </c>
      <c r="T93" s="1602">
        <f t="shared" ref="T93:V93" si="55">(T6/T92)*100</f>
        <v>20.288946020217033</v>
      </c>
      <c r="U93" s="1602">
        <f t="shared" si="55"/>
        <v>20.052942591418894</v>
      </c>
      <c r="V93" s="1602">
        <f t="shared" si="55"/>
        <v>21.010869914668763</v>
      </c>
    </row>
    <row r="94" spans="2:54">
      <c r="B94" s="1602" t="s">
        <v>1287</v>
      </c>
      <c r="D94" s="1602">
        <f>(D17/D92)*100</f>
        <v>18.064905528046545</v>
      </c>
      <c r="E94" s="1602">
        <f t="shared" ref="E94:S94" si="56">(E17/E92)*100</f>
        <v>18.473874436324934</v>
      </c>
      <c r="F94" s="1602">
        <f t="shared" si="56"/>
        <v>19.318805443443345</v>
      </c>
      <c r="G94" s="1602">
        <f t="shared" si="56"/>
        <v>17.949483349475269</v>
      </c>
      <c r="H94" s="1602">
        <f t="shared" si="56"/>
        <v>20.752161302315734</v>
      </c>
      <c r="I94" s="1602">
        <f t="shared" si="56"/>
        <v>20.16935732121221</v>
      </c>
      <c r="J94" s="1602">
        <f t="shared" si="56"/>
        <v>19.749973516365838</v>
      </c>
      <c r="K94" s="1602">
        <f t="shared" si="56"/>
        <v>23.18601123644763</v>
      </c>
      <c r="L94" s="1602">
        <f t="shared" si="56"/>
        <v>22.64371464373448</v>
      </c>
      <c r="M94" s="1602">
        <f t="shared" si="56"/>
        <v>23.932222251433913</v>
      </c>
      <c r="N94" s="1602">
        <f t="shared" si="56"/>
        <v>20.62291731837816</v>
      </c>
      <c r="O94" s="1602">
        <f t="shared" si="56"/>
        <v>20.905428139863098</v>
      </c>
      <c r="P94" s="1602">
        <f t="shared" si="56"/>
        <v>23.410854938527464</v>
      </c>
      <c r="Q94" s="1602">
        <f t="shared" si="56"/>
        <v>28.141261869150096</v>
      </c>
      <c r="R94" s="1602">
        <f t="shared" si="56"/>
        <v>31.975599659520721</v>
      </c>
      <c r="S94" s="1602">
        <f t="shared" si="56"/>
        <v>0</v>
      </c>
      <c r="T94" s="1602">
        <f t="shared" ref="T94:V94" si="57">(T17/T92)*100</f>
        <v>0</v>
      </c>
      <c r="U94" s="1602">
        <f t="shared" si="57"/>
        <v>0</v>
      </c>
      <c r="V94" s="1602">
        <f t="shared" si="57"/>
        <v>0</v>
      </c>
    </row>
    <row r="97" spans="2:22">
      <c r="B97" s="1602" t="s">
        <v>153</v>
      </c>
      <c r="D97" s="1602" t="b">
        <f>IF(D40&lt;0, (D40/D17)*100)</f>
        <v>0</v>
      </c>
      <c r="E97" s="1602" t="b">
        <f t="shared" ref="E97:S97" si="58">IF(E40&lt;0, (E40/E17)*100)</f>
        <v>0</v>
      </c>
      <c r="F97" s="1602" t="b">
        <f t="shared" si="58"/>
        <v>0</v>
      </c>
      <c r="G97" s="1602" t="b">
        <f t="shared" si="58"/>
        <v>0</v>
      </c>
      <c r="H97" s="1602" t="b">
        <f t="shared" si="58"/>
        <v>0</v>
      </c>
      <c r="I97" s="1602" t="b">
        <f t="shared" si="58"/>
        <v>0</v>
      </c>
      <c r="J97" s="1602" t="b">
        <f t="shared" si="58"/>
        <v>0</v>
      </c>
      <c r="K97" s="1602" t="b">
        <f t="shared" si="58"/>
        <v>0</v>
      </c>
      <c r="L97" s="1602" t="b">
        <f t="shared" si="58"/>
        <v>0</v>
      </c>
      <c r="M97" s="1602" t="b">
        <f t="shared" si="58"/>
        <v>0</v>
      </c>
      <c r="N97" s="1602" t="b">
        <f t="shared" si="58"/>
        <v>0</v>
      </c>
      <c r="O97" s="1602" t="b">
        <f t="shared" si="58"/>
        <v>0</v>
      </c>
      <c r="P97" s="1602" t="b">
        <f t="shared" si="58"/>
        <v>0</v>
      </c>
      <c r="Q97" s="1602" t="b">
        <f t="shared" si="58"/>
        <v>0</v>
      </c>
      <c r="R97" s="1602" t="b">
        <f t="shared" si="58"/>
        <v>0</v>
      </c>
      <c r="S97" s="1602" t="b">
        <f t="shared" si="58"/>
        <v>0</v>
      </c>
      <c r="T97" s="1602" t="e">
        <f>IF(#REF!&lt;0, (#REF!/#REF!)*100)</f>
        <v>#REF!</v>
      </c>
      <c r="U97" s="1602" t="b">
        <f>IF(T40&lt;0, (T40/T17)*100)</f>
        <v>0</v>
      </c>
      <c r="V97" s="1602" t="b">
        <f>IF(U40&lt;0, (U40/U17)*100)</f>
        <v>0</v>
      </c>
    </row>
  </sheetData>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V48" activePane="bottomRight" state="frozen"/>
      <selection pane="topRight" activeCell="C1" sqref="C1"/>
      <selection pane="bottomLeft" activeCell="A6" sqref="A6"/>
      <selection pane="bottomRight" activeCell="R90" activeCellId="2" sqref="R71 R76 R90"/>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3.42578125" bestFit="1" customWidth="1"/>
    <col min="27" max="27" width="25.140625" customWidth="1"/>
  </cols>
  <sheetData>
    <row r="1" spans="1:27">
      <c r="A1" s="26" t="s">
        <v>5015</v>
      </c>
      <c r="B1" s="82" t="s">
        <v>5016</v>
      </c>
      <c r="C1" s="82"/>
      <c r="D1" s="27"/>
      <c r="E1" s="27"/>
      <c r="F1" s="27"/>
      <c r="G1" s="27"/>
      <c r="H1" s="27"/>
      <c r="I1" s="27"/>
      <c r="J1" s="27"/>
      <c r="K1" s="27"/>
      <c r="L1" s="27"/>
      <c r="M1" s="27"/>
      <c r="N1" s="27"/>
      <c r="O1" s="28"/>
      <c r="P1" s="28"/>
      <c r="Q1" s="28"/>
      <c r="R1" s="29"/>
      <c r="S1" s="28"/>
      <c r="T1" s="28"/>
      <c r="U1" s="28"/>
      <c r="V1" s="28"/>
      <c r="W1" s="28"/>
      <c r="X1" s="2"/>
      <c r="Y1" s="598"/>
      <c r="Z1" s="598"/>
      <c r="AA1" s="598"/>
    </row>
    <row r="2" spans="1:27">
      <c r="B2" s="30" t="s">
        <v>5017</v>
      </c>
      <c r="C2" s="30"/>
      <c r="D2" s="28"/>
      <c r="E2" s="28"/>
      <c r="F2" s="28"/>
      <c r="G2" s="28"/>
      <c r="H2" s="28"/>
      <c r="I2" s="28"/>
      <c r="J2" s="28"/>
      <c r="K2" s="28"/>
      <c r="L2" s="28"/>
      <c r="M2" s="28"/>
      <c r="N2" s="28"/>
      <c r="O2" s="28"/>
      <c r="P2" s="28"/>
      <c r="Q2" s="28"/>
      <c r="R2" s="31"/>
      <c r="S2" s="32"/>
      <c r="T2" s="33"/>
      <c r="U2" s="28"/>
      <c r="V2" s="28"/>
      <c r="W2" s="28"/>
      <c r="X2" s="2"/>
      <c r="Y2" s="598"/>
      <c r="Z2" s="598"/>
      <c r="AA2" s="598"/>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1137</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2937</v>
      </c>
      <c r="V5" s="99" t="s">
        <v>32</v>
      </c>
      <c r="W5" s="99" t="s">
        <v>32</v>
      </c>
      <c r="X5" s="99" t="s">
        <v>32</v>
      </c>
      <c r="Y5" s="99" t="s">
        <v>32</v>
      </c>
      <c r="Z5" s="99" t="s">
        <v>32</v>
      </c>
      <c r="AA5" s="99" t="s">
        <v>32</v>
      </c>
    </row>
    <row r="6" spans="1:27" s="9" customFormat="1" ht="16.5">
      <c r="A6" s="239" t="s">
        <v>33</v>
      </c>
      <c r="B6" s="239" t="s">
        <v>33</v>
      </c>
      <c r="C6" s="239" t="s">
        <v>35</v>
      </c>
      <c r="D6" s="36"/>
      <c r="E6" s="36"/>
      <c r="F6" s="723">
        <f>F7+F27</f>
        <v>2053000000000</v>
      </c>
      <c r="G6" s="723">
        <f t="shared" ref="G6:S6" si="0">G7+G27</f>
        <v>2795000000000</v>
      </c>
      <c r="H6" s="723">
        <f t="shared" si="0"/>
        <v>4127000000000</v>
      </c>
      <c r="I6" s="724">
        <f t="shared" si="0"/>
        <v>5621000000000</v>
      </c>
      <c r="J6" s="724">
        <f t="shared" si="0"/>
        <v>6336000000000</v>
      </c>
      <c r="K6" s="724">
        <f t="shared" si="0"/>
        <v>5926000000000</v>
      </c>
      <c r="L6" s="724">
        <f t="shared" si="0"/>
        <v>8063000000000</v>
      </c>
      <c r="M6" s="724">
        <f t="shared" si="0"/>
        <v>4471000000000</v>
      </c>
      <c r="N6" s="724">
        <f t="shared" si="0"/>
        <v>6883000000000</v>
      </c>
      <c r="O6" s="724">
        <f t="shared" si="0"/>
        <v>11285000000000</v>
      </c>
      <c r="P6" s="725">
        <f t="shared" si="0"/>
        <v>10416000000000</v>
      </c>
      <c r="Q6" s="725">
        <f t="shared" si="0"/>
        <v>8949000000000</v>
      </c>
      <c r="R6" s="725">
        <f t="shared" si="0"/>
        <v>9484000000000</v>
      </c>
      <c r="S6" s="725">
        <f t="shared" si="0"/>
        <v>7224000000000</v>
      </c>
      <c r="T6" s="749">
        <v>5694000000000</v>
      </c>
      <c r="U6" s="749">
        <v>6899000000000</v>
      </c>
      <c r="V6" s="749">
        <f>V7+V27</f>
        <v>10623000000000</v>
      </c>
      <c r="W6" s="749">
        <v>11808000000000</v>
      </c>
      <c r="X6" s="749">
        <v>13765000000000</v>
      </c>
      <c r="Y6" s="749">
        <v>15078000000000</v>
      </c>
      <c r="Z6" s="749">
        <v>17810000000000</v>
      </c>
      <c r="AA6" s="749">
        <v>21344000000000</v>
      </c>
    </row>
    <row r="7" spans="1:27" ht="16.5">
      <c r="A7" s="90" t="s">
        <v>370</v>
      </c>
      <c r="B7" s="90" t="s">
        <v>1139</v>
      </c>
      <c r="C7" s="11" t="s">
        <v>38</v>
      </c>
      <c r="D7" s="100"/>
      <c r="E7" s="100"/>
      <c r="F7" s="726">
        <v>2053000000000</v>
      </c>
      <c r="G7" s="727">
        <v>2795000000000</v>
      </c>
      <c r="H7" s="727">
        <v>4127000000000</v>
      </c>
      <c r="I7" s="728">
        <v>5621000000000</v>
      </c>
      <c r="J7" s="728">
        <v>6336000000000</v>
      </c>
      <c r="K7" s="728">
        <v>5926000000000</v>
      </c>
      <c r="L7" s="728">
        <v>8063000000000</v>
      </c>
      <c r="M7" s="728">
        <v>4471000000000</v>
      </c>
      <c r="N7" s="728">
        <v>6883000000000</v>
      </c>
      <c r="O7" s="728">
        <v>11285000000000</v>
      </c>
      <c r="P7" s="729">
        <v>10416000000000</v>
      </c>
      <c r="Q7" s="729">
        <v>8949000000000</v>
      </c>
      <c r="R7" s="729">
        <v>9484000000000</v>
      </c>
      <c r="S7" s="730">
        <v>7224000000000</v>
      </c>
      <c r="T7" s="750">
        <v>5694000000000</v>
      </c>
      <c r="U7" s="750">
        <v>6899000000000</v>
      </c>
      <c r="V7" s="750">
        <f>V8+V18</f>
        <v>10423000000000</v>
      </c>
      <c r="W7" s="750">
        <f t="shared" ref="W7:X7" si="1">W8+W18</f>
        <v>11598000000000</v>
      </c>
      <c r="X7" s="750">
        <f t="shared" si="1"/>
        <v>13545000000000</v>
      </c>
      <c r="Y7" s="750">
        <v>15078000000000</v>
      </c>
      <c r="Z7" s="750">
        <v>17810000000000</v>
      </c>
      <c r="AA7" s="750">
        <v>21344000000000</v>
      </c>
    </row>
    <row r="8" spans="1:27" ht="16.5">
      <c r="A8" s="90" t="s">
        <v>874</v>
      </c>
      <c r="B8" s="90" t="s">
        <v>874</v>
      </c>
      <c r="C8" s="90" t="s">
        <v>41</v>
      </c>
      <c r="D8" s="100"/>
      <c r="E8" s="41"/>
      <c r="F8" s="726">
        <v>1476000000000</v>
      </c>
      <c r="G8" s="727">
        <v>2106000000000</v>
      </c>
      <c r="H8" s="727">
        <v>3355000000000</v>
      </c>
      <c r="I8" s="728">
        <v>4759000000000</v>
      </c>
      <c r="J8" s="728">
        <v>5445000000000</v>
      </c>
      <c r="K8" s="728">
        <v>4564000000000</v>
      </c>
      <c r="L8" s="728">
        <v>6535000000000</v>
      </c>
      <c r="M8" s="728">
        <v>2660000000000</v>
      </c>
      <c r="N8" s="728">
        <v>4809000000000</v>
      </c>
      <c r="O8" s="728">
        <v>8834000000000</v>
      </c>
      <c r="P8" s="729">
        <v>7583000000000</v>
      </c>
      <c r="Q8" s="729">
        <v>5774000000000</v>
      </c>
      <c r="R8" s="729">
        <v>5890000000000</v>
      </c>
      <c r="S8" s="730">
        <v>3299000000000</v>
      </c>
      <c r="T8" s="750">
        <v>2200000000000</v>
      </c>
      <c r="U8" s="750">
        <v>3020000000000</v>
      </c>
      <c r="V8" s="750">
        <v>5345000000000</v>
      </c>
      <c r="W8" s="750">
        <v>5442000000000</v>
      </c>
      <c r="X8" s="750">
        <v>6071000000000</v>
      </c>
      <c r="Y8" s="750">
        <v>6158000000000</v>
      </c>
      <c r="Z8" s="750">
        <v>6980000000000</v>
      </c>
      <c r="AA8" s="750">
        <v>8091000000000</v>
      </c>
    </row>
    <row r="9" spans="1:27" ht="16.5">
      <c r="A9" t="s">
        <v>5018</v>
      </c>
      <c r="B9" s="99" t="s">
        <v>5019</v>
      </c>
      <c r="C9" s="90" t="s">
        <v>1630</v>
      </c>
      <c r="D9" s="100"/>
      <c r="E9" s="41"/>
      <c r="F9" s="731"/>
      <c r="G9" s="732"/>
      <c r="H9" s="732"/>
      <c r="I9" s="733"/>
      <c r="J9" s="733"/>
      <c r="K9" s="733"/>
      <c r="L9" s="733"/>
      <c r="M9" s="728">
        <v>203000000000</v>
      </c>
      <c r="N9" s="728">
        <v>381000000000</v>
      </c>
      <c r="O9" s="728">
        <v>975000000000</v>
      </c>
      <c r="P9" s="729"/>
      <c r="Q9" s="729"/>
      <c r="R9" s="729"/>
      <c r="S9" s="734"/>
      <c r="T9" s="751"/>
      <c r="U9" s="751"/>
      <c r="V9" s="751"/>
      <c r="W9" s="751"/>
      <c r="X9" s="751"/>
      <c r="Y9" s="751"/>
      <c r="Z9" s="751"/>
      <c r="AA9" s="751"/>
    </row>
    <row r="10" spans="1:27" ht="16.5">
      <c r="A10" s="99" t="s">
        <v>5020</v>
      </c>
      <c r="B10" s="99" t="s">
        <v>5021</v>
      </c>
      <c r="C10" s="90" t="s">
        <v>1630</v>
      </c>
      <c r="D10" s="100"/>
      <c r="E10" s="41"/>
      <c r="F10" s="726">
        <v>719000000000</v>
      </c>
      <c r="G10" s="727">
        <v>967000000000</v>
      </c>
      <c r="H10" s="727">
        <v>1440000000000</v>
      </c>
      <c r="I10" s="728">
        <v>1938000000000</v>
      </c>
      <c r="J10" s="733"/>
      <c r="K10" s="733"/>
      <c r="L10" s="733"/>
      <c r="M10" s="733"/>
      <c r="N10" s="733"/>
      <c r="O10" s="733"/>
      <c r="P10" s="735"/>
      <c r="Q10" s="735"/>
      <c r="R10" s="735"/>
      <c r="S10" s="734"/>
      <c r="T10" s="751"/>
      <c r="U10" s="751"/>
      <c r="V10" s="751"/>
      <c r="W10" s="751"/>
      <c r="X10" s="751"/>
      <c r="Y10" s="751"/>
      <c r="Z10" s="751"/>
      <c r="AA10" s="751"/>
    </row>
    <row r="11" spans="1:27" ht="16.5">
      <c r="A11" s="99" t="s">
        <v>5022</v>
      </c>
      <c r="B11" s="99" t="s">
        <v>5023</v>
      </c>
      <c r="C11" s="90" t="s">
        <v>1630</v>
      </c>
      <c r="D11" s="100"/>
      <c r="E11" s="41"/>
      <c r="F11" s="726"/>
      <c r="G11" s="727">
        <v>683000000000</v>
      </c>
      <c r="H11" s="727"/>
      <c r="I11" s="728"/>
      <c r="J11" s="733"/>
      <c r="K11" s="733"/>
      <c r="L11" s="733"/>
      <c r="M11" s="733"/>
      <c r="N11" s="733"/>
      <c r="O11" s="733"/>
      <c r="P11" s="735"/>
      <c r="Q11" s="735"/>
      <c r="R11" s="735"/>
      <c r="S11" s="734"/>
      <c r="T11" s="751"/>
      <c r="U11" s="751"/>
      <c r="V11" s="751"/>
      <c r="W11" s="751"/>
      <c r="X11" s="751"/>
      <c r="Y11" s="751"/>
      <c r="Z11" s="751"/>
      <c r="AA11" s="751"/>
    </row>
    <row r="12" spans="1:27" ht="16.5">
      <c r="A12" s="99" t="s">
        <v>5024</v>
      </c>
      <c r="B12" s="99" t="s">
        <v>5025</v>
      </c>
      <c r="C12" s="90" t="s">
        <v>1630</v>
      </c>
      <c r="D12" s="100"/>
      <c r="E12" s="41"/>
      <c r="F12" s="726">
        <v>224000000000</v>
      </c>
      <c r="G12" s="732"/>
      <c r="H12" s="727">
        <v>826000000000</v>
      </c>
      <c r="I12" s="728">
        <v>1312000000000</v>
      </c>
      <c r="J12" s="733"/>
      <c r="K12" s="733"/>
      <c r="L12" s="733"/>
      <c r="M12" s="733"/>
      <c r="N12" s="733"/>
      <c r="O12" s="733"/>
      <c r="P12" s="735"/>
      <c r="Q12" s="735"/>
      <c r="R12" s="735"/>
      <c r="S12" s="734"/>
      <c r="T12" s="751"/>
      <c r="U12" s="751"/>
      <c r="V12" s="751"/>
      <c r="W12" s="751"/>
      <c r="X12" s="751"/>
      <c r="Y12" s="751"/>
      <c r="Z12" s="751"/>
      <c r="AA12" s="751"/>
    </row>
    <row r="13" spans="1:27" ht="16.5">
      <c r="A13" s="103" t="s">
        <v>5026</v>
      </c>
      <c r="B13" s="103" t="s">
        <v>5026</v>
      </c>
      <c r="C13" s="90" t="s">
        <v>1630</v>
      </c>
      <c r="D13" s="100"/>
      <c r="E13" s="41"/>
      <c r="F13" s="726">
        <v>169000000000</v>
      </c>
      <c r="G13" s="732"/>
      <c r="H13" s="727">
        <v>358000000000</v>
      </c>
      <c r="I13" s="728">
        <v>593000000000</v>
      </c>
      <c r="J13" s="733"/>
      <c r="K13" s="733"/>
      <c r="L13" s="733"/>
      <c r="M13" s="733"/>
      <c r="N13" s="733"/>
      <c r="O13" s="733"/>
      <c r="P13" s="735"/>
      <c r="Q13" s="735"/>
      <c r="R13" s="735"/>
      <c r="S13" s="734"/>
      <c r="T13" s="751"/>
      <c r="U13" s="751"/>
      <c r="V13" s="751"/>
      <c r="W13" s="751"/>
      <c r="X13" s="751"/>
      <c r="Y13" s="751"/>
      <c r="Z13" s="751"/>
      <c r="AA13" s="751"/>
    </row>
    <row r="14" spans="1:27" ht="16.5">
      <c r="A14" s="99" t="s">
        <v>5027</v>
      </c>
      <c r="B14" s="99" t="s">
        <v>5028</v>
      </c>
      <c r="C14" s="90" t="s">
        <v>1630</v>
      </c>
      <c r="D14" s="100"/>
      <c r="E14" s="41"/>
      <c r="F14" s="726">
        <v>34000000000</v>
      </c>
      <c r="G14" s="727">
        <v>32000000000</v>
      </c>
      <c r="H14" s="727">
        <v>91000000000</v>
      </c>
      <c r="I14" s="728">
        <v>139000000000</v>
      </c>
      <c r="J14" s="733"/>
      <c r="K14" s="733"/>
      <c r="L14" s="733"/>
      <c r="M14" s="736">
        <f>M8-M9-M10-M11-M12-M13-M15-M16-M17</f>
        <v>2457000000000</v>
      </c>
      <c r="N14" s="736">
        <f>N8-N9-N10-N11-N12-N13-N15-N16-N17</f>
        <v>4428000000000</v>
      </c>
      <c r="O14" s="736">
        <f>O8-O9-O10-O11-O12-O13-O15-O16-O17</f>
        <v>7859000000000</v>
      </c>
      <c r="P14" s="735"/>
      <c r="Q14" s="735"/>
      <c r="R14" s="735"/>
      <c r="S14" s="734"/>
      <c r="T14" s="751"/>
      <c r="U14" s="751"/>
      <c r="V14" s="751"/>
      <c r="W14" s="751"/>
      <c r="X14" s="751"/>
      <c r="Y14" s="751"/>
      <c r="Z14" s="751"/>
      <c r="AA14" s="751"/>
    </row>
    <row r="15" spans="1:27" ht="16.5">
      <c r="A15" s="99" t="s">
        <v>5029</v>
      </c>
      <c r="B15" s="99" t="s">
        <v>5030</v>
      </c>
      <c r="C15" s="90" t="s">
        <v>1630</v>
      </c>
      <c r="D15" s="100"/>
      <c r="E15" s="41"/>
      <c r="F15" s="726">
        <v>25000000000</v>
      </c>
      <c r="G15" s="727">
        <v>38000000000</v>
      </c>
      <c r="H15" s="727">
        <v>5000000000</v>
      </c>
      <c r="I15" s="728">
        <v>5000000000</v>
      </c>
      <c r="J15" s="733"/>
      <c r="K15" s="733"/>
      <c r="L15" s="733"/>
      <c r="M15" s="733"/>
      <c r="N15" s="733"/>
      <c r="O15" s="733"/>
      <c r="P15" s="735"/>
      <c r="Q15" s="737"/>
      <c r="R15" s="735"/>
      <c r="S15" s="734"/>
      <c r="T15" s="751"/>
      <c r="U15" s="751"/>
      <c r="V15" s="751"/>
      <c r="W15" s="751"/>
      <c r="X15" s="751"/>
      <c r="Y15" s="751"/>
      <c r="Z15" s="751"/>
      <c r="AA15" s="751"/>
    </row>
    <row r="16" spans="1:27" ht="16.5">
      <c r="A16" s="99" t="s">
        <v>5031</v>
      </c>
      <c r="B16" s="99" t="s">
        <v>5032</v>
      </c>
      <c r="C16" s="90" t="s">
        <v>1630</v>
      </c>
      <c r="D16" s="100"/>
      <c r="E16" s="41"/>
      <c r="F16" s="726">
        <v>304000000000</v>
      </c>
      <c r="G16" s="727">
        <v>386000000000</v>
      </c>
      <c r="H16" s="727">
        <v>635000000000</v>
      </c>
      <c r="I16" s="728">
        <v>771000000000</v>
      </c>
      <c r="J16" s="733"/>
      <c r="K16" s="733"/>
      <c r="L16" s="733"/>
      <c r="M16" s="733"/>
      <c r="N16" s="733"/>
      <c r="O16" s="733"/>
      <c r="P16" s="735"/>
      <c r="Q16" s="735"/>
      <c r="R16" s="735"/>
      <c r="S16" s="734"/>
      <c r="T16" s="751"/>
      <c r="U16" s="751"/>
      <c r="V16" s="751"/>
      <c r="W16" s="751"/>
      <c r="X16" s="751"/>
      <c r="Y16" s="751"/>
      <c r="Z16" s="751"/>
      <c r="AA16" s="751"/>
    </row>
    <row r="17" spans="1:28" ht="16.5">
      <c r="A17" s="99" t="s">
        <v>5033</v>
      </c>
      <c r="B17" s="99" t="s">
        <v>5034</v>
      </c>
      <c r="C17" s="90" t="s">
        <v>1630</v>
      </c>
      <c r="D17" s="100"/>
      <c r="E17" s="41"/>
      <c r="F17" s="731"/>
      <c r="G17" s="727">
        <v>0</v>
      </c>
      <c r="H17" s="727">
        <v>0</v>
      </c>
      <c r="I17" s="728">
        <v>0</v>
      </c>
      <c r="J17" s="733"/>
      <c r="K17" s="733"/>
      <c r="L17" s="733"/>
      <c r="M17" s="733"/>
      <c r="N17" s="733"/>
      <c r="O17" s="733"/>
      <c r="P17" s="735"/>
      <c r="Q17" s="735"/>
      <c r="R17" s="735"/>
      <c r="S17" s="734"/>
      <c r="T17" s="751"/>
      <c r="U17" s="751"/>
      <c r="V17" s="751"/>
      <c r="W17" s="751"/>
      <c r="X17" s="751"/>
      <c r="Y17" s="751"/>
      <c r="Z17" s="751"/>
      <c r="AA17" s="751"/>
    </row>
    <row r="18" spans="1:28" ht="16.5">
      <c r="A18" s="90" t="s">
        <v>1903</v>
      </c>
      <c r="B18" s="90" t="s">
        <v>1903</v>
      </c>
      <c r="C18" s="90" t="s">
        <v>41</v>
      </c>
      <c r="D18" s="100"/>
      <c r="E18" s="41"/>
      <c r="F18" s="726">
        <v>577000000000</v>
      </c>
      <c r="G18" s="727">
        <v>689000000000</v>
      </c>
      <c r="H18" s="727">
        <v>773000000000</v>
      </c>
      <c r="I18" s="728">
        <v>863000000000</v>
      </c>
      <c r="J18" s="728">
        <v>891000000000</v>
      </c>
      <c r="K18" s="728">
        <v>1362000000000</v>
      </c>
      <c r="L18" s="728">
        <v>1529000000000</v>
      </c>
      <c r="M18" s="728">
        <v>1811000000000</v>
      </c>
      <c r="N18" s="728">
        <v>2074000000000</v>
      </c>
      <c r="O18" s="728">
        <v>2451000000000</v>
      </c>
      <c r="P18" s="729">
        <v>2833000000000</v>
      </c>
      <c r="Q18" s="729">
        <v>3176000000000</v>
      </c>
      <c r="R18" s="729">
        <v>3595000000000</v>
      </c>
      <c r="S18" s="730">
        <v>3925000000000</v>
      </c>
      <c r="T18" s="750">
        <v>3493000000000</v>
      </c>
      <c r="U18" s="750">
        <v>3879000000000</v>
      </c>
      <c r="V18" s="750">
        <v>5078000000000</v>
      </c>
      <c r="W18" s="750">
        <v>6156000000000</v>
      </c>
      <c r="X18" s="750">
        <v>7474000000000</v>
      </c>
      <c r="Y18" s="750">
        <v>8920000000000</v>
      </c>
      <c r="Z18" s="750">
        <v>10830000000000</v>
      </c>
      <c r="AA18" s="750">
        <v>13254000000000</v>
      </c>
    </row>
    <row r="19" spans="1:28" ht="16.5">
      <c r="A19" s="99" t="s">
        <v>5035</v>
      </c>
      <c r="B19" s="99" t="s">
        <v>5036</v>
      </c>
      <c r="C19" s="90" t="s">
        <v>1906</v>
      </c>
      <c r="D19" s="100"/>
      <c r="E19" s="41"/>
      <c r="F19" s="726">
        <v>181000000000</v>
      </c>
      <c r="G19" s="727">
        <v>195000000000</v>
      </c>
      <c r="H19" s="727">
        <v>217000000000</v>
      </c>
      <c r="I19" s="728">
        <v>233000000000</v>
      </c>
      <c r="J19" s="728">
        <v>178000000000</v>
      </c>
      <c r="K19" s="728">
        <v>241000000000</v>
      </c>
      <c r="L19" s="728">
        <v>281000000000</v>
      </c>
      <c r="M19" s="728">
        <v>298000000000</v>
      </c>
      <c r="N19" s="728">
        <v>309000000000</v>
      </c>
      <c r="O19" s="728">
        <v>422000000000</v>
      </c>
      <c r="P19" s="729">
        <v>475000000000</v>
      </c>
      <c r="Q19" s="729">
        <v>433000000000</v>
      </c>
      <c r="R19" s="729">
        <v>566000000000</v>
      </c>
      <c r="S19" s="730">
        <v>546000000000</v>
      </c>
      <c r="T19" s="750">
        <v>549000000000</v>
      </c>
      <c r="U19" s="750">
        <v>628000000000</v>
      </c>
      <c r="V19" s="750">
        <v>979000000000</v>
      </c>
      <c r="W19" s="750">
        <v>1056000000000</v>
      </c>
      <c r="X19" s="750">
        <v>1250000000000</v>
      </c>
      <c r="Y19" s="750">
        <v>1334000000000</v>
      </c>
      <c r="Z19" s="750">
        <v>1475000000000</v>
      </c>
      <c r="AA19" s="750">
        <v>1606000000000</v>
      </c>
    </row>
    <row r="20" spans="1:28" ht="16.5">
      <c r="A20" s="99" t="s">
        <v>5037</v>
      </c>
      <c r="B20" s="99" t="s">
        <v>5038</v>
      </c>
      <c r="C20" s="90" t="s">
        <v>1906</v>
      </c>
      <c r="D20" s="100"/>
      <c r="E20" s="41"/>
      <c r="F20" s="726">
        <v>89000000000</v>
      </c>
      <c r="G20" s="727">
        <v>115000000000</v>
      </c>
      <c r="H20" s="727">
        <v>130000000000</v>
      </c>
      <c r="I20" s="728">
        <v>162000000000</v>
      </c>
      <c r="J20" s="728">
        <v>245000000000</v>
      </c>
      <c r="K20" s="728">
        <v>327000000000</v>
      </c>
      <c r="L20" s="728">
        <v>417000000000</v>
      </c>
      <c r="M20" s="728">
        <v>568000000000</v>
      </c>
      <c r="N20" s="728">
        <v>657000000000</v>
      </c>
      <c r="O20" s="728">
        <v>717000000000</v>
      </c>
      <c r="P20" s="729">
        <v>849000000000</v>
      </c>
      <c r="Q20" s="729">
        <v>986000000000</v>
      </c>
      <c r="R20" s="729">
        <v>1207000000000</v>
      </c>
      <c r="S20" s="730">
        <v>1029000000000</v>
      </c>
      <c r="T20" s="750">
        <v>988000000000</v>
      </c>
      <c r="U20" s="750">
        <v>1206000000000</v>
      </c>
      <c r="V20" s="750">
        <v>1571000000000</v>
      </c>
      <c r="W20" s="750">
        <v>1944000000000</v>
      </c>
      <c r="X20" s="750">
        <v>2418000000000</v>
      </c>
      <c r="Y20" s="750">
        <v>3061000000000</v>
      </c>
      <c r="Z20" s="750">
        <v>3945000000000</v>
      </c>
      <c r="AA20" s="750">
        <v>5169000000000</v>
      </c>
    </row>
    <row r="21" spans="1:28" ht="16.5">
      <c r="A21" s="99" t="s">
        <v>4253</v>
      </c>
      <c r="B21" s="99" t="s">
        <v>5039</v>
      </c>
      <c r="C21" s="90" t="s">
        <v>1906</v>
      </c>
      <c r="D21" s="100"/>
      <c r="E21" s="41"/>
      <c r="F21" s="726">
        <v>109000000000</v>
      </c>
      <c r="G21" s="727">
        <v>136000000000</v>
      </c>
      <c r="H21" s="727">
        <v>157000000000</v>
      </c>
      <c r="I21" s="728">
        <v>184000000000</v>
      </c>
      <c r="J21" s="728">
        <v>227000000000</v>
      </c>
      <c r="K21" s="728">
        <v>302000000000</v>
      </c>
      <c r="L21" s="728">
        <v>405000000000</v>
      </c>
      <c r="M21" s="728">
        <v>468000000000</v>
      </c>
      <c r="N21" s="728">
        <v>563000000000</v>
      </c>
      <c r="O21" s="728">
        <v>649000000000</v>
      </c>
      <c r="P21" s="729">
        <v>710000000000</v>
      </c>
      <c r="Q21" s="729">
        <v>796000000000</v>
      </c>
      <c r="R21" s="729">
        <v>794000000000</v>
      </c>
      <c r="S21" s="730">
        <v>773000000000</v>
      </c>
      <c r="T21" s="750">
        <v>811000000000</v>
      </c>
      <c r="U21" s="750">
        <v>957000000000</v>
      </c>
      <c r="V21" s="750">
        <v>1206000000000</v>
      </c>
      <c r="W21" s="750">
        <v>1463000000000</v>
      </c>
      <c r="X21" s="750">
        <v>1785000000000</v>
      </c>
      <c r="Y21" s="750">
        <v>2155000000000</v>
      </c>
      <c r="Z21" s="750">
        <v>2601000000000</v>
      </c>
      <c r="AA21" s="750">
        <v>3134000000000</v>
      </c>
    </row>
    <row r="22" spans="1:28" ht="16.5">
      <c r="A22" s="99" t="s">
        <v>236</v>
      </c>
      <c r="B22" s="99" t="s">
        <v>5040</v>
      </c>
      <c r="C22" s="90" t="s">
        <v>1906</v>
      </c>
      <c r="D22" s="100"/>
      <c r="E22" s="41"/>
      <c r="F22" s="726">
        <v>10000000000</v>
      </c>
      <c r="G22" s="727">
        <v>10000000000</v>
      </c>
      <c r="H22" s="727">
        <v>17000000000</v>
      </c>
      <c r="I22" s="728">
        <v>22000000000</v>
      </c>
      <c r="J22" s="728">
        <v>60000000000</v>
      </c>
      <c r="K22" s="728">
        <v>92000000000</v>
      </c>
      <c r="L22" s="728">
        <v>129000000000</v>
      </c>
      <c r="M22" s="728">
        <v>201000000000</v>
      </c>
      <c r="N22" s="728">
        <v>166000000000</v>
      </c>
      <c r="O22" s="728">
        <v>236000000000</v>
      </c>
      <c r="P22" s="729">
        <v>306000000000</v>
      </c>
      <c r="Q22" s="729">
        <v>390000000000</v>
      </c>
      <c r="R22" s="729">
        <v>363000000000</v>
      </c>
      <c r="S22" s="730">
        <v>342000000000</v>
      </c>
      <c r="T22" s="750">
        <v>318000000000</v>
      </c>
      <c r="U22" s="750">
        <v>322000000000</v>
      </c>
      <c r="V22" s="750">
        <v>460000000000</v>
      </c>
      <c r="W22" s="750">
        <v>530000000000</v>
      </c>
      <c r="X22" s="750">
        <v>644000000000</v>
      </c>
      <c r="Y22" s="750">
        <v>753000000000</v>
      </c>
      <c r="Z22" s="750">
        <v>909000000000</v>
      </c>
      <c r="AA22" s="750">
        <v>1110000000000</v>
      </c>
    </row>
    <row r="23" spans="1:28" ht="16.5">
      <c r="A23" s="99" t="s">
        <v>5041</v>
      </c>
      <c r="B23" s="99" t="s">
        <v>5042</v>
      </c>
      <c r="C23" s="90" t="s">
        <v>1906</v>
      </c>
      <c r="D23" s="100"/>
      <c r="E23" s="41"/>
      <c r="F23" s="726">
        <v>68000000000</v>
      </c>
      <c r="G23" s="727">
        <v>54000000000</v>
      </c>
      <c r="H23" s="727">
        <v>59000000000</v>
      </c>
      <c r="I23" s="728">
        <v>55000000000</v>
      </c>
      <c r="J23" s="728">
        <v>33000000000</v>
      </c>
      <c r="K23" s="728">
        <v>243000000000</v>
      </c>
      <c r="L23" s="728">
        <v>115000000000</v>
      </c>
      <c r="M23" s="728">
        <v>73000000000</v>
      </c>
      <c r="N23" s="728">
        <v>154000000000</v>
      </c>
      <c r="O23" s="728">
        <v>182000000000</v>
      </c>
      <c r="P23" s="729">
        <v>207000000000</v>
      </c>
      <c r="Q23" s="729">
        <v>262000000000</v>
      </c>
      <c r="R23" s="729">
        <v>330000000000</v>
      </c>
      <c r="S23" s="730">
        <v>869000000000</v>
      </c>
      <c r="T23" s="750">
        <v>428000000000</v>
      </c>
      <c r="U23" s="750">
        <v>302000000000</v>
      </c>
      <c r="V23" s="750">
        <v>303000000000</v>
      </c>
      <c r="W23" s="750">
        <v>499000000000</v>
      </c>
      <c r="X23" s="750">
        <v>584000000000</v>
      </c>
      <c r="Y23" s="750">
        <v>678000000000</v>
      </c>
      <c r="Z23" s="750">
        <v>788000000000</v>
      </c>
      <c r="AA23" s="750">
        <v>916000000000</v>
      </c>
    </row>
    <row r="24" spans="1:28" ht="16.5">
      <c r="A24" s="99" t="s">
        <v>5043</v>
      </c>
      <c r="B24" s="99" t="s">
        <v>5044</v>
      </c>
      <c r="C24" s="90" t="s">
        <v>1906</v>
      </c>
      <c r="D24" s="100"/>
      <c r="E24" s="41"/>
      <c r="F24" s="731"/>
      <c r="G24" s="732"/>
      <c r="H24" s="732"/>
      <c r="I24" s="733"/>
      <c r="J24" s="728">
        <v>148000000000</v>
      </c>
      <c r="K24" s="728">
        <v>158000000000</v>
      </c>
      <c r="L24" s="728">
        <v>182000000000</v>
      </c>
      <c r="M24" s="728">
        <v>204000000000</v>
      </c>
      <c r="N24" s="728">
        <v>225000000000</v>
      </c>
      <c r="O24" s="728">
        <v>245000000000</v>
      </c>
      <c r="P24" s="729">
        <v>286000000000</v>
      </c>
      <c r="Q24" s="729">
        <v>309000000000</v>
      </c>
      <c r="R24" s="729">
        <v>334000000000</v>
      </c>
      <c r="S24" s="730">
        <v>366000000000</v>
      </c>
      <c r="T24" s="750">
        <v>399000000000</v>
      </c>
      <c r="U24" s="750">
        <v>464000000000</v>
      </c>
      <c r="V24" s="750">
        <v>559000000000</v>
      </c>
      <c r="W24" s="750">
        <v>663000000000</v>
      </c>
      <c r="X24" s="750">
        <v>793000000000</v>
      </c>
      <c r="Y24" s="750">
        <v>938000000000</v>
      </c>
      <c r="Z24" s="750">
        <v>1112000000000</v>
      </c>
      <c r="AA24" s="750">
        <v>1319000000000</v>
      </c>
    </row>
    <row r="25" spans="1:28" ht="16.5">
      <c r="A25" s="99" t="s">
        <v>5045</v>
      </c>
      <c r="B25" s="99" t="s">
        <v>5046</v>
      </c>
      <c r="C25" s="90" t="s">
        <v>1906</v>
      </c>
      <c r="D25" s="100"/>
      <c r="E25" s="41"/>
      <c r="F25" s="726">
        <v>100000000000</v>
      </c>
      <c r="G25" s="727">
        <v>139000000000</v>
      </c>
      <c r="H25" s="727">
        <v>157000000000</v>
      </c>
      <c r="I25" s="728">
        <v>175000000000</v>
      </c>
      <c r="J25" s="728"/>
      <c r="K25" s="728"/>
      <c r="L25" s="728"/>
      <c r="M25" s="728"/>
      <c r="N25" s="728"/>
      <c r="O25" s="728"/>
      <c r="P25" s="729"/>
      <c r="Q25" s="729"/>
      <c r="R25" s="729"/>
      <c r="S25" s="734"/>
      <c r="T25" s="751"/>
      <c r="U25" s="751"/>
      <c r="V25" s="751"/>
      <c r="W25" s="751"/>
      <c r="X25" s="751"/>
      <c r="Y25" s="751"/>
      <c r="Z25" s="751"/>
      <c r="AA25" s="751"/>
    </row>
    <row r="26" spans="1:28" ht="16.5">
      <c r="A26" s="99" t="s">
        <v>5047</v>
      </c>
      <c r="B26" s="99" t="s">
        <v>5048</v>
      </c>
      <c r="C26" s="90" t="s">
        <v>1906</v>
      </c>
      <c r="D26" s="100"/>
      <c r="E26" s="41"/>
      <c r="F26" s="726">
        <v>20000000000</v>
      </c>
      <c r="G26" s="727">
        <v>39000000000</v>
      </c>
      <c r="H26" s="727">
        <v>35000000000</v>
      </c>
      <c r="I26" s="728">
        <v>32000000000</v>
      </c>
      <c r="J26" s="728"/>
      <c r="K26" s="728"/>
      <c r="L26" s="728"/>
      <c r="M26" s="728"/>
      <c r="N26" s="728"/>
      <c r="O26" s="728"/>
      <c r="P26" s="729"/>
      <c r="Q26" s="738"/>
      <c r="R26" s="729"/>
      <c r="S26" s="734"/>
      <c r="T26" s="751"/>
      <c r="U26" s="751"/>
      <c r="V26" s="751"/>
      <c r="W26" s="751"/>
      <c r="X26" s="751"/>
      <c r="Y26" s="751"/>
      <c r="Z26" s="751"/>
      <c r="AA26" s="751"/>
    </row>
    <row r="27" spans="1:28" s="9" customFormat="1" ht="16.5">
      <c r="A27" s="242" t="s">
        <v>53</v>
      </c>
      <c r="B27" s="242" t="s">
        <v>53</v>
      </c>
      <c r="C27" s="137" t="s">
        <v>38</v>
      </c>
      <c r="D27" s="172"/>
      <c r="E27" s="241"/>
      <c r="F27" s="739">
        <v>0</v>
      </c>
      <c r="G27" s="739">
        <v>0</v>
      </c>
      <c r="H27" s="739">
        <v>0</v>
      </c>
      <c r="I27" s="740">
        <v>0</v>
      </c>
      <c r="J27" s="740">
        <v>0</v>
      </c>
      <c r="K27" s="740">
        <v>0</v>
      </c>
      <c r="L27" s="740">
        <v>0</v>
      </c>
      <c r="M27" s="740">
        <v>0</v>
      </c>
      <c r="N27" s="740">
        <v>0</v>
      </c>
      <c r="O27" s="740">
        <v>0</v>
      </c>
      <c r="P27" s="740">
        <v>0</v>
      </c>
      <c r="Q27" s="740">
        <v>0</v>
      </c>
      <c r="R27" s="740">
        <v>0</v>
      </c>
      <c r="S27" s="740">
        <v>0</v>
      </c>
      <c r="T27" s="752">
        <v>0</v>
      </c>
      <c r="U27" s="752">
        <v>0</v>
      </c>
      <c r="V27" s="752">
        <v>200000000000</v>
      </c>
      <c r="W27" s="752">
        <v>210000000000</v>
      </c>
      <c r="X27" s="752">
        <v>220000000000</v>
      </c>
      <c r="Y27" s="752">
        <v>0</v>
      </c>
      <c r="Z27" s="752">
        <v>0</v>
      </c>
      <c r="AA27" s="752">
        <v>0</v>
      </c>
    </row>
    <row r="28" spans="1:28" s="9" customFormat="1" ht="16.5">
      <c r="A28" s="9" t="s">
        <v>198</v>
      </c>
      <c r="B28" s="176" t="s">
        <v>379</v>
      </c>
      <c r="C28" s="18" t="s">
        <v>35</v>
      </c>
      <c r="D28" s="172"/>
      <c r="E28" s="241"/>
      <c r="F28" s="739">
        <f t="shared" ref="F28:O28" si="2">F29+F48</f>
        <v>2204000000000</v>
      </c>
      <c r="G28" s="739">
        <f t="shared" si="2"/>
        <v>2795000000000</v>
      </c>
      <c r="H28" s="739">
        <f t="shared" si="2"/>
        <v>3177000000000</v>
      </c>
      <c r="I28" s="740">
        <f t="shared" si="2"/>
        <v>4234000000000</v>
      </c>
      <c r="J28" s="740">
        <f t="shared" si="2"/>
        <v>5231000000000</v>
      </c>
      <c r="K28" s="740">
        <f t="shared" si="2"/>
        <v>6001000000000</v>
      </c>
      <c r="L28" s="740">
        <f t="shared" si="2"/>
        <v>6934000000000</v>
      </c>
      <c r="M28" s="740">
        <f t="shared" si="2"/>
        <v>7070000000000</v>
      </c>
      <c r="N28" s="740">
        <f t="shared" si="2"/>
        <v>9809000000000</v>
      </c>
      <c r="O28" s="740">
        <f t="shared" si="2"/>
        <v>11093000000000</v>
      </c>
      <c r="P28" s="725">
        <f>P31+P55+P52+P58+P65</f>
        <v>11036000000000</v>
      </c>
      <c r="Q28" s="725">
        <f>Q31+Q55+Q52+Q58+Q65</f>
        <v>11609000000000</v>
      </c>
      <c r="R28" s="725">
        <f>R31+R55+R52+R58+R65</f>
        <v>11074000000000</v>
      </c>
      <c r="S28" s="730">
        <v>10555000000000</v>
      </c>
      <c r="T28" s="750">
        <f>T31+T52+T55</f>
        <v>9996000000000</v>
      </c>
      <c r="U28" s="750">
        <f>U31+U52+U55</f>
        <v>14692000000000</v>
      </c>
      <c r="V28" s="750">
        <f t="shared" ref="V28:AA28" si="3">V31+V52+V55</f>
        <v>17323000000000</v>
      </c>
      <c r="W28" s="750">
        <f t="shared" si="3"/>
        <v>19374000000000</v>
      </c>
      <c r="X28" s="750">
        <f t="shared" si="3"/>
        <v>21650000000000</v>
      </c>
      <c r="Y28" s="750">
        <f t="shared" si="3"/>
        <v>24497000000000</v>
      </c>
      <c r="Z28" s="750">
        <f t="shared" si="3"/>
        <v>28283000000000</v>
      </c>
      <c r="AA28" s="750">
        <f t="shared" si="3"/>
        <v>33464000000000</v>
      </c>
    </row>
    <row r="29" spans="1:28" ht="16.5">
      <c r="A29" s="35" t="s">
        <v>76</v>
      </c>
      <c r="B29" t="s">
        <v>5049</v>
      </c>
      <c r="C29" s="90"/>
      <c r="D29" s="100"/>
      <c r="E29" s="100"/>
      <c r="F29" s="726">
        <v>2196000000000</v>
      </c>
      <c r="G29" s="727">
        <v>2795000000000</v>
      </c>
      <c r="H29" s="727">
        <v>3177000000000</v>
      </c>
      <c r="I29" s="728">
        <v>4234000000000</v>
      </c>
      <c r="J29" s="728">
        <v>5033000000000</v>
      </c>
      <c r="K29" s="728">
        <v>6001000000000</v>
      </c>
      <c r="L29" s="728">
        <v>6934000000000</v>
      </c>
      <c r="M29" s="728">
        <v>6830000000000</v>
      </c>
      <c r="N29" s="728">
        <v>9244000000000</v>
      </c>
      <c r="O29" s="728">
        <v>11093000000000</v>
      </c>
      <c r="P29" s="729">
        <v>10637000000000</v>
      </c>
      <c r="Q29" s="729">
        <v>10876000000000</v>
      </c>
      <c r="R29" s="729"/>
      <c r="S29" s="734"/>
      <c r="T29" s="751"/>
      <c r="U29" s="751"/>
      <c r="V29" s="751"/>
      <c r="W29" s="751"/>
      <c r="X29" s="751"/>
      <c r="Y29" s="751"/>
      <c r="Z29" s="751"/>
      <c r="AA29" s="751"/>
    </row>
    <row r="30" spans="1:28" ht="16.5">
      <c r="A30" t="s">
        <v>76</v>
      </c>
      <c r="B30" s="90" t="s">
        <v>5050</v>
      </c>
      <c r="D30" s="41"/>
      <c r="E30" s="100"/>
      <c r="F30" s="726">
        <v>1434000000000</v>
      </c>
      <c r="G30" s="727">
        <v>1605000000000</v>
      </c>
      <c r="H30" s="727">
        <v>1654000000000</v>
      </c>
      <c r="I30" s="728">
        <v>2223000000000</v>
      </c>
      <c r="J30" s="728">
        <v>1669000000000</v>
      </c>
      <c r="K30" s="728">
        <v>2425000000000</v>
      </c>
      <c r="L30" s="728">
        <v>2784000000000</v>
      </c>
      <c r="M30" s="728">
        <v>2768000000000</v>
      </c>
      <c r="N30" s="728">
        <v>3980000000000</v>
      </c>
      <c r="O30" s="728">
        <v>4070000000000</v>
      </c>
      <c r="P30" s="729">
        <v>4153000000000</v>
      </c>
      <c r="Q30" s="729">
        <v>4438000000000</v>
      </c>
      <c r="R30" s="729">
        <v>4013000000000</v>
      </c>
      <c r="S30" s="730">
        <v>5406000000000</v>
      </c>
      <c r="T30" s="750"/>
      <c r="U30" s="750"/>
      <c r="V30" s="750"/>
      <c r="W30" s="750"/>
      <c r="X30" s="750"/>
      <c r="Y30" s="750"/>
      <c r="Z30" s="750"/>
      <c r="AA30" s="750"/>
    </row>
    <row r="31" spans="1:28" ht="16.5">
      <c r="A31" s="90" t="s">
        <v>5051</v>
      </c>
      <c r="B31" s="128" t="s">
        <v>5052</v>
      </c>
      <c r="C31" s="90" t="s">
        <v>201</v>
      </c>
      <c r="D31" s="41"/>
      <c r="E31" s="100"/>
      <c r="F31" s="726">
        <v>1434000000000</v>
      </c>
      <c r="G31" s="727">
        <v>1605000000000</v>
      </c>
      <c r="H31" s="727">
        <v>1654000000000</v>
      </c>
      <c r="I31" s="728">
        <v>2223000000000</v>
      </c>
      <c r="J31" s="728">
        <f t="shared" ref="J31:S31" si="4">J30+J48</f>
        <v>1867000000000</v>
      </c>
      <c r="K31" s="728">
        <f t="shared" si="4"/>
        <v>2425000000000</v>
      </c>
      <c r="L31" s="728">
        <f t="shared" si="4"/>
        <v>2784000000000</v>
      </c>
      <c r="M31" s="728">
        <f t="shared" si="4"/>
        <v>3008000000000</v>
      </c>
      <c r="N31" s="728">
        <f t="shared" si="4"/>
        <v>4545000000000</v>
      </c>
      <c r="O31" s="728">
        <f t="shared" si="4"/>
        <v>4070000000000</v>
      </c>
      <c r="P31" s="729">
        <f t="shared" si="4"/>
        <v>4297000000000</v>
      </c>
      <c r="Q31" s="729">
        <f t="shared" si="4"/>
        <v>4595000000000</v>
      </c>
      <c r="R31" s="729">
        <f t="shared" si="4"/>
        <v>4013000000000</v>
      </c>
      <c r="S31" s="729">
        <f t="shared" si="4"/>
        <v>5406000000000</v>
      </c>
      <c r="T31" s="753">
        <f t="shared" ref="T31:V31" si="5">T32+T49</f>
        <v>4965000000000</v>
      </c>
      <c r="U31" s="753">
        <f t="shared" si="5"/>
        <v>7564000000000</v>
      </c>
      <c r="V31" s="753">
        <f t="shared" si="5"/>
        <v>8584000000000</v>
      </c>
      <c r="W31" s="753">
        <f>W32+W49</f>
        <v>9034000000000</v>
      </c>
      <c r="X31" s="753">
        <f t="shared" ref="X31:AA31" si="6">X32+X49</f>
        <v>10572000000000</v>
      </c>
      <c r="Y31" s="753">
        <f t="shared" si="6"/>
        <v>12059000000000</v>
      </c>
      <c r="Z31" s="753">
        <f t="shared" si="6"/>
        <v>14148000000000</v>
      </c>
      <c r="AA31" s="753">
        <f t="shared" si="6"/>
        <v>16720000000000</v>
      </c>
      <c r="AB31" s="753"/>
    </row>
    <row r="32" spans="1:28" ht="16.5">
      <c r="A32" s="1" t="s">
        <v>5053</v>
      </c>
      <c r="B32" s="177" t="s">
        <v>5054</v>
      </c>
      <c r="C32" s="90" t="s">
        <v>5055</v>
      </c>
      <c r="D32" s="41"/>
      <c r="E32" s="100"/>
      <c r="F32" s="726">
        <v>1109000000000</v>
      </c>
      <c r="G32" s="741">
        <f>G33+G35+G36+G37+G38+G39+G40</f>
        <v>1337000000000</v>
      </c>
      <c r="H32" s="727">
        <v>1393000000000</v>
      </c>
      <c r="I32" s="728">
        <v>1879000000000</v>
      </c>
      <c r="J32" s="742">
        <v>1174000000000</v>
      </c>
      <c r="K32" s="742">
        <v>1593000000000</v>
      </c>
      <c r="L32" s="742">
        <v>2075000000000</v>
      </c>
      <c r="M32" s="742">
        <v>2205000000000</v>
      </c>
      <c r="N32" s="742">
        <v>3080000000000</v>
      </c>
      <c r="O32" s="742">
        <v>3357000000000</v>
      </c>
      <c r="P32" s="729">
        <v>3409000000000</v>
      </c>
      <c r="Q32" s="729">
        <v>3597000000000</v>
      </c>
      <c r="R32" s="729">
        <v>3425000000000</v>
      </c>
      <c r="S32" s="730">
        <v>4805000000000</v>
      </c>
      <c r="T32" s="750">
        <v>4369000000000</v>
      </c>
      <c r="U32" s="750">
        <v>6401000000000</v>
      </c>
      <c r="V32" s="750">
        <v>7158000000000</v>
      </c>
      <c r="W32" s="750">
        <v>7362000000000</v>
      </c>
      <c r="X32" s="750">
        <v>8610000000000</v>
      </c>
      <c r="Y32" s="750">
        <v>9783000000000</v>
      </c>
      <c r="Z32" s="750">
        <v>11502000000000</v>
      </c>
      <c r="AA32" s="750">
        <v>13645000000000</v>
      </c>
    </row>
    <row r="33" spans="1:30" ht="16.5">
      <c r="A33" t="s">
        <v>76</v>
      </c>
      <c r="B33" s="99" t="s">
        <v>5056</v>
      </c>
      <c r="C33" s="90"/>
      <c r="D33" s="41"/>
      <c r="E33" s="100"/>
      <c r="F33" s="726">
        <v>478000000000</v>
      </c>
      <c r="G33" s="727">
        <v>514000000000</v>
      </c>
      <c r="H33" s="727">
        <v>571000000000</v>
      </c>
      <c r="I33" s="728">
        <v>730000000000</v>
      </c>
      <c r="J33" s="728"/>
      <c r="K33" s="728"/>
      <c r="L33" s="728"/>
      <c r="M33" s="728"/>
      <c r="N33" s="728"/>
      <c r="O33" s="728"/>
      <c r="P33" s="729"/>
      <c r="Q33" s="729"/>
      <c r="R33" s="729"/>
      <c r="S33" s="734"/>
      <c r="T33" s="751"/>
      <c r="U33" s="751"/>
      <c r="V33" s="751"/>
      <c r="W33" s="751"/>
      <c r="X33" s="751"/>
      <c r="Y33" s="751"/>
      <c r="Z33" s="751"/>
      <c r="AA33" s="751"/>
    </row>
    <row r="34" spans="1:30" ht="16.5">
      <c r="A34" s="99" t="s">
        <v>4565</v>
      </c>
      <c r="B34" s="99" t="s">
        <v>537</v>
      </c>
      <c r="C34" s="90" t="s">
        <v>5057</v>
      </c>
      <c r="D34" s="41"/>
      <c r="E34" s="100"/>
      <c r="F34" s="726">
        <f>F33-F38-F35</f>
        <v>369000000000</v>
      </c>
      <c r="G34" s="726">
        <f>G33-G38-G35</f>
        <v>514000000000</v>
      </c>
      <c r="H34" s="726">
        <f>H33-H38-H35</f>
        <v>0</v>
      </c>
      <c r="I34" s="728">
        <f>I33-I38-I35</f>
        <v>0</v>
      </c>
      <c r="J34" s="728"/>
      <c r="K34" s="728"/>
      <c r="L34" s="728"/>
      <c r="M34" s="728"/>
      <c r="N34" s="728"/>
      <c r="O34" s="728"/>
      <c r="P34" s="738"/>
      <c r="Q34" s="738"/>
      <c r="R34" s="729"/>
      <c r="S34" s="734"/>
      <c r="T34" s="751"/>
      <c r="U34" s="751"/>
      <c r="V34" s="751"/>
      <c r="W34" s="751"/>
      <c r="X34" s="751"/>
      <c r="Y34" s="751"/>
      <c r="Z34" s="751"/>
      <c r="AA34" s="751"/>
    </row>
    <row r="35" spans="1:30" ht="16.5">
      <c r="A35" t="s">
        <v>76</v>
      </c>
      <c r="B35" s="99" t="s">
        <v>5058</v>
      </c>
      <c r="C35" s="90"/>
      <c r="D35" s="41"/>
      <c r="E35" s="100"/>
      <c r="F35" s="731"/>
      <c r="G35" s="732"/>
      <c r="H35" s="727">
        <v>443000000000</v>
      </c>
      <c r="I35" s="728">
        <v>527000000000</v>
      </c>
      <c r="J35" s="742"/>
      <c r="K35" s="742"/>
      <c r="L35" s="742"/>
      <c r="M35" s="742"/>
      <c r="N35" s="742"/>
      <c r="O35" s="742"/>
      <c r="P35" s="738"/>
      <c r="Q35" s="729"/>
      <c r="R35" s="729"/>
      <c r="S35" s="734"/>
      <c r="T35" s="751"/>
      <c r="U35" s="751"/>
      <c r="V35" s="751"/>
      <c r="W35" s="751"/>
      <c r="X35" s="751"/>
      <c r="Y35" s="751"/>
      <c r="Z35" s="751"/>
      <c r="AA35" s="751"/>
    </row>
    <row r="36" spans="1:30" ht="16.5">
      <c r="A36" s="103" t="s">
        <v>4868</v>
      </c>
      <c r="B36" s="103" t="s">
        <v>4868</v>
      </c>
      <c r="C36" s="90" t="s">
        <v>5057</v>
      </c>
      <c r="D36" s="41"/>
      <c r="E36" s="100"/>
      <c r="F36" s="731"/>
      <c r="G36" s="732"/>
      <c r="H36" s="727">
        <v>370000000000</v>
      </c>
      <c r="I36" s="728">
        <v>443000000000</v>
      </c>
      <c r="J36" s="742">
        <v>665000000000</v>
      </c>
      <c r="K36" s="742">
        <v>915000000000</v>
      </c>
      <c r="L36" s="742">
        <v>1081000000000</v>
      </c>
      <c r="M36" s="742">
        <v>1148000000000</v>
      </c>
      <c r="N36" s="742">
        <v>1564000000000</v>
      </c>
      <c r="O36" s="742">
        <v>1854000000000</v>
      </c>
      <c r="P36" s="729">
        <v>1811000000000</v>
      </c>
      <c r="Q36" s="729">
        <v>1861000000000</v>
      </c>
      <c r="R36" s="729">
        <v>1819000000000</v>
      </c>
      <c r="S36" s="730">
        <v>2453000000000</v>
      </c>
      <c r="T36" s="750">
        <v>1875000000000</v>
      </c>
      <c r="U36" s="750">
        <v>2273000000000</v>
      </c>
      <c r="V36" s="750">
        <v>2465000000000</v>
      </c>
      <c r="W36" s="750">
        <v>2904000000000</v>
      </c>
      <c r="X36" s="750">
        <v>3440000000000</v>
      </c>
      <c r="Y36" s="750">
        <v>4032000000000</v>
      </c>
      <c r="Z36" s="750">
        <v>4724000000000</v>
      </c>
      <c r="AA36" s="750">
        <v>5527000000000</v>
      </c>
    </row>
    <row r="37" spans="1:30" ht="16.5">
      <c r="A37" s="103" t="s">
        <v>87</v>
      </c>
      <c r="B37" s="103" t="s">
        <v>87</v>
      </c>
      <c r="C37" s="90" t="s">
        <v>5057</v>
      </c>
      <c r="D37" s="41"/>
      <c r="E37" s="100"/>
      <c r="F37" s="731"/>
      <c r="G37" s="732"/>
      <c r="H37" s="727">
        <v>72000000000</v>
      </c>
      <c r="I37" s="728">
        <v>84000000000</v>
      </c>
      <c r="J37" s="728"/>
      <c r="K37" s="728"/>
      <c r="L37" s="728"/>
      <c r="M37" s="728"/>
      <c r="N37" s="728"/>
      <c r="O37" s="728"/>
      <c r="P37" s="729"/>
      <c r="Q37" s="729"/>
      <c r="R37" s="729"/>
      <c r="S37" s="734"/>
      <c r="T37" s="751"/>
      <c r="U37" s="751"/>
      <c r="V37" s="751"/>
      <c r="W37" s="751"/>
      <c r="X37" s="751"/>
      <c r="Y37" s="751"/>
      <c r="Z37" s="751"/>
      <c r="AA37" s="751"/>
    </row>
    <row r="38" spans="1:30" ht="16.5">
      <c r="A38" s="99" t="s">
        <v>5059</v>
      </c>
      <c r="B38" s="99" t="s">
        <v>5060</v>
      </c>
      <c r="C38" s="90" t="s">
        <v>5057</v>
      </c>
      <c r="D38" s="41"/>
      <c r="E38" s="100"/>
      <c r="F38" s="726">
        <v>109000000000</v>
      </c>
      <c r="G38" s="732"/>
      <c r="H38" s="727">
        <v>128000000000</v>
      </c>
      <c r="I38" s="728">
        <v>203000000000</v>
      </c>
      <c r="J38" s="742">
        <v>223000000000</v>
      </c>
      <c r="K38" s="742">
        <v>347000000000</v>
      </c>
      <c r="L38" s="742">
        <v>471000000000</v>
      </c>
      <c r="M38" s="742">
        <v>564000000000</v>
      </c>
      <c r="N38" s="742">
        <v>916000000000</v>
      </c>
      <c r="O38" s="742">
        <v>636000000000</v>
      </c>
      <c r="P38" s="729">
        <v>590000000000</v>
      </c>
      <c r="Q38" s="729">
        <v>526000000000</v>
      </c>
      <c r="R38" s="729">
        <v>378000000000</v>
      </c>
      <c r="S38" s="730">
        <v>465000000000</v>
      </c>
      <c r="T38" s="750">
        <v>536000000000</v>
      </c>
      <c r="U38" s="750">
        <v>486000000000</v>
      </c>
      <c r="V38" s="750">
        <v>485000000000</v>
      </c>
      <c r="W38" s="750">
        <v>572000000000</v>
      </c>
      <c r="X38" s="750">
        <v>677000000000</v>
      </c>
      <c r="Y38" s="750">
        <v>794000000000</v>
      </c>
      <c r="Z38" s="750">
        <v>930000000000</v>
      </c>
      <c r="AA38" s="750">
        <v>1088000000000</v>
      </c>
      <c r="AD38" s="531"/>
    </row>
    <row r="39" spans="1:30" ht="16.5">
      <c r="A39" s="99" t="s">
        <v>90</v>
      </c>
      <c r="B39" s="99" t="s">
        <v>5061</v>
      </c>
      <c r="C39" s="90" t="s">
        <v>5057</v>
      </c>
      <c r="D39" s="41"/>
      <c r="E39" s="100"/>
      <c r="F39" s="726">
        <v>213000000000</v>
      </c>
      <c r="G39" s="727">
        <v>242000000000</v>
      </c>
      <c r="H39" s="727">
        <v>231000000000</v>
      </c>
      <c r="I39" s="728">
        <v>382000000000</v>
      </c>
      <c r="J39" s="742">
        <v>187000000000</v>
      </c>
      <c r="K39" s="742">
        <v>205000000000</v>
      </c>
      <c r="L39" s="742">
        <v>242000000000</v>
      </c>
      <c r="M39" s="742">
        <v>284000000000</v>
      </c>
      <c r="N39" s="742">
        <v>352000000000</v>
      </c>
      <c r="O39" s="742">
        <v>535000000000</v>
      </c>
      <c r="P39" s="729">
        <v>701000000000</v>
      </c>
      <c r="Q39" s="729">
        <v>822000000000</v>
      </c>
      <c r="R39" s="729">
        <v>866000000000</v>
      </c>
      <c r="S39" s="730">
        <v>1013000000000</v>
      </c>
      <c r="T39" s="750">
        <v>1313000000000</v>
      </c>
      <c r="U39" s="750">
        <v>1738000000000</v>
      </c>
      <c r="V39" s="750">
        <v>1931000000000</v>
      </c>
      <c r="W39" s="750">
        <v>2615000000000</v>
      </c>
      <c r="X39" s="750">
        <v>3379000000000</v>
      </c>
      <c r="Y39" s="750">
        <v>4102000000000</v>
      </c>
      <c r="Z39" s="750">
        <v>5013000000000</v>
      </c>
      <c r="AA39" s="750">
        <v>6109000000000</v>
      </c>
      <c r="AD39" s="529"/>
    </row>
    <row r="40" spans="1:30" ht="16.5">
      <c r="A40" s="103" t="s">
        <v>389</v>
      </c>
      <c r="B40" s="103" t="s">
        <v>389</v>
      </c>
      <c r="C40" s="90" t="s">
        <v>5057</v>
      </c>
      <c r="D40" s="41"/>
      <c r="E40" s="100"/>
      <c r="F40" s="726">
        <v>419000000000</v>
      </c>
      <c r="G40" s="727">
        <v>581000000000</v>
      </c>
      <c r="H40" s="727">
        <v>591000000000</v>
      </c>
      <c r="I40" s="728">
        <v>767000000000</v>
      </c>
      <c r="J40" s="742">
        <v>99000000000</v>
      </c>
      <c r="K40" s="742">
        <v>126000000000</v>
      </c>
      <c r="L40" s="742">
        <v>282000000000</v>
      </c>
      <c r="M40" s="742">
        <v>209000000000</v>
      </c>
      <c r="N40" s="742">
        <v>248000000000</v>
      </c>
      <c r="O40" s="742">
        <v>332000000000</v>
      </c>
      <c r="P40" s="729">
        <v>307000000000</v>
      </c>
      <c r="Q40" s="729">
        <v>388000000000</v>
      </c>
      <c r="R40" s="729">
        <v>363000000000</v>
      </c>
      <c r="S40" s="730">
        <v>873000000000</v>
      </c>
      <c r="T40" s="750">
        <v>644000000000</v>
      </c>
      <c r="U40" s="750">
        <v>1903000000000</v>
      </c>
      <c r="V40" s="750">
        <v>2044000000000</v>
      </c>
      <c r="W40" s="750">
        <v>1038000000000</v>
      </c>
      <c r="X40" s="750">
        <v>880000000000</v>
      </c>
      <c r="Y40" s="750">
        <v>855000000000</v>
      </c>
      <c r="Z40" s="750">
        <v>835000000000</v>
      </c>
      <c r="AA40" s="750">
        <v>920000000000</v>
      </c>
    </row>
    <row r="41" spans="1:30" ht="16.5">
      <c r="A41" s="103" t="s">
        <v>7208</v>
      </c>
      <c r="B41" s="103" t="s">
        <v>7208</v>
      </c>
      <c r="C41" s="90" t="s">
        <v>5057</v>
      </c>
      <c r="D41" s="41"/>
      <c r="E41" s="100"/>
      <c r="F41" s="726"/>
      <c r="G41" s="727"/>
      <c r="H41" s="727"/>
      <c r="I41" s="728"/>
      <c r="J41" s="742"/>
      <c r="K41" s="742"/>
      <c r="L41" s="742"/>
      <c r="M41" s="742"/>
      <c r="N41" s="742"/>
      <c r="O41" s="742"/>
      <c r="P41" s="729"/>
      <c r="Q41" s="729"/>
      <c r="R41" s="729"/>
      <c r="S41" s="730"/>
      <c r="T41" s="750"/>
      <c r="U41" s="750"/>
      <c r="V41" s="750">
        <v>233000000000</v>
      </c>
      <c r="W41" s="750">
        <v>233000000000</v>
      </c>
      <c r="X41" s="750">
        <v>233000000000</v>
      </c>
      <c r="Y41" s="750"/>
      <c r="Z41" s="750"/>
      <c r="AA41" s="750"/>
    </row>
    <row r="42" spans="1:30" ht="16.5">
      <c r="A42" s="100" t="s">
        <v>5062</v>
      </c>
      <c r="B42" s="100" t="s">
        <v>5063</v>
      </c>
      <c r="C42" s="90" t="s">
        <v>1920</v>
      </c>
      <c r="D42" s="41"/>
      <c r="E42" s="100"/>
      <c r="F42" s="726">
        <v>346000000000</v>
      </c>
      <c r="G42" s="727">
        <v>451000000000</v>
      </c>
      <c r="H42" s="727">
        <v>455000000000</v>
      </c>
      <c r="I42" s="728">
        <v>532000000000</v>
      </c>
      <c r="J42" s="728"/>
      <c r="K42" s="728"/>
      <c r="L42" s="728"/>
      <c r="M42" s="728"/>
      <c r="N42" s="728"/>
      <c r="O42" s="728"/>
      <c r="P42" s="729"/>
      <c r="Q42" s="729"/>
      <c r="R42" s="729"/>
      <c r="S42" s="734"/>
      <c r="T42" s="751"/>
      <c r="U42" s="751"/>
      <c r="V42" s="751"/>
      <c r="W42" s="751"/>
      <c r="X42" s="751"/>
      <c r="Y42" s="751"/>
      <c r="Z42" s="751"/>
      <c r="AA42" s="751"/>
    </row>
    <row r="43" spans="1:30" ht="16.5">
      <c r="A43" s="100" t="s">
        <v>5064</v>
      </c>
      <c r="B43" s="100" t="s">
        <v>5065</v>
      </c>
      <c r="C43" s="90" t="s">
        <v>1920</v>
      </c>
      <c r="D43" s="41"/>
      <c r="E43" s="100"/>
      <c r="F43" s="726">
        <v>15000000000</v>
      </c>
      <c r="G43" s="727">
        <v>0</v>
      </c>
      <c r="H43" s="727"/>
      <c r="I43" s="728"/>
      <c r="J43" s="728"/>
      <c r="K43" s="728"/>
      <c r="L43" s="728"/>
      <c r="M43" s="728"/>
      <c r="N43" s="728"/>
      <c r="O43" s="728"/>
      <c r="P43" s="729"/>
      <c r="Q43" s="729"/>
      <c r="R43" s="729"/>
      <c r="S43" s="734"/>
      <c r="T43" s="751"/>
      <c r="U43" s="751"/>
      <c r="V43" s="751"/>
      <c r="W43" s="751"/>
      <c r="X43" s="751"/>
      <c r="Y43" s="751"/>
      <c r="Z43" s="751"/>
      <c r="AA43" s="751"/>
    </row>
    <row r="44" spans="1:30" ht="16.5">
      <c r="A44" s="100" t="s">
        <v>5066</v>
      </c>
      <c r="B44" s="100" t="s">
        <v>5067</v>
      </c>
      <c r="C44" s="90" t="s">
        <v>1920</v>
      </c>
      <c r="D44" s="41"/>
      <c r="E44" s="100"/>
      <c r="F44" s="726">
        <v>14000000000</v>
      </c>
      <c r="G44" s="727">
        <v>0</v>
      </c>
      <c r="H44" s="727"/>
      <c r="I44" s="728"/>
      <c r="J44" s="728"/>
      <c r="K44" s="728"/>
      <c r="L44" s="728"/>
      <c r="M44" s="728"/>
      <c r="N44" s="728"/>
      <c r="O44" s="728"/>
      <c r="P44" s="729"/>
      <c r="Q44" s="729"/>
      <c r="R44" s="729"/>
      <c r="S44" s="734"/>
      <c r="T44" s="751"/>
      <c r="U44" s="751"/>
      <c r="V44" s="751"/>
      <c r="W44" s="751"/>
      <c r="X44" s="751"/>
      <c r="Y44" s="751"/>
      <c r="Z44" s="751"/>
      <c r="AA44" s="751"/>
    </row>
    <row r="45" spans="1:30" ht="16.5">
      <c r="A45" s="100" t="s">
        <v>5068</v>
      </c>
      <c r="B45" s="100" t="s">
        <v>5069</v>
      </c>
      <c r="C45" s="90" t="s">
        <v>1920</v>
      </c>
      <c r="D45" s="41"/>
      <c r="E45" s="100"/>
      <c r="F45" s="726">
        <v>20000000000</v>
      </c>
      <c r="G45" s="727">
        <v>0</v>
      </c>
      <c r="H45" s="727"/>
      <c r="I45" s="728"/>
      <c r="J45" s="728"/>
      <c r="K45" s="728"/>
      <c r="L45" s="728"/>
      <c r="M45" s="728"/>
      <c r="N45" s="728"/>
      <c r="O45" s="728"/>
      <c r="P45" s="729"/>
      <c r="Q45" s="729"/>
      <c r="R45" s="729"/>
      <c r="S45" s="734"/>
      <c r="T45" s="751"/>
      <c r="U45" s="751"/>
      <c r="V45" s="751"/>
      <c r="W45" s="751"/>
      <c r="X45" s="751"/>
      <c r="Y45" s="751"/>
      <c r="Z45" s="751"/>
      <c r="AA45" s="751"/>
    </row>
    <row r="46" spans="1:30" ht="16.5">
      <c r="A46" s="100" t="s">
        <v>5070</v>
      </c>
      <c r="B46" s="100" t="s">
        <v>5071</v>
      </c>
      <c r="C46" s="90" t="s">
        <v>1920</v>
      </c>
      <c r="D46" s="41"/>
      <c r="E46" s="100"/>
      <c r="F46" s="726">
        <v>10000000000</v>
      </c>
      <c r="G46" s="727">
        <v>0</v>
      </c>
      <c r="H46" s="727"/>
      <c r="I46" s="728"/>
      <c r="J46" s="728"/>
      <c r="K46" s="728"/>
      <c r="L46" s="728"/>
      <c r="M46" s="728"/>
      <c r="N46" s="728"/>
      <c r="O46" s="728"/>
      <c r="P46" s="729"/>
      <c r="Q46" s="729"/>
      <c r="R46" s="729"/>
      <c r="S46" s="734"/>
      <c r="T46" s="751"/>
      <c r="U46" s="751"/>
      <c r="V46" s="751"/>
      <c r="W46" s="751"/>
      <c r="X46" s="751"/>
      <c r="Y46" s="751"/>
      <c r="Z46" s="751"/>
      <c r="AA46" s="751"/>
    </row>
    <row r="47" spans="1:30" ht="16.5">
      <c r="A47" s="100" t="s">
        <v>5072</v>
      </c>
      <c r="B47" s="102" t="s">
        <v>5073</v>
      </c>
      <c r="C47" s="90" t="s">
        <v>1920</v>
      </c>
      <c r="D47" s="41"/>
      <c r="E47" s="100"/>
      <c r="F47" s="726">
        <f>F40-F42-F43-F44-F45-F46</f>
        <v>14000000000</v>
      </c>
      <c r="G47" s="726">
        <f>G40-G42-G43-G44-G45-G46</f>
        <v>130000000000</v>
      </c>
      <c r="H47" s="726">
        <f>H40-H42-H43-H44-H45-H46</f>
        <v>136000000000</v>
      </c>
      <c r="I47" s="728">
        <f>I40-I42-I43-I44-I45-I46</f>
        <v>235000000000</v>
      </c>
      <c r="J47" s="728"/>
      <c r="K47" s="728"/>
      <c r="L47" s="728"/>
      <c r="M47" s="728"/>
      <c r="N47" s="728"/>
      <c r="O47" s="728"/>
      <c r="P47" s="729"/>
      <c r="Q47" s="729"/>
      <c r="R47" s="729"/>
      <c r="S47" s="734"/>
      <c r="T47" s="751"/>
      <c r="U47" s="751"/>
      <c r="V47" s="751"/>
      <c r="W47" s="751"/>
      <c r="X47" s="751"/>
      <c r="Y47" s="751"/>
      <c r="Z47" s="751"/>
      <c r="AA47" s="751"/>
    </row>
    <row r="48" spans="1:30" ht="16.5">
      <c r="A48" s="177" t="s">
        <v>5074</v>
      </c>
      <c r="B48" s="180" t="s">
        <v>5075</v>
      </c>
      <c r="C48" s="90" t="s">
        <v>5055</v>
      </c>
      <c r="D48" s="41"/>
      <c r="E48" s="100"/>
      <c r="F48" s="726">
        <v>8000000000</v>
      </c>
      <c r="G48" s="727">
        <f>G61+G63</f>
        <v>0</v>
      </c>
      <c r="H48" s="727">
        <f t="shared" ref="H48:O48" si="7">H61+H63</f>
        <v>0</v>
      </c>
      <c r="I48" s="728">
        <f t="shared" si="7"/>
        <v>0</v>
      </c>
      <c r="J48" s="728">
        <f>J61+J63</f>
        <v>198000000000</v>
      </c>
      <c r="K48" s="728">
        <f t="shared" si="7"/>
        <v>0</v>
      </c>
      <c r="L48" s="728">
        <f t="shared" si="7"/>
        <v>0</v>
      </c>
      <c r="M48" s="728">
        <f t="shared" si="7"/>
        <v>240000000000</v>
      </c>
      <c r="N48" s="728">
        <f t="shared" si="7"/>
        <v>565000000000</v>
      </c>
      <c r="O48" s="728">
        <f t="shared" si="7"/>
        <v>0</v>
      </c>
      <c r="P48" s="729">
        <f>P61+P63</f>
        <v>144000000000</v>
      </c>
      <c r="Q48" s="729">
        <f>Q61+Q63</f>
        <v>157000000000</v>
      </c>
      <c r="R48" s="729">
        <f>R61+R63</f>
        <v>0</v>
      </c>
      <c r="S48" s="729">
        <f t="shared" ref="S48" si="8">S61+S63</f>
        <v>0</v>
      </c>
      <c r="T48" s="753"/>
      <c r="U48" s="753"/>
      <c r="V48" s="753"/>
      <c r="W48" s="753"/>
      <c r="X48" s="753"/>
      <c r="Y48" s="753"/>
      <c r="Z48" s="753"/>
      <c r="AA48" s="753"/>
    </row>
    <row r="49" spans="1:27" ht="16.5">
      <c r="A49" s="177" t="s">
        <v>5076</v>
      </c>
      <c r="B49" s="177" t="s">
        <v>5077</v>
      </c>
      <c r="C49" s="90" t="s">
        <v>5055</v>
      </c>
      <c r="D49" s="41"/>
      <c r="E49" s="100"/>
      <c r="F49" s="726">
        <v>318000000000</v>
      </c>
      <c r="G49" s="727">
        <v>267000000000</v>
      </c>
      <c r="H49" s="727">
        <v>261000000000</v>
      </c>
      <c r="I49" s="728">
        <v>344000000000</v>
      </c>
      <c r="J49" s="742">
        <v>495000000000</v>
      </c>
      <c r="K49" s="742">
        <v>833000000000</v>
      </c>
      <c r="L49" s="742">
        <v>710000000000</v>
      </c>
      <c r="M49" s="742">
        <v>562000000000</v>
      </c>
      <c r="N49" s="742">
        <v>900000000000</v>
      </c>
      <c r="O49" s="742">
        <v>713000000000</v>
      </c>
      <c r="P49" s="729">
        <v>744000000000</v>
      </c>
      <c r="Q49" s="729">
        <v>842000000000</v>
      </c>
      <c r="R49" s="729">
        <v>588000000000</v>
      </c>
      <c r="S49" s="730">
        <v>601000000000</v>
      </c>
      <c r="T49" s="750">
        <v>596000000000</v>
      </c>
      <c r="U49" s="750">
        <v>1163000000000</v>
      </c>
      <c r="V49" s="750">
        <v>1426000000000</v>
      </c>
      <c r="W49" s="750">
        <v>1672000000000</v>
      </c>
      <c r="X49" s="750">
        <v>1962000000000</v>
      </c>
      <c r="Y49" s="750">
        <v>2276000000000</v>
      </c>
      <c r="Z49" s="750">
        <v>2646000000000</v>
      </c>
      <c r="AA49" s="750">
        <v>3075000000000</v>
      </c>
    </row>
    <row r="50" spans="1:27" ht="16.5">
      <c r="A50" s="99" t="s">
        <v>239</v>
      </c>
      <c r="B50" s="99" t="s">
        <v>1597</v>
      </c>
      <c r="C50" s="90" t="s">
        <v>5078</v>
      </c>
      <c r="D50" s="41"/>
      <c r="E50" s="100"/>
      <c r="F50" s="726">
        <v>305000000000</v>
      </c>
      <c r="G50" s="727">
        <v>257000000000</v>
      </c>
      <c r="H50" s="727">
        <v>231000000000</v>
      </c>
      <c r="I50" s="728">
        <v>254000000000</v>
      </c>
      <c r="J50" s="728"/>
      <c r="K50" s="728">
        <f>K49-K51</f>
        <v>774000000000</v>
      </c>
      <c r="L50" s="728">
        <f t="shared" ref="L50:Q50" si="9">L49-L51</f>
        <v>667000000000</v>
      </c>
      <c r="M50" s="728">
        <f t="shared" si="9"/>
        <v>477000000000</v>
      </c>
      <c r="N50" s="728">
        <f t="shared" si="9"/>
        <v>730000000000</v>
      </c>
      <c r="O50" s="728">
        <f t="shared" si="9"/>
        <v>440000000000</v>
      </c>
      <c r="P50" s="729">
        <f t="shared" si="9"/>
        <v>596000000000</v>
      </c>
      <c r="Q50" s="729">
        <f t="shared" si="9"/>
        <v>545000000000</v>
      </c>
      <c r="R50" s="729"/>
      <c r="S50" s="734"/>
      <c r="T50" s="751"/>
      <c r="U50" s="751"/>
      <c r="V50" s="751"/>
      <c r="W50" s="751"/>
      <c r="X50" s="751"/>
      <c r="Y50" s="751"/>
      <c r="Z50" s="751"/>
      <c r="AA50" s="751"/>
    </row>
    <row r="51" spans="1:27" ht="16.5">
      <c r="A51" s="99" t="s">
        <v>242</v>
      </c>
      <c r="B51" s="99" t="s">
        <v>1654</v>
      </c>
      <c r="C51" s="90" t="s">
        <v>5078</v>
      </c>
      <c r="D51" s="41"/>
      <c r="E51" s="100"/>
      <c r="F51" s="726">
        <v>13000000000</v>
      </c>
      <c r="G51" s="727">
        <v>10000000000</v>
      </c>
      <c r="H51" s="727">
        <v>30000000000</v>
      </c>
      <c r="I51" s="728">
        <v>90000000000</v>
      </c>
      <c r="J51" s="728"/>
      <c r="K51" s="728">
        <v>59000000000</v>
      </c>
      <c r="L51" s="728">
        <v>43000000000</v>
      </c>
      <c r="M51" s="728">
        <v>85000000000</v>
      </c>
      <c r="N51" s="728">
        <v>170000000000</v>
      </c>
      <c r="O51" s="728">
        <v>273000000000</v>
      </c>
      <c r="P51" s="729">
        <v>148000000000</v>
      </c>
      <c r="Q51" s="729">
        <v>297000000000</v>
      </c>
      <c r="R51" s="729"/>
      <c r="S51" s="734"/>
      <c r="T51" s="751"/>
      <c r="U51" s="751"/>
      <c r="V51" s="751"/>
      <c r="W51" s="751"/>
      <c r="X51" s="751"/>
      <c r="Y51" s="751"/>
      <c r="Z51" s="751"/>
      <c r="AA51" s="751"/>
    </row>
    <row r="52" spans="1:27" ht="16.5">
      <c r="A52" s="90" t="s">
        <v>5079</v>
      </c>
      <c r="B52" s="90" t="s">
        <v>5080</v>
      </c>
      <c r="C52" s="90" t="s">
        <v>201</v>
      </c>
      <c r="D52" s="41"/>
      <c r="E52" s="100"/>
      <c r="F52" s="731"/>
      <c r="G52" s="732"/>
      <c r="H52" s="732"/>
      <c r="I52" s="733"/>
      <c r="J52" s="728">
        <v>212000000000</v>
      </c>
      <c r="K52" s="728">
        <v>367000000000</v>
      </c>
      <c r="L52" s="728">
        <v>265000000000</v>
      </c>
      <c r="M52" s="728">
        <v>481000000000</v>
      </c>
      <c r="N52" s="728">
        <v>812000000000</v>
      </c>
      <c r="O52" s="728">
        <v>1632000000000</v>
      </c>
      <c r="P52" s="729">
        <v>1804000000000</v>
      </c>
      <c r="Q52" s="729">
        <v>1347000000000</v>
      </c>
      <c r="R52" s="729">
        <v>2150000000000</v>
      </c>
      <c r="S52" s="730">
        <v>871000000000</v>
      </c>
      <c r="T52" s="750">
        <v>576000000000</v>
      </c>
      <c r="U52" s="750">
        <v>785000000000</v>
      </c>
      <c r="V52" s="750">
        <v>2034000000000</v>
      </c>
      <c r="W52" s="750">
        <v>2277000000000</v>
      </c>
      <c r="X52" s="750">
        <v>2383000000000</v>
      </c>
      <c r="Y52" s="750">
        <v>2533000000000</v>
      </c>
      <c r="Z52" s="750">
        <v>2804000000000</v>
      </c>
      <c r="AA52" s="750">
        <v>3201000000000</v>
      </c>
    </row>
    <row r="53" spans="1:27" ht="16.5">
      <c r="A53" t="s">
        <v>5018</v>
      </c>
      <c r="B53" s="99" t="s">
        <v>5081</v>
      </c>
      <c r="C53" s="90" t="s">
        <v>5082</v>
      </c>
      <c r="D53" s="41"/>
      <c r="E53" s="100"/>
      <c r="F53" s="731"/>
      <c r="G53" s="732"/>
      <c r="H53" s="732"/>
      <c r="I53" s="733"/>
      <c r="J53" s="733"/>
      <c r="K53" s="733"/>
      <c r="L53" s="733"/>
      <c r="M53" s="733"/>
      <c r="N53" s="728">
        <v>381000000000</v>
      </c>
      <c r="O53" s="728">
        <v>975000000000</v>
      </c>
      <c r="P53" s="729">
        <v>688000000000</v>
      </c>
      <c r="Q53" s="729">
        <v>0</v>
      </c>
      <c r="R53" s="734"/>
      <c r="S53" s="734"/>
      <c r="T53" s="751">
        <v>0</v>
      </c>
      <c r="U53" s="751">
        <v>146000000000</v>
      </c>
      <c r="V53" s="751">
        <v>633000000000</v>
      </c>
      <c r="W53" s="751">
        <v>597000000000</v>
      </c>
      <c r="X53" s="751">
        <v>571000000000</v>
      </c>
      <c r="Y53" s="751">
        <v>557000000000</v>
      </c>
      <c r="Z53" s="751">
        <v>552000000000</v>
      </c>
      <c r="AA53" s="751">
        <v>551000000000</v>
      </c>
    </row>
    <row r="54" spans="1:27" ht="16.5">
      <c r="A54" t="s">
        <v>50</v>
      </c>
      <c r="B54" s="99" t="s">
        <v>50</v>
      </c>
      <c r="C54" s="90" t="s">
        <v>5082</v>
      </c>
      <c r="D54" s="41"/>
      <c r="E54" s="100"/>
      <c r="F54" s="731"/>
      <c r="G54" s="732"/>
      <c r="H54" s="732"/>
      <c r="I54" s="733"/>
      <c r="J54" s="733"/>
      <c r="K54" s="733"/>
      <c r="L54" s="733"/>
      <c r="M54" s="733"/>
      <c r="N54" s="729">
        <f t="shared" ref="N54:O54" si="10">N52-N53</f>
        <v>431000000000</v>
      </c>
      <c r="O54" s="729">
        <f t="shared" si="10"/>
        <v>657000000000</v>
      </c>
      <c r="P54" s="729">
        <f>P52-P53</f>
        <v>1116000000000</v>
      </c>
      <c r="Q54" s="729"/>
      <c r="R54" s="734"/>
      <c r="S54" s="734"/>
      <c r="T54" s="751">
        <f>T52-T53</f>
        <v>576000000000</v>
      </c>
      <c r="U54" s="751">
        <f t="shared" ref="U54:AA54" si="11">U52-U53</f>
        <v>639000000000</v>
      </c>
      <c r="V54" s="751">
        <f t="shared" si="11"/>
        <v>1401000000000</v>
      </c>
      <c r="W54" s="751">
        <f t="shared" si="11"/>
        <v>1680000000000</v>
      </c>
      <c r="X54" s="751">
        <f t="shared" si="11"/>
        <v>1812000000000</v>
      </c>
      <c r="Y54" s="751">
        <f t="shared" si="11"/>
        <v>1976000000000</v>
      </c>
      <c r="Z54" s="751">
        <f t="shared" si="11"/>
        <v>2252000000000</v>
      </c>
      <c r="AA54" s="751">
        <f t="shared" si="11"/>
        <v>2650000000000</v>
      </c>
    </row>
    <row r="55" spans="1:27" ht="16.5">
      <c r="A55" s="90" t="s">
        <v>5083</v>
      </c>
      <c r="B55" s="90" t="s">
        <v>5084</v>
      </c>
      <c r="C55" s="90" t="s">
        <v>201</v>
      </c>
      <c r="D55" s="41"/>
      <c r="E55" s="100"/>
      <c r="F55" s="726">
        <v>762000000000</v>
      </c>
      <c r="G55" s="727">
        <v>1190000000000</v>
      </c>
      <c r="H55" s="727">
        <v>1523000000000</v>
      </c>
      <c r="I55" s="728">
        <v>1961000000000</v>
      </c>
      <c r="J55" s="728">
        <v>2362000000000</v>
      </c>
      <c r="K55" s="728">
        <v>2156000000000</v>
      </c>
      <c r="L55" s="728">
        <v>2886000000000</v>
      </c>
      <c r="M55" s="728">
        <v>2856000000000</v>
      </c>
      <c r="N55" s="728">
        <v>3300000000000</v>
      </c>
      <c r="O55" s="728">
        <v>4332000000000</v>
      </c>
      <c r="P55" s="729">
        <v>4531000000000</v>
      </c>
      <c r="Q55" s="729">
        <v>4795000000000</v>
      </c>
      <c r="R55" s="729">
        <v>4911000000000</v>
      </c>
      <c r="S55" s="730">
        <v>4279000000000</v>
      </c>
      <c r="T55" s="750">
        <v>4455000000000</v>
      </c>
      <c r="U55" s="750">
        <v>6343000000000</v>
      </c>
      <c r="V55" s="750">
        <v>6705000000000</v>
      </c>
      <c r="W55" s="750">
        <v>8063000000000</v>
      </c>
      <c r="X55" s="750">
        <v>8695000000000</v>
      </c>
      <c r="Y55" s="750">
        <v>9905000000000</v>
      </c>
      <c r="Z55" s="750">
        <v>11331000000000</v>
      </c>
      <c r="AA55" s="750">
        <v>13543000000000</v>
      </c>
    </row>
    <row r="56" spans="1:27" ht="16.5">
      <c r="A56" s="99" t="s">
        <v>1780</v>
      </c>
      <c r="B56" s="99" t="s">
        <v>5085</v>
      </c>
      <c r="C56" s="90" t="s">
        <v>5086</v>
      </c>
      <c r="D56" s="41"/>
      <c r="E56" s="100"/>
      <c r="F56" s="726">
        <v>762000000000</v>
      </c>
      <c r="G56" s="727">
        <v>1178000000000</v>
      </c>
      <c r="H56" s="727">
        <v>1515000000000</v>
      </c>
      <c r="I56" s="728">
        <v>1928000000000</v>
      </c>
      <c r="J56" s="728"/>
      <c r="K56" s="728"/>
      <c r="L56" s="728"/>
      <c r="M56" s="728"/>
      <c r="N56" s="728"/>
      <c r="O56" s="728"/>
      <c r="P56" s="729"/>
      <c r="Q56" s="729"/>
      <c r="R56" s="729"/>
      <c r="S56" s="734"/>
      <c r="T56" s="751"/>
      <c r="U56" s="751"/>
      <c r="V56" s="751"/>
      <c r="W56" s="751"/>
      <c r="X56" s="751"/>
      <c r="Y56" s="751"/>
      <c r="Z56" s="751"/>
      <c r="AA56" s="751"/>
    </row>
    <row r="57" spans="1:27" ht="16.5">
      <c r="A57" s="99" t="s">
        <v>5087</v>
      </c>
      <c r="B57" s="99" t="s">
        <v>5088</v>
      </c>
      <c r="C57" s="90" t="s">
        <v>5086</v>
      </c>
      <c r="D57" s="41"/>
      <c r="E57" s="100"/>
      <c r="F57" s="726">
        <v>0</v>
      </c>
      <c r="G57" s="727">
        <v>12000000000</v>
      </c>
      <c r="H57" s="727">
        <v>8000000000</v>
      </c>
      <c r="I57" s="728">
        <v>33000000000</v>
      </c>
      <c r="J57" s="728"/>
      <c r="K57" s="728"/>
      <c r="L57" s="728"/>
      <c r="M57" s="728"/>
      <c r="N57" s="728"/>
      <c r="O57" s="728"/>
      <c r="P57" s="729"/>
      <c r="Q57" s="729"/>
      <c r="R57" s="729"/>
      <c r="S57" s="734"/>
      <c r="T57" s="751"/>
      <c r="U57" s="751"/>
      <c r="V57" s="751"/>
      <c r="W57" s="751"/>
      <c r="X57" s="751"/>
      <c r="Y57" s="751"/>
      <c r="Z57" s="751"/>
      <c r="AA57" s="751"/>
    </row>
    <row r="58" spans="1:27" ht="16.5">
      <c r="A58" s="90" t="s">
        <v>5089</v>
      </c>
      <c r="B58" s="90" t="s">
        <v>5090</v>
      </c>
      <c r="C58" s="90" t="s">
        <v>201</v>
      </c>
      <c r="D58" s="41"/>
      <c r="E58" s="100"/>
      <c r="F58" s="731"/>
      <c r="G58" s="732"/>
      <c r="H58" s="732"/>
      <c r="I58" s="733"/>
      <c r="J58" s="733"/>
      <c r="K58" s="733"/>
      <c r="L58" s="733"/>
      <c r="M58" s="728">
        <v>436000000000</v>
      </c>
      <c r="N58" s="728">
        <v>981000000000</v>
      </c>
      <c r="O58" s="728">
        <v>786000000000</v>
      </c>
      <c r="P58" s="729">
        <v>404000000000</v>
      </c>
      <c r="Q58" s="729">
        <v>872000000000</v>
      </c>
      <c r="R58" s="729"/>
      <c r="S58" s="734"/>
      <c r="T58" s="751"/>
      <c r="U58" s="751"/>
      <c r="V58" s="751"/>
      <c r="W58" s="751"/>
      <c r="X58" s="751"/>
      <c r="Y58" s="751"/>
      <c r="Z58" s="751"/>
      <c r="AA58" s="751"/>
    </row>
    <row r="59" spans="1:27" ht="16.5">
      <c r="A59" s="99" t="s">
        <v>5091</v>
      </c>
      <c r="B59" s="99" t="s">
        <v>5092</v>
      </c>
      <c r="C59" s="90" t="s">
        <v>5093</v>
      </c>
      <c r="D59" s="41"/>
      <c r="E59" s="100"/>
      <c r="F59" s="731"/>
      <c r="G59" s="732"/>
      <c r="H59" s="732"/>
      <c r="I59" s="733"/>
      <c r="J59" s="733"/>
      <c r="K59" s="733"/>
      <c r="L59" s="733"/>
      <c r="M59" s="728">
        <v>196000000000</v>
      </c>
      <c r="N59" s="728">
        <v>416000000000</v>
      </c>
      <c r="O59" s="728">
        <v>786000000000</v>
      </c>
      <c r="P59" s="729">
        <v>260000000000</v>
      </c>
      <c r="Q59" s="729">
        <v>715000000000</v>
      </c>
      <c r="R59" s="729"/>
      <c r="S59" s="734"/>
      <c r="T59" s="751"/>
      <c r="U59" s="751"/>
      <c r="V59" s="751"/>
      <c r="W59" s="751"/>
      <c r="X59" s="751"/>
      <c r="Y59" s="751"/>
      <c r="Z59" s="751"/>
      <c r="AA59" s="751"/>
    </row>
    <row r="60" spans="1:27" ht="16.5">
      <c r="A60" s="99" t="s">
        <v>5094</v>
      </c>
      <c r="B60" s="179" t="s">
        <v>5095</v>
      </c>
      <c r="C60" s="90" t="s">
        <v>5093</v>
      </c>
      <c r="D60" s="41"/>
      <c r="E60" s="100"/>
      <c r="F60" s="731"/>
      <c r="G60" s="732"/>
      <c r="H60" s="732"/>
      <c r="I60" s="733"/>
      <c r="J60" s="733"/>
      <c r="K60" s="733"/>
      <c r="L60" s="733"/>
      <c r="M60" s="728">
        <f>M58-M59</f>
        <v>240000000000</v>
      </c>
      <c r="N60" s="728">
        <f t="shared" ref="N60:S60" si="12">N58-N59</f>
        <v>565000000000</v>
      </c>
      <c r="O60" s="728">
        <f t="shared" si="12"/>
        <v>0</v>
      </c>
      <c r="P60" s="729">
        <f t="shared" si="12"/>
        <v>144000000000</v>
      </c>
      <c r="Q60" s="729">
        <f t="shared" si="12"/>
        <v>157000000000</v>
      </c>
      <c r="R60" s="729">
        <f t="shared" si="12"/>
        <v>0</v>
      </c>
      <c r="S60" s="729">
        <f t="shared" si="12"/>
        <v>0</v>
      </c>
      <c r="T60" s="753"/>
      <c r="U60" s="753"/>
      <c r="V60" s="753"/>
      <c r="W60" s="753"/>
      <c r="X60" s="753"/>
      <c r="Y60" s="753"/>
      <c r="Z60" s="753"/>
      <c r="AA60" s="753"/>
    </row>
    <row r="61" spans="1:27" ht="16.5">
      <c r="A61" s="100" t="s">
        <v>5096</v>
      </c>
      <c r="B61" s="100" t="s">
        <v>5097</v>
      </c>
      <c r="C61" s="90" t="s">
        <v>5098</v>
      </c>
      <c r="D61" s="41"/>
      <c r="E61" s="100"/>
      <c r="F61" s="731"/>
      <c r="G61" s="732"/>
      <c r="H61" s="732"/>
      <c r="I61" s="733"/>
      <c r="J61" s="728">
        <v>194000000000</v>
      </c>
      <c r="K61" s="733"/>
      <c r="L61" s="733"/>
      <c r="M61" s="728">
        <v>240000000000</v>
      </c>
      <c r="N61" s="728">
        <v>565000000000</v>
      </c>
      <c r="O61" s="728">
        <v>0</v>
      </c>
      <c r="P61" s="729">
        <v>144000000000</v>
      </c>
      <c r="Q61" s="729">
        <v>157000000000</v>
      </c>
      <c r="R61" s="729"/>
      <c r="S61" s="734"/>
      <c r="T61" s="751"/>
      <c r="U61" s="751"/>
      <c r="V61" s="751"/>
      <c r="W61" s="751"/>
      <c r="X61" s="751"/>
      <c r="Y61" s="751"/>
      <c r="Z61" s="751"/>
      <c r="AA61" s="751"/>
    </row>
    <row r="62" spans="1:27" ht="16.5">
      <c r="A62" t="s">
        <v>76</v>
      </c>
      <c r="B62" s="90" t="s">
        <v>5099</v>
      </c>
      <c r="C62" s="90"/>
      <c r="D62" s="41"/>
      <c r="E62" s="100"/>
      <c r="F62" s="731"/>
      <c r="G62" s="732"/>
      <c r="H62" s="732"/>
      <c r="I62" s="733"/>
      <c r="J62" s="733"/>
      <c r="K62" s="733"/>
      <c r="L62" s="733"/>
      <c r="M62" s="728">
        <v>203000000000</v>
      </c>
      <c r="N62" s="728"/>
      <c r="O62" s="728"/>
      <c r="P62" s="729"/>
      <c r="Q62" s="729"/>
      <c r="R62" s="729"/>
      <c r="S62" s="734"/>
      <c r="T62" s="751"/>
      <c r="U62" s="751"/>
      <c r="V62" s="751"/>
      <c r="W62" s="751"/>
      <c r="X62" s="751"/>
      <c r="Y62" s="751"/>
      <c r="Z62" s="751"/>
      <c r="AA62" s="751"/>
    </row>
    <row r="63" spans="1:27" ht="16.5">
      <c r="A63" s="100" t="s">
        <v>5100</v>
      </c>
      <c r="B63" s="100" t="s">
        <v>5101</v>
      </c>
      <c r="C63" s="90" t="s">
        <v>5098</v>
      </c>
      <c r="D63" s="41"/>
      <c r="E63" s="100"/>
      <c r="F63" s="731"/>
      <c r="G63" s="732"/>
      <c r="H63" s="727">
        <v>0</v>
      </c>
      <c r="I63" s="728">
        <v>0</v>
      </c>
      <c r="J63" s="733">
        <v>4000000000</v>
      </c>
      <c r="K63" s="733">
        <v>0</v>
      </c>
      <c r="L63" s="733">
        <v>0</v>
      </c>
      <c r="M63" s="728">
        <v>0</v>
      </c>
      <c r="N63" s="728"/>
      <c r="O63" s="728"/>
      <c r="P63" s="729"/>
      <c r="Q63" s="729"/>
      <c r="R63" s="729"/>
      <c r="S63" s="734"/>
      <c r="T63" s="751"/>
      <c r="U63" s="751"/>
      <c r="V63" s="751"/>
      <c r="W63" s="751"/>
      <c r="X63" s="751"/>
      <c r="Y63" s="751"/>
      <c r="Z63" s="751"/>
      <c r="AA63" s="751"/>
    </row>
    <row r="64" spans="1:27" ht="16.5">
      <c r="A64" s="90"/>
      <c r="B64" s="90" t="s">
        <v>5102</v>
      </c>
      <c r="C64" s="90"/>
      <c r="D64" s="41"/>
      <c r="E64" s="100"/>
      <c r="F64" s="731"/>
      <c r="G64" s="732"/>
      <c r="H64" s="732"/>
      <c r="I64" s="733"/>
      <c r="J64" s="733"/>
      <c r="K64" s="728"/>
      <c r="L64" s="728"/>
      <c r="M64" s="728"/>
      <c r="N64" s="728"/>
      <c r="O64" s="728"/>
      <c r="P64" s="729"/>
      <c r="Q64" s="729"/>
      <c r="R64" s="729"/>
      <c r="S64" s="734"/>
      <c r="T64" s="751"/>
      <c r="U64" s="751"/>
      <c r="V64" s="751"/>
      <c r="W64" s="751"/>
      <c r="X64" s="751"/>
      <c r="Y64" s="751"/>
      <c r="Z64" s="751"/>
      <c r="AA64" s="751"/>
    </row>
    <row r="65" spans="1:27" ht="16.5">
      <c r="A65" s="90" t="s">
        <v>398</v>
      </c>
      <c r="B65" s="128" t="s">
        <v>1222</v>
      </c>
      <c r="C65" s="90" t="s">
        <v>201</v>
      </c>
      <c r="D65" s="41"/>
      <c r="E65" s="100"/>
      <c r="F65" s="743">
        <f t="shared" ref="F65:N65" si="13">F28-F31-F52-F55-F58-F64</f>
        <v>8000000000</v>
      </c>
      <c r="G65" s="743">
        <f t="shared" si="13"/>
        <v>0</v>
      </c>
      <c r="H65" s="743">
        <f t="shared" si="13"/>
        <v>0</v>
      </c>
      <c r="I65" s="734">
        <f t="shared" si="13"/>
        <v>50000000000</v>
      </c>
      <c r="J65" s="734">
        <f t="shared" si="13"/>
        <v>790000000000</v>
      </c>
      <c r="K65" s="734">
        <f t="shared" si="13"/>
        <v>1053000000000</v>
      </c>
      <c r="L65" s="734">
        <f t="shared" si="13"/>
        <v>999000000000</v>
      </c>
      <c r="M65" s="734">
        <f t="shared" si="13"/>
        <v>289000000000</v>
      </c>
      <c r="N65" s="734">
        <f t="shared" si="13"/>
        <v>171000000000</v>
      </c>
      <c r="O65" s="733">
        <f>O28-O31-O52-O58-O64-O55</f>
        <v>273000000000</v>
      </c>
      <c r="P65" s="735"/>
      <c r="Q65" s="735"/>
      <c r="R65" s="735"/>
      <c r="S65" s="734"/>
      <c r="T65" s="733"/>
      <c r="U65" s="733"/>
      <c r="V65" s="733"/>
      <c r="W65" s="733"/>
      <c r="X65" s="733"/>
      <c r="Y65" s="733"/>
      <c r="Z65" s="733"/>
      <c r="AA65" s="733"/>
    </row>
    <row r="66" spans="1:27" ht="16.5">
      <c r="A66" t="s">
        <v>76</v>
      </c>
      <c r="B66" s="90" t="s">
        <v>922</v>
      </c>
      <c r="C66" s="90"/>
      <c r="D66" s="41"/>
      <c r="E66" s="100"/>
      <c r="F66" s="731"/>
      <c r="G66" s="732"/>
      <c r="H66" s="732"/>
      <c r="I66" s="733"/>
      <c r="J66" s="733">
        <v>592000000000</v>
      </c>
      <c r="K66" s="728">
        <v>789000000000</v>
      </c>
      <c r="L66" s="728">
        <v>956000000000</v>
      </c>
      <c r="M66" s="728"/>
      <c r="N66" s="728"/>
      <c r="O66" s="728"/>
      <c r="P66" s="729"/>
      <c r="Q66" s="729"/>
      <c r="R66" s="729"/>
      <c r="S66" s="734"/>
      <c r="T66" s="751"/>
      <c r="U66" s="751"/>
      <c r="V66" s="751"/>
      <c r="W66" s="751"/>
      <c r="X66" s="751"/>
      <c r="Y66" s="751"/>
      <c r="Z66" s="751"/>
      <c r="AA66" s="751"/>
    </row>
    <row r="67" spans="1:27" ht="16.5">
      <c r="A67" t="s">
        <v>76</v>
      </c>
      <c r="B67" s="90" t="s">
        <v>346</v>
      </c>
      <c r="C67" s="90"/>
      <c r="D67" s="100"/>
      <c r="E67" s="100"/>
      <c r="F67" s="731">
        <v>-143000000000</v>
      </c>
      <c r="G67" s="732">
        <v>0</v>
      </c>
      <c r="H67" s="727">
        <v>951000000000</v>
      </c>
      <c r="I67" s="728">
        <v>1387000000000</v>
      </c>
      <c r="J67" s="728">
        <v>1303000000000</v>
      </c>
      <c r="K67" s="728">
        <v>-74000000000</v>
      </c>
      <c r="L67" s="728">
        <v>1129000000000</v>
      </c>
      <c r="M67" s="728">
        <v>-2358000000000</v>
      </c>
      <c r="N67" s="728">
        <v>-2361000000000</v>
      </c>
      <c r="O67" s="728">
        <v>192000000000</v>
      </c>
      <c r="P67" s="742">
        <v>-221000000000</v>
      </c>
      <c r="Q67" s="742">
        <v>-1927000000000</v>
      </c>
      <c r="R67" s="742">
        <v>-1590000000000</v>
      </c>
      <c r="S67" s="730">
        <v>-3332000000000</v>
      </c>
      <c r="T67" s="750">
        <v>-4033000000000</v>
      </c>
      <c r="U67" s="750">
        <v>-6650000000000</v>
      </c>
      <c r="V67" s="750">
        <v>-6371000000000</v>
      </c>
      <c r="W67" s="750">
        <v>-7395000000000</v>
      </c>
      <c r="X67" s="750">
        <v>-7733000000000</v>
      </c>
      <c r="Y67" s="750">
        <v>-9295000000000</v>
      </c>
      <c r="Z67" s="750">
        <v>-10346000000000</v>
      </c>
      <c r="AA67" s="750">
        <v>-12008000000000</v>
      </c>
    </row>
    <row r="68" spans="1:27" ht="16.5">
      <c r="A68" t="s">
        <v>76</v>
      </c>
      <c r="B68" s="90" t="s">
        <v>1929</v>
      </c>
      <c r="C68" s="90"/>
      <c r="D68" s="100"/>
      <c r="E68" s="100"/>
      <c r="F68" s="731"/>
      <c r="G68" s="732"/>
      <c r="H68" s="732"/>
      <c r="I68" s="733"/>
      <c r="J68" s="733"/>
      <c r="K68" s="733"/>
      <c r="L68" s="733"/>
      <c r="M68" s="728">
        <v>-4730000000000</v>
      </c>
      <c r="N68" s="728">
        <v>-6813000000000</v>
      </c>
      <c r="O68" s="728">
        <v>-8100000000000</v>
      </c>
      <c r="P68" s="742">
        <v>-7096000000000</v>
      </c>
      <c r="Q68" s="742">
        <v>-6869000000000</v>
      </c>
      <c r="R68" s="742">
        <v>-6604000000000</v>
      </c>
      <c r="S68" s="730">
        <v>-5617000000000</v>
      </c>
      <c r="T68" s="750">
        <v>-4920000000000</v>
      </c>
      <c r="U68" s="750">
        <v>-7932000000000</v>
      </c>
      <c r="V68" s="750">
        <v>-9984000000000</v>
      </c>
      <c r="W68" s="750">
        <v>-10433000000000</v>
      </c>
      <c r="X68" s="750">
        <v>-10645000000000</v>
      </c>
      <c r="Y68" s="750">
        <v>-11351000000000</v>
      </c>
      <c r="Z68" s="750">
        <v>-12313000000000</v>
      </c>
      <c r="AA68" s="750">
        <v>-13989000000000</v>
      </c>
    </row>
    <row r="69" spans="1:27" ht="16.5">
      <c r="B69" s="90" t="s">
        <v>5103</v>
      </c>
      <c r="C69" s="90"/>
      <c r="D69" s="100"/>
      <c r="E69" s="100"/>
      <c r="F69" s="731"/>
      <c r="G69" s="732"/>
      <c r="H69" s="732"/>
      <c r="I69" s="733"/>
      <c r="J69" s="733"/>
      <c r="K69" s="733"/>
      <c r="L69" s="733"/>
      <c r="M69" s="728"/>
      <c r="N69" s="728"/>
      <c r="O69" s="728"/>
      <c r="P69" s="742"/>
      <c r="Q69" s="742"/>
      <c r="R69" s="742"/>
      <c r="S69" s="730"/>
      <c r="T69" s="750">
        <v>3.6</v>
      </c>
      <c r="U69" s="750">
        <v>3.4</v>
      </c>
      <c r="V69" s="750">
        <v>3.9</v>
      </c>
      <c r="W69" s="750">
        <v>4</v>
      </c>
      <c r="X69" s="750">
        <v>4.0999999999999996</v>
      </c>
      <c r="Y69" s="750">
        <v>4.2</v>
      </c>
      <c r="Z69" s="750">
        <v>4.3</v>
      </c>
      <c r="AA69" s="750">
        <v>4.5</v>
      </c>
    </row>
    <row r="70" spans="1:27" s="9" customFormat="1" ht="16.5">
      <c r="A70" s="18" t="s">
        <v>115</v>
      </c>
      <c r="B70" s="18" t="s">
        <v>115</v>
      </c>
      <c r="C70" s="148" t="s">
        <v>35</v>
      </c>
      <c r="D70" s="172"/>
      <c r="E70" s="172"/>
      <c r="F70" s="739">
        <v>284000000000</v>
      </c>
      <c r="G70" s="744">
        <f>182000000000</f>
        <v>182000000000</v>
      </c>
      <c r="H70" s="744">
        <v>-925000000000</v>
      </c>
      <c r="I70" s="740">
        <v>-1183000000000</v>
      </c>
      <c r="J70" s="740">
        <v>-1680000000000</v>
      </c>
      <c r="K70" s="740">
        <v>-694000000000</v>
      </c>
      <c r="L70" s="740">
        <v>-1326000000000</v>
      </c>
      <c r="M70" s="740">
        <v>2136000000000</v>
      </c>
      <c r="N70" s="740">
        <v>2746000000000</v>
      </c>
      <c r="O70" s="740">
        <v>264000000000</v>
      </c>
      <c r="P70" s="725">
        <v>295000000000</v>
      </c>
      <c r="Q70" s="725">
        <v>2136000000000</v>
      </c>
      <c r="R70" s="725">
        <f>-R67</f>
        <v>1590000000000</v>
      </c>
      <c r="S70" s="745">
        <v>3332000000000</v>
      </c>
      <c r="T70" s="754">
        <f>T71+T76</f>
        <v>3136000000000</v>
      </c>
      <c r="U70" s="754">
        <f t="shared" ref="U70:V70" si="14">U71+U76</f>
        <v>3174000000000</v>
      </c>
      <c r="V70" s="754">
        <f t="shared" si="14"/>
        <v>6371000000000</v>
      </c>
      <c r="W70" s="754">
        <v>7395000000000</v>
      </c>
      <c r="X70" s="754">
        <v>7733000000000</v>
      </c>
      <c r="Y70" s="754">
        <v>9295000000000</v>
      </c>
      <c r="Z70" s="754">
        <v>10346000000000</v>
      </c>
      <c r="AA70" s="754">
        <v>12008000000000</v>
      </c>
    </row>
    <row r="71" spans="1:27" ht="16.5">
      <c r="A71" t="s">
        <v>117</v>
      </c>
      <c r="B71" s="139" t="s">
        <v>280</v>
      </c>
      <c r="C71" s="11" t="s">
        <v>119</v>
      </c>
      <c r="D71" s="41"/>
      <c r="E71" s="100"/>
      <c r="F71" s="726">
        <v>-105000000000</v>
      </c>
      <c r="G71" s="727">
        <v>-153000000000</v>
      </c>
      <c r="H71" s="727">
        <v>-155000000000</v>
      </c>
      <c r="I71" s="728">
        <v>-868000000000</v>
      </c>
      <c r="J71" s="728">
        <v>-772000000000</v>
      </c>
      <c r="K71" s="728">
        <v>2000000000</v>
      </c>
      <c r="L71" s="728">
        <v>2000000000</v>
      </c>
      <c r="M71" s="728">
        <v>55000000000</v>
      </c>
      <c r="N71" s="728">
        <v>130000000000</v>
      </c>
      <c r="O71" s="728">
        <v>238000000000</v>
      </c>
      <c r="P71" s="729">
        <v>121000000000</v>
      </c>
      <c r="Q71" s="729">
        <v>231000000000</v>
      </c>
      <c r="R71" s="729">
        <v>263000000000</v>
      </c>
      <c r="S71" s="730">
        <v>251000000000</v>
      </c>
      <c r="T71" s="750">
        <v>121000000000</v>
      </c>
      <c r="U71" s="750">
        <v>2162000000000</v>
      </c>
      <c r="V71" s="750">
        <v>1047000000000</v>
      </c>
      <c r="W71" s="750">
        <v>543000000000</v>
      </c>
      <c r="X71" s="750">
        <v>481000000000</v>
      </c>
      <c r="Y71" s="750">
        <v>397000000000</v>
      </c>
      <c r="Z71" s="750">
        <v>398000000000</v>
      </c>
      <c r="AA71" s="750">
        <v>356000000000</v>
      </c>
    </row>
    <row r="72" spans="1:27" ht="16.5">
      <c r="A72" s="181" t="s">
        <v>444</v>
      </c>
      <c r="B72" s="152" t="s">
        <v>2546</v>
      </c>
      <c r="C72" s="58" t="s">
        <v>264</v>
      </c>
      <c r="D72" s="41"/>
      <c r="E72" s="182"/>
      <c r="F72" s="726">
        <v>13000000000</v>
      </c>
      <c r="G72" s="727">
        <v>10000000000</v>
      </c>
      <c r="H72" s="727">
        <v>30000000000</v>
      </c>
      <c r="I72" s="728">
        <v>90000000000</v>
      </c>
      <c r="J72" s="728">
        <v>64000000000</v>
      </c>
      <c r="K72" s="728">
        <v>59000000000</v>
      </c>
      <c r="L72" s="728">
        <v>43000000000</v>
      </c>
      <c r="M72" s="728">
        <v>100000000000</v>
      </c>
      <c r="N72" s="728">
        <v>170000000000</v>
      </c>
      <c r="O72" s="728">
        <v>273000000000</v>
      </c>
      <c r="P72" s="729">
        <v>148000000000</v>
      </c>
      <c r="Q72" s="729">
        <v>297000000000</v>
      </c>
      <c r="R72" s="729">
        <v>310000000000</v>
      </c>
      <c r="S72" s="730">
        <v>300000000000</v>
      </c>
      <c r="T72" s="750">
        <v>194000000000</v>
      </c>
      <c r="U72" s="750">
        <v>2221000000000</v>
      </c>
      <c r="V72" s="750">
        <v>1295000000000</v>
      </c>
      <c r="W72" s="750">
        <v>653000000000</v>
      </c>
      <c r="X72" s="750">
        <v>622000000000</v>
      </c>
      <c r="Y72" s="750">
        <v>701000000000</v>
      </c>
      <c r="Z72" s="750">
        <v>636000000000</v>
      </c>
      <c r="AA72" s="750">
        <v>701000000000</v>
      </c>
    </row>
    <row r="73" spans="1:27" ht="16.5">
      <c r="A73" s="64" t="s">
        <v>258</v>
      </c>
      <c r="B73" s="152" t="s">
        <v>258</v>
      </c>
      <c r="C73" s="58" t="s">
        <v>264</v>
      </c>
      <c r="D73" s="41"/>
      <c r="E73" s="100"/>
      <c r="F73" s="726">
        <v>-101000000000</v>
      </c>
      <c r="G73" s="727">
        <v>-163000000000</v>
      </c>
      <c r="H73" s="727">
        <v>-185000000000</v>
      </c>
      <c r="I73" s="728">
        <v>-958000000000</v>
      </c>
      <c r="J73" s="728">
        <v>-69000000000</v>
      </c>
      <c r="K73" s="728">
        <v>-57000000000</v>
      </c>
      <c r="L73" s="728">
        <v>-41000000000</v>
      </c>
      <c r="M73" s="728">
        <v>-45000000000</v>
      </c>
      <c r="N73" s="728">
        <v>-40000000000</v>
      </c>
      <c r="O73" s="728">
        <v>-36000000000</v>
      </c>
      <c r="P73" s="729">
        <v>-27000000000</v>
      </c>
      <c r="Q73" s="729">
        <v>-34000000000</v>
      </c>
      <c r="R73" s="729">
        <v>-27000000000</v>
      </c>
      <c r="S73" s="730">
        <v>-31000000000</v>
      </c>
      <c r="T73" s="750">
        <v>-35000000000</v>
      </c>
      <c r="U73" s="750">
        <v>-59000000000</v>
      </c>
      <c r="V73" s="750">
        <v>-249000000000</v>
      </c>
      <c r="W73" s="750">
        <v>-110000000000</v>
      </c>
      <c r="X73" s="750">
        <v>-142000000000</v>
      </c>
      <c r="Y73" s="750">
        <v>-304000000000</v>
      </c>
      <c r="Z73" s="750">
        <v>-237000000000</v>
      </c>
      <c r="AA73" s="750">
        <v>-345000000000</v>
      </c>
    </row>
    <row r="74" spans="1:27" ht="16.5">
      <c r="A74" s="99" t="s">
        <v>5104</v>
      </c>
      <c r="B74" s="99" t="s">
        <v>5105</v>
      </c>
      <c r="C74" s="58" t="s">
        <v>264</v>
      </c>
      <c r="D74" s="41"/>
      <c r="E74" s="100"/>
      <c r="F74" s="731"/>
      <c r="G74" s="732"/>
      <c r="H74" s="732"/>
      <c r="I74" s="733"/>
      <c r="J74" s="733"/>
      <c r="K74" s="733"/>
      <c r="L74" s="733"/>
      <c r="M74" s="728"/>
      <c r="N74" s="728"/>
      <c r="O74" s="728"/>
      <c r="P74" s="729">
        <v>0</v>
      </c>
      <c r="Q74" s="729">
        <v>-31000000000</v>
      </c>
      <c r="R74" s="729">
        <v>-19000000000</v>
      </c>
      <c r="S74" s="730">
        <v>-18000000000</v>
      </c>
      <c r="T74" s="750">
        <v>-38000000000</v>
      </c>
      <c r="U74" s="750">
        <v>-1000000000</v>
      </c>
      <c r="V74" s="750">
        <v>0</v>
      </c>
      <c r="W74" s="750">
        <v>0</v>
      </c>
      <c r="X74" s="750">
        <v>0</v>
      </c>
      <c r="Y74" s="750">
        <v>0</v>
      </c>
      <c r="Z74" s="750">
        <v>0</v>
      </c>
      <c r="AA74" s="750">
        <v>0</v>
      </c>
    </row>
    <row r="75" spans="1:27" ht="16.5">
      <c r="A75" s="13" t="s">
        <v>5106</v>
      </c>
      <c r="B75" s="13" t="s">
        <v>5107</v>
      </c>
      <c r="C75" s="58" t="s">
        <v>264</v>
      </c>
      <c r="D75" s="41"/>
      <c r="E75" s="100"/>
      <c r="F75" s="731">
        <v>-17000000000</v>
      </c>
      <c r="G75" s="732"/>
      <c r="H75" s="732"/>
      <c r="I75" s="733"/>
      <c r="J75" s="733">
        <v>-767000000000</v>
      </c>
      <c r="K75" s="733"/>
      <c r="L75" s="733"/>
      <c r="M75" s="728"/>
      <c r="N75" s="728"/>
      <c r="O75" s="728"/>
      <c r="P75" s="729"/>
      <c r="Q75" s="729"/>
      <c r="R75" s="729"/>
      <c r="S75" s="734"/>
      <c r="T75" s="751"/>
      <c r="U75" s="751"/>
      <c r="V75" s="751"/>
      <c r="W75" s="751"/>
      <c r="X75" s="751"/>
      <c r="Y75" s="751"/>
      <c r="Z75" s="751"/>
      <c r="AA75" s="751"/>
    </row>
    <row r="76" spans="1:27" ht="16.5">
      <c r="A76" t="s">
        <v>120</v>
      </c>
      <c r="B76" s="139" t="s">
        <v>209</v>
      </c>
      <c r="C76" s="11" t="s">
        <v>119</v>
      </c>
      <c r="D76" s="41"/>
      <c r="E76" s="100"/>
      <c r="F76" s="746">
        <f>369000000000+F84+F85+F86+F87</f>
        <v>389000000000</v>
      </c>
      <c r="G76" s="746">
        <f>G77+G85</f>
        <v>335000000000</v>
      </c>
      <c r="H76" s="746">
        <f>H77+H87+H85+H84+H86</f>
        <v>-771000000000</v>
      </c>
      <c r="I76" s="747">
        <f>-393000000000+I84+I85</f>
        <v>-314000000000</v>
      </c>
      <c r="J76" s="728">
        <f>-937000000000+J87</f>
        <v>-907000000000</v>
      </c>
      <c r="K76" s="728">
        <v>-696000000000</v>
      </c>
      <c r="L76" s="728">
        <v>-1328000000000</v>
      </c>
      <c r="M76" s="728">
        <v>2081000000000</v>
      </c>
      <c r="N76" s="728">
        <v>2616000000000</v>
      </c>
      <c r="O76" s="728">
        <v>26000000000</v>
      </c>
      <c r="P76" s="729">
        <v>174000000000</v>
      </c>
      <c r="Q76" s="729">
        <v>1904000000000</v>
      </c>
      <c r="R76" s="729">
        <v>2601000000000</v>
      </c>
      <c r="S76" s="730">
        <v>1511000000000</v>
      </c>
      <c r="T76" s="750">
        <v>3015000000000</v>
      </c>
      <c r="U76" s="750">
        <v>1012000000000</v>
      </c>
      <c r="V76" s="750">
        <v>5324000000000</v>
      </c>
      <c r="W76" s="750">
        <v>6853000000000</v>
      </c>
      <c r="X76" s="750">
        <v>7253000000000</v>
      </c>
      <c r="Y76" s="750">
        <v>8897000000000</v>
      </c>
      <c r="Z76" s="750">
        <v>9948000000000</v>
      </c>
      <c r="AA76" s="750">
        <v>11653000000000</v>
      </c>
    </row>
    <row r="77" spans="1:27" ht="16.5">
      <c r="A77" t="s">
        <v>122</v>
      </c>
      <c r="B77" s="99" t="s">
        <v>5108</v>
      </c>
      <c r="C77" s="90" t="s">
        <v>124</v>
      </c>
      <c r="D77" s="41"/>
      <c r="E77" s="100"/>
      <c r="F77" s="748">
        <f>F79+F80+F81+F82+F83</f>
        <v>369000000000</v>
      </c>
      <c r="G77" s="748">
        <f>G79+G80+G81+G793+G82+G83</f>
        <v>305000000000</v>
      </c>
      <c r="H77" s="748">
        <f>H79+H80+H81+H793+H82+H83</f>
        <v>-778000000000</v>
      </c>
      <c r="I77" s="747">
        <f>I79+I80+I81+I793+I82+I83</f>
        <v>-393000000000</v>
      </c>
      <c r="J77" s="728">
        <f>J79+J80+J81+J82+J83</f>
        <v>-937000000000</v>
      </c>
      <c r="K77" s="728">
        <v>-208000000000</v>
      </c>
      <c r="L77" s="728">
        <v>-1194000000000</v>
      </c>
      <c r="M77" s="728">
        <v>921000000000</v>
      </c>
      <c r="N77" s="728">
        <v>1175000000000</v>
      </c>
      <c r="O77" s="728">
        <v>362000000000</v>
      </c>
      <c r="P77" s="729">
        <v>-1751000000000</v>
      </c>
      <c r="Q77" s="729">
        <v>989000000000</v>
      </c>
      <c r="R77" s="729">
        <v>2474000000000</v>
      </c>
      <c r="S77" s="730">
        <v>1507000000000</v>
      </c>
      <c r="T77" s="750">
        <v>2355000000000</v>
      </c>
      <c r="U77" s="750">
        <v>-887000000000</v>
      </c>
      <c r="V77" s="750">
        <v>4712000000000</v>
      </c>
      <c r="W77" s="750">
        <v>5823000000000</v>
      </c>
      <c r="X77" s="750">
        <v>6413000000000</v>
      </c>
      <c r="Y77" s="750">
        <v>7741000000000</v>
      </c>
      <c r="Z77" s="750">
        <v>8245000000000</v>
      </c>
      <c r="AA77" s="750">
        <v>8545000000000</v>
      </c>
    </row>
    <row r="78" spans="1:27" ht="16.5">
      <c r="B78" s="99" t="s">
        <v>5109</v>
      </c>
      <c r="C78" s="90"/>
      <c r="D78" s="41"/>
      <c r="E78" s="100"/>
      <c r="F78" s="748"/>
      <c r="G78" s="748"/>
      <c r="H78" s="748"/>
      <c r="I78" s="747"/>
      <c r="J78" s="728"/>
      <c r="K78" s="728"/>
      <c r="L78" s="728"/>
      <c r="M78" s="728"/>
      <c r="N78" s="728"/>
      <c r="O78" s="728"/>
      <c r="P78" s="729"/>
      <c r="Q78" s="729"/>
      <c r="R78" s="729"/>
      <c r="S78" s="730"/>
      <c r="T78" s="750">
        <v>0</v>
      </c>
      <c r="U78" s="750">
        <v>-159000000000</v>
      </c>
      <c r="V78" s="750">
        <v>4398000000000</v>
      </c>
      <c r="W78" s="750">
        <v>5288000000000</v>
      </c>
      <c r="X78" s="750">
        <v>6053000000000</v>
      </c>
      <c r="Y78" s="750">
        <v>7148000000000</v>
      </c>
      <c r="Z78" s="750">
        <v>7286000000000</v>
      </c>
      <c r="AA78" s="750">
        <v>6974000000000</v>
      </c>
    </row>
    <row r="79" spans="1:27" ht="16.5">
      <c r="B79" s="100" t="s">
        <v>5110</v>
      </c>
      <c r="C79" s="90"/>
      <c r="D79" s="41"/>
      <c r="E79" s="100"/>
      <c r="F79" s="731"/>
      <c r="G79" s="732"/>
      <c r="H79" s="732"/>
      <c r="I79" s="733"/>
      <c r="J79" s="733"/>
      <c r="K79" s="733"/>
      <c r="L79" s="733"/>
      <c r="M79" s="733"/>
      <c r="N79" s="728"/>
      <c r="O79" s="728"/>
      <c r="P79" s="729">
        <v>847000000000</v>
      </c>
      <c r="Q79" s="729">
        <v>1534000000000</v>
      </c>
      <c r="R79" s="729"/>
      <c r="S79" s="734"/>
      <c r="T79" s="751">
        <v>0</v>
      </c>
      <c r="U79" s="751">
        <v>-151000000000</v>
      </c>
      <c r="V79" s="751">
        <v>-54000000000</v>
      </c>
      <c r="W79" s="751">
        <v>654000000000</v>
      </c>
      <c r="X79" s="751">
        <v>571000000000</v>
      </c>
      <c r="Y79" s="751">
        <v>542000000000</v>
      </c>
      <c r="Z79" s="751">
        <v>522000000000</v>
      </c>
      <c r="AA79" s="751">
        <v>0</v>
      </c>
    </row>
    <row r="80" spans="1:27" ht="16.5">
      <c r="B80" s="100" t="s">
        <v>5111</v>
      </c>
      <c r="D80" s="41"/>
      <c r="E80" s="100"/>
      <c r="F80" s="731">
        <v>138000000000</v>
      </c>
      <c r="G80" s="727">
        <v>415000000000</v>
      </c>
      <c r="H80" s="727">
        <v>-975000000000</v>
      </c>
      <c r="I80" s="728">
        <v>-503000000000</v>
      </c>
      <c r="J80" s="728">
        <v>-1204000000000</v>
      </c>
      <c r="K80" s="733"/>
      <c r="L80" s="733"/>
      <c r="M80" s="733"/>
      <c r="N80" s="733"/>
      <c r="O80" s="733"/>
      <c r="P80" s="735"/>
      <c r="Q80" s="735"/>
      <c r="R80" s="735"/>
      <c r="S80" s="734"/>
      <c r="T80" s="751"/>
      <c r="U80" s="751"/>
      <c r="V80" s="751"/>
      <c r="W80" s="751"/>
      <c r="X80" s="751"/>
      <c r="Y80" s="751"/>
      <c r="Z80" s="751"/>
      <c r="AA80" s="751"/>
    </row>
    <row r="81" spans="1:27" ht="16.5">
      <c r="A81" t="s">
        <v>76</v>
      </c>
      <c r="B81" s="100" t="s">
        <v>5112</v>
      </c>
      <c r="C81" s="90"/>
      <c r="D81" s="41"/>
      <c r="E81" s="100"/>
      <c r="F81" s="731"/>
      <c r="G81" s="732"/>
      <c r="H81" s="732"/>
      <c r="I81" s="733"/>
      <c r="J81" s="728">
        <v>267000000000</v>
      </c>
      <c r="K81" s="733"/>
      <c r="L81" s="733"/>
      <c r="M81" s="733"/>
      <c r="N81" s="733"/>
      <c r="O81" s="733"/>
      <c r="P81" s="735"/>
      <c r="Q81" s="735"/>
      <c r="R81" s="735"/>
      <c r="S81" s="734"/>
      <c r="T81" s="751">
        <v>0</v>
      </c>
      <c r="U81" s="751">
        <v>-728000000000</v>
      </c>
      <c r="V81" s="751">
        <v>314000000000</v>
      </c>
      <c r="W81" s="751">
        <v>535000000000</v>
      </c>
      <c r="X81" s="751">
        <v>360000000000</v>
      </c>
      <c r="Y81" s="751">
        <v>593000000000</v>
      </c>
      <c r="Z81" s="751">
        <v>959000000000</v>
      </c>
      <c r="AA81" s="751">
        <v>1570000000000</v>
      </c>
    </row>
    <row r="82" spans="1:27" ht="16.5">
      <c r="A82" t="s">
        <v>76</v>
      </c>
      <c r="B82" s="100" t="s">
        <v>5113</v>
      </c>
      <c r="C82" s="90"/>
      <c r="D82" s="41"/>
      <c r="E82" s="100"/>
      <c r="F82" s="726">
        <v>261000000000</v>
      </c>
      <c r="G82" s="727">
        <v>-116000000000</v>
      </c>
      <c r="H82" s="727">
        <v>193000000000</v>
      </c>
      <c r="I82" s="728">
        <v>95000000000</v>
      </c>
      <c r="J82" s="728"/>
      <c r="K82" s="728"/>
      <c r="L82" s="728"/>
      <c r="M82" s="728"/>
      <c r="N82" s="728"/>
      <c r="O82" s="728"/>
      <c r="P82" s="729"/>
      <c r="Q82" s="729"/>
      <c r="R82" s="729"/>
      <c r="S82" s="734"/>
      <c r="T82" s="751"/>
      <c r="U82" s="751"/>
      <c r="V82" s="751"/>
      <c r="W82" s="751"/>
      <c r="X82" s="751"/>
      <c r="Y82" s="751"/>
      <c r="Z82" s="751"/>
      <c r="AA82" s="751"/>
    </row>
    <row r="83" spans="1:27" ht="16.5">
      <c r="A83" t="s">
        <v>76</v>
      </c>
      <c r="B83" s="100" t="s">
        <v>5114</v>
      </c>
      <c r="C83" s="90"/>
      <c r="D83" s="41"/>
      <c r="E83" s="100"/>
      <c r="F83" s="726">
        <v>-30000000000</v>
      </c>
      <c r="G83" s="727">
        <v>6000000000</v>
      </c>
      <c r="H83" s="727">
        <v>4000000000</v>
      </c>
      <c r="I83" s="728">
        <v>15000000000</v>
      </c>
      <c r="J83" s="728"/>
      <c r="K83" s="728"/>
      <c r="L83" s="728"/>
      <c r="M83" s="728"/>
      <c r="N83" s="728"/>
      <c r="O83" s="728"/>
      <c r="P83" s="729"/>
      <c r="Q83" s="729"/>
      <c r="R83" s="729"/>
      <c r="S83" s="734"/>
      <c r="T83" s="751"/>
      <c r="U83" s="751"/>
      <c r="V83" s="751"/>
      <c r="W83" s="751"/>
      <c r="X83" s="751"/>
      <c r="Y83" s="751"/>
      <c r="Z83" s="751"/>
      <c r="AA83" s="751"/>
    </row>
    <row r="84" spans="1:27" ht="16.5">
      <c r="A84" s="20" t="s">
        <v>858</v>
      </c>
      <c r="B84" s="99" t="s">
        <v>1350</v>
      </c>
      <c r="C84" s="90" t="s">
        <v>124</v>
      </c>
      <c r="D84" s="100"/>
      <c r="E84" s="100"/>
      <c r="F84" s="731">
        <v>20000000000</v>
      </c>
      <c r="G84" s="727">
        <v>0</v>
      </c>
      <c r="H84" s="727">
        <v>0</v>
      </c>
      <c r="I84" s="728">
        <v>20000000000</v>
      </c>
      <c r="J84" s="728"/>
      <c r="K84" s="728"/>
      <c r="L84" s="728"/>
      <c r="M84" s="728"/>
      <c r="N84" s="728"/>
      <c r="O84" s="728"/>
      <c r="P84" s="729"/>
      <c r="Q84" s="729"/>
      <c r="R84" s="729"/>
      <c r="S84" s="734"/>
      <c r="T84" s="751"/>
      <c r="U84" s="751"/>
      <c r="V84" s="751"/>
      <c r="W84" s="751"/>
      <c r="X84" s="751"/>
      <c r="Y84" s="751"/>
      <c r="Z84" s="751"/>
      <c r="AA84" s="751"/>
    </row>
    <row r="85" spans="1:27" ht="16.5">
      <c r="A85" s="99" t="s">
        <v>5115</v>
      </c>
      <c r="B85" s="99" t="s">
        <v>5116</v>
      </c>
      <c r="C85" s="90" t="s">
        <v>124</v>
      </c>
      <c r="D85" s="100"/>
      <c r="E85" s="100"/>
      <c r="F85" s="731">
        <v>0</v>
      </c>
      <c r="G85" s="732">
        <v>30000000000</v>
      </c>
      <c r="H85" s="727">
        <v>7000000000</v>
      </c>
      <c r="I85" s="728">
        <v>59000000000</v>
      </c>
      <c r="J85" s="728"/>
      <c r="K85" s="728"/>
      <c r="L85" s="728"/>
      <c r="M85" s="728"/>
      <c r="N85" s="728"/>
      <c r="O85" s="728"/>
      <c r="P85" s="729"/>
      <c r="Q85" s="729"/>
      <c r="R85" s="729"/>
      <c r="S85" s="734"/>
      <c r="T85" s="751"/>
      <c r="U85" s="751"/>
      <c r="V85" s="751"/>
      <c r="W85" s="751"/>
      <c r="X85" s="751"/>
      <c r="Y85" s="751"/>
      <c r="Z85" s="751"/>
      <c r="AA85" s="751"/>
    </row>
    <row r="86" spans="1:27" ht="16.5">
      <c r="A86" t="s">
        <v>428</v>
      </c>
      <c r="B86" s="99" t="s">
        <v>1270</v>
      </c>
      <c r="C86" s="90" t="s">
        <v>124</v>
      </c>
      <c r="D86" s="41"/>
      <c r="E86" s="100"/>
      <c r="F86" s="731"/>
      <c r="G86" s="732"/>
      <c r="H86" s="732"/>
      <c r="I86" s="733"/>
      <c r="J86" s="728">
        <v>0</v>
      </c>
      <c r="K86" s="728">
        <v>-488000000000</v>
      </c>
      <c r="L86" s="728">
        <v>-134000000000</v>
      </c>
      <c r="M86" s="728">
        <v>1123000000000</v>
      </c>
      <c r="N86" s="728">
        <v>1324000000000</v>
      </c>
      <c r="O86" s="728">
        <v>-356000000000</v>
      </c>
      <c r="P86" s="729">
        <v>1904000000000</v>
      </c>
      <c r="Q86" s="729">
        <v>906000000000</v>
      </c>
      <c r="R86" s="729">
        <v>109000000000</v>
      </c>
      <c r="S86" s="730">
        <v>-15000000000</v>
      </c>
      <c r="T86" s="750">
        <v>641000000000</v>
      </c>
      <c r="U86" s="750">
        <v>1899000000000</v>
      </c>
      <c r="V86" s="750">
        <v>505000000000</v>
      </c>
      <c r="W86" s="750">
        <v>691000000000</v>
      </c>
      <c r="X86" s="750">
        <v>501000000000</v>
      </c>
      <c r="Y86" s="750">
        <v>920000000000</v>
      </c>
      <c r="Z86" s="750">
        <v>1703000000000</v>
      </c>
      <c r="AA86" s="750">
        <v>3108000000000</v>
      </c>
    </row>
    <row r="87" spans="1:27" ht="16.5">
      <c r="A87" s="99" t="s">
        <v>2466</v>
      </c>
      <c r="B87" s="99" t="s">
        <v>2467</v>
      </c>
      <c r="C87" s="90" t="s">
        <v>124</v>
      </c>
      <c r="D87" s="41"/>
      <c r="E87" s="100"/>
      <c r="F87" s="731"/>
      <c r="G87" s="732"/>
      <c r="H87" s="732"/>
      <c r="I87" s="733"/>
      <c r="J87" s="728">
        <v>30000000000</v>
      </c>
      <c r="K87" s="733"/>
      <c r="L87" s="733"/>
      <c r="M87" s="728">
        <v>37000000000</v>
      </c>
      <c r="N87" s="728">
        <v>117000000000</v>
      </c>
      <c r="O87" s="728">
        <v>20000000000</v>
      </c>
      <c r="P87" s="729">
        <v>20000000000</v>
      </c>
      <c r="Q87" s="729">
        <v>10000000000</v>
      </c>
      <c r="R87" s="729">
        <v>18000000000</v>
      </c>
      <c r="S87" s="730">
        <v>19000000000</v>
      </c>
      <c r="T87" s="750">
        <v>19000000000</v>
      </c>
      <c r="U87" s="750">
        <v>0</v>
      </c>
      <c r="V87" s="750">
        <v>0</v>
      </c>
      <c r="W87" s="750">
        <v>0</v>
      </c>
      <c r="X87" s="750">
        <v>0</v>
      </c>
      <c r="Y87" s="750">
        <v>0</v>
      </c>
      <c r="Z87" s="750">
        <v>0</v>
      </c>
      <c r="AA87" s="750">
        <v>0</v>
      </c>
    </row>
    <row r="88" spans="1:27" ht="16.5">
      <c r="A88" s="99" t="s">
        <v>5117</v>
      </c>
      <c r="B88" s="99" t="s">
        <v>5117</v>
      </c>
      <c r="C88" s="90" t="s">
        <v>124</v>
      </c>
      <c r="D88" s="41"/>
      <c r="E88" s="100"/>
      <c r="F88" s="731"/>
      <c r="G88" s="732"/>
      <c r="H88" s="732"/>
      <c r="I88" s="733"/>
      <c r="J88" s="728"/>
      <c r="K88" s="733"/>
      <c r="L88" s="733"/>
      <c r="M88" s="728"/>
      <c r="N88" s="728"/>
      <c r="O88" s="728"/>
      <c r="P88" s="729"/>
      <c r="Q88" s="729"/>
      <c r="R88" s="729"/>
      <c r="S88" s="730"/>
      <c r="T88" s="750">
        <v>0</v>
      </c>
      <c r="U88" s="750">
        <v>0</v>
      </c>
      <c r="V88" s="750">
        <v>107000000000</v>
      </c>
      <c r="W88" s="750">
        <v>339000000000</v>
      </c>
      <c r="X88" s="750">
        <v>339000000000</v>
      </c>
      <c r="Y88" s="750">
        <v>237000000000</v>
      </c>
      <c r="Z88" s="750">
        <v>0</v>
      </c>
      <c r="AA88" s="750">
        <v>0</v>
      </c>
    </row>
    <row r="89" spans="1:27" ht="16.5">
      <c r="B89" s="90" t="s">
        <v>5118</v>
      </c>
      <c r="D89" s="100"/>
      <c r="E89" s="100"/>
      <c r="F89" s="731">
        <v>140000000000</v>
      </c>
      <c r="G89" s="727">
        <v>182000000000</v>
      </c>
      <c r="H89" s="727">
        <v>26000000000</v>
      </c>
      <c r="I89" s="728">
        <v>204000000000</v>
      </c>
      <c r="J89" s="728">
        <v>-377000000000</v>
      </c>
      <c r="K89" s="728">
        <v>756000000000</v>
      </c>
      <c r="L89" s="728">
        <v>197000000000</v>
      </c>
      <c r="M89" s="728">
        <v>223000000000</v>
      </c>
      <c r="N89" s="728">
        <v>-384000000000</v>
      </c>
      <c r="O89" s="728">
        <v>-455000000000</v>
      </c>
      <c r="P89" s="729">
        <v>937000000000</v>
      </c>
      <c r="Q89" s="729">
        <v>0</v>
      </c>
      <c r="R89" s="729"/>
      <c r="S89" s="734"/>
      <c r="T89" s="751"/>
      <c r="U89" s="751"/>
      <c r="V89" s="751"/>
      <c r="W89" s="751"/>
      <c r="X89" s="751"/>
      <c r="Y89" s="751"/>
      <c r="Z89" s="751"/>
      <c r="AA89" s="751"/>
    </row>
    <row r="90" spans="1:27" ht="16.5">
      <c r="A90" t="s">
        <v>5119</v>
      </c>
      <c r="B90" s="90" t="s">
        <v>2606</v>
      </c>
      <c r="C90" s="11" t="s">
        <v>119</v>
      </c>
      <c r="D90" s="100"/>
      <c r="E90" s="100"/>
      <c r="F90" s="731"/>
      <c r="G90" s="727"/>
      <c r="H90" s="727"/>
      <c r="I90" s="728"/>
      <c r="J90" s="728"/>
      <c r="K90" s="728"/>
      <c r="L90" s="728"/>
      <c r="M90" s="728"/>
      <c r="N90" s="728"/>
      <c r="O90" s="728"/>
      <c r="P90" s="729"/>
      <c r="Q90" s="729"/>
      <c r="R90" s="729">
        <v>-1274000000000</v>
      </c>
      <c r="S90" s="730">
        <v>1569000000000</v>
      </c>
      <c r="T90" s="751"/>
      <c r="U90" s="751"/>
      <c r="V90" s="750">
        <v>0</v>
      </c>
      <c r="W90" s="750">
        <v>0</v>
      </c>
      <c r="X90" s="750">
        <v>0</v>
      </c>
      <c r="Y90" s="750">
        <v>0</v>
      </c>
      <c r="Z90" s="750">
        <v>0</v>
      </c>
      <c r="AA90" s="750"/>
    </row>
    <row r="91" spans="1:27" ht="16.5">
      <c r="B91" s="90"/>
      <c r="C91" s="11"/>
      <c r="D91" s="100"/>
      <c r="E91" s="100"/>
      <c r="F91" s="175"/>
      <c r="G91" s="164"/>
      <c r="H91" s="164"/>
      <c r="I91" s="164"/>
      <c r="J91" s="164"/>
      <c r="K91" s="164"/>
      <c r="L91" s="164"/>
      <c r="M91" s="164"/>
      <c r="N91" s="141"/>
      <c r="O91" s="141"/>
      <c r="P91" s="465"/>
      <c r="Q91" s="465"/>
      <c r="R91" s="465"/>
      <c r="S91" s="475"/>
      <c r="T91" s="475"/>
      <c r="U91" s="475"/>
      <c r="V91" s="475"/>
      <c r="W91" s="475"/>
      <c r="X91" s="475"/>
      <c r="Y91" s="475"/>
      <c r="Z91" s="475"/>
      <c r="AA91" s="475"/>
    </row>
    <row r="92" spans="1:27" ht="16.5">
      <c r="B92" s="90"/>
      <c r="C92" s="11"/>
      <c r="D92" s="100"/>
      <c r="E92" s="100"/>
      <c r="F92" s="175"/>
      <c r="G92" s="164"/>
      <c r="H92" s="164"/>
      <c r="I92" s="164"/>
      <c r="J92" s="164"/>
      <c r="K92" s="164"/>
      <c r="L92" s="164"/>
      <c r="M92" s="164"/>
      <c r="N92" s="141"/>
      <c r="O92" s="141"/>
      <c r="P92" s="465"/>
      <c r="Q92" s="465"/>
      <c r="R92" s="465"/>
      <c r="S92" s="475"/>
      <c r="T92" s="475"/>
      <c r="U92" s="475"/>
      <c r="V92" s="475"/>
      <c r="W92" s="475"/>
      <c r="X92" s="475"/>
      <c r="Y92" s="475"/>
      <c r="Z92" s="475"/>
      <c r="AA92" s="475"/>
    </row>
    <row r="93" spans="1:27" ht="16.5">
      <c r="B93" s="702" t="s">
        <v>5120</v>
      </c>
      <c r="C93" s="11"/>
      <c r="D93" s="100"/>
      <c r="E93" s="100"/>
      <c r="F93" s="175"/>
      <c r="G93" s="164"/>
      <c r="H93" s="164"/>
      <c r="I93" s="164"/>
      <c r="J93" s="164"/>
      <c r="K93" s="164"/>
      <c r="L93" s="164"/>
      <c r="M93" s="164"/>
      <c r="N93" s="141"/>
      <c r="O93" s="141"/>
      <c r="P93" s="465"/>
      <c r="Q93" s="465"/>
      <c r="R93" s="465"/>
      <c r="S93" s="475"/>
      <c r="T93" s="756">
        <v>0</v>
      </c>
      <c r="U93" s="756">
        <v>681100000000</v>
      </c>
      <c r="V93" s="756">
        <v>329700000000</v>
      </c>
      <c r="W93" s="756">
        <v>171000000000</v>
      </c>
      <c r="X93" s="756">
        <v>151400000000</v>
      </c>
      <c r="Y93" s="756">
        <v>125100000000</v>
      </c>
      <c r="Z93" s="756">
        <v>125500000000</v>
      </c>
      <c r="AA93" s="756">
        <v>112000000000</v>
      </c>
    </row>
    <row r="94" spans="1:27" ht="16.5">
      <c r="B94" s="702" t="s">
        <v>5121</v>
      </c>
      <c r="C94" s="11"/>
      <c r="D94" s="100"/>
      <c r="E94" s="100"/>
      <c r="F94" s="175"/>
      <c r="G94" s="164"/>
      <c r="H94" s="164"/>
      <c r="I94" s="164"/>
      <c r="J94" s="164"/>
      <c r="K94" s="164"/>
      <c r="L94" s="164"/>
      <c r="M94" s="164"/>
      <c r="N94" s="141"/>
      <c r="O94" s="141"/>
      <c r="P94" s="465"/>
      <c r="Q94" s="465"/>
      <c r="R94" s="465"/>
      <c r="S94" s="475"/>
      <c r="T94" s="756">
        <v>38</v>
      </c>
      <c r="U94" s="756">
        <v>44.5</v>
      </c>
      <c r="V94" s="756">
        <v>47</v>
      </c>
      <c r="W94" s="756">
        <v>63.9</v>
      </c>
      <c r="X94" s="756">
        <v>61.1</v>
      </c>
      <c r="Y94" s="756">
        <v>59.6</v>
      </c>
      <c r="Z94" s="756">
        <v>59.1</v>
      </c>
      <c r="AA94" s="756">
        <v>59</v>
      </c>
    </row>
    <row r="95" spans="1:27" ht="16.5">
      <c r="B95" s="702" t="s">
        <v>5122</v>
      </c>
      <c r="C95" s="11"/>
      <c r="D95" s="100"/>
      <c r="E95" s="100"/>
      <c r="F95" s="175"/>
      <c r="G95" s="164"/>
      <c r="H95" s="164"/>
      <c r="I95" s="164"/>
      <c r="J95" s="164"/>
      <c r="K95" s="164"/>
      <c r="L95" s="164"/>
      <c r="M95" s="164"/>
      <c r="N95" s="141"/>
      <c r="O95" s="141"/>
      <c r="P95" s="465"/>
      <c r="Q95" s="465"/>
      <c r="R95" s="465"/>
      <c r="S95" s="475"/>
      <c r="T95" s="756">
        <v>-3.9</v>
      </c>
      <c r="U95" s="756">
        <v>-5.5</v>
      </c>
      <c r="V95" s="756">
        <v>-4.5</v>
      </c>
      <c r="W95" s="756">
        <v>-4.4000000000000004</v>
      </c>
      <c r="X95" s="756">
        <v>-4</v>
      </c>
      <c r="Y95" s="756">
        <v>-4.0999999999999996</v>
      </c>
      <c r="Z95" s="756">
        <v>-3.9</v>
      </c>
      <c r="AA95" s="756">
        <v>-3.9</v>
      </c>
    </row>
    <row r="96" spans="1:27" ht="16.5">
      <c r="B96" s="702" t="s">
        <v>5123</v>
      </c>
      <c r="C96" s="11"/>
      <c r="D96" s="100"/>
      <c r="E96" s="100"/>
      <c r="F96" s="175"/>
      <c r="G96" s="164"/>
      <c r="H96" s="164"/>
      <c r="I96" s="164"/>
      <c r="J96" s="164"/>
      <c r="K96" s="164"/>
      <c r="L96" s="164"/>
      <c r="M96" s="164"/>
      <c r="N96" s="141"/>
      <c r="O96" s="141"/>
      <c r="P96" s="465"/>
      <c r="Q96" s="465"/>
      <c r="R96" s="465"/>
      <c r="S96" s="475"/>
      <c r="T96" s="475"/>
      <c r="U96" s="475"/>
      <c r="V96" s="475"/>
      <c r="W96" s="475"/>
      <c r="X96" s="475"/>
      <c r="Y96" s="475"/>
      <c r="Z96" s="475"/>
      <c r="AA96" s="475"/>
    </row>
    <row r="97" spans="2:27" ht="16.5">
      <c r="B97" s="90"/>
      <c r="C97" s="11"/>
      <c r="D97" s="100"/>
      <c r="E97" s="100"/>
      <c r="F97" s="175"/>
      <c r="G97" s="164"/>
      <c r="H97" s="164"/>
      <c r="I97" s="164"/>
      <c r="J97" s="164"/>
      <c r="K97" s="164"/>
      <c r="L97" s="164"/>
      <c r="M97" s="164"/>
      <c r="N97" s="141"/>
      <c r="O97" s="141"/>
      <c r="P97" s="465"/>
      <c r="Q97" s="465"/>
      <c r="R97" s="465"/>
      <c r="S97" s="475"/>
      <c r="T97" s="475"/>
      <c r="U97" s="475"/>
      <c r="V97" s="475"/>
      <c r="W97" s="475"/>
      <c r="X97" s="475"/>
      <c r="Y97" s="475"/>
      <c r="Z97" s="475"/>
      <c r="AA97" s="475"/>
    </row>
    <row r="98" spans="2:27">
      <c r="Y98" s="598"/>
      <c r="Z98" s="598"/>
      <c r="AA98" s="598"/>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450</v>
      </c>
      <c r="F101" s="79">
        <f t="shared" ref="F101:U101" si="15">F7-F18-F8</f>
        <v>0</v>
      </c>
      <c r="G101" s="79">
        <f t="shared" si="15"/>
        <v>0</v>
      </c>
      <c r="H101" s="79">
        <f t="shared" si="15"/>
        <v>-1000000000</v>
      </c>
      <c r="I101" s="79">
        <f t="shared" si="15"/>
        <v>-1000000000</v>
      </c>
      <c r="J101" s="79">
        <f t="shared" si="15"/>
        <v>0</v>
      </c>
      <c r="K101" s="79">
        <f t="shared" si="15"/>
        <v>0</v>
      </c>
      <c r="L101" s="79">
        <f t="shared" si="15"/>
        <v>-1000000000</v>
      </c>
      <c r="M101" s="79">
        <f t="shared" si="15"/>
        <v>0</v>
      </c>
      <c r="N101" s="79">
        <f t="shared" si="15"/>
        <v>0</v>
      </c>
      <c r="O101" s="79">
        <f t="shared" si="15"/>
        <v>0</v>
      </c>
      <c r="P101" s="79">
        <f t="shared" si="15"/>
        <v>0</v>
      </c>
      <c r="Q101" s="79">
        <f t="shared" si="15"/>
        <v>-1000000000</v>
      </c>
      <c r="R101" s="79">
        <f t="shared" si="15"/>
        <v>-1000000000</v>
      </c>
      <c r="S101" s="79">
        <f t="shared" si="15"/>
        <v>0</v>
      </c>
      <c r="T101" s="79">
        <f t="shared" si="15"/>
        <v>1000000000</v>
      </c>
      <c r="U101" s="79">
        <f t="shared" si="15"/>
        <v>0</v>
      </c>
      <c r="V101" s="79">
        <f t="shared" ref="V101:AA101" si="16">V7-V18-V8-V27</f>
        <v>-200000000000</v>
      </c>
      <c r="W101" s="79">
        <f t="shared" si="16"/>
        <v>-210000000000</v>
      </c>
      <c r="X101" s="79">
        <f t="shared" si="16"/>
        <v>-220000000000</v>
      </c>
      <c r="Y101" s="79">
        <f t="shared" si="16"/>
        <v>0</v>
      </c>
      <c r="Z101" s="79">
        <f t="shared" si="16"/>
        <v>0</v>
      </c>
      <c r="AA101" s="79">
        <f t="shared" si="16"/>
        <v>-1000000000</v>
      </c>
    </row>
    <row r="102" spans="2:27">
      <c r="B102" t="s">
        <v>5124</v>
      </c>
      <c r="F102" s="79">
        <f>F18-F19-F20-F21-F22-F23-F25-F26</f>
        <v>0</v>
      </c>
      <c r="G102" s="79">
        <f>G18-G19-G20-G21-G22-G23-G25-G26</f>
        <v>1000000000</v>
      </c>
      <c r="H102" s="79">
        <f>H18-H19-H20-H21-H22-H23-H25-H26</f>
        <v>1000000000</v>
      </c>
      <c r="I102" s="79">
        <f>I18-I19-I20-I21-I22-I23-I25-I26</f>
        <v>0</v>
      </c>
      <c r="J102" s="79">
        <f t="shared" ref="J102:AA102" si="17">J18-J19-J20-J21-J22-J23-J24</f>
        <v>0</v>
      </c>
      <c r="K102" s="79">
        <f t="shared" si="17"/>
        <v>-1000000000</v>
      </c>
      <c r="L102" s="79">
        <f t="shared" si="17"/>
        <v>0</v>
      </c>
      <c r="M102" s="79">
        <f t="shared" si="17"/>
        <v>-1000000000</v>
      </c>
      <c r="N102" s="79">
        <f t="shared" si="17"/>
        <v>0</v>
      </c>
      <c r="O102" s="79">
        <f t="shared" si="17"/>
        <v>0</v>
      </c>
      <c r="P102" s="79">
        <f t="shared" si="17"/>
        <v>0</v>
      </c>
      <c r="Q102" s="79">
        <f t="shared" si="17"/>
        <v>0</v>
      </c>
      <c r="R102" s="79">
        <f t="shared" si="17"/>
        <v>1000000000</v>
      </c>
      <c r="S102" s="79">
        <f t="shared" si="17"/>
        <v>0</v>
      </c>
      <c r="T102" s="79">
        <f t="shared" si="17"/>
        <v>0</v>
      </c>
      <c r="U102" s="79">
        <f t="shared" si="17"/>
        <v>0</v>
      </c>
      <c r="V102" s="79">
        <f t="shared" si="17"/>
        <v>0</v>
      </c>
      <c r="W102" s="79">
        <f t="shared" si="17"/>
        <v>1000000000</v>
      </c>
      <c r="X102" s="79">
        <f t="shared" si="17"/>
        <v>0</v>
      </c>
      <c r="Y102" s="79">
        <f t="shared" si="17"/>
        <v>1000000000</v>
      </c>
      <c r="Z102" s="79">
        <f t="shared" si="17"/>
        <v>0</v>
      </c>
      <c r="AA102" s="79">
        <f t="shared" si="17"/>
        <v>0</v>
      </c>
    </row>
    <row r="103" spans="2:27">
      <c r="B103" t="s">
        <v>2339</v>
      </c>
      <c r="F103" s="79">
        <f>F8-F9-F10-F12-F13-F14-F15-F16-F11</f>
        <v>1000000000</v>
      </c>
      <c r="G103" s="79">
        <f>G8-G9-G10-G12-G13-G14-G15-G16-G11</f>
        <v>0</v>
      </c>
      <c r="H103" s="79">
        <f t="shared" ref="H103:AA103" si="18">H8-H9-H10-H12-H13-H14-H15-H16</f>
        <v>0</v>
      </c>
      <c r="I103" s="79">
        <f t="shared" si="18"/>
        <v>1000000000</v>
      </c>
      <c r="J103" s="755">
        <f t="shared" si="18"/>
        <v>5445000000000</v>
      </c>
      <c r="K103" s="755">
        <f t="shared" si="18"/>
        <v>4564000000000</v>
      </c>
      <c r="L103" s="755">
        <f t="shared" si="18"/>
        <v>6535000000000</v>
      </c>
      <c r="M103" s="79">
        <f t="shared" si="18"/>
        <v>0</v>
      </c>
      <c r="N103" s="79">
        <f t="shared" si="18"/>
        <v>0</v>
      </c>
      <c r="O103" s="79">
        <f t="shared" si="18"/>
        <v>0</v>
      </c>
      <c r="P103" s="755">
        <f t="shared" si="18"/>
        <v>7583000000000</v>
      </c>
      <c r="Q103" s="755">
        <f t="shared" si="18"/>
        <v>5774000000000</v>
      </c>
      <c r="R103" s="755">
        <f t="shared" si="18"/>
        <v>5890000000000</v>
      </c>
      <c r="S103" s="755">
        <f t="shared" si="18"/>
        <v>3299000000000</v>
      </c>
      <c r="T103" s="755">
        <f t="shared" si="18"/>
        <v>2200000000000</v>
      </c>
      <c r="U103" s="755">
        <f t="shared" si="18"/>
        <v>3020000000000</v>
      </c>
      <c r="V103" s="755">
        <f t="shared" si="18"/>
        <v>5345000000000</v>
      </c>
      <c r="W103" s="755">
        <f t="shared" si="18"/>
        <v>5442000000000</v>
      </c>
      <c r="X103" s="755">
        <f t="shared" si="18"/>
        <v>6071000000000</v>
      </c>
      <c r="Y103" s="755">
        <f t="shared" si="18"/>
        <v>6158000000000</v>
      </c>
      <c r="Z103" s="755">
        <f t="shared" si="18"/>
        <v>6980000000000</v>
      </c>
      <c r="AA103" s="755">
        <f t="shared" si="18"/>
        <v>8091000000000</v>
      </c>
    </row>
    <row r="104" spans="2:27">
      <c r="B104" t="s">
        <v>1207</v>
      </c>
      <c r="F104" s="79">
        <f t="shared" ref="F104:L104" si="19">F28-F31-F55-F65-F64-F52</f>
        <v>0</v>
      </c>
      <c r="G104" s="79">
        <f t="shared" si="19"/>
        <v>0</v>
      </c>
      <c r="H104" s="79">
        <f t="shared" si="19"/>
        <v>0</v>
      </c>
      <c r="I104" s="79">
        <f t="shared" si="19"/>
        <v>0</v>
      </c>
      <c r="J104" s="79">
        <f t="shared" si="19"/>
        <v>0</v>
      </c>
      <c r="K104" s="79">
        <f t="shared" si="19"/>
        <v>0</v>
      </c>
      <c r="L104" s="79">
        <f t="shared" si="19"/>
        <v>0</v>
      </c>
      <c r="M104" s="79">
        <f t="shared" ref="M104:S104" si="20">M28-M31-M55-M65-M64-M52-M58</f>
        <v>0</v>
      </c>
      <c r="N104" s="79">
        <f t="shared" si="20"/>
        <v>0</v>
      </c>
      <c r="O104" s="79">
        <f t="shared" si="20"/>
        <v>0</v>
      </c>
      <c r="P104" s="79">
        <f t="shared" si="20"/>
        <v>0</v>
      </c>
      <c r="Q104" s="79">
        <f t="shared" si="20"/>
        <v>0</v>
      </c>
      <c r="R104" s="79">
        <f t="shared" si="20"/>
        <v>0</v>
      </c>
      <c r="S104" s="79">
        <f t="shared" si="20"/>
        <v>-1000000000</v>
      </c>
      <c r="T104" s="79">
        <f t="shared" ref="T104:AA104" si="21">T28-T31-T55-T52</f>
        <v>0</v>
      </c>
      <c r="U104" s="79">
        <f t="shared" si="21"/>
        <v>0</v>
      </c>
      <c r="V104" s="79">
        <f t="shared" si="21"/>
        <v>0</v>
      </c>
      <c r="W104" s="79">
        <f t="shared" si="21"/>
        <v>0</v>
      </c>
      <c r="X104" s="79">
        <f t="shared" si="21"/>
        <v>0</v>
      </c>
      <c r="Y104" s="79">
        <f t="shared" si="21"/>
        <v>0</v>
      </c>
      <c r="Z104" s="79">
        <f t="shared" si="21"/>
        <v>0</v>
      </c>
      <c r="AA104" s="79">
        <f t="shared" si="21"/>
        <v>0</v>
      </c>
    </row>
    <row r="105" spans="2:27">
      <c r="B105" t="s">
        <v>5125</v>
      </c>
      <c r="F105" s="79">
        <f>F30-F32-F48-F49</f>
        <v>-1000000000</v>
      </c>
      <c r="G105" s="79">
        <f>G30-G32-G48-G49</f>
        <v>1000000000</v>
      </c>
      <c r="H105" s="79">
        <f>H30-H32-H48-H49</f>
        <v>0</v>
      </c>
      <c r="I105" s="79">
        <f>I30-I32-I48-I49</f>
        <v>0</v>
      </c>
      <c r="J105" s="79">
        <f t="shared" ref="J105:S105" si="22">J31-J32-J48-J49</f>
        <v>0</v>
      </c>
      <c r="K105" s="79">
        <f t="shared" si="22"/>
        <v>-1000000000</v>
      </c>
      <c r="L105" s="79">
        <f t="shared" si="22"/>
        <v>-1000000000</v>
      </c>
      <c r="M105" s="79">
        <f t="shared" si="22"/>
        <v>1000000000</v>
      </c>
      <c r="N105" s="79">
        <f t="shared" si="22"/>
        <v>0</v>
      </c>
      <c r="O105" s="79">
        <f t="shared" si="22"/>
        <v>0</v>
      </c>
      <c r="P105" s="79">
        <f t="shared" si="22"/>
        <v>0</v>
      </c>
      <c r="Q105" s="79">
        <f t="shared" si="22"/>
        <v>-1000000000</v>
      </c>
      <c r="R105" s="79">
        <f t="shared" si="22"/>
        <v>0</v>
      </c>
      <c r="S105" s="79">
        <f t="shared" si="22"/>
        <v>0</v>
      </c>
      <c r="T105" s="79"/>
      <c r="U105" s="79">
        <f t="shared" ref="U105:AA105" si="23">U31-U32-U48-U49</f>
        <v>0</v>
      </c>
      <c r="V105" s="79">
        <f t="shared" si="23"/>
        <v>0</v>
      </c>
      <c r="W105" s="79">
        <f t="shared" si="23"/>
        <v>0</v>
      </c>
      <c r="X105" s="79">
        <f t="shared" si="23"/>
        <v>0</v>
      </c>
      <c r="Y105" s="79">
        <f t="shared" si="23"/>
        <v>0</v>
      </c>
      <c r="Z105" s="79">
        <f t="shared" si="23"/>
        <v>0</v>
      </c>
      <c r="AA105" s="79">
        <f t="shared" si="23"/>
        <v>0</v>
      </c>
    </row>
    <row r="106" spans="2:27">
      <c r="B106" t="s">
        <v>1978</v>
      </c>
      <c r="F106" s="79" t="e">
        <f>F32-F36-F37-F38-F39-#REF!-F34</f>
        <v>#REF!</v>
      </c>
      <c r="G106" s="79" t="e">
        <f>G32-G36-G37-G38-G39-#REF!-G34</f>
        <v>#REF!</v>
      </c>
      <c r="H106" s="79">
        <f t="shared" ref="H106:AA106" si="24">H32-H36-H37-H38-H39-H40</f>
        <v>1000000000</v>
      </c>
      <c r="I106" s="79">
        <f t="shared" si="24"/>
        <v>0</v>
      </c>
      <c r="J106" s="79">
        <f t="shared" si="24"/>
        <v>0</v>
      </c>
      <c r="K106" s="79">
        <f t="shared" si="24"/>
        <v>0</v>
      </c>
      <c r="L106" s="79">
        <f t="shared" si="24"/>
        <v>-1000000000</v>
      </c>
      <c r="M106" s="79">
        <f t="shared" si="24"/>
        <v>0</v>
      </c>
      <c r="N106" s="79">
        <f t="shared" si="24"/>
        <v>0</v>
      </c>
      <c r="O106" s="79">
        <f t="shared" si="24"/>
        <v>0</v>
      </c>
      <c r="P106" s="79">
        <f t="shared" si="24"/>
        <v>0</v>
      </c>
      <c r="Q106" s="79">
        <f t="shared" si="24"/>
        <v>0</v>
      </c>
      <c r="R106" s="79">
        <f t="shared" si="24"/>
        <v>-1000000000</v>
      </c>
      <c r="S106" s="79">
        <f t="shared" si="24"/>
        <v>1000000000</v>
      </c>
      <c r="T106" s="79">
        <f t="shared" si="24"/>
        <v>1000000000</v>
      </c>
      <c r="U106" s="79">
        <f t="shared" si="24"/>
        <v>1000000000</v>
      </c>
      <c r="V106" s="79">
        <f t="shared" si="24"/>
        <v>233000000000</v>
      </c>
      <c r="W106" s="79">
        <f t="shared" si="24"/>
        <v>233000000000</v>
      </c>
      <c r="X106" s="79">
        <f t="shared" si="24"/>
        <v>234000000000</v>
      </c>
      <c r="Y106" s="79">
        <f t="shared" si="24"/>
        <v>0</v>
      </c>
      <c r="Z106" s="79">
        <f t="shared" si="24"/>
        <v>0</v>
      </c>
      <c r="AA106" s="79">
        <f t="shared" si="24"/>
        <v>1000000000</v>
      </c>
    </row>
    <row r="107" spans="2:27">
      <c r="B107" t="s">
        <v>1961</v>
      </c>
      <c r="F107" s="79">
        <f>F40-F42-F43-F44-F45-F46-F47</f>
        <v>0</v>
      </c>
      <c r="G107" s="79">
        <f>G40-G42-G43-G44-G45-G46-G47</f>
        <v>0</v>
      </c>
      <c r="H107" s="79">
        <f>H40-H42-H43-H44-H45-H46-H47</f>
        <v>0</v>
      </c>
      <c r="I107" s="79">
        <f>I40-I42-I43-I44-I45-I46-I47</f>
        <v>0</v>
      </c>
      <c r="J107" s="755">
        <f t="shared" ref="J107:AA107" si="25">J40-J42-J43-J44-J45-J46</f>
        <v>99000000000</v>
      </c>
      <c r="K107" s="755">
        <f t="shared" si="25"/>
        <v>126000000000</v>
      </c>
      <c r="L107" s="755">
        <f t="shared" si="25"/>
        <v>282000000000</v>
      </c>
      <c r="M107" s="755">
        <f t="shared" si="25"/>
        <v>209000000000</v>
      </c>
      <c r="N107" s="755">
        <f t="shared" si="25"/>
        <v>248000000000</v>
      </c>
      <c r="O107" s="755">
        <f t="shared" si="25"/>
        <v>332000000000</v>
      </c>
      <c r="P107" s="755">
        <f t="shared" si="25"/>
        <v>307000000000</v>
      </c>
      <c r="Q107" s="755">
        <f t="shared" si="25"/>
        <v>388000000000</v>
      </c>
      <c r="R107" s="755">
        <f t="shared" si="25"/>
        <v>363000000000</v>
      </c>
      <c r="S107" s="755">
        <f t="shared" si="25"/>
        <v>873000000000</v>
      </c>
      <c r="T107" s="755">
        <f t="shared" si="25"/>
        <v>644000000000</v>
      </c>
      <c r="U107" s="755">
        <f t="shared" si="25"/>
        <v>1903000000000</v>
      </c>
      <c r="V107" s="755">
        <f t="shared" si="25"/>
        <v>2044000000000</v>
      </c>
      <c r="W107" s="755">
        <f t="shared" si="25"/>
        <v>1038000000000</v>
      </c>
      <c r="X107" s="755">
        <f t="shared" si="25"/>
        <v>880000000000</v>
      </c>
      <c r="Y107" s="755">
        <f t="shared" si="25"/>
        <v>855000000000</v>
      </c>
      <c r="Z107" s="755">
        <f t="shared" si="25"/>
        <v>835000000000</v>
      </c>
      <c r="AA107" s="755">
        <f t="shared" si="25"/>
        <v>920000000000</v>
      </c>
    </row>
    <row r="108" spans="2:27">
      <c r="B108" t="s">
        <v>5126</v>
      </c>
      <c r="F108" s="79">
        <f t="shared" ref="F108:AA108" si="26">F49-F50-F51</f>
        <v>0</v>
      </c>
      <c r="G108" s="79">
        <f t="shared" si="26"/>
        <v>0</v>
      </c>
      <c r="H108" s="79">
        <f t="shared" si="26"/>
        <v>0</v>
      </c>
      <c r="I108" s="79">
        <f t="shared" si="26"/>
        <v>0</v>
      </c>
      <c r="J108" s="755">
        <f t="shared" si="26"/>
        <v>495000000000</v>
      </c>
      <c r="K108" s="755">
        <f t="shared" si="26"/>
        <v>0</v>
      </c>
      <c r="L108" s="755">
        <f t="shared" si="26"/>
        <v>0</v>
      </c>
      <c r="M108" s="755">
        <f t="shared" si="26"/>
        <v>0</v>
      </c>
      <c r="N108" s="755">
        <f t="shared" si="26"/>
        <v>0</v>
      </c>
      <c r="O108" s="755">
        <f t="shared" si="26"/>
        <v>0</v>
      </c>
      <c r="P108" s="755">
        <f t="shared" si="26"/>
        <v>0</v>
      </c>
      <c r="Q108" s="755">
        <f t="shared" si="26"/>
        <v>0</v>
      </c>
      <c r="R108" s="755">
        <f t="shared" si="26"/>
        <v>588000000000</v>
      </c>
      <c r="S108" s="755">
        <f t="shared" si="26"/>
        <v>601000000000</v>
      </c>
      <c r="T108" s="755">
        <f t="shared" si="26"/>
        <v>596000000000</v>
      </c>
      <c r="U108" s="755">
        <f t="shared" si="26"/>
        <v>1163000000000</v>
      </c>
      <c r="V108" s="755">
        <f t="shared" si="26"/>
        <v>1426000000000</v>
      </c>
      <c r="W108" s="755">
        <f t="shared" si="26"/>
        <v>1672000000000</v>
      </c>
      <c r="X108" s="755">
        <f t="shared" si="26"/>
        <v>1962000000000</v>
      </c>
      <c r="Y108" s="755">
        <f t="shared" si="26"/>
        <v>2276000000000</v>
      </c>
      <c r="Z108" s="755">
        <f t="shared" si="26"/>
        <v>2646000000000</v>
      </c>
      <c r="AA108" s="755">
        <f t="shared" si="26"/>
        <v>3075000000000</v>
      </c>
    </row>
    <row r="109" spans="2:27">
      <c r="B109" t="s">
        <v>5127</v>
      </c>
      <c r="F109" s="79">
        <f t="shared" ref="F109:AA109" si="27">F55-F56-F57</f>
        <v>0</v>
      </c>
      <c r="G109" s="79">
        <f t="shared" si="27"/>
        <v>0</v>
      </c>
      <c r="H109" s="79">
        <f t="shared" si="27"/>
        <v>0</v>
      </c>
      <c r="I109" s="79">
        <f t="shared" si="27"/>
        <v>0</v>
      </c>
      <c r="J109" s="755">
        <f t="shared" si="27"/>
        <v>2362000000000</v>
      </c>
      <c r="K109" s="755">
        <f t="shared" si="27"/>
        <v>2156000000000</v>
      </c>
      <c r="L109" s="755">
        <f t="shared" si="27"/>
        <v>2886000000000</v>
      </c>
      <c r="M109" s="755">
        <f t="shared" si="27"/>
        <v>2856000000000</v>
      </c>
      <c r="N109" s="755">
        <f t="shared" si="27"/>
        <v>3300000000000</v>
      </c>
      <c r="O109" s="755">
        <f t="shared" si="27"/>
        <v>4332000000000</v>
      </c>
      <c r="P109" s="755">
        <f t="shared" si="27"/>
        <v>4531000000000</v>
      </c>
      <c r="Q109" s="755">
        <f t="shared" si="27"/>
        <v>4795000000000</v>
      </c>
      <c r="R109" s="755">
        <f t="shared" si="27"/>
        <v>4911000000000</v>
      </c>
      <c r="S109" s="755">
        <f t="shared" si="27"/>
        <v>4279000000000</v>
      </c>
      <c r="T109" s="755">
        <f t="shared" si="27"/>
        <v>4455000000000</v>
      </c>
      <c r="U109" s="755">
        <f t="shared" si="27"/>
        <v>6343000000000</v>
      </c>
      <c r="V109" s="755">
        <f t="shared" si="27"/>
        <v>6705000000000</v>
      </c>
      <c r="W109" s="755">
        <f t="shared" si="27"/>
        <v>8063000000000</v>
      </c>
      <c r="X109" s="755">
        <f t="shared" si="27"/>
        <v>8695000000000</v>
      </c>
      <c r="Y109" s="755">
        <f t="shared" si="27"/>
        <v>9905000000000</v>
      </c>
      <c r="Z109" s="755">
        <f t="shared" si="27"/>
        <v>11331000000000</v>
      </c>
      <c r="AA109" s="755">
        <f t="shared" si="27"/>
        <v>13543000000000</v>
      </c>
    </row>
    <row r="110" spans="2:27">
      <c r="B110" t="s">
        <v>5128</v>
      </c>
      <c r="F110" s="79">
        <f t="shared" ref="F110:T110" si="28">F58-F59-F60</f>
        <v>0</v>
      </c>
      <c r="G110" s="79">
        <f t="shared" si="28"/>
        <v>0</v>
      </c>
      <c r="H110" s="79">
        <f t="shared" si="28"/>
        <v>0</v>
      </c>
      <c r="I110" s="79">
        <f t="shared" si="28"/>
        <v>0</v>
      </c>
      <c r="J110" s="79">
        <f t="shared" si="28"/>
        <v>0</v>
      </c>
      <c r="K110" s="79">
        <f t="shared" si="28"/>
        <v>0</v>
      </c>
      <c r="L110" s="79">
        <f t="shared" si="28"/>
        <v>0</v>
      </c>
      <c r="M110" s="79">
        <f t="shared" si="28"/>
        <v>0</v>
      </c>
      <c r="N110" s="79">
        <f t="shared" si="28"/>
        <v>0</v>
      </c>
      <c r="O110" s="79">
        <f t="shared" si="28"/>
        <v>0</v>
      </c>
      <c r="P110" s="79">
        <f t="shared" si="28"/>
        <v>0</v>
      </c>
      <c r="Q110" s="79">
        <f t="shared" si="28"/>
        <v>0</v>
      </c>
      <c r="R110" s="79">
        <f t="shared" si="28"/>
        <v>0</v>
      </c>
      <c r="S110" s="79">
        <f t="shared" si="28"/>
        <v>0</v>
      </c>
      <c r="T110" s="79">
        <f t="shared" si="28"/>
        <v>0</v>
      </c>
      <c r="U110" s="79">
        <f t="shared" ref="U110:Z110" si="29">U58-U59-U60</f>
        <v>0</v>
      </c>
      <c r="V110" s="79">
        <f t="shared" si="29"/>
        <v>0</v>
      </c>
      <c r="W110" s="79">
        <f t="shared" si="29"/>
        <v>0</v>
      </c>
      <c r="X110" s="79">
        <f t="shared" si="29"/>
        <v>0</v>
      </c>
      <c r="Y110" s="79">
        <f t="shared" si="29"/>
        <v>0</v>
      </c>
      <c r="Z110" s="79">
        <f t="shared" si="29"/>
        <v>0</v>
      </c>
      <c r="AA110" s="79">
        <f t="shared" ref="AA110" si="30">AA58-AA59-AA60</f>
        <v>0</v>
      </c>
    </row>
    <row r="111" spans="2:27">
      <c r="B111" t="s">
        <v>5129</v>
      </c>
      <c r="F111" s="755">
        <f t="shared" ref="F111:AA111" si="31">F48-F61-F63</f>
        <v>8000000000</v>
      </c>
      <c r="G111" s="79">
        <f t="shared" si="31"/>
        <v>0</v>
      </c>
      <c r="H111" s="79">
        <f t="shared" si="31"/>
        <v>0</v>
      </c>
      <c r="I111" s="79">
        <f t="shared" si="31"/>
        <v>0</v>
      </c>
      <c r="J111" s="79">
        <f t="shared" si="31"/>
        <v>0</v>
      </c>
      <c r="K111" s="79">
        <f t="shared" si="31"/>
        <v>0</v>
      </c>
      <c r="L111" s="79">
        <f t="shared" si="31"/>
        <v>0</v>
      </c>
      <c r="M111" s="79">
        <f t="shared" si="31"/>
        <v>0</v>
      </c>
      <c r="N111" s="79">
        <f t="shared" si="31"/>
        <v>0</v>
      </c>
      <c r="O111" s="79">
        <f t="shared" si="31"/>
        <v>0</v>
      </c>
      <c r="P111" s="79">
        <f t="shared" si="31"/>
        <v>0</v>
      </c>
      <c r="Q111" s="79">
        <f t="shared" si="31"/>
        <v>0</v>
      </c>
      <c r="R111" s="79">
        <f t="shared" si="31"/>
        <v>0</v>
      </c>
      <c r="S111" s="79">
        <f t="shared" si="31"/>
        <v>0</v>
      </c>
      <c r="T111" s="79">
        <f t="shared" si="31"/>
        <v>0</v>
      </c>
      <c r="U111" s="79">
        <f t="shared" si="31"/>
        <v>0</v>
      </c>
      <c r="V111" s="79">
        <f t="shared" si="31"/>
        <v>0</v>
      </c>
      <c r="W111" s="79">
        <f t="shared" si="31"/>
        <v>0</v>
      </c>
      <c r="X111" s="79">
        <f t="shared" si="31"/>
        <v>0</v>
      </c>
      <c r="Y111" s="79">
        <f t="shared" si="31"/>
        <v>0</v>
      </c>
      <c r="Z111" s="79">
        <f t="shared" si="31"/>
        <v>0</v>
      </c>
      <c r="AA111" s="79">
        <f t="shared" si="31"/>
        <v>0</v>
      </c>
    </row>
    <row r="112" spans="2:27">
      <c r="B112" t="s">
        <v>296</v>
      </c>
      <c r="F112" s="79">
        <f t="shared" ref="F112:Q112" si="32">F70-F76-F71</f>
        <v>0</v>
      </c>
      <c r="G112" s="79">
        <f t="shared" si="32"/>
        <v>0</v>
      </c>
      <c r="H112" s="79">
        <f t="shared" si="32"/>
        <v>1000000000</v>
      </c>
      <c r="I112" s="79">
        <f t="shared" si="32"/>
        <v>-1000000000</v>
      </c>
      <c r="J112" s="79">
        <f t="shared" si="32"/>
        <v>-1000000000</v>
      </c>
      <c r="K112" s="79">
        <f t="shared" si="32"/>
        <v>0</v>
      </c>
      <c r="L112" s="79">
        <f t="shared" si="32"/>
        <v>0</v>
      </c>
      <c r="M112" s="79">
        <f t="shared" si="32"/>
        <v>0</v>
      </c>
      <c r="N112" s="79">
        <f t="shared" si="32"/>
        <v>0</v>
      </c>
      <c r="O112" s="79">
        <f t="shared" si="32"/>
        <v>0</v>
      </c>
      <c r="P112" s="79">
        <f t="shared" si="32"/>
        <v>0</v>
      </c>
      <c r="Q112" s="79">
        <f t="shared" si="32"/>
        <v>1000000000</v>
      </c>
      <c r="R112" s="79">
        <f>R70-R76-R71-R90</f>
        <v>0</v>
      </c>
      <c r="S112" s="79">
        <f>S70-S76-S71-S90</f>
        <v>1000000000</v>
      </c>
      <c r="T112" s="79">
        <f>T70-T76-T71-T89</f>
        <v>0</v>
      </c>
      <c r="U112" s="79">
        <f t="shared" ref="U112:AA112" si="33">U70-U76-U71-U90-U89</f>
        <v>0</v>
      </c>
      <c r="V112" s="79">
        <f t="shared" si="33"/>
        <v>0</v>
      </c>
      <c r="W112" s="79">
        <f t="shared" si="33"/>
        <v>-1000000000</v>
      </c>
      <c r="X112" s="79">
        <f t="shared" si="33"/>
        <v>-1000000000</v>
      </c>
      <c r="Y112" s="79">
        <f t="shared" si="33"/>
        <v>1000000000</v>
      </c>
      <c r="Z112" s="79">
        <f t="shared" si="33"/>
        <v>0</v>
      </c>
      <c r="AA112" s="79">
        <f t="shared" si="33"/>
        <v>-1000000000</v>
      </c>
    </row>
    <row r="113" spans="2:27">
      <c r="B113" t="s">
        <v>5130</v>
      </c>
      <c r="F113" s="79">
        <f t="shared" ref="F113:AA113" si="34">F72+F73+F75+F74-F71</f>
        <v>0</v>
      </c>
      <c r="G113" s="79">
        <f t="shared" si="34"/>
        <v>0</v>
      </c>
      <c r="H113" s="79">
        <f t="shared" si="34"/>
        <v>0</v>
      </c>
      <c r="I113" s="79">
        <f t="shared" si="34"/>
        <v>0</v>
      </c>
      <c r="J113" s="79">
        <f t="shared" si="34"/>
        <v>0</v>
      </c>
      <c r="K113" s="79">
        <f t="shared" si="34"/>
        <v>0</v>
      </c>
      <c r="L113" s="79">
        <f t="shared" si="34"/>
        <v>0</v>
      </c>
      <c r="M113" s="79">
        <f t="shared" si="34"/>
        <v>0</v>
      </c>
      <c r="N113" s="79">
        <f t="shared" si="34"/>
        <v>0</v>
      </c>
      <c r="O113" s="79">
        <f t="shared" si="34"/>
        <v>-1000000000</v>
      </c>
      <c r="P113" s="79">
        <f t="shared" si="34"/>
        <v>0</v>
      </c>
      <c r="Q113" s="79">
        <f t="shared" si="34"/>
        <v>1000000000</v>
      </c>
      <c r="R113" s="79">
        <f t="shared" si="34"/>
        <v>1000000000</v>
      </c>
      <c r="S113" s="79">
        <f t="shared" si="34"/>
        <v>0</v>
      </c>
      <c r="T113" s="79">
        <f>T72+T73+T75+T74-T71</f>
        <v>0</v>
      </c>
      <c r="U113" s="79">
        <f>U72+U73+U75+U74-U71</f>
        <v>-1000000000</v>
      </c>
      <c r="V113" s="79">
        <f t="shared" si="34"/>
        <v>-1000000000</v>
      </c>
      <c r="W113" s="79">
        <f t="shared" si="34"/>
        <v>0</v>
      </c>
      <c r="X113" s="79">
        <f t="shared" si="34"/>
        <v>-1000000000</v>
      </c>
      <c r="Y113" s="79">
        <f t="shared" si="34"/>
        <v>0</v>
      </c>
      <c r="Z113" s="79">
        <f t="shared" si="34"/>
        <v>1000000000</v>
      </c>
      <c r="AA113" s="79">
        <f t="shared" si="34"/>
        <v>0</v>
      </c>
    </row>
    <row r="114" spans="2:27">
      <c r="B114" t="s">
        <v>5131</v>
      </c>
      <c r="F114" s="79">
        <f t="shared" ref="F114:U114" si="35">F76-F77-F84-F85-F86-F87</f>
        <v>0</v>
      </c>
      <c r="G114" s="79">
        <f t="shared" si="35"/>
        <v>0</v>
      </c>
      <c r="H114" s="79">
        <f t="shared" si="35"/>
        <v>0</v>
      </c>
      <c r="I114" s="79">
        <f t="shared" si="35"/>
        <v>0</v>
      </c>
      <c r="J114" s="79">
        <f t="shared" si="35"/>
        <v>0</v>
      </c>
      <c r="K114" s="79">
        <f t="shared" si="35"/>
        <v>0</v>
      </c>
      <c r="L114" s="79">
        <f t="shared" si="35"/>
        <v>0</v>
      </c>
      <c r="M114" s="79">
        <f t="shared" si="35"/>
        <v>0</v>
      </c>
      <c r="N114" s="79">
        <f t="shared" si="35"/>
        <v>0</v>
      </c>
      <c r="O114" s="79">
        <f t="shared" si="35"/>
        <v>0</v>
      </c>
      <c r="P114" s="79">
        <f t="shared" si="35"/>
        <v>1000000000</v>
      </c>
      <c r="Q114" s="79">
        <f t="shared" si="35"/>
        <v>-1000000000</v>
      </c>
      <c r="R114" s="79">
        <f t="shared" si="35"/>
        <v>0</v>
      </c>
      <c r="S114" s="79">
        <f t="shared" si="35"/>
        <v>0</v>
      </c>
      <c r="T114" s="79">
        <f t="shared" si="35"/>
        <v>0</v>
      </c>
      <c r="U114" s="79">
        <f t="shared" si="35"/>
        <v>0</v>
      </c>
      <c r="V114" s="79">
        <f>V76-V77-V84-V85-V86-V87-V88</f>
        <v>0</v>
      </c>
      <c r="W114" s="79">
        <f t="shared" ref="W114:AA114" si="36">W76-W77-W84-W85-W86-W87-W88</f>
        <v>0</v>
      </c>
      <c r="X114" s="79">
        <f t="shared" si="36"/>
        <v>0</v>
      </c>
      <c r="Y114" s="79">
        <f t="shared" si="36"/>
        <v>-1000000000</v>
      </c>
      <c r="Z114" s="79">
        <f t="shared" si="36"/>
        <v>0</v>
      </c>
      <c r="AA114" s="79">
        <f t="shared" si="36"/>
        <v>0</v>
      </c>
    </row>
    <row r="115" spans="2:27" ht="15.75" thickBot="1">
      <c r="F115" s="51"/>
      <c r="G115" s="51"/>
      <c r="H115" s="51"/>
      <c r="I115" s="51"/>
      <c r="J115" s="51"/>
      <c r="K115" s="51"/>
      <c r="L115" s="51"/>
      <c r="M115" s="51"/>
      <c r="N115" s="51"/>
      <c r="O115" s="51"/>
      <c r="P115" s="51"/>
      <c r="Q115" s="51"/>
    </row>
    <row r="116" spans="2:27" ht="15.75" thickBot="1">
      <c r="B116" t="s">
        <v>543</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595">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1286</v>
      </c>
      <c r="F117">
        <f t="shared" ref="F117:AA117" si="37">(F7/F116)*100</f>
        <v>21.609159252135733</v>
      </c>
      <c r="G117">
        <f t="shared" si="37"/>
        <v>23.419105633153745</v>
      </c>
      <c r="H117">
        <f t="shared" si="37"/>
        <v>25.285026332391308</v>
      </c>
      <c r="I117">
        <f t="shared" si="37"/>
        <v>26.637296926152608</v>
      </c>
      <c r="J117">
        <f t="shared" si="37"/>
        <v>23.087930543808945</v>
      </c>
      <c r="K117">
        <f t="shared" si="37"/>
        <v>18.897025941031075</v>
      </c>
      <c r="L117">
        <f t="shared" si="37"/>
        <v>21.342218274645631</v>
      </c>
      <c r="M117">
        <f t="shared" si="37"/>
        <v>11.301238389247713</v>
      </c>
      <c r="N117">
        <f t="shared" si="37"/>
        <v>12.408654509201929</v>
      </c>
      <c r="O117">
        <f t="shared" si="37"/>
        <v>17.712135468439055</v>
      </c>
      <c r="P117">
        <f t="shared" si="37"/>
        <v>14.347180557256284</v>
      </c>
      <c r="Q117">
        <f t="shared" si="37"/>
        <v>11.046789256689461</v>
      </c>
      <c r="R117">
        <f t="shared" si="37"/>
        <v>10.526082130965595</v>
      </c>
      <c r="S117">
        <f t="shared" si="37"/>
        <v>7.5882352941176467</v>
      </c>
      <c r="T117">
        <f t="shared" si="37"/>
        <v>5.5443037974683547</v>
      </c>
      <c r="U117">
        <f t="shared" si="37"/>
        <v>5.6502866502866507</v>
      </c>
      <c r="V117">
        <f t="shared" si="37"/>
        <v>7.2583565459610035</v>
      </c>
      <c r="W117">
        <f t="shared" si="37"/>
        <v>6.8465171192443917</v>
      </c>
      <c r="X117">
        <f t="shared" si="37"/>
        <v>6.8236775818639792</v>
      </c>
      <c r="Y117">
        <f t="shared" si="37"/>
        <v>6.5103626943005182</v>
      </c>
      <c r="Z117">
        <f t="shared" si="37"/>
        <v>6.6011860637509256</v>
      </c>
      <c r="AA117">
        <f t="shared" si="37"/>
        <v>7.9110452186804752</v>
      </c>
    </row>
    <row r="118" spans="2:27">
      <c r="B118" t="s">
        <v>152</v>
      </c>
      <c r="F118">
        <f t="shared" ref="F118:AA118" si="38">(F28/F116)*100</f>
        <v>23.198532387582638</v>
      </c>
      <c r="G118">
        <f t="shared" si="38"/>
        <v>23.419105633153745</v>
      </c>
      <c r="H118">
        <f t="shared" si="38"/>
        <v>19.464630157016522</v>
      </c>
      <c r="I118">
        <f t="shared" si="38"/>
        <v>20.064457424894172</v>
      </c>
      <c r="J118">
        <f t="shared" si="38"/>
        <v>19.061389626683177</v>
      </c>
      <c r="K118">
        <f t="shared" si="38"/>
        <v>19.136188436066064</v>
      </c>
      <c r="L118">
        <f t="shared" si="38"/>
        <v>18.353831268311151</v>
      </c>
      <c r="M118">
        <f t="shared" si="38"/>
        <v>17.870667728020873</v>
      </c>
      <c r="N118">
        <f t="shared" si="38"/>
        <v>17.683639703728275</v>
      </c>
      <c r="O118">
        <f t="shared" si="38"/>
        <v>17.410785888470929</v>
      </c>
      <c r="P118">
        <f t="shared" si="38"/>
        <v>15.20117939995011</v>
      </c>
      <c r="Q118">
        <f t="shared" si="38"/>
        <v>14.330335957191636</v>
      </c>
      <c r="R118">
        <f t="shared" si="38"/>
        <v>12.290788013318535</v>
      </c>
      <c r="S118">
        <f t="shared" si="38"/>
        <v>11.08718487394958</v>
      </c>
      <c r="T118">
        <f t="shared" si="38"/>
        <v>9.7332035053554051</v>
      </c>
      <c r="U118">
        <f t="shared" si="38"/>
        <v>12.032760032760033</v>
      </c>
      <c r="V118">
        <f t="shared" si="38"/>
        <v>12.063370473537605</v>
      </c>
      <c r="W118">
        <f t="shared" si="38"/>
        <v>11.436835891381346</v>
      </c>
      <c r="X118">
        <f t="shared" si="38"/>
        <v>10.906801007556675</v>
      </c>
      <c r="Y118">
        <f t="shared" si="38"/>
        <v>10.577288428324698</v>
      </c>
      <c r="Z118">
        <f t="shared" si="38"/>
        <v>10.48295033358043</v>
      </c>
      <c r="AA118">
        <f t="shared" si="38"/>
        <v>12.403261675315003</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tabSelected="1" zoomScale="70" zoomScaleNormal="70" workbookViewId="0">
      <pane xSplit="3" ySplit="5" topLeftCell="Q24" activePane="bottomRight" state="frozen"/>
      <selection pane="topRight" activeCell="C1" sqref="C1"/>
      <selection pane="bottomLeft" activeCell="A6" sqref="A6"/>
      <selection pane="bottomRight" activeCell="C47" sqref="C47"/>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5132</v>
      </c>
      <c r="B1" s="82" t="s">
        <v>5133</v>
      </c>
      <c r="C1" s="82"/>
      <c r="D1" s="27"/>
      <c r="E1" s="27"/>
      <c r="F1" s="27"/>
      <c r="G1" s="27"/>
      <c r="H1" s="27"/>
      <c r="I1" s="27"/>
      <c r="J1" s="27"/>
      <c r="K1" s="27"/>
      <c r="L1" s="27"/>
      <c r="M1" s="27"/>
      <c r="N1" s="27"/>
      <c r="O1" s="28"/>
      <c r="P1" s="28"/>
      <c r="Q1" s="28"/>
      <c r="R1" s="29"/>
      <c r="S1" s="28"/>
      <c r="T1" s="28"/>
      <c r="U1" s="28"/>
      <c r="V1" s="28"/>
      <c r="W1" s="28"/>
      <c r="X1" s="2"/>
    </row>
    <row r="2" spans="1:24">
      <c r="B2" s="30" t="s">
        <v>5134</v>
      </c>
      <c r="C2" s="30"/>
      <c r="D2" s="28"/>
      <c r="E2" s="28"/>
      <c r="F2" s="28"/>
      <c r="G2" s="28"/>
      <c r="H2" s="28"/>
      <c r="I2" s="28"/>
      <c r="J2" s="28"/>
      <c r="K2" s="28"/>
      <c r="L2" s="28"/>
      <c r="M2" s="28"/>
      <c r="N2" s="28"/>
      <c r="O2" s="28"/>
      <c r="P2" s="28"/>
      <c r="Q2" s="28"/>
      <c r="R2" s="31"/>
      <c r="S2" s="494"/>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848" customFormat="1" ht="16.5">
      <c r="A6" s="19" t="s">
        <v>33</v>
      </c>
      <c r="B6" s="19" t="s">
        <v>34</v>
      </c>
      <c r="C6" s="848" t="s">
        <v>35</v>
      </c>
      <c r="D6" s="1063"/>
      <c r="E6" s="1169">
        <v>593500000000</v>
      </c>
      <c r="F6" s="1169">
        <v>707000000000</v>
      </c>
      <c r="G6" s="1169">
        <v>838000000000</v>
      </c>
      <c r="H6" s="1169">
        <v>825000000000</v>
      </c>
      <c r="I6" s="1169">
        <v>919000000000</v>
      </c>
      <c r="J6" s="1169">
        <v>1121000000000</v>
      </c>
      <c r="K6" s="1169">
        <v>1327000000000</v>
      </c>
      <c r="L6" s="1169">
        <v>1530000000000</v>
      </c>
      <c r="M6" s="1925">
        <v>1878000000000</v>
      </c>
      <c r="N6" s="1925">
        <v>2130000000000</v>
      </c>
      <c r="O6" s="1925">
        <v>2306000000000</v>
      </c>
      <c r="P6" s="1925">
        <v>2611000000000</v>
      </c>
      <c r="Q6" s="1925">
        <v>3011000000000</v>
      </c>
      <c r="R6" s="1925">
        <v>3837000000000</v>
      </c>
      <c r="S6" s="1925">
        <v>3984000000000</v>
      </c>
      <c r="T6" s="1094">
        <v>4512000000000</v>
      </c>
      <c r="U6" s="1926">
        <v>4995000000000</v>
      </c>
      <c r="V6" s="1348">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8">
        <v>1851000000000</v>
      </c>
      <c r="N7" s="288">
        <v>2079000000000</v>
      </c>
      <c r="O7" s="288">
        <v>2261000000000</v>
      </c>
      <c r="P7" s="288">
        <v>2567000000000</v>
      </c>
      <c r="Q7" s="288">
        <v>2982000000000</v>
      </c>
      <c r="R7" s="288">
        <v>3631000000000</v>
      </c>
      <c r="S7" s="288">
        <v>3937000000000</v>
      </c>
      <c r="T7" s="142">
        <v>4447000000000</v>
      </c>
      <c r="U7" s="21">
        <v>4937000000000</v>
      </c>
      <c r="V7" s="267">
        <v>5528000000000</v>
      </c>
    </row>
    <row r="8" spans="1:24" ht="16.5">
      <c r="A8" s="35" t="s">
        <v>39</v>
      </c>
      <c r="B8" s="58" t="s">
        <v>731</v>
      </c>
      <c r="C8" s="11" t="s">
        <v>41</v>
      </c>
      <c r="D8" s="58"/>
      <c r="E8" s="135">
        <v>441500000000</v>
      </c>
      <c r="F8" s="135">
        <v>478000000000</v>
      </c>
      <c r="G8" s="135">
        <v>554000000000</v>
      </c>
      <c r="H8" s="135">
        <v>611000000000</v>
      </c>
      <c r="I8" s="135">
        <v>659000000000</v>
      </c>
      <c r="J8" s="135">
        <v>804000000000</v>
      </c>
      <c r="K8" s="135">
        <v>954000000000</v>
      </c>
      <c r="L8" s="135">
        <v>1086000000000</v>
      </c>
      <c r="M8" s="288">
        <v>1331000000000</v>
      </c>
      <c r="N8" s="288">
        <v>1500000000000</v>
      </c>
      <c r="O8" s="288">
        <v>1738000000000</v>
      </c>
      <c r="P8" s="288">
        <v>2076000000000</v>
      </c>
      <c r="Q8" s="288">
        <v>2231000000000</v>
      </c>
      <c r="R8" s="288">
        <v>2640000000000</v>
      </c>
      <c r="S8" s="288">
        <v>3024000000000</v>
      </c>
      <c r="T8" s="142">
        <v>3660000000000</v>
      </c>
      <c r="U8" s="21">
        <v>3969000000000</v>
      </c>
      <c r="V8" s="267">
        <v>4578000000000</v>
      </c>
    </row>
    <row r="9" spans="1:24" ht="16.5">
      <c r="A9" t="s">
        <v>5135</v>
      </c>
      <c r="B9" s="194" t="s">
        <v>5136</v>
      </c>
      <c r="C9" t="s">
        <v>44</v>
      </c>
      <c r="D9" s="35"/>
      <c r="E9" s="135">
        <v>422500000000</v>
      </c>
      <c r="F9" s="135">
        <v>459000000000</v>
      </c>
      <c r="G9" s="135">
        <v>532000000000</v>
      </c>
      <c r="H9" s="135">
        <v>583000000000</v>
      </c>
      <c r="I9" s="135">
        <v>624000000000</v>
      </c>
      <c r="J9" s="135">
        <v>767000000000</v>
      </c>
      <c r="K9" s="135">
        <v>917000000000</v>
      </c>
      <c r="L9" s="135">
        <v>1045000000000</v>
      </c>
      <c r="M9" s="288">
        <v>1285000000000</v>
      </c>
      <c r="N9" s="288">
        <v>1445000000000</v>
      </c>
      <c r="O9" s="288">
        <v>1673000000000</v>
      </c>
      <c r="P9" s="288">
        <v>1969000000000</v>
      </c>
      <c r="Q9" s="288">
        <v>2081000000000</v>
      </c>
      <c r="R9" s="288">
        <v>2450000000000</v>
      </c>
      <c r="S9" s="288">
        <v>2818000000000</v>
      </c>
      <c r="T9" s="142">
        <v>3377000000000</v>
      </c>
      <c r="U9" s="21">
        <v>3647000000000</v>
      </c>
      <c r="V9" s="267">
        <v>4221000000000</v>
      </c>
    </row>
    <row r="10" spans="1:24" ht="16.5">
      <c r="A10" t="s">
        <v>76</v>
      </c>
      <c r="B10" s="64" t="s">
        <v>5137</v>
      </c>
      <c r="C10" s="58"/>
      <c r="D10" s="35"/>
      <c r="E10" s="135">
        <v>392100000000</v>
      </c>
      <c r="F10" s="135">
        <v>404000000000</v>
      </c>
      <c r="G10" s="135">
        <v>460000000000</v>
      </c>
      <c r="H10" s="135">
        <v>522000000000</v>
      </c>
      <c r="I10" s="135">
        <v>595000000000</v>
      </c>
      <c r="J10" s="135">
        <v>713000000000</v>
      </c>
      <c r="K10" s="135">
        <v>843000000000</v>
      </c>
      <c r="L10" s="135">
        <v>1007000000000</v>
      </c>
      <c r="M10" s="288">
        <v>1157000000000</v>
      </c>
      <c r="N10" s="288">
        <v>1329000000000</v>
      </c>
      <c r="O10" s="288">
        <v>1558000000000</v>
      </c>
      <c r="P10" s="288">
        <v>1881000000000</v>
      </c>
      <c r="Q10" s="288">
        <v>1936000000000</v>
      </c>
      <c r="R10" s="288">
        <v>2272000000000</v>
      </c>
      <c r="S10" s="288">
        <v>2594000000000</v>
      </c>
      <c r="T10" s="142">
        <v>3112000000000</v>
      </c>
      <c r="U10" s="21">
        <v>3361000000000</v>
      </c>
      <c r="V10" s="267">
        <v>3958000000000</v>
      </c>
    </row>
    <row r="11" spans="1:24" ht="16.5">
      <c r="A11" s="65" t="s">
        <v>989</v>
      </c>
      <c r="B11" s="65" t="s">
        <v>990</v>
      </c>
      <c r="C11" s="58" t="s">
        <v>5138</v>
      </c>
      <c r="D11" s="35"/>
      <c r="E11" s="135">
        <v>124600000000</v>
      </c>
      <c r="F11" s="135">
        <v>143000000000</v>
      </c>
      <c r="G11" s="135">
        <v>152000000000</v>
      </c>
      <c r="H11" s="135">
        <v>164000000000</v>
      </c>
      <c r="I11" s="135">
        <v>184000000000</v>
      </c>
      <c r="J11" s="135">
        <v>225000000000</v>
      </c>
      <c r="K11" s="135">
        <v>330000000000</v>
      </c>
      <c r="L11" s="135">
        <v>388000000000</v>
      </c>
      <c r="M11" s="288">
        <v>440000000000</v>
      </c>
      <c r="N11" s="288">
        <v>529000000000</v>
      </c>
      <c r="O11" s="288">
        <v>602000000000</v>
      </c>
      <c r="P11" s="288">
        <v>732000000000</v>
      </c>
      <c r="Q11" s="288">
        <v>736000000000</v>
      </c>
      <c r="R11" s="288">
        <v>884000000000</v>
      </c>
      <c r="S11" s="288">
        <v>1029000000000</v>
      </c>
      <c r="T11" s="142">
        <v>1192000000000</v>
      </c>
      <c r="U11" s="21">
        <v>1343000000000</v>
      </c>
      <c r="V11" s="267">
        <v>1582000000000</v>
      </c>
    </row>
    <row r="12" spans="1:24" ht="16.5">
      <c r="A12" s="65" t="s">
        <v>5139</v>
      </c>
      <c r="B12" s="65" t="s">
        <v>5140</v>
      </c>
      <c r="C12" s="58" t="s">
        <v>5138</v>
      </c>
      <c r="D12" s="35"/>
      <c r="E12" s="135">
        <v>49000000000</v>
      </c>
      <c r="F12" s="135">
        <v>47000000000</v>
      </c>
      <c r="G12" s="135">
        <v>44000000000</v>
      </c>
      <c r="H12" s="135">
        <v>46000000000</v>
      </c>
      <c r="I12" s="135">
        <v>59000000000</v>
      </c>
      <c r="J12" s="135">
        <v>55000000000</v>
      </c>
      <c r="K12" s="135">
        <v>72000000000</v>
      </c>
      <c r="L12" s="135">
        <v>84000000000</v>
      </c>
      <c r="M12" s="288">
        <v>116000000000</v>
      </c>
      <c r="N12" s="288">
        <v>121000000000</v>
      </c>
      <c r="O12" s="288">
        <v>137000000000</v>
      </c>
      <c r="P12" s="288">
        <v>122000000000</v>
      </c>
      <c r="Q12" s="288">
        <v>119000000000</v>
      </c>
      <c r="R12" s="288">
        <v>145000000000</v>
      </c>
      <c r="S12" s="288">
        <v>170000000000</v>
      </c>
      <c r="T12" s="142">
        <v>191000000000</v>
      </c>
      <c r="U12" s="21">
        <v>199000000000</v>
      </c>
      <c r="V12" s="267">
        <v>234000000000</v>
      </c>
    </row>
    <row r="13" spans="1:24" ht="16.5">
      <c r="A13" s="65" t="s">
        <v>5141</v>
      </c>
      <c r="B13" s="65" t="s">
        <v>5142</v>
      </c>
      <c r="C13" s="58" t="s">
        <v>5138</v>
      </c>
      <c r="D13" s="35"/>
      <c r="E13" s="135">
        <v>153500000000</v>
      </c>
      <c r="F13" s="135">
        <v>166000000000</v>
      </c>
      <c r="G13" s="135">
        <v>195000000000</v>
      </c>
      <c r="H13" s="135">
        <v>221000000000</v>
      </c>
      <c r="I13" s="135">
        <v>236000000000</v>
      </c>
      <c r="J13" s="135">
        <v>295000000000</v>
      </c>
      <c r="K13" s="135">
        <v>309000000000</v>
      </c>
      <c r="L13" s="135">
        <v>385000000000</v>
      </c>
      <c r="M13" s="288">
        <v>452000000000</v>
      </c>
      <c r="N13" s="288">
        <v>517000000000</v>
      </c>
      <c r="O13" s="288">
        <v>633000000000</v>
      </c>
      <c r="P13" s="288">
        <v>809000000000</v>
      </c>
      <c r="Q13" s="288">
        <v>841000000000</v>
      </c>
      <c r="R13" s="288">
        <v>1002000000000</v>
      </c>
      <c r="S13" s="288">
        <v>1089000000000</v>
      </c>
      <c r="T13" s="142">
        <v>1324000000000</v>
      </c>
      <c r="U13" s="21">
        <v>1323000000000</v>
      </c>
      <c r="V13" s="267">
        <v>1563000000000</v>
      </c>
    </row>
    <row r="14" spans="1:24" ht="16.5">
      <c r="A14" s="65" t="s">
        <v>174</v>
      </c>
      <c r="B14" s="65" t="s">
        <v>5143</v>
      </c>
      <c r="C14" s="58" t="s">
        <v>5138</v>
      </c>
      <c r="D14" s="35"/>
      <c r="E14" s="135">
        <v>65000000000</v>
      </c>
      <c r="F14" s="135">
        <v>48000000000</v>
      </c>
      <c r="G14" s="135">
        <v>69000000000</v>
      </c>
      <c r="H14" s="135">
        <v>91000000000</v>
      </c>
      <c r="I14" s="135">
        <v>117000000000</v>
      </c>
      <c r="J14" s="135">
        <v>138000000000</v>
      </c>
      <c r="K14" s="135">
        <v>132000000000</v>
      </c>
      <c r="L14" s="135">
        <v>151000000000</v>
      </c>
      <c r="M14" s="288">
        <v>148000000000</v>
      </c>
      <c r="N14" s="288">
        <v>162000000000</v>
      </c>
      <c r="O14" s="288">
        <v>185000000000</v>
      </c>
      <c r="P14" s="288">
        <v>218000000000</v>
      </c>
      <c r="Q14" s="288">
        <v>240000000000</v>
      </c>
      <c r="R14" s="288">
        <v>241000000000</v>
      </c>
      <c r="S14" s="288">
        <v>306000000000</v>
      </c>
      <c r="T14" s="142">
        <v>406000000000</v>
      </c>
      <c r="U14" s="21">
        <v>496000000000</v>
      </c>
      <c r="V14" s="267">
        <v>579000000000</v>
      </c>
    </row>
    <row r="15" spans="1:24">
      <c r="A15" s="64" t="s">
        <v>5144</v>
      </c>
      <c r="B15" s="64" t="s">
        <v>5145</v>
      </c>
      <c r="C15" s="58" t="s">
        <v>5138</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7"/>
    </row>
    <row r="16" spans="1:24" ht="16.5">
      <c r="A16" s="64" t="s">
        <v>5146</v>
      </c>
      <c r="B16" s="64" t="s">
        <v>5147</v>
      </c>
      <c r="C16" s="58" t="s">
        <v>5138</v>
      </c>
      <c r="D16" s="35"/>
      <c r="E16" s="135">
        <v>17900000000</v>
      </c>
      <c r="F16" s="159"/>
      <c r="G16" s="159"/>
      <c r="H16" s="159"/>
      <c r="I16" s="159"/>
      <c r="J16" s="159"/>
      <c r="K16" s="159"/>
      <c r="L16" s="135">
        <v>14000000000</v>
      </c>
      <c r="M16" s="288">
        <v>112000000000</v>
      </c>
      <c r="N16" s="288">
        <v>89000000000</v>
      </c>
      <c r="O16" s="288">
        <v>83000000000</v>
      </c>
      <c r="P16" s="288">
        <v>60000000000</v>
      </c>
      <c r="Q16" s="288">
        <v>110000000000</v>
      </c>
      <c r="R16" s="288">
        <v>104000000000</v>
      </c>
      <c r="S16" s="288">
        <v>131000000000</v>
      </c>
      <c r="T16" s="142">
        <v>149000000000</v>
      </c>
      <c r="U16" s="21">
        <v>167000000000</v>
      </c>
      <c r="V16" s="267">
        <v>160000000000</v>
      </c>
    </row>
    <row r="17" spans="1:24" ht="16.5">
      <c r="A17" s="64" t="s">
        <v>5148</v>
      </c>
      <c r="B17" s="64" t="s">
        <v>5149</v>
      </c>
      <c r="C17" s="58" t="s">
        <v>5138</v>
      </c>
      <c r="D17" s="35"/>
      <c r="E17" s="135">
        <v>12300000000</v>
      </c>
      <c r="F17" s="159"/>
      <c r="G17" s="159"/>
      <c r="H17" s="159"/>
      <c r="I17" s="159"/>
      <c r="J17" s="159"/>
      <c r="K17" s="159"/>
      <c r="L17" s="135">
        <v>23000000000</v>
      </c>
      <c r="M17" s="288">
        <v>16000000000</v>
      </c>
      <c r="N17" s="288">
        <v>28000000000</v>
      </c>
      <c r="O17" s="288">
        <v>32000000000</v>
      </c>
      <c r="P17" s="288">
        <v>27000000000</v>
      </c>
      <c r="Q17" s="288">
        <v>35000000000</v>
      </c>
      <c r="R17" s="489">
        <v>39000000000</v>
      </c>
      <c r="S17" s="288">
        <v>35000000000</v>
      </c>
      <c r="T17" s="142">
        <v>36000000000</v>
      </c>
      <c r="U17" s="21">
        <v>78000000000</v>
      </c>
      <c r="V17" s="267">
        <v>47000000000</v>
      </c>
      <c r="X17" s="21"/>
    </row>
    <row r="18" spans="1:24" ht="16.5">
      <c r="A18" s="64" t="s">
        <v>5150</v>
      </c>
      <c r="B18" s="64" t="s">
        <v>5151</v>
      </c>
      <c r="C18" s="58" t="s">
        <v>5138</v>
      </c>
      <c r="D18" s="35"/>
      <c r="E18" s="135"/>
      <c r="F18" s="159"/>
      <c r="G18" s="159"/>
      <c r="H18" s="159"/>
      <c r="I18" s="159"/>
      <c r="J18" s="159"/>
      <c r="K18" s="159"/>
      <c r="L18" s="159"/>
      <c r="M18" s="288"/>
      <c r="N18" s="288"/>
      <c r="O18" s="288"/>
      <c r="P18" s="288"/>
      <c r="Q18" s="288"/>
      <c r="R18" s="288">
        <v>32000000000</v>
      </c>
      <c r="S18" s="288">
        <v>57000000000</v>
      </c>
      <c r="T18" s="142">
        <v>80000000000</v>
      </c>
      <c r="U18" s="21">
        <v>42000000000</v>
      </c>
      <c r="V18" s="267">
        <v>55000000000</v>
      </c>
    </row>
    <row r="19" spans="1:24" ht="16.5">
      <c r="A19" s="64" t="s">
        <v>5152</v>
      </c>
      <c r="B19" s="64" t="s">
        <v>5153</v>
      </c>
      <c r="C19" s="58" t="s">
        <v>5138</v>
      </c>
      <c r="D19" s="35"/>
      <c r="E19" s="135"/>
      <c r="F19" s="159"/>
      <c r="G19" s="159"/>
      <c r="H19" s="159"/>
      <c r="I19" s="159"/>
      <c r="J19" s="159"/>
      <c r="K19" s="159"/>
      <c r="L19" s="159"/>
      <c r="M19" s="288"/>
      <c r="N19" s="288"/>
      <c r="O19" s="288"/>
      <c r="P19" s="288"/>
      <c r="Q19" s="288"/>
      <c r="R19" s="21">
        <f t="shared" ref="R19" si="0">R9-R11-R12-R13-R14-R15-R16-R17-R18</f>
        <v>3000000000</v>
      </c>
      <c r="S19" s="21"/>
      <c r="T19" s="21"/>
      <c r="U19" s="21"/>
      <c r="V19" s="267"/>
    </row>
    <row r="20" spans="1:24" ht="16.5">
      <c r="A20" t="s">
        <v>5154</v>
      </c>
      <c r="B20" s="194" t="s">
        <v>5155</v>
      </c>
      <c r="C20" t="s">
        <v>44</v>
      </c>
      <c r="D20" s="35"/>
      <c r="E20" s="135">
        <v>19000000000</v>
      </c>
      <c r="F20" s="135">
        <v>19000000000</v>
      </c>
      <c r="G20" s="135">
        <v>22000000000</v>
      </c>
      <c r="H20" s="135">
        <v>28000000000</v>
      </c>
      <c r="I20" s="135">
        <v>35000000000</v>
      </c>
      <c r="J20" s="135">
        <v>37000000000</v>
      </c>
      <c r="K20" s="135">
        <v>37000000000</v>
      </c>
      <c r="L20" s="135">
        <v>41000000000</v>
      </c>
      <c r="M20" s="288">
        <v>46000000000</v>
      </c>
      <c r="N20" s="288">
        <v>55000000000</v>
      </c>
      <c r="O20" s="288">
        <v>65000000000</v>
      </c>
      <c r="P20" s="288">
        <v>107000000000</v>
      </c>
      <c r="Q20" s="288">
        <v>151000000000</v>
      </c>
      <c r="R20" s="288">
        <v>190000000000</v>
      </c>
      <c r="S20" s="288">
        <v>206000000000</v>
      </c>
      <c r="T20" s="142">
        <v>283000000000</v>
      </c>
      <c r="U20" s="21">
        <v>322000000000</v>
      </c>
      <c r="V20" s="267">
        <v>357000000000</v>
      </c>
    </row>
    <row r="21" spans="1:24" ht="16.5">
      <c r="A21" s="1" t="s">
        <v>51</v>
      </c>
      <c r="B21" s="58" t="s">
        <v>742</v>
      </c>
      <c r="C21" s="11" t="s">
        <v>41</v>
      </c>
      <c r="D21" s="58"/>
      <c r="E21" s="135">
        <v>111400000000</v>
      </c>
      <c r="F21" s="135">
        <v>146000000000</v>
      </c>
      <c r="G21" s="135">
        <v>165000000000</v>
      </c>
      <c r="H21" s="135">
        <v>183000000000</v>
      </c>
      <c r="I21" s="135">
        <v>241000000000</v>
      </c>
      <c r="J21" s="135">
        <v>273000000000</v>
      </c>
      <c r="K21" s="135">
        <v>344000000000</v>
      </c>
      <c r="L21" s="135">
        <v>414000000000</v>
      </c>
      <c r="M21" s="288">
        <v>520000000000</v>
      </c>
      <c r="N21" s="288">
        <v>579000000000</v>
      </c>
      <c r="O21" s="288">
        <v>523000000000</v>
      </c>
      <c r="P21" s="288">
        <v>491000000000</v>
      </c>
      <c r="Q21" s="288">
        <v>751000000000</v>
      </c>
      <c r="R21" s="288">
        <v>990000000000</v>
      </c>
      <c r="S21" s="288">
        <v>913000000000</v>
      </c>
      <c r="T21" s="142">
        <v>786000000000</v>
      </c>
      <c r="U21" s="21">
        <v>967000000000</v>
      </c>
      <c r="V21" s="267">
        <v>950000000000</v>
      </c>
    </row>
    <row r="22" spans="1:24" ht="16.5">
      <c r="A22" s="64" t="s">
        <v>5156</v>
      </c>
      <c r="B22" s="64" t="s">
        <v>5136</v>
      </c>
      <c r="C22" s="58" t="s">
        <v>192</v>
      </c>
      <c r="D22" s="35"/>
      <c r="E22" s="135">
        <v>91500000000</v>
      </c>
      <c r="F22" s="159"/>
      <c r="G22" s="159"/>
      <c r="H22" s="159"/>
      <c r="I22" s="159"/>
      <c r="J22" s="159"/>
      <c r="K22" s="159"/>
      <c r="L22" s="135">
        <v>336000000000</v>
      </c>
      <c r="M22" s="288">
        <v>436000000000</v>
      </c>
      <c r="N22" s="288">
        <v>511000000000</v>
      </c>
      <c r="O22" s="288">
        <v>461000000000</v>
      </c>
      <c r="P22" s="288">
        <v>443000000000</v>
      </c>
      <c r="Q22" s="288">
        <v>680000000000</v>
      </c>
      <c r="R22" s="288">
        <v>941000000000</v>
      </c>
      <c r="S22" s="288">
        <v>838000000000</v>
      </c>
      <c r="T22" s="142">
        <v>693000000000</v>
      </c>
      <c r="U22" s="21">
        <v>888000000000</v>
      </c>
      <c r="V22" s="267">
        <v>844000000000</v>
      </c>
    </row>
    <row r="23" spans="1:24" ht="16.5">
      <c r="A23" s="64" t="s">
        <v>5157</v>
      </c>
      <c r="B23" s="64" t="s">
        <v>5155</v>
      </c>
      <c r="C23" s="58" t="s">
        <v>192</v>
      </c>
      <c r="D23" s="35"/>
      <c r="E23" s="135">
        <v>19900000000</v>
      </c>
      <c r="F23" s="159"/>
      <c r="G23" s="159"/>
      <c r="H23" s="159"/>
      <c r="I23" s="159"/>
      <c r="J23" s="159"/>
      <c r="K23" s="159"/>
      <c r="L23" s="135">
        <v>78000000000</v>
      </c>
      <c r="M23" s="288">
        <v>84000000000</v>
      </c>
      <c r="N23" s="288">
        <v>68000000000</v>
      </c>
      <c r="O23" s="288">
        <v>62000000000</v>
      </c>
      <c r="P23" s="288">
        <v>48000000000</v>
      </c>
      <c r="Q23" s="288">
        <v>71000000000</v>
      </c>
      <c r="R23" s="288">
        <v>49000000000</v>
      </c>
      <c r="S23" s="288">
        <v>76000000000</v>
      </c>
      <c r="T23" s="142">
        <v>93000000000</v>
      </c>
      <c r="U23" s="21">
        <v>79000000000</v>
      </c>
      <c r="V23" s="267">
        <v>106000000000</v>
      </c>
    </row>
    <row r="24" spans="1:24" s="848" customFormat="1" ht="16.5">
      <c r="A24" s="1838" t="s">
        <v>53</v>
      </c>
      <c r="B24" s="1063" t="s">
        <v>53</v>
      </c>
      <c r="C24" s="118" t="s">
        <v>38</v>
      </c>
      <c r="D24" s="1063"/>
      <c r="E24" s="1169">
        <v>40500000000</v>
      </c>
      <c r="F24" s="1169">
        <v>83000000000</v>
      </c>
      <c r="G24" s="1169">
        <v>119000000000</v>
      </c>
      <c r="H24" s="1169">
        <v>31000000000</v>
      </c>
      <c r="I24" s="1169">
        <v>19000000000</v>
      </c>
      <c r="J24" s="1169">
        <v>44000000000</v>
      </c>
      <c r="K24" s="1169">
        <v>29000000000</v>
      </c>
      <c r="L24" s="1169">
        <v>31000000000</v>
      </c>
      <c r="M24" s="1925">
        <v>27000000000</v>
      </c>
      <c r="N24" s="1925">
        <v>50000000000</v>
      </c>
      <c r="O24" s="1925">
        <v>46000000000</v>
      </c>
      <c r="P24" s="1925">
        <v>45000000000</v>
      </c>
      <c r="Q24" s="1925">
        <v>29000000000</v>
      </c>
      <c r="R24" s="1925">
        <v>206000000000</v>
      </c>
      <c r="S24" s="1925">
        <v>47000000000</v>
      </c>
      <c r="T24" s="1094">
        <v>66000000000</v>
      </c>
      <c r="U24" s="1926">
        <v>58000000000</v>
      </c>
      <c r="V24" s="1348">
        <v>73000000000</v>
      </c>
    </row>
    <row r="25" spans="1:24" ht="16.5">
      <c r="B25" s="58" t="s">
        <v>5158</v>
      </c>
      <c r="D25" s="58"/>
      <c r="E25" s="135">
        <v>732700000000</v>
      </c>
      <c r="F25" s="135">
        <v>814000000000</v>
      </c>
      <c r="G25" s="135">
        <v>904000000000</v>
      </c>
      <c r="H25" s="135">
        <v>924000000000</v>
      </c>
      <c r="I25" s="135">
        <v>1117000000000</v>
      </c>
      <c r="J25" s="135">
        <v>1336000000000</v>
      </c>
      <c r="K25" s="135">
        <v>1635000000000</v>
      </c>
      <c r="L25" s="135">
        <v>2278000000000</v>
      </c>
      <c r="M25" s="288">
        <v>2544000000000</v>
      </c>
      <c r="N25" s="288">
        <v>3024000000000</v>
      </c>
      <c r="O25" s="288">
        <v>3536000000000</v>
      </c>
      <c r="P25" s="288">
        <v>4341000000000</v>
      </c>
      <c r="Q25" s="288">
        <v>4885000000000</v>
      </c>
      <c r="R25" s="288"/>
      <c r="S25" s="288"/>
      <c r="T25" s="142"/>
      <c r="U25" s="21"/>
      <c r="V25" s="267"/>
    </row>
    <row r="26" spans="1:24" s="848" customFormat="1">
      <c r="A26" s="848" t="s">
        <v>71</v>
      </c>
      <c r="B26" s="891" t="s">
        <v>2267</v>
      </c>
      <c r="C26" s="909" t="s">
        <v>35</v>
      </c>
      <c r="D26" s="1063"/>
      <c r="E26" s="1169">
        <f>E29+E44+E50+E51</f>
        <v>750300000000</v>
      </c>
      <c r="F26" s="1169">
        <f t="shared" ref="F26:V26" si="1">F29+F44+F50+F51</f>
        <v>826000000000</v>
      </c>
      <c r="G26" s="1169">
        <f>G29+G44+G50+G51</f>
        <v>945000000000</v>
      </c>
      <c r="H26" s="1169">
        <f t="shared" si="1"/>
        <v>955000000000</v>
      </c>
      <c r="I26" s="1169">
        <f t="shared" si="1"/>
        <v>1195000000000</v>
      </c>
      <c r="J26" s="1169">
        <f t="shared" si="1"/>
        <v>1422000000000</v>
      </c>
      <c r="K26" s="1169">
        <f>K29+K44+K50+K51</f>
        <v>1769000000000</v>
      </c>
      <c r="L26" s="1169">
        <f>L29+L44+L50+L51</f>
        <v>2310000000000</v>
      </c>
      <c r="M26" s="1927">
        <f t="shared" si="1"/>
        <v>2545000000000</v>
      </c>
      <c r="N26" s="1927">
        <f>N29+N44+N50+N51</f>
        <v>3052000000000</v>
      </c>
      <c r="O26" s="1927">
        <f t="shared" si="1"/>
        <v>3535000000000</v>
      </c>
      <c r="P26" s="1927">
        <f t="shared" si="1"/>
        <v>4342000000000</v>
      </c>
      <c r="Q26" s="1927">
        <f t="shared" si="1"/>
        <v>4885000000000</v>
      </c>
      <c r="R26" s="1927">
        <f t="shared" si="1"/>
        <v>5120000000000</v>
      </c>
      <c r="S26" s="1927">
        <f t="shared" si="1"/>
        <v>5603000000000</v>
      </c>
      <c r="T26" s="1927">
        <f t="shared" si="1"/>
        <v>6008000000000</v>
      </c>
      <c r="U26" s="1927">
        <f t="shared" si="1"/>
        <v>6892000000000</v>
      </c>
      <c r="V26" s="1927">
        <f t="shared" si="1"/>
        <v>7496000000000</v>
      </c>
    </row>
    <row r="27" spans="1:24" ht="16.5">
      <c r="B27" t="s">
        <v>5159</v>
      </c>
      <c r="C27" s="90"/>
      <c r="D27" s="58"/>
      <c r="E27" s="135">
        <v>700300000000</v>
      </c>
      <c r="F27" s="135">
        <v>826000000000</v>
      </c>
      <c r="G27" s="135">
        <v>849000000000</v>
      </c>
      <c r="H27" s="135">
        <v>976000000000</v>
      </c>
      <c r="I27" s="135">
        <v>1221000000000</v>
      </c>
      <c r="J27" s="135">
        <v>1424000000000</v>
      </c>
      <c r="K27" s="135">
        <v>1751000000000</v>
      </c>
      <c r="L27" s="135">
        <v>2253000000000</v>
      </c>
      <c r="M27" s="288">
        <v>2544000000000</v>
      </c>
      <c r="N27" s="288">
        <v>3024000000000</v>
      </c>
      <c r="O27" s="288">
        <v>3536000000000</v>
      </c>
      <c r="P27" s="288">
        <v>4341000000000</v>
      </c>
      <c r="Q27" s="288">
        <v>4885000000000</v>
      </c>
      <c r="R27" s="288"/>
      <c r="S27" s="288"/>
      <c r="T27" s="142"/>
      <c r="U27" s="21"/>
      <c r="V27" s="267"/>
    </row>
    <row r="28" spans="1:24" ht="16.5">
      <c r="A28" t="s">
        <v>76</v>
      </c>
      <c r="B28" s="58" t="s">
        <v>535</v>
      </c>
      <c r="C28" s="58"/>
      <c r="D28" s="58"/>
      <c r="E28" s="135">
        <v>717900000000</v>
      </c>
      <c r="F28" s="135">
        <v>826000000000</v>
      </c>
      <c r="G28" s="135">
        <v>891000000000</v>
      </c>
      <c r="H28" s="135">
        <v>956000000000</v>
      </c>
      <c r="I28" s="135">
        <v>1196000000000</v>
      </c>
      <c r="J28" s="135">
        <v>1422000000000</v>
      </c>
      <c r="K28" s="135">
        <v>1760000000000</v>
      </c>
      <c r="L28" s="135">
        <v>2281000000000</v>
      </c>
      <c r="M28" s="288">
        <v>2544000000000</v>
      </c>
      <c r="N28" s="288">
        <v>3024000000000</v>
      </c>
      <c r="O28" s="288">
        <v>3536000000000</v>
      </c>
      <c r="P28" s="288">
        <v>4341000000000</v>
      </c>
      <c r="Q28" s="288">
        <v>4885000000000</v>
      </c>
      <c r="R28" s="288">
        <v>5058000000000</v>
      </c>
      <c r="S28" s="288"/>
      <c r="T28" s="142"/>
      <c r="U28" s="21"/>
      <c r="V28" s="267"/>
    </row>
    <row r="29" spans="1:24" ht="16.5">
      <c r="A29" s="1" t="s">
        <v>73</v>
      </c>
      <c r="B29" s="194" t="s">
        <v>745</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8">
        <v>2093000000000</v>
      </c>
      <c r="N29" s="288">
        <v>2481000000000</v>
      </c>
      <c r="O29" s="288">
        <v>3012000000000</v>
      </c>
      <c r="P29" s="288">
        <v>3579000000000</v>
      </c>
      <c r="Q29" s="288">
        <v>3757000000000</v>
      </c>
      <c r="R29" s="288">
        <v>4123000000000</v>
      </c>
      <c r="S29" s="288">
        <v>4556000000000</v>
      </c>
      <c r="T29" s="142">
        <v>4907000000000</v>
      </c>
      <c r="U29" s="21">
        <v>5314000000000</v>
      </c>
      <c r="V29" s="267">
        <v>5735000000000</v>
      </c>
    </row>
    <row r="30" spans="1:24" ht="16.5">
      <c r="A30" t="s">
        <v>5051</v>
      </c>
      <c r="B30" s="195" t="s">
        <v>5136</v>
      </c>
      <c r="C30" s="11" t="s">
        <v>81</v>
      </c>
      <c r="D30" s="58"/>
      <c r="E30" s="135">
        <v>479000000000</v>
      </c>
      <c r="F30" s="135">
        <v>525000000000</v>
      </c>
      <c r="G30" s="135">
        <v>608000000000</v>
      </c>
      <c r="H30" s="135">
        <v>557000000000</v>
      </c>
      <c r="I30" s="135">
        <v>689000000000</v>
      </c>
      <c r="J30" s="135">
        <v>760000000000</v>
      </c>
      <c r="K30" s="135">
        <v>973000000000</v>
      </c>
      <c r="L30" s="135">
        <v>1420000000000</v>
      </c>
      <c r="M30" s="288">
        <v>1547000000000</v>
      </c>
      <c r="N30" s="288">
        <v>1853000000000</v>
      </c>
      <c r="O30" s="288">
        <v>2227000000000</v>
      </c>
      <c r="P30" s="288">
        <v>2611000000000</v>
      </c>
      <c r="Q30" s="288">
        <v>2647000000000</v>
      </c>
      <c r="R30" s="288">
        <v>2950000000000</v>
      </c>
      <c r="S30" s="288">
        <v>3169000000000</v>
      </c>
      <c r="T30" s="142">
        <v>3357000000000</v>
      </c>
      <c r="U30" s="21">
        <v>3588000000000</v>
      </c>
      <c r="V30" s="267">
        <v>3792000000000</v>
      </c>
    </row>
    <row r="31" spans="1:24" ht="16.5">
      <c r="A31" s="20" t="s">
        <v>91</v>
      </c>
      <c r="B31" s="64" t="s">
        <v>91</v>
      </c>
      <c r="C31" s="58" t="s">
        <v>5160</v>
      </c>
      <c r="D31" s="35"/>
      <c r="E31" s="135">
        <v>234500000000</v>
      </c>
      <c r="F31" s="135">
        <v>245000000000</v>
      </c>
      <c r="G31" s="135">
        <v>207000000000</v>
      </c>
      <c r="H31" s="135">
        <v>196000000000</v>
      </c>
      <c r="I31" s="135">
        <v>210000000000</v>
      </c>
      <c r="J31" s="135">
        <v>237000000000</v>
      </c>
      <c r="K31" s="135">
        <v>369000000000</v>
      </c>
      <c r="L31" s="135">
        <v>490000000000</v>
      </c>
      <c r="M31" s="288">
        <v>638000000000</v>
      </c>
      <c r="N31" s="288">
        <v>642000000000</v>
      </c>
      <c r="O31" s="288">
        <v>698000000000</v>
      </c>
      <c r="P31" s="288">
        <v>889000000000</v>
      </c>
      <c r="Q31" s="288">
        <v>991000000000</v>
      </c>
      <c r="R31" s="288">
        <v>1148000000000</v>
      </c>
      <c r="S31" s="288">
        <v>1304000000000</v>
      </c>
      <c r="T31" s="142">
        <v>1263000000000</v>
      </c>
      <c r="U31" s="21">
        <v>1348000000000</v>
      </c>
      <c r="V31" s="267">
        <v>1431000000000</v>
      </c>
    </row>
    <row r="32" spans="1:24" ht="16.5">
      <c r="A32" s="42" t="s">
        <v>209</v>
      </c>
      <c r="B32" s="65" t="s">
        <v>209</v>
      </c>
      <c r="C32" s="58" t="s">
        <v>5161</v>
      </c>
      <c r="D32" s="35"/>
      <c r="E32" s="135">
        <v>183500000000</v>
      </c>
      <c r="F32" s="159"/>
      <c r="G32" s="159"/>
      <c r="H32" s="159"/>
      <c r="I32" s="159"/>
      <c r="J32" s="159"/>
      <c r="K32" s="135"/>
      <c r="L32" s="135"/>
      <c r="M32" s="288">
        <v>559000000000</v>
      </c>
      <c r="N32" s="288">
        <v>578000000000</v>
      </c>
      <c r="O32" s="288">
        <v>630000000000</v>
      </c>
      <c r="P32" s="288">
        <v>821000000000</v>
      </c>
      <c r="Q32" s="288">
        <v>920000000000</v>
      </c>
      <c r="R32" s="288">
        <v>1073000000000</v>
      </c>
      <c r="S32" s="288">
        <v>1208000000000</v>
      </c>
      <c r="T32" s="142">
        <v>1151000000000</v>
      </c>
      <c r="U32" s="21">
        <v>1220000000000</v>
      </c>
      <c r="V32" s="267">
        <v>1263000000000</v>
      </c>
    </row>
    <row r="33" spans="1:22" ht="16.5">
      <c r="A33" s="42" t="s">
        <v>280</v>
      </c>
      <c r="B33" s="65" t="s">
        <v>212</v>
      </c>
      <c r="C33" s="58" t="s">
        <v>5161</v>
      </c>
      <c r="D33" s="35"/>
      <c r="E33" s="135">
        <v>51000000000</v>
      </c>
      <c r="F33" s="159"/>
      <c r="G33" s="159"/>
      <c r="H33" s="159"/>
      <c r="I33" s="159"/>
      <c r="J33" s="159"/>
      <c r="K33" s="135"/>
      <c r="L33" s="135"/>
      <c r="M33" s="288">
        <v>79000000000</v>
      </c>
      <c r="N33" s="288">
        <v>64000000000</v>
      </c>
      <c r="O33" s="288">
        <v>68000000000</v>
      </c>
      <c r="P33" s="288">
        <v>68000000000</v>
      </c>
      <c r="Q33" s="288">
        <v>71000000000</v>
      </c>
      <c r="R33" s="288">
        <v>75000000000</v>
      </c>
      <c r="S33" s="288">
        <v>96000000000</v>
      </c>
      <c r="T33" s="142">
        <v>113000000000</v>
      </c>
      <c r="U33" s="21">
        <v>128000000000</v>
      </c>
      <c r="V33" s="267">
        <v>168000000000</v>
      </c>
    </row>
    <row r="34" spans="1:22" ht="16.5">
      <c r="A34" s="20" t="s">
        <v>5162</v>
      </c>
      <c r="B34" s="20" t="s">
        <v>5162</v>
      </c>
      <c r="C34" s="58" t="s">
        <v>5160</v>
      </c>
      <c r="D34" s="35"/>
      <c r="E34" s="135">
        <f>E36+E37</f>
        <v>244600000000</v>
      </c>
      <c r="F34" s="135">
        <v>279000000000</v>
      </c>
      <c r="G34" s="135">
        <v>401000000000</v>
      </c>
      <c r="H34" s="135">
        <v>360000000000</v>
      </c>
      <c r="I34" s="135">
        <v>478000000000</v>
      </c>
      <c r="J34" s="135">
        <v>523000000000</v>
      </c>
      <c r="K34" s="135">
        <v>604000000000</v>
      </c>
      <c r="L34" s="135">
        <v>931000000000</v>
      </c>
      <c r="M34" s="288">
        <v>909000000000</v>
      </c>
      <c r="N34" s="288">
        <v>1211000000000</v>
      </c>
      <c r="O34" s="288">
        <v>1529000000000</v>
      </c>
      <c r="P34" s="288">
        <v>1722000000000</v>
      </c>
      <c r="Q34" s="288">
        <v>1656000000000</v>
      </c>
      <c r="S34" s="288">
        <v>1866000000000</v>
      </c>
      <c r="T34" s="142">
        <v>2093000000000</v>
      </c>
      <c r="U34" s="21">
        <v>2239000000000</v>
      </c>
      <c r="V34" s="267">
        <v>2360000000000</v>
      </c>
    </row>
    <row r="35" spans="1:22" ht="16.5">
      <c r="A35" s="20" t="s">
        <v>7222</v>
      </c>
      <c r="B35" s="20" t="s">
        <v>50</v>
      </c>
      <c r="C35" s="58" t="s">
        <v>5160</v>
      </c>
      <c r="D35" s="35"/>
      <c r="E35" s="135"/>
      <c r="F35" s="135"/>
      <c r="G35" s="135"/>
      <c r="H35" s="135"/>
      <c r="I35" s="135"/>
      <c r="J35" s="135"/>
      <c r="K35" s="135"/>
      <c r="L35" s="135"/>
      <c r="M35" s="288"/>
      <c r="N35" s="288"/>
      <c r="O35" s="288"/>
      <c r="P35" s="288"/>
      <c r="Q35" s="288"/>
      <c r="R35" s="288">
        <v>1802000000000</v>
      </c>
      <c r="V35" s="267"/>
    </row>
    <row r="36" spans="1:22" ht="16.5">
      <c r="A36" s="65" t="s">
        <v>1738</v>
      </c>
      <c r="B36" s="65" t="s">
        <v>1738</v>
      </c>
      <c r="C36" s="58" t="s">
        <v>5163</v>
      </c>
      <c r="D36" s="35"/>
      <c r="E36" s="135">
        <v>104700000000</v>
      </c>
      <c r="F36" s="159"/>
      <c r="G36" s="159"/>
      <c r="H36" s="159"/>
      <c r="I36" s="159"/>
      <c r="J36" s="159"/>
      <c r="K36" s="159"/>
      <c r="L36" s="135"/>
      <c r="M36" s="288">
        <v>330000000000</v>
      </c>
      <c r="N36" s="288">
        <v>375000000000</v>
      </c>
      <c r="O36" s="288">
        <v>450000000000</v>
      </c>
      <c r="P36" s="288">
        <v>507000000000</v>
      </c>
      <c r="Q36" s="288">
        <v>541000000000</v>
      </c>
      <c r="R36" s="288">
        <v>623000000000</v>
      </c>
      <c r="S36" s="288">
        <v>698000000000</v>
      </c>
      <c r="T36" s="142">
        <v>758000000000</v>
      </c>
      <c r="U36" s="21">
        <v>888000000000</v>
      </c>
      <c r="V36" s="267">
        <v>875000000000</v>
      </c>
    </row>
    <row r="37" spans="1:22" ht="16.5">
      <c r="A37" s="65" t="s">
        <v>7223</v>
      </c>
      <c r="B37" s="65" t="s">
        <v>50</v>
      </c>
      <c r="C37" s="58" t="s">
        <v>5163</v>
      </c>
      <c r="D37" s="35"/>
      <c r="E37" s="162">
        <f>E38+E39+E40+E41+E42</f>
        <v>139900000000</v>
      </c>
      <c r="F37" s="159"/>
      <c r="G37" s="159"/>
      <c r="H37" s="159"/>
      <c r="I37" s="159"/>
      <c r="J37" s="159"/>
      <c r="K37" s="159"/>
      <c r="L37" s="135"/>
      <c r="M37" s="288">
        <v>579000000000</v>
      </c>
      <c r="N37" s="288">
        <v>836000000000</v>
      </c>
      <c r="O37" s="288">
        <v>1078000000000</v>
      </c>
      <c r="P37" s="288">
        <v>1215000000000</v>
      </c>
      <c r="Q37" s="288">
        <v>1116000000000</v>
      </c>
      <c r="R37" s="288">
        <v>1179000000000</v>
      </c>
      <c r="S37" s="288">
        <v>1168000000000</v>
      </c>
      <c r="T37" s="142">
        <v>1336000000000</v>
      </c>
      <c r="U37" s="21">
        <v>1351000000000</v>
      </c>
      <c r="V37" s="267">
        <v>1485000000000</v>
      </c>
    </row>
    <row r="38" spans="1:22" ht="16.5">
      <c r="A38" s="65" t="s">
        <v>5164</v>
      </c>
      <c r="B38" s="65" t="s">
        <v>5165</v>
      </c>
      <c r="C38" s="58" t="s">
        <v>5166</v>
      </c>
      <c r="D38" s="35"/>
      <c r="E38" s="135">
        <v>19900000000</v>
      </c>
      <c r="F38" s="159"/>
      <c r="G38" s="159"/>
      <c r="H38" s="159"/>
      <c r="I38" s="159"/>
      <c r="J38" s="159"/>
      <c r="K38" s="159"/>
      <c r="L38" s="135"/>
      <c r="M38" s="288">
        <v>244000000000</v>
      </c>
      <c r="N38" s="288">
        <v>227000000000</v>
      </c>
      <c r="O38" s="288">
        <v>493000000000</v>
      </c>
      <c r="P38" s="288">
        <v>556000000000</v>
      </c>
      <c r="Q38" s="288">
        <v>368000000000</v>
      </c>
      <c r="R38" s="288">
        <v>336000000000</v>
      </c>
      <c r="S38" s="288">
        <v>265000000000</v>
      </c>
      <c r="T38" s="142">
        <v>218000000000</v>
      </c>
      <c r="U38" s="21">
        <v>159000000000</v>
      </c>
      <c r="V38" s="267">
        <v>144000000000</v>
      </c>
    </row>
    <row r="39" spans="1:22" ht="16.5">
      <c r="A39" s="65" t="s">
        <v>5167</v>
      </c>
      <c r="B39" s="65" t="s">
        <v>5168</v>
      </c>
      <c r="C39" s="58" t="s">
        <v>5166</v>
      </c>
      <c r="D39" s="35"/>
      <c r="E39" s="135">
        <v>18100000000</v>
      </c>
      <c r="F39" s="159"/>
      <c r="G39" s="159"/>
      <c r="H39" s="159"/>
      <c r="I39" s="159"/>
      <c r="J39" s="159"/>
      <c r="K39" s="159"/>
      <c r="L39" s="135"/>
      <c r="M39" s="288">
        <v>136000000000</v>
      </c>
      <c r="N39" s="288">
        <v>359000000000</v>
      </c>
      <c r="O39" s="288">
        <v>259000000000</v>
      </c>
      <c r="P39" s="288">
        <v>291000000000</v>
      </c>
      <c r="Q39" s="288">
        <v>305000000000</v>
      </c>
      <c r="R39" s="288">
        <v>372000000000</v>
      </c>
      <c r="S39" s="288">
        <v>401000000000</v>
      </c>
      <c r="T39" s="142">
        <v>563000000000</v>
      </c>
      <c r="U39" s="21">
        <v>462000000000</v>
      </c>
      <c r="V39" s="267">
        <v>595000000000</v>
      </c>
    </row>
    <row r="40" spans="1:22">
      <c r="A40" s="65" t="s">
        <v>5169</v>
      </c>
      <c r="B40" s="65" t="s">
        <v>5169</v>
      </c>
      <c r="C40" s="58" t="s">
        <v>5166</v>
      </c>
      <c r="D40" s="35"/>
      <c r="E40" s="135">
        <v>30900000000</v>
      </c>
      <c r="F40" s="159"/>
      <c r="G40" s="159"/>
      <c r="H40" s="159"/>
      <c r="I40" s="159"/>
      <c r="J40" s="159"/>
      <c r="K40" s="159"/>
      <c r="L40" s="135"/>
      <c r="M40" s="21"/>
      <c r="N40" s="21"/>
      <c r="O40" s="21"/>
      <c r="P40" s="21"/>
      <c r="Q40" s="21"/>
      <c r="R40" s="21"/>
      <c r="S40" s="21"/>
      <c r="T40" s="125"/>
      <c r="U40" s="21"/>
      <c r="V40" s="267"/>
    </row>
    <row r="41" spans="1:22">
      <c r="A41" s="65" t="s">
        <v>5170</v>
      </c>
      <c r="B41" s="65" t="s">
        <v>5170</v>
      </c>
      <c r="C41" s="58" t="s">
        <v>5166</v>
      </c>
      <c r="D41" s="35"/>
      <c r="E41" s="135">
        <v>70700000000</v>
      </c>
      <c r="F41" s="159"/>
      <c r="G41" s="159"/>
      <c r="H41" s="159"/>
      <c r="I41" s="159"/>
      <c r="J41" s="159"/>
      <c r="K41" s="159"/>
      <c r="L41" s="135"/>
      <c r="M41" s="38"/>
      <c r="N41" s="38"/>
      <c r="O41" s="38"/>
      <c r="P41" s="38"/>
      <c r="Q41" s="38"/>
      <c r="R41" s="38"/>
      <c r="S41" s="493"/>
      <c r="T41" s="125"/>
      <c r="U41" s="21"/>
      <c r="V41" s="267"/>
    </row>
    <row r="42" spans="1:22">
      <c r="A42" s="65" t="s">
        <v>50</v>
      </c>
      <c r="B42" s="65" t="s">
        <v>50</v>
      </c>
      <c r="C42" s="58" t="s">
        <v>5166</v>
      </c>
      <c r="D42" s="35"/>
      <c r="E42" s="135">
        <v>300000000</v>
      </c>
      <c r="F42" s="159"/>
      <c r="G42" s="159"/>
      <c r="H42" s="159"/>
      <c r="I42" s="159"/>
      <c r="J42" s="159"/>
      <c r="K42" s="159"/>
      <c r="L42" s="135"/>
      <c r="M42" s="1928">
        <f>M37-M38-M39</f>
        <v>199000000000</v>
      </c>
      <c r="N42" s="1928">
        <f t="shared" ref="N42:V42" si="2">N37-N38-N39</f>
        <v>250000000000</v>
      </c>
      <c r="O42" s="1928">
        <f t="shared" si="2"/>
        <v>326000000000</v>
      </c>
      <c r="P42" s="1928">
        <f t="shared" si="2"/>
        <v>368000000000</v>
      </c>
      <c r="Q42" s="1928">
        <f t="shared" si="2"/>
        <v>443000000000</v>
      </c>
      <c r="R42" s="1928">
        <f t="shared" si="2"/>
        <v>471000000000</v>
      </c>
      <c r="S42" s="1928">
        <f t="shared" si="2"/>
        <v>502000000000</v>
      </c>
      <c r="T42" s="1928">
        <f t="shared" si="2"/>
        <v>555000000000</v>
      </c>
      <c r="U42" s="1928">
        <f t="shared" si="2"/>
        <v>730000000000</v>
      </c>
      <c r="V42" s="1930">
        <f t="shared" si="2"/>
        <v>746000000000</v>
      </c>
    </row>
    <row r="43" spans="1:22" ht="16.5">
      <c r="A43" s="86" t="s">
        <v>1389</v>
      </c>
      <c r="B43" s="196" t="s">
        <v>5155</v>
      </c>
      <c r="C43" s="11" t="s">
        <v>81</v>
      </c>
      <c r="D43" s="58"/>
      <c r="E43" s="135">
        <v>166700000000</v>
      </c>
      <c r="F43" s="135">
        <v>176000000000</v>
      </c>
      <c r="G43" s="135">
        <v>194000000000</v>
      </c>
      <c r="H43" s="135">
        <v>218000000000</v>
      </c>
      <c r="I43" s="135">
        <v>254000000000</v>
      </c>
      <c r="J43" s="135">
        <v>333000000000</v>
      </c>
      <c r="K43" s="135">
        <v>402000000000</v>
      </c>
      <c r="L43" s="135">
        <v>437000000000</v>
      </c>
      <c r="M43" s="288">
        <v>546000000000</v>
      </c>
      <c r="N43" s="288">
        <v>627000000000</v>
      </c>
      <c r="O43" s="288">
        <v>786000000000</v>
      </c>
      <c r="P43" s="288">
        <v>968000000000</v>
      </c>
      <c r="Q43" s="288">
        <v>1110000000000</v>
      </c>
      <c r="R43" s="288">
        <v>1173000000000</v>
      </c>
      <c r="S43" s="288">
        <v>1387000000000</v>
      </c>
      <c r="T43" s="142">
        <v>1550000000000</v>
      </c>
      <c r="U43" s="21">
        <v>1726000000000</v>
      </c>
      <c r="V43" s="267">
        <v>1943000000000</v>
      </c>
    </row>
    <row r="44" spans="1:22">
      <c r="A44" s="194" t="s">
        <v>92</v>
      </c>
      <c r="B44" s="194" t="s">
        <v>5171</v>
      </c>
      <c r="C44" s="11" t="s">
        <v>75</v>
      </c>
      <c r="D44" s="58"/>
      <c r="E44" s="135">
        <f>E47+E49</f>
        <v>89800000000</v>
      </c>
      <c r="F44" s="135">
        <f>F47+F49</f>
        <v>126000000000</v>
      </c>
      <c r="G44" s="135">
        <f t="shared" ref="G44:V44" si="3">G47+G49</f>
        <v>130000000000</v>
      </c>
      <c r="H44" s="135">
        <f t="shared" si="3"/>
        <v>160000000000</v>
      </c>
      <c r="I44" s="135">
        <f t="shared" si="3"/>
        <v>227000000000</v>
      </c>
      <c r="J44" s="135">
        <f t="shared" si="3"/>
        <v>327000000000</v>
      </c>
      <c r="K44" s="135">
        <f t="shared" si="3"/>
        <v>394000000000</v>
      </c>
      <c r="L44" s="135">
        <f t="shared" si="3"/>
        <v>452000000000</v>
      </c>
      <c r="M44" s="135">
        <f t="shared" si="3"/>
        <v>398000000000</v>
      </c>
      <c r="N44" s="135">
        <f t="shared" si="3"/>
        <v>518000000000</v>
      </c>
      <c r="O44" s="135">
        <f t="shared" si="3"/>
        <v>465000000000</v>
      </c>
      <c r="P44" s="135">
        <f t="shared" si="3"/>
        <v>675000000000</v>
      </c>
      <c r="Q44" s="135">
        <f t="shared" si="3"/>
        <v>721000000000</v>
      </c>
      <c r="R44" s="135">
        <f t="shared" si="3"/>
        <v>878000000000</v>
      </c>
      <c r="S44" s="135">
        <f t="shared" si="3"/>
        <v>1013000000000</v>
      </c>
      <c r="T44" s="135">
        <f t="shared" si="3"/>
        <v>1088000000000</v>
      </c>
      <c r="U44" s="135">
        <f t="shared" si="3"/>
        <v>1578000000000</v>
      </c>
      <c r="V44" s="135">
        <f t="shared" si="3"/>
        <v>1761000000000</v>
      </c>
    </row>
    <row r="45" spans="1:22" ht="16.5">
      <c r="A45" t="s">
        <v>76</v>
      </c>
      <c r="B45" s="194" t="s">
        <v>5172</v>
      </c>
      <c r="C45" s="58"/>
      <c r="D45" s="58"/>
      <c r="E45" s="135">
        <v>72200000000</v>
      </c>
      <c r="F45" s="135">
        <v>126000000000</v>
      </c>
      <c r="G45" s="135">
        <v>88000000000</v>
      </c>
      <c r="H45" s="135">
        <v>181000000000</v>
      </c>
      <c r="I45" s="135">
        <v>252000000000</v>
      </c>
      <c r="J45" s="135">
        <v>329000000000</v>
      </c>
      <c r="K45" s="135">
        <v>385000000000</v>
      </c>
      <c r="L45" s="135">
        <v>423000000000</v>
      </c>
      <c r="M45" s="288">
        <v>417000000000</v>
      </c>
      <c r="N45" s="288">
        <v>571000000000</v>
      </c>
      <c r="O45" s="288">
        <v>477000000000</v>
      </c>
      <c r="P45" s="288">
        <v>696000000000</v>
      </c>
      <c r="Q45" s="288">
        <v>1112000000000</v>
      </c>
      <c r="R45" s="288">
        <v>997000000000</v>
      </c>
      <c r="S45" s="288">
        <v>1047000000000</v>
      </c>
      <c r="T45" s="125">
        <v>1102000000000</v>
      </c>
      <c r="U45" s="21">
        <v>1565000000000</v>
      </c>
      <c r="V45" s="267">
        <v>1749000000000</v>
      </c>
    </row>
    <row r="46" spans="1:22" ht="16.5">
      <c r="A46" s="195"/>
      <c r="B46" s="195" t="s">
        <v>5173</v>
      </c>
      <c r="C46" s="11"/>
      <c r="D46" s="58"/>
      <c r="E46" s="135">
        <v>89800000000</v>
      </c>
      <c r="F46" s="135">
        <v>126000000000</v>
      </c>
      <c r="G46" s="135">
        <v>130000000000</v>
      </c>
      <c r="H46" s="135">
        <v>161000000000</v>
      </c>
      <c r="I46" s="135">
        <v>228000000000</v>
      </c>
      <c r="J46" s="135">
        <v>327000000000</v>
      </c>
      <c r="K46" s="135">
        <v>394000000000</v>
      </c>
      <c r="L46" s="135">
        <v>452000000000</v>
      </c>
      <c r="M46" s="288">
        <v>398000000000</v>
      </c>
      <c r="N46" s="288">
        <v>518000000000</v>
      </c>
      <c r="O46" s="288">
        <v>465000000000</v>
      </c>
      <c r="P46" s="288">
        <v>675000000000</v>
      </c>
      <c r="Q46" s="288">
        <v>721000000000</v>
      </c>
      <c r="R46" s="288">
        <v>878000000000</v>
      </c>
      <c r="S46" s="288">
        <v>1013000000000</v>
      </c>
      <c r="T46" s="142">
        <v>1089000000000</v>
      </c>
      <c r="U46" s="21">
        <v>1578000000000</v>
      </c>
      <c r="V46" s="267">
        <v>1761000000000</v>
      </c>
    </row>
    <row r="47" spans="1:22" ht="16.5">
      <c r="A47" s="64" t="s">
        <v>7119</v>
      </c>
      <c r="B47" s="64" t="s">
        <v>5136</v>
      </c>
      <c r="C47" s="90" t="s">
        <v>95</v>
      </c>
      <c r="D47" s="35"/>
      <c r="E47" s="135">
        <v>66900000000.000008</v>
      </c>
      <c r="F47" s="135">
        <v>98000000000</v>
      </c>
      <c r="G47" s="135">
        <v>91000000000</v>
      </c>
      <c r="H47" s="135">
        <v>102000000000</v>
      </c>
      <c r="I47" s="135">
        <v>135000000000</v>
      </c>
      <c r="J47" s="135">
        <v>186000000000</v>
      </c>
      <c r="K47" s="135">
        <v>211000000000</v>
      </c>
      <c r="L47" s="135">
        <v>238000000000</v>
      </c>
      <c r="M47" s="288">
        <v>196000000000</v>
      </c>
      <c r="N47" s="288">
        <v>260000000000</v>
      </c>
      <c r="O47" s="288">
        <v>216000000000</v>
      </c>
      <c r="P47" s="288">
        <v>299000000000</v>
      </c>
      <c r="Q47" s="288">
        <v>348000000000</v>
      </c>
      <c r="R47" s="288">
        <v>435000000000</v>
      </c>
      <c r="S47" s="288">
        <v>489000000000</v>
      </c>
      <c r="T47" s="142">
        <v>496000000000</v>
      </c>
      <c r="U47" s="21">
        <v>726000000000</v>
      </c>
      <c r="V47" s="267">
        <v>800000000000</v>
      </c>
    </row>
    <row r="48" spans="1:22">
      <c r="A48" t="s">
        <v>76</v>
      </c>
      <c r="B48" s="65" t="s">
        <v>5174</v>
      </c>
      <c r="C48" s="58"/>
      <c r="D48" s="35"/>
      <c r="E48" s="135"/>
      <c r="F48" s="159"/>
      <c r="G48" s="159"/>
      <c r="H48" s="159"/>
      <c r="I48" s="159"/>
      <c r="J48" s="159"/>
      <c r="K48" s="135"/>
      <c r="L48" s="135">
        <v>17000000000</v>
      </c>
      <c r="M48" s="21"/>
      <c r="N48" s="21"/>
      <c r="O48" s="21"/>
      <c r="P48" s="21"/>
      <c r="Q48" s="21"/>
      <c r="R48" s="21"/>
      <c r="S48" s="21"/>
      <c r="T48" s="125"/>
      <c r="U48" s="21"/>
      <c r="V48" s="267"/>
    </row>
    <row r="49" spans="1:22" ht="16.5">
      <c r="A49" s="65" t="s">
        <v>7225</v>
      </c>
      <c r="B49" s="65" t="s">
        <v>5155</v>
      </c>
      <c r="C49" s="90" t="s">
        <v>95</v>
      </c>
      <c r="D49" s="35"/>
      <c r="E49" s="135">
        <v>22900000000</v>
      </c>
      <c r="F49" s="135">
        <v>28000000000</v>
      </c>
      <c r="G49" s="135">
        <v>39000000000</v>
      </c>
      <c r="H49" s="135">
        <v>58000000000</v>
      </c>
      <c r="I49" s="135">
        <v>92000000000</v>
      </c>
      <c r="J49" s="135">
        <v>141000000000</v>
      </c>
      <c r="K49" s="135">
        <v>183000000000</v>
      </c>
      <c r="L49" s="135">
        <v>214000000000</v>
      </c>
      <c r="M49" s="288">
        <v>202000000000</v>
      </c>
      <c r="N49" s="288">
        <v>258000000000</v>
      </c>
      <c r="O49" s="288">
        <v>249000000000</v>
      </c>
      <c r="P49" s="288">
        <v>376000000000</v>
      </c>
      <c r="Q49" s="288">
        <v>373000000000</v>
      </c>
      <c r="R49" s="288">
        <v>443000000000</v>
      </c>
      <c r="S49" s="288">
        <v>524000000000</v>
      </c>
      <c r="T49" s="142">
        <v>592000000000</v>
      </c>
      <c r="U49" s="21">
        <v>852000000000</v>
      </c>
      <c r="V49" s="267">
        <v>961000000000</v>
      </c>
    </row>
    <row r="50" spans="1:22" ht="16.5">
      <c r="A50" s="195" t="s">
        <v>244</v>
      </c>
      <c r="B50" s="195" t="s">
        <v>3521</v>
      </c>
      <c r="C50" s="11" t="s">
        <v>75</v>
      </c>
      <c r="D50" s="58"/>
      <c r="E50" s="2734">
        <v>0</v>
      </c>
      <c r="F50" s="135">
        <v>0</v>
      </c>
      <c r="G50" s="2734">
        <v>0</v>
      </c>
      <c r="H50" s="135">
        <v>20000000000</v>
      </c>
      <c r="I50" s="135">
        <v>25000000000</v>
      </c>
      <c r="J50" s="135">
        <v>2000000000</v>
      </c>
      <c r="K50" s="2734">
        <v>0</v>
      </c>
      <c r="L50" s="2734">
        <v>0</v>
      </c>
      <c r="M50" s="288">
        <v>20000000000</v>
      </c>
      <c r="N50" s="288">
        <v>53000000000</v>
      </c>
      <c r="O50" s="288">
        <v>12000000000</v>
      </c>
      <c r="P50" s="288">
        <v>21000000000</v>
      </c>
      <c r="Q50" s="288">
        <v>391000000000</v>
      </c>
      <c r="R50" s="288">
        <v>119000000000</v>
      </c>
      <c r="S50" s="288">
        <v>34000000000</v>
      </c>
      <c r="T50" s="142">
        <v>13000000000</v>
      </c>
      <c r="U50" s="192">
        <v>0</v>
      </c>
      <c r="V50" s="852">
        <v>0</v>
      </c>
    </row>
    <row r="51" spans="1:22" ht="16.5">
      <c r="A51" t="s">
        <v>398</v>
      </c>
      <c r="B51" s="58" t="s">
        <v>5175</v>
      </c>
      <c r="C51" s="11" t="s">
        <v>75</v>
      </c>
      <c r="D51" s="58"/>
      <c r="E51" s="135">
        <v>14800000000</v>
      </c>
      <c r="F51" s="162"/>
      <c r="G51" s="135">
        <v>13000000000</v>
      </c>
      <c r="H51" s="162"/>
      <c r="I51" s="162"/>
      <c r="J51" s="162"/>
      <c r="K51" s="162"/>
      <c r="L51" s="162"/>
      <c r="M51" s="288">
        <v>34000000000</v>
      </c>
      <c r="N51" s="2749">
        <v>0</v>
      </c>
      <c r="O51" s="288">
        <v>46000000000</v>
      </c>
      <c r="P51" s="288">
        <v>67000000000</v>
      </c>
      <c r="Q51" s="288">
        <v>16000000000</v>
      </c>
      <c r="R51" s="2749">
        <v>0</v>
      </c>
      <c r="S51" s="2749">
        <v>0</v>
      </c>
      <c r="T51" s="2629">
        <v>0</v>
      </c>
      <c r="U51" s="192">
        <v>0</v>
      </c>
      <c r="V51" s="267">
        <v>0</v>
      </c>
    </row>
    <row r="52" spans="1:22">
      <c r="A52" t="s">
        <v>76</v>
      </c>
      <c r="B52" s="58" t="s">
        <v>5176</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7"/>
    </row>
    <row r="53" spans="1:22">
      <c r="A53" t="s">
        <v>76</v>
      </c>
      <c r="B53" s="58" t="s">
        <v>5177</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7"/>
    </row>
    <row r="54" spans="1:22" ht="16.5">
      <c r="A54" t="s">
        <v>76</v>
      </c>
      <c r="B54" s="58" t="s">
        <v>5178</v>
      </c>
      <c r="C54" s="58"/>
      <c r="D54" s="58"/>
      <c r="E54" s="135">
        <v>-179700000000</v>
      </c>
      <c r="F54" s="135">
        <v>-242000000000</v>
      </c>
      <c r="G54" s="135">
        <v>-185000000000</v>
      </c>
      <c r="H54" s="135">
        <v>-129000000000</v>
      </c>
      <c r="I54" s="135">
        <v>-217000000000</v>
      </c>
      <c r="J54" s="135">
        <v>-326000000000</v>
      </c>
      <c r="K54" s="135">
        <v>-378000000000</v>
      </c>
      <c r="L54" s="135">
        <v>-779000000000</v>
      </c>
      <c r="M54" s="288">
        <v>-693000000000</v>
      </c>
      <c r="N54" s="288">
        <v>-944000000000</v>
      </c>
      <c r="O54" s="288">
        <v>-1276000000000</v>
      </c>
      <c r="P54" s="288">
        <v>-1775000000000</v>
      </c>
      <c r="Q54" s="288">
        <v>-1903000000000</v>
      </c>
      <c r="R54" s="288">
        <v>-1427000000000</v>
      </c>
      <c r="S54" s="288">
        <v>-1489000000000</v>
      </c>
      <c r="T54" s="142">
        <v>-1349000000000</v>
      </c>
      <c r="U54" s="21">
        <v>-1864000000000</v>
      </c>
      <c r="V54" s="267">
        <v>-1956000000000</v>
      </c>
    </row>
    <row r="55" spans="1:22" ht="16.5">
      <c r="A55" t="s">
        <v>76</v>
      </c>
      <c r="B55" s="58" t="s">
        <v>5179</v>
      </c>
      <c r="C55" s="58"/>
      <c r="D55" s="58"/>
      <c r="E55" s="135">
        <v>-139200000000</v>
      </c>
      <c r="F55" s="135">
        <v>-159000000000</v>
      </c>
      <c r="G55" s="135">
        <v>-66000000000</v>
      </c>
      <c r="H55" s="135">
        <v>-99000000000</v>
      </c>
      <c r="I55" s="135">
        <v>-198000000000</v>
      </c>
      <c r="J55" s="135">
        <v>-281000000000</v>
      </c>
      <c r="K55" s="135">
        <v>-348000000000</v>
      </c>
      <c r="L55" s="135">
        <v>-748000000000</v>
      </c>
      <c r="M55" s="288">
        <v>-666000000000</v>
      </c>
      <c r="N55" s="288">
        <v>-894000000000</v>
      </c>
      <c r="O55" s="288">
        <v>-1230000000000</v>
      </c>
      <c r="P55" s="288">
        <v>-1730000000000</v>
      </c>
      <c r="Q55" s="288">
        <v>-1873000000000</v>
      </c>
      <c r="R55" s="288">
        <v>-1221000000000</v>
      </c>
      <c r="S55" s="288">
        <v>-1442000000000</v>
      </c>
      <c r="T55" s="142">
        <v>-1284000000000</v>
      </c>
      <c r="U55" s="21">
        <v>-1805000000000</v>
      </c>
      <c r="V55" s="267">
        <v>-1883000000000</v>
      </c>
    </row>
    <row r="56" spans="1:22" s="848" customFormat="1" ht="16.5">
      <c r="A56" s="909" t="s">
        <v>115</v>
      </c>
      <c r="B56" s="909" t="s">
        <v>115</v>
      </c>
      <c r="C56" s="909" t="s">
        <v>35</v>
      </c>
      <c r="D56" s="1063"/>
      <c r="E56" s="1169">
        <v>139200000000</v>
      </c>
      <c r="F56" s="1169">
        <v>159000000000</v>
      </c>
      <c r="G56" s="1169">
        <v>66000000000</v>
      </c>
      <c r="H56" s="1169">
        <v>99000000000</v>
      </c>
      <c r="I56" s="1169">
        <v>198000000000</v>
      </c>
      <c r="J56" s="1169">
        <v>281000000000</v>
      </c>
      <c r="K56" s="1169">
        <v>348000000000</v>
      </c>
      <c r="L56" s="1169">
        <v>748000000000</v>
      </c>
      <c r="M56" s="1925">
        <v>666000000000</v>
      </c>
      <c r="N56" s="1925">
        <v>894000000000</v>
      </c>
      <c r="O56" s="1925">
        <v>1230000000000</v>
      </c>
      <c r="P56" s="1925">
        <v>1730000000000</v>
      </c>
      <c r="Q56" s="1925">
        <v>1873000000000</v>
      </c>
      <c r="R56" s="1925">
        <v>1221000000000</v>
      </c>
      <c r="S56" s="1925">
        <v>1442000000000</v>
      </c>
      <c r="T56" s="1094">
        <v>1284000000000</v>
      </c>
      <c r="U56" s="1926">
        <v>1805000000000</v>
      </c>
      <c r="V56" s="1348">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8">
        <v>86000000000</v>
      </c>
      <c r="N57" s="288">
        <v>158000000000</v>
      </c>
      <c r="O57" s="288">
        <v>144000000000</v>
      </c>
      <c r="P57" s="288">
        <v>60000000000</v>
      </c>
      <c r="Q57" s="288">
        <v>38000000000</v>
      </c>
      <c r="R57" s="288">
        <v>351000000000</v>
      </c>
      <c r="S57" s="288">
        <v>166000000000</v>
      </c>
      <c r="T57" s="142">
        <v>331000000000</v>
      </c>
      <c r="U57" s="21">
        <v>542000000000</v>
      </c>
      <c r="V57" s="267">
        <v>749000000000</v>
      </c>
    </row>
    <row r="58" spans="1:22" ht="16.5">
      <c r="A58" t="s">
        <v>253</v>
      </c>
      <c r="B58" s="65" t="s">
        <v>5180</v>
      </c>
      <c r="C58" s="58" t="s">
        <v>264</v>
      </c>
      <c r="D58" s="58"/>
      <c r="E58" s="135"/>
      <c r="F58" s="135"/>
      <c r="G58" s="135">
        <v>8000000000</v>
      </c>
      <c r="H58" s="135">
        <v>0</v>
      </c>
      <c r="I58" s="135">
        <v>12000000000</v>
      </c>
      <c r="J58" s="135">
        <v>97000000000</v>
      </c>
      <c r="K58" s="135">
        <v>53000000000</v>
      </c>
      <c r="L58" s="159"/>
      <c r="M58" s="288">
        <v>1000000000</v>
      </c>
      <c r="N58" s="288">
        <v>0</v>
      </c>
      <c r="O58" s="288">
        <v>0</v>
      </c>
      <c r="P58" s="288">
        <v>0</v>
      </c>
      <c r="Q58" s="288">
        <v>0</v>
      </c>
      <c r="R58" s="288"/>
      <c r="S58" s="288">
        <v>2000000000</v>
      </c>
      <c r="T58" s="142">
        <v>0</v>
      </c>
      <c r="U58" s="21">
        <v>0</v>
      </c>
      <c r="V58" s="267">
        <v>26000000000</v>
      </c>
    </row>
    <row r="59" spans="1:22" ht="16.5">
      <c r="A59" t="s">
        <v>273</v>
      </c>
      <c r="B59" s="65" t="s">
        <v>5181</v>
      </c>
      <c r="C59" s="58" t="s">
        <v>264</v>
      </c>
      <c r="D59" s="58"/>
      <c r="E59" s="135"/>
      <c r="F59" s="159"/>
      <c r="G59" s="159"/>
      <c r="H59" s="159"/>
      <c r="I59" s="159"/>
      <c r="J59" s="159"/>
      <c r="K59" s="159"/>
      <c r="L59" s="159"/>
      <c r="M59" s="288">
        <v>0</v>
      </c>
      <c r="N59" s="288">
        <v>0</v>
      </c>
      <c r="O59" s="288">
        <v>0</v>
      </c>
      <c r="P59" s="288">
        <v>0</v>
      </c>
      <c r="Q59" s="288">
        <v>0</v>
      </c>
      <c r="R59" s="288">
        <v>0</v>
      </c>
      <c r="S59" s="288">
        <v>0</v>
      </c>
      <c r="T59" s="142">
        <v>0</v>
      </c>
      <c r="U59" s="21">
        <v>0</v>
      </c>
      <c r="V59" s="267">
        <v>0</v>
      </c>
    </row>
    <row r="60" spans="1:22">
      <c r="A60" s="65" t="s">
        <v>1688</v>
      </c>
      <c r="B60" s="65" t="s">
        <v>1688</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47">
        <f t="shared" ref="M60:V60" si="4">M57-M58-M59</f>
        <v>85000000000</v>
      </c>
      <c r="N60" s="347">
        <f t="shared" si="4"/>
        <v>158000000000</v>
      </c>
      <c r="O60" s="347">
        <f t="shared" si="4"/>
        <v>144000000000</v>
      </c>
      <c r="P60" s="347">
        <f t="shared" si="4"/>
        <v>60000000000</v>
      </c>
      <c r="Q60" s="347">
        <f t="shared" si="4"/>
        <v>38000000000</v>
      </c>
      <c r="R60" s="1929">
        <f t="shared" si="4"/>
        <v>351000000000</v>
      </c>
      <c r="S60" s="1929">
        <f t="shared" si="4"/>
        <v>164000000000</v>
      </c>
      <c r="T60" s="1929">
        <f t="shared" si="4"/>
        <v>331000000000</v>
      </c>
      <c r="U60" s="1929">
        <f t="shared" si="4"/>
        <v>542000000000</v>
      </c>
      <c r="V60" s="1931">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8">
        <v>580000000000</v>
      </c>
      <c r="N61" s="288">
        <v>736000000000</v>
      </c>
      <c r="O61" s="288">
        <v>1086000000000</v>
      </c>
      <c r="P61" s="288">
        <v>1670000000000</v>
      </c>
      <c r="Q61" s="288">
        <v>1836000000000</v>
      </c>
      <c r="R61" s="288">
        <v>870000000000</v>
      </c>
      <c r="S61" s="288">
        <v>1276000000000</v>
      </c>
      <c r="T61" s="142">
        <v>953000000000</v>
      </c>
      <c r="U61" s="21">
        <v>1264000000000</v>
      </c>
      <c r="V61" s="267">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8">
        <v>353000000000</v>
      </c>
      <c r="N62" s="288">
        <v>305000000000</v>
      </c>
      <c r="O62" s="288">
        <v>614000000000</v>
      </c>
      <c r="P62" s="288">
        <v>1140000000000</v>
      </c>
      <c r="Q62" s="288">
        <v>1457000000000</v>
      </c>
      <c r="R62" s="288">
        <v>322000000000</v>
      </c>
      <c r="S62" s="288">
        <v>910000000000</v>
      </c>
      <c r="T62" s="142">
        <v>780000000000</v>
      </c>
      <c r="U62" s="21">
        <v>885000000000</v>
      </c>
      <c r="V62" s="267">
        <v>794000000000</v>
      </c>
    </row>
    <row r="63" spans="1:22" ht="16.5">
      <c r="A63" t="s">
        <v>428</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8">
        <v>227000000000</v>
      </c>
      <c r="N63" s="288">
        <v>431000000000</v>
      </c>
      <c r="O63" s="288">
        <v>471000000000</v>
      </c>
      <c r="P63" s="288">
        <v>529000000000</v>
      </c>
      <c r="Q63" s="288">
        <v>378000000000</v>
      </c>
      <c r="R63" s="288">
        <v>548000000000</v>
      </c>
      <c r="S63" s="288">
        <v>366000000000</v>
      </c>
      <c r="T63" s="142">
        <v>173000000000</v>
      </c>
      <c r="U63" s="21">
        <v>379000000000</v>
      </c>
      <c r="V63" s="267">
        <v>340000000000</v>
      </c>
    </row>
    <row r="64" spans="1:22">
      <c r="A64" s="20" t="s">
        <v>858</v>
      </c>
      <c r="B64" s="65" t="s">
        <v>4022</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5182</v>
      </c>
      <c r="C65" s="90"/>
      <c r="D65" s="35"/>
      <c r="E65" s="45"/>
      <c r="F65" s="45"/>
      <c r="G65" s="45"/>
      <c r="H65" s="45"/>
      <c r="I65" s="45"/>
      <c r="J65" s="45"/>
      <c r="K65" s="45"/>
      <c r="L65" s="44"/>
      <c r="M65" s="44"/>
      <c r="N65" s="44"/>
      <c r="O65" s="44"/>
      <c r="P65" s="44"/>
      <c r="Q65" s="44"/>
      <c r="R65" s="44"/>
      <c r="S65" s="44"/>
    </row>
    <row r="66" spans="1:22" ht="16.5">
      <c r="A66" s="20"/>
      <c r="B66" s="90" t="s">
        <v>5183</v>
      </c>
      <c r="C66" s="90"/>
      <c r="D66" s="35"/>
      <c r="E66" s="45"/>
      <c r="F66" s="45"/>
      <c r="G66" s="45"/>
      <c r="H66" s="45"/>
      <c r="I66" s="45"/>
      <c r="J66" s="45"/>
      <c r="K66" s="45"/>
      <c r="L66" s="44"/>
      <c r="M66" s="44"/>
      <c r="N66" s="44"/>
      <c r="O66" s="44"/>
      <c r="P66" s="44"/>
      <c r="Q66" s="44"/>
      <c r="R66" s="475">
        <v>623000000000</v>
      </c>
      <c r="S66" s="44"/>
      <c r="T66" s="21"/>
      <c r="U66" s="21"/>
    </row>
    <row r="67" spans="1:22" ht="16.5">
      <c r="A67" s="20"/>
      <c r="B67" s="90" t="s">
        <v>5184</v>
      </c>
      <c r="C67" s="90"/>
      <c r="D67" s="35"/>
      <c r="E67" s="45"/>
      <c r="F67" s="45"/>
      <c r="G67" s="45"/>
      <c r="H67" s="45"/>
      <c r="I67" s="45"/>
      <c r="J67" s="45"/>
      <c r="K67" s="45"/>
      <c r="L67" s="44"/>
      <c r="M67" s="44"/>
      <c r="N67" s="44"/>
      <c r="O67" s="44"/>
      <c r="P67" s="44"/>
      <c r="Q67" s="44"/>
      <c r="R67" s="475">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875</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5185</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0</v>
      </c>
      <c r="T77" s="21">
        <f>T26-T29-T44-T51-T50</f>
        <v>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5186</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5187</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5188</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2345</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5189</v>
      </c>
      <c r="E84" s="21">
        <f>E44-E46</f>
        <v>0</v>
      </c>
      <c r="F84" s="21">
        <f t="shared" ref="F84:L84" si="21">F44-F46</f>
        <v>0</v>
      </c>
      <c r="G84" s="21">
        <f t="shared" si="21"/>
        <v>0</v>
      </c>
      <c r="H84" s="21">
        <f t="shared" si="21"/>
        <v>-1000000000</v>
      </c>
      <c r="I84" s="21">
        <f t="shared" si="21"/>
        <v>-1000000000</v>
      </c>
      <c r="J84" s="21">
        <f t="shared" si="21"/>
        <v>0</v>
      </c>
      <c r="K84" s="21">
        <f t="shared" si="21"/>
        <v>0</v>
      </c>
      <c r="L84" s="21">
        <f t="shared" si="21"/>
        <v>0</v>
      </c>
      <c r="M84" s="21">
        <f t="shared" ref="M84:S84" si="22">M44-M46</f>
        <v>0</v>
      </c>
      <c r="N84" s="21">
        <f t="shared" si="22"/>
        <v>0</v>
      </c>
      <c r="O84" s="21">
        <f t="shared" si="22"/>
        <v>0</v>
      </c>
      <c r="P84" s="21">
        <f t="shared" si="22"/>
        <v>0</v>
      </c>
      <c r="Q84" s="21">
        <f t="shared" si="22"/>
        <v>0</v>
      </c>
      <c r="R84" s="21">
        <f t="shared" si="22"/>
        <v>0</v>
      </c>
      <c r="S84" s="21">
        <f t="shared" si="22"/>
        <v>0</v>
      </c>
      <c r="T84" s="21">
        <f>T44-T46</f>
        <v>-1000000000</v>
      </c>
      <c r="U84" s="21">
        <f>U44-U46</f>
        <v>0</v>
      </c>
      <c r="V84" s="21">
        <f>V44-V46</f>
        <v>0</v>
      </c>
    </row>
    <row r="85" spans="2:24">
      <c r="B85" t="s">
        <v>5190</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457</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528</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623</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75">
        <v>25169000000000</v>
      </c>
      <c r="S92" s="475">
        <v>27443000000000</v>
      </c>
      <c r="T92" s="475">
        <v>29103000000000</v>
      </c>
      <c r="U92" s="475">
        <v>31862000000000</v>
      </c>
      <c r="V92" s="154">
        <v>35381000000000</v>
      </c>
      <c r="W92" s="154"/>
    </row>
    <row r="93" spans="2:24">
      <c r="B93" t="s">
        <v>151</v>
      </c>
      <c r="E93" s="364">
        <f t="shared" ref="E93:Q93" si="31">(E6/E92)*100</f>
        <v>13.080382753818382</v>
      </c>
      <c r="F93" s="364">
        <f t="shared" si="31"/>
        <v>14.732254301630718</v>
      </c>
      <c r="G93" s="364">
        <f t="shared" si="31"/>
        <v>15.947051222765843</v>
      </c>
      <c r="H93" s="364">
        <f t="shared" si="31"/>
        <v>13.570594479218979</v>
      </c>
      <c r="I93" s="364">
        <f t="shared" si="31"/>
        <v>13.118537621367885</v>
      </c>
      <c r="J93" s="364">
        <f t="shared" si="31"/>
        <v>13.643843352612411</v>
      </c>
      <c r="K93" s="364">
        <f t="shared" si="31"/>
        <v>14.361804483350587</v>
      </c>
      <c r="L93" s="364">
        <f t="shared" si="31"/>
        <v>14.38271096616848</v>
      </c>
      <c r="M93" s="364">
        <f t="shared" si="31"/>
        <v>14.227588536624335</v>
      </c>
      <c r="N93" s="364">
        <f t="shared" si="31"/>
        <v>14.327036880887034</v>
      </c>
      <c r="O93" s="364">
        <f t="shared" si="31"/>
        <v>12.617336855536418</v>
      </c>
      <c r="P93" s="364">
        <f t="shared" si="31"/>
        <v>13.024717531738709</v>
      </c>
      <c r="Q93" s="364">
        <f t="shared" si="31"/>
        <v>13.388722000462714</v>
      </c>
      <c r="R93" s="364">
        <f t="shared" ref="R93:U93" si="32">(R6/R92)*100</f>
        <v>15.244944177361038</v>
      </c>
      <c r="S93" s="78">
        <f t="shared" si="32"/>
        <v>14.517363262034033</v>
      </c>
      <c r="T93" s="78">
        <f t="shared" si="32"/>
        <v>15.503556334398516</v>
      </c>
      <c r="U93" s="78">
        <f t="shared" si="32"/>
        <v>15.67698198480949</v>
      </c>
      <c r="V93" s="78">
        <f t="shared" ref="V93" si="33">(V6/V92)*100</f>
        <v>15.830530510726096</v>
      </c>
      <c r="X93" s="848"/>
    </row>
    <row r="94" spans="2:24">
      <c r="B94" t="s">
        <v>5191</v>
      </c>
      <c r="E94" s="364">
        <f>(E25/E92)*100</f>
        <v>16.148266964991958</v>
      </c>
      <c r="F94" s="364">
        <f t="shared" ref="F94:Q94" si="34">(F25/F92)*100</f>
        <v>16.961888262414998</v>
      </c>
      <c r="G94" s="364">
        <f t="shared" si="34"/>
        <v>17.203024230764107</v>
      </c>
      <c r="H94" s="364">
        <f t="shared" si="34"/>
        <v>15.199065816725257</v>
      </c>
      <c r="I94" s="364">
        <f t="shared" si="34"/>
        <v>15.944947250345951</v>
      </c>
      <c r="J94" s="364">
        <f t="shared" si="34"/>
        <v>16.260637572783391</v>
      </c>
      <c r="K94" s="364">
        <f t="shared" si="34"/>
        <v>17.695215019049144</v>
      </c>
      <c r="L94" s="364">
        <f t="shared" si="34"/>
        <v>21.414258549628627</v>
      </c>
      <c r="M94" s="364">
        <f t="shared" si="34"/>
        <v>19.273155078366514</v>
      </c>
      <c r="N94" s="364">
        <f t="shared" si="34"/>
        <v>20.340356585822718</v>
      </c>
      <c r="O94" s="364">
        <f t="shared" si="34"/>
        <v>19.347312715167725</v>
      </c>
      <c r="P94" s="364">
        <f t="shared" si="34"/>
        <v>21.654652931933256</v>
      </c>
      <c r="Q94" s="364">
        <f t="shared" si="34"/>
        <v>21.721656251165843</v>
      </c>
      <c r="R94" s="364">
        <f>(R26/R92)*100</f>
        <v>20.342484802733519</v>
      </c>
      <c r="S94" s="78">
        <f t="shared" ref="S94:U94" si="35">(S26/S92)*100</f>
        <v>20.416864045476078</v>
      </c>
      <c r="T94" s="78">
        <f t="shared" si="35"/>
        <v>20.6439198708037</v>
      </c>
      <c r="U94" s="78">
        <f t="shared" si="35"/>
        <v>21.630782750612017</v>
      </c>
      <c r="V94" s="78">
        <f t="shared" ref="V94" si="36">(V26/V92)*100</f>
        <v>21.186512534976401</v>
      </c>
    </row>
    <row r="97" spans="2:22">
      <c r="B97" t="s">
        <v>153</v>
      </c>
      <c r="E97" t="b">
        <f>IF(E50&lt;0, (E50/E25)*100)</f>
        <v>0</v>
      </c>
      <c r="F97" t="b">
        <f t="shared" ref="F97:S97" si="37">IF(F50&lt;0, (F50/F25)*100)</f>
        <v>0</v>
      </c>
      <c r="G97" t="b">
        <f t="shared" si="37"/>
        <v>0</v>
      </c>
      <c r="H97" t="b">
        <f t="shared" si="37"/>
        <v>0</v>
      </c>
      <c r="I97" t="b">
        <f t="shared" si="37"/>
        <v>0</v>
      </c>
      <c r="J97" t="b">
        <f t="shared" si="37"/>
        <v>0</v>
      </c>
      <c r="K97" t="b">
        <f t="shared" si="37"/>
        <v>0</v>
      </c>
      <c r="L97" t="b">
        <f t="shared" si="37"/>
        <v>0</v>
      </c>
      <c r="M97" t="b">
        <f t="shared" si="37"/>
        <v>0</v>
      </c>
      <c r="N97" t="b">
        <f t="shared" si="37"/>
        <v>0</v>
      </c>
      <c r="O97" t="b">
        <f t="shared" si="37"/>
        <v>0</v>
      </c>
      <c r="P97" t="b">
        <f t="shared" si="37"/>
        <v>0</v>
      </c>
      <c r="Q97" t="b">
        <f t="shared" si="37"/>
        <v>0</v>
      </c>
      <c r="R97" t="b">
        <f>IF(R50&lt;0, (R50/R25)*100)</f>
        <v>0</v>
      </c>
      <c r="S97" t="b">
        <f t="shared" si="37"/>
        <v>0</v>
      </c>
      <c r="T97" t="b">
        <f>IF(T50&lt;0, (T50/T25)*100)</f>
        <v>0</v>
      </c>
      <c r="U97" t="b">
        <f t="shared" ref="U97:V97" si="38">IF(U50&lt;0, (U50/U25)*100)</f>
        <v>0</v>
      </c>
      <c r="V97" t="b">
        <f t="shared" si="38"/>
        <v>0</v>
      </c>
    </row>
  </sheetData>
  <pageMargins left="0.7" right="0.7" top="0.75" bottom="0.75" header="0.3" footer="0.3"/>
  <pageSetup paperSize="9"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I6" activePane="bottomRight" state="frozen"/>
      <selection pane="topRight" activeCell="D1" sqref="D1"/>
      <selection pane="bottomLeft" activeCell="A6" sqref="A6"/>
      <selection pane="bottomRight" activeCell="A26" sqref="A26"/>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5.28515625" bestFit="1" customWidth="1"/>
    <col min="26" max="27" width="8.85546875"/>
  </cols>
  <sheetData>
    <row r="1" spans="1:41">
      <c r="A1" s="1935" t="s">
        <v>5192</v>
      </c>
      <c r="B1" s="30" t="s">
        <v>5193</v>
      </c>
      <c r="C1" s="82"/>
      <c r="D1" s="27"/>
      <c r="E1" s="27"/>
      <c r="F1" s="27"/>
      <c r="G1" s="27"/>
      <c r="H1" s="27"/>
      <c r="I1" s="27"/>
      <c r="J1" s="27"/>
      <c r="K1" s="27"/>
      <c r="L1" s="27"/>
      <c r="M1" s="27"/>
      <c r="N1" s="27"/>
      <c r="O1" s="28"/>
      <c r="P1" s="28"/>
      <c r="Q1" s="28"/>
      <c r="R1" s="29"/>
      <c r="S1" s="28"/>
      <c r="T1" s="28"/>
      <c r="U1" s="28"/>
      <c r="V1" s="28"/>
      <c r="W1" s="28"/>
      <c r="X1" s="28"/>
    </row>
    <row r="2" spans="1:41">
      <c r="B2" s="30" t="s">
        <v>2306</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2679</v>
      </c>
      <c r="R5" s="28" t="s">
        <v>30</v>
      </c>
      <c r="S5" s="28" t="s">
        <v>369</v>
      </c>
      <c r="T5" s="28" t="s">
        <v>32</v>
      </c>
      <c r="U5" s="28" t="s">
        <v>32</v>
      </c>
      <c r="V5" s="28" t="s">
        <v>32</v>
      </c>
      <c r="W5" s="28" t="s">
        <v>32</v>
      </c>
      <c r="X5" s="28" t="s">
        <v>32</v>
      </c>
      <c r="Y5" s="28" t="s">
        <v>32</v>
      </c>
    </row>
    <row r="6" spans="1:41" s="848" customFormat="1">
      <c r="A6" s="1063" t="s">
        <v>33</v>
      </c>
      <c r="B6" s="1175" t="s">
        <v>2301</v>
      </c>
      <c r="C6" s="1063" t="s">
        <v>35</v>
      </c>
      <c r="D6" s="1158"/>
      <c r="E6" s="1158"/>
      <c r="F6" s="1093">
        <f>F7+F14</f>
        <v>51225000</v>
      </c>
      <c r="G6" s="1093">
        <f t="shared" ref="G6:P6" si="0">G7+G14</f>
        <v>65866000</v>
      </c>
      <c r="H6" s="1093">
        <f t="shared" si="0"/>
        <v>70819000</v>
      </c>
      <c r="I6" s="1093">
        <f>I7+I14</f>
        <v>73352000</v>
      </c>
      <c r="J6" s="1093">
        <f>J7+J14</f>
        <v>83592000</v>
      </c>
      <c r="K6" s="1093">
        <f t="shared" si="0"/>
        <v>89197000</v>
      </c>
      <c r="L6" s="1093">
        <f t="shared" si="0"/>
        <v>84365000</v>
      </c>
      <c r="M6" s="1093">
        <f>M7+M14</f>
        <v>75400000</v>
      </c>
      <c r="N6" s="1093">
        <f t="shared" si="0"/>
        <v>87200000</v>
      </c>
      <c r="O6" s="1093">
        <f t="shared" si="0"/>
        <v>89000000</v>
      </c>
      <c r="P6" s="1093">
        <f t="shared" si="0"/>
        <v>96800000</v>
      </c>
      <c r="Q6" s="1093">
        <f>Q7+Q14</f>
        <v>91200000</v>
      </c>
      <c r="R6" s="1093">
        <v>108600000</v>
      </c>
      <c r="S6" s="1093">
        <v>116800000</v>
      </c>
      <c r="T6" s="1093">
        <v>117200000</v>
      </c>
      <c r="U6" s="1093">
        <v>133100000</v>
      </c>
      <c r="V6" s="1534">
        <v>139400000</v>
      </c>
      <c r="W6" s="1534">
        <v>145800000</v>
      </c>
      <c r="X6" s="1534">
        <v>151300000</v>
      </c>
      <c r="Y6" s="1348">
        <v>155900000</v>
      </c>
      <c r="AB6" s="1932"/>
      <c r="AC6" s="1932"/>
      <c r="AD6" s="1932"/>
      <c r="AE6" s="1932"/>
      <c r="AF6" s="1932"/>
      <c r="AG6" s="1932"/>
      <c r="AH6" s="1932"/>
      <c r="AI6" s="1932"/>
      <c r="AJ6" s="1932"/>
      <c r="AK6" s="1932"/>
      <c r="AL6" s="1932"/>
      <c r="AM6" s="1932"/>
      <c r="AN6" s="1932"/>
      <c r="AO6" s="1932"/>
    </row>
    <row r="7" spans="1:41">
      <c r="A7" s="58" t="s">
        <v>36</v>
      </c>
      <c r="B7" s="58" t="s">
        <v>36</v>
      </c>
      <c r="C7" s="345" t="s">
        <v>38</v>
      </c>
      <c r="D7" s="28"/>
      <c r="E7" s="28"/>
      <c r="F7" s="298">
        <f>F8-F14</f>
        <v>28776000</v>
      </c>
      <c r="G7" s="298">
        <f t="shared" ref="G7:P7" si="1">G8-G14</f>
        <v>31657000</v>
      </c>
      <c r="H7" s="298">
        <f t="shared" si="1"/>
        <v>34764000</v>
      </c>
      <c r="I7" s="321">
        <f>I9+I23</f>
        <v>37695000</v>
      </c>
      <c r="J7" s="321">
        <f>J9+J23</f>
        <v>46971000</v>
      </c>
      <c r="K7" s="298">
        <f t="shared" si="1"/>
        <v>38339000</v>
      </c>
      <c r="L7" s="298">
        <f t="shared" si="1"/>
        <v>40459000</v>
      </c>
      <c r="M7" s="321">
        <f>M9+M23</f>
        <v>35800000</v>
      </c>
      <c r="N7" s="298">
        <f t="shared" si="1"/>
        <v>37400000</v>
      </c>
      <c r="O7" s="298">
        <f t="shared" si="1"/>
        <v>43000000</v>
      </c>
      <c r="P7" s="298">
        <f t="shared" si="1"/>
        <v>48500000</v>
      </c>
      <c r="Q7" s="298">
        <f>Q8-Q14</f>
        <v>50700000</v>
      </c>
      <c r="R7" s="321">
        <f>R6-R14</f>
        <v>61300000</v>
      </c>
      <c r="S7" s="298">
        <f t="shared" ref="S7:Y7" si="2">S6-S14</f>
        <v>73000000</v>
      </c>
      <c r="T7" s="298">
        <f t="shared" si="2"/>
        <v>73400000</v>
      </c>
      <c r="U7" s="298">
        <f t="shared" si="2"/>
        <v>81100000</v>
      </c>
      <c r="V7" s="269">
        <f t="shared" si="2"/>
        <v>89000000</v>
      </c>
      <c r="W7" s="269">
        <f t="shared" si="2"/>
        <v>94000000</v>
      </c>
      <c r="X7" s="269">
        <f t="shared" si="2"/>
        <v>98400000</v>
      </c>
      <c r="Y7" s="267">
        <f t="shared" si="2"/>
        <v>102300000</v>
      </c>
      <c r="AB7" s="454"/>
      <c r="AC7" s="454"/>
      <c r="AD7" s="454"/>
      <c r="AE7" s="454"/>
      <c r="AF7" s="454"/>
      <c r="AG7" s="454"/>
      <c r="AH7" s="454"/>
      <c r="AI7" s="454"/>
      <c r="AJ7" s="454"/>
      <c r="AK7" s="454"/>
      <c r="AL7" s="454"/>
      <c r="AM7" s="454"/>
      <c r="AN7" s="454"/>
      <c r="AO7" s="454"/>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54"/>
      <c r="AC8" s="454"/>
      <c r="AD8" s="454"/>
      <c r="AE8" s="454"/>
      <c r="AF8" s="454"/>
      <c r="AG8" s="454"/>
      <c r="AH8" s="454"/>
      <c r="AI8" s="454"/>
      <c r="AJ8" s="454"/>
      <c r="AK8" s="454"/>
      <c r="AL8" s="454"/>
      <c r="AM8" s="454"/>
      <c r="AN8" s="454"/>
      <c r="AO8" s="454"/>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69">
        <v>69500000</v>
      </c>
      <c r="W9" s="269">
        <v>73300000</v>
      </c>
      <c r="X9" s="269">
        <v>76800000</v>
      </c>
      <c r="Y9" s="267">
        <v>79700000</v>
      </c>
      <c r="AB9" s="454"/>
      <c r="AC9" s="454"/>
      <c r="AD9" s="454"/>
      <c r="AE9" s="454"/>
      <c r="AF9" s="454"/>
      <c r="AG9" s="454"/>
      <c r="AH9" s="454"/>
      <c r="AI9" s="454"/>
      <c r="AJ9" s="454"/>
      <c r="AK9" s="454"/>
      <c r="AL9" s="454"/>
      <c r="AM9" s="454"/>
      <c r="AN9" s="454"/>
      <c r="AO9" s="454"/>
    </row>
    <row r="10" spans="1:41">
      <c r="A10" s="64" t="s">
        <v>3186</v>
      </c>
      <c r="B10" s="64" t="s">
        <v>5194</v>
      </c>
      <c r="C10" s="34" t="s">
        <v>44</v>
      </c>
      <c r="D10" s="28"/>
      <c r="E10" s="28"/>
      <c r="F10" s="125"/>
      <c r="G10" s="125"/>
      <c r="H10" s="125"/>
      <c r="I10" s="125"/>
      <c r="J10" s="125"/>
      <c r="K10" s="125">
        <v>16484000</v>
      </c>
      <c r="L10" s="125">
        <v>18073000</v>
      </c>
      <c r="M10" s="210">
        <v>6600000</v>
      </c>
      <c r="N10" s="210">
        <v>6700000</v>
      </c>
      <c r="O10" s="210">
        <v>7100000</v>
      </c>
      <c r="P10" s="210">
        <v>7100000</v>
      </c>
      <c r="Q10" s="210"/>
      <c r="R10" s="210">
        <v>8199999.9999999991</v>
      </c>
      <c r="S10" s="210">
        <v>9100000</v>
      </c>
      <c r="T10" s="210">
        <v>9400000</v>
      </c>
      <c r="U10" s="210">
        <v>10100000</v>
      </c>
      <c r="V10" s="269">
        <v>10900000</v>
      </c>
      <c r="W10" s="269">
        <v>11500000</v>
      </c>
      <c r="X10" s="269">
        <v>12100000</v>
      </c>
      <c r="Y10" s="267">
        <v>12600000</v>
      </c>
      <c r="AB10" s="454"/>
      <c r="AC10" s="454"/>
      <c r="AD10" s="454"/>
      <c r="AE10" s="454"/>
      <c r="AF10" s="454"/>
      <c r="AG10" s="454"/>
      <c r="AH10" s="454"/>
      <c r="AI10" s="454"/>
      <c r="AJ10" s="454"/>
      <c r="AK10" s="454"/>
      <c r="AL10" s="454"/>
      <c r="AM10" s="454"/>
      <c r="AN10" s="454"/>
      <c r="AO10" s="454"/>
    </row>
    <row r="11" spans="1:41">
      <c r="A11" s="64" t="s">
        <v>47</v>
      </c>
      <c r="B11" s="64" t="s">
        <v>3166</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69">
        <v>27000000</v>
      </c>
      <c r="W11" s="269">
        <v>28600000</v>
      </c>
      <c r="X11" s="269">
        <v>30100000</v>
      </c>
      <c r="Y11" s="267">
        <v>31300000</v>
      </c>
      <c r="AB11" s="454"/>
      <c r="AC11" s="454"/>
      <c r="AD11" s="454"/>
      <c r="AE11" s="454"/>
      <c r="AF11" s="454"/>
      <c r="AG11" s="454"/>
      <c r="AH11" s="454"/>
      <c r="AI11" s="454"/>
      <c r="AJ11" s="454"/>
      <c r="AK11" s="454"/>
      <c r="AL11" s="454"/>
      <c r="AM11" s="454"/>
      <c r="AN11" s="454"/>
      <c r="AO11" s="454"/>
    </row>
    <row r="12" spans="1:41">
      <c r="A12" s="64" t="s">
        <v>2448</v>
      </c>
      <c r="B12" s="64" t="s">
        <v>3171</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69">
        <v>17100000</v>
      </c>
      <c r="W12" s="269">
        <v>18200000</v>
      </c>
      <c r="X12" s="269">
        <v>19100000</v>
      </c>
      <c r="Y12" s="267">
        <v>19900000</v>
      </c>
      <c r="AB12" s="454"/>
      <c r="AC12" s="454"/>
      <c r="AD12" s="454"/>
      <c r="AE12" s="454"/>
      <c r="AF12" s="454"/>
      <c r="AG12" s="454"/>
      <c r="AH12" s="454"/>
      <c r="AI12" s="454"/>
      <c r="AJ12" s="454"/>
      <c r="AK12" s="454"/>
      <c r="AL12" s="454"/>
      <c r="AM12" s="454"/>
      <c r="AN12" s="454"/>
      <c r="AO12" s="454"/>
    </row>
    <row r="13" spans="1:41">
      <c r="A13" s="64" t="s">
        <v>49</v>
      </c>
      <c r="B13" s="1933" t="s">
        <v>3769</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69">
        <v>14500000</v>
      </c>
      <c r="W13" s="269">
        <v>15000000</v>
      </c>
      <c r="X13" s="269">
        <v>15500000</v>
      </c>
      <c r="Y13" s="267">
        <v>15900000</v>
      </c>
      <c r="AB13" s="454"/>
      <c r="AC13" s="454"/>
      <c r="AD13" s="454"/>
      <c r="AE13" s="454"/>
      <c r="AF13" s="454"/>
      <c r="AG13" s="454"/>
      <c r="AH13" s="454"/>
      <c r="AI13" s="454"/>
      <c r="AJ13" s="454"/>
      <c r="AK13" s="454"/>
      <c r="AL13" s="454"/>
      <c r="AM13" s="454"/>
      <c r="AN13" s="454"/>
      <c r="AO13" s="454"/>
    </row>
    <row r="14" spans="1:41">
      <c r="A14" s="58" t="s">
        <v>795</v>
      </c>
      <c r="B14" s="58" t="s">
        <v>5195</v>
      </c>
      <c r="C14" s="345" t="s">
        <v>38</v>
      </c>
      <c r="D14" s="28"/>
      <c r="E14" s="28"/>
      <c r="F14" s="210">
        <v>22449000</v>
      </c>
      <c r="G14" s="210">
        <v>34209000</v>
      </c>
      <c r="H14" s="210">
        <v>36055000</v>
      </c>
      <c r="I14" s="125">
        <v>35657000</v>
      </c>
      <c r="J14" s="319">
        <f>J15+J20</f>
        <v>36621000</v>
      </c>
      <c r="K14" s="125">
        <v>50858000</v>
      </c>
      <c r="L14" s="125">
        <v>43906000</v>
      </c>
      <c r="M14" s="300">
        <f>M15+M20</f>
        <v>39600000</v>
      </c>
      <c r="N14" s="210">
        <v>49800000</v>
      </c>
      <c r="O14" s="210">
        <v>46000000</v>
      </c>
      <c r="P14" s="210">
        <v>48300000</v>
      </c>
      <c r="Q14" s="210">
        <v>40500000</v>
      </c>
      <c r="R14" s="300">
        <v>47300000</v>
      </c>
      <c r="S14" s="210">
        <v>43800000</v>
      </c>
      <c r="T14" s="210">
        <v>43800000</v>
      </c>
      <c r="U14" s="210">
        <v>52000000</v>
      </c>
      <c r="V14" s="269">
        <v>50400000</v>
      </c>
      <c r="W14" s="269">
        <v>51800000</v>
      </c>
      <c r="X14" s="269">
        <v>52900000</v>
      </c>
      <c r="Y14" s="267">
        <v>53600000</v>
      </c>
      <c r="AB14" s="454"/>
      <c r="AC14" s="454"/>
      <c r="AD14" s="454"/>
      <c r="AE14" s="454"/>
      <c r="AF14" s="454"/>
      <c r="AG14" s="454"/>
      <c r="AH14" s="454"/>
      <c r="AI14" s="454"/>
      <c r="AJ14" s="454"/>
      <c r="AK14" s="454"/>
      <c r="AL14" s="454"/>
      <c r="AM14" s="454"/>
      <c r="AN14" s="454"/>
      <c r="AO14" s="454"/>
    </row>
    <row r="15" spans="1:41">
      <c r="A15" s="58" t="s">
        <v>541</v>
      </c>
      <c r="B15" s="58" t="s">
        <v>541</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69">
        <v>28700000</v>
      </c>
      <c r="W15" s="269">
        <v>29200000</v>
      </c>
      <c r="X15" s="269">
        <v>29400000</v>
      </c>
      <c r="Y15" s="267">
        <v>29400000</v>
      </c>
      <c r="AB15" s="454"/>
      <c r="AC15" s="454"/>
      <c r="AD15" s="454"/>
      <c r="AE15" s="454"/>
      <c r="AF15" s="454"/>
      <c r="AG15" s="454"/>
      <c r="AH15" s="454"/>
      <c r="AI15" s="454"/>
      <c r="AJ15" s="454"/>
      <c r="AK15" s="454"/>
      <c r="AL15" s="454"/>
      <c r="AM15" s="454"/>
      <c r="AN15" s="454"/>
      <c r="AO15" s="454"/>
    </row>
    <row r="16" spans="1:41">
      <c r="A16" s="64" t="s">
        <v>5196</v>
      </c>
      <c r="B16" s="64" t="s">
        <v>5197</v>
      </c>
      <c r="C16" s="34" t="s">
        <v>4510</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69">
        <v>7300000</v>
      </c>
      <c r="W16" s="269">
        <v>6000000</v>
      </c>
      <c r="X16" s="269">
        <v>5000000</v>
      </c>
      <c r="Y16" s="267">
        <v>4000000</v>
      </c>
      <c r="AB16" s="454"/>
      <c r="AC16" s="454"/>
      <c r="AD16" s="454"/>
      <c r="AE16" s="454"/>
      <c r="AF16" s="454"/>
      <c r="AG16" s="454"/>
      <c r="AH16" s="454"/>
      <c r="AI16" s="454"/>
      <c r="AJ16" s="454"/>
      <c r="AK16" s="454"/>
      <c r="AL16" s="454"/>
      <c r="AM16" s="454"/>
      <c r="AN16" s="454"/>
      <c r="AO16" s="454"/>
    </row>
    <row r="17" spans="1:41">
      <c r="A17" s="64" t="s">
        <v>5198</v>
      </c>
      <c r="B17" s="64" t="s">
        <v>5199</v>
      </c>
      <c r="C17" s="34" t="s">
        <v>4510</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69">
        <v>9000000</v>
      </c>
      <c r="W17" s="269">
        <v>10000000</v>
      </c>
      <c r="X17" s="269">
        <v>10500000</v>
      </c>
      <c r="Y17" s="267">
        <v>11000000</v>
      </c>
      <c r="AB17" s="454"/>
      <c r="AC17" s="454"/>
      <c r="AD17" s="454"/>
      <c r="AE17" s="454"/>
      <c r="AF17" s="454"/>
      <c r="AG17" s="454"/>
      <c r="AH17" s="454"/>
      <c r="AI17" s="454"/>
      <c r="AJ17" s="454"/>
      <c r="AK17" s="454"/>
      <c r="AL17" s="454"/>
      <c r="AM17" s="454"/>
      <c r="AN17" s="454"/>
      <c r="AO17" s="454"/>
    </row>
    <row r="18" spans="1:41">
      <c r="A18" s="64" t="s">
        <v>5200</v>
      </c>
      <c r="B18" s="64" t="s">
        <v>5201</v>
      </c>
      <c r="C18" s="34" t="s">
        <v>4510</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69">
        <v>11100000</v>
      </c>
      <c r="W18" s="269">
        <v>11800000</v>
      </c>
      <c r="X18" s="269">
        <v>12400000</v>
      </c>
      <c r="Y18" s="267">
        <v>12900000</v>
      </c>
      <c r="AB18" s="454"/>
      <c r="AC18" s="454"/>
      <c r="AD18" s="454"/>
      <c r="AE18" s="454"/>
      <c r="AF18" s="454"/>
      <c r="AG18" s="454"/>
      <c r="AH18" s="454"/>
      <c r="AI18" s="454"/>
      <c r="AJ18" s="454"/>
      <c r="AK18" s="454"/>
      <c r="AL18" s="454"/>
      <c r="AM18" s="454"/>
      <c r="AN18" s="454"/>
      <c r="AO18" s="454"/>
    </row>
    <row r="19" spans="1:41">
      <c r="A19" s="64" t="s">
        <v>5202</v>
      </c>
      <c r="B19" s="64" t="s">
        <v>5203</v>
      </c>
      <c r="C19" s="34" t="s">
        <v>4510</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69">
        <v>1300000</v>
      </c>
      <c r="W19" s="269">
        <v>1400000</v>
      </c>
      <c r="X19" s="269">
        <v>1500000</v>
      </c>
      <c r="Y19" s="267">
        <v>1500000</v>
      </c>
      <c r="AB19" s="454"/>
      <c r="AC19" s="454"/>
      <c r="AD19" s="454"/>
      <c r="AE19" s="454"/>
      <c r="AF19" s="454"/>
      <c r="AG19" s="454"/>
      <c r="AH19" s="454"/>
      <c r="AI19" s="454"/>
      <c r="AJ19" s="454"/>
      <c r="AK19" s="454"/>
      <c r="AL19" s="454"/>
      <c r="AM19" s="454"/>
      <c r="AN19" s="454"/>
      <c r="AO19" s="454"/>
    </row>
    <row r="20" spans="1:41">
      <c r="A20" s="58" t="s">
        <v>540</v>
      </c>
      <c r="B20" s="58" t="s">
        <v>540</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69">
        <v>21700000</v>
      </c>
      <c r="W20" s="269">
        <v>22700000</v>
      </c>
      <c r="X20" s="269">
        <v>23500000</v>
      </c>
      <c r="Y20" s="267">
        <v>24200000</v>
      </c>
      <c r="AB20" s="454"/>
      <c r="AC20" s="454"/>
      <c r="AD20" s="454"/>
      <c r="AE20" s="454"/>
      <c r="AF20" s="454"/>
      <c r="AG20" s="454"/>
      <c r="AH20" s="454"/>
      <c r="AI20" s="454"/>
      <c r="AJ20" s="454"/>
      <c r="AK20" s="454"/>
      <c r="AL20" s="454"/>
      <c r="AM20" s="454"/>
      <c r="AN20" s="454"/>
      <c r="AO20" s="454"/>
    </row>
    <row r="21" spans="1:41">
      <c r="A21" t="s">
        <v>76</v>
      </c>
      <c r="B21" s="64" t="s">
        <v>5204</v>
      </c>
      <c r="C21" s="34"/>
      <c r="D21" s="28"/>
      <c r="E21" s="28"/>
      <c r="F21" s="125"/>
      <c r="G21" s="125"/>
      <c r="H21" s="125"/>
      <c r="I21" s="125"/>
      <c r="J21" s="125"/>
      <c r="K21" s="125"/>
      <c r="L21" s="125"/>
      <c r="M21" s="210"/>
      <c r="N21" s="210"/>
      <c r="O21" s="210"/>
      <c r="P21" s="210"/>
      <c r="Q21" s="210"/>
      <c r="R21" s="210">
        <v>0</v>
      </c>
      <c r="S21" s="210">
        <v>0</v>
      </c>
      <c r="T21" s="210">
        <v>0</v>
      </c>
      <c r="U21" s="210">
        <v>0</v>
      </c>
      <c r="V21" s="269">
        <v>6000000</v>
      </c>
      <c r="W21" s="269">
        <v>6000000</v>
      </c>
      <c r="X21" s="269">
        <v>6000000</v>
      </c>
      <c r="Y21" s="267">
        <v>6000000</v>
      </c>
      <c r="AB21" s="454"/>
      <c r="AC21" s="454"/>
      <c r="AD21" s="454"/>
      <c r="AE21" s="454"/>
      <c r="AF21" s="454"/>
      <c r="AG21" s="454"/>
      <c r="AH21" s="454"/>
      <c r="AI21" s="454"/>
      <c r="AJ21" s="454"/>
      <c r="AK21" s="454"/>
      <c r="AL21" s="454"/>
      <c r="AM21" s="454"/>
      <c r="AN21" s="454"/>
      <c r="AO21" s="454"/>
    </row>
    <row r="22" spans="1:41">
      <c r="A22" t="s">
        <v>76</v>
      </c>
      <c r="B22" s="1558" t="s">
        <v>5205</v>
      </c>
      <c r="C22" s="34"/>
      <c r="D22" s="28"/>
      <c r="E22" s="28"/>
      <c r="F22" s="125"/>
      <c r="G22" s="125"/>
      <c r="H22" s="125"/>
      <c r="I22" s="125"/>
      <c r="J22" s="125"/>
      <c r="K22" s="125"/>
      <c r="L22" s="125"/>
      <c r="M22" s="210"/>
      <c r="N22" s="210"/>
      <c r="O22" s="210"/>
      <c r="P22" s="210"/>
      <c r="Q22" s="210"/>
      <c r="R22" s="210"/>
      <c r="S22" s="210"/>
      <c r="T22" s="210"/>
      <c r="U22" s="210"/>
      <c r="V22" s="269"/>
      <c r="W22" s="269"/>
      <c r="X22" s="269"/>
      <c r="Y22" s="267"/>
      <c r="AB22" s="454"/>
      <c r="AC22" s="454"/>
      <c r="AD22" s="454"/>
      <c r="AE22" s="454"/>
      <c r="AF22" s="454"/>
      <c r="AG22" s="454"/>
      <c r="AH22" s="454"/>
      <c r="AI22" s="454"/>
      <c r="AJ22" s="454"/>
      <c r="AK22" s="454"/>
      <c r="AL22" s="454"/>
      <c r="AM22" s="454"/>
      <c r="AN22" s="454"/>
      <c r="AO22" s="454"/>
    </row>
    <row r="23" spans="1:41">
      <c r="A23" s="58" t="s">
        <v>560</v>
      </c>
      <c r="B23" s="58" t="s">
        <v>997</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69">
        <v>19400000</v>
      </c>
      <c r="W23" s="269">
        <v>20600000</v>
      </c>
      <c r="X23" s="269">
        <v>21700000</v>
      </c>
      <c r="Y23" s="267">
        <v>22500000</v>
      </c>
      <c r="AB23" s="454"/>
      <c r="AC23" s="454"/>
      <c r="AD23" s="454"/>
      <c r="AE23" s="454"/>
      <c r="AF23" s="454"/>
      <c r="AG23" s="454"/>
      <c r="AH23" s="454"/>
      <c r="AI23" s="454"/>
      <c r="AJ23" s="454"/>
      <c r="AK23" s="454"/>
      <c r="AL23" s="454"/>
      <c r="AM23" s="454"/>
      <c r="AN23" s="454"/>
      <c r="AO23" s="454"/>
    </row>
    <row r="24" spans="1:41">
      <c r="A24" s="20" t="s">
        <v>51</v>
      </c>
      <c r="B24" s="20" t="s">
        <v>843</v>
      </c>
      <c r="C24" s="34" t="s">
        <v>998</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69"/>
      <c r="W24" s="269"/>
      <c r="X24" s="269"/>
      <c r="Y24" s="267"/>
      <c r="AB24" s="454"/>
      <c r="AC24" s="454"/>
      <c r="AD24" s="454"/>
      <c r="AE24" s="454"/>
      <c r="AF24" s="454"/>
      <c r="AG24" s="454"/>
      <c r="AH24" s="454"/>
      <c r="AI24" s="454"/>
      <c r="AJ24" s="454"/>
      <c r="AK24" s="454"/>
      <c r="AL24" s="454"/>
      <c r="AM24" s="454"/>
      <c r="AN24" s="454"/>
      <c r="AO24" s="454"/>
    </row>
    <row r="25" spans="1:41">
      <c r="A25" s="64" t="s">
        <v>5206</v>
      </c>
      <c r="B25" s="64" t="s">
        <v>5207</v>
      </c>
      <c r="C25" s="34" t="s">
        <v>998</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69"/>
      <c r="W25" s="269"/>
      <c r="X25" s="269"/>
      <c r="Y25" s="267"/>
      <c r="AB25" s="454"/>
      <c r="AC25" s="454"/>
      <c r="AD25" s="454"/>
      <c r="AE25" s="454"/>
      <c r="AF25" s="454"/>
      <c r="AG25" s="454"/>
      <c r="AH25" s="454"/>
      <c r="AI25" s="454"/>
      <c r="AJ25" s="454"/>
      <c r="AK25" s="454"/>
      <c r="AL25" s="454"/>
      <c r="AM25" s="454"/>
      <c r="AN25" s="454"/>
      <c r="AO25" s="454"/>
    </row>
    <row r="26" spans="1:41" s="848" customFormat="1">
      <c r="A26" s="1063" t="s">
        <v>71</v>
      </c>
      <c r="B26" s="1063" t="s">
        <v>535</v>
      </c>
      <c r="C26" s="1063" t="s">
        <v>35</v>
      </c>
      <c r="D26" s="1158"/>
      <c r="E26" s="1158"/>
      <c r="F26" s="1556">
        <v>80032000</v>
      </c>
      <c r="G26" s="1556">
        <v>76291000</v>
      </c>
      <c r="H26" s="1556">
        <v>82093000</v>
      </c>
      <c r="I26" s="1159">
        <v>76466000</v>
      </c>
      <c r="J26" s="1159">
        <v>76466000</v>
      </c>
      <c r="K26" s="1159">
        <v>97546000</v>
      </c>
      <c r="L26" s="1159">
        <v>92295000</v>
      </c>
      <c r="M26" s="1556">
        <v>79300000</v>
      </c>
      <c r="N26" s="1556">
        <v>89000000</v>
      </c>
      <c r="O26" s="1556">
        <v>86500000</v>
      </c>
      <c r="P26" s="1556">
        <v>94700000</v>
      </c>
      <c r="Q26" s="1556">
        <v>92800000</v>
      </c>
      <c r="R26" s="1556">
        <v>99800000</v>
      </c>
      <c r="S26" s="1556">
        <v>102400000</v>
      </c>
      <c r="T26" s="1556">
        <v>123300000</v>
      </c>
      <c r="U26" s="1556">
        <v>136000000</v>
      </c>
      <c r="V26" s="1534">
        <v>135200000</v>
      </c>
      <c r="W26" s="1534">
        <v>133000000</v>
      </c>
      <c r="X26" s="1534">
        <v>138700000</v>
      </c>
      <c r="Y26" s="1348">
        <v>142400000</v>
      </c>
      <c r="AB26" s="1932"/>
      <c r="AC26" s="1932"/>
      <c r="AD26" s="1932"/>
      <c r="AE26" s="1932"/>
      <c r="AF26" s="1932"/>
      <c r="AG26" s="1932"/>
      <c r="AH26" s="1932"/>
      <c r="AI26" s="1932"/>
      <c r="AJ26" s="1932"/>
      <c r="AK26" s="1932"/>
      <c r="AL26" s="1932"/>
      <c r="AM26" s="1932"/>
      <c r="AN26" s="1932"/>
      <c r="AO26" s="1932"/>
    </row>
    <row r="27" spans="1:41">
      <c r="A27" s="257" t="s">
        <v>476</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69">
        <v>102800000</v>
      </c>
      <c r="W27" s="269">
        <v>108600000</v>
      </c>
      <c r="X27" s="269">
        <v>113800000</v>
      </c>
      <c r="Y27" s="267">
        <v>118200000</v>
      </c>
      <c r="AB27" s="454"/>
      <c r="AC27" s="454"/>
      <c r="AD27" s="454"/>
      <c r="AE27" s="454"/>
      <c r="AF27" s="454"/>
      <c r="AG27" s="454"/>
      <c r="AH27" s="454"/>
      <c r="AI27" s="454"/>
      <c r="AJ27" s="454"/>
      <c r="AK27" s="454"/>
      <c r="AL27" s="454"/>
      <c r="AM27" s="454"/>
      <c r="AN27" s="454"/>
      <c r="AO27" s="454"/>
    </row>
    <row r="28" spans="1:41">
      <c r="A28" s="64" t="s">
        <v>797</v>
      </c>
      <c r="B28" s="64" t="s">
        <v>5208</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69">
        <v>45000000</v>
      </c>
      <c r="W28" s="269">
        <v>47700000</v>
      </c>
      <c r="X28" s="269">
        <v>50100000</v>
      </c>
      <c r="Y28" s="267">
        <v>52100000</v>
      </c>
      <c r="AB28" s="454"/>
      <c r="AC28" s="454"/>
      <c r="AD28" s="454"/>
      <c r="AE28" s="454"/>
      <c r="AF28" s="454"/>
      <c r="AG28" s="454"/>
      <c r="AH28" s="454"/>
      <c r="AI28" s="454"/>
      <c r="AJ28" s="454"/>
      <c r="AK28" s="454"/>
      <c r="AL28" s="454"/>
      <c r="AM28" s="454"/>
      <c r="AN28" s="454"/>
      <c r="AO28" s="454"/>
    </row>
    <row r="29" spans="1:41">
      <c r="A29" s="64" t="s">
        <v>1059</v>
      </c>
      <c r="B29" s="64" t="s">
        <v>5209</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69">
        <v>29500000</v>
      </c>
      <c r="W29" s="269">
        <v>31300000</v>
      </c>
      <c r="X29" s="269">
        <v>32900000</v>
      </c>
      <c r="Y29" s="267">
        <v>34200000</v>
      </c>
      <c r="AB29" s="454"/>
      <c r="AC29" s="454"/>
      <c r="AD29" s="454"/>
      <c r="AE29" s="454"/>
      <c r="AF29" s="454"/>
      <c r="AG29" s="454"/>
      <c r="AH29" s="454"/>
      <c r="AI29" s="454"/>
      <c r="AJ29" s="454"/>
      <c r="AK29" s="454"/>
      <c r="AL29" s="454"/>
      <c r="AM29" s="454"/>
      <c r="AN29" s="454"/>
      <c r="AO29" s="454"/>
    </row>
    <row r="30" spans="1:41">
      <c r="A30" s="64" t="s">
        <v>2245</v>
      </c>
      <c r="B30" s="64" t="s">
        <v>2245</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69">
        <f t="shared" si="5"/>
        <v>28300000</v>
      </c>
      <c r="W30" s="269">
        <f t="shared" si="5"/>
        <v>29600000</v>
      </c>
      <c r="X30" s="269">
        <f t="shared" si="5"/>
        <v>30800000</v>
      </c>
      <c r="Y30" s="267">
        <f t="shared" si="5"/>
        <v>31900000</v>
      </c>
      <c r="AB30" s="454"/>
      <c r="AC30" s="454"/>
      <c r="AD30" s="454"/>
      <c r="AE30" s="454"/>
      <c r="AF30" s="454"/>
      <c r="AG30" s="454"/>
      <c r="AH30" s="454"/>
      <c r="AI30" s="454"/>
      <c r="AJ30" s="454"/>
      <c r="AK30" s="454"/>
      <c r="AL30" s="454"/>
      <c r="AM30" s="454"/>
      <c r="AN30" s="454"/>
      <c r="AO30" s="454"/>
    </row>
    <row r="31" spans="1:41">
      <c r="A31" s="58" t="s">
        <v>88</v>
      </c>
      <c r="B31" s="58" t="s">
        <v>5210</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69">
        <v>32400000</v>
      </c>
      <c r="W31" s="269">
        <v>24400000</v>
      </c>
      <c r="X31" s="269">
        <v>24900000</v>
      </c>
      <c r="Y31" s="267">
        <v>24200000</v>
      </c>
      <c r="AB31" s="454"/>
      <c r="AC31" s="454"/>
      <c r="AD31" s="454"/>
      <c r="AE31" s="454"/>
      <c r="AF31" s="454"/>
      <c r="AG31" s="454"/>
      <c r="AH31" s="454"/>
      <c r="AI31" s="454"/>
      <c r="AJ31" s="454"/>
      <c r="AK31" s="454"/>
      <c r="AL31" s="454"/>
      <c r="AM31" s="454"/>
      <c r="AN31" s="454"/>
      <c r="AO31" s="454"/>
    </row>
    <row r="32" spans="1:41">
      <c r="A32" t="s">
        <v>76</v>
      </c>
      <c r="B32" s="58" t="s">
        <v>5211</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69">
        <v>-13800000</v>
      </c>
      <c r="W32" s="269">
        <v>-14600000</v>
      </c>
      <c r="X32" s="269">
        <v>-15400000</v>
      </c>
      <c r="Y32" s="267">
        <v>-16000000</v>
      </c>
      <c r="AB32" s="454"/>
      <c r="AC32" s="454"/>
      <c r="AD32" s="454"/>
      <c r="AE32" s="454"/>
      <c r="AF32" s="454"/>
      <c r="AG32" s="454"/>
      <c r="AH32" s="454"/>
      <c r="AI32" s="454"/>
      <c r="AJ32" s="454"/>
      <c r="AK32" s="454"/>
      <c r="AL32" s="454"/>
      <c r="AM32" s="454"/>
      <c r="AN32" s="454"/>
      <c r="AO32" s="454"/>
    </row>
    <row r="33" spans="1:41">
      <c r="A33" t="s">
        <v>76</v>
      </c>
      <c r="B33" s="58" t="s">
        <v>5212</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69">
        <v>4099999.9999999995</v>
      </c>
      <c r="W33" s="269">
        <v>12800000</v>
      </c>
      <c r="X33" s="269">
        <v>12600000</v>
      </c>
      <c r="Y33" s="267">
        <v>13400000</v>
      </c>
      <c r="AB33" s="454"/>
      <c r="AC33" s="454"/>
      <c r="AD33" s="454"/>
      <c r="AE33" s="454"/>
      <c r="AF33" s="454"/>
      <c r="AG33" s="454"/>
      <c r="AH33" s="454"/>
      <c r="AI33" s="454"/>
      <c r="AJ33" s="454"/>
      <c r="AK33" s="454"/>
      <c r="AL33" s="454"/>
      <c r="AM33" s="454"/>
      <c r="AN33" s="454"/>
      <c r="AO33" s="454"/>
    </row>
    <row r="34" spans="1:41">
      <c r="A34" s="58" t="s">
        <v>1753</v>
      </c>
      <c r="B34" s="58" t="s">
        <v>1204</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c r="S34" s="210"/>
      <c r="T34" s="210"/>
      <c r="U34" s="210"/>
      <c r="V34" s="28"/>
      <c r="W34" s="28"/>
      <c r="X34" s="28"/>
      <c r="AB34" s="454"/>
      <c r="AC34" s="454"/>
      <c r="AD34" s="454"/>
      <c r="AE34" s="454"/>
      <c r="AF34" s="454"/>
      <c r="AG34" s="454"/>
      <c r="AH34" s="454"/>
      <c r="AI34" s="454"/>
      <c r="AJ34" s="454"/>
      <c r="AK34" s="454"/>
      <c r="AL34" s="454"/>
      <c r="AM34" s="454"/>
      <c r="AN34" s="454"/>
      <c r="AO34" s="454"/>
    </row>
    <row r="35" spans="1:41">
      <c r="A35" s="58" t="s">
        <v>1757</v>
      </c>
      <c r="B35" s="58" t="s">
        <v>1027</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c r="S35" s="210"/>
      <c r="T35" s="210"/>
      <c r="U35" s="210"/>
      <c r="V35" s="28"/>
      <c r="W35" s="28"/>
      <c r="X35" s="28"/>
      <c r="AB35" s="454"/>
      <c r="AC35" s="454"/>
      <c r="AD35" s="454"/>
      <c r="AE35" s="454"/>
      <c r="AF35" s="454"/>
      <c r="AG35" s="454"/>
      <c r="AH35" s="454"/>
      <c r="AI35" s="454"/>
      <c r="AJ35" s="454"/>
      <c r="AK35" s="454"/>
      <c r="AL35" s="454"/>
      <c r="AM35" s="454"/>
      <c r="AN35" s="454"/>
      <c r="AO35" s="454"/>
    </row>
    <row r="36" spans="1:41" s="848" customFormat="1">
      <c r="A36" s="1934" t="s">
        <v>115</v>
      </c>
      <c r="B36" s="1063" t="s">
        <v>3812</v>
      </c>
      <c r="C36" s="1063" t="s">
        <v>35</v>
      </c>
      <c r="D36" s="1158"/>
      <c r="E36" s="1158"/>
      <c r="F36" s="1556">
        <v>34955000</v>
      </c>
      <c r="G36" s="1556">
        <v>1774000</v>
      </c>
      <c r="H36" s="1556">
        <v>12741000</v>
      </c>
      <c r="I36" s="1556">
        <v>3010000</v>
      </c>
      <c r="J36" s="1556">
        <v>1865000</v>
      </c>
      <c r="K36" s="1159">
        <v>8350000</v>
      </c>
      <c r="L36" s="1159">
        <v>7930000</v>
      </c>
      <c r="M36" s="1556">
        <v>1600000</v>
      </c>
      <c r="N36" s="1556">
        <v>1800000</v>
      </c>
      <c r="O36" s="1556">
        <v>-2500000</v>
      </c>
      <c r="P36" s="1556">
        <v>-2200000</v>
      </c>
      <c r="Q36" s="1556">
        <v>1600000</v>
      </c>
      <c r="R36" s="1556">
        <f>R26-R6</f>
        <v>-8800000</v>
      </c>
      <c r="S36" s="1556">
        <f>S26-S6</f>
        <v>-14400000</v>
      </c>
      <c r="T36" s="1556">
        <f>T26-T6</f>
        <v>6100000</v>
      </c>
      <c r="U36" s="1556">
        <f>U26-U6</f>
        <v>2900000</v>
      </c>
      <c r="V36" s="1556">
        <f>V26-V6</f>
        <v>-4200000</v>
      </c>
      <c r="W36" s="1556">
        <f t="shared" ref="W36:Y36" si="6">W26-W6</f>
        <v>-12800000</v>
      </c>
      <c r="X36" s="1556">
        <f t="shared" si="6"/>
        <v>-12600000</v>
      </c>
      <c r="Y36" s="1556">
        <f t="shared" si="6"/>
        <v>-13500000</v>
      </c>
    </row>
    <row r="37" spans="1:41">
      <c r="A37" s="58" t="s">
        <v>2259</v>
      </c>
      <c r="B37" s="58" t="s">
        <v>1815</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5213</v>
      </c>
      <c r="B39" s="58" t="s">
        <v>5214</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5215</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5216</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5217</v>
      </c>
      <c r="B42" s="58" t="s">
        <v>5218</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5219</v>
      </c>
      <c r="B43" s="58" t="s">
        <v>5220</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823</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451</v>
      </c>
      <c r="E50" s="21"/>
      <c r="F50" s="131">
        <f>F9-F10-F11-F12-F13</f>
        <v>22042000</v>
      </c>
      <c r="G50" s="131">
        <f t="shared" ref="G50:U50" si="11">G9-G10-G11-G12-G13</f>
        <v>22706000</v>
      </c>
      <c r="H50" s="131">
        <f t="shared" si="11"/>
        <v>26131000</v>
      </c>
      <c r="I50" s="131">
        <f t="shared" si="11"/>
        <v>30086000</v>
      </c>
      <c r="J50" s="131">
        <f t="shared" si="11"/>
        <v>38173000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1362</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2345</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889">
        <f>R23-R24-R25</f>
        <v>14100000</v>
      </c>
      <c r="S53" s="889">
        <f t="shared" si="17"/>
        <v>16399999.999999998</v>
      </c>
      <c r="T53" s="889">
        <f t="shared" si="17"/>
        <v>16900000</v>
      </c>
      <c r="U53" s="889">
        <f>U23-U24-U25</f>
        <v>18200000</v>
      </c>
      <c r="V53" s="889">
        <f t="shared" ref="V53:Y53" si="18">V23-V24-V25</f>
        <v>19400000</v>
      </c>
      <c r="W53" s="889">
        <f t="shared" si="18"/>
        <v>20600000</v>
      </c>
      <c r="X53" s="889">
        <f t="shared" si="18"/>
        <v>21700000</v>
      </c>
      <c r="Y53" s="889">
        <f t="shared" si="18"/>
        <v>22500000</v>
      </c>
    </row>
    <row r="54" spans="2:25">
      <c r="B54" t="s">
        <v>1207</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453</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1936">
        <f t="shared" si="21"/>
        <v>0</v>
      </c>
      <c r="T55" s="21">
        <f t="shared" si="21"/>
        <v>0</v>
      </c>
      <c r="U55" s="21">
        <f>U27-U28-U29-U30</f>
        <v>0</v>
      </c>
      <c r="V55" s="21">
        <f t="shared" ref="V55:Y55" si="22">V27-V28-V29-V30</f>
        <v>0</v>
      </c>
      <c r="W55" s="21">
        <f t="shared" si="22"/>
        <v>0</v>
      </c>
      <c r="X55" s="21">
        <f t="shared" si="22"/>
        <v>0</v>
      </c>
      <c r="Y55" s="21">
        <f t="shared" si="22"/>
        <v>0</v>
      </c>
    </row>
    <row r="56" spans="2:25">
      <c r="B56" t="s">
        <v>457</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889">
        <f>R36-R34-R35-R39-R42-R43-R37</f>
        <v>-8800000</v>
      </c>
      <c r="S56" s="889">
        <f t="shared" si="23"/>
        <v>-14400000</v>
      </c>
      <c r="T56" s="889">
        <f t="shared" si="23"/>
        <v>6100000</v>
      </c>
      <c r="U56" s="889">
        <f t="shared" si="23"/>
        <v>2900000</v>
      </c>
      <c r="V56" s="889">
        <f t="shared" ref="V56:Y56" si="24">V36-V34-V35-V39-V42-V43-V37</f>
        <v>-4200000</v>
      </c>
      <c r="W56" s="889">
        <f t="shared" si="24"/>
        <v>-12800000</v>
      </c>
      <c r="X56" s="889">
        <f t="shared" si="24"/>
        <v>-12600000</v>
      </c>
      <c r="Y56" s="889">
        <f t="shared" si="24"/>
        <v>-13500000</v>
      </c>
    </row>
    <row r="57" spans="2:25">
      <c r="E57" s="21"/>
      <c r="F57" s="21"/>
      <c r="G57" s="21"/>
      <c r="H57" s="21"/>
      <c r="I57" s="21"/>
      <c r="J57" s="21"/>
    </row>
    <row r="58" spans="2:25">
      <c r="B58" t="s">
        <v>543</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4">
        <f t="shared" ref="F59:Q59" si="25">(F8/F58)*100</f>
        <v>30.310650887573964</v>
      </c>
      <c r="G59" s="364">
        <f t="shared" si="25"/>
        <v>37.854022988505747</v>
      </c>
      <c r="H59" s="364">
        <f t="shared" si="25"/>
        <v>36.693782383419688</v>
      </c>
      <c r="I59" s="364">
        <f t="shared" si="25"/>
        <v>36.578640776699025</v>
      </c>
      <c r="J59" s="364">
        <f t="shared" si="25"/>
        <v>39.348803827751198</v>
      </c>
      <c r="K59" s="364">
        <f t="shared" si="25"/>
        <v>42.074056603773585</v>
      </c>
      <c r="L59" s="364">
        <f t="shared" si="25"/>
        <v>39.60798122065728</v>
      </c>
      <c r="M59" s="364">
        <f t="shared" si="25"/>
        <v>39.242424242424242</v>
      </c>
      <c r="N59" s="364">
        <f t="shared" si="25"/>
        <v>44.263959390862944</v>
      </c>
      <c r="O59" s="364">
        <f t="shared" si="25"/>
        <v>41.013824884792626</v>
      </c>
      <c r="P59" s="364">
        <f t="shared" si="25"/>
        <v>41.724137931034484</v>
      </c>
      <c r="Q59" s="364">
        <f t="shared" si="25"/>
        <v>37.073170731707314</v>
      </c>
      <c r="R59" s="364">
        <f t="shared" ref="R59:Y59" si="26">(R8/R58)*100</f>
        <v>43.284176962933444</v>
      </c>
      <c r="S59" s="364">
        <f t="shared" si="26"/>
        <v>40.640222686151702</v>
      </c>
      <c r="T59" s="364">
        <f t="shared" si="26"/>
        <v>39.594594594594597</v>
      </c>
      <c r="U59" s="364">
        <f t="shared" si="26"/>
        <v>41.776522284996858</v>
      </c>
      <c r="V59" s="364">
        <f t="shared" si="26"/>
        <v>40.855803048065653</v>
      </c>
      <c r="W59" s="364">
        <f t="shared" si="26"/>
        <v>40.276243093922652</v>
      </c>
      <c r="X59" s="364">
        <f t="shared" si="26"/>
        <v>39.784380752037862</v>
      </c>
      <c r="Y59" s="364">
        <f t="shared" si="26"/>
        <v>39.398534243113467</v>
      </c>
    </row>
    <row r="60" spans="2:25">
      <c r="F60" s="364">
        <f t="shared" ref="F60:Q60" si="27">(F26/F58)*100</f>
        <v>47.356213017751479</v>
      </c>
      <c r="G60" s="364">
        <f t="shared" si="27"/>
        <v>43.845402298850573</v>
      </c>
      <c r="H60" s="364">
        <f t="shared" si="27"/>
        <v>42.535233160621758</v>
      </c>
      <c r="I60" s="364">
        <f t="shared" si="27"/>
        <v>37.119417475728156</v>
      </c>
      <c r="J60" s="364">
        <f t="shared" si="27"/>
        <v>36.586602870813394</v>
      </c>
      <c r="K60" s="364">
        <f t="shared" si="27"/>
        <v>46.012264150943395</v>
      </c>
      <c r="L60" s="364">
        <f t="shared" si="27"/>
        <v>43.33098591549296</v>
      </c>
      <c r="M60" s="364">
        <f t="shared" si="27"/>
        <v>40.050505050505052</v>
      </c>
      <c r="N60" s="364">
        <f t="shared" si="27"/>
        <v>45.17766497461929</v>
      </c>
      <c r="O60" s="364">
        <f t="shared" si="27"/>
        <v>39.86175115207373</v>
      </c>
      <c r="P60" s="364">
        <f t="shared" si="27"/>
        <v>40.818965517241381</v>
      </c>
      <c r="Q60" s="364">
        <f t="shared" si="27"/>
        <v>37.72357723577236</v>
      </c>
      <c r="R60" s="364">
        <f t="shared" ref="R60:Y60" si="28">(R26/R58)*100</f>
        <v>39.776803507373451</v>
      </c>
      <c r="S60" s="364">
        <f t="shared" si="28"/>
        <v>35.629784272790538</v>
      </c>
      <c r="T60" s="364">
        <f t="shared" si="28"/>
        <v>41.655405405405403</v>
      </c>
      <c r="U60" s="364">
        <f t="shared" si="28"/>
        <v>42.686754551161329</v>
      </c>
      <c r="V60" s="364">
        <f t="shared" si="28"/>
        <v>39.624853458382184</v>
      </c>
      <c r="W60" s="364">
        <f t="shared" si="28"/>
        <v>36.740331491712709</v>
      </c>
      <c r="X60" s="364">
        <f t="shared" si="28"/>
        <v>36.471206941887985</v>
      </c>
      <c r="Y60" s="364">
        <f t="shared" si="28"/>
        <v>35.98685873136214</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N51"/>
  <sheetViews>
    <sheetView topLeftCell="A15" workbookViewId="0">
      <selection activeCell="A37" sqref="A37"/>
    </sheetView>
  </sheetViews>
  <sheetFormatPr defaultColWidth="8.85546875" defaultRowHeight="15"/>
  <cols>
    <col min="1" max="1" width="34.7109375" style="2407" bestFit="1" customWidth="1"/>
    <col min="2" max="2" width="28.42578125" style="2407" customWidth="1"/>
    <col min="3" max="3" width="13.5703125" style="2407" customWidth="1"/>
    <col min="4" max="4" width="12.85546875" style="2695" bestFit="1" customWidth="1"/>
    <col min="5" max="5" width="14.28515625" style="2695" bestFit="1" customWidth="1"/>
    <col min="6" max="9" width="12.85546875" style="2695" bestFit="1" customWidth="1"/>
    <col min="10" max="10" width="11" style="2407" bestFit="1" customWidth="1"/>
    <col min="11" max="11" width="8.85546875" style="2407"/>
    <col min="12" max="16384" width="8.85546875" style="3"/>
  </cols>
  <sheetData>
    <row r="1" spans="1:14">
      <c r="A1" s="2410" t="s">
        <v>5221</v>
      </c>
      <c r="B1" s="2406" t="s">
        <v>5223</v>
      </c>
      <c r="C1" s="2406"/>
      <c r="D1" s="2692"/>
      <c r="E1" s="2692"/>
      <c r="F1" s="2692"/>
      <c r="G1" s="2692"/>
      <c r="H1" s="2693"/>
      <c r="I1" s="2692"/>
    </row>
    <row r="2" spans="1:14">
      <c r="B2" s="2406" t="s">
        <v>5224</v>
      </c>
      <c r="C2" s="2406"/>
      <c r="D2" s="2692"/>
      <c r="E2" s="2692"/>
      <c r="F2" s="2692"/>
      <c r="G2" s="2692"/>
      <c r="H2" s="2692"/>
      <c r="I2" s="2692"/>
    </row>
    <row r="3" spans="1:14">
      <c r="A3" s="2406"/>
      <c r="B3" s="2406" t="s">
        <v>3</v>
      </c>
      <c r="D3" s="2694">
        <v>2012</v>
      </c>
      <c r="E3" s="2694">
        <v>2013</v>
      </c>
      <c r="F3" s="2694">
        <v>2014</v>
      </c>
      <c r="G3" s="2694">
        <v>2015</v>
      </c>
      <c r="H3" s="2694">
        <v>2016</v>
      </c>
      <c r="I3" s="2694">
        <v>2017</v>
      </c>
    </row>
    <row r="4" spans="1:14">
      <c r="A4" s="2406"/>
      <c r="B4" s="2406" t="s">
        <v>4</v>
      </c>
      <c r="D4" s="2692" t="s">
        <v>17</v>
      </c>
      <c r="E4" s="2692" t="s">
        <v>18</v>
      </c>
      <c r="F4" s="2692" t="s">
        <v>19</v>
      </c>
      <c r="G4" s="2692" t="s">
        <v>20</v>
      </c>
      <c r="H4" s="2695" t="s">
        <v>21</v>
      </c>
      <c r="I4" s="2692" t="s">
        <v>22</v>
      </c>
    </row>
    <row r="5" spans="1:14">
      <c r="A5" s="2406"/>
      <c r="B5" s="2408" t="s">
        <v>29</v>
      </c>
      <c r="D5" s="2695" t="s">
        <v>30</v>
      </c>
      <c r="E5" s="2695" t="s">
        <v>30</v>
      </c>
      <c r="F5" s="2695" t="s">
        <v>30</v>
      </c>
      <c r="G5" s="2695" t="s">
        <v>30</v>
      </c>
      <c r="H5" s="2692" t="s">
        <v>32</v>
      </c>
      <c r="I5" s="2692" t="s">
        <v>32</v>
      </c>
    </row>
    <row r="6" spans="1:14" s="2413" customFormat="1">
      <c r="A6" s="1063" t="s">
        <v>33</v>
      </c>
      <c r="B6" s="1063" t="s">
        <v>33</v>
      </c>
      <c r="C6" s="2412" t="s">
        <v>35</v>
      </c>
      <c r="D6" s="2696">
        <v>8949920000</v>
      </c>
      <c r="E6" s="2696">
        <f>E7+E17</f>
        <v>9913176000</v>
      </c>
      <c r="F6" s="2696">
        <v>10029864000</v>
      </c>
      <c r="G6" s="2696">
        <v>10634928000</v>
      </c>
      <c r="H6" s="2696">
        <v>11313540000</v>
      </c>
      <c r="I6" s="2696">
        <v>12596607000</v>
      </c>
      <c r="J6" s="2705"/>
      <c r="K6" s="2705"/>
      <c r="L6" s="2705"/>
      <c r="M6" s="2705"/>
      <c r="N6" s="2705"/>
    </row>
    <row r="7" spans="1:14" s="2413" customFormat="1">
      <c r="A7" t="s">
        <v>36</v>
      </c>
      <c r="B7" s="58" t="s">
        <v>5222</v>
      </c>
      <c r="C7" s="345" t="s">
        <v>38</v>
      </c>
      <c r="D7" s="2704">
        <f t="shared" ref="D7:I7" si="0">D9+D10+D13+D14+D15+D16</f>
        <v>8949920000</v>
      </c>
      <c r="E7" s="2704">
        <f t="shared" si="0"/>
        <v>9913176000</v>
      </c>
      <c r="F7" s="2704">
        <f t="shared" si="0"/>
        <v>10029864000</v>
      </c>
      <c r="G7" s="2704">
        <f t="shared" si="0"/>
        <v>10634928000</v>
      </c>
      <c r="H7" s="2704">
        <f t="shared" si="0"/>
        <v>11313540000</v>
      </c>
      <c r="I7" s="2704">
        <f t="shared" si="0"/>
        <v>12596607000</v>
      </c>
      <c r="J7" s="2705"/>
      <c r="K7" s="2705"/>
      <c r="L7" s="2705"/>
      <c r="M7" s="2705"/>
      <c r="N7" s="2705"/>
    </row>
    <row r="8" spans="1:14">
      <c r="A8" s="2406" t="s">
        <v>5225</v>
      </c>
      <c r="B8" s="2406" t="s">
        <v>5225</v>
      </c>
      <c r="C8" s="2406"/>
      <c r="D8" s="2697">
        <v>8909965000</v>
      </c>
      <c r="E8" s="2704">
        <f>E9+E10+E13+E14+E15</f>
        <v>9733752000</v>
      </c>
      <c r="F8" s="2697">
        <v>9931532000</v>
      </c>
      <c r="G8" s="2697">
        <v>10582796000</v>
      </c>
      <c r="H8" s="2697">
        <v>11313540000</v>
      </c>
      <c r="I8" s="2697">
        <v>12596607000</v>
      </c>
      <c r="J8" s="2705"/>
      <c r="K8" s="2705"/>
      <c r="L8" s="2706"/>
      <c r="M8" s="2706"/>
      <c r="N8" s="2706"/>
    </row>
    <row r="9" spans="1:14">
      <c r="A9" s="2406" t="s">
        <v>5226</v>
      </c>
      <c r="B9" s="2406" t="s">
        <v>5226</v>
      </c>
      <c r="C9" s="2406" t="s">
        <v>41</v>
      </c>
      <c r="D9" s="2697">
        <v>4435005000</v>
      </c>
      <c r="E9" s="2697">
        <v>4844448000.000001</v>
      </c>
      <c r="F9" s="2697">
        <v>4818268000</v>
      </c>
      <c r="G9" s="2697">
        <v>5056803999.999999</v>
      </c>
      <c r="H9" s="2697">
        <v>5463612000</v>
      </c>
      <c r="I9" s="2697">
        <v>5913900000</v>
      </c>
      <c r="J9" s="2705"/>
      <c r="K9" s="2705"/>
      <c r="L9" s="2706"/>
      <c r="M9" s="2706"/>
      <c r="N9" s="2706"/>
    </row>
    <row r="10" spans="1:14">
      <c r="A10" s="2406" t="s">
        <v>5227</v>
      </c>
      <c r="B10" s="2406" t="s">
        <v>5227</v>
      </c>
      <c r="C10" s="2406" t="s">
        <v>41</v>
      </c>
      <c r="D10" s="2697">
        <v>1917840000</v>
      </c>
      <c r="E10" s="2697">
        <v>1794240000</v>
      </c>
      <c r="F10" s="2697">
        <v>1917474000</v>
      </c>
      <c r="G10" s="2697">
        <v>1981016000</v>
      </c>
      <c r="H10" s="2697">
        <v>2152332000</v>
      </c>
      <c r="I10" s="2697">
        <v>2720394000</v>
      </c>
      <c r="J10" s="2705"/>
      <c r="K10" s="2705"/>
      <c r="L10" s="2706"/>
      <c r="M10" s="2706"/>
      <c r="N10" s="2706"/>
    </row>
    <row r="11" spans="1:14">
      <c r="A11" s="2407" t="s">
        <v>5228</v>
      </c>
      <c r="B11" s="2406" t="s">
        <v>5229</v>
      </c>
      <c r="C11" s="2406" t="s">
        <v>192</v>
      </c>
      <c r="D11" s="2697">
        <v>1038830000.0000001</v>
      </c>
      <c r="E11" s="2697">
        <v>986832000.00000012</v>
      </c>
      <c r="F11" s="2697">
        <v>1032486000.0000001</v>
      </c>
      <c r="G11" s="2697">
        <v>990508000</v>
      </c>
      <c r="H11" s="2697">
        <v>1103760000</v>
      </c>
      <c r="I11" s="2697">
        <v>1596753000.0000002</v>
      </c>
      <c r="J11" s="2705"/>
      <c r="K11" s="2705"/>
      <c r="L11" s="2706"/>
      <c r="M11" s="2706"/>
      <c r="N11" s="2706"/>
    </row>
    <row r="12" spans="1:14">
      <c r="A12" s="2407" t="s">
        <v>3577</v>
      </c>
      <c r="B12" s="2406" t="s">
        <v>5230</v>
      </c>
      <c r="C12" s="2409" t="s">
        <v>192</v>
      </c>
      <c r="D12" s="2698">
        <f>D10-D11</f>
        <v>879009999.99999988</v>
      </c>
      <c r="E12" s="2698">
        <f t="shared" ref="E12:F12" si="1">E10-E11</f>
        <v>807407999.99999988</v>
      </c>
      <c r="F12" s="2698">
        <f t="shared" si="1"/>
        <v>884987999.99999988</v>
      </c>
      <c r="G12" s="2698">
        <f t="shared" ref="G12:I12" si="2">G10-G11</f>
        <v>990508000</v>
      </c>
      <c r="H12" s="2698">
        <f t="shared" si="2"/>
        <v>1048572000</v>
      </c>
      <c r="I12" s="2698">
        <f t="shared" si="2"/>
        <v>1123640999.9999998</v>
      </c>
      <c r="J12" s="2705"/>
      <c r="K12" s="2705"/>
      <c r="L12" s="2706"/>
      <c r="M12" s="2706"/>
      <c r="N12" s="2706"/>
    </row>
    <row r="13" spans="1:14">
      <c r="A13" s="2407" t="s">
        <v>5231</v>
      </c>
      <c r="B13" s="2406" t="s">
        <v>5232</v>
      </c>
      <c r="C13" s="2406" t="s">
        <v>41</v>
      </c>
      <c r="D13" s="2697">
        <v>2197525000</v>
      </c>
      <c r="E13" s="2697">
        <v>2691360000</v>
      </c>
      <c r="F13" s="2697">
        <v>2802462000</v>
      </c>
      <c r="G13" s="2697">
        <v>3023656000</v>
      </c>
      <c r="H13" s="2697">
        <v>3311280000</v>
      </c>
      <c r="I13" s="2697">
        <v>3548340000</v>
      </c>
      <c r="J13" s="2705"/>
      <c r="K13" s="2705"/>
      <c r="L13" s="2706"/>
      <c r="M13" s="2706"/>
      <c r="N13" s="2706"/>
    </row>
    <row r="14" spans="1:14">
      <c r="A14" s="2407" t="s">
        <v>5233</v>
      </c>
      <c r="B14" s="2406" t="s">
        <v>5234</v>
      </c>
      <c r="C14" s="2406" t="s">
        <v>41</v>
      </c>
      <c r="D14" s="2697">
        <v>119865000</v>
      </c>
      <c r="E14" s="2697">
        <v>134568000</v>
      </c>
      <c r="F14" s="2697">
        <v>98332000</v>
      </c>
      <c r="G14" s="2697">
        <v>104264000</v>
      </c>
      <c r="H14" s="2697">
        <v>165564000</v>
      </c>
      <c r="I14" s="2697">
        <v>177417000</v>
      </c>
      <c r="J14" s="2705"/>
      <c r="K14" s="2705"/>
      <c r="L14" s="2706"/>
      <c r="M14" s="2706"/>
      <c r="N14" s="2706"/>
    </row>
    <row r="15" spans="1:14">
      <c r="A15" s="2407" t="s">
        <v>50</v>
      </c>
      <c r="B15" s="2406" t="s">
        <v>5235</v>
      </c>
      <c r="C15" s="2406" t="s">
        <v>41</v>
      </c>
      <c r="D15" s="2697">
        <v>239730000</v>
      </c>
      <c r="E15" s="2697">
        <v>269136000</v>
      </c>
      <c r="F15" s="2697">
        <v>294996000</v>
      </c>
      <c r="G15" s="2697">
        <v>417056000</v>
      </c>
      <c r="H15" s="2697">
        <v>220752000</v>
      </c>
      <c r="I15" s="2697">
        <v>236556000</v>
      </c>
      <c r="J15" s="2705"/>
      <c r="K15" s="2705"/>
      <c r="L15" s="2706"/>
      <c r="M15" s="2706"/>
      <c r="N15" s="2706"/>
    </row>
    <row r="16" spans="1:14">
      <c r="A16" s="2407" t="s">
        <v>562</v>
      </c>
      <c r="B16" s="2406" t="s">
        <v>5236</v>
      </c>
      <c r="C16" s="2406" t="s">
        <v>41</v>
      </c>
      <c r="D16" s="2697">
        <v>39955000</v>
      </c>
      <c r="E16" s="2697">
        <v>179424000</v>
      </c>
      <c r="F16" s="2697">
        <v>98332000</v>
      </c>
      <c r="G16" s="2697">
        <v>52132000</v>
      </c>
      <c r="H16" s="2697">
        <v>0</v>
      </c>
      <c r="I16" s="2697">
        <v>0</v>
      </c>
      <c r="J16" s="2705"/>
      <c r="K16" s="2705"/>
      <c r="L16" s="2706"/>
      <c r="M16" s="2706"/>
      <c r="N16" s="2706"/>
    </row>
    <row r="17" spans="1:14">
      <c r="A17" s="2407" t="s">
        <v>53</v>
      </c>
      <c r="B17" s="2407" t="s">
        <v>53</v>
      </c>
      <c r="C17" s="345" t="s">
        <v>38</v>
      </c>
      <c r="D17" s="2697">
        <v>0</v>
      </c>
      <c r="E17" s="2697">
        <v>0</v>
      </c>
      <c r="F17" s="2697">
        <v>0</v>
      </c>
      <c r="G17" s="2697">
        <v>0</v>
      </c>
      <c r="H17" s="2697">
        <v>0</v>
      </c>
      <c r="I17" s="2697">
        <v>0</v>
      </c>
      <c r="J17" s="2705"/>
      <c r="K17" s="2705"/>
      <c r="L17" s="2706"/>
      <c r="M17" s="2706"/>
      <c r="N17" s="2706"/>
    </row>
    <row r="18" spans="1:14" s="2413" customFormat="1">
      <c r="A18" s="1063" t="s">
        <v>71</v>
      </c>
      <c r="B18" s="2412" t="s">
        <v>535</v>
      </c>
      <c r="C18" s="2412" t="s">
        <v>35</v>
      </c>
      <c r="D18" s="2696">
        <v>9549245000</v>
      </c>
      <c r="E18" s="2696">
        <v>10944864000</v>
      </c>
      <c r="F18" s="2696">
        <v>11603176000</v>
      </c>
      <c r="G18" s="2696">
        <v>11886096000</v>
      </c>
      <c r="H18" s="2696">
        <v>12527675999.999998</v>
      </c>
      <c r="I18" s="2696">
        <v>13601970000</v>
      </c>
      <c r="J18" s="2705"/>
      <c r="K18" s="2705"/>
      <c r="L18" s="2705"/>
      <c r="M18" s="2705"/>
      <c r="N18" s="2705"/>
    </row>
    <row r="19" spans="1:14">
      <c r="A19" s="2407" t="s">
        <v>889</v>
      </c>
      <c r="B19" s="2406" t="s">
        <v>5237</v>
      </c>
      <c r="C19" s="2406" t="s">
        <v>201</v>
      </c>
      <c r="D19" s="2697">
        <v>5673609999.999999</v>
      </c>
      <c r="E19" s="2697">
        <v>6145271999.999999</v>
      </c>
      <c r="F19" s="2697">
        <v>6932405999.999999</v>
      </c>
      <c r="G19" s="2697">
        <v>7350611999.999999</v>
      </c>
      <c r="H19" s="2697">
        <v>7781507999.999999</v>
      </c>
      <c r="I19" s="2697">
        <v>8693433000</v>
      </c>
      <c r="J19" s="2705"/>
      <c r="K19" s="2705"/>
      <c r="L19" s="2706"/>
      <c r="M19" s="2706"/>
      <c r="N19" s="2706"/>
    </row>
    <row r="20" spans="1:14">
      <c r="A20" s="2407" t="s">
        <v>5238</v>
      </c>
      <c r="B20" s="2406" t="s">
        <v>5239</v>
      </c>
      <c r="C20" s="2406" t="s">
        <v>5240</v>
      </c>
      <c r="D20" s="2697">
        <v>3396175000.0000005</v>
      </c>
      <c r="E20" s="2697">
        <v>3543624000</v>
      </c>
      <c r="F20" s="2697">
        <v>4179110000.0000005</v>
      </c>
      <c r="G20" s="2697">
        <v>4379088000</v>
      </c>
      <c r="H20" s="2697">
        <v>4470228000</v>
      </c>
      <c r="I20" s="2697">
        <v>4908537000</v>
      </c>
      <c r="J20" s="2705"/>
      <c r="K20" s="2705"/>
      <c r="L20" s="2706"/>
      <c r="M20" s="2706"/>
      <c r="N20" s="2706"/>
    </row>
    <row r="21" spans="1:14">
      <c r="A21" s="2407" t="s">
        <v>5241</v>
      </c>
      <c r="B21" s="2406" t="s">
        <v>5242</v>
      </c>
      <c r="C21" s="2406" t="s">
        <v>5240</v>
      </c>
      <c r="D21" s="2697">
        <v>2277435000</v>
      </c>
      <c r="E21" s="2697">
        <v>2601648000</v>
      </c>
      <c r="F21" s="2697">
        <v>2753295999.9999995</v>
      </c>
      <c r="G21" s="2697">
        <v>2971524000</v>
      </c>
      <c r="H21" s="2698">
        <f>H22+H23</f>
        <v>3311280000</v>
      </c>
      <c r="I21" s="2697">
        <v>3784896000</v>
      </c>
      <c r="J21" s="2705"/>
      <c r="K21" s="2705"/>
      <c r="L21" s="2706"/>
      <c r="M21" s="2706"/>
      <c r="N21" s="2706"/>
    </row>
    <row r="22" spans="1:14">
      <c r="A22" s="2407" t="s">
        <v>5231</v>
      </c>
      <c r="B22" s="2406" t="s">
        <v>5232</v>
      </c>
      <c r="C22" s="2406" t="s">
        <v>5243</v>
      </c>
      <c r="D22" s="2697">
        <v>2077660000.0000002</v>
      </c>
      <c r="E22" s="2697">
        <v>2422224000.0000005</v>
      </c>
      <c r="F22" s="2697">
        <v>2556632000</v>
      </c>
      <c r="G22" s="2697">
        <v>2710864000</v>
      </c>
      <c r="H22" s="2697">
        <v>3035340000</v>
      </c>
      <c r="I22" s="2697">
        <v>3489201000</v>
      </c>
      <c r="J22" s="2707"/>
      <c r="K22" s="2705"/>
      <c r="L22" s="2706"/>
      <c r="M22" s="2706"/>
      <c r="N22" s="2706"/>
    </row>
    <row r="23" spans="1:14">
      <c r="A23" s="2407" t="s">
        <v>5244</v>
      </c>
      <c r="B23" s="2406" t="s">
        <v>5245</v>
      </c>
      <c r="C23" s="2406" t="s">
        <v>5243</v>
      </c>
      <c r="D23" s="2697">
        <v>199775000</v>
      </c>
      <c r="E23" s="2697">
        <v>179424000</v>
      </c>
      <c r="F23" s="2697">
        <v>196664000</v>
      </c>
      <c r="G23" s="2697">
        <v>260660000</v>
      </c>
      <c r="H23" s="2697">
        <v>275940000</v>
      </c>
      <c r="I23" s="2697">
        <v>295695000</v>
      </c>
      <c r="J23" s="2705"/>
      <c r="K23" s="2705"/>
      <c r="L23" s="2706"/>
      <c r="M23" s="2706"/>
      <c r="N23" s="2706"/>
    </row>
    <row r="24" spans="1:14">
      <c r="A24" s="2407" t="s">
        <v>91</v>
      </c>
      <c r="B24" s="2406" t="s">
        <v>91</v>
      </c>
      <c r="C24" s="2406" t="s">
        <v>201</v>
      </c>
      <c r="D24" s="2697">
        <v>719190000.00000012</v>
      </c>
      <c r="E24" s="2697">
        <v>807408000.00000012</v>
      </c>
      <c r="F24" s="2697">
        <v>835822000.00000012</v>
      </c>
      <c r="G24" s="2697">
        <v>938376000.00000012</v>
      </c>
      <c r="H24" s="2697">
        <v>938196000.00000012</v>
      </c>
      <c r="I24" s="2697">
        <v>887085000</v>
      </c>
      <c r="J24" s="2705"/>
      <c r="K24" s="2705"/>
      <c r="L24" s="2706"/>
      <c r="M24" s="2706"/>
      <c r="N24" s="2706"/>
    </row>
    <row r="25" spans="1:14">
      <c r="A25" s="2407" t="s">
        <v>540</v>
      </c>
      <c r="B25" s="2406" t="s">
        <v>540</v>
      </c>
      <c r="C25" s="2406" t="s">
        <v>201</v>
      </c>
      <c r="D25" s="2697">
        <v>3156445000</v>
      </c>
      <c r="E25" s="2697">
        <v>3992184000.0000005</v>
      </c>
      <c r="F25" s="2697">
        <v>3834948000</v>
      </c>
      <c r="G25" s="2697">
        <v>3597108000.0000005</v>
      </c>
      <c r="H25" s="2697">
        <v>3807972000.0000005</v>
      </c>
      <c r="I25" s="2697">
        <v>4021452000.0000005</v>
      </c>
      <c r="J25" s="2705"/>
      <c r="K25" s="2705"/>
      <c r="L25" s="2706"/>
      <c r="M25" s="2706"/>
      <c r="N25" s="2706"/>
    </row>
    <row r="26" spans="1:14">
      <c r="B26" s="2406" t="s">
        <v>5246</v>
      </c>
      <c r="C26" s="2406"/>
      <c r="D26" s="2697">
        <v>-559370000</v>
      </c>
      <c r="E26" s="2697">
        <v>-1031688000</v>
      </c>
      <c r="F26" s="2697">
        <v>-1622478000</v>
      </c>
      <c r="G26" s="2697">
        <v>-1199036000</v>
      </c>
      <c r="H26" s="2697">
        <v>-1214136000.0000002</v>
      </c>
      <c r="I26" s="2697">
        <v>-1005363000.0000001</v>
      </c>
      <c r="J26" s="2705"/>
      <c r="K26" s="2705"/>
      <c r="L26" s="2706"/>
      <c r="M26" s="2706"/>
      <c r="N26" s="2706"/>
    </row>
    <row r="27" spans="1:14">
      <c r="B27" s="2410" t="s">
        <v>5247</v>
      </c>
      <c r="C27" s="2406"/>
      <c r="D27" s="2697"/>
      <c r="E27" s="2697"/>
      <c r="F27" s="2697"/>
      <c r="G27" s="2697"/>
      <c r="H27" s="2697"/>
      <c r="I27" s="2697"/>
      <c r="J27" s="2705"/>
      <c r="K27" s="2705"/>
      <c r="L27" s="2706"/>
      <c r="M27" s="2706"/>
      <c r="N27" s="2706"/>
    </row>
    <row r="28" spans="1:14">
      <c r="B28" s="2406" t="s">
        <v>36</v>
      </c>
      <c r="C28" s="2406"/>
      <c r="D28" s="2697">
        <v>2397300000</v>
      </c>
      <c r="E28" s="2697">
        <v>2422224000.0000005</v>
      </c>
      <c r="F28" s="2697">
        <v>2654964000.0000005</v>
      </c>
      <c r="G28" s="2697">
        <v>2554468000</v>
      </c>
      <c r="H28" s="2697">
        <v>2704212000</v>
      </c>
      <c r="I28" s="2697">
        <v>2897811000</v>
      </c>
      <c r="J28" s="2705"/>
      <c r="K28" s="2705"/>
      <c r="L28" s="2706"/>
      <c r="M28" s="2706"/>
      <c r="N28" s="2706"/>
    </row>
    <row r="29" spans="1:14">
      <c r="B29" s="2406" t="s">
        <v>5237</v>
      </c>
      <c r="C29" s="2406"/>
      <c r="D29" s="2697">
        <v>719190000.00000012</v>
      </c>
      <c r="E29" s="2697">
        <v>717696000</v>
      </c>
      <c r="F29" s="2697">
        <v>786656000</v>
      </c>
      <c r="G29" s="2697">
        <v>1251168000</v>
      </c>
      <c r="H29" s="2697">
        <v>1048572000</v>
      </c>
      <c r="I29" s="2697">
        <v>1064502000.0000001</v>
      </c>
      <c r="J29" s="2705"/>
      <c r="K29" s="2705"/>
      <c r="L29" s="2706"/>
      <c r="M29" s="2706"/>
      <c r="N29" s="2706"/>
    </row>
    <row r="30" spans="1:14">
      <c r="B30" s="2406" t="s">
        <v>5248</v>
      </c>
      <c r="C30" s="2406"/>
      <c r="D30" s="2697">
        <v>1038830000.0000001</v>
      </c>
      <c r="E30" s="2697">
        <v>986832000.00000012</v>
      </c>
      <c r="F30" s="2697">
        <v>1032486000.0000001</v>
      </c>
      <c r="G30" s="2697">
        <v>990508000</v>
      </c>
      <c r="H30" s="2697">
        <v>1103760000</v>
      </c>
      <c r="I30" s="2697">
        <v>1596753000.0000002</v>
      </c>
      <c r="J30" s="2705"/>
      <c r="K30" s="2705"/>
      <c r="L30" s="2706"/>
      <c r="M30" s="2706"/>
      <c r="N30" s="2706"/>
    </row>
    <row r="31" spans="1:14">
      <c r="B31" s="2406" t="s">
        <v>5249</v>
      </c>
      <c r="C31" s="2406"/>
      <c r="D31" s="2697">
        <v>39955000</v>
      </c>
      <c r="E31" s="2697">
        <v>44856000</v>
      </c>
      <c r="F31" s="2697">
        <v>49166000</v>
      </c>
      <c r="G31" s="2697">
        <v>52132000</v>
      </c>
      <c r="H31" s="2697">
        <v>110376000</v>
      </c>
      <c r="I31" s="2697">
        <v>118278000</v>
      </c>
      <c r="J31" s="2705"/>
      <c r="K31" s="2705"/>
      <c r="L31" s="2706"/>
      <c r="M31" s="2706"/>
      <c r="N31" s="2706"/>
    </row>
    <row r="32" spans="1:14">
      <c r="B32" s="2406" t="s">
        <v>5250</v>
      </c>
      <c r="C32" s="2406"/>
      <c r="D32" s="2697">
        <v>1238605000</v>
      </c>
      <c r="E32" s="2697">
        <v>1435392000</v>
      </c>
      <c r="F32" s="2697">
        <v>1474980000</v>
      </c>
      <c r="G32" s="2697">
        <v>1251168000</v>
      </c>
      <c r="H32" s="2697">
        <v>938196000.00000012</v>
      </c>
      <c r="I32" s="2697">
        <v>295695000</v>
      </c>
      <c r="J32" s="2705"/>
      <c r="K32" s="2705"/>
      <c r="L32" s="2706"/>
      <c r="M32" s="2706"/>
      <c r="N32" s="2706"/>
    </row>
    <row r="33" spans="1:14">
      <c r="B33" s="2406" t="s">
        <v>5251</v>
      </c>
      <c r="C33" s="2406"/>
      <c r="D33" s="2697">
        <v>-599325000</v>
      </c>
      <c r="E33" s="2697">
        <v>-807408000.00000012</v>
      </c>
      <c r="F33" s="2697">
        <v>-688323999.99999988</v>
      </c>
      <c r="G33" s="2697">
        <v>-1094772000</v>
      </c>
      <c r="H33" s="2697">
        <v>-496692000.00000006</v>
      </c>
      <c r="I33" s="2697">
        <v>-177417000</v>
      </c>
      <c r="J33" s="2705"/>
      <c r="K33" s="2705"/>
      <c r="L33" s="2706"/>
      <c r="M33" s="2706"/>
      <c r="N33" s="2706"/>
    </row>
    <row r="34" spans="1:14">
      <c r="B34" s="2406" t="s">
        <v>5252</v>
      </c>
      <c r="C34" s="2406"/>
      <c r="D34" s="2697">
        <v>-1198650000</v>
      </c>
      <c r="E34" s="2697">
        <v>-1794240000</v>
      </c>
      <c r="F34" s="2697">
        <v>-2310802000</v>
      </c>
      <c r="G34" s="2697">
        <v>-2241676000</v>
      </c>
      <c r="H34" s="2697">
        <v>-1655640000</v>
      </c>
      <c r="I34" s="2697">
        <v>-1182780000</v>
      </c>
      <c r="J34" s="2705"/>
      <c r="K34" s="2705"/>
      <c r="L34" s="2706"/>
      <c r="M34" s="2706"/>
      <c r="N34" s="2706"/>
    </row>
    <row r="35" spans="1:14" s="2413" customFormat="1" ht="15.75">
      <c r="A35" s="880" t="s">
        <v>115</v>
      </c>
      <c r="B35" s="2412" t="s">
        <v>5253</v>
      </c>
      <c r="C35" s="2412" t="s">
        <v>35</v>
      </c>
      <c r="D35" s="2696">
        <v>1078785000.0000002</v>
      </c>
      <c r="E35" s="2696">
        <v>1121400000</v>
      </c>
      <c r="F35" s="2696">
        <f>F36+F37</f>
        <v>2064972000</v>
      </c>
      <c r="G35" s="2696">
        <v>1459695999.9999998</v>
      </c>
      <c r="H35" s="2696">
        <v>1214136000.0000002</v>
      </c>
      <c r="I35" s="2696">
        <v>1005363000.0000001</v>
      </c>
      <c r="J35" s="2705"/>
      <c r="K35" s="2705"/>
      <c r="L35" s="2705"/>
      <c r="M35" s="2705"/>
      <c r="N35" s="2705"/>
    </row>
    <row r="36" spans="1:14">
      <c r="A36" s="2406" t="s">
        <v>280</v>
      </c>
      <c r="B36" s="2406" t="s">
        <v>280</v>
      </c>
      <c r="C36" s="2406" t="s">
        <v>119</v>
      </c>
      <c r="D36" s="2697">
        <v>319640000</v>
      </c>
      <c r="E36" s="2697">
        <v>1121400000</v>
      </c>
      <c r="F36" s="2697">
        <v>2212470000</v>
      </c>
      <c r="G36" s="2697">
        <v>1303300000</v>
      </c>
      <c r="H36" s="2697">
        <v>1269324000</v>
      </c>
      <c r="I36" s="2697">
        <v>236556000</v>
      </c>
      <c r="J36" s="2705"/>
      <c r="K36" s="2705"/>
      <c r="L36" s="2706"/>
      <c r="M36" s="2706"/>
      <c r="N36" s="2706"/>
    </row>
    <row r="37" spans="1:14">
      <c r="A37" s="2406" t="s">
        <v>209</v>
      </c>
      <c r="B37" s="2406" t="s">
        <v>209</v>
      </c>
      <c r="C37" s="2406" t="s">
        <v>119</v>
      </c>
      <c r="D37" s="2697">
        <v>759145000</v>
      </c>
      <c r="E37" s="2697">
        <v>0</v>
      </c>
      <c r="F37" s="2697">
        <v>-147498000</v>
      </c>
      <c r="G37" s="2697">
        <v>156396000</v>
      </c>
      <c r="H37" s="2697">
        <v>-55188000</v>
      </c>
      <c r="I37" s="2697">
        <v>768807000.00000012</v>
      </c>
      <c r="J37" s="2705"/>
      <c r="K37" s="2705"/>
      <c r="L37" s="2706"/>
      <c r="M37" s="2706"/>
      <c r="N37" s="2706"/>
    </row>
    <row r="38" spans="1:14">
      <c r="A38" s="2406"/>
      <c r="B38" s="2406"/>
      <c r="C38" s="2406"/>
      <c r="D38" s="2697"/>
      <c r="E38" s="2697"/>
      <c r="F38" s="2697"/>
      <c r="G38" s="2697"/>
      <c r="H38" s="2697"/>
      <c r="I38" s="2697"/>
      <c r="J38" s="2705"/>
      <c r="K38" s="2705"/>
      <c r="L38" s="2706"/>
      <c r="M38" s="2706"/>
      <c r="N38" s="2706"/>
    </row>
    <row r="39" spans="1:14">
      <c r="A39" s="2406"/>
      <c r="B39" s="2406"/>
      <c r="C39" s="2406"/>
      <c r="D39" s="2692" t="s">
        <v>139</v>
      </c>
      <c r="E39" s="2692" t="s">
        <v>139</v>
      </c>
      <c r="F39" s="2692" t="s">
        <v>139</v>
      </c>
      <c r="G39" s="2692" t="s">
        <v>139</v>
      </c>
      <c r="H39" s="2692" t="s">
        <v>139</v>
      </c>
      <c r="I39" s="2692" t="s">
        <v>139</v>
      </c>
      <c r="J39" s="2705"/>
      <c r="K39" s="2705"/>
      <c r="L39" s="2706"/>
      <c r="M39" s="2706"/>
      <c r="N39" s="2706"/>
    </row>
    <row r="40" spans="1:14">
      <c r="A40" s="2411" t="s">
        <v>543</v>
      </c>
      <c r="B40" s="2411"/>
      <c r="C40" s="2411"/>
      <c r="D40" s="2414">
        <v>39955000000</v>
      </c>
      <c r="E40" s="2699">
        <v>44856000000</v>
      </c>
      <c r="F40" s="2699">
        <v>49166000000</v>
      </c>
      <c r="G40" s="2699">
        <v>52132000000</v>
      </c>
      <c r="H40" s="2699">
        <v>55188000000</v>
      </c>
      <c r="I40" s="2699">
        <v>59139000000</v>
      </c>
      <c r="J40" s="2708"/>
      <c r="K40" s="2705"/>
      <c r="L40" s="2705"/>
      <c r="M40" s="2706"/>
      <c r="N40" s="2706"/>
    </row>
    <row r="41" spans="1:14">
      <c r="A41" s="2411" t="s">
        <v>544</v>
      </c>
      <c r="B41" s="2411"/>
      <c r="C41" s="2411"/>
      <c r="D41" s="2415">
        <f t="shared" ref="D41:I41" si="3">D6/D40</f>
        <v>0.224</v>
      </c>
      <c r="E41" s="2700">
        <f t="shared" si="3"/>
        <v>0.221</v>
      </c>
      <c r="F41" s="2700">
        <f t="shared" si="3"/>
        <v>0.20399999999999999</v>
      </c>
      <c r="G41" s="2700">
        <f t="shared" si="3"/>
        <v>0.20399999999999999</v>
      </c>
      <c r="H41" s="2700">
        <f t="shared" si="3"/>
        <v>0.20499999999999999</v>
      </c>
      <c r="I41" s="2700">
        <f t="shared" si="3"/>
        <v>0.21299999999999999</v>
      </c>
      <c r="J41" s="2708"/>
      <c r="K41" s="2705"/>
      <c r="L41" s="2705"/>
      <c r="M41" s="2706"/>
      <c r="N41" s="2706"/>
    </row>
    <row r="42" spans="1:14">
      <c r="A42" s="2411"/>
      <c r="B42" s="2411"/>
      <c r="C42" s="2411"/>
      <c r="D42" s="2416"/>
      <c r="E42" s="2701"/>
      <c r="F42" s="2701"/>
      <c r="G42" s="2701"/>
      <c r="H42" s="2701"/>
      <c r="I42" s="2701"/>
      <c r="J42" s="2708"/>
      <c r="K42" s="2705"/>
      <c r="L42" s="2705"/>
      <c r="M42" s="2706"/>
      <c r="N42" s="2706"/>
    </row>
    <row r="43" spans="1:14">
      <c r="A43" s="2411" t="s">
        <v>358</v>
      </c>
      <c r="B43" s="2411"/>
      <c r="C43" s="2411"/>
      <c r="D43" s="2417">
        <f t="shared" ref="D43:I43" si="4">D6-D8-D16</f>
        <v>0</v>
      </c>
      <c r="E43" s="2702">
        <f t="shared" si="4"/>
        <v>0</v>
      </c>
      <c r="F43" s="2702">
        <f t="shared" si="4"/>
        <v>0</v>
      </c>
      <c r="G43" s="2702">
        <f t="shared" si="4"/>
        <v>0</v>
      </c>
      <c r="H43" s="2702">
        <f t="shared" si="4"/>
        <v>0</v>
      </c>
      <c r="I43" s="2702">
        <f t="shared" si="4"/>
        <v>0</v>
      </c>
      <c r="J43" s="2708"/>
      <c r="K43" s="2705"/>
      <c r="L43" s="2705"/>
      <c r="M43" s="2706"/>
      <c r="N43" s="2706"/>
    </row>
    <row r="44" spans="1:14">
      <c r="A44" s="2411" t="s">
        <v>5254</v>
      </c>
      <c r="B44" s="2411"/>
      <c r="C44" s="2411"/>
      <c r="D44" s="2417">
        <f t="shared" ref="D44:I44" si="5">D8-D9-D10-D13-D14-D15</f>
        <v>0</v>
      </c>
      <c r="E44" s="2702">
        <f t="shared" si="5"/>
        <v>-9.5367431640625E-7</v>
      </c>
      <c r="F44" s="2702">
        <f t="shared" si="5"/>
        <v>0</v>
      </c>
      <c r="G44" s="2702">
        <f t="shared" si="5"/>
        <v>9.5367431640625E-7</v>
      </c>
      <c r="H44" s="2702">
        <f t="shared" si="5"/>
        <v>0</v>
      </c>
      <c r="I44" s="2702">
        <f t="shared" si="5"/>
        <v>0</v>
      </c>
      <c r="J44" s="2703"/>
      <c r="L44" s="2407"/>
    </row>
    <row r="45" spans="1:14">
      <c r="A45" s="2411" t="s">
        <v>5255</v>
      </c>
      <c r="B45" s="2411"/>
      <c r="C45" s="2411"/>
      <c r="D45" s="2417">
        <f t="shared" ref="D45:I45" si="6">D18-D19-D24-D25</f>
        <v>0</v>
      </c>
      <c r="E45" s="2702">
        <f t="shared" si="6"/>
        <v>0</v>
      </c>
      <c r="F45" s="2702">
        <f t="shared" si="6"/>
        <v>0</v>
      </c>
      <c r="G45" s="2702">
        <f t="shared" si="6"/>
        <v>0</v>
      </c>
      <c r="H45" s="2702">
        <f t="shared" si="6"/>
        <v>0</v>
      </c>
      <c r="I45" s="2702">
        <f t="shared" si="6"/>
        <v>0</v>
      </c>
      <c r="J45" s="2695"/>
      <c r="L45" s="2407"/>
    </row>
    <row r="46" spans="1:14">
      <c r="A46" s="2411" t="s">
        <v>5256</v>
      </c>
      <c r="B46" s="2411"/>
      <c r="C46" s="2411"/>
      <c r="D46" s="2417">
        <f t="shared" ref="D46:I46" si="7">D19-D20-D21</f>
        <v>0</v>
      </c>
      <c r="E46" s="2702">
        <f t="shared" si="7"/>
        <v>0</v>
      </c>
      <c r="F46" s="2702">
        <f t="shared" si="7"/>
        <v>0</v>
      </c>
      <c r="G46" s="2702">
        <f t="shared" si="7"/>
        <v>0</v>
      </c>
      <c r="H46" s="2702">
        <f t="shared" si="7"/>
        <v>0</v>
      </c>
      <c r="I46" s="2702">
        <f t="shared" si="7"/>
        <v>0</v>
      </c>
      <c r="J46" s="2695"/>
      <c r="L46" s="2407"/>
    </row>
    <row r="47" spans="1:14">
      <c r="A47" s="2411" t="s">
        <v>5257</v>
      </c>
      <c r="B47" s="2411"/>
      <c r="C47" s="2411"/>
      <c r="D47" s="2417">
        <f t="shared" ref="D47:I47" si="8">D21-D22-D23</f>
        <v>-2.384185791015625E-7</v>
      </c>
      <c r="E47" s="2702">
        <f t="shared" si="8"/>
        <v>-4.76837158203125E-7</v>
      </c>
      <c r="F47" s="2702">
        <f t="shared" si="8"/>
        <v>-4.76837158203125E-7</v>
      </c>
      <c r="G47" s="2702">
        <f t="shared" si="8"/>
        <v>0</v>
      </c>
      <c r="H47" s="2702">
        <f t="shared" si="8"/>
        <v>0</v>
      </c>
      <c r="I47" s="2702">
        <f t="shared" si="8"/>
        <v>0</v>
      </c>
      <c r="J47" s="2695"/>
      <c r="L47" s="2407"/>
    </row>
    <row r="48" spans="1:14">
      <c r="A48" s="2411" t="s">
        <v>5258</v>
      </c>
      <c r="B48" s="2411"/>
      <c r="C48" s="2411"/>
      <c r="D48" s="2417">
        <f>D35-D36-D37</f>
        <v>0</v>
      </c>
      <c r="E48" s="2417">
        <f t="shared" ref="E48:I48" si="9">E35-E36-E37</f>
        <v>0</v>
      </c>
      <c r="F48" s="2417">
        <f t="shared" si="9"/>
        <v>0</v>
      </c>
      <c r="G48" s="2417">
        <f t="shared" si="9"/>
        <v>-2.384185791015625E-7</v>
      </c>
      <c r="H48" s="2417">
        <f t="shared" si="9"/>
        <v>2.384185791015625E-7</v>
      </c>
      <c r="I48" s="2417">
        <f t="shared" si="9"/>
        <v>0</v>
      </c>
      <c r="J48" s="2695"/>
      <c r="L48" s="2407"/>
    </row>
    <row r="49" spans="4:12">
      <c r="D49" s="2407"/>
      <c r="J49" s="2695"/>
      <c r="L49" s="2407"/>
    </row>
    <row r="51" spans="4:12">
      <c r="D51" s="2709"/>
      <c r="E51" s="2709"/>
    </row>
  </sheetData>
  <pageMargins left="0.7" right="0.7" top="0.75" bottom="0.75" header="0.3" footer="0.3"/>
  <pageSetup paperSize="9"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D28" activePane="bottomRight" state="frozen"/>
      <selection pane="topRight" activeCell="R7" sqref="R7"/>
      <selection pane="bottomLeft" activeCell="R7" sqref="R7"/>
      <selection pane="bottomRight" activeCell="J29" sqref="J29"/>
    </sheetView>
  </sheetViews>
  <sheetFormatPr defaultRowHeight="15.75"/>
  <cols>
    <col min="1" max="1" width="45.85546875" style="534" customWidth="1"/>
    <col min="2" max="2" width="70.42578125" style="534" bestFit="1" customWidth="1"/>
    <col min="3" max="3" width="24" style="534" bestFit="1" customWidth="1"/>
    <col min="4" max="11" width="18.7109375" style="534" bestFit="1" customWidth="1"/>
    <col min="12" max="12" width="19" style="534" bestFit="1" customWidth="1"/>
    <col min="13" max="13" width="19.42578125" style="534" bestFit="1" customWidth="1"/>
    <col min="14" max="16" width="19" style="534" bestFit="1" customWidth="1"/>
    <col min="17" max="17" width="19.7109375" style="534" bestFit="1" customWidth="1"/>
    <col min="18" max="20" width="19.42578125" style="534" bestFit="1" customWidth="1"/>
    <col min="21" max="21" width="21.85546875" style="534" bestFit="1" customWidth="1"/>
    <col min="22" max="22" width="19.140625" style="534" bestFit="1" customWidth="1"/>
    <col min="23" max="24" width="8.85546875" style="534"/>
  </cols>
  <sheetData>
    <row r="1" spans="1:39">
      <c r="A1" s="1149" t="s">
        <v>5259</v>
      </c>
      <c r="B1" s="548" t="s">
        <v>5260</v>
      </c>
      <c r="C1" s="548"/>
      <c r="D1" s="549"/>
      <c r="E1" s="549"/>
      <c r="F1" s="549"/>
      <c r="G1" s="549"/>
      <c r="H1" s="549"/>
      <c r="I1" s="549"/>
      <c r="J1" s="549"/>
      <c r="K1" s="549"/>
      <c r="L1" s="549"/>
      <c r="M1" s="549"/>
      <c r="N1" s="549"/>
      <c r="O1" s="550"/>
      <c r="P1" s="550"/>
      <c r="Q1" s="550"/>
      <c r="R1" s="551"/>
      <c r="S1" s="550"/>
      <c r="T1" s="550"/>
      <c r="U1" s="550"/>
      <c r="V1" s="550"/>
      <c r="W1" s="550"/>
      <c r="X1" s="550"/>
      <c r="Y1" s="365"/>
      <c r="Z1" s="365"/>
      <c r="AA1" s="365"/>
      <c r="AB1" s="365"/>
      <c r="AC1" s="365"/>
      <c r="AD1" s="365"/>
      <c r="AE1" s="365"/>
      <c r="AF1" s="365"/>
      <c r="AG1" s="365"/>
      <c r="AH1" s="365"/>
      <c r="AI1" s="365"/>
      <c r="AJ1" s="365"/>
      <c r="AK1" s="365"/>
      <c r="AL1" s="365"/>
      <c r="AM1" s="365"/>
    </row>
    <row r="2" spans="1:39">
      <c r="B2" s="552" t="s">
        <v>5261</v>
      </c>
      <c r="C2" s="552"/>
      <c r="D2" s="550"/>
      <c r="E2" s="550"/>
      <c r="F2" s="550"/>
      <c r="G2" s="550"/>
      <c r="H2" s="550"/>
      <c r="I2" s="550"/>
      <c r="J2" s="550"/>
      <c r="K2" s="550"/>
      <c r="L2" s="550"/>
      <c r="M2" s="550"/>
      <c r="N2" s="550"/>
      <c r="O2" s="550"/>
      <c r="P2" s="550"/>
      <c r="Q2" s="550"/>
      <c r="R2" s="553"/>
      <c r="S2" s="554"/>
      <c r="T2" s="555"/>
      <c r="U2" s="550"/>
      <c r="Y2" s="365"/>
      <c r="Z2" s="365"/>
      <c r="AA2" s="365"/>
      <c r="AB2" s="365"/>
      <c r="AC2" s="365"/>
      <c r="AD2" s="365"/>
      <c r="AE2" s="365"/>
      <c r="AF2" s="365"/>
      <c r="AG2" s="365"/>
      <c r="AH2" s="365"/>
      <c r="AI2" s="365"/>
      <c r="AJ2" s="365"/>
      <c r="AK2" s="365"/>
      <c r="AL2" s="365"/>
      <c r="AM2" s="365"/>
    </row>
    <row r="3" spans="1:3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365"/>
      <c r="Z3" s="365"/>
      <c r="AA3" s="365"/>
      <c r="AB3" s="365"/>
      <c r="AC3" s="365"/>
      <c r="AD3" s="365"/>
      <c r="AE3" s="365"/>
      <c r="AF3" s="365"/>
      <c r="AG3" s="365"/>
      <c r="AH3" s="365"/>
      <c r="AI3" s="365"/>
      <c r="AJ3" s="365"/>
      <c r="AK3" s="365"/>
      <c r="AL3" s="365"/>
      <c r="AM3" s="365"/>
    </row>
    <row r="4" spans="1:3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365"/>
      <c r="Z4" s="365"/>
      <c r="AA4" s="365"/>
      <c r="AB4" s="365"/>
      <c r="AC4" s="365"/>
      <c r="AD4" s="365"/>
      <c r="AE4" s="365"/>
      <c r="AF4" s="365"/>
      <c r="AG4" s="365"/>
      <c r="AH4" s="365"/>
      <c r="AI4" s="365"/>
      <c r="AJ4" s="365"/>
      <c r="AK4" s="365"/>
      <c r="AL4" s="365"/>
      <c r="AM4" s="365"/>
    </row>
    <row r="5" spans="1:3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32</v>
      </c>
      <c r="V5" s="550" t="s">
        <v>32</v>
      </c>
      <c r="W5" s="550" t="s">
        <v>32</v>
      </c>
      <c r="X5" s="550" t="s">
        <v>32</v>
      </c>
      <c r="Y5" s="365"/>
      <c r="Z5" s="365"/>
      <c r="AA5" s="365"/>
      <c r="AB5" s="365"/>
      <c r="AC5" s="365"/>
      <c r="AD5" s="365"/>
      <c r="AE5" s="365"/>
      <c r="AF5" s="365"/>
      <c r="AG5" s="365"/>
      <c r="AH5" s="365"/>
      <c r="AI5" s="365"/>
      <c r="AJ5" s="365"/>
      <c r="AK5" s="365"/>
      <c r="AL5" s="365"/>
      <c r="AM5" s="365"/>
    </row>
    <row r="6" spans="1:39" s="848" customFormat="1">
      <c r="A6" s="874" t="s">
        <v>33</v>
      </c>
      <c r="B6" s="880" t="s">
        <v>5262</v>
      </c>
      <c r="C6" s="1950" t="s">
        <v>35</v>
      </c>
      <c r="D6" s="1647">
        <v>2966000000</v>
      </c>
      <c r="E6" s="1647">
        <v>3087000000</v>
      </c>
      <c r="F6" s="1647">
        <v>3237000000</v>
      </c>
      <c r="G6" s="1170">
        <v>3664000000</v>
      </c>
      <c r="H6" s="1170">
        <v>4315000000</v>
      </c>
      <c r="I6" s="1170">
        <v>5307000000</v>
      </c>
      <c r="J6" s="1170">
        <v>6288000000</v>
      </c>
      <c r="K6" s="1170">
        <v>7008000000</v>
      </c>
      <c r="L6" s="1647">
        <v>7041000000</v>
      </c>
      <c r="M6" s="1647">
        <v>6097000000</v>
      </c>
      <c r="N6" s="1170">
        <v>8261000000</v>
      </c>
      <c r="O6" s="1170">
        <v>9280000000</v>
      </c>
      <c r="P6" s="1170">
        <f>P7+P25</f>
        <v>9419000000</v>
      </c>
      <c r="Q6" s="1170">
        <f>Q7+Q25</f>
        <v>9898000000</v>
      </c>
      <c r="R6" s="1170">
        <f>R7+R25</f>
        <v>11875000000</v>
      </c>
      <c r="S6" s="1170">
        <f>S7+S25</f>
        <v>10650000000</v>
      </c>
      <c r="T6" s="1170">
        <f t="shared" ref="T6:V6" si="0">T7+T25</f>
        <v>10485000000</v>
      </c>
      <c r="U6" s="1170">
        <f t="shared" si="0"/>
        <v>10520000000</v>
      </c>
      <c r="V6" s="1170">
        <f t="shared" si="0"/>
        <v>10893000000</v>
      </c>
      <c r="W6" s="1951"/>
      <c r="X6" s="1951"/>
      <c r="Y6" s="916"/>
      <c r="Z6" s="916"/>
      <c r="AA6" s="916"/>
      <c r="AB6" s="916"/>
      <c r="AC6" s="916"/>
      <c r="AD6" s="916"/>
      <c r="AE6" s="916"/>
      <c r="AF6" s="916"/>
      <c r="AG6" s="916"/>
      <c r="AH6" s="916"/>
      <c r="AI6" s="916"/>
      <c r="AJ6" s="916"/>
      <c r="AK6" s="916"/>
      <c r="AL6" s="916"/>
      <c r="AM6" s="916"/>
    </row>
    <row r="7" spans="1:39">
      <c r="A7" s="534" t="s">
        <v>36</v>
      </c>
      <c r="B7" s="1952" t="s">
        <v>36</v>
      </c>
      <c r="C7" s="865" t="s">
        <v>38</v>
      </c>
      <c r="D7" s="866">
        <f t="shared" ref="D7:O7" si="1">D8+D23</f>
        <v>2460000000</v>
      </c>
      <c r="E7" s="866">
        <f t="shared" si="1"/>
        <v>2467000000</v>
      </c>
      <c r="F7" s="866">
        <f t="shared" si="1"/>
        <v>2540000000</v>
      </c>
      <c r="G7" s="866">
        <f t="shared" si="1"/>
        <v>2917000000</v>
      </c>
      <c r="H7" s="866">
        <f t="shared" si="1"/>
        <v>3465000000</v>
      </c>
      <c r="I7" s="866">
        <f t="shared" si="1"/>
        <v>4023000000</v>
      </c>
      <c r="J7" s="866">
        <f t="shared" si="1"/>
        <v>5374000000</v>
      </c>
      <c r="K7" s="866">
        <f t="shared" si="1"/>
        <v>6287000000</v>
      </c>
      <c r="L7" s="866">
        <f t="shared" si="1"/>
        <v>6039000000</v>
      </c>
      <c r="M7" s="866">
        <f t="shared" si="1"/>
        <v>5219000000</v>
      </c>
      <c r="N7" s="866">
        <f t="shared" si="1"/>
        <v>6870000000</v>
      </c>
      <c r="O7" s="866">
        <f t="shared" si="1"/>
        <v>8255000000</v>
      </c>
      <c r="P7" s="866">
        <f>P9+P14</f>
        <v>8488000000</v>
      </c>
      <c r="Q7" s="866">
        <f t="shared" ref="Q7:V7" si="2">Q9+Q14</f>
        <v>9020000000</v>
      </c>
      <c r="R7" s="866">
        <f t="shared" si="2"/>
        <v>11007000000</v>
      </c>
      <c r="S7" s="866">
        <f t="shared" si="2"/>
        <v>9830000000</v>
      </c>
      <c r="T7" s="866">
        <f t="shared" si="2"/>
        <v>9055000000</v>
      </c>
      <c r="U7" s="866">
        <f t="shared" si="2"/>
        <v>9552000000</v>
      </c>
      <c r="V7" s="866">
        <f t="shared" si="2"/>
        <v>9919000000</v>
      </c>
      <c r="W7" s="550"/>
      <c r="X7" s="550"/>
      <c r="Y7" s="365"/>
      <c r="Z7" s="365"/>
      <c r="AA7" s="365"/>
      <c r="AB7" s="365"/>
      <c r="AC7" s="365"/>
      <c r="AD7" s="365"/>
      <c r="AE7" s="365"/>
      <c r="AF7" s="365"/>
      <c r="AG7" s="365"/>
      <c r="AH7" s="365"/>
      <c r="AI7" s="365"/>
      <c r="AJ7" s="365"/>
      <c r="AK7" s="365"/>
      <c r="AL7" s="365"/>
      <c r="AM7" s="365"/>
    </row>
    <row r="8" spans="1:39">
      <c r="A8" s="566" t="s">
        <v>1372</v>
      </c>
      <c r="B8" s="566" t="s">
        <v>1372</v>
      </c>
      <c r="C8" s="380" t="s">
        <v>41</v>
      </c>
      <c r="D8" s="866">
        <v>2315000000</v>
      </c>
      <c r="E8" s="866">
        <v>2295000000</v>
      </c>
      <c r="F8" s="866">
        <v>2370000000</v>
      </c>
      <c r="G8" s="1167">
        <v>2678000000</v>
      </c>
      <c r="H8" s="1167">
        <v>3220000000</v>
      </c>
      <c r="I8" s="1167">
        <v>3744000000</v>
      </c>
      <c r="J8" s="1167">
        <v>4945000000</v>
      </c>
      <c r="K8" s="1167">
        <v>5854000000</v>
      </c>
      <c r="L8" s="1953">
        <f>L20+L21</f>
        <v>6039000000</v>
      </c>
      <c r="M8" s="1953">
        <f>M20+M21</f>
        <v>5219000000</v>
      </c>
      <c r="N8" s="1953">
        <f>N20+N21</f>
        <v>6870000000</v>
      </c>
      <c r="O8" s="1953">
        <f>O20+O21</f>
        <v>8255000000</v>
      </c>
      <c r="S8" s="867"/>
      <c r="T8" s="867"/>
      <c r="U8" s="900"/>
      <c r="V8" s="550"/>
      <c r="W8" s="550"/>
      <c r="X8" s="550"/>
      <c r="Y8" s="365"/>
      <c r="Z8" s="365"/>
      <c r="AA8" s="365"/>
      <c r="AB8" s="365"/>
      <c r="AC8" s="365"/>
      <c r="AD8" s="365"/>
      <c r="AE8" s="365"/>
      <c r="AF8" s="365"/>
      <c r="AG8" s="365"/>
      <c r="AH8" s="365"/>
      <c r="AI8" s="365"/>
      <c r="AJ8" s="365"/>
      <c r="AK8" s="365"/>
      <c r="AL8" s="365"/>
      <c r="AM8" s="365"/>
    </row>
    <row r="9" spans="1:39">
      <c r="A9" s="2565" t="s">
        <v>7039</v>
      </c>
      <c r="B9" s="2565" t="s">
        <v>5263</v>
      </c>
      <c r="C9" s="2566" t="s">
        <v>41</v>
      </c>
      <c r="D9" s="866"/>
      <c r="E9" s="866"/>
      <c r="F9" s="866"/>
      <c r="G9" s="1167"/>
      <c r="H9" s="1167"/>
      <c r="I9" s="1167"/>
      <c r="J9" s="1167"/>
      <c r="K9" s="1167"/>
      <c r="L9" s="864"/>
      <c r="M9" s="864"/>
      <c r="N9" s="864"/>
      <c r="O9" s="864"/>
      <c r="P9" s="864">
        <v>8219000000</v>
      </c>
      <c r="Q9" s="864">
        <v>8880000000</v>
      </c>
      <c r="R9" s="864">
        <v>10232000000</v>
      </c>
      <c r="S9" s="864">
        <f>S10+S11+S12+S13</f>
        <v>8804000000</v>
      </c>
      <c r="T9" s="864">
        <f t="shared" ref="T9:V9" si="3">T10+T11+T12+T13</f>
        <v>8421000000</v>
      </c>
      <c r="U9" s="864">
        <f t="shared" si="3"/>
        <v>8580000000</v>
      </c>
      <c r="V9" s="864">
        <f t="shared" si="3"/>
        <v>9180000000</v>
      </c>
      <c r="W9" s="550"/>
      <c r="X9" s="550"/>
      <c r="Y9" s="365"/>
      <c r="Z9" s="365"/>
      <c r="AA9" s="365"/>
      <c r="AB9" s="365"/>
      <c r="AC9" s="365"/>
      <c r="AD9" s="365"/>
      <c r="AE9" s="365"/>
      <c r="AF9" s="365"/>
      <c r="AG9" s="365"/>
      <c r="AH9" s="365"/>
      <c r="AI9" s="365"/>
      <c r="AJ9" s="365"/>
      <c r="AK9" s="365"/>
      <c r="AL9" s="365"/>
      <c r="AM9" s="365"/>
    </row>
    <row r="10" spans="1:39">
      <c r="A10" s="2566" t="s">
        <v>7041</v>
      </c>
      <c r="B10" s="2566" t="s">
        <v>5264</v>
      </c>
      <c r="C10" s="2566" t="s">
        <v>44</v>
      </c>
      <c r="D10" s="866"/>
      <c r="E10" s="866"/>
      <c r="F10" s="866"/>
      <c r="G10" s="1167"/>
      <c r="H10" s="1167"/>
      <c r="I10" s="1167"/>
      <c r="J10" s="1167"/>
      <c r="K10" s="1167"/>
      <c r="L10" s="864"/>
      <c r="M10" s="864"/>
      <c r="N10" s="864"/>
      <c r="O10" s="864"/>
      <c r="P10" s="864">
        <v>5629000000</v>
      </c>
      <c r="Q10" s="864">
        <v>5848000000</v>
      </c>
      <c r="R10" s="864">
        <v>6779000000</v>
      </c>
      <c r="S10" s="864">
        <v>5894000000</v>
      </c>
      <c r="T10" s="864">
        <v>5286000000</v>
      </c>
      <c r="U10" s="864">
        <v>5245000000</v>
      </c>
      <c r="V10" s="864">
        <v>5545000000</v>
      </c>
      <c r="W10" s="550"/>
      <c r="X10" s="550"/>
      <c r="Y10" s="365"/>
      <c r="Z10" s="365"/>
      <c r="AA10" s="365"/>
      <c r="AB10" s="365"/>
      <c r="AC10" s="365"/>
      <c r="AD10" s="365"/>
      <c r="AE10" s="365"/>
      <c r="AF10" s="365"/>
      <c r="AG10" s="365"/>
      <c r="AH10" s="365"/>
      <c r="AI10" s="365"/>
      <c r="AJ10" s="365"/>
      <c r="AK10" s="365"/>
      <c r="AL10" s="365"/>
      <c r="AM10" s="365"/>
    </row>
    <row r="11" spans="1:39">
      <c r="A11" s="2565" t="s">
        <v>5265</v>
      </c>
      <c r="B11" s="2566" t="s">
        <v>5266</v>
      </c>
      <c r="C11" s="2566" t="s">
        <v>44</v>
      </c>
      <c r="D11" s="866"/>
      <c r="E11" s="866"/>
      <c r="F11" s="866"/>
      <c r="G11" s="1167"/>
      <c r="H11" s="1167"/>
      <c r="I11" s="1167"/>
      <c r="J11" s="1167"/>
      <c r="K11" s="1167"/>
      <c r="L11" s="864"/>
      <c r="M11" s="864"/>
      <c r="N11" s="864"/>
      <c r="O11" s="864"/>
      <c r="P11" s="864">
        <v>4000000</v>
      </c>
      <c r="Q11" s="864">
        <v>6000000</v>
      </c>
      <c r="R11" s="864">
        <v>15000000</v>
      </c>
      <c r="S11" s="864">
        <v>18000000</v>
      </c>
      <c r="T11" s="864">
        <v>14000000</v>
      </c>
      <c r="U11" s="864">
        <v>12000000</v>
      </c>
      <c r="V11" s="864">
        <v>20000000</v>
      </c>
      <c r="W11" s="550"/>
      <c r="X11" s="550"/>
      <c r="Y11" s="365"/>
      <c r="Z11" s="365"/>
      <c r="AA11" s="365"/>
      <c r="AB11" s="365"/>
      <c r="AC11" s="365"/>
      <c r="AD11" s="365"/>
      <c r="AE11" s="365"/>
      <c r="AF11" s="365"/>
      <c r="AG11" s="365"/>
      <c r="AH11" s="365"/>
      <c r="AI11" s="365"/>
      <c r="AJ11" s="365"/>
      <c r="AK11" s="365"/>
      <c r="AL11" s="365"/>
      <c r="AM11" s="365"/>
    </row>
    <row r="12" spans="1:39">
      <c r="A12" s="2565" t="s">
        <v>83</v>
      </c>
      <c r="B12" s="2566" t="s">
        <v>5267</v>
      </c>
      <c r="C12" s="2566" t="s">
        <v>44</v>
      </c>
      <c r="D12" s="866"/>
      <c r="E12" s="866"/>
      <c r="F12" s="866"/>
      <c r="G12" s="1167"/>
      <c r="H12" s="1167"/>
      <c r="I12" s="1167"/>
      <c r="J12" s="1167"/>
      <c r="K12" s="1167"/>
      <c r="L12" s="864"/>
      <c r="M12" s="864"/>
      <c r="N12" s="864"/>
      <c r="O12" s="864"/>
      <c r="P12" s="864">
        <v>2183000000</v>
      </c>
      <c r="Q12" s="864">
        <v>2549000000</v>
      </c>
      <c r="R12" s="864">
        <v>2884000000</v>
      </c>
      <c r="S12" s="864">
        <v>2327000000</v>
      </c>
      <c r="T12" s="864">
        <v>2584000000</v>
      </c>
      <c r="U12" s="864">
        <v>2755000000</v>
      </c>
      <c r="V12" s="864">
        <v>3022000000</v>
      </c>
      <c r="W12" s="550"/>
      <c r="X12" s="550"/>
      <c r="Y12" s="365"/>
      <c r="Z12" s="365"/>
      <c r="AA12" s="365"/>
      <c r="AB12" s="365"/>
      <c r="AC12" s="365"/>
      <c r="AD12" s="365"/>
      <c r="AE12" s="365"/>
      <c r="AF12" s="365"/>
      <c r="AG12" s="365"/>
      <c r="AH12" s="365"/>
      <c r="AI12" s="365"/>
      <c r="AJ12" s="365"/>
      <c r="AK12" s="365"/>
      <c r="AL12" s="365"/>
      <c r="AM12" s="365"/>
    </row>
    <row r="13" spans="1:39">
      <c r="A13" s="2565" t="s">
        <v>790</v>
      </c>
      <c r="B13" s="2566" t="s">
        <v>1838</v>
      </c>
      <c r="C13" s="2566" t="s">
        <v>44</v>
      </c>
      <c r="D13" s="866"/>
      <c r="E13" s="866"/>
      <c r="F13" s="866"/>
      <c r="G13" s="1167"/>
      <c r="H13" s="1167"/>
      <c r="I13" s="1167"/>
      <c r="J13" s="1167"/>
      <c r="K13" s="1167"/>
      <c r="L13" s="864"/>
      <c r="M13" s="864"/>
      <c r="N13" s="864"/>
      <c r="O13" s="864"/>
      <c r="P13" s="864">
        <v>403000000</v>
      </c>
      <c r="Q13" s="864">
        <v>476000000</v>
      </c>
      <c r="R13" s="864">
        <v>555000000</v>
      </c>
      <c r="S13" s="864">
        <v>565000000</v>
      </c>
      <c r="T13" s="864">
        <v>537000000</v>
      </c>
      <c r="U13" s="864">
        <v>568000000</v>
      </c>
      <c r="V13" s="864">
        <v>593000000</v>
      </c>
      <c r="W13" s="550"/>
      <c r="X13" s="550"/>
      <c r="Y13" s="365"/>
      <c r="Z13" s="365"/>
      <c r="AA13" s="365"/>
      <c r="AB13" s="365"/>
      <c r="AC13" s="365"/>
      <c r="AD13" s="365"/>
      <c r="AE13" s="365"/>
      <c r="AF13" s="365"/>
      <c r="AG13" s="365"/>
      <c r="AH13" s="365"/>
      <c r="AI13" s="365"/>
      <c r="AJ13" s="365"/>
      <c r="AK13" s="365"/>
      <c r="AL13" s="365"/>
      <c r="AM13" s="365"/>
    </row>
    <row r="14" spans="1:39">
      <c r="A14" s="2567" t="s">
        <v>3104</v>
      </c>
      <c r="B14" s="2567" t="s">
        <v>50</v>
      </c>
      <c r="C14" s="380" t="s">
        <v>41</v>
      </c>
      <c r="D14" s="866"/>
      <c r="E14" s="866"/>
      <c r="F14" s="866"/>
      <c r="G14" s="1167"/>
      <c r="H14" s="1167"/>
      <c r="I14" s="1167"/>
      <c r="J14" s="1167"/>
      <c r="K14" s="1167"/>
      <c r="L14" s="864"/>
      <c r="M14" s="864"/>
      <c r="N14" s="864"/>
      <c r="O14" s="864"/>
      <c r="P14" s="864">
        <v>269000000</v>
      </c>
      <c r="Q14" s="864">
        <v>140000000</v>
      </c>
      <c r="R14" s="864">
        <v>775000000</v>
      </c>
      <c r="S14" s="864">
        <v>1026000000</v>
      </c>
      <c r="T14" s="864">
        <v>634000000</v>
      </c>
      <c r="U14" s="864">
        <v>972000000</v>
      </c>
      <c r="V14" s="864">
        <v>739000000</v>
      </c>
      <c r="W14" s="550"/>
      <c r="X14" s="550"/>
      <c r="Y14" s="365"/>
      <c r="Z14" s="365"/>
      <c r="AA14" s="365"/>
      <c r="AB14" s="365"/>
      <c r="AC14" s="365"/>
      <c r="AD14" s="365"/>
      <c r="AE14" s="365"/>
      <c r="AF14" s="365"/>
      <c r="AG14" s="365"/>
      <c r="AH14" s="365"/>
      <c r="AI14" s="365"/>
      <c r="AJ14" s="365"/>
      <c r="AK14" s="365"/>
      <c r="AL14" s="365"/>
      <c r="AM14" s="365"/>
    </row>
    <row r="15" spans="1:39">
      <c r="A15" s="2567" t="s">
        <v>305</v>
      </c>
      <c r="B15" s="2567" t="s">
        <v>5268</v>
      </c>
      <c r="C15" s="2566"/>
      <c r="D15" s="866"/>
      <c r="E15" s="866"/>
      <c r="F15" s="866"/>
      <c r="G15" s="1167"/>
      <c r="H15" s="1167"/>
      <c r="I15" s="1167"/>
      <c r="J15" s="1167"/>
      <c r="K15" s="1167"/>
      <c r="L15" s="864"/>
      <c r="M15" s="864"/>
      <c r="N15" s="864"/>
      <c r="O15" s="864"/>
      <c r="P15" s="1167">
        <v>1117000000</v>
      </c>
      <c r="Q15" s="1167">
        <v>667000000</v>
      </c>
      <c r="R15" s="1167">
        <v>1301000000</v>
      </c>
      <c r="S15" s="864">
        <f>S16+S17</f>
        <v>651000000</v>
      </c>
      <c r="T15" s="864">
        <f t="shared" ref="T15:V15" si="4">T16+T17</f>
        <v>393000000</v>
      </c>
      <c r="U15" s="864">
        <f t="shared" si="4"/>
        <v>402000000</v>
      </c>
      <c r="V15" s="864">
        <f t="shared" si="4"/>
        <v>384000000</v>
      </c>
      <c r="W15" s="550"/>
      <c r="X15" s="550"/>
      <c r="Y15" s="365"/>
      <c r="Z15" s="365"/>
      <c r="AA15" s="365"/>
      <c r="AB15" s="365"/>
      <c r="AC15" s="365"/>
      <c r="AD15" s="365"/>
      <c r="AE15" s="365"/>
      <c r="AF15" s="365"/>
      <c r="AG15" s="365"/>
      <c r="AH15" s="365"/>
      <c r="AI15" s="365"/>
      <c r="AJ15" s="365"/>
      <c r="AK15" s="365"/>
      <c r="AL15" s="365"/>
      <c r="AM15" s="365"/>
    </row>
    <row r="16" spans="1:39">
      <c r="A16" s="2566" t="s">
        <v>5269</v>
      </c>
      <c r="B16" s="2566" t="s">
        <v>5270</v>
      </c>
      <c r="C16" s="2566"/>
      <c r="D16" s="866"/>
      <c r="E16" s="866"/>
      <c r="F16" s="866"/>
      <c r="G16" s="1167"/>
      <c r="H16" s="1167"/>
      <c r="I16" s="1167"/>
      <c r="J16" s="1167"/>
      <c r="K16" s="1167"/>
      <c r="L16" s="864"/>
      <c r="M16" s="864"/>
      <c r="N16" s="864"/>
      <c r="O16" s="864"/>
      <c r="P16" s="1167">
        <v>994000000</v>
      </c>
      <c r="Q16" s="1167">
        <v>667000000</v>
      </c>
      <c r="R16" s="1167">
        <v>794000000</v>
      </c>
      <c r="S16" s="864">
        <v>195000000</v>
      </c>
      <c r="T16" s="864">
        <v>92000000</v>
      </c>
      <c r="U16" s="864">
        <v>77000000</v>
      </c>
      <c r="V16" s="864">
        <v>77000000</v>
      </c>
      <c r="W16" s="550"/>
      <c r="X16" s="550"/>
      <c r="Y16" s="365"/>
      <c r="Z16" s="365"/>
      <c r="AA16" s="365"/>
      <c r="AB16" s="365"/>
      <c r="AC16" s="365"/>
      <c r="AD16" s="365"/>
      <c r="AE16" s="365"/>
      <c r="AF16" s="365"/>
      <c r="AG16" s="365"/>
      <c r="AH16" s="365"/>
      <c r="AI16" s="365"/>
      <c r="AJ16" s="365"/>
      <c r="AK16" s="365"/>
      <c r="AL16" s="365"/>
      <c r="AM16" s="365"/>
    </row>
    <row r="17" spans="1:39">
      <c r="A17" s="2566" t="s">
        <v>5271</v>
      </c>
      <c r="B17" s="2566" t="s">
        <v>5272</v>
      </c>
      <c r="C17" s="2566"/>
      <c r="D17" s="866"/>
      <c r="E17" s="866"/>
      <c r="F17" s="866"/>
      <c r="G17" s="1167"/>
      <c r="H17" s="1167"/>
      <c r="I17" s="1167"/>
      <c r="J17" s="1167"/>
      <c r="K17" s="1167"/>
      <c r="L17" s="864"/>
      <c r="M17" s="864"/>
      <c r="N17" s="864"/>
      <c r="O17" s="864"/>
      <c r="P17" s="1167">
        <v>122000000</v>
      </c>
      <c r="Q17" s="1167">
        <v>0</v>
      </c>
      <c r="R17" s="1167">
        <v>507000000</v>
      </c>
      <c r="S17" s="864">
        <v>456000000</v>
      </c>
      <c r="T17" s="864">
        <v>301000000</v>
      </c>
      <c r="U17" s="864">
        <v>325000000</v>
      </c>
      <c r="V17" s="864">
        <v>307000000</v>
      </c>
      <c r="W17" s="550"/>
      <c r="X17" s="550"/>
      <c r="Y17" s="365"/>
      <c r="Z17" s="365"/>
      <c r="AA17" s="365"/>
      <c r="AB17" s="365"/>
      <c r="AC17" s="365"/>
      <c r="AD17" s="365"/>
      <c r="AE17" s="365"/>
      <c r="AF17" s="365"/>
      <c r="AG17" s="365"/>
      <c r="AH17" s="365"/>
      <c r="AI17" s="365"/>
      <c r="AJ17" s="365"/>
      <c r="AK17" s="365"/>
      <c r="AL17" s="365"/>
      <c r="AM17" s="365"/>
    </row>
    <row r="18" spans="1:39">
      <c r="A18" s="2566" t="s">
        <v>5273</v>
      </c>
      <c r="B18" s="2566" t="s">
        <v>5273</v>
      </c>
      <c r="C18" s="2566"/>
      <c r="D18" s="866"/>
      <c r="E18" s="866"/>
      <c r="F18" s="866"/>
      <c r="G18" s="1167"/>
      <c r="H18" s="1167"/>
      <c r="I18" s="1167"/>
      <c r="J18" s="1167"/>
      <c r="K18" s="1167"/>
      <c r="L18" s="864"/>
      <c r="M18" s="864"/>
      <c r="N18" s="864"/>
      <c r="O18" s="864"/>
      <c r="P18" s="1167">
        <v>0</v>
      </c>
      <c r="Q18" s="1167">
        <v>0</v>
      </c>
      <c r="R18" s="1167">
        <v>0</v>
      </c>
      <c r="S18" s="864">
        <v>0</v>
      </c>
      <c r="T18" s="864">
        <v>3000000</v>
      </c>
      <c r="U18" s="864">
        <v>0</v>
      </c>
      <c r="V18" s="864">
        <v>0</v>
      </c>
      <c r="W18" s="550"/>
      <c r="X18" s="550"/>
      <c r="Y18" s="365"/>
      <c r="Z18" s="365"/>
      <c r="AA18" s="365"/>
      <c r="AB18" s="365"/>
      <c r="AC18" s="365"/>
      <c r="AD18" s="365"/>
      <c r="AE18" s="365"/>
      <c r="AF18" s="365"/>
      <c r="AG18" s="365"/>
      <c r="AH18" s="365"/>
      <c r="AI18" s="365"/>
      <c r="AJ18" s="365"/>
      <c r="AK18" s="365"/>
      <c r="AL18" s="365"/>
      <c r="AM18" s="365"/>
    </row>
    <row r="19" spans="1:39">
      <c r="A19" s="2566" t="s">
        <v>5274</v>
      </c>
      <c r="B19" s="2566" t="s">
        <v>5274</v>
      </c>
      <c r="C19" s="2566"/>
      <c r="D19" s="866"/>
      <c r="E19" s="866"/>
      <c r="F19" s="866"/>
      <c r="G19" s="1167"/>
      <c r="H19" s="1167"/>
      <c r="I19" s="1167"/>
      <c r="J19" s="1167"/>
      <c r="K19" s="1167"/>
      <c r="L19" s="864"/>
      <c r="M19" s="864"/>
      <c r="N19" s="864"/>
      <c r="O19" s="864"/>
      <c r="P19" s="1167">
        <v>0</v>
      </c>
      <c r="Q19" s="1167">
        <v>0</v>
      </c>
      <c r="R19" s="1167">
        <v>0</v>
      </c>
      <c r="S19" s="864">
        <v>0</v>
      </c>
      <c r="T19" s="864">
        <v>0</v>
      </c>
      <c r="U19" s="864">
        <v>0</v>
      </c>
      <c r="V19" s="864">
        <v>0</v>
      </c>
      <c r="W19" s="550"/>
      <c r="X19" s="550"/>
      <c r="Y19" s="365"/>
      <c r="Z19" s="365"/>
      <c r="AA19" s="365"/>
      <c r="AB19" s="365"/>
      <c r="AC19" s="365"/>
      <c r="AD19" s="365"/>
      <c r="AE19" s="365"/>
      <c r="AF19" s="365"/>
      <c r="AG19" s="365"/>
      <c r="AH19" s="365"/>
      <c r="AI19" s="365"/>
      <c r="AJ19" s="365"/>
      <c r="AK19" s="365"/>
      <c r="AL19" s="365"/>
      <c r="AM19" s="365"/>
    </row>
    <row r="20" spans="1:39">
      <c r="A20" s="1156" t="s">
        <v>305</v>
      </c>
      <c r="B20" s="1156" t="s">
        <v>5268</v>
      </c>
      <c r="C20" s="556" t="s">
        <v>44</v>
      </c>
      <c r="D20" s="864">
        <v>535000000</v>
      </c>
      <c r="E20" s="864">
        <v>555000000</v>
      </c>
      <c r="F20" s="864">
        <v>365000000</v>
      </c>
      <c r="G20" s="1167">
        <v>498000000</v>
      </c>
      <c r="H20" s="1167">
        <v>736000000</v>
      </c>
      <c r="I20" s="1167">
        <v>1150000000</v>
      </c>
      <c r="J20" s="1167">
        <v>2003000000</v>
      </c>
      <c r="K20" s="1167">
        <v>2391000000</v>
      </c>
      <c r="L20" s="866">
        <v>2136000000</v>
      </c>
      <c r="M20" s="866">
        <v>831000000</v>
      </c>
      <c r="N20" s="1167">
        <v>1775000000</v>
      </c>
      <c r="O20" s="1167">
        <v>2264000000</v>
      </c>
      <c r="S20" s="864"/>
      <c r="T20" s="864"/>
      <c r="U20" s="864"/>
      <c r="V20" s="864"/>
      <c r="W20" s="550"/>
      <c r="X20" s="550"/>
      <c r="Y20" s="365"/>
      <c r="Z20" s="365"/>
      <c r="AA20" s="365"/>
      <c r="AB20" s="365"/>
      <c r="AC20" s="365"/>
      <c r="AD20" s="365"/>
      <c r="AE20" s="365"/>
      <c r="AF20" s="365"/>
      <c r="AG20" s="365"/>
      <c r="AH20" s="365"/>
      <c r="AI20" s="365"/>
      <c r="AJ20" s="365"/>
      <c r="AK20" s="365"/>
      <c r="AL20" s="365"/>
      <c r="AM20" s="365"/>
    </row>
    <row r="21" spans="1:39">
      <c r="A21" s="1156" t="s">
        <v>5276</v>
      </c>
      <c r="B21" s="1156" t="s">
        <v>5275</v>
      </c>
      <c r="C21" s="556" t="s">
        <v>44</v>
      </c>
      <c r="D21" s="864">
        <v>1780000000</v>
      </c>
      <c r="E21" s="864">
        <v>1740000000</v>
      </c>
      <c r="F21" s="864">
        <v>2005000000</v>
      </c>
      <c r="G21" s="1167">
        <v>2180000000</v>
      </c>
      <c r="H21" s="1167">
        <v>2484000000</v>
      </c>
      <c r="I21" s="1167">
        <v>2594000000</v>
      </c>
      <c r="J21" s="1167">
        <v>2942000000</v>
      </c>
      <c r="K21" s="1167">
        <v>3464000000</v>
      </c>
      <c r="L21" s="866">
        <v>3903000000</v>
      </c>
      <c r="M21" s="866">
        <v>4388000000</v>
      </c>
      <c r="N21" s="1167">
        <v>5095000000</v>
      </c>
      <c r="O21" s="1167">
        <v>5991000000</v>
      </c>
      <c r="P21" s="1167"/>
      <c r="Q21" s="1167"/>
      <c r="R21" s="1167"/>
      <c r="S21" s="864"/>
      <c r="T21" s="864"/>
      <c r="U21" s="864"/>
      <c r="V21" s="864"/>
      <c r="W21" s="550"/>
      <c r="X21" s="550"/>
      <c r="Y21" s="365"/>
      <c r="Z21" s="365"/>
      <c r="AA21" s="365"/>
      <c r="AB21" s="365"/>
      <c r="AC21" s="365"/>
      <c r="AD21" s="365"/>
      <c r="AE21" s="365"/>
      <c r="AF21" s="365"/>
      <c r="AG21" s="365"/>
      <c r="AH21" s="365"/>
      <c r="AI21" s="365"/>
      <c r="AJ21" s="365"/>
      <c r="AK21" s="365"/>
      <c r="AL21" s="365"/>
      <c r="AM21" s="365"/>
    </row>
    <row r="22" spans="1:39">
      <c r="A22" s="1156"/>
      <c r="B22" s="1156" t="s">
        <v>7040</v>
      </c>
      <c r="C22" s="556"/>
      <c r="D22" s="864"/>
      <c r="E22" s="864"/>
      <c r="F22" s="864"/>
      <c r="G22" s="1167"/>
      <c r="H22" s="1167"/>
      <c r="I22" s="1167"/>
      <c r="J22" s="1167"/>
      <c r="K22" s="1167"/>
      <c r="L22" s="866"/>
      <c r="M22" s="866"/>
      <c r="N22" s="1167"/>
      <c r="O22" s="1167"/>
      <c r="P22" s="1167">
        <v>8302000000</v>
      </c>
      <c r="Q22" s="1167">
        <v>9231000000</v>
      </c>
      <c r="R22" s="1167">
        <v>10573000000</v>
      </c>
      <c r="S22" s="864">
        <v>10311000000</v>
      </c>
      <c r="T22" s="864">
        <v>10090000000</v>
      </c>
      <c r="U22" s="864">
        <v>10117000000</v>
      </c>
      <c r="V22" s="864">
        <v>10509000000</v>
      </c>
      <c r="W22" s="550"/>
      <c r="X22" s="550"/>
      <c r="Y22" s="365"/>
      <c r="Z22" s="365"/>
      <c r="AA22" s="365"/>
      <c r="AB22" s="365"/>
      <c r="AC22" s="365"/>
      <c r="AD22" s="365"/>
      <c r="AE22" s="365"/>
      <c r="AF22" s="365"/>
      <c r="AG22" s="365"/>
      <c r="AH22" s="365"/>
      <c r="AI22" s="365"/>
      <c r="AJ22" s="365"/>
      <c r="AK22" s="365"/>
      <c r="AL22" s="365"/>
      <c r="AM22" s="365"/>
    </row>
    <row r="23" spans="1:39">
      <c r="A23" s="566" t="s">
        <v>2621</v>
      </c>
      <c r="B23" s="566" t="s">
        <v>2621</v>
      </c>
      <c r="C23" s="380" t="s">
        <v>41</v>
      </c>
      <c r="D23" s="864">
        <v>145000000</v>
      </c>
      <c r="E23" s="864">
        <v>172000000</v>
      </c>
      <c r="F23" s="864">
        <v>170000000</v>
      </c>
      <c r="G23" s="1167">
        <v>239000000</v>
      </c>
      <c r="H23" s="1167">
        <v>245000000</v>
      </c>
      <c r="I23" s="1167">
        <v>279000000</v>
      </c>
      <c r="J23" s="1167">
        <v>429000000</v>
      </c>
      <c r="K23" s="1167">
        <v>433000000</v>
      </c>
      <c r="L23" s="866"/>
      <c r="M23" s="866"/>
      <c r="N23" s="1167"/>
      <c r="O23" s="1167"/>
      <c r="P23" s="1167"/>
      <c r="Q23" s="1167"/>
      <c r="R23" s="1167"/>
      <c r="S23" s="864"/>
      <c r="T23" s="864"/>
      <c r="U23" s="864"/>
      <c r="V23" s="864"/>
      <c r="W23" s="550"/>
      <c r="X23" s="550"/>
      <c r="Y23" s="365"/>
      <c r="Z23" s="365"/>
      <c r="AA23" s="365"/>
      <c r="AB23" s="365"/>
      <c r="AC23" s="365"/>
      <c r="AD23" s="365"/>
      <c r="AE23" s="365"/>
      <c r="AF23" s="365"/>
      <c r="AG23" s="365"/>
      <c r="AH23" s="365"/>
      <c r="AI23" s="365"/>
      <c r="AJ23" s="365"/>
      <c r="AK23" s="365"/>
      <c r="AL23" s="365"/>
      <c r="AM23" s="365"/>
    </row>
    <row r="24" spans="1:39">
      <c r="A24" s="534" t="s">
        <v>76</v>
      </c>
      <c r="B24" s="1156" t="s">
        <v>5277</v>
      </c>
      <c r="C24" s="556"/>
      <c r="D24" s="866"/>
      <c r="E24" s="864">
        <v>42000000</v>
      </c>
      <c r="F24" s="864">
        <v>10000000</v>
      </c>
      <c r="G24" s="1167">
        <v>74000000</v>
      </c>
      <c r="H24" s="1167">
        <v>60000000</v>
      </c>
      <c r="I24" s="1167">
        <v>138000000</v>
      </c>
      <c r="J24" s="1167">
        <v>271000000</v>
      </c>
      <c r="K24" s="1167">
        <v>226000000</v>
      </c>
      <c r="L24" s="866"/>
      <c r="M24" s="866"/>
      <c r="N24" s="1167"/>
      <c r="O24" s="1167"/>
      <c r="P24" s="2568"/>
      <c r="Q24" s="1167"/>
      <c r="R24" s="1167"/>
      <c r="S24" s="864"/>
      <c r="T24" s="864"/>
      <c r="U24" s="864"/>
      <c r="V24" s="864"/>
      <c r="W24" s="550"/>
      <c r="X24" s="550"/>
      <c r="Y24" s="365"/>
      <c r="Z24" s="365"/>
      <c r="AA24" s="365"/>
      <c r="AB24" s="365"/>
      <c r="AC24" s="365"/>
      <c r="AD24" s="365"/>
      <c r="AE24" s="365"/>
      <c r="AF24" s="365"/>
      <c r="AG24" s="365"/>
      <c r="AH24" s="365"/>
      <c r="AI24" s="365"/>
      <c r="AJ24" s="365"/>
      <c r="AK24" s="365"/>
      <c r="AL24" s="365"/>
      <c r="AM24" s="365"/>
    </row>
    <row r="25" spans="1:39" s="848" customFormat="1">
      <c r="A25" s="880" t="s">
        <v>53</v>
      </c>
      <c r="B25" s="880" t="s">
        <v>53</v>
      </c>
      <c r="C25" s="875" t="s">
        <v>38</v>
      </c>
      <c r="D25" s="878">
        <v>507000000</v>
      </c>
      <c r="E25" s="878">
        <v>620000000</v>
      </c>
      <c r="F25" s="878">
        <v>697000000</v>
      </c>
      <c r="G25" s="1170">
        <v>747000000</v>
      </c>
      <c r="H25" s="1170">
        <v>850000000</v>
      </c>
      <c r="I25" s="1170">
        <v>1283000000</v>
      </c>
      <c r="J25" s="1170">
        <v>915000000</v>
      </c>
      <c r="K25" s="1170">
        <v>721000000</v>
      </c>
      <c r="L25" s="1647">
        <v>1002000000</v>
      </c>
      <c r="M25" s="1647">
        <v>878000000</v>
      </c>
      <c r="N25" s="1170">
        <v>1391000000</v>
      </c>
      <c r="O25" s="1170">
        <v>1025000000</v>
      </c>
      <c r="P25" s="1170">
        <v>931000000</v>
      </c>
      <c r="Q25" s="1170">
        <v>878000000</v>
      </c>
      <c r="R25" s="1170">
        <v>868000000</v>
      </c>
      <c r="S25" s="1170">
        <v>820000000</v>
      </c>
      <c r="T25" s="1170">
        <v>1430000000</v>
      </c>
      <c r="U25" s="1170">
        <v>968000000</v>
      </c>
      <c r="V25" s="1170">
        <v>974000000</v>
      </c>
      <c r="W25" s="1951"/>
      <c r="X25" s="1951"/>
      <c r="Y25" s="916"/>
      <c r="Z25" s="916"/>
      <c r="AA25" s="916"/>
      <c r="AB25" s="916"/>
      <c r="AC25" s="916"/>
      <c r="AD25" s="916"/>
      <c r="AE25" s="916"/>
      <c r="AF25" s="916"/>
      <c r="AG25" s="916"/>
      <c r="AH25" s="916"/>
      <c r="AI25" s="916"/>
      <c r="AJ25" s="916"/>
      <c r="AK25" s="916"/>
      <c r="AL25" s="916"/>
      <c r="AM25" s="916"/>
    </row>
    <row r="26" spans="1:39">
      <c r="A26" s="566" t="s">
        <v>564</v>
      </c>
      <c r="B26" s="566" t="s">
        <v>564</v>
      </c>
      <c r="C26" s="556" t="s">
        <v>57</v>
      </c>
      <c r="D26" s="864">
        <v>491000000</v>
      </c>
      <c r="E26" s="864">
        <v>550000000</v>
      </c>
      <c r="F26" s="864">
        <v>676000000</v>
      </c>
      <c r="G26" s="1167">
        <v>747000000</v>
      </c>
      <c r="H26" s="1167">
        <v>850000000</v>
      </c>
      <c r="I26" s="1167">
        <v>1283000000</v>
      </c>
      <c r="J26" s="1167">
        <v>915000000</v>
      </c>
      <c r="K26" s="1167">
        <v>721000000</v>
      </c>
      <c r="L26" s="866"/>
      <c r="M26" s="866"/>
      <c r="N26" s="1167"/>
      <c r="O26" s="1167"/>
      <c r="P26" s="1167"/>
      <c r="Q26" s="1167"/>
      <c r="R26" s="1167"/>
      <c r="S26" s="864"/>
      <c r="T26" s="864"/>
      <c r="U26" s="864"/>
      <c r="V26" s="864"/>
      <c r="W26" s="550"/>
      <c r="X26" s="550"/>
      <c r="Y26" s="365"/>
      <c r="Z26" s="365"/>
      <c r="AA26" s="365"/>
      <c r="AB26" s="365"/>
      <c r="AC26" s="365"/>
      <c r="AD26" s="365"/>
      <c r="AE26" s="365"/>
      <c r="AF26" s="365"/>
      <c r="AG26" s="365"/>
      <c r="AH26" s="365"/>
      <c r="AI26" s="365"/>
      <c r="AJ26" s="365"/>
      <c r="AK26" s="365"/>
      <c r="AL26" s="365"/>
      <c r="AM26" s="365"/>
    </row>
    <row r="27" spans="1:39">
      <c r="A27" s="566" t="s">
        <v>5278</v>
      </c>
      <c r="B27" s="566" t="s">
        <v>5279</v>
      </c>
      <c r="C27" s="556" t="s">
        <v>57</v>
      </c>
      <c r="D27" s="864">
        <v>16000000</v>
      </c>
      <c r="E27" s="864">
        <v>71000000</v>
      </c>
      <c r="F27" s="864">
        <v>21000000</v>
      </c>
      <c r="G27" s="1167"/>
      <c r="H27" s="1167"/>
      <c r="I27" s="1167"/>
      <c r="J27" s="1167"/>
      <c r="K27" s="1167"/>
      <c r="L27" s="1167"/>
      <c r="M27" s="1167"/>
      <c r="N27" s="1167"/>
      <c r="O27" s="1167"/>
      <c r="P27" s="1167"/>
      <c r="Q27" s="1167"/>
      <c r="R27" s="1167"/>
      <c r="S27" s="864"/>
      <c r="T27" s="864"/>
      <c r="U27" s="864"/>
      <c r="V27" s="864"/>
      <c r="W27" s="550"/>
      <c r="X27" s="550"/>
      <c r="Y27" s="365"/>
      <c r="Z27" s="365"/>
      <c r="AA27" s="365"/>
      <c r="AB27" s="365"/>
      <c r="AC27" s="365"/>
      <c r="AD27" s="365"/>
      <c r="AE27" s="365"/>
      <c r="AF27" s="365"/>
      <c r="AG27" s="365"/>
      <c r="AH27" s="365"/>
      <c r="AI27" s="365"/>
      <c r="AJ27" s="365"/>
      <c r="AK27" s="365"/>
      <c r="AL27" s="365"/>
      <c r="AM27" s="365"/>
    </row>
    <row r="28" spans="1:39">
      <c r="A28" s="534" t="s">
        <v>76</v>
      </c>
      <c r="B28" s="380" t="s">
        <v>5280</v>
      </c>
      <c r="C28" s="556"/>
      <c r="D28" s="864">
        <v>3071000000</v>
      </c>
      <c r="E28" s="864">
        <v>3457000000</v>
      </c>
      <c r="F28" s="864">
        <v>3713000000</v>
      </c>
      <c r="G28" s="1167">
        <v>3811000000</v>
      </c>
      <c r="H28" s="1167">
        <v>4104000000</v>
      </c>
      <c r="I28" s="1167">
        <v>4747000000</v>
      </c>
      <c r="J28" s="1167">
        <v>5184000000</v>
      </c>
      <c r="K28" s="1167">
        <v>5325000000</v>
      </c>
      <c r="L28" s="866">
        <v>6498000000</v>
      </c>
      <c r="M28" s="866">
        <v>8238000000</v>
      </c>
      <c r="N28" s="1167">
        <v>7441000000</v>
      </c>
      <c r="O28" s="1167">
        <v>8764000000</v>
      </c>
      <c r="P28" s="1167"/>
      <c r="Q28" s="1167"/>
      <c r="R28" s="1167"/>
      <c r="S28" s="864"/>
      <c r="T28" s="864"/>
      <c r="U28" s="864"/>
      <c r="V28" s="864"/>
      <c r="W28" s="550"/>
      <c r="X28" s="550"/>
      <c r="Y28" s="365"/>
      <c r="Z28" s="365"/>
      <c r="AA28" s="365"/>
      <c r="AB28" s="365"/>
      <c r="AC28" s="365"/>
      <c r="AD28" s="365"/>
      <c r="AE28" s="365"/>
      <c r="AF28" s="365"/>
      <c r="AG28" s="365"/>
      <c r="AH28" s="365"/>
      <c r="AI28" s="365"/>
      <c r="AJ28" s="365"/>
      <c r="AK28" s="365"/>
      <c r="AL28" s="365"/>
      <c r="AM28" s="365"/>
    </row>
    <row r="29" spans="1:39" s="848" customFormat="1">
      <c r="A29" s="880" t="s">
        <v>198</v>
      </c>
      <c r="B29" s="880" t="s">
        <v>198</v>
      </c>
      <c r="C29" s="1950" t="s">
        <v>35</v>
      </c>
      <c r="D29" s="878">
        <f>D30+D57+D63</f>
        <v>3051000000</v>
      </c>
      <c r="E29" s="878">
        <f t="shared" ref="E29:O29" si="5">E30+E57+E63</f>
        <v>3461000000</v>
      </c>
      <c r="F29" s="878">
        <f t="shared" si="5"/>
        <v>3748000000</v>
      </c>
      <c r="G29" s="878">
        <f t="shared" si="5"/>
        <v>3821000000</v>
      </c>
      <c r="H29" s="878">
        <f t="shared" si="5"/>
        <v>4114000000</v>
      </c>
      <c r="I29" s="878">
        <f t="shared" si="5"/>
        <v>4749000000</v>
      </c>
      <c r="J29" s="878">
        <f t="shared" si="5"/>
        <v>5188000000</v>
      </c>
      <c r="K29" s="878">
        <f t="shared" si="5"/>
        <v>5329000000</v>
      </c>
      <c r="L29" s="878">
        <f t="shared" si="5"/>
        <v>6498000000</v>
      </c>
      <c r="M29" s="878">
        <f t="shared" si="5"/>
        <v>8238000000</v>
      </c>
      <c r="N29" s="878">
        <f t="shared" si="5"/>
        <v>7441000000</v>
      </c>
      <c r="O29" s="878">
        <f t="shared" si="5"/>
        <v>8764000000</v>
      </c>
      <c r="P29" s="878">
        <v>9947000000</v>
      </c>
      <c r="Q29" s="878">
        <v>13176000000</v>
      </c>
      <c r="R29" s="878">
        <v>15454000000</v>
      </c>
      <c r="S29" s="878">
        <f>S30+S57</f>
        <v>13495000000</v>
      </c>
      <c r="T29" s="878">
        <f t="shared" ref="T29:V29" si="6">T30+T57</f>
        <v>13567000000</v>
      </c>
      <c r="U29" s="878">
        <f t="shared" si="6"/>
        <v>12789000000</v>
      </c>
      <c r="V29" s="878">
        <f t="shared" si="6"/>
        <v>13142000000</v>
      </c>
      <c r="W29" s="1951"/>
      <c r="X29" s="1951"/>
      <c r="Y29" s="916"/>
      <c r="Z29" s="916"/>
      <c r="AA29" s="916"/>
      <c r="AB29" s="916"/>
      <c r="AC29" s="916"/>
      <c r="AD29" s="916"/>
      <c r="AE29" s="916"/>
      <c r="AF29" s="916"/>
      <c r="AG29" s="916"/>
      <c r="AH29" s="916"/>
      <c r="AI29" s="916"/>
      <c r="AJ29" s="916"/>
      <c r="AK29" s="916"/>
      <c r="AL29" s="916"/>
      <c r="AM29" s="916"/>
    </row>
    <row r="30" spans="1:39">
      <c r="A30" s="534" t="s">
        <v>73</v>
      </c>
      <c r="B30" s="380" t="s">
        <v>5281</v>
      </c>
      <c r="C30" s="380" t="s">
        <v>201</v>
      </c>
      <c r="D30" s="1942">
        <f>D34+D48</f>
        <v>2267000000</v>
      </c>
      <c r="E30" s="864">
        <v>2414000000</v>
      </c>
      <c r="F30" s="1942">
        <f>F34+F48</f>
        <v>2577000000</v>
      </c>
      <c r="G30" s="1167">
        <v>2677000000</v>
      </c>
      <c r="H30" s="1167">
        <v>2831000000</v>
      </c>
      <c r="I30" s="1167">
        <v>3050000000</v>
      </c>
      <c r="J30" s="1167">
        <v>3019000000</v>
      </c>
      <c r="K30" s="1167">
        <v>3502000000</v>
      </c>
      <c r="L30" s="866">
        <v>3769000000</v>
      </c>
      <c r="M30" s="866">
        <v>4184000000</v>
      </c>
      <c r="N30" s="1167">
        <v>4162000000</v>
      </c>
      <c r="O30" s="1167">
        <v>5348000000</v>
      </c>
      <c r="P30" s="1167">
        <v>8741000000</v>
      </c>
      <c r="Q30" s="1167">
        <v>11741000000</v>
      </c>
      <c r="R30" s="1167">
        <v>12427000000</v>
      </c>
      <c r="S30" s="864">
        <f>S32+S33+S48+S51+S53</f>
        <v>12067000000</v>
      </c>
      <c r="T30" s="864">
        <f t="shared" ref="T30:V30" si="7">T32+T33+T48+T51+T53</f>
        <v>12889000000</v>
      </c>
      <c r="U30" s="864">
        <f t="shared" si="7"/>
        <v>12263000000</v>
      </c>
      <c r="V30" s="864">
        <f t="shared" si="7"/>
        <v>12271000000</v>
      </c>
      <c r="W30" s="550"/>
      <c r="X30" s="550"/>
      <c r="Y30" s="365"/>
      <c r="Z30" s="365"/>
      <c r="AA30" s="365"/>
      <c r="AB30" s="365"/>
      <c r="AC30" s="365"/>
      <c r="AD30" s="365"/>
      <c r="AE30" s="365"/>
      <c r="AF30" s="365"/>
      <c r="AG30" s="365"/>
      <c r="AH30" s="365"/>
      <c r="AI30" s="365"/>
      <c r="AJ30" s="365"/>
      <c r="AK30" s="365"/>
      <c r="AL30" s="365"/>
      <c r="AM30" s="365"/>
    </row>
    <row r="31" spans="1:39">
      <c r="A31" s="534" t="s">
        <v>76</v>
      </c>
      <c r="B31" s="380" t="s">
        <v>5282</v>
      </c>
      <c r="C31" s="556"/>
      <c r="D31" s="866"/>
      <c r="E31" s="866"/>
      <c r="F31" s="866"/>
      <c r="G31" s="866"/>
      <c r="H31" s="866"/>
      <c r="I31" s="866"/>
      <c r="J31" s="866"/>
      <c r="K31" s="866"/>
      <c r="L31" s="866"/>
      <c r="M31" s="866"/>
      <c r="N31" s="1167"/>
      <c r="O31" s="1167"/>
      <c r="P31" s="1167"/>
      <c r="Q31" s="1167"/>
      <c r="R31" s="1167"/>
      <c r="S31" s="864"/>
      <c r="T31" s="864"/>
      <c r="U31" s="864"/>
      <c r="V31" s="864"/>
      <c r="W31" s="550"/>
      <c r="X31" s="550"/>
      <c r="Y31" s="365"/>
      <c r="Z31" s="365"/>
      <c r="AA31" s="365"/>
      <c r="AB31" s="365"/>
      <c r="AC31" s="365"/>
      <c r="AD31" s="365"/>
      <c r="AE31" s="365"/>
      <c r="AF31" s="365"/>
      <c r="AG31" s="365"/>
      <c r="AH31" s="365"/>
      <c r="AI31" s="365"/>
      <c r="AJ31" s="365"/>
      <c r="AK31" s="365"/>
      <c r="AL31" s="365"/>
      <c r="AM31" s="365"/>
    </row>
    <row r="32" spans="1:39">
      <c r="A32" s="2566" t="s">
        <v>5283</v>
      </c>
      <c r="B32" s="2566" t="s">
        <v>5283</v>
      </c>
      <c r="C32" s="2569" t="s">
        <v>204</v>
      </c>
      <c r="D32" s="866"/>
      <c r="E32" s="866"/>
      <c r="F32" s="866"/>
      <c r="G32" s="866"/>
      <c r="H32" s="866"/>
      <c r="I32" s="866"/>
      <c r="J32" s="866"/>
      <c r="K32" s="866"/>
      <c r="L32" s="866"/>
      <c r="M32" s="866"/>
      <c r="N32" s="1167"/>
      <c r="O32" s="1167"/>
      <c r="P32" s="1167">
        <v>1397000000</v>
      </c>
      <c r="Q32" s="1167">
        <v>1448000000</v>
      </c>
      <c r="R32" s="1167">
        <v>2026000000</v>
      </c>
      <c r="S32" s="864">
        <v>3993000000</v>
      </c>
      <c r="T32" s="864">
        <v>4463000000</v>
      </c>
      <c r="U32" s="864">
        <v>4600000000</v>
      </c>
      <c r="V32" s="864">
        <v>4600000000</v>
      </c>
      <c r="W32" s="550"/>
      <c r="X32" s="550"/>
      <c r="Y32" s="365"/>
      <c r="Z32" s="365"/>
      <c r="AA32" s="365"/>
      <c r="AB32" s="365"/>
      <c r="AC32" s="365"/>
      <c r="AD32" s="365"/>
      <c r="AE32" s="365"/>
      <c r="AF32" s="365"/>
      <c r="AG32" s="365"/>
      <c r="AH32" s="365"/>
      <c r="AI32" s="365"/>
      <c r="AJ32" s="365"/>
      <c r="AK32" s="365"/>
      <c r="AL32" s="365"/>
      <c r="AM32" s="365"/>
    </row>
    <row r="33" spans="1:39">
      <c r="A33" s="2566" t="s">
        <v>5284</v>
      </c>
      <c r="B33" s="2566" t="s">
        <v>5284</v>
      </c>
      <c r="C33" s="2569" t="s">
        <v>204</v>
      </c>
      <c r="D33" s="866"/>
      <c r="E33" s="866"/>
      <c r="F33" s="866"/>
      <c r="G33" s="866"/>
      <c r="H33" s="866"/>
      <c r="I33" s="866"/>
      <c r="J33" s="866"/>
      <c r="K33" s="866"/>
      <c r="L33" s="866"/>
      <c r="M33" s="866"/>
      <c r="N33" s="1167"/>
      <c r="O33" s="1167"/>
      <c r="P33" s="1167">
        <v>2380000000</v>
      </c>
      <c r="Q33" s="1167">
        <v>3964000000</v>
      </c>
      <c r="R33" s="1167">
        <v>2469000000</v>
      </c>
      <c r="S33" s="864">
        <v>2960000000</v>
      </c>
      <c r="T33" s="864">
        <v>2782000000</v>
      </c>
      <c r="U33" s="864">
        <v>3318000000</v>
      </c>
      <c r="V33" s="864">
        <v>3312000000</v>
      </c>
      <c r="W33" s="550"/>
      <c r="X33" s="550"/>
      <c r="Y33" s="365"/>
      <c r="Z33" s="365"/>
      <c r="AA33" s="365"/>
      <c r="AB33" s="365"/>
      <c r="AC33" s="365"/>
      <c r="AD33" s="365"/>
      <c r="AE33" s="365"/>
      <c r="AF33" s="365"/>
      <c r="AG33" s="365"/>
      <c r="AH33" s="365"/>
      <c r="AI33" s="365"/>
      <c r="AJ33" s="365"/>
      <c r="AK33" s="365"/>
      <c r="AL33" s="365"/>
      <c r="AM33" s="365"/>
    </row>
    <row r="34" spans="1:39">
      <c r="A34" s="566" t="s">
        <v>5285</v>
      </c>
      <c r="B34" s="566" t="s">
        <v>5286</v>
      </c>
      <c r="C34" s="380" t="s">
        <v>204</v>
      </c>
      <c r="D34" s="864">
        <v>1868000000</v>
      </c>
      <c r="E34" s="864">
        <v>1996000000</v>
      </c>
      <c r="F34" s="1942">
        <f>F35+F42+F47</f>
        <v>2140000000</v>
      </c>
      <c r="G34" s="1167">
        <v>1987000000</v>
      </c>
      <c r="H34" s="1167">
        <v>2461000000</v>
      </c>
      <c r="I34" s="1167">
        <v>2718000000</v>
      </c>
      <c r="J34" s="1167">
        <v>2712000000</v>
      </c>
      <c r="K34" s="1167">
        <v>3132000000</v>
      </c>
      <c r="L34" s="866"/>
      <c r="M34" s="866"/>
      <c r="N34" s="1167"/>
      <c r="O34" s="1167"/>
      <c r="P34" s="1167"/>
      <c r="Q34" s="1167"/>
      <c r="R34" s="1167"/>
      <c r="S34" s="864"/>
      <c r="T34" s="864"/>
      <c r="U34" s="864"/>
      <c r="V34" s="864"/>
      <c r="W34" s="550"/>
      <c r="X34" s="550"/>
      <c r="Y34" s="365"/>
      <c r="Z34" s="365"/>
      <c r="AA34" s="365"/>
      <c r="AB34" s="365"/>
      <c r="AC34" s="365"/>
      <c r="AD34" s="365"/>
      <c r="AE34" s="365"/>
      <c r="AF34" s="365"/>
      <c r="AG34" s="365"/>
      <c r="AH34" s="365"/>
      <c r="AI34" s="365"/>
      <c r="AJ34" s="365"/>
      <c r="AK34" s="365"/>
      <c r="AL34" s="365"/>
      <c r="AM34" s="365"/>
    </row>
    <row r="35" spans="1:39">
      <c r="A35" s="566" t="s">
        <v>5287</v>
      </c>
      <c r="B35" s="566" t="s">
        <v>5288</v>
      </c>
      <c r="C35" s="380" t="s">
        <v>5289</v>
      </c>
      <c r="D35" s="864">
        <v>1219000000</v>
      </c>
      <c r="E35" s="864">
        <v>1242000000</v>
      </c>
      <c r="F35" s="1942">
        <f>F36+F37+F38+F39+F40+F41</f>
        <v>1387000000</v>
      </c>
      <c r="G35" s="1167">
        <v>1189000000</v>
      </c>
      <c r="H35" s="1167">
        <v>1576000000</v>
      </c>
      <c r="I35" s="1167">
        <v>1833000000</v>
      </c>
      <c r="J35" s="1167">
        <v>1666000000</v>
      </c>
      <c r="K35" s="1167">
        <v>2098000000</v>
      </c>
      <c r="L35" s="866"/>
      <c r="M35" s="866"/>
      <c r="N35" s="1167"/>
      <c r="O35" s="1167"/>
      <c r="P35" s="1167"/>
      <c r="Q35" s="1167"/>
      <c r="R35" s="1167"/>
      <c r="S35" s="864"/>
      <c r="T35" s="864"/>
      <c r="U35" s="864"/>
      <c r="V35" s="864"/>
      <c r="W35" s="550"/>
      <c r="X35" s="550"/>
      <c r="Y35" s="365"/>
      <c r="Z35" s="365"/>
      <c r="AD35" s="365"/>
      <c r="AE35" s="365"/>
      <c r="AF35" s="365"/>
      <c r="AG35" s="365"/>
      <c r="AH35" s="365"/>
      <c r="AI35" s="365"/>
      <c r="AJ35" s="365"/>
      <c r="AK35" s="365"/>
      <c r="AL35" s="365"/>
      <c r="AM35" s="365"/>
    </row>
    <row r="36" spans="1:39">
      <c r="A36" s="1156" t="s">
        <v>5290</v>
      </c>
      <c r="B36" s="1156" t="s">
        <v>5291</v>
      </c>
      <c r="C36" s="556" t="s">
        <v>5292</v>
      </c>
      <c r="D36" s="864">
        <v>474000000</v>
      </c>
      <c r="E36" s="864">
        <v>540000000</v>
      </c>
      <c r="F36" s="864">
        <v>574000000</v>
      </c>
      <c r="G36" s="1167">
        <v>618000000</v>
      </c>
      <c r="H36" s="1167">
        <v>681000000</v>
      </c>
      <c r="I36" s="1167">
        <v>691000000</v>
      </c>
      <c r="J36" s="1167">
        <v>698000000</v>
      </c>
      <c r="K36" s="1167">
        <v>835000000</v>
      </c>
      <c r="L36" s="866"/>
      <c r="M36" s="866"/>
      <c r="N36" s="1167"/>
      <c r="O36" s="1167"/>
      <c r="P36" s="1167"/>
      <c r="Q36" s="1167"/>
      <c r="R36" s="1167"/>
      <c r="S36" s="864"/>
      <c r="T36" s="864"/>
      <c r="U36" s="864"/>
      <c r="V36" s="864"/>
      <c r="W36" s="550"/>
      <c r="X36" s="550"/>
      <c r="Y36" s="365"/>
      <c r="Z36" s="365"/>
      <c r="AD36" s="365"/>
      <c r="AE36" s="365"/>
      <c r="AF36" s="365"/>
      <c r="AG36" s="365"/>
      <c r="AH36" s="365"/>
      <c r="AI36" s="365"/>
      <c r="AJ36" s="365"/>
      <c r="AK36" s="365"/>
      <c r="AL36" s="365"/>
      <c r="AM36" s="365"/>
    </row>
    <row r="37" spans="1:39">
      <c r="A37" s="1156" t="s">
        <v>1309</v>
      </c>
      <c r="B37" s="1156" t="s">
        <v>5293</v>
      </c>
      <c r="C37" s="556" t="s">
        <v>5292</v>
      </c>
      <c r="D37" s="864">
        <v>193000000</v>
      </c>
      <c r="E37" s="864">
        <v>91000000</v>
      </c>
      <c r="F37" s="864">
        <v>12000000</v>
      </c>
      <c r="G37" s="1167">
        <v>14000000</v>
      </c>
      <c r="H37" s="1167">
        <v>37000000</v>
      </c>
      <c r="I37" s="1167">
        <v>93000000</v>
      </c>
      <c r="J37" s="1167">
        <v>109000000</v>
      </c>
      <c r="K37" s="1167">
        <v>57000000</v>
      </c>
      <c r="L37" s="866"/>
      <c r="M37" s="866"/>
      <c r="N37" s="1167"/>
      <c r="O37" s="1167"/>
      <c r="P37" s="1167"/>
      <c r="Q37" s="1167"/>
      <c r="R37" s="1167"/>
      <c r="S37" s="864"/>
      <c r="T37" s="864"/>
      <c r="U37" s="864"/>
      <c r="V37" s="864"/>
      <c r="W37" s="550"/>
      <c r="X37" s="550"/>
      <c r="Y37" s="365"/>
      <c r="Z37" s="365"/>
      <c r="AD37" s="365"/>
      <c r="AE37" s="365"/>
      <c r="AF37" s="365"/>
      <c r="AG37" s="365"/>
      <c r="AH37" s="365"/>
      <c r="AI37" s="365"/>
      <c r="AJ37" s="365"/>
      <c r="AK37" s="365"/>
      <c r="AL37" s="365"/>
      <c r="AM37" s="365"/>
    </row>
    <row r="38" spans="1:39">
      <c r="A38" s="1156" t="s">
        <v>5294</v>
      </c>
      <c r="B38" s="1156" t="s">
        <v>5295</v>
      </c>
      <c r="C38" s="556" t="s">
        <v>5292</v>
      </c>
      <c r="D38" s="866"/>
      <c r="E38" s="864">
        <v>0</v>
      </c>
      <c r="F38" s="864">
        <v>135000000</v>
      </c>
      <c r="G38" s="1167">
        <v>19000000</v>
      </c>
      <c r="H38" s="1167">
        <v>40000000</v>
      </c>
      <c r="I38" s="1167">
        <v>41000000</v>
      </c>
      <c r="J38" s="1167">
        <v>42000000</v>
      </c>
      <c r="K38" s="1167">
        <v>149000000</v>
      </c>
      <c r="L38" s="866"/>
      <c r="M38" s="866"/>
      <c r="N38" s="1167"/>
      <c r="O38" s="1167"/>
      <c r="P38" s="1167"/>
      <c r="Q38" s="1167"/>
      <c r="R38" s="1167"/>
      <c r="S38" s="864"/>
      <c r="T38" s="864"/>
      <c r="U38" s="864"/>
      <c r="V38" s="864"/>
      <c r="W38" s="550"/>
      <c r="X38" s="550"/>
      <c r="Y38" s="365"/>
      <c r="Z38" s="365"/>
      <c r="AD38" s="365"/>
      <c r="AE38" s="365"/>
      <c r="AF38" s="365"/>
      <c r="AG38" s="365"/>
      <c r="AH38" s="365"/>
      <c r="AI38" s="365"/>
      <c r="AJ38" s="365"/>
      <c r="AK38" s="365"/>
      <c r="AL38" s="365"/>
      <c r="AM38" s="365"/>
    </row>
    <row r="39" spans="1:39">
      <c r="A39" s="1156" t="s">
        <v>83</v>
      </c>
      <c r="B39" s="1156" t="s">
        <v>965</v>
      </c>
      <c r="C39" s="556" t="s">
        <v>5292</v>
      </c>
      <c r="D39" s="864">
        <v>398000000</v>
      </c>
      <c r="E39" s="864">
        <v>386000000</v>
      </c>
      <c r="F39" s="864">
        <v>598000000</v>
      </c>
      <c r="G39" s="1167">
        <v>528000000</v>
      </c>
      <c r="H39" s="1167">
        <v>752000000</v>
      </c>
      <c r="I39" s="1167">
        <v>904000000</v>
      </c>
      <c r="J39" s="1167">
        <v>787000000</v>
      </c>
      <c r="K39" s="1167">
        <v>1051000000</v>
      </c>
      <c r="L39" s="866"/>
      <c r="M39" s="866"/>
      <c r="N39" s="1167"/>
      <c r="O39" s="1167"/>
      <c r="P39" s="1167"/>
      <c r="Q39" s="1167"/>
      <c r="R39" s="1167"/>
      <c r="S39" s="864"/>
      <c r="T39" s="864"/>
      <c r="U39" s="864"/>
      <c r="V39" s="864"/>
      <c r="W39" s="550"/>
      <c r="X39" s="550"/>
      <c r="Y39" s="365"/>
      <c r="Z39" s="365"/>
      <c r="AD39" s="365"/>
      <c r="AE39" s="365"/>
      <c r="AF39" s="365"/>
      <c r="AG39" s="365"/>
      <c r="AH39" s="365"/>
      <c r="AI39" s="365"/>
      <c r="AJ39" s="365"/>
      <c r="AK39" s="365"/>
      <c r="AL39" s="365"/>
      <c r="AM39" s="365"/>
    </row>
    <row r="40" spans="1:39">
      <c r="A40" s="1156" t="s">
        <v>5296</v>
      </c>
      <c r="B40" s="1156" t="s">
        <v>5297</v>
      </c>
      <c r="C40" s="556" t="s">
        <v>5292</v>
      </c>
      <c r="D40" s="864">
        <v>77000000</v>
      </c>
      <c r="E40" s="864">
        <v>40000000</v>
      </c>
      <c r="F40" s="864">
        <v>68000000</v>
      </c>
      <c r="G40" s="1167">
        <v>10000000</v>
      </c>
      <c r="H40" s="1167">
        <v>67000000</v>
      </c>
      <c r="I40" s="1167">
        <v>105000000</v>
      </c>
      <c r="J40" s="1167">
        <v>30000000</v>
      </c>
      <c r="K40" s="1167">
        <v>7000000</v>
      </c>
      <c r="L40" s="866"/>
      <c r="M40" s="866"/>
      <c r="N40" s="1167"/>
      <c r="O40" s="1167"/>
      <c r="P40" s="1167"/>
      <c r="Q40" s="1167"/>
      <c r="R40" s="1167"/>
      <c r="S40" s="864"/>
      <c r="T40" s="864"/>
      <c r="U40" s="864"/>
      <c r="V40" s="864"/>
      <c r="W40" s="550"/>
      <c r="X40" s="550"/>
      <c r="Y40" s="365"/>
      <c r="Z40" s="365"/>
      <c r="AD40" s="365"/>
      <c r="AE40" s="365"/>
      <c r="AF40" s="365"/>
      <c r="AG40" s="365"/>
      <c r="AH40" s="365"/>
      <c r="AI40" s="365"/>
      <c r="AJ40" s="365"/>
      <c r="AK40" s="365"/>
      <c r="AL40" s="365"/>
      <c r="AM40" s="365"/>
    </row>
    <row r="41" spans="1:39">
      <c r="A41" s="1156" t="s">
        <v>50</v>
      </c>
      <c r="B41" s="1156" t="s">
        <v>50</v>
      </c>
      <c r="C41" s="556" t="s">
        <v>5292</v>
      </c>
      <c r="D41" s="1943">
        <f>D35-D36-D37-D38-D39-D40</f>
        <v>77000000</v>
      </c>
      <c r="E41" s="864">
        <v>186000000</v>
      </c>
      <c r="F41" s="866"/>
      <c r="G41" s="866"/>
      <c r="H41" s="866"/>
      <c r="I41" s="866"/>
      <c r="J41" s="1167">
        <v>0</v>
      </c>
      <c r="K41" s="1167">
        <v>0</v>
      </c>
      <c r="L41" s="866"/>
      <c r="M41" s="866"/>
      <c r="N41" s="1167"/>
      <c r="O41" s="1167"/>
      <c r="P41" s="1167"/>
      <c r="Q41" s="1167"/>
      <c r="R41" s="1167"/>
      <c r="S41" s="864"/>
      <c r="T41" s="864"/>
      <c r="U41" s="864"/>
      <c r="V41" s="864"/>
      <c r="W41" s="550"/>
      <c r="X41" s="550"/>
      <c r="Y41" s="365"/>
      <c r="Z41" s="365"/>
      <c r="AD41" s="365"/>
      <c r="AE41" s="365"/>
      <c r="AF41" s="365"/>
      <c r="AG41" s="365"/>
      <c r="AH41" s="365"/>
      <c r="AI41" s="365"/>
      <c r="AJ41" s="365"/>
      <c r="AK41" s="365"/>
      <c r="AL41" s="365"/>
      <c r="AM41" s="365"/>
    </row>
    <row r="42" spans="1:39">
      <c r="A42" s="566" t="s">
        <v>2122</v>
      </c>
      <c r="B42" s="566" t="s">
        <v>2122</v>
      </c>
      <c r="C42" s="380" t="s">
        <v>5289</v>
      </c>
      <c r="D42" s="864">
        <v>527000000</v>
      </c>
      <c r="E42" s="864">
        <v>589000000</v>
      </c>
      <c r="F42" s="864">
        <v>588000000</v>
      </c>
      <c r="G42" s="1167">
        <v>594000000</v>
      </c>
      <c r="H42" s="1167">
        <v>678000000</v>
      </c>
      <c r="I42" s="1167">
        <v>678000000</v>
      </c>
      <c r="J42" s="1167">
        <v>812000000</v>
      </c>
      <c r="K42" s="1167">
        <v>795000000</v>
      </c>
      <c r="L42" s="866"/>
      <c r="M42" s="866"/>
      <c r="N42" s="1167"/>
      <c r="O42" s="1167"/>
      <c r="P42" s="1167"/>
      <c r="Q42" s="1167"/>
      <c r="R42" s="1167"/>
      <c r="S42" s="864"/>
      <c r="T42" s="864"/>
      <c r="U42" s="864"/>
      <c r="V42" s="864"/>
      <c r="W42" s="550"/>
      <c r="X42" s="550"/>
      <c r="Y42" s="365"/>
      <c r="Z42" s="365"/>
      <c r="AD42" s="365"/>
      <c r="AE42" s="365"/>
      <c r="AF42" s="365"/>
      <c r="AG42" s="365"/>
      <c r="AH42" s="365"/>
      <c r="AI42" s="365"/>
      <c r="AJ42" s="365"/>
      <c r="AK42" s="365"/>
      <c r="AL42" s="365"/>
      <c r="AM42" s="365"/>
    </row>
    <row r="43" spans="1:39">
      <c r="A43" s="1156" t="s">
        <v>5290</v>
      </c>
      <c r="B43" s="1156" t="s">
        <v>5291</v>
      </c>
      <c r="C43" s="556" t="s">
        <v>5298</v>
      </c>
      <c r="D43" s="864">
        <v>363000000</v>
      </c>
      <c r="E43" s="864">
        <v>420000000</v>
      </c>
      <c r="F43" s="864">
        <v>485000000</v>
      </c>
      <c r="G43" s="1167">
        <v>504000000</v>
      </c>
      <c r="H43" s="1167">
        <v>589000000</v>
      </c>
      <c r="I43" s="1167">
        <v>543000000</v>
      </c>
      <c r="J43" s="1167">
        <v>663000000</v>
      </c>
      <c r="K43" s="1167">
        <v>622000000</v>
      </c>
      <c r="L43" s="866"/>
      <c r="M43" s="866"/>
      <c r="N43" s="1167"/>
      <c r="O43" s="1167"/>
      <c r="P43" s="1167"/>
      <c r="Q43" s="1167"/>
      <c r="R43" s="1167"/>
      <c r="S43" s="864"/>
      <c r="T43" s="864"/>
      <c r="U43" s="864"/>
      <c r="V43" s="864"/>
      <c r="W43" s="550"/>
      <c r="X43" s="550"/>
      <c r="Y43" s="365"/>
      <c r="Z43" s="365"/>
      <c r="AD43" s="365"/>
      <c r="AE43" s="365"/>
      <c r="AF43" s="365"/>
      <c r="AG43" s="365"/>
      <c r="AH43" s="365"/>
      <c r="AI43" s="365"/>
      <c r="AJ43" s="365"/>
      <c r="AK43" s="365"/>
      <c r="AL43" s="365"/>
      <c r="AM43" s="365"/>
    </row>
    <row r="44" spans="1:39">
      <c r="A44" s="1156" t="s">
        <v>83</v>
      </c>
      <c r="B44" s="1156" t="s">
        <v>965</v>
      </c>
      <c r="C44" s="556" t="s">
        <v>5298</v>
      </c>
      <c r="D44" s="864">
        <v>94000000</v>
      </c>
      <c r="E44" s="864">
        <v>98000000</v>
      </c>
      <c r="F44" s="864">
        <v>49000000</v>
      </c>
      <c r="G44" s="1167">
        <v>61000000</v>
      </c>
      <c r="H44" s="1167">
        <v>65000000</v>
      </c>
      <c r="I44" s="1167">
        <v>55000000</v>
      </c>
      <c r="J44" s="1167">
        <v>65000000</v>
      </c>
      <c r="K44" s="1167">
        <v>65000000</v>
      </c>
      <c r="L44" s="866"/>
      <c r="M44" s="866"/>
      <c r="N44" s="1167"/>
      <c r="O44" s="1167"/>
      <c r="P44" s="1167"/>
      <c r="Q44" s="1167"/>
      <c r="R44" s="1167"/>
      <c r="S44" s="864"/>
      <c r="T44" s="864"/>
      <c r="U44" s="864"/>
      <c r="V44" s="864"/>
      <c r="W44" s="550"/>
      <c r="X44" s="550"/>
      <c r="Y44" s="365"/>
      <c r="Z44" s="365"/>
      <c r="AD44" s="365"/>
      <c r="AE44" s="365"/>
      <c r="AF44" s="365"/>
      <c r="AG44" s="365"/>
      <c r="AH44" s="365"/>
      <c r="AI44" s="365"/>
      <c r="AJ44" s="365"/>
      <c r="AK44" s="365"/>
      <c r="AL44" s="365"/>
      <c r="AM44" s="365"/>
    </row>
    <row r="45" spans="1:39">
      <c r="A45" s="1156" t="s">
        <v>5299</v>
      </c>
      <c r="B45" s="1156" t="s">
        <v>5300</v>
      </c>
      <c r="C45" s="556" t="s">
        <v>5298</v>
      </c>
      <c r="D45" s="864">
        <v>69000000</v>
      </c>
      <c r="E45" s="864">
        <v>71000000</v>
      </c>
      <c r="F45" s="864">
        <v>54000000</v>
      </c>
      <c r="G45" s="1167">
        <v>29000000</v>
      </c>
      <c r="H45" s="1167">
        <v>24000000</v>
      </c>
      <c r="I45" s="1167">
        <v>80000000</v>
      </c>
      <c r="J45" s="1167">
        <v>84000000</v>
      </c>
      <c r="K45" s="1167">
        <v>108000000</v>
      </c>
      <c r="L45" s="866"/>
      <c r="M45" s="866"/>
      <c r="N45" s="1167"/>
      <c r="O45" s="1167"/>
      <c r="P45" s="1167"/>
      <c r="Q45" s="1167"/>
      <c r="R45" s="1167"/>
      <c r="S45" s="864"/>
      <c r="T45" s="864"/>
      <c r="U45" s="864"/>
      <c r="V45" s="864"/>
      <c r="W45" s="550"/>
      <c r="X45" s="550"/>
      <c r="Y45" s="365"/>
      <c r="Z45" s="365"/>
      <c r="AD45" s="365"/>
      <c r="AE45" s="365"/>
      <c r="AF45" s="365"/>
      <c r="AG45" s="365"/>
      <c r="AH45" s="365"/>
      <c r="AI45" s="365"/>
      <c r="AJ45" s="365"/>
      <c r="AK45" s="365"/>
      <c r="AL45" s="365"/>
      <c r="AM45" s="365"/>
    </row>
    <row r="46" spans="1:39">
      <c r="A46" s="1156" t="s">
        <v>50</v>
      </c>
      <c r="B46" s="1156" t="s">
        <v>50</v>
      </c>
      <c r="C46" s="556" t="s">
        <v>5298</v>
      </c>
      <c r="D46" s="866"/>
      <c r="E46" s="864">
        <v>0</v>
      </c>
      <c r="F46" s="866"/>
      <c r="G46" s="866"/>
      <c r="H46" s="866"/>
      <c r="I46" s="866"/>
      <c r="J46" s="1167">
        <v>0</v>
      </c>
      <c r="K46" s="1167">
        <v>0</v>
      </c>
      <c r="L46" s="866"/>
      <c r="M46" s="866"/>
      <c r="N46" s="1167"/>
      <c r="O46" s="1167"/>
      <c r="P46" s="1167"/>
      <c r="Q46" s="1167"/>
      <c r="R46" s="1167"/>
      <c r="S46" s="864"/>
      <c r="T46" s="864"/>
      <c r="U46" s="864"/>
      <c r="V46" s="864"/>
      <c r="W46" s="550"/>
      <c r="X46" s="550"/>
      <c r="Y46" s="365"/>
      <c r="Z46" s="365"/>
      <c r="AD46" s="365"/>
      <c r="AE46" s="365"/>
      <c r="AF46" s="365"/>
      <c r="AG46" s="365"/>
      <c r="AH46" s="365"/>
      <c r="AI46" s="365"/>
      <c r="AJ46" s="365"/>
      <c r="AK46" s="365"/>
      <c r="AL46" s="365"/>
      <c r="AM46" s="365"/>
    </row>
    <row r="47" spans="1:39">
      <c r="A47" s="566" t="s">
        <v>5301</v>
      </c>
      <c r="B47" s="566" t="s">
        <v>5302</v>
      </c>
      <c r="C47" s="380" t="s">
        <v>5289</v>
      </c>
      <c r="D47" s="864">
        <v>122000000</v>
      </c>
      <c r="E47" s="864">
        <v>165000000</v>
      </c>
      <c r="F47" s="864">
        <v>165000000</v>
      </c>
      <c r="G47" s="1167">
        <v>203000000</v>
      </c>
      <c r="H47" s="1167">
        <v>207000000</v>
      </c>
      <c r="I47" s="1167">
        <v>207000000</v>
      </c>
      <c r="J47" s="1167">
        <v>234000000</v>
      </c>
      <c r="K47" s="1167">
        <v>239000000</v>
      </c>
      <c r="L47" s="866"/>
      <c r="M47" s="866"/>
      <c r="N47" s="1167"/>
      <c r="O47" s="1167"/>
      <c r="P47" s="1167"/>
      <c r="Q47" s="1167"/>
      <c r="R47" s="1167"/>
      <c r="S47" s="864"/>
      <c r="T47" s="864"/>
      <c r="U47" s="864"/>
      <c r="V47" s="864"/>
      <c r="W47" s="550"/>
      <c r="X47" s="550"/>
      <c r="Y47" s="365"/>
      <c r="Z47" s="365"/>
      <c r="AD47" s="365"/>
      <c r="AE47" s="365"/>
      <c r="AF47" s="365"/>
      <c r="AG47" s="365"/>
      <c r="AH47" s="365"/>
      <c r="AI47" s="365"/>
      <c r="AJ47" s="365"/>
      <c r="AK47" s="365"/>
      <c r="AL47" s="365"/>
      <c r="AM47" s="365"/>
    </row>
    <row r="48" spans="1:39">
      <c r="A48" s="566" t="s">
        <v>91</v>
      </c>
      <c r="B48" s="566" t="s">
        <v>91</v>
      </c>
      <c r="C48" s="380" t="s">
        <v>204</v>
      </c>
      <c r="D48" s="1942">
        <f>D49+D50</f>
        <v>399000000</v>
      </c>
      <c r="E48" s="864">
        <v>418000000</v>
      </c>
      <c r="F48" s="864">
        <v>437000000</v>
      </c>
      <c r="G48" s="1167">
        <v>690000000</v>
      </c>
      <c r="H48" s="1167">
        <v>370000000</v>
      </c>
      <c r="I48" s="1167">
        <v>333000000</v>
      </c>
      <c r="J48" s="1167">
        <v>307000000</v>
      </c>
      <c r="K48" s="1167">
        <v>370000000</v>
      </c>
      <c r="L48" s="866"/>
      <c r="M48" s="866"/>
      <c r="N48" s="1167"/>
      <c r="O48" s="1167"/>
      <c r="P48" s="1167">
        <v>452000000</v>
      </c>
      <c r="Q48" s="1167">
        <v>521000000</v>
      </c>
      <c r="R48" s="1167">
        <v>933000000</v>
      </c>
      <c r="S48" s="864">
        <v>1070000000</v>
      </c>
      <c r="T48" s="864">
        <v>1248000000</v>
      </c>
      <c r="U48" s="864">
        <v>1524000000</v>
      </c>
      <c r="V48" s="864">
        <v>1535000000</v>
      </c>
      <c r="W48" s="550"/>
      <c r="X48" s="550"/>
      <c r="Y48" s="365"/>
      <c r="Z48" s="365"/>
      <c r="AD48" s="365"/>
      <c r="AE48" s="365"/>
      <c r="AF48" s="365"/>
      <c r="AG48" s="365"/>
      <c r="AH48" s="365"/>
      <c r="AI48" s="365"/>
      <c r="AJ48" s="365"/>
      <c r="AK48" s="365"/>
      <c r="AL48" s="365"/>
      <c r="AM48" s="365"/>
    </row>
    <row r="49" spans="1:39">
      <c r="A49" s="1156" t="s">
        <v>209</v>
      </c>
      <c r="B49" s="1156" t="s">
        <v>209</v>
      </c>
      <c r="C49" s="556" t="s">
        <v>211</v>
      </c>
      <c r="D49" s="864">
        <v>261000000</v>
      </c>
      <c r="E49" s="864">
        <v>253000000</v>
      </c>
      <c r="F49" s="864">
        <v>248000000</v>
      </c>
      <c r="G49" s="1167">
        <v>528000000</v>
      </c>
      <c r="H49" s="1167">
        <v>239000000</v>
      </c>
      <c r="I49" s="1167">
        <v>216000000</v>
      </c>
      <c r="J49" s="1167">
        <v>187000000</v>
      </c>
      <c r="K49" s="1167">
        <v>252000000</v>
      </c>
      <c r="L49" s="866"/>
      <c r="M49" s="866"/>
      <c r="N49" s="1167"/>
      <c r="O49" s="1167"/>
      <c r="P49" s="1167"/>
      <c r="Q49" s="1167"/>
      <c r="R49" s="1167"/>
      <c r="S49" s="864"/>
      <c r="T49" s="864"/>
      <c r="U49" s="864"/>
      <c r="V49" s="864"/>
      <c r="W49" s="550"/>
      <c r="X49" s="550"/>
      <c r="Y49" s="365"/>
      <c r="Z49" s="365"/>
      <c r="AD49" s="365"/>
      <c r="AE49" s="365"/>
      <c r="AF49" s="365"/>
      <c r="AG49" s="365"/>
      <c r="AH49" s="365"/>
      <c r="AI49" s="365"/>
      <c r="AJ49" s="365"/>
      <c r="AK49" s="365"/>
      <c r="AL49" s="365"/>
      <c r="AM49" s="365"/>
    </row>
    <row r="50" spans="1:39">
      <c r="A50" s="1156" t="s">
        <v>212</v>
      </c>
      <c r="B50" s="1156" t="s">
        <v>212</v>
      </c>
      <c r="C50" s="556" t="s">
        <v>211</v>
      </c>
      <c r="D50" s="864">
        <v>138000000</v>
      </c>
      <c r="E50" s="864">
        <v>165000000</v>
      </c>
      <c r="F50" s="864">
        <v>189000000</v>
      </c>
      <c r="G50" s="1167">
        <v>161000000</v>
      </c>
      <c r="H50" s="1167">
        <v>131000000</v>
      </c>
      <c r="I50" s="1167">
        <v>117000000</v>
      </c>
      <c r="J50" s="1167">
        <v>120000000</v>
      </c>
      <c r="K50" s="1167">
        <v>118000000</v>
      </c>
      <c r="L50" s="866"/>
      <c r="M50" s="866"/>
      <c r="N50" s="1167"/>
      <c r="O50" s="1167"/>
      <c r="P50" s="1167"/>
      <c r="Q50" s="1167"/>
      <c r="R50" s="1167"/>
      <c r="S50" s="864"/>
      <c r="T50" s="864"/>
      <c r="U50" s="864"/>
      <c r="V50" s="864"/>
      <c r="W50" s="550"/>
      <c r="X50" s="550"/>
      <c r="Y50" s="365"/>
      <c r="Z50" s="365"/>
      <c r="AA50" s="365"/>
      <c r="AB50" s="365"/>
      <c r="AC50" s="365"/>
      <c r="AD50" s="365"/>
      <c r="AE50" s="365"/>
      <c r="AF50" s="365"/>
      <c r="AG50" s="365"/>
      <c r="AH50" s="365"/>
      <c r="AI50" s="365"/>
      <c r="AJ50" s="365"/>
      <c r="AK50" s="365"/>
      <c r="AL50" s="365"/>
      <c r="AM50" s="365"/>
    </row>
    <row r="51" spans="1:39">
      <c r="A51" s="2567" t="s">
        <v>53</v>
      </c>
      <c r="B51" s="2567" t="s">
        <v>5303</v>
      </c>
      <c r="C51" s="2569" t="s">
        <v>204</v>
      </c>
      <c r="D51" s="864"/>
      <c r="E51" s="864"/>
      <c r="F51" s="864"/>
      <c r="G51" s="1167"/>
      <c r="H51" s="1167"/>
      <c r="I51" s="1167"/>
      <c r="J51" s="1167"/>
      <c r="K51" s="1167"/>
      <c r="L51" s="866"/>
      <c r="M51" s="866"/>
      <c r="N51" s="1167"/>
      <c r="O51" s="1167"/>
      <c r="P51" s="1167">
        <v>4453000000</v>
      </c>
      <c r="Q51" s="1167">
        <v>4952000000</v>
      </c>
      <c r="R51" s="1167">
        <v>6862000000</v>
      </c>
      <c r="S51" s="864">
        <v>3917000000</v>
      </c>
      <c r="T51" s="864">
        <v>4309000000</v>
      </c>
      <c r="U51" s="864">
        <v>2734000000</v>
      </c>
      <c r="V51" s="864">
        <v>2734000000</v>
      </c>
      <c r="W51" s="550"/>
      <c r="X51" s="550"/>
      <c r="Y51" s="365"/>
      <c r="Z51" s="365"/>
      <c r="AA51" s="365"/>
      <c r="AB51" s="365"/>
      <c r="AC51" s="365"/>
      <c r="AD51" s="365"/>
      <c r="AE51" s="365"/>
      <c r="AF51" s="365"/>
      <c r="AG51" s="365"/>
      <c r="AH51" s="365"/>
      <c r="AI51" s="365"/>
      <c r="AJ51" s="365"/>
      <c r="AK51" s="365"/>
      <c r="AL51" s="365"/>
      <c r="AM51" s="365"/>
    </row>
    <row r="52" spans="1:39">
      <c r="A52" s="2567" t="s">
        <v>3108</v>
      </c>
      <c r="B52" s="2567" t="s">
        <v>3108</v>
      </c>
      <c r="C52" s="2569" t="s">
        <v>204</v>
      </c>
      <c r="D52" s="864"/>
      <c r="E52" s="864"/>
      <c r="F52" s="864"/>
      <c r="G52" s="1167"/>
      <c r="H52" s="1167"/>
      <c r="I52" s="1167"/>
      <c r="J52" s="1167"/>
      <c r="K52" s="1167"/>
      <c r="L52" s="866"/>
      <c r="M52" s="866"/>
      <c r="N52" s="1167"/>
      <c r="O52" s="1167"/>
      <c r="P52" s="1167">
        <v>0</v>
      </c>
      <c r="Q52" s="1167">
        <v>0</v>
      </c>
      <c r="R52" s="1167">
        <v>0</v>
      </c>
      <c r="S52" s="864">
        <v>0</v>
      </c>
      <c r="T52" s="864">
        <v>0</v>
      </c>
      <c r="U52" s="864">
        <v>0</v>
      </c>
      <c r="V52" s="864">
        <v>0</v>
      </c>
      <c r="W52" s="550"/>
      <c r="X52" s="550"/>
      <c r="Y52" s="365"/>
      <c r="Z52" s="365"/>
      <c r="AA52" s="365"/>
      <c r="AB52" s="365"/>
      <c r="AC52" s="365"/>
      <c r="AD52" s="365"/>
      <c r="AE52" s="365"/>
      <c r="AF52" s="365"/>
      <c r="AG52" s="365"/>
      <c r="AH52" s="365"/>
      <c r="AI52" s="365"/>
      <c r="AJ52" s="365"/>
      <c r="AK52" s="365"/>
      <c r="AL52" s="365"/>
      <c r="AM52" s="365"/>
    </row>
    <row r="53" spans="1:39">
      <c r="A53" s="2567" t="s">
        <v>4925</v>
      </c>
      <c r="B53" s="2567" t="s">
        <v>4925</v>
      </c>
      <c r="C53" s="2569" t="s">
        <v>204</v>
      </c>
      <c r="D53" s="864"/>
      <c r="E53" s="864"/>
      <c r="F53" s="864"/>
      <c r="G53" s="1167"/>
      <c r="H53" s="1167"/>
      <c r="I53" s="1167"/>
      <c r="J53" s="1167"/>
      <c r="K53" s="1167"/>
      <c r="L53" s="866"/>
      <c r="M53" s="866"/>
      <c r="N53" s="1167"/>
      <c r="O53" s="1167"/>
      <c r="P53" s="1167">
        <v>59000000</v>
      </c>
      <c r="Q53" s="1167">
        <v>855000000</v>
      </c>
      <c r="R53" s="1167">
        <v>137000000</v>
      </c>
      <c r="S53" s="864">
        <v>127000000</v>
      </c>
      <c r="T53" s="864">
        <v>87000000</v>
      </c>
      <c r="U53" s="864">
        <v>87000000</v>
      </c>
      <c r="V53" s="864">
        <v>90000000</v>
      </c>
      <c r="W53" s="550"/>
      <c r="X53" s="550"/>
      <c r="Y53" s="365"/>
      <c r="Z53" s="365"/>
      <c r="AA53" s="365"/>
      <c r="AB53" s="365"/>
      <c r="AC53" s="365"/>
      <c r="AD53" s="365"/>
      <c r="AE53" s="365"/>
      <c r="AF53" s="365"/>
      <c r="AG53" s="365"/>
      <c r="AH53" s="365"/>
      <c r="AI53" s="365"/>
      <c r="AJ53" s="365"/>
      <c r="AK53" s="365"/>
      <c r="AL53" s="365"/>
      <c r="AM53" s="365"/>
    </row>
    <row r="54" spans="1:39">
      <c r="A54" s="534" t="s">
        <v>76</v>
      </c>
      <c r="B54" s="566" t="s">
        <v>5304</v>
      </c>
      <c r="C54" s="556"/>
      <c r="D54" s="864">
        <v>781000000</v>
      </c>
      <c r="E54" s="864">
        <v>1043000000</v>
      </c>
      <c r="F54" s="864">
        <v>1168000000</v>
      </c>
      <c r="G54" s="1167">
        <v>1134000000</v>
      </c>
      <c r="H54" s="1167">
        <v>1273000000</v>
      </c>
      <c r="I54" s="1167">
        <v>1696000000</v>
      </c>
      <c r="J54" s="1167">
        <v>2165000000</v>
      </c>
      <c r="K54" s="1167">
        <v>1823000000</v>
      </c>
      <c r="L54" s="866">
        <v>2729000000</v>
      </c>
      <c r="M54" s="866">
        <v>4054000000</v>
      </c>
      <c r="N54" s="1167">
        <v>3279000000</v>
      </c>
      <c r="O54" s="1167">
        <v>3416000000</v>
      </c>
      <c r="P54" s="1167"/>
      <c r="Q54" s="1167"/>
      <c r="R54" s="1167"/>
      <c r="S54" s="864"/>
      <c r="T54" s="864"/>
      <c r="U54" s="864"/>
      <c r="V54" s="864"/>
      <c r="W54" s="550"/>
      <c r="X54" s="550"/>
      <c r="Y54" s="365"/>
      <c r="Z54" s="365"/>
      <c r="AA54" s="365"/>
      <c r="AB54" s="365"/>
      <c r="AC54" s="365"/>
      <c r="AD54" s="365"/>
      <c r="AE54" s="365"/>
      <c r="AF54" s="365"/>
      <c r="AG54" s="365"/>
      <c r="AH54" s="365"/>
      <c r="AI54" s="365"/>
      <c r="AJ54" s="365"/>
      <c r="AK54" s="365"/>
      <c r="AL54" s="365"/>
      <c r="AM54" s="365"/>
    </row>
    <row r="55" spans="1:39">
      <c r="A55" s="534" t="s">
        <v>76</v>
      </c>
      <c r="B55" s="380" t="s">
        <v>5305</v>
      </c>
      <c r="C55" s="556"/>
      <c r="D55" s="866"/>
      <c r="E55" s="866"/>
      <c r="F55" s="866"/>
      <c r="G55" s="866"/>
      <c r="H55" s="866"/>
      <c r="I55" s="866"/>
      <c r="J55" s="866"/>
      <c r="K55" s="866"/>
      <c r="L55" s="866"/>
      <c r="M55" s="866"/>
      <c r="N55" s="1167"/>
      <c r="O55" s="1167"/>
      <c r="P55" s="1167"/>
      <c r="Q55" s="1167"/>
      <c r="R55" s="1167"/>
      <c r="S55" s="864"/>
      <c r="T55" s="864"/>
      <c r="U55" s="864"/>
      <c r="V55" s="864"/>
      <c r="W55" s="550"/>
      <c r="X55" s="550"/>
      <c r="Y55" s="365"/>
      <c r="Z55" s="365"/>
      <c r="AA55" s="365"/>
      <c r="AB55" s="365"/>
      <c r="AC55" s="365"/>
      <c r="AD55" s="365"/>
      <c r="AE55" s="365"/>
      <c r="AF55" s="365"/>
      <c r="AG55" s="365"/>
      <c r="AH55" s="365"/>
      <c r="AI55" s="365"/>
      <c r="AJ55" s="365"/>
      <c r="AK55" s="365"/>
      <c r="AL55" s="365"/>
      <c r="AM55" s="365"/>
    </row>
    <row r="56" spans="1:39">
      <c r="B56" s="380" t="s">
        <v>5306</v>
      </c>
      <c r="C56" s="556"/>
      <c r="D56" s="866"/>
      <c r="E56" s="866"/>
      <c r="F56" s="866"/>
      <c r="G56" s="866"/>
      <c r="H56" s="866"/>
      <c r="I56" s="866"/>
      <c r="J56" s="866"/>
      <c r="K56" s="866"/>
      <c r="L56" s="866"/>
      <c r="M56" s="866"/>
      <c r="N56" s="1167"/>
      <c r="O56" s="1167"/>
      <c r="P56" s="1167">
        <v>1206000000</v>
      </c>
      <c r="Q56" s="1167">
        <v>1435000000</v>
      </c>
      <c r="R56" s="1167">
        <v>3027000000</v>
      </c>
      <c r="S56" s="864"/>
      <c r="T56" s="864"/>
      <c r="U56" s="864"/>
      <c r="V56" s="864"/>
      <c r="W56" s="550"/>
      <c r="X56" s="550"/>
      <c r="Y56" s="365"/>
      <c r="Z56" s="365"/>
      <c r="AA56" s="365"/>
      <c r="AB56" s="365"/>
      <c r="AC56" s="365"/>
      <c r="AD56" s="365"/>
      <c r="AE56" s="365"/>
      <c r="AF56" s="365"/>
      <c r="AG56" s="365"/>
      <c r="AH56" s="365"/>
      <c r="AI56" s="365"/>
      <c r="AJ56" s="365"/>
      <c r="AK56" s="365"/>
      <c r="AL56" s="365"/>
      <c r="AM56" s="365"/>
    </row>
    <row r="57" spans="1:39">
      <c r="A57" s="566" t="s">
        <v>3969</v>
      </c>
      <c r="B57" s="566" t="s">
        <v>5307</v>
      </c>
      <c r="C57" s="380" t="s">
        <v>201</v>
      </c>
      <c r="D57" s="864">
        <v>784000000</v>
      </c>
      <c r="E57" s="864">
        <v>1047000000</v>
      </c>
      <c r="F57" s="864">
        <v>1171000000</v>
      </c>
      <c r="G57" s="1167">
        <v>1144000000</v>
      </c>
      <c r="H57" s="1167">
        <v>1283000000</v>
      </c>
      <c r="I57" s="1167">
        <v>1699000000</v>
      </c>
      <c r="J57" s="1167">
        <v>2169000000</v>
      </c>
      <c r="K57" s="1167">
        <v>1827000000</v>
      </c>
      <c r="L57" s="866">
        <v>2729000000</v>
      </c>
      <c r="M57" s="866">
        <v>4054000000</v>
      </c>
      <c r="N57" s="1167">
        <v>3279000000</v>
      </c>
      <c r="O57" s="1167">
        <v>3416000000</v>
      </c>
      <c r="P57" s="1167">
        <f>P56</f>
        <v>1206000000</v>
      </c>
      <c r="Q57" s="1167">
        <f t="shared" ref="Q57:R57" si="8">Q56</f>
        <v>1435000000</v>
      </c>
      <c r="R57" s="1167">
        <f t="shared" si="8"/>
        <v>3027000000</v>
      </c>
      <c r="S57" s="864">
        <v>1428000000</v>
      </c>
      <c r="T57" s="864">
        <v>678000000</v>
      </c>
      <c r="U57" s="864">
        <v>526000000</v>
      </c>
      <c r="V57" s="864">
        <v>871000000</v>
      </c>
      <c r="W57" s="550"/>
      <c r="X57" s="550"/>
      <c r="Y57" s="365"/>
      <c r="Z57" s="365"/>
      <c r="AA57" s="365"/>
      <c r="AB57" s="365"/>
      <c r="AC57" s="365"/>
      <c r="AD57" s="365"/>
      <c r="AE57" s="365"/>
      <c r="AF57" s="365"/>
      <c r="AG57" s="365"/>
      <c r="AH57" s="365"/>
      <c r="AI57" s="365"/>
      <c r="AJ57" s="365"/>
      <c r="AK57" s="365"/>
      <c r="AL57" s="365"/>
      <c r="AM57" s="365"/>
    </row>
    <row r="58" spans="1:39">
      <c r="A58" s="1156" t="s">
        <v>564</v>
      </c>
      <c r="B58" s="1156" t="s">
        <v>5308</v>
      </c>
      <c r="C58" s="380" t="s">
        <v>241</v>
      </c>
      <c r="D58" s="864">
        <v>491000000</v>
      </c>
      <c r="E58" s="864">
        <v>550000000</v>
      </c>
      <c r="F58" s="864">
        <v>676000000</v>
      </c>
      <c r="G58" s="1167">
        <v>747000000</v>
      </c>
      <c r="H58" s="1167">
        <v>850000000</v>
      </c>
      <c r="I58" s="1167">
        <v>1283000000</v>
      </c>
      <c r="J58" s="1167">
        <v>915000000</v>
      </c>
      <c r="K58" s="1167">
        <v>721000000</v>
      </c>
      <c r="L58" s="866"/>
      <c r="M58" s="866"/>
      <c r="N58" s="1167"/>
      <c r="O58" s="1167"/>
      <c r="P58" s="1167"/>
      <c r="Q58" s="1167"/>
      <c r="R58" s="1167"/>
      <c r="S58" s="1167"/>
      <c r="T58" s="864"/>
      <c r="U58" s="898"/>
      <c r="V58" s="550"/>
      <c r="W58" s="550"/>
      <c r="X58" s="550"/>
      <c r="Y58" s="365"/>
      <c r="Z58" s="365"/>
      <c r="AA58" s="365"/>
      <c r="AB58" s="365"/>
      <c r="AC58" s="365"/>
      <c r="AD58" s="365"/>
      <c r="AE58" s="365"/>
      <c r="AF58" s="365"/>
      <c r="AG58" s="365"/>
      <c r="AH58" s="365"/>
      <c r="AI58" s="365"/>
      <c r="AJ58" s="365"/>
      <c r="AK58" s="365"/>
      <c r="AL58" s="365"/>
      <c r="AM58" s="365"/>
    </row>
    <row r="59" spans="1:39">
      <c r="A59" s="1156" t="s">
        <v>5309</v>
      </c>
      <c r="B59" s="1156" t="s">
        <v>5310</v>
      </c>
      <c r="C59" s="380" t="s">
        <v>241</v>
      </c>
      <c r="D59" s="864">
        <v>84000000</v>
      </c>
      <c r="E59" s="864">
        <v>142000000</v>
      </c>
      <c r="F59" s="864">
        <v>120000000</v>
      </c>
      <c r="G59" s="1167">
        <v>134000000</v>
      </c>
      <c r="H59" s="1167">
        <v>74000000</v>
      </c>
      <c r="I59" s="1167">
        <v>134000000</v>
      </c>
      <c r="J59" s="1167">
        <v>145000000</v>
      </c>
      <c r="K59" s="1167">
        <v>102000000</v>
      </c>
      <c r="L59" s="866"/>
      <c r="M59" s="866"/>
      <c r="N59" s="1167"/>
      <c r="O59" s="1167"/>
      <c r="P59" s="1167"/>
      <c r="Q59" s="1167"/>
      <c r="R59" s="1167"/>
      <c r="S59" s="1167"/>
      <c r="T59" s="864"/>
      <c r="U59" s="898"/>
      <c r="V59" s="550"/>
      <c r="W59" s="550"/>
      <c r="X59" s="550"/>
      <c r="Y59" s="365"/>
      <c r="Z59" s="365"/>
      <c r="AA59" s="365"/>
      <c r="AB59" s="365"/>
      <c r="AC59" s="365"/>
      <c r="AD59" s="365"/>
      <c r="AE59" s="365"/>
      <c r="AF59" s="365"/>
      <c r="AG59" s="365"/>
      <c r="AH59" s="365"/>
      <c r="AI59" s="365"/>
      <c r="AJ59" s="365"/>
      <c r="AK59" s="365"/>
      <c r="AL59" s="365"/>
      <c r="AM59" s="365"/>
    </row>
    <row r="60" spans="1:39">
      <c r="A60" s="1156" t="s">
        <v>5311</v>
      </c>
      <c r="B60" s="1156" t="s">
        <v>5312</v>
      </c>
      <c r="C60" s="380" t="s">
        <v>241</v>
      </c>
      <c r="D60" s="864">
        <v>0</v>
      </c>
      <c r="E60" s="864">
        <v>0</v>
      </c>
      <c r="F60" s="864">
        <v>138000000</v>
      </c>
      <c r="G60" s="1167">
        <v>56000000</v>
      </c>
      <c r="H60" s="1167">
        <v>25000000</v>
      </c>
      <c r="I60" s="1167">
        <v>2000000</v>
      </c>
      <c r="J60" s="1167">
        <v>0</v>
      </c>
      <c r="K60" s="1167">
        <v>1000000</v>
      </c>
      <c r="L60" s="866"/>
      <c r="M60" s="866"/>
      <c r="N60" s="1167"/>
      <c r="O60" s="1167"/>
      <c r="P60" s="1167"/>
      <c r="Q60" s="1167"/>
      <c r="R60" s="1167"/>
      <c r="S60" s="1167"/>
      <c r="T60" s="864"/>
      <c r="U60" s="898"/>
      <c r="V60" s="550"/>
      <c r="W60" s="550"/>
      <c r="X60" s="550"/>
      <c r="Y60" s="365"/>
      <c r="Z60" s="365"/>
      <c r="AA60" s="365"/>
      <c r="AB60" s="365"/>
      <c r="AC60" s="365"/>
      <c r="AD60" s="365"/>
      <c r="AE60" s="365"/>
      <c r="AF60" s="365"/>
      <c r="AG60" s="365"/>
      <c r="AH60" s="365"/>
      <c r="AI60" s="365"/>
      <c r="AJ60" s="365"/>
      <c r="AK60" s="365"/>
      <c r="AL60" s="365"/>
      <c r="AM60" s="365"/>
    </row>
    <row r="61" spans="1:39">
      <c r="A61" s="1156" t="s">
        <v>5313</v>
      </c>
      <c r="B61" s="1156" t="s">
        <v>5314</v>
      </c>
      <c r="C61" s="380" t="s">
        <v>241</v>
      </c>
      <c r="D61" s="864">
        <v>208000000</v>
      </c>
      <c r="E61" s="864">
        <v>355000000</v>
      </c>
      <c r="F61" s="864">
        <v>237000000</v>
      </c>
      <c r="G61" s="1167">
        <v>207000000</v>
      </c>
      <c r="H61" s="1167">
        <v>334000000</v>
      </c>
      <c r="I61" s="1167">
        <v>280000000</v>
      </c>
      <c r="J61" s="1167">
        <v>1110000000</v>
      </c>
      <c r="K61" s="1167">
        <v>1003000000</v>
      </c>
      <c r="L61" s="866"/>
      <c r="M61" s="866"/>
      <c r="N61" s="1167"/>
      <c r="O61" s="1167"/>
      <c r="P61" s="1167"/>
      <c r="Q61" s="1167"/>
      <c r="R61" s="1167"/>
      <c r="S61" s="1167"/>
      <c r="T61" s="864"/>
      <c r="U61" s="898"/>
      <c r="V61" s="550"/>
      <c r="W61" s="550"/>
      <c r="X61" s="550"/>
      <c r="Y61" s="365"/>
      <c r="Z61" s="365"/>
      <c r="AA61" s="365"/>
      <c r="AB61" s="365"/>
      <c r="AC61" s="365"/>
      <c r="AD61" s="365"/>
      <c r="AE61" s="365"/>
      <c r="AF61" s="365"/>
      <c r="AG61" s="365"/>
      <c r="AH61" s="365"/>
      <c r="AI61" s="365"/>
      <c r="AJ61" s="365"/>
      <c r="AK61" s="365"/>
      <c r="AL61" s="365"/>
      <c r="AM61" s="365"/>
    </row>
    <row r="62" spans="1:39">
      <c r="A62" s="534" t="s">
        <v>76</v>
      </c>
      <c r="B62" s="1156" t="s">
        <v>5315</v>
      </c>
      <c r="C62" s="556"/>
      <c r="D62" s="866"/>
      <c r="E62" s="866"/>
      <c r="F62" s="866"/>
      <c r="G62" s="1167">
        <v>0</v>
      </c>
      <c r="H62" s="1167">
        <v>0</v>
      </c>
      <c r="I62" s="1167">
        <v>0</v>
      </c>
      <c r="J62" s="1167">
        <v>639000000</v>
      </c>
      <c r="K62" s="1167">
        <v>520000000</v>
      </c>
      <c r="L62" s="866"/>
      <c r="M62" s="866"/>
      <c r="N62" s="1167"/>
      <c r="O62" s="1167"/>
      <c r="P62" s="1167"/>
      <c r="Q62" s="1167"/>
      <c r="R62" s="1167"/>
      <c r="S62" s="1167"/>
      <c r="T62" s="864"/>
      <c r="U62" s="898"/>
      <c r="V62" s="550"/>
      <c r="W62" s="550"/>
      <c r="X62" s="550"/>
      <c r="Y62" s="365"/>
      <c r="Z62" s="365"/>
      <c r="AA62" s="365"/>
      <c r="AB62" s="365"/>
      <c r="AC62" s="365"/>
      <c r="AD62" s="365"/>
      <c r="AE62" s="365"/>
      <c r="AF62" s="365"/>
      <c r="AG62" s="365"/>
      <c r="AH62" s="365"/>
      <c r="AI62" s="365"/>
      <c r="AJ62" s="365"/>
      <c r="AK62" s="365"/>
      <c r="AL62" s="365"/>
      <c r="AM62" s="365"/>
    </row>
    <row r="63" spans="1:39">
      <c r="A63" s="566" t="s">
        <v>968</v>
      </c>
      <c r="B63" s="566" t="s">
        <v>968</v>
      </c>
      <c r="C63" s="380" t="s">
        <v>201</v>
      </c>
      <c r="D63" s="2764">
        <v>0</v>
      </c>
      <c r="E63" s="2764">
        <v>0</v>
      </c>
      <c r="F63" s="2764">
        <v>0</v>
      </c>
      <c r="G63" s="2764">
        <v>0</v>
      </c>
      <c r="H63" s="2764">
        <v>0</v>
      </c>
      <c r="I63" s="2764">
        <v>0</v>
      </c>
      <c r="J63" s="2764">
        <v>0</v>
      </c>
      <c r="K63" s="2764">
        <v>0</v>
      </c>
      <c r="L63" s="866"/>
      <c r="M63" s="866"/>
      <c r="N63" s="1167"/>
      <c r="O63" s="1167"/>
      <c r="P63" s="1167"/>
      <c r="Q63" s="1167"/>
      <c r="R63" s="1167"/>
      <c r="S63" s="1167"/>
      <c r="T63" s="864"/>
      <c r="U63" s="898"/>
      <c r="V63" s="550"/>
      <c r="W63" s="550"/>
      <c r="X63" s="550"/>
      <c r="Y63" s="365"/>
      <c r="Z63" s="365"/>
      <c r="AA63" s="365"/>
      <c r="AB63" s="365"/>
      <c r="AC63" s="365"/>
      <c r="AD63" s="365"/>
      <c r="AE63" s="365"/>
      <c r="AF63" s="365"/>
      <c r="AG63" s="365"/>
      <c r="AH63" s="365"/>
      <c r="AI63" s="365"/>
      <c r="AJ63" s="365"/>
      <c r="AK63" s="365"/>
      <c r="AL63" s="365"/>
      <c r="AM63" s="365"/>
    </row>
    <row r="64" spans="1:39">
      <c r="A64" s="534" t="s">
        <v>76</v>
      </c>
      <c r="B64" s="380" t="s">
        <v>5316</v>
      </c>
      <c r="C64" s="556"/>
      <c r="D64" s="866"/>
      <c r="E64" s="866"/>
      <c r="F64" s="866"/>
      <c r="G64" s="866"/>
      <c r="H64" s="866"/>
      <c r="I64" s="866"/>
      <c r="J64" s="866"/>
      <c r="K64" s="866"/>
      <c r="L64" s="866">
        <v>3272000000</v>
      </c>
      <c r="M64" s="866">
        <v>1912000000</v>
      </c>
      <c r="N64" s="1167">
        <v>4099000000</v>
      </c>
      <c r="O64" s="1167">
        <v>3932000000</v>
      </c>
      <c r="P64" s="1167">
        <v>678000000</v>
      </c>
      <c r="Q64" s="1167">
        <v>-1844000000</v>
      </c>
      <c r="R64" s="1167">
        <v>-552000000</v>
      </c>
      <c r="S64" s="1167"/>
      <c r="T64" s="864"/>
      <c r="U64" s="898"/>
      <c r="V64" s="550"/>
      <c r="W64" s="550"/>
      <c r="X64" s="550"/>
      <c r="Y64" s="365"/>
      <c r="Z64" s="365"/>
      <c r="AA64" s="365"/>
      <c r="AB64" s="365"/>
      <c r="AC64" s="365"/>
      <c r="AD64" s="365"/>
      <c r="AE64" s="365"/>
      <c r="AF64" s="365"/>
      <c r="AG64" s="365"/>
      <c r="AH64" s="365"/>
      <c r="AI64" s="365"/>
      <c r="AJ64" s="365"/>
      <c r="AK64" s="365"/>
      <c r="AL64" s="365"/>
      <c r="AM64" s="365"/>
    </row>
    <row r="65" spans="1:39">
      <c r="A65" s="534" t="s">
        <v>76</v>
      </c>
      <c r="B65" s="380" t="s">
        <v>5317</v>
      </c>
      <c r="C65" s="556"/>
      <c r="D65" s="864">
        <v>-24000000</v>
      </c>
      <c r="E65" s="864">
        <v>-34000000</v>
      </c>
      <c r="F65" s="864">
        <v>-137000000</v>
      </c>
      <c r="G65" s="1167">
        <v>-147000000</v>
      </c>
      <c r="H65" s="1167">
        <v>211000000</v>
      </c>
      <c r="I65" s="1167">
        <v>560000000</v>
      </c>
      <c r="J65" s="1167">
        <v>1104000000</v>
      </c>
      <c r="K65" s="1167">
        <v>1683000000</v>
      </c>
      <c r="L65" s="866">
        <v>543000000</v>
      </c>
      <c r="M65" s="866">
        <v>-2141000000</v>
      </c>
      <c r="N65" s="1167">
        <v>820000000</v>
      </c>
      <c r="O65" s="1167">
        <v>516000000</v>
      </c>
      <c r="P65" s="1167">
        <v>-528000000</v>
      </c>
      <c r="Q65" s="1167">
        <v>-3278000000</v>
      </c>
      <c r="R65" s="1167">
        <v>-3579000000</v>
      </c>
      <c r="S65" s="1167"/>
      <c r="T65" s="864"/>
      <c r="U65" s="898"/>
      <c r="V65" s="550"/>
      <c r="W65" s="550"/>
      <c r="X65" s="550"/>
      <c r="Y65" s="365"/>
      <c r="Z65" s="365"/>
      <c r="AA65" s="365"/>
      <c r="AB65" s="365"/>
      <c r="AC65" s="365"/>
      <c r="AD65" s="365"/>
      <c r="AE65" s="365"/>
      <c r="AF65" s="365"/>
      <c r="AG65" s="365"/>
      <c r="AH65" s="365"/>
      <c r="AI65" s="365"/>
      <c r="AJ65" s="365"/>
      <c r="AK65" s="365"/>
      <c r="AL65" s="365"/>
      <c r="AM65" s="365"/>
    </row>
    <row r="66" spans="1:39">
      <c r="B66" s="380" t="s">
        <v>5318</v>
      </c>
      <c r="C66" s="556"/>
      <c r="D66" s="864"/>
      <c r="E66" s="864"/>
      <c r="F66" s="864"/>
      <c r="G66" s="1167"/>
      <c r="H66" s="1167"/>
      <c r="I66" s="1167"/>
      <c r="J66" s="1167"/>
      <c r="K66" s="1167"/>
      <c r="L66" s="866"/>
      <c r="M66" s="866"/>
      <c r="N66" s="1167"/>
      <c r="O66" s="1167"/>
      <c r="P66" s="1167">
        <v>-76000000</v>
      </c>
      <c r="Q66" s="1167">
        <v>-2757000000</v>
      </c>
      <c r="R66" s="1167">
        <v>-2646000000</v>
      </c>
      <c r="S66" s="1167"/>
      <c r="T66" s="864"/>
      <c r="U66" s="898"/>
      <c r="V66" s="550"/>
      <c r="W66" s="550"/>
      <c r="X66" s="550"/>
      <c r="Y66" s="365"/>
      <c r="Z66" s="365"/>
      <c r="AA66" s="365"/>
      <c r="AB66" s="365"/>
      <c r="AC66" s="365"/>
      <c r="AD66" s="365"/>
      <c r="AE66" s="365"/>
      <c r="AF66" s="365"/>
      <c r="AG66" s="365"/>
      <c r="AH66" s="365"/>
      <c r="AI66" s="365"/>
      <c r="AJ66" s="365"/>
      <c r="AK66" s="365"/>
      <c r="AL66" s="365"/>
      <c r="AM66" s="365"/>
    </row>
    <row r="67" spans="1:39">
      <c r="A67" s="534" t="s">
        <v>76</v>
      </c>
      <c r="B67" s="380" t="s">
        <v>5319</v>
      </c>
      <c r="C67" s="556"/>
      <c r="D67" s="866"/>
      <c r="E67" s="866"/>
      <c r="F67" s="866"/>
      <c r="G67" s="866"/>
      <c r="H67" s="866"/>
      <c r="I67" s="866"/>
      <c r="J67" s="866"/>
      <c r="K67" s="866"/>
      <c r="L67" s="866">
        <v>-1593000000</v>
      </c>
      <c r="M67" s="866">
        <v>-2972000000</v>
      </c>
      <c r="N67" s="1167">
        <v>-955000000</v>
      </c>
      <c r="O67" s="1167">
        <v>-1748000000</v>
      </c>
      <c r="P67" s="1167">
        <v>-1645000000</v>
      </c>
      <c r="Q67" s="1167">
        <v>-3945000000</v>
      </c>
      <c r="R67" s="1167">
        <v>-4881000000</v>
      </c>
      <c r="S67" s="1167"/>
      <c r="T67" s="864"/>
      <c r="U67" s="898"/>
      <c r="V67" s="550"/>
      <c r="W67" s="550"/>
      <c r="X67" s="550"/>
      <c r="Y67" s="365"/>
      <c r="Z67" s="365"/>
      <c r="AA67" s="365"/>
      <c r="AB67" s="365"/>
      <c r="AC67" s="365"/>
      <c r="AD67" s="365"/>
      <c r="AE67" s="365"/>
      <c r="AF67" s="365"/>
      <c r="AG67" s="365"/>
      <c r="AH67" s="365"/>
      <c r="AI67" s="365"/>
      <c r="AJ67" s="365"/>
      <c r="AK67" s="365"/>
      <c r="AL67" s="365"/>
      <c r="AM67" s="365"/>
    </row>
    <row r="68" spans="1:39">
      <c r="A68" s="534" t="s">
        <v>76</v>
      </c>
      <c r="B68" s="380" t="s">
        <v>5320</v>
      </c>
      <c r="C68" s="556"/>
      <c r="D68" s="864"/>
      <c r="E68" s="864"/>
      <c r="F68" s="864"/>
      <c r="G68" s="864"/>
      <c r="H68" s="864"/>
      <c r="I68" s="864"/>
      <c r="J68" s="864"/>
      <c r="K68" s="864"/>
      <c r="L68" s="864"/>
      <c r="M68" s="864"/>
      <c r="N68" s="1167">
        <v>-602000000</v>
      </c>
      <c r="O68" s="1167">
        <v>-1332000000</v>
      </c>
      <c r="P68" s="1167">
        <v>-1192000000</v>
      </c>
      <c r="Q68" s="1167">
        <v>-3424000000</v>
      </c>
      <c r="R68" s="1167">
        <v>-3948000000</v>
      </c>
      <c r="S68" s="1167"/>
      <c r="T68" s="864"/>
      <c r="U68" s="898"/>
      <c r="V68" s="550"/>
      <c r="W68" s="550"/>
      <c r="X68" s="550"/>
      <c r="Y68" s="365"/>
      <c r="Z68" s="365"/>
      <c r="AA68" s="365"/>
      <c r="AB68" s="365"/>
      <c r="AC68" s="365"/>
      <c r="AD68" s="365"/>
      <c r="AE68" s="365"/>
      <c r="AF68" s="365"/>
      <c r="AG68" s="365"/>
      <c r="AH68" s="365"/>
      <c r="AI68" s="365"/>
      <c r="AJ68" s="365"/>
      <c r="AK68" s="365"/>
      <c r="AL68" s="365"/>
      <c r="AM68" s="365"/>
    </row>
    <row r="69" spans="1:39">
      <c r="A69" s="534" t="s">
        <v>76</v>
      </c>
      <c r="B69" s="380" t="s">
        <v>5321</v>
      </c>
      <c r="C69" s="556"/>
      <c r="D69" s="866"/>
      <c r="E69" s="866"/>
      <c r="F69" s="866"/>
      <c r="G69" s="866"/>
      <c r="H69" s="866"/>
      <c r="I69" s="866"/>
      <c r="J69" s="866"/>
      <c r="K69" s="866"/>
      <c r="L69" s="866"/>
      <c r="M69" s="866"/>
      <c r="N69" s="1167"/>
      <c r="O69" s="1167"/>
      <c r="P69" s="1167"/>
      <c r="Q69" s="1167"/>
      <c r="R69" s="1167"/>
      <c r="S69" s="1167"/>
      <c r="T69" s="864"/>
      <c r="U69" s="898"/>
      <c r="V69" s="550"/>
      <c r="W69" s="550"/>
      <c r="X69" s="550"/>
      <c r="Y69" s="365"/>
      <c r="Z69" s="365"/>
      <c r="AA69" s="365"/>
      <c r="AB69" s="365"/>
      <c r="AC69" s="365"/>
      <c r="AD69" s="365"/>
      <c r="AE69" s="365"/>
      <c r="AF69" s="365"/>
      <c r="AG69" s="365"/>
      <c r="AH69" s="365"/>
      <c r="AI69" s="365"/>
      <c r="AJ69" s="365"/>
      <c r="AK69" s="365"/>
      <c r="AL69" s="365"/>
      <c r="AM69" s="365"/>
    </row>
    <row r="70" spans="1:39">
      <c r="A70" s="534" t="s">
        <v>76</v>
      </c>
      <c r="B70" s="380" t="s">
        <v>5322</v>
      </c>
      <c r="C70" s="556"/>
      <c r="D70" s="864"/>
      <c r="E70" s="864"/>
      <c r="F70" s="864"/>
      <c r="G70" s="864"/>
      <c r="H70" s="864"/>
      <c r="I70" s="864"/>
      <c r="J70" s="864"/>
      <c r="K70" s="864"/>
      <c r="L70" s="866">
        <v>-1276000000</v>
      </c>
      <c r="M70" s="866">
        <v>1066000000</v>
      </c>
      <c r="N70" s="1167">
        <v>-697000000</v>
      </c>
      <c r="O70" s="1167">
        <v>-1763000000</v>
      </c>
      <c r="P70" s="1167"/>
      <c r="Q70" s="1167"/>
      <c r="R70" s="1167"/>
      <c r="S70" s="1167"/>
      <c r="T70" s="864"/>
      <c r="U70" s="898"/>
      <c r="V70" s="550"/>
      <c r="W70" s="550"/>
      <c r="X70" s="550"/>
      <c r="Y70" s="365"/>
      <c r="Z70" s="365"/>
      <c r="AA70" s="365"/>
      <c r="AB70" s="365"/>
      <c r="AC70" s="365"/>
      <c r="AD70" s="365"/>
      <c r="AE70" s="365"/>
      <c r="AF70" s="365"/>
      <c r="AG70" s="365"/>
      <c r="AH70" s="365"/>
      <c r="AI70" s="365"/>
      <c r="AJ70" s="365"/>
      <c r="AK70" s="365"/>
      <c r="AL70" s="365"/>
      <c r="AM70" s="365"/>
    </row>
    <row r="71" spans="1:39">
      <c r="A71" s="534" t="s">
        <v>76</v>
      </c>
      <c r="B71" s="380" t="s">
        <v>5323</v>
      </c>
      <c r="C71" s="556"/>
      <c r="D71" s="866"/>
      <c r="E71" s="866"/>
      <c r="F71" s="866"/>
      <c r="G71" s="866"/>
      <c r="H71" s="866"/>
      <c r="I71" s="866"/>
      <c r="J71" s="866"/>
      <c r="K71" s="866"/>
      <c r="L71" s="866">
        <v>445000000</v>
      </c>
      <c r="M71" s="866">
        <v>171000000</v>
      </c>
      <c r="N71" s="1167">
        <v>-336000000</v>
      </c>
      <c r="O71" s="1167">
        <v>938000000</v>
      </c>
      <c r="P71" s="1167"/>
      <c r="Q71" s="1167"/>
      <c r="R71" s="1167"/>
      <c r="S71" s="1167"/>
      <c r="T71" s="864"/>
      <c r="U71" s="898"/>
      <c r="V71" s="550"/>
      <c r="W71" s="550"/>
      <c r="X71" s="550"/>
      <c r="Y71" s="365"/>
      <c r="Z71" s="365"/>
      <c r="AA71" s="365"/>
      <c r="AB71" s="365"/>
      <c r="AC71" s="365"/>
      <c r="AD71" s="365"/>
      <c r="AE71" s="365"/>
      <c r="AF71" s="365"/>
      <c r="AG71" s="365"/>
      <c r="AH71" s="365"/>
      <c r="AI71" s="365"/>
      <c r="AJ71" s="365"/>
      <c r="AK71" s="365"/>
      <c r="AL71" s="365"/>
      <c r="AM71" s="365"/>
    </row>
    <row r="72" spans="1:39">
      <c r="A72" s="534" t="s">
        <v>76</v>
      </c>
      <c r="B72" s="380" t="s">
        <v>209</v>
      </c>
      <c r="C72" s="556"/>
      <c r="D72" s="864"/>
      <c r="E72" s="864"/>
      <c r="F72" s="864"/>
      <c r="G72" s="864"/>
      <c r="H72" s="864"/>
      <c r="I72" s="864"/>
      <c r="J72" s="864"/>
      <c r="K72" s="864"/>
      <c r="L72" s="864"/>
      <c r="M72" s="864"/>
      <c r="N72" s="1167">
        <v>-245000000</v>
      </c>
      <c r="O72" s="1167">
        <v>906000000</v>
      </c>
      <c r="P72" s="1167"/>
      <c r="Q72" s="1167"/>
      <c r="R72" s="1167"/>
      <c r="S72" s="1167"/>
      <c r="T72" s="864"/>
      <c r="U72" s="898"/>
      <c r="V72" s="550"/>
      <c r="W72" s="550"/>
      <c r="X72" s="550"/>
      <c r="Y72" s="365"/>
      <c r="Z72" s="365"/>
      <c r="AA72" s="365"/>
      <c r="AB72" s="365"/>
      <c r="AC72" s="365"/>
      <c r="AD72" s="365"/>
      <c r="AE72" s="365"/>
      <c r="AF72" s="365"/>
      <c r="AG72" s="365"/>
      <c r="AH72" s="365"/>
      <c r="AI72" s="365"/>
      <c r="AJ72" s="365"/>
      <c r="AK72" s="365"/>
      <c r="AL72" s="365"/>
      <c r="AM72" s="365"/>
    </row>
    <row r="73" spans="1:39">
      <c r="A73" s="534" t="s">
        <v>76</v>
      </c>
      <c r="B73" s="380" t="s">
        <v>212</v>
      </c>
      <c r="C73" s="556"/>
      <c r="D73" s="866"/>
      <c r="E73" s="866"/>
      <c r="F73" s="866"/>
      <c r="G73" s="866"/>
      <c r="H73" s="866"/>
      <c r="I73" s="866"/>
      <c r="J73" s="866"/>
      <c r="K73" s="866"/>
      <c r="L73" s="866"/>
      <c r="M73" s="866"/>
      <c r="N73" s="1167">
        <v>-90000000</v>
      </c>
      <c r="O73" s="1167">
        <v>31000000</v>
      </c>
      <c r="P73" s="1167"/>
      <c r="Q73" s="1167"/>
      <c r="R73" s="1167"/>
      <c r="S73" s="1167"/>
      <c r="T73" s="864"/>
      <c r="U73" s="898"/>
      <c r="V73" s="550"/>
      <c r="W73" s="550"/>
      <c r="X73" s="550"/>
      <c r="Y73" s="365"/>
      <c r="Z73" s="365"/>
      <c r="AA73" s="365"/>
      <c r="AB73" s="365"/>
      <c r="AC73" s="365"/>
      <c r="AD73" s="365"/>
      <c r="AE73" s="365"/>
      <c r="AF73" s="365"/>
      <c r="AG73" s="365"/>
      <c r="AH73" s="365"/>
      <c r="AI73" s="365"/>
      <c r="AJ73" s="365"/>
      <c r="AK73" s="365"/>
      <c r="AL73" s="365"/>
      <c r="AM73" s="365"/>
    </row>
    <row r="74" spans="1:39">
      <c r="B74" s="380" t="s">
        <v>5324</v>
      </c>
      <c r="C74" s="556"/>
      <c r="D74" s="866"/>
      <c r="E74" s="866"/>
      <c r="F74" s="866"/>
      <c r="G74" s="866"/>
      <c r="H74" s="866"/>
      <c r="I74" s="866"/>
      <c r="J74" s="866"/>
      <c r="K74" s="866"/>
      <c r="L74" s="866"/>
      <c r="M74" s="866"/>
      <c r="N74" s="1167"/>
      <c r="O74" s="1167"/>
      <c r="P74" s="1167"/>
      <c r="Q74" s="1167"/>
      <c r="R74" s="1167"/>
      <c r="S74" s="1167"/>
      <c r="T74" s="864"/>
      <c r="U74" s="898"/>
      <c r="V74" s="550"/>
      <c r="W74" s="550"/>
      <c r="X74" s="550"/>
      <c r="Y74" s="365"/>
      <c r="Z74" s="365"/>
      <c r="AA74" s="365"/>
      <c r="AB74" s="365"/>
      <c r="AC74" s="365"/>
      <c r="AD74" s="365"/>
      <c r="AE74" s="365"/>
      <c r="AF74" s="365"/>
      <c r="AG74" s="365"/>
      <c r="AH74" s="365"/>
      <c r="AI74" s="365"/>
      <c r="AJ74" s="365"/>
      <c r="AK74" s="365"/>
      <c r="AL74" s="365"/>
      <c r="AM74" s="365"/>
    </row>
    <row r="75" spans="1:39" s="848" customFormat="1">
      <c r="A75" s="880" t="s">
        <v>115</v>
      </c>
      <c r="B75" s="880" t="s">
        <v>115</v>
      </c>
      <c r="C75" s="1950" t="s">
        <v>35</v>
      </c>
      <c r="D75" s="1647">
        <v>129000000</v>
      </c>
      <c r="E75" s="1647">
        <v>404000000</v>
      </c>
      <c r="F75" s="1647">
        <v>612000000</v>
      </c>
      <c r="G75" s="1170">
        <v>231000000</v>
      </c>
      <c r="H75" s="1170">
        <v>5000000</v>
      </c>
      <c r="I75" s="1170">
        <v>-578000000</v>
      </c>
      <c r="J75" s="1170">
        <v>-959000000</v>
      </c>
      <c r="K75" s="1170">
        <v>-1218000000</v>
      </c>
      <c r="L75" s="1647">
        <f>L70+L71</f>
        <v>-831000000</v>
      </c>
      <c r="M75" s="1647">
        <f t="shared" ref="M75:O75" si="9">M70+M71</f>
        <v>1237000000</v>
      </c>
      <c r="N75" s="1647">
        <f t="shared" si="9"/>
        <v>-1033000000</v>
      </c>
      <c r="O75" s="1647">
        <f t="shared" si="9"/>
        <v>-825000000</v>
      </c>
      <c r="P75" s="1647">
        <f>P77+P86</f>
        <v>524000000</v>
      </c>
      <c r="Q75" s="1647">
        <f t="shared" ref="Q75:U75" si="10">Q77+Q86</f>
        <v>3278000000</v>
      </c>
      <c r="R75" s="1647">
        <f t="shared" si="10"/>
        <v>3579000000</v>
      </c>
      <c r="S75" s="1647">
        <f t="shared" si="10"/>
        <v>2951000000</v>
      </c>
      <c r="T75" s="1647">
        <f t="shared" si="10"/>
        <v>3944000000</v>
      </c>
      <c r="U75" s="1647">
        <f t="shared" si="10"/>
        <v>2270000000</v>
      </c>
      <c r="V75" s="1647">
        <f>V77+V86</f>
        <v>2251000000</v>
      </c>
      <c r="W75" s="1951"/>
      <c r="X75" s="1951"/>
      <c r="Y75" s="916"/>
      <c r="Z75" s="916"/>
      <c r="AA75" s="916"/>
      <c r="AB75" s="916"/>
      <c r="AC75" s="916"/>
      <c r="AD75" s="916"/>
      <c r="AE75" s="916"/>
      <c r="AF75" s="916"/>
      <c r="AG75" s="916"/>
      <c r="AH75" s="916"/>
      <c r="AI75" s="916"/>
      <c r="AJ75" s="916"/>
      <c r="AK75" s="916"/>
      <c r="AL75" s="916"/>
      <c r="AM75" s="916"/>
    </row>
    <row r="76" spans="1:39">
      <c r="A76" s="534" t="s">
        <v>117</v>
      </c>
      <c r="B76" s="380" t="s">
        <v>5325</v>
      </c>
      <c r="C76" s="380" t="s">
        <v>252</v>
      </c>
      <c r="D76" s="866">
        <v>15000000</v>
      </c>
      <c r="E76" s="866">
        <v>312000000</v>
      </c>
      <c r="F76" s="866">
        <v>-101000000</v>
      </c>
      <c r="G76" s="1167">
        <v>-266000000</v>
      </c>
      <c r="H76" s="1167">
        <v>-222000000</v>
      </c>
      <c r="I76" s="1167">
        <v>-163000000</v>
      </c>
      <c r="J76" s="1167">
        <v>-219000000</v>
      </c>
      <c r="K76" s="1167">
        <v>-398000000</v>
      </c>
      <c r="L76" s="866"/>
      <c r="M76" s="866"/>
      <c r="N76" s="1167"/>
      <c r="O76" s="1167"/>
      <c r="P76" s="1167"/>
      <c r="Q76" s="1167"/>
      <c r="R76" s="1167"/>
      <c r="S76" s="1167"/>
      <c r="T76" s="864"/>
      <c r="U76" s="898"/>
      <c r="V76" s="550"/>
      <c r="W76" s="550"/>
      <c r="X76" s="550"/>
      <c r="Y76" s="365"/>
      <c r="Z76" s="365"/>
      <c r="AA76" s="365"/>
      <c r="AB76" s="365"/>
      <c r="AC76" s="365"/>
      <c r="AD76" s="365"/>
      <c r="AE76" s="365"/>
      <c r="AF76" s="365"/>
      <c r="AG76" s="365"/>
      <c r="AH76" s="365"/>
      <c r="AI76" s="365"/>
      <c r="AJ76" s="365"/>
      <c r="AK76" s="365"/>
      <c r="AL76" s="365"/>
      <c r="AM76" s="365"/>
    </row>
    <row r="77" spans="1:39">
      <c r="A77" s="534" t="s">
        <v>120</v>
      </c>
      <c r="B77" s="380" t="s">
        <v>4297</v>
      </c>
      <c r="C77" s="380" t="s">
        <v>252</v>
      </c>
      <c r="D77" s="866">
        <v>28000000</v>
      </c>
      <c r="E77" s="866">
        <v>-35000000</v>
      </c>
      <c r="F77" s="866">
        <v>665000000</v>
      </c>
      <c r="G77" s="1167">
        <v>458000000</v>
      </c>
      <c r="H77" s="1167">
        <v>72000000</v>
      </c>
      <c r="I77" s="1167">
        <v>-415000000</v>
      </c>
      <c r="J77" s="1167">
        <v>-740000000</v>
      </c>
      <c r="K77" s="1167">
        <v>-820000000</v>
      </c>
      <c r="L77" s="866"/>
      <c r="M77" s="866"/>
      <c r="N77" s="1167"/>
      <c r="O77" s="1167"/>
      <c r="P77" s="1167">
        <f>P80+P83+P84+P85</f>
        <v>362000000</v>
      </c>
      <c r="Q77" s="1167">
        <f t="shared" ref="Q77:V77" si="11">Q80+Q83+Q84+Q85</f>
        <v>2934000000</v>
      </c>
      <c r="R77" s="1167">
        <f t="shared" si="11"/>
        <v>3157000000</v>
      </c>
      <c r="S77" s="1167">
        <f t="shared" si="11"/>
        <v>2430000000</v>
      </c>
      <c r="T77" s="1167">
        <f t="shared" si="11"/>
        <v>2495000000</v>
      </c>
      <c r="U77" s="1167">
        <f t="shared" si="11"/>
        <v>2071000000</v>
      </c>
      <c r="V77" s="1167">
        <f t="shared" si="11"/>
        <v>1167000000</v>
      </c>
      <c r="W77" s="550"/>
      <c r="X77" s="550"/>
      <c r="Y77" s="365"/>
      <c r="Z77" s="365"/>
      <c r="AA77" s="365"/>
      <c r="AB77" s="365"/>
      <c r="AC77" s="365"/>
      <c r="AD77" s="365"/>
      <c r="AE77" s="365"/>
      <c r="AF77" s="365"/>
      <c r="AG77" s="365"/>
      <c r="AH77" s="365"/>
      <c r="AI77" s="365"/>
      <c r="AJ77" s="365"/>
      <c r="AK77" s="365"/>
      <c r="AL77" s="365"/>
      <c r="AM77" s="365"/>
    </row>
    <row r="78" spans="1:39">
      <c r="A78" s="380" t="s">
        <v>912</v>
      </c>
      <c r="B78" s="380" t="s">
        <v>912</v>
      </c>
      <c r="C78" s="380" t="s">
        <v>252</v>
      </c>
      <c r="D78" s="866">
        <v>58000000</v>
      </c>
      <c r="E78" s="866">
        <v>127000000</v>
      </c>
      <c r="F78" s="866">
        <v>-153000000</v>
      </c>
      <c r="G78" s="1167">
        <v>-1000000</v>
      </c>
      <c r="H78" s="1167">
        <v>130000000</v>
      </c>
      <c r="I78" s="1167">
        <v>0</v>
      </c>
      <c r="J78" s="1167">
        <v>0</v>
      </c>
      <c r="K78" s="1167">
        <v>0</v>
      </c>
      <c r="L78" s="866"/>
      <c r="M78" s="866"/>
      <c r="N78" s="1167"/>
      <c r="O78" s="1167"/>
      <c r="P78" s="1167"/>
      <c r="Q78" s="1167"/>
      <c r="R78" s="1167"/>
      <c r="S78" s="1167"/>
      <c r="T78" s="864"/>
      <c r="U78" s="898"/>
      <c r="V78" s="550"/>
      <c r="W78" s="550"/>
      <c r="X78" s="550"/>
      <c r="Y78" s="365"/>
      <c r="Z78" s="365"/>
      <c r="AA78" s="365"/>
      <c r="AB78" s="365"/>
      <c r="AC78" s="365"/>
      <c r="AD78" s="365"/>
      <c r="AE78" s="365"/>
      <c r="AF78" s="365"/>
      <c r="AG78" s="365"/>
      <c r="AH78" s="365"/>
      <c r="AI78" s="365"/>
      <c r="AJ78" s="365"/>
      <c r="AK78" s="365"/>
      <c r="AL78" s="365"/>
      <c r="AM78" s="365"/>
    </row>
    <row r="79" spans="1:39">
      <c r="A79" s="380" t="s">
        <v>5326</v>
      </c>
      <c r="B79" s="380" t="s">
        <v>5327</v>
      </c>
      <c r="C79" s="380" t="s">
        <v>252</v>
      </c>
      <c r="D79" s="866">
        <v>27000000</v>
      </c>
      <c r="E79" s="866">
        <v>0</v>
      </c>
      <c r="F79" s="866">
        <v>201000000</v>
      </c>
      <c r="G79" s="1167">
        <v>40000000</v>
      </c>
      <c r="H79" s="1167">
        <v>25000000</v>
      </c>
      <c r="I79" s="1167">
        <v>0</v>
      </c>
      <c r="J79" s="1167">
        <v>0</v>
      </c>
      <c r="K79" s="1167">
        <v>0</v>
      </c>
      <c r="L79" s="866"/>
      <c r="M79" s="866"/>
      <c r="N79" s="1167"/>
      <c r="O79" s="1167"/>
      <c r="P79" s="1167"/>
      <c r="Q79" s="1167"/>
      <c r="R79" s="1167"/>
      <c r="S79" s="1167"/>
      <c r="T79" s="864"/>
      <c r="U79" s="898"/>
      <c r="V79" s="550"/>
      <c r="W79" s="550"/>
      <c r="X79" s="550"/>
      <c r="Y79" s="365"/>
      <c r="Z79" s="365"/>
      <c r="AA79" s="365"/>
      <c r="AB79" s="365"/>
      <c r="AC79" s="365"/>
      <c r="AD79" s="365"/>
      <c r="AE79" s="365"/>
      <c r="AF79" s="365"/>
      <c r="AG79" s="365"/>
      <c r="AH79" s="365"/>
      <c r="AI79" s="365"/>
      <c r="AJ79" s="365"/>
      <c r="AK79" s="365"/>
      <c r="AL79" s="365"/>
      <c r="AM79" s="365"/>
    </row>
    <row r="80" spans="1:39">
      <c r="A80" s="380" t="s">
        <v>688</v>
      </c>
      <c r="B80" s="2566" t="s">
        <v>688</v>
      </c>
      <c r="C80" s="380" t="s">
        <v>1033</v>
      </c>
      <c r="D80" s="866"/>
      <c r="E80" s="866"/>
      <c r="F80" s="866"/>
      <c r="G80" s="1167"/>
      <c r="H80" s="1167"/>
      <c r="I80" s="1167"/>
      <c r="J80" s="1167"/>
      <c r="K80" s="1167"/>
      <c r="L80" s="866"/>
      <c r="M80" s="866"/>
      <c r="N80" s="1167"/>
      <c r="O80" s="1167"/>
      <c r="P80" s="1167">
        <v>-835000000</v>
      </c>
      <c r="Q80" s="1167">
        <v>-97000000</v>
      </c>
      <c r="R80" s="1167">
        <v>174000000</v>
      </c>
      <c r="S80" s="1167">
        <v>349000000</v>
      </c>
      <c r="T80" s="1167">
        <v>0</v>
      </c>
      <c r="U80" s="1167">
        <v>0</v>
      </c>
      <c r="V80" s="1167">
        <v>85000000</v>
      </c>
      <c r="W80" s="550"/>
      <c r="X80" s="550"/>
      <c r="Y80" s="365"/>
      <c r="Z80" s="365"/>
      <c r="AA80" s="365"/>
      <c r="AB80" s="365"/>
      <c r="AC80" s="365"/>
      <c r="AD80" s="365"/>
      <c r="AE80" s="365"/>
      <c r="AF80" s="365"/>
      <c r="AG80" s="365"/>
      <c r="AH80" s="365"/>
      <c r="AI80" s="365"/>
      <c r="AJ80" s="365"/>
      <c r="AK80" s="365"/>
      <c r="AL80" s="365"/>
      <c r="AM80" s="365"/>
    </row>
    <row r="81" spans="1:40">
      <c r="A81" s="380"/>
      <c r="B81" s="2566" t="s">
        <v>5328</v>
      </c>
      <c r="C81" s="380"/>
      <c r="D81" s="866"/>
      <c r="E81" s="866"/>
      <c r="F81" s="866"/>
      <c r="G81" s="1167"/>
      <c r="H81" s="1167"/>
      <c r="I81" s="1167"/>
      <c r="J81" s="1167"/>
      <c r="K81" s="1167"/>
      <c r="L81" s="866"/>
      <c r="M81" s="866"/>
      <c r="N81" s="1167"/>
      <c r="O81" s="1167"/>
      <c r="P81" s="1167">
        <v>1359000000</v>
      </c>
      <c r="Q81" s="1167">
        <v>3375000000</v>
      </c>
      <c r="R81" s="1167">
        <v>3405000000</v>
      </c>
      <c r="S81" s="1167">
        <f>S82+S83+S84+S85</f>
        <v>4162000000</v>
      </c>
      <c r="T81" s="1167">
        <f t="shared" ref="T81:V81" si="12">T82+T83+T84+T85</f>
        <v>4990000000</v>
      </c>
      <c r="U81" s="1167">
        <f t="shared" si="12"/>
        <v>4142000000</v>
      </c>
      <c r="V81" s="1167">
        <f t="shared" si="12"/>
        <v>2164000000</v>
      </c>
      <c r="W81" s="550"/>
      <c r="X81" s="550"/>
      <c r="Y81" s="365"/>
      <c r="Z81" s="365"/>
      <c r="AA81" s="365"/>
      <c r="AB81" s="365"/>
      <c r="AC81" s="365"/>
      <c r="AD81" s="365"/>
      <c r="AE81" s="365"/>
      <c r="AF81" s="365"/>
      <c r="AG81" s="365"/>
      <c r="AH81" s="365"/>
      <c r="AI81" s="365"/>
      <c r="AJ81" s="365"/>
      <c r="AK81" s="365"/>
      <c r="AL81" s="365"/>
      <c r="AM81" s="365"/>
    </row>
    <row r="82" spans="1:40">
      <c r="A82" s="380"/>
      <c r="B82" s="2566" t="s">
        <v>209</v>
      </c>
      <c r="C82" s="380"/>
      <c r="D82" s="866"/>
      <c r="E82" s="866"/>
      <c r="F82" s="866"/>
      <c r="G82" s="1167"/>
      <c r="H82" s="1167"/>
      <c r="I82" s="1167"/>
      <c r="J82" s="1167"/>
      <c r="K82" s="1167"/>
      <c r="L82" s="866"/>
      <c r="M82" s="866"/>
      <c r="N82" s="1167"/>
      <c r="O82" s="1167"/>
      <c r="P82" s="1167">
        <v>1197000000</v>
      </c>
      <c r="Q82" s="1167">
        <v>3032000000</v>
      </c>
      <c r="R82" s="1167">
        <v>2983000000</v>
      </c>
      <c r="S82" s="1167">
        <f>S83+S84</f>
        <v>2081000000</v>
      </c>
      <c r="T82" s="1167">
        <f t="shared" ref="T82:V82" si="13">T83+T84</f>
        <v>2495000000</v>
      </c>
      <c r="U82" s="1167">
        <f t="shared" si="13"/>
        <v>2071000000</v>
      </c>
      <c r="V82" s="1167">
        <f t="shared" si="13"/>
        <v>1082000000</v>
      </c>
      <c r="W82" s="550"/>
      <c r="X82" s="550"/>
      <c r="Y82" s="365"/>
      <c r="Z82" s="365"/>
      <c r="AA82" s="365"/>
      <c r="AB82" s="365"/>
      <c r="AC82" s="365"/>
      <c r="AD82" s="365"/>
      <c r="AE82" s="365"/>
      <c r="AF82" s="365"/>
      <c r="AG82" s="365"/>
      <c r="AH82" s="365"/>
      <c r="AI82" s="365"/>
      <c r="AJ82" s="365"/>
      <c r="AK82" s="365"/>
      <c r="AL82" s="365"/>
      <c r="AM82" s="365"/>
    </row>
    <row r="83" spans="1:40">
      <c r="A83" s="380"/>
      <c r="B83" s="2566" t="s">
        <v>699</v>
      </c>
      <c r="C83" s="380" t="s">
        <v>1033</v>
      </c>
      <c r="D83" s="866"/>
      <c r="E83" s="866"/>
      <c r="F83" s="866"/>
      <c r="G83" s="1167"/>
      <c r="H83" s="1167"/>
      <c r="I83" s="1167"/>
      <c r="J83" s="1167"/>
      <c r="K83" s="1167"/>
      <c r="L83" s="866"/>
      <c r="M83" s="866"/>
      <c r="N83" s="1167"/>
      <c r="O83" s="1167"/>
      <c r="P83" s="1167">
        <v>497000000</v>
      </c>
      <c r="Q83" s="1167">
        <v>1449000000</v>
      </c>
      <c r="R83" s="1167">
        <v>1420000000</v>
      </c>
      <c r="S83" s="1167">
        <v>1076000000</v>
      </c>
      <c r="T83" s="1167">
        <v>1934000000</v>
      </c>
      <c r="U83" s="1167">
        <v>1077000000</v>
      </c>
      <c r="V83" s="1167">
        <v>563000000</v>
      </c>
      <c r="W83" s="550"/>
      <c r="X83" s="550"/>
      <c r="Y83" s="365"/>
      <c r="Z83" s="365"/>
      <c r="AA83" s="365"/>
      <c r="AB83" s="365"/>
      <c r="AC83" s="365"/>
      <c r="AD83" s="365"/>
      <c r="AE83" s="365"/>
      <c r="AF83" s="365"/>
      <c r="AG83" s="365"/>
      <c r="AH83" s="365"/>
      <c r="AI83" s="365"/>
      <c r="AJ83" s="365"/>
      <c r="AK83" s="365"/>
      <c r="AL83" s="365"/>
      <c r="AM83" s="365"/>
    </row>
    <row r="84" spans="1:40">
      <c r="A84" s="380"/>
      <c r="B84" s="2566" t="s">
        <v>5329</v>
      </c>
      <c r="C84" s="380" t="s">
        <v>1033</v>
      </c>
      <c r="D84" s="866"/>
      <c r="E84" s="866"/>
      <c r="F84" s="866"/>
      <c r="G84" s="1167"/>
      <c r="H84" s="1167"/>
      <c r="I84" s="1167"/>
      <c r="J84" s="1167"/>
      <c r="K84" s="1167"/>
      <c r="L84" s="866"/>
      <c r="M84" s="866"/>
      <c r="N84" s="1167"/>
      <c r="O84" s="1167"/>
      <c r="P84" s="1167">
        <v>500000000</v>
      </c>
      <c r="Q84" s="1167">
        <v>1277000000</v>
      </c>
      <c r="R84" s="1167">
        <v>1563000000</v>
      </c>
      <c r="S84" s="1167">
        <v>1005000000</v>
      </c>
      <c r="T84" s="1167">
        <v>561000000</v>
      </c>
      <c r="U84" s="1167">
        <v>994000000</v>
      </c>
      <c r="V84" s="1167">
        <v>519000000</v>
      </c>
      <c r="W84" s="550"/>
      <c r="X84" s="550"/>
      <c r="Y84" s="365"/>
      <c r="Z84" s="365"/>
      <c r="AA84" s="365"/>
      <c r="AB84" s="365"/>
      <c r="AC84" s="365"/>
      <c r="AD84" s="365"/>
      <c r="AE84" s="365"/>
      <c r="AF84" s="365"/>
      <c r="AG84" s="365"/>
      <c r="AH84" s="365"/>
      <c r="AI84" s="365"/>
      <c r="AJ84" s="365"/>
      <c r="AK84" s="365"/>
      <c r="AL84" s="365"/>
      <c r="AM84" s="365"/>
    </row>
    <row r="85" spans="1:40">
      <c r="A85" s="380"/>
      <c r="B85" s="2566" t="s">
        <v>2264</v>
      </c>
      <c r="C85" s="380" t="s">
        <v>1033</v>
      </c>
      <c r="D85" s="866"/>
      <c r="E85" s="866"/>
      <c r="F85" s="866"/>
      <c r="G85" s="1167"/>
      <c r="H85" s="1167"/>
      <c r="I85" s="1167"/>
      <c r="J85" s="1167"/>
      <c r="K85" s="1167"/>
      <c r="L85" s="866"/>
      <c r="M85" s="866"/>
      <c r="N85" s="1167"/>
      <c r="O85" s="1167"/>
      <c r="P85" s="1167">
        <v>200000000</v>
      </c>
      <c r="Q85" s="1167">
        <v>305000000</v>
      </c>
      <c r="R85" s="1167">
        <v>0</v>
      </c>
      <c r="S85" s="1167"/>
      <c r="T85" s="1167"/>
      <c r="U85" s="1167"/>
      <c r="V85" s="1167"/>
      <c r="W85" s="550"/>
      <c r="X85" s="550"/>
      <c r="Y85" s="365"/>
      <c r="Z85" s="365"/>
      <c r="AA85" s="365"/>
      <c r="AB85" s="365"/>
      <c r="AC85" s="365"/>
      <c r="AD85" s="365"/>
      <c r="AE85" s="365"/>
      <c r="AF85" s="365"/>
      <c r="AG85" s="365"/>
      <c r="AH85" s="365"/>
      <c r="AI85" s="365"/>
      <c r="AJ85" s="365"/>
      <c r="AK85" s="365"/>
      <c r="AL85" s="365"/>
      <c r="AM85" s="365"/>
    </row>
    <row r="86" spans="1:40">
      <c r="A86" s="534" t="s">
        <v>117</v>
      </c>
      <c r="B86" s="2566" t="s">
        <v>280</v>
      </c>
      <c r="C86" s="380" t="s">
        <v>252</v>
      </c>
      <c r="D86" s="866"/>
      <c r="E86" s="866"/>
      <c r="F86" s="866"/>
      <c r="G86" s="1167"/>
      <c r="H86" s="1167"/>
      <c r="I86" s="1167"/>
      <c r="J86" s="1167"/>
      <c r="K86" s="1167"/>
      <c r="L86" s="866"/>
      <c r="M86" s="866"/>
      <c r="N86" s="1167"/>
      <c r="O86" s="1167"/>
      <c r="P86" s="1167">
        <v>162000000</v>
      </c>
      <c r="Q86" s="1167">
        <v>344000000</v>
      </c>
      <c r="R86" s="1167">
        <v>422000000</v>
      </c>
      <c r="S86" s="1167">
        <f>S87+S88</f>
        <v>521000000</v>
      </c>
      <c r="T86" s="1167">
        <f t="shared" ref="T86:V86" si="14">T87+T88</f>
        <v>1449000000</v>
      </c>
      <c r="U86" s="1167">
        <f t="shared" si="14"/>
        <v>199000000</v>
      </c>
      <c r="V86" s="1167">
        <f t="shared" si="14"/>
        <v>1084000000</v>
      </c>
      <c r="W86" s="550"/>
      <c r="X86" s="550"/>
      <c r="Y86" s="365"/>
      <c r="Z86" s="365"/>
      <c r="AA86" s="365"/>
      <c r="AB86" s="365"/>
      <c r="AC86" s="365"/>
      <c r="AD86" s="365"/>
      <c r="AE86" s="365"/>
      <c r="AF86" s="365"/>
      <c r="AG86" s="365"/>
      <c r="AH86" s="365"/>
      <c r="AI86" s="365"/>
      <c r="AJ86" s="365"/>
      <c r="AK86" s="365"/>
      <c r="AL86" s="365"/>
      <c r="AM86" s="365"/>
    </row>
    <row r="87" spans="1:40">
      <c r="A87" s="2566" t="s">
        <v>690</v>
      </c>
      <c r="B87" s="2566" t="s">
        <v>690</v>
      </c>
      <c r="C87" s="380" t="s">
        <v>1029</v>
      </c>
      <c r="D87" s="866"/>
      <c r="E87" s="866"/>
      <c r="F87" s="866"/>
      <c r="G87" s="1167"/>
      <c r="H87" s="1167"/>
      <c r="I87" s="1167"/>
      <c r="J87" s="1167"/>
      <c r="K87" s="1167"/>
      <c r="L87" s="866"/>
      <c r="M87" s="866"/>
      <c r="N87" s="1167"/>
      <c r="O87" s="1167"/>
      <c r="P87" s="1167">
        <v>0</v>
      </c>
      <c r="Q87" s="1167">
        <v>0</v>
      </c>
      <c r="R87" s="1167">
        <v>0</v>
      </c>
      <c r="S87" s="1167">
        <v>0</v>
      </c>
      <c r="T87" s="1167">
        <v>0</v>
      </c>
      <c r="U87" s="1167">
        <v>0</v>
      </c>
      <c r="V87" s="1167">
        <v>0</v>
      </c>
      <c r="W87" s="550"/>
      <c r="X87" s="550"/>
      <c r="Y87" s="365"/>
      <c r="Z87" s="365"/>
      <c r="AA87" s="365"/>
      <c r="AB87" s="365"/>
      <c r="AC87" s="365"/>
      <c r="AD87" s="365"/>
      <c r="AE87" s="365"/>
      <c r="AF87" s="365"/>
      <c r="AG87" s="365"/>
      <c r="AH87" s="365"/>
      <c r="AI87" s="365"/>
      <c r="AJ87" s="365"/>
      <c r="AK87" s="365"/>
      <c r="AL87" s="365"/>
      <c r="AM87" s="365"/>
    </row>
    <row r="88" spans="1:40">
      <c r="A88" s="2566" t="s">
        <v>444</v>
      </c>
      <c r="B88" s="2566" t="s">
        <v>444</v>
      </c>
      <c r="C88" s="380" t="s">
        <v>1029</v>
      </c>
      <c r="D88" s="866"/>
      <c r="E88" s="866"/>
      <c r="F88" s="866"/>
      <c r="G88" s="1167"/>
      <c r="H88" s="1167"/>
      <c r="I88" s="1167"/>
      <c r="J88" s="1167"/>
      <c r="K88" s="1167"/>
      <c r="L88" s="866"/>
      <c r="M88" s="866"/>
      <c r="N88" s="1167"/>
      <c r="O88" s="1167"/>
      <c r="P88" s="1167">
        <v>162000000</v>
      </c>
      <c r="Q88" s="1167">
        <v>344000000</v>
      </c>
      <c r="R88" s="1167">
        <v>422000000</v>
      </c>
      <c r="S88" s="1167">
        <v>521000000</v>
      </c>
      <c r="T88" s="1167">
        <v>1449000000</v>
      </c>
      <c r="U88" s="1167">
        <v>199000000</v>
      </c>
      <c r="V88" s="1167">
        <v>1084000000</v>
      </c>
      <c r="W88" s="1167"/>
      <c r="X88" s="550"/>
      <c r="Y88" s="550"/>
      <c r="Z88" s="365"/>
      <c r="AA88" s="365"/>
      <c r="AB88" s="365"/>
      <c r="AC88" s="365"/>
      <c r="AD88" s="365"/>
      <c r="AE88" s="365"/>
      <c r="AF88" s="365"/>
      <c r="AG88" s="365"/>
      <c r="AH88" s="365"/>
      <c r="AI88" s="365"/>
      <c r="AJ88" s="365"/>
      <c r="AK88" s="365"/>
      <c r="AL88" s="365"/>
      <c r="AM88" s="365"/>
      <c r="AN88" s="365"/>
    </row>
    <row r="89" spans="1:40">
      <c r="A89" s="380"/>
      <c r="B89" s="2566"/>
      <c r="C89" s="380"/>
      <c r="D89" s="866"/>
      <c r="E89" s="866"/>
      <c r="F89" s="866"/>
      <c r="G89" s="1167"/>
      <c r="H89" s="1167"/>
      <c r="I89" s="1167"/>
      <c r="J89" s="1167"/>
      <c r="K89" s="1167"/>
      <c r="L89" s="866"/>
      <c r="M89" s="866"/>
      <c r="N89" s="1167"/>
      <c r="O89" s="1167"/>
      <c r="P89" s="1167"/>
      <c r="Q89" s="1167"/>
      <c r="R89" s="1167"/>
      <c r="S89" s="1167"/>
      <c r="T89" s="864"/>
      <c r="U89" s="898"/>
      <c r="V89" s="550"/>
      <c r="W89" s="550"/>
      <c r="X89" s="550"/>
      <c r="Y89" s="365"/>
      <c r="Z89" s="365"/>
      <c r="AA89" s="365"/>
      <c r="AB89" s="365"/>
      <c r="AC89" s="365"/>
      <c r="AD89" s="365"/>
      <c r="AE89" s="365"/>
      <c r="AF89" s="365"/>
      <c r="AG89" s="365"/>
      <c r="AH89" s="365"/>
      <c r="AI89" s="365"/>
      <c r="AJ89" s="365"/>
      <c r="AK89" s="365"/>
      <c r="AL89" s="365"/>
      <c r="AM89" s="365"/>
    </row>
    <row r="90" spans="1:40">
      <c r="B90" s="380"/>
      <c r="C90" s="556"/>
      <c r="N90" s="1944"/>
      <c r="O90" s="1944"/>
      <c r="P90" s="1944"/>
      <c r="Q90" s="1944"/>
      <c r="R90" s="1944"/>
      <c r="S90" s="1944"/>
      <c r="T90" s="550"/>
      <c r="U90" s="550"/>
      <c r="V90" s="550"/>
      <c r="W90" s="550"/>
      <c r="X90" s="550"/>
      <c r="Y90" s="365"/>
      <c r="Z90" s="365"/>
      <c r="AA90" s="365"/>
      <c r="AB90" s="365"/>
      <c r="AC90" s="365"/>
      <c r="AD90" s="365"/>
      <c r="AE90" s="365"/>
      <c r="AF90" s="365"/>
      <c r="AG90" s="365"/>
      <c r="AH90" s="365"/>
      <c r="AI90" s="365"/>
      <c r="AJ90" s="365"/>
      <c r="AK90" s="365"/>
      <c r="AL90" s="365"/>
      <c r="AM90" s="365"/>
    </row>
    <row r="91" spans="1:40">
      <c r="B91" s="380"/>
      <c r="C91" s="556"/>
      <c r="D91" s="534" t="s">
        <v>139</v>
      </c>
      <c r="E91" s="534" t="s">
        <v>139</v>
      </c>
      <c r="F91" s="534" t="s">
        <v>139</v>
      </c>
      <c r="G91" s="534" t="s">
        <v>139</v>
      </c>
      <c r="H91" s="534" t="s">
        <v>139</v>
      </c>
      <c r="I91" s="534" t="s">
        <v>139</v>
      </c>
      <c r="J91" s="534" t="s">
        <v>139</v>
      </c>
      <c r="K91" s="534" t="s">
        <v>139</v>
      </c>
      <c r="L91" s="534" t="s">
        <v>139</v>
      </c>
      <c r="M91" s="534" t="s">
        <v>139</v>
      </c>
      <c r="N91" s="534" t="s">
        <v>139</v>
      </c>
      <c r="O91" s="534" t="s">
        <v>139</v>
      </c>
      <c r="P91" s="534" t="s">
        <v>139</v>
      </c>
      <c r="Q91" s="534" t="s">
        <v>139</v>
      </c>
      <c r="R91" s="534" t="s">
        <v>139</v>
      </c>
      <c r="S91" s="534" t="s">
        <v>139</v>
      </c>
      <c r="T91" s="534" t="s">
        <v>139</v>
      </c>
      <c r="U91" s="534" t="s">
        <v>139</v>
      </c>
      <c r="V91" s="534" t="s">
        <v>139</v>
      </c>
      <c r="W91" s="550"/>
      <c r="X91" s="550"/>
      <c r="Y91" s="365"/>
      <c r="Z91" s="365"/>
      <c r="AA91" s="365"/>
      <c r="AB91" s="365"/>
      <c r="AC91" s="365"/>
      <c r="AD91" s="365"/>
      <c r="AE91" s="365"/>
      <c r="AF91" s="365"/>
      <c r="AG91" s="365"/>
      <c r="AH91" s="365"/>
      <c r="AI91" s="365"/>
      <c r="AJ91" s="365"/>
      <c r="AK91" s="365"/>
      <c r="AL91" s="365"/>
      <c r="AM91" s="365"/>
    </row>
    <row r="92" spans="1:40">
      <c r="B92" s="380"/>
      <c r="C92" s="556"/>
      <c r="N92" s="1944"/>
      <c r="O92" s="1944"/>
      <c r="P92" s="1944"/>
      <c r="Q92" s="1944"/>
      <c r="R92" s="1944"/>
      <c r="S92" s="1944"/>
      <c r="T92" s="1944"/>
      <c r="U92" s="550"/>
      <c r="V92" s="550"/>
      <c r="W92" s="550"/>
      <c r="X92" s="550"/>
      <c r="Y92" s="365"/>
      <c r="Z92" s="365"/>
      <c r="AA92" s="365"/>
      <c r="AB92" s="365"/>
      <c r="AC92" s="365"/>
      <c r="AD92" s="365"/>
      <c r="AE92" s="365"/>
      <c r="AF92" s="365"/>
      <c r="AG92" s="365"/>
      <c r="AH92" s="365"/>
      <c r="AI92" s="365"/>
      <c r="AJ92" s="365"/>
      <c r="AK92" s="365"/>
      <c r="AL92" s="365"/>
      <c r="AM92" s="365"/>
    </row>
    <row r="93" spans="1:40">
      <c r="B93" s="380"/>
      <c r="C93" s="556"/>
      <c r="N93" s="1944"/>
      <c r="O93" s="1944"/>
      <c r="P93" s="1944"/>
      <c r="Q93" s="1944"/>
      <c r="R93" s="1944"/>
      <c r="S93" s="1944"/>
      <c r="T93" s="1944"/>
      <c r="U93" s="550"/>
      <c r="V93" s="550"/>
      <c r="W93" s="550"/>
      <c r="X93" s="550"/>
      <c r="Y93" s="365"/>
      <c r="Z93" s="365"/>
      <c r="AA93" s="365"/>
      <c r="AB93" s="365"/>
      <c r="AC93" s="365"/>
      <c r="AD93" s="365"/>
      <c r="AE93" s="365"/>
      <c r="AF93" s="365"/>
      <c r="AG93" s="365"/>
      <c r="AH93" s="365"/>
      <c r="AI93" s="365"/>
      <c r="AJ93" s="365"/>
      <c r="AK93" s="365"/>
      <c r="AL93" s="365"/>
      <c r="AM93" s="365"/>
    </row>
    <row r="94" spans="1:40">
      <c r="B94" s="534" t="s">
        <v>1168</v>
      </c>
      <c r="C94" s="572"/>
      <c r="D94" s="572">
        <f t="shared" ref="D94:U94" si="15">D6-D7-D25</f>
        <v>-1000000</v>
      </c>
      <c r="E94" s="572">
        <f t="shared" si="15"/>
        <v>0</v>
      </c>
      <c r="F94" s="572">
        <f t="shared" si="15"/>
        <v>0</v>
      </c>
      <c r="G94" s="572">
        <f t="shared" si="15"/>
        <v>0</v>
      </c>
      <c r="H94" s="572">
        <f t="shared" si="15"/>
        <v>0</v>
      </c>
      <c r="I94" s="572">
        <f t="shared" si="15"/>
        <v>1000000</v>
      </c>
      <c r="J94" s="572">
        <f t="shared" si="15"/>
        <v>-1000000</v>
      </c>
      <c r="K94" s="572">
        <f t="shared" si="15"/>
        <v>0</v>
      </c>
      <c r="L94" s="572">
        <f t="shared" si="15"/>
        <v>0</v>
      </c>
      <c r="M94" s="572">
        <f t="shared" si="15"/>
        <v>0</v>
      </c>
      <c r="N94" s="572">
        <f t="shared" si="15"/>
        <v>0</v>
      </c>
      <c r="O94" s="572">
        <f t="shared" si="15"/>
        <v>0</v>
      </c>
      <c r="P94" s="572">
        <f t="shared" si="15"/>
        <v>0</v>
      </c>
      <c r="Q94" s="572">
        <f t="shared" si="15"/>
        <v>0</v>
      </c>
      <c r="R94" s="572">
        <f t="shared" si="15"/>
        <v>0</v>
      </c>
      <c r="S94" s="572">
        <f t="shared" si="15"/>
        <v>0</v>
      </c>
      <c r="T94" s="572">
        <f t="shared" si="15"/>
        <v>0</v>
      </c>
      <c r="U94" s="572">
        <f t="shared" si="15"/>
        <v>0</v>
      </c>
      <c r="V94" s="550"/>
      <c r="W94" s="550"/>
      <c r="X94" s="550"/>
    </row>
    <row r="95" spans="1:40">
      <c r="B95" s="534" t="s">
        <v>141</v>
      </c>
      <c r="D95" s="571">
        <f t="shared" ref="D95:O95" si="16">D7-D8-D23</f>
        <v>0</v>
      </c>
      <c r="E95" s="571">
        <f t="shared" si="16"/>
        <v>0</v>
      </c>
      <c r="F95" s="571">
        <f t="shared" si="16"/>
        <v>0</v>
      </c>
      <c r="G95" s="571">
        <f t="shared" si="16"/>
        <v>0</v>
      </c>
      <c r="H95" s="571">
        <f t="shared" si="16"/>
        <v>0</v>
      </c>
      <c r="I95" s="571">
        <f t="shared" si="16"/>
        <v>0</v>
      </c>
      <c r="J95" s="571">
        <f t="shared" si="16"/>
        <v>0</v>
      </c>
      <c r="K95" s="571">
        <f t="shared" si="16"/>
        <v>0</v>
      </c>
      <c r="L95" s="571">
        <f t="shared" si="16"/>
        <v>0</v>
      </c>
      <c r="M95" s="571">
        <f t="shared" si="16"/>
        <v>0</v>
      </c>
      <c r="N95" s="571">
        <f t="shared" si="16"/>
        <v>0</v>
      </c>
      <c r="O95" s="571">
        <f t="shared" si="16"/>
        <v>0</v>
      </c>
      <c r="P95" s="571">
        <f>P7-P9-P14</f>
        <v>0</v>
      </c>
      <c r="Q95" s="571">
        <f t="shared" ref="Q95:V95" si="17">Q7-Q9-Q14</f>
        <v>0</v>
      </c>
      <c r="R95" s="571">
        <f t="shared" si="17"/>
        <v>0</v>
      </c>
      <c r="S95" s="571">
        <f t="shared" si="17"/>
        <v>0</v>
      </c>
      <c r="T95" s="571">
        <f t="shared" si="17"/>
        <v>0</v>
      </c>
      <c r="U95" s="571">
        <f t="shared" si="17"/>
        <v>0</v>
      </c>
      <c r="V95" s="571">
        <f t="shared" si="17"/>
        <v>0</v>
      </c>
    </row>
    <row r="96" spans="1:40">
      <c r="B96" s="534" t="s">
        <v>5330</v>
      </c>
      <c r="D96" s="571">
        <f t="shared" ref="D96:U96" si="18">D8-D20-D21</f>
        <v>0</v>
      </c>
      <c r="E96" s="571">
        <f t="shared" si="18"/>
        <v>0</v>
      </c>
      <c r="F96" s="571">
        <f t="shared" si="18"/>
        <v>0</v>
      </c>
      <c r="G96" s="571">
        <f t="shared" si="18"/>
        <v>0</v>
      </c>
      <c r="H96" s="571">
        <f t="shared" si="18"/>
        <v>0</v>
      </c>
      <c r="I96" s="571">
        <f t="shared" si="18"/>
        <v>0</v>
      </c>
      <c r="J96" s="571">
        <f t="shared" si="18"/>
        <v>0</v>
      </c>
      <c r="K96" s="571">
        <f t="shared" si="18"/>
        <v>-1000000</v>
      </c>
      <c r="L96" s="571">
        <f t="shared" si="18"/>
        <v>0</v>
      </c>
      <c r="M96" s="571">
        <f t="shared" si="18"/>
        <v>0</v>
      </c>
      <c r="N96" s="571">
        <f t="shared" si="18"/>
        <v>0</v>
      </c>
      <c r="O96" s="571">
        <f t="shared" si="18"/>
        <v>0</v>
      </c>
      <c r="P96" s="571">
        <f t="shared" si="18"/>
        <v>0</v>
      </c>
      <c r="Q96" s="571">
        <f t="shared" si="18"/>
        <v>0</v>
      </c>
      <c r="R96" s="571">
        <f t="shared" si="18"/>
        <v>0</v>
      </c>
      <c r="S96" s="571">
        <f t="shared" si="18"/>
        <v>0</v>
      </c>
      <c r="T96" s="571">
        <f t="shared" si="18"/>
        <v>0</v>
      </c>
      <c r="U96" s="571">
        <f t="shared" si="18"/>
        <v>0</v>
      </c>
    </row>
    <row r="97" spans="2:23">
      <c r="B97" s="534" t="s">
        <v>143</v>
      </c>
      <c r="D97" s="571">
        <f t="shared" ref="D97:U97" si="19">D25-D26-D27</f>
        <v>0</v>
      </c>
      <c r="E97" s="571">
        <f t="shared" si="19"/>
        <v>-1000000</v>
      </c>
      <c r="F97" s="571">
        <f t="shared" si="19"/>
        <v>0</v>
      </c>
      <c r="G97" s="571">
        <f t="shared" si="19"/>
        <v>0</v>
      </c>
      <c r="H97" s="571">
        <f t="shared" si="19"/>
        <v>0</v>
      </c>
      <c r="I97" s="571">
        <f t="shared" si="19"/>
        <v>0</v>
      </c>
      <c r="J97" s="571">
        <f t="shared" si="19"/>
        <v>0</v>
      </c>
      <c r="K97" s="571">
        <f t="shared" si="19"/>
        <v>0</v>
      </c>
      <c r="L97" s="576">
        <f t="shared" si="19"/>
        <v>1002000000</v>
      </c>
      <c r="M97" s="576">
        <f t="shared" si="19"/>
        <v>878000000</v>
      </c>
      <c r="N97" s="576">
        <f t="shared" si="19"/>
        <v>1391000000</v>
      </c>
      <c r="O97" s="576">
        <f t="shared" si="19"/>
        <v>1025000000</v>
      </c>
      <c r="P97" s="1957">
        <f t="shared" si="19"/>
        <v>931000000</v>
      </c>
      <c r="Q97" s="1957">
        <f t="shared" si="19"/>
        <v>878000000</v>
      </c>
      <c r="R97" s="1957">
        <f t="shared" si="19"/>
        <v>868000000</v>
      </c>
      <c r="S97" s="1957">
        <f t="shared" si="19"/>
        <v>820000000</v>
      </c>
      <c r="T97" s="1957">
        <f t="shared" si="19"/>
        <v>1430000000</v>
      </c>
      <c r="U97" s="1957">
        <f t="shared" si="19"/>
        <v>968000000</v>
      </c>
    </row>
    <row r="98" spans="2:23">
      <c r="B98" s="534" t="s">
        <v>619</v>
      </c>
      <c r="D98" s="571">
        <f t="shared" ref="D98:U98" si="20">D29-D30-D57-D63</f>
        <v>0</v>
      </c>
      <c r="E98" s="571">
        <f t="shared" si="20"/>
        <v>0</v>
      </c>
      <c r="F98" s="571">
        <f t="shared" si="20"/>
        <v>0</v>
      </c>
      <c r="G98" s="571">
        <f t="shared" si="20"/>
        <v>0</v>
      </c>
      <c r="H98" s="571">
        <f t="shared" si="20"/>
        <v>0</v>
      </c>
      <c r="I98" s="571">
        <f t="shared" si="20"/>
        <v>0</v>
      </c>
      <c r="J98" s="571">
        <f t="shared" si="20"/>
        <v>0</v>
      </c>
      <c r="K98" s="571">
        <f t="shared" si="20"/>
        <v>0</v>
      </c>
      <c r="L98" s="571">
        <f t="shared" si="20"/>
        <v>0</v>
      </c>
      <c r="M98" s="571">
        <f t="shared" si="20"/>
        <v>0</v>
      </c>
      <c r="N98" s="571">
        <f t="shared" si="20"/>
        <v>0</v>
      </c>
      <c r="O98" s="571">
        <f t="shared" si="20"/>
        <v>0</v>
      </c>
      <c r="P98" s="571">
        <f t="shared" si="20"/>
        <v>0</v>
      </c>
      <c r="Q98" s="571">
        <f t="shared" si="20"/>
        <v>0</v>
      </c>
      <c r="R98" s="571">
        <f t="shared" si="20"/>
        <v>0</v>
      </c>
      <c r="S98" s="571">
        <f t="shared" si="20"/>
        <v>0</v>
      </c>
      <c r="T98" s="571">
        <f t="shared" si="20"/>
        <v>0</v>
      </c>
      <c r="U98" s="571">
        <f t="shared" si="20"/>
        <v>0</v>
      </c>
    </row>
    <row r="99" spans="2:23">
      <c r="B99" s="534" t="s">
        <v>826</v>
      </c>
      <c r="D99" s="571">
        <f t="shared" ref="D99:O99" si="21">D30-D34-D48</f>
        <v>0</v>
      </c>
      <c r="E99" s="571">
        <f t="shared" si="21"/>
        <v>0</v>
      </c>
      <c r="F99" s="571">
        <f t="shared" si="21"/>
        <v>0</v>
      </c>
      <c r="G99" s="571">
        <f t="shared" si="21"/>
        <v>0</v>
      </c>
      <c r="H99" s="571">
        <f t="shared" si="21"/>
        <v>0</v>
      </c>
      <c r="I99" s="571">
        <f t="shared" si="21"/>
        <v>-1000000</v>
      </c>
      <c r="J99" s="571">
        <f t="shared" si="21"/>
        <v>0</v>
      </c>
      <c r="K99" s="571">
        <f t="shared" si="21"/>
        <v>0</v>
      </c>
      <c r="L99" s="576">
        <f t="shared" si="21"/>
        <v>3769000000</v>
      </c>
      <c r="M99" s="576">
        <f t="shared" si="21"/>
        <v>4184000000</v>
      </c>
      <c r="N99" s="576">
        <f t="shared" si="21"/>
        <v>4162000000</v>
      </c>
      <c r="O99" s="576">
        <f t="shared" si="21"/>
        <v>5348000000</v>
      </c>
      <c r="P99" s="571">
        <f t="shared" ref="P99:U99" si="22">P30-P34-P48-P32-P33-P51-P52-P53</f>
        <v>0</v>
      </c>
      <c r="Q99" s="571">
        <f t="shared" si="22"/>
        <v>1000000</v>
      </c>
      <c r="R99" s="571">
        <f t="shared" si="22"/>
        <v>0</v>
      </c>
      <c r="S99" s="571">
        <f t="shared" si="22"/>
        <v>0</v>
      </c>
      <c r="T99" s="571">
        <f t="shared" si="22"/>
        <v>0</v>
      </c>
      <c r="U99" s="571">
        <f t="shared" si="22"/>
        <v>0</v>
      </c>
    </row>
    <row r="100" spans="2:23">
      <c r="B100" s="534" t="s">
        <v>5331</v>
      </c>
      <c r="D100" s="571">
        <f t="shared" ref="D100:U100" si="23">D34-D35-D42-D47</f>
        <v>0</v>
      </c>
      <c r="E100" s="571">
        <f t="shared" si="23"/>
        <v>0</v>
      </c>
      <c r="F100" s="571">
        <f t="shared" si="23"/>
        <v>0</v>
      </c>
      <c r="G100" s="571">
        <f t="shared" si="23"/>
        <v>1000000</v>
      </c>
      <c r="H100" s="571">
        <f t="shared" si="23"/>
        <v>0</v>
      </c>
      <c r="I100" s="571">
        <f t="shared" si="23"/>
        <v>0</v>
      </c>
      <c r="J100" s="571">
        <f t="shared" si="23"/>
        <v>0</v>
      </c>
      <c r="K100" s="571">
        <f t="shared" si="23"/>
        <v>0</v>
      </c>
      <c r="L100" s="571">
        <f t="shared" si="23"/>
        <v>0</v>
      </c>
      <c r="M100" s="571">
        <f t="shared" si="23"/>
        <v>0</v>
      </c>
      <c r="N100" s="571">
        <f t="shared" si="23"/>
        <v>0</v>
      </c>
      <c r="O100" s="571">
        <f t="shared" si="23"/>
        <v>0</v>
      </c>
      <c r="P100" s="571">
        <f t="shared" si="23"/>
        <v>0</v>
      </c>
      <c r="Q100" s="571">
        <f t="shared" si="23"/>
        <v>0</v>
      </c>
      <c r="R100" s="571">
        <f t="shared" si="23"/>
        <v>0</v>
      </c>
      <c r="S100" s="571">
        <f t="shared" si="23"/>
        <v>0</v>
      </c>
      <c r="T100" s="571">
        <f t="shared" si="23"/>
        <v>0</v>
      </c>
      <c r="U100" s="571">
        <f t="shared" si="23"/>
        <v>0</v>
      </c>
    </row>
    <row r="101" spans="2:23">
      <c r="B101" s="534" t="s">
        <v>5332</v>
      </c>
      <c r="D101" s="571">
        <f t="shared" ref="D101:U101" si="24">D35-D36-D37-D38-D39-D40-D41</f>
        <v>0</v>
      </c>
      <c r="E101" s="571">
        <f t="shared" si="24"/>
        <v>-1000000</v>
      </c>
      <c r="F101" s="571">
        <f t="shared" si="24"/>
        <v>0</v>
      </c>
      <c r="G101" s="571">
        <f t="shared" si="24"/>
        <v>0</v>
      </c>
      <c r="H101" s="571">
        <f t="shared" si="24"/>
        <v>-1000000</v>
      </c>
      <c r="I101" s="571">
        <f t="shared" si="24"/>
        <v>-1000000</v>
      </c>
      <c r="J101" s="571">
        <f t="shared" si="24"/>
        <v>0</v>
      </c>
      <c r="K101" s="571">
        <f t="shared" si="24"/>
        <v>-1000000</v>
      </c>
      <c r="L101" s="571">
        <f t="shared" si="24"/>
        <v>0</v>
      </c>
      <c r="M101" s="571">
        <f t="shared" si="24"/>
        <v>0</v>
      </c>
      <c r="N101" s="571">
        <f t="shared" si="24"/>
        <v>0</v>
      </c>
      <c r="O101" s="571">
        <f t="shared" si="24"/>
        <v>0</v>
      </c>
      <c r="P101" s="571">
        <f t="shared" si="24"/>
        <v>0</v>
      </c>
      <c r="Q101" s="571">
        <f t="shared" si="24"/>
        <v>0</v>
      </c>
      <c r="R101" s="571">
        <f t="shared" si="24"/>
        <v>0</v>
      </c>
      <c r="S101" s="571">
        <f t="shared" si="24"/>
        <v>0</v>
      </c>
      <c r="T101" s="571">
        <f t="shared" si="24"/>
        <v>0</v>
      </c>
      <c r="U101" s="571">
        <f t="shared" si="24"/>
        <v>0</v>
      </c>
    </row>
    <row r="102" spans="2:23">
      <c r="B102" s="534" t="s">
        <v>5333</v>
      </c>
      <c r="D102" s="571">
        <f t="shared" ref="D102:U102" si="25">D42-D43-D44-D45-D46</f>
        <v>1000000</v>
      </c>
      <c r="E102" s="571">
        <f t="shared" si="25"/>
        <v>0</v>
      </c>
      <c r="F102" s="571">
        <f t="shared" si="25"/>
        <v>0</v>
      </c>
      <c r="G102" s="571">
        <f t="shared" si="25"/>
        <v>0</v>
      </c>
      <c r="H102" s="571">
        <f t="shared" si="25"/>
        <v>0</v>
      </c>
      <c r="I102" s="571">
        <f t="shared" si="25"/>
        <v>0</v>
      </c>
      <c r="J102" s="571">
        <f t="shared" si="25"/>
        <v>0</v>
      </c>
      <c r="K102" s="571">
        <f t="shared" si="25"/>
        <v>0</v>
      </c>
      <c r="L102" s="571">
        <f t="shared" si="25"/>
        <v>0</v>
      </c>
      <c r="M102" s="571">
        <f t="shared" si="25"/>
        <v>0</v>
      </c>
      <c r="N102" s="571">
        <f t="shared" si="25"/>
        <v>0</v>
      </c>
      <c r="O102" s="571">
        <f t="shared" si="25"/>
        <v>0</v>
      </c>
      <c r="P102" s="571">
        <f t="shared" si="25"/>
        <v>0</v>
      </c>
      <c r="Q102" s="571">
        <f t="shared" si="25"/>
        <v>0</v>
      </c>
      <c r="R102" s="571">
        <f t="shared" si="25"/>
        <v>0</v>
      </c>
      <c r="S102" s="571">
        <f t="shared" si="25"/>
        <v>0</v>
      </c>
      <c r="T102" s="571">
        <f t="shared" si="25"/>
        <v>0</v>
      </c>
      <c r="U102" s="571">
        <f t="shared" si="25"/>
        <v>0</v>
      </c>
    </row>
    <row r="103" spans="2:23">
      <c r="B103" s="534" t="s">
        <v>291</v>
      </c>
      <c r="D103" s="571">
        <f t="shared" ref="D103:U103" si="26">D48-D49-D50</f>
        <v>0</v>
      </c>
      <c r="E103" s="571">
        <f t="shared" si="26"/>
        <v>0</v>
      </c>
      <c r="F103" s="571">
        <f t="shared" si="26"/>
        <v>0</v>
      </c>
      <c r="G103" s="571">
        <f t="shared" si="26"/>
        <v>1000000</v>
      </c>
      <c r="H103" s="571">
        <f t="shared" si="26"/>
        <v>0</v>
      </c>
      <c r="I103" s="571">
        <f t="shared" si="26"/>
        <v>0</v>
      </c>
      <c r="J103" s="571">
        <f t="shared" si="26"/>
        <v>0</v>
      </c>
      <c r="K103" s="571">
        <f t="shared" si="26"/>
        <v>0</v>
      </c>
      <c r="L103" s="571">
        <f t="shared" si="26"/>
        <v>0</v>
      </c>
      <c r="M103" s="571">
        <f t="shared" si="26"/>
        <v>0</v>
      </c>
      <c r="N103" s="571">
        <f t="shared" si="26"/>
        <v>0</v>
      </c>
      <c r="O103" s="571">
        <f t="shared" si="26"/>
        <v>0</v>
      </c>
      <c r="P103" s="1957">
        <f t="shared" si="26"/>
        <v>452000000</v>
      </c>
      <c r="Q103" s="1957">
        <f t="shared" si="26"/>
        <v>521000000</v>
      </c>
      <c r="R103" s="1957">
        <f t="shared" si="26"/>
        <v>933000000</v>
      </c>
      <c r="S103" s="1957">
        <f t="shared" si="26"/>
        <v>1070000000</v>
      </c>
      <c r="T103" s="1957">
        <f t="shared" si="26"/>
        <v>1248000000</v>
      </c>
      <c r="U103" s="1957">
        <f t="shared" si="26"/>
        <v>1524000000</v>
      </c>
    </row>
    <row r="104" spans="2:23">
      <c r="B104" s="534" t="s">
        <v>4148</v>
      </c>
      <c r="D104" s="571">
        <f t="shared" ref="D104:U104" si="27">D57-D58-D59-D60-D61</f>
        <v>1000000</v>
      </c>
      <c r="E104" s="571">
        <f t="shared" si="27"/>
        <v>0</v>
      </c>
      <c r="F104" s="571">
        <f t="shared" si="27"/>
        <v>0</v>
      </c>
      <c r="G104" s="571">
        <f t="shared" si="27"/>
        <v>0</v>
      </c>
      <c r="H104" s="571">
        <f t="shared" si="27"/>
        <v>0</v>
      </c>
      <c r="I104" s="571">
        <f t="shared" si="27"/>
        <v>0</v>
      </c>
      <c r="J104" s="571">
        <f t="shared" si="27"/>
        <v>-1000000</v>
      </c>
      <c r="K104" s="571">
        <f t="shared" si="27"/>
        <v>0</v>
      </c>
      <c r="L104" s="576">
        <f t="shared" si="27"/>
        <v>2729000000</v>
      </c>
      <c r="M104" s="576">
        <f t="shared" si="27"/>
        <v>4054000000</v>
      </c>
      <c r="N104" s="576">
        <f t="shared" si="27"/>
        <v>3279000000</v>
      </c>
      <c r="O104" s="576">
        <f t="shared" si="27"/>
        <v>3416000000</v>
      </c>
      <c r="P104" s="1957">
        <f t="shared" si="27"/>
        <v>1206000000</v>
      </c>
      <c r="Q104" s="1957">
        <f t="shared" si="27"/>
        <v>1435000000</v>
      </c>
      <c r="R104" s="1957">
        <f t="shared" si="27"/>
        <v>3027000000</v>
      </c>
      <c r="S104" s="1957">
        <f t="shared" si="27"/>
        <v>1428000000</v>
      </c>
      <c r="T104" s="1957">
        <f t="shared" si="27"/>
        <v>678000000</v>
      </c>
      <c r="U104" s="1957">
        <f t="shared" si="27"/>
        <v>526000000</v>
      </c>
    </row>
    <row r="105" spans="2:23">
      <c r="B105" s="534" t="s">
        <v>148</v>
      </c>
      <c r="D105" s="571">
        <f t="shared" ref="D105:U105" si="28">D75-D76-D77-D78-D79</f>
        <v>1000000</v>
      </c>
      <c r="E105" s="571">
        <f t="shared" si="28"/>
        <v>0</v>
      </c>
      <c r="F105" s="571">
        <f t="shared" si="28"/>
        <v>0</v>
      </c>
      <c r="G105" s="571">
        <f t="shared" si="28"/>
        <v>0</v>
      </c>
      <c r="H105" s="571">
        <f t="shared" si="28"/>
        <v>0</v>
      </c>
      <c r="I105" s="571">
        <f t="shared" si="28"/>
        <v>0</v>
      </c>
      <c r="J105" s="571">
        <f t="shared" si="28"/>
        <v>0</v>
      </c>
      <c r="K105" s="571">
        <f t="shared" si="28"/>
        <v>0</v>
      </c>
      <c r="L105" s="576">
        <f t="shared" si="28"/>
        <v>-831000000</v>
      </c>
      <c r="M105" s="576">
        <f t="shared" si="28"/>
        <v>1237000000</v>
      </c>
      <c r="N105" s="576">
        <f t="shared" si="28"/>
        <v>-1033000000</v>
      </c>
      <c r="O105" s="576">
        <f t="shared" si="28"/>
        <v>-825000000</v>
      </c>
      <c r="P105" s="1957">
        <f t="shared" si="28"/>
        <v>162000000</v>
      </c>
      <c r="Q105" s="1957">
        <f t="shared" si="28"/>
        <v>344000000</v>
      </c>
      <c r="R105" s="1957">
        <f t="shared" si="28"/>
        <v>422000000</v>
      </c>
      <c r="S105" s="1957">
        <f t="shared" si="28"/>
        <v>521000000</v>
      </c>
      <c r="T105" s="1957">
        <f t="shared" si="28"/>
        <v>1449000000</v>
      </c>
      <c r="U105" s="1957">
        <f t="shared" si="28"/>
        <v>199000000</v>
      </c>
    </row>
    <row r="107" spans="2:23" ht="16.5" thickBot="1">
      <c r="Q107" s="1945"/>
      <c r="R107" s="1945"/>
      <c r="S107" s="1945"/>
      <c r="T107" s="1945"/>
    </row>
    <row r="108" spans="2:23" ht="16.5" thickBot="1">
      <c r="B108" s="534" t="s">
        <v>150</v>
      </c>
      <c r="D108" s="1946">
        <v>9736000000</v>
      </c>
      <c r="E108" s="1947">
        <v>10396000000</v>
      </c>
      <c r="F108" s="1947">
        <v>11872000000</v>
      </c>
      <c r="G108" s="1947">
        <v>13242000000</v>
      </c>
      <c r="H108" s="1947">
        <v>13459000000</v>
      </c>
      <c r="I108" s="1947">
        <v>15094000000</v>
      </c>
      <c r="J108" s="1947">
        <v>16896999999.999998</v>
      </c>
      <c r="K108" s="1947">
        <v>18802000000</v>
      </c>
      <c r="L108" s="1947">
        <v>21601000000</v>
      </c>
      <c r="M108" s="1947">
        <v>22331000000</v>
      </c>
      <c r="N108" s="1947">
        <v>26421000000</v>
      </c>
      <c r="O108" s="1947">
        <v>30522000000</v>
      </c>
      <c r="P108" s="1947">
        <v>44315000000</v>
      </c>
      <c r="Q108" s="425">
        <v>47459000000</v>
      </c>
      <c r="R108" s="425">
        <v>54661000000</v>
      </c>
      <c r="S108" s="425">
        <v>59010000000</v>
      </c>
      <c r="T108" s="425">
        <v>61866000000</v>
      </c>
      <c r="U108" s="1948">
        <v>68729000000</v>
      </c>
      <c r="V108" s="1948">
        <v>64.341999999999999</v>
      </c>
      <c r="W108" s="1949">
        <v>69.143000000000001</v>
      </c>
    </row>
    <row r="109" spans="2:23">
      <c r="B109" s="534" t="s">
        <v>151</v>
      </c>
      <c r="D109" s="534">
        <f t="shared" ref="D109:U109" si="29">(D6/D108)*100</f>
        <v>30.464256368118324</v>
      </c>
      <c r="E109" s="534">
        <f t="shared" si="29"/>
        <v>29.694113120430938</v>
      </c>
      <c r="F109" s="534">
        <f t="shared" si="29"/>
        <v>27.265835579514825</v>
      </c>
      <c r="G109" s="534">
        <f t="shared" si="29"/>
        <v>27.669536323818157</v>
      </c>
      <c r="H109" s="534">
        <f t="shared" si="29"/>
        <v>32.060331376773902</v>
      </c>
      <c r="I109" s="534">
        <f t="shared" si="29"/>
        <v>35.159666092487079</v>
      </c>
      <c r="J109" s="534">
        <f t="shared" si="29"/>
        <v>37.213706575131681</v>
      </c>
      <c r="K109" s="534">
        <f t="shared" si="29"/>
        <v>37.272630571215828</v>
      </c>
      <c r="L109" s="534">
        <f t="shared" si="29"/>
        <v>32.595713161427717</v>
      </c>
      <c r="M109" s="534">
        <f t="shared" si="29"/>
        <v>27.302852536832205</v>
      </c>
      <c r="N109" s="534">
        <f t="shared" si="29"/>
        <v>31.266795352181976</v>
      </c>
      <c r="O109" s="534">
        <f t="shared" si="29"/>
        <v>30.40429853875893</v>
      </c>
      <c r="P109" s="1958">
        <f t="shared" si="29"/>
        <v>21.254654180300125</v>
      </c>
      <c r="Q109" s="1958">
        <f t="shared" si="29"/>
        <v>20.855896668703515</v>
      </c>
      <c r="R109" s="1958">
        <f t="shared" si="29"/>
        <v>21.724812937926494</v>
      </c>
      <c r="S109" s="1958">
        <f t="shared" si="29"/>
        <v>18.047788510421963</v>
      </c>
      <c r="T109" s="1958">
        <f t="shared" si="29"/>
        <v>16.947919697410534</v>
      </c>
      <c r="U109" s="1958">
        <f t="shared" si="29"/>
        <v>15.306493619869341</v>
      </c>
    </row>
    <row r="110" spans="2:23">
      <c r="B110" s="534" t="s">
        <v>152</v>
      </c>
      <c r="D110" s="534">
        <f t="shared" ref="D110:U110" si="30">(D29/D108)*100</f>
        <v>31.337304847986854</v>
      </c>
      <c r="E110" s="534">
        <f t="shared" si="30"/>
        <v>33.291650634859558</v>
      </c>
      <c r="F110" s="534">
        <f t="shared" si="30"/>
        <v>31.570080862533693</v>
      </c>
      <c r="G110" s="534">
        <f t="shared" si="30"/>
        <v>28.85515783114333</v>
      </c>
      <c r="H110" s="534">
        <f t="shared" si="30"/>
        <v>30.566906902444462</v>
      </c>
      <c r="I110" s="534">
        <f t="shared" si="30"/>
        <v>31.462832913740556</v>
      </c>
      <c r="J110" s="534">
        <f t="shared" si="30"/>
        <v>30.703675208616914</v>
      </c>
      <c r="K110" s="534">
        <f t="shared" si="30"/>
        <v>28.342729496862034</v>
      </c>
      <c r="L110" s="534">
        <f t="shared" si="30"/>
        <v>30.081940650895795</v>
      </c>
      <c r="M110" s="534">
        <f t="shared" si="30"/>
        <v>36.890421387309118</v>
      </c>
      <c r="N110" s="534">
        <f t="shared" si="30"/>
        <v>28.163203512357594</v>
      </c>
      <c r="O110" s="534">
        <f t="shared" si="30"/>
        <v>28.713714697595176</v>
      </c>
      <c r="P110" s="1958">
        <f t="shared" si="30"/>
        <v>22.446124337131899</v>
      </c>
      <c r="Q110" s="1958">
        <f t="shared" si="30"/>
        <v>27.762911144356185</v>
      </c>
      <c r="R110" s="1958">
        <f t="shared" si="30"/>
        <v>28.272442875176086</v>
      </c>
      <c r="S110" s="1958">
        <f t="shared" si="30"/>
        <v>22.869005253346891</v>
      </c>
      <c r="T110" s="1958">
        <f t="shared" si="30"/>
        <v>21.929654414379467</v>
      </c>
      <c r="U110" s="1958">
        <f t="shared" si="30"/>
        <v>18.607865675333557</v>
      </c>
    </row>
    <row r="113" spans="2:24" ht="13.5" customHeight="1">
      <c r="B113" s="534" t="s">
        <v>153</v>
      </c>
      <c r="D113" s="534" t="b">
        <f t="shared" ref="D113:X113" si="31">IF(D63&lt;0, (D63/D28)*100)</f>
        <v>0</v>
      </c>
      <c r="E113" s="534" t="b">
        <f t="shared" si="31"/>
        <v>0</v>
      </c>
      <c r="F113" s="534" t="b">
        <f t="shared" si="31"/>
        <v>0</v>
      </c>
      <c r="G113" s="534" t="b">
        <f t="shared" si="31"/>
        <v>0</v>
      </c>
      <c r="H113" s="534" t="b">
        <f t="shared" si="31"/>
        <v>0</v>
      </c>
      <c r="I113" s="534" t="b">
        <f t="shared" si="31"/>
        <v>0</v>
      </c>
      <c r="J113" s="534" t="b">
        <f t="shared" si="31"/>
        <v>0</v>
      </c>
      <c r="K113" s="534" t="b">
        <f t="shared" si="31"/>
        <v>0</v>
      </c>
      <c r="L113" s="534" t="b">
        <f t="shared" si="31"/>
        <v>0</v>
      </c>
      <c r="M113" s="534" t="b">
        <f t="shared" si="31"/>
        <v>0</v>
      </c>
      <c r="N113" s="534" t="b">
        <f t="shared" si="31"/>
        <v>0</v>
      </c>
      <c r="O113" s="534" t="b">
        <f t="shared" si="31"/>
        <v>0</v>
      </c>
      <c r="P113" s="534" t="b">
        <f t="shared" si="31"/>
        <v>0</v>
      </c>
      <c r="Q113" s="534" t="b">
        <f t="shared" si="31"/>
        <v>0</v>
      </c>
      <c r="R113" s="534" t="b">
        <f t="shared" si="31"/>
        <v>0</v>
      </c>
      <c r="S113" s="534" t="b">
        <f t="shared" si="31"/>
        <v>0</v>
      </c>
      <c r="T113" s="534" t="b">
        <f t="shared" si="31"/>
        <v>0</v>
      </c>
      <c r="U113" s="534" t="b">
        <f t="shared" si="31"/>
        <v>0</v>
      </c>
      <c r="V113" s="534" t="b">
        <f t="shared" si="31"/>
        <v>0</v>
      </c>
      <c r="W113" s="534" t="b">
        <f t="shared" si="31"/>
        <v>0</v>
      </c>
      <c r="X113" s="534"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AM56"/>
  <sheetViews>
    <sheetView zoomScale="55" zoomScaleNormal="55" workbookViewId="0">
      <pane xSplit="3" ySplit="5" topLeftCell="D6" activePane="bottomRight" state="frozen"/>
      <selection pane="topRight" activeCell="R7" sqref="R7"/>
      <selection pane="bottomLeft" activeCell="R7" sqref="R7"/>
      <selection pane="bottomRight" activeCell="J67" sqref="J67"/>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0" width="22.28515625" bestFit="1" customWidth="1"/>
    <col min="11" max="11" width="22" bestFit="1" customWidth="1"/>
    <col min="12" max="12" width="23" bestFit="1" customWidth="1"/>
    <col min="13" max="13" width="23.5703125" bestFit="1" customWidth="1"/>
  </cols>
  <sheetData>
    <row r="1" spans="1:39">
      <c r="A1" s="26" t="s">
        <v>5334</v>
      </c>
      <c r="B1" s="82" t="s">
        <v>5335</v>
      </c>
      <c r="C1" s="82"/>
      <c r="D1" s="28"/>
      <c r="E1" s="28"/>
      <c r="F1" s="28"/>
      <c r="G1" s="29"/>
      <c r="H1" s="28"/>
      <c r="I1" s="28"/>
      <c r="J1" s="28"/>
      <c r="K1" s="28"/>
      <c r="L1" s="28"/>
      <c r="M1" s="28"/>
      <c r="N1" s="2463"/>
      <c r="O1" s="2463"/>
      <c r="P1" s="2463"/>
      <c r="Q1" s="2463"/>
      <c r="R1" s="2463"/>
      <c r="S1" s="2463"/>
      <c r="T1" s="2463"/>
      <c r="U1" s="2463"/>
      <c r="V1" s="2463"/>
      <c r="W1" s="2463"/>
      <c r="X1" s="2463"/>
      <c r="Y1" s="2463"/>
      <c r="Z1" s="2463"/>
      <c r="AA1" s="2463"/>
      <c r="AB1" s="2463"/>
      <c r="AC1" s="2463"/>
      <c r="AD1" s="2463"/>
      <c r="AE1" s="2463"/>
      <c r="AF1" s="2463"/>
      <c r="AG1" s="2463"/>
      <c r="AH1" s="2463"/>
      <c r="AI1" s="2463"/>
      <c r="AJ1" s="2463"/>
      <c r="AK1" s="2463"/>
      <c r="AL1" s="2463"/>
      <c r="AM1" s="2463"/>
    </row>
    <row r="2" spans="1:39">
      <c r="B2" s="30" t="s">
        <v>5336</v>
      </c>
      <c r="C2" s="30"/>
      <c r="D2" s="28"/>
      <c r="E2" s="298"/>
      <c r="F2" s="298"/>
      <c r="G2" s="298"/>
      <c r="H2" s="298"/>
      <c r="I2" s="298"/>
      <c r="J2" s="298"/>
      <c r="K2" s="298"/>
      <c r="L2" s="298"/>
      <c r="M2" s="298"/>
      <c r="N2" s="2463"/>
      <c r="O2" s="2463"/>
      <c r="P2" s="2463"/>
      <c r="Q2" s="2463"/>
      <c r="R2" s="2463"/>
      <c r="S2" s="2463"/>
      <c r="T2" s="2463"/>
      <c r="U2" s="2463"/>
      <c r="V2" s="2463"/>
      <c r="W2" s="2463"/>
      <c r="X2" s="2463"/>
      <c r="Y2" s="2463"/>
      <c r="Z2" s="2463"/>
      <c r="AA2" s="2463"/>
      <c r="AB2" s="2463"/>
      <c r="AC2" s="2463"/>
      <c r="AD2" s="2463"/>
      <c r="AE2" s="2463"/>
      <c r="AF2" s="2463"/>
      <c r="AG2" s="2463"/>
      <c r="AH2" s="2463"/>
      <c r="AI2" s="2463"/>
      <c r="AJ2" s="2463"/>
      <c r="AK2" s="2463"/>
      <c r="AL2" s="2463"/>
      <c r="AM2" s="2463"/>
    </row>
    <row r="3" spans="1:39">
      <c r="B3" s="34" t="s">
        <v>3</v>
      </c>
      <c r="C3" s="34"/>
      <c r="D3" s="28">
        <v>2011</v>
      </c>
      <c r="E3" s="28">
        <v>2012</v>
      </c>
      <c r="F3" s="28">
        <v>2013</v>
      </c>
      <c r="G3" s="28">
        <v>2014</v>
      </c>
      <c r="H3" s="28">
        <v>2015</v>
      </c>
      <c r="I3" s="28">
        <v>2016</v>
      </c>
      <c r="J3" s="28">
        <v>2017</v>
      </c>
      <c r="K3" s="28">
        <v>2018</v>
      </c>
      <c r="L3" s="28">
        <v>2019</v>
      </c>
      <c r="M3" s="2">
        <v>2020</v>
      </c>
      <c r="N3" s="2463"/>
      <c r="O3" s="2463"/>
      <c r="P3" s="2463"/>
      <c r="Q3" s="2463"/>
      <c r="R3" s="2463"/>
      <c r="S3" s="2463"/>
      <c r="T3" s="2463"/>
      <c r="U3" s="2463"/>
      <c r="V3" s="2463"/>
      <c r="W3" s="2463"/>
      <c r="X3" s="2463"/>
      <c r="Y3" s="2463"/>
      <c r="Z3" s="2463"/>
      <c r="AA3" s="2463"/>
      <c r="AB3" s="2463"/>
      <c r="AC3" s="2463"/>
      <c r="AD3" s="2463"/>
      <c r="AE3" s="2463"/>
      <c r="AF3" s="2463"/>
      <c r="AG3" s="2463"/>
      <c r="AH3" s="2463"/>
      <c r="AI3" s="2463"/>
      <c r="AJ3" s="2463"/>
      <c r="AK3" s="2463"/>
      <c r="AL3" s="2463"/>
      <c r="AM3" s="2463"/>
    </row>
    <row r="4" spans="1:39">
      <c r="B4" s="34" t="s">
        <v>4</v>
      </c>
      <c r="C4" s="34"/>
      <c r="D4" s="28" t="s">
        <v>16</v>
      </c>
      <c r="E4" s="28" t="s">
        <v>17</v>
      </c>
      <c r="F4" s="28" t="s">
        <v>18</v>
      </c>
      <c r="G4" s="29" t="s">
        <v>19</v>
      </c>
      <c r="H4" s="28" t="s">
        <v>20</v>
      </c>
      <c r="I4" s="28" t="s">
        <v>21</v>
      </c>
      <c r="J4" s="28" t="s">
        <v>22</v>
      </c>
      <c r="K4" s="28" t="s">
        <v>23</v>
      </c>
      <c r="L4" s="28" t="s">
        <v>24</v>
      </c>
      <c r="M4" s="2" t="s">
        <v>25</v>
      </c>
      <c r="N4" s="2463"/>
      <c r="O4" s="2463"/>
      <c r="P4" s="2463"/>
      <c r="Q4" s="2463"/>
      <c r="R4" s="2463"/>
      <c r="S4" s="2463"/>
      <c r="T4" s="2463"/>
      <c r="U4" s="2463"/>
      <c r="V4" s="2463"/>
      <c r="W4" s="2463"/>
      <c r="X4" s="2463"/>
      <c r="Y4" s="2463"/>
      <c r="Z4" s="2463"/>
      <c r="AA4" s="2463"/>
      <c r="AB4" s="2463"/>
      <c r="AC4" s="2463"/>
      <c r="AD4" s="2463"/>
      <c r="AE4" s="2463"/>
      <c r="AF4" s="2463"/>
      <c r="AG4" s="2463"/>
      <c r="AH4" s="2463"/>
      <c r="AI4" s="2463"/>
      <c r="AJ4" s="2463"/>
      <c r="AK4" s="2463"/>
      <c r="AL4" s="2463"/>
      <c r="AM4" s="2463"/>
    </row>
    <row r="5" spans="1:39">
      <c r="A5" t="s">
        <v>28</v>
      </c>
      <c r="B5" s="34" t="s">
        <v>29</v>
      </c>
      <c r="C5" s="34"/>
      <c r="D5" s="28" t="s">
        <v>30</v>
      </c>
      <c r="E5" s="28" t="s">
        <v>30</v>
      </c>
      <c r="F5" s="28" t="s">
        <v>30</v>
      </c>
      <c r="G5" s="28" t="s">
        <v>30</v>
      </c>
      <c r="H5" s="28" t="s">
        <v>30</v>
      </c>
      <c r="I5" s="28" t="s">
        <v>369</v>
      </c>
      <c r="J5" s="28" t="s">
        <v>32</v>
      </c>
      <c r="K5" s="28" t="s">
        <v>32</v>
      </c>
      <c r="L5" s="28" t="s">
        <v>32</v>
      </c>
      <c r="M5" s="2" t="s">
        <v>32</v>
      </c>
      <c r="N5" s="2463"/>
      <c r="O5" s="2463"/>
      <c r="P5" s="2463"/>
      <c r="Q5" s="2463"/>
      <c r="R5" s="2463"/>
      <c r="S5" s="2463"/>
      <c r="T5" s="2463"/>
      <c r="U5" s="2463"/>
      <c r="V5" s="2463"/>
      <c r="W5" s="2463"/>
      <c r="X5" s="2463"/>
      <c r="Y5" s="2463"/>
      <c r="Z5" s="2463"/>
      <c r="AA5" s="2463"/>
      <c r="AB5" s="2463"/>
      <c r="AC5" s="2463"/>
      <c r="AD5" s="2463"/>
      <c r="AE5" s="2463"/>
      <c r="AF5" s="2463"/>
      <c r="AG5" s="2463"/>
      <c r="AH5" s="2463"/>
      <c r="AI5" s="2463"/>
      <c r="AJ5" s="2463"/>
      <c r="AK5" s="2463"/>
      <c r="AL5" s="2463"/>
      <c r="AM5" s="2463"/>
    </row>
    <row r="6" spans="1:39" s="9" customFormat="1">
      <c r="A6" s="240" t="s">
        <v>785</v>
      </c>
      <c r="B6" s="240" t="s">
        <v>159</v>
      </c>
      <c r="C6" s="240" t="s">
        <v>35</v>
      </c>
      <c r="D6" s="168"/>
      <c r="E6" s="168">
        <f>E7+E15</f>
        <v>25793184000000</v>
      </c>
      <c r="F6" s="168">
        <f t="shared" ref="F6:M6" si="0">F7+F15</f>
        <v>27658592000000</v>
      </c>
      <c r="G6" s="168">
        <f t="shared" si="0"/>
        <v>31280146000000</v>
      </c>
      <c r="H6" s="168">
        <f t="shared" si="0"/>
        <v>34080720000000</v>
      </c>
      <c r="I6" s="168">
        <f t="shared" si="0"/>
        <v>36877911000000</v>
      </c>
      <c r="J6" s="168">
        <f t="shared" si="0"/>
        <v>39811076000000</v>
      </c>
      <c r="K6" s="168">
        <f t="shared" si="0"/>
        <v>43054842000000</v>
      </c>
      <c r="L6" s="168">
        <f t="shared" si="0"/>
        <v>46587075000000</v>
      </c>
      <c r="M6" s="168">
        <f t="shared" si="0"/>
        <v>50369520000000</v>
      </c>
      <c r="N6" s="2463"/>
      <c r="O6" s="2463"/>
      <c r="P6" s="2463"/>
      <c r="Q6" s="2463"/>
      <c r="R6" s="2463"/>
      <c r="S6" s="2463"/>
      <c r="T6" s="2463"/>
      <c r="U6" s="2463"/>
      <c r="V6" s="2463"/>
      <c r="W6" s="2463"/>
      <c r="X6" s="2463"/>
      <c r="Y6" s="2463"/>
      <c r="Z6" s="2463"/>
      <c r="AA6" s="2463"/>
      <c r="AB6" s="2463"/>
      <c r="AC6" s="2463"/>
      <c r="AD6" s="2463"/>
      <c r="AE6" s="2463"/>
      <c r="AF6" s="2463"/>
      <c r="AG6" s="2463"/>
      <c r="AH6" s="2463"/>
      <c r="AI6" s="2463"/>
      <c r="AJ6" s="2463"/>
      <c r="AK6" s="2463"/>
      <c r="AL6" s="2463"/>
      <c r="AM6" s="2463"/>
    </row>
    <row r="7" spans="1:39">
      <c r="A7" s="90" t="s">
        <v>159</v>
      </c>
      <c r="B7" s="90"/>
      <c r="C7" s="345" t="s">
        <v>38</v>
      </c>
      <c r="D7" s="21"/>
      <c r="E7" s="21">
        <f>E8+E10+E11</f>
        <v>24596032000000</v>
      </c>
      <c r="F7" s="21">
        <f t="shared" ref="F7:M7" si="1">F8+F10+F11</f>
        <v>26657376000000</v>
      </c>
      <c r="G7" s="21">
        <f t="shared" si="1"/>
        <v>30177762000000</v>
      </c>
      <c r="H7" s="21">
        <f t="shared" si="1"/>
        <v>32802693000000</v>
      </c>
      <c r="I7" s="21">
        <f t="shared" si="1"/>
        <v>35477484000000</v>
      </c>
      <c r="J7" s="21">
        <f t="shared" si="1"/>
        <v>38630239000000</v>
      </c>
      <c r="K7" s="21">
        <f t="shared" si="1"/>
        <v>41783180000000</v>
      </c>
      <c r="L7" s="21">
        <f t="shared" si="1"/>
        <v>45222600000000</v>
      </c>
      <c r="M7" s="21">
        <f t="shared" si="1"/>
        <v>48690536000000</v>
      </c>
      <c r="N7" s="2463"/>
      <c r="O7" s="2463"/>
      <c r="P7" s="2463"/>
      <c r="Q7" s="2463"/>
      <c r="R7" s="2463"/>
      <c r="S7" s="2463"/>
      <c r="T7" s="2463"/>
      <c r="U7" s="2463"/>
      <c r="V7" s="2463"/>
      <c r="W7" s="2463"/>
      <c r="X7" s="2463"/>
      <c r="Y7" s="2463"/>
      <c r="Z7" s="2463"/>
      <c r="AA7" s="2463"/>
      <c r="AB7" s="2463"/>
      <c r="AC7" s="2463"/>
      <c r="AD7" s="2463"/>
      <c r="AE7" s="2463"/>
      <c r="AF7" s="2463"/>
      <c r="AG7" s="2463"/>
      <c r="AH7" s="2463"/>
      <c r="AI7" s="2463"/>
      <c r="AJ7" s="2463"/>
      <c r="AK7" s="2463"/>
      <c r="AL7" s="2463"/>
      <c r="AM7" s="2463"/>
    </row>
    <row r="8" spans="1:39" ht="16.5">
      <c r="A8" s="139" t="s">
        <v>371</v>
      </c>
      <c r="B8" s="139" t="s">
        <v>371</v>
      </c>
      <c r="C8" s="58" t="s">
        <v>41</v>
      </c>
      <c r="D8" s="125"/>
      <c r="E8" s="125">
        <v>13930496000000</v>
      </c>
      <c r="F8" s="125">
        <v>15393696000000</v>
      </c>
      <c r="G8" s="125">
        <v>17500345999999.998</v>
      </c>
      <c r="H8" s="125">
        <v>18176384000000</v>
      </c>
      <c r="I8" s="125">
        <v>19605978000000</v>
      </c>
      <c r="J8" s="125">
        <v>21423757000000</v>
      </c>
      <c r="K8" s="125">
        <v>23253248000000</v>
      </c>
      <c r="L8" s="125">
        <v>24950400000000</v>
      </c>
      <c r="M8" s="125">
        <v>27073617000000</v>
      </c>
      <c r="N8" s="2463"/>
      <c r="O8" s="2463"/>
      <c r="P8" s="2463"/>
      <c r="Q8" s="2463"/>
      <c r="R8" s="2463"/>
      <c r="S8" s="2463"/>
      <c r="T8" s="2463"/>
      <c r="U8" s="2463"/>
      <c r="V8" s="2463"/>
      <c r="W8" s="2463"/>
      <c r="X8" s="2463"/>
      <c r="Y8" s="2463"/>
      <c r="Z8" s="2463"/>
      <c r="AA8" s="2463"/>
      <c r="AB8" s="2463"/>
      <c r="AC8" s="2463"/>
      <c r="AD8" s="2463"/>
      <c r="AE8" s="2463"/>
      <c r="AF8" s="2463"/>
      <c r="AG8" s="2463"/>
      <c r="AH8" s="2463"/>
      <c r="AI8" s="2463"/>
      <c r="AJ8" s="2463"/>
      <c r="AK8" s="2463"/>
      <c r="AL8" s="2463"/>
      <c r="AM8" s="2463"/>
    </row>
    <row r="9" spans="1:39" ht="16.5">
      <c r="A9" t="s">
        <v>76</v>
      </c>
      <c r="B9" s="90" t="s">
        <v>5337</v>
      </c>
      <c r="C9" s="27"/>
      <c r="D9" s="125"/>
      <c r="E9" s="125">
        <v>11318528000000</v>
      </c>
      <c r="F9" s="125">
        <v>11388832000000</v>
      </c>
      <c r="G9" s="125">
        <v>13228608000000</v>
      </c>
      <c r="H9" s="125">
        <v>15336324000000.002</v>
      </c>
      <c r="I9" s="125">
        <v>16493918000000</v>
      </c>
      <c r="J9" s="125">
        <v>17375173000000.002</v>
      </c>
      <c r="K9" s="125">
        <v>18893264000000</v>
      </c>
      <c r="L9" s="125">
        <v>20662050000000</v>
      </c>
      <c r="M9" s="125">
        <v>22246538000000</v>
      </c>
      <c r="N9" s="2463"/>
      <c r="O9" s="2463"/>
      <c r="P9" s="2463"/>
      <c r="Q9" s="2463"/>
      <c r="R9" s="2463"/>
      <c r="S9" s="2463"/>
      <c r="T9" s="2463"/>
      <c r="U9" s="2463"/>
      <c r="V9" s="2463"/>
      <c r="W9" s="2463"/>
      <c r="X9" s="2463"/>
      <c r="Y9" s="2463"/>
      <c r="Z9" s="2463"/>
      <c r="AA9" s="2463"/>
      <c r="AB9" s="2463"/>
      <c r="AC9" s="2463"/>
      <c r="AD9" s="2463"/>
      <c r="AE9" s="2463"/>
      <c r="AF9" s="2463"/>
      <c r="AG9" s="2463"/>
      <c r="AH9" s="2463"/>
      <c r="AI9" s="2463"/>
      <c r="AJ9" s="2463"/>
      <c r="AK9" s="2463"/>
      <c r="AL9" s="2463"/>
      <c r="AM9" s="2463"/>
    </row>
    <row r="10" spans="1:39">
      <c r="A10" s="90" t="s">
        <v>377</v>
      </c>
      <c r="B10" s="90" t="s">
        <v>5338</v>
      </c>
      <c r="C10" s="58" t="s">
        <v>41</v>
      </c>
      <c r="D10" s="125"/>
      <c r="E10" s="125">
        <f>E9-E15</f>
        <v>10121376000000</v>
      </c>
      <c r="F10" s="125">
        <f t="shared" ref="F10:M10" si="2">F9-F15</f>
        <v>10387616000000</v>
      </c>
      <c r="G10" s="125">
        <f t="shared" si="2"/>
        <v>12126224000000</v>
      </c>
      <c r="H10" s="125">
        <f t="shared" si="2"/>
        <v>14058297000000.002</v>
      </c>
      <c r="I10" s="125">
        <f t="shared" si="2"/>
        <v>15093491000000</v>
      </c>
      <c r="J10" s="125">
        <f t="shared" si="2"/>
        <v>16194336000000.002</v>
      </c>
      <c r="K10" s="125">
        <f t="shared" si="2"/>
        <v>17621602000000</v>
      </c>
      <c r="L10" s="125">
        <f t="shared" si="2"/>
        <v>19297575000000</v>
      </c>
      <c r="M10" s="125">
        <f t="shared" si="2"/>
        <v>20567554000000</v>
      </c>
      <c r="N10" s="2463"/>
      <c r="O10" s="2463"/>
      <c r="P10" s="2463"/>
      <c r="Q10" s="2463"/>
      <c r="R10" s="2463"/>
      <c r="S10" s="2463"/>
      <c r="T10" s="2463"/>
      <c r="U10" s="2463"/>
      <c r="V10" s="2463"/>
      <c r="W10" s="2463"/>
      <c r="X10" s="2463"/>
      <c r="Y10" s="2463"/>
      <c r="Z10" s="2463"/>
      <c r="AA10" s="2463"/>
      <c r="AB10" s="2463"/>
      <c r="AC10" s="2463"/>
      <c r="AD10" s="2463"/>
      <c r="AE10" s="2463"/>
      <c r="AF10" s="2463"/>
      <c r="AG10" s="2463"/>
      <c r="AH10" s="2463"/>
      <c r="AI10" s="2463"/>
      <c r="AJ10" s="2463"/>
      <c r="AK10" s="2463"/>
      <c r="AL10" s="2463"/>
      <c r="AM10" s="2463"/>
    </row>
    <row r="11" spans="1:39">
      <c r="A11" s="99"/>
      <c r="B11" s="99" t="s">
        <v>7184</v>
      </c>
      <c r="C11" s="58" t="s">
        <v>41</v>
      </c>
      <c r="D11" s="210"/>
      <c r="E11" s="210">
        <v>544160000000</v>
      </c>
      <c r="F11" s="125">
        <v>876064000000</v>
      </c>
      <c r="G11" s="210">
        <v>551192000000</v>
      </c>
      <c r="H11" s="210">
        <v>568012000000</v>
      </c>
      <c r="I11" s="210">
        <v>778015000000</v>
      </c>
      <c r="J11" s="210">
        <v>1012146000000</v>
      </c>
      <c r="K11" s="210">
        <v>908330000000</v>
      </c>
      <c r="L11" s="210">
        <v>974625000000</v>
      </c>
      <c r="M11" s="210">
        <v>1049365000000</v>
      </c>
      <c r="N11" s="2463"/>
      <c r="O11" s="2463"/>
      <c r="P11" s="2463"/>
      <c r="Q11" s="2463"/>
      <c r="R11" s="2463"/>
      <c r="S11" s="2463"/>
      <c r="T11" s="2463"/>
      <c r="U11" s="2463"/>
      <c r="V11" s="2463"/>
      <c r="W11" s="2463"/>
      <c r="X11" s="2463"/>
      <c r="Y11" s="2463"/>
      <c r="Z11" s="2463"/>
      <c r="AA11" s="2463"/>
      <c r="AB11" s="2463"/>
      <c r="AC11" s="2463"/>
      <c r="AD11" s="2463"/>
      <c r="AE11" s="2463"/>
      <c r="AF11" s="2463"/>
      <c r="AG11" s="2463"/>
      <c r="AH11" s="2463"/>
      <c r="AI11" s="2463"/>
      <c r="AJ11" s="2463"/>
      <c r="AK11" s="2463"/>
      <c r="AL11" s="2463"/>
      <c r="AM11" s="2463"/>
    </row>
    <row r="12" spans="1:39">
      <c r="A12" s="99"/>
      <c r="B12" s="99"/>
      <c r="C12" s="27"/>
      <c r="D12" s="125"/>
      <c r="E12" s="125"/>
      <c r="F12" s="125"/>
      <c r="G12" s="125"/>
      <c r="H12" s="125"/>
      <c r="I12" s="125"/>
      <c r="J12" s="125"/>
      <c r="K12" s="125"/>
      <c r="L12" s="125"/>
      <c r="M12" s="125"/>
      <c r="N12" s="2463"/>
      <c r="O12" s="2463"/>
      <c r="P12" s="2463"/>
      <c r="Q12" s="2463"/>
      <c r="R12" s="2463"/>
      <c r="S12" s="2463"/>
      <c r="T12" s="2463"/>
      <c r="U12" s="2463"/>
      <c r="V12" s="2463"/>
      <c r="W12" s="2463"/>
      <c r="X12" s="2463"/>
      <c r="Y12" s="2463"/>
      <c r="Z12" s="2463"/>
      <c r="AA12" s="2463"/>
      <c r="AB12" s="2463"/>
      <c r="AC12" s="2463"/>
      <c r="AD12" s="2463"/>
      <c r="AE12" s="2463"/>
      <c r="AF12" s="2463"/>
      <c r="AG12" s="2463"/>
      <c r="AH12" s="2463"/>
      <c r="AI12" s="2463"/>
      <c r="AJ12" s="2463"/>
      <c r="AK12" s="2463"/>
      <c r="AL12" s="2463"/>
      <c r="AM12" s="2463"/>
    </row>
    <row r="13" spans="1:39">
      <c r="A13" s="99"/>
      <c r="B13" s="99"/>
      <c r="C13" s="27"/>
      <c r="D13" s="125"/>
      <c r="E13" s="125"/>
      <c r="F13" s="125"/>
      <c r="G13" s="125"/>
      <c r="H13" s="125"/>
      <c r="I13" s="125"/>
      <c r="J13" s="125"/>
      <c r="K13" s="125"/>
      <c r="L13" s="125"/>
      <c r="M13" s="125"/>
      <c r="N13" s="2463"/>
      <c r="O13" s="2463"/>
      <c r="P13" s="2463"/>
      <c r="Q13" s="2463"/>
      <c r="R13" s="2463"/>
      <c r="S13" s="2463"/>
      <c r="T13" s="2463"/>
      <c r="U13" s="2463"/>
      <c r="V13" s="2463"/>
      <c r="W13" s="2463"/>
      <c r="X13" s="2463"/>
      <c r="Y13" s="2463"/>
      <c r="Z13" s="2463"/>
      <c r="AA13" s="2463"/>
      <c r="AB13" s="2463"/>
      <c r="AC13" s="2463"/>
      <c r="AD13" s="2463"/>
      <c r="AE13" s="2463"/>
      <c r="AF13" s="2463"/>
      <c r="AG13" s="2463"/>
      <c r="AH13" s="2463"/>
      <c r="AI13" s="2463"/>
      <c r="AJ13" s="2463"/>
      <c r="AK13" s="2463"/>
      <c r="AL13" s="2463"/>
      <c r="AM13" s="2463"/>
    </row>
    <row r="14" spans="1:39">
      <c r="A14" s="99"/>
      <c r="B14" s="99"/>
      <c r="C14" s="27"/>
      <c r="D14" s="125"/>
      <c r="E14" s="125"/>
      <c r="F14" s="125"/>
      <c r="G14" s="125"/>
      <c r="H14" s="125"/>
      <c r="I14" s="125"/>
      <c r="J14" s="125"/>
      <c r="K14" s="125"/>
      <c r="L14" s="125"/>
      <c r="M14" s="125"/>
      <c r="N14" s="2463"/>
      <c r="O14" s="2463"/>
      <c r="P14" s="2463"/>
      <c r="Q14" s="2463"/>
      <c r="R14" s="2463"/>
      <c r="S14" s="2463"/>
      <c r="T14" s="2463"/>
      <c r="U14" s="2463"/>
      <c r="V14" s="2463"/>
      <c r="W14" s="2463"/>
      <c r="X14" s="2463"/>
      <c r="Y14" s="2463"/>
      <c r="Z14" s="2463"/>
      <c r="AA14" s="2463"/>
      <c r="AB14" s="2463"/>
      <c r="AC14" s="2463"/>
      <c r="AD14" s="2463"/>
      <c r="AE14" s="2463"/>
      <c r="AF14" s="2463"/>
      <c r="AG14" s="2463"/>
      <c r="AH14" s="2463"/>
      <c r="AI14" s="2463"/>
      <c r="AJ14" s="2463"/>
      <c r="AK14" s="2463"/>
      <c r="AL14" s="2463"/>
      <c r="AM14" s="2463"/>
    </row>
    <row r="15" spans="1:39" s="9" customFormat="1">
      <c r="A15" s="18" t="s">
        <v>53</v>
      </c>
      <c r="B15" s="18" t="s">
        <v>53</v>
      </c>
      <c r="C15" s="355" t="s">
        <v>38</v>
      </c>
      <c r="D15" s="295"/>
      <c r="E15" s="295">
        <v>1197152000000</v>
      </c>
      <c r="F15" s="295">
        <v>1001216000000</v>
      </c>
      <c r="G15" s="295">
        <v>1102384000000</v>
      </c>
      <c r="H15" s="295">
        <v>1278027000000</v>
      </c>
      <c r="I15" s="295">
        <v>1400427000000</v>
      </c>
      <c r="J15" s="295">
        <v>1180837000000</v>
      </c>
      <c r="K15" s="295">
        <v>1271662000000</v>
      </c>
      <c r="L15" s="295">
        <v>1364475000000</v>
      </c>
      <c r="M15" s="295">
        <v>1678984000000</v>
      </c>
      <c r="N15" s="2463"/>
      <c r="O15" s="2463"/>
      <c r="P15" s="2463"/>
      <c r="Q15" s="2463"/>
      <c r="R15" s="2463"/>
      <c r="S15" s="2463"/>
      <c r="T15" s="2463"/>
      <c r="U15" s="2463"/>
      <c r="V15" s="2463"/>
      <c r="W15" s="2463"/>
      <c r="X15" s="2463"/>
      <c r="Y15" s="2463"/>
      <c r="Z15" s="2463"/>
      <c r="AA15" s="2463"/>
      <c r="AB15" s="2463"/>
      <c r="AC15" s="2463"/>
      <c r="AD15" s="2463"/>
      <c r="AE15" s="2463"/>
      <c r="AF15" s="2463"/>
      <c r="AG15" s="2463"/>
      <c r="AH15" s="2463"/>
      <c r="AI15" s="2463"/>
      <c r="AJ15" s="2463"/>
      <c r="AK15" s="2463"/>
      <c r="AL15" s="2463"/>
      <c r="AM15" s="2463"/>
    </row>
    <row r="16" spans="1:39" s="9" customFormat="1" ht="16.5">
      <c r="A16" s="148" t="s">
        <v>198</v>
      </c>
      <c r="B16" s="148" t="s">
        <v>535</v>
      </c>
      <c r="C16" s="240" t="s">
        <v>35</v>
      </c>
      <c r="D16" s="295"/>
      <c r="E16" s="295">
        <f>E17+E23</f>
        <v>27534496000000</v>
      </c>
      <c r="F16" s="295">
        <f t="shared" ref="F16:M16" si="3">F17+F23</f>
        <v>29410720000000</v>
      </c>
      <c r="G16" s="295">
        <f t="shared" si="3"/>
        <v>32382530000000.004</v>
      </c>
      <c r="H16" s="295">
        <f t="shared" si="3"/>
        <v>36210765000000</v>
      </c>
      <c r="I16" s="295">
        <f t="shared" si="3"/>
        <v>38745147000000</v>
      </c>
      <c r="J16" s="295">
        <f t="shared" si="3"/>
        <v>42004059000000</v>
      </c>
      <c r="K16" s="295">
        <f t="shared" si="3"/>
        <v>45598166000000</v>
      </c>
      <c r="L16" s="295">
        <f t="shared" si="3"/>
        <v>48731250000000</v>
      </c>
      <c r="M16" s="295">
        <f t="shared" si="3"/>
        <v>52678123000000</v>
      </c>
      <c r="N16" s="2463"/>
      <c r="O16" s="2463"/>
      <c r="P16" s="2463"/>
      <c r="Q16" s="2463"/>
      <c r="R16" s="2463"/>
      <c r="S16" s="2463"/>
      <c r="T16" s="2463"/>
      <c r="U16" s="2463"/>
      <c r="V16" s="2463"/>
      <c r="W16" s="2463"/>
      <c r="X16" s="2463"/>
      <c r="Y16" s="2463"/>
      <c r="Z16" s="2463"/>
      <c r="AA16" s="2463"/>
      <c r="AB16" s="2463"/>
      <c r="AC16" s="2463"/>
      <c r="AD16" s="2463"/>
      <c r="AE16" s="2463"/>
      <c r="AF16" s="2463"/>
      <c r="AG16" s="2463"/>
      <c r="AH16" s="2463"/>
      <c r="AI16" s="2463"/>
      <c r="AJ16" s="2463"/>
      <c r="AK16" s="2463"/>
      <c r="AL16" s="2463"/>
      <c r="AM16" s="2463"/>
    </row>
    <row r="17" spans="1:39" ht="16.5">
      <c r="A17" s="99" t="s">
        <v>73</v>
      </c>
      <c r="B17" s="139" t="s">
        <v>382</v>
      </c>
      <c r="C17" s="58" t="s">
        <v>201</v>
      </c>
      <c r="D17" s="125"/>
      <c r="E17" s="125">
        <f>E18+E19+E20+E21+E22</f>
        <v>23507712000000</v>
      </c>
      <c r="F17" s="125">
        <f t="shared" ref="F17:M17" si="4">F18+F19+F20+F21+F22</f>
        <v>25405856000000</v>
      </c>
      <c r="G17" s="125">
        <f t="shared" si="4"/>
        <v>28248590000000.004</v>
      </c>
      <c r="H17" s="125">
        <f t="shared" si="4"/>
        <v>31098657000000</v>
      </c>
      <c r="I17" s="125">
        <f t="shared" si="4"/>
        <v>32365424000000</v>
      </c>
      <c r="J17" s="125">
        <f t="shared" si="4"/>
        <v>34750346000000</v>
      </c>
      <c r="K17" s="125">
        <f t="shared" si="4"/>
        <v>37968194000000</v>
      </c>
      <c r="L17" s="125">
        <f t="shared" si="4"/>
        <v>40739325000000</v>
      </c>
      <c r="M17" s="125">
        <f t="shared" si="4"/>
        <v>44283203000000</v>
      </c>
      <c r="N17" s="2463"/>
      <c r="O17" s="2463"/>
      <c r="P17" s="2463"/>
      <c r="Q17" s="2463"/>
      <c r="R17" s="2463"/>
      <c r="S17" s="2463"/>
      <c r="T17" s="2463"/>
      <c r="U17" s="2463"/>
      <c r="V17" s="2463"/>
      <c r="W17" s="2463"/>
      <c r="X17" s="2463"/>
      <c r="Y17" s="2463"/>
      <c r="Z17" s="2463"/>
      <c r="AA17" s="2463"/>
      <c r="AB17" s="2463"/>
      <c r="AC17" s="2463"/>
      <c r="AD17" s="2463"/>
      <c r="AE17" s="2463"/>
      <c r="AF17" s="2463"/>
      <c r="AG17" s="2463"/>
      <c r="AH17" s="2463"/>
      <c r="AI17" s="2463"/>
      <c r="AJ17" s="2463"/>
      <c r="AK17" s="2463"/>
      <c r="AL17" s="2463"/>
      <c r="AM17" s="2463"/>
    </row>
    <row r="18" spans="1:39" ht="16.5">
      <c r="A18" s="99" t="s">
        <v>797</v>
      </c>
      <c r="B18" s="99" t="s">
        <v>383</v>
      </c>
      <c r="C18" s="58" t="s">
        <v>204</v>
      </c>
      <c r="D18" s="125"/>
      <c r="E18" s="125">
        <v>13059840000000</v>
      </c>
      <c r="F18" s="125">
        <v>14642784000000</v>
      </c>
      <c r="G18" s="125">
        <v>15571174000000.002</v>
      </c>
      <c r="H18" s="125">
        <v>16614350999999.998</v>
      </c>
      <c r="I18" s="125">
        <v>16493918000000</v>
      </c>
      <c r="J18" s="125">
        <v>17712555000000</v>
      </c>
      <c r="K18" s="125">
        <v>19074930000000</v>
      </c>
      <c r="L18" s="125">
        <v>20272200000000</v>
      </c>
      <c r="M18" s="125">
        <v>21826792000000</v>
      </c>
      <c r="N18" s="2463"/>
      <c r="O18" s="2463"/>
      <c r="P18" s="2463"/>
      <c r="Q18" s="2463"/>
      <c r="R18" s="2463"/>
      <c r="S18" s="2463"/>
      <c r="T18" s="2463"/>
      <c r="U18" s="2463"/>
      <c r="V18" s="2463"/>
      <c r="W18" s="2463"/>
      <c r="X18" s="2463"/>
      <c r="Y18" s="2463"/>
      <c r="Z18" s="2463"/>
      <c r="AA18" s="2463"/>
      <c r="AB18" s="2463"/>
      <c r="AC18" s="2463"/>
      <c r="AD18" s="2463"/>
      <c r="AE18" s="2463"/>
      <c r="AF18" s="2463"/>
      <c r="AG18" s="2463"/>
      <c r="AH18" s="2463"/>
      <c r="AI18" s="2463"/>
      <c r="AJ18" s="2463"/>
      <c r="AK18" s="2463"/>
      <c r="AL18" s="2463"/>
      <c r="AM18" s="2463"/>
    </row>
    <row r="19" spans="1:39" ht="16.5">
      <c r="A19" s="99" t="s">
        <v>1006</v>
      </c>
      <c r="B19" s="99" t="s">
        <v>84</v>
      </c>
      <c r="C19" s="58" t="s">
        <v>204</v>
      </c>
      <c r="D19" s="125"/>
      <c r="E19" s="125">
        <v>2938464000000</v>
      </c>
      <c r="F19" s="125">
        <v>2628192000000</v>
      </c>
      <c r="G19" s="125">
        <v>3720546000000.0005</v>
      </c>
      <c r="H19" s="125">
        <v>3692078000000</v>
      </c>
      <c r="I19" s="125">
        <v>4045678000000</v>
      </c>
      <c r="J19" s="125">
        <v>4385966000000</v>
      </c>
      <c r="K19" s="125">
        <v>4723316000000</v>
      </c>
      <c r="L19" s="125">
        <v>5068050000000</v>
      </c>
      <c r="M19" s="125">
        <v>5666571000000</v>
      </c>
      <c r="N19" s="2463"/>
      <c r="O19" s="2463"/>
      <c r="P19" s="2463"/>
      <c r="Q19" s="2463"/>
      <c r="R19" s="2463"/>
      <c r="S19" s="2463"/>
      <c r="T19" s="2463"/>
      <c r="U19" s="2463"/>
      <c r="V19" s="2463"/>
      <c r="W19" s="2463"/>
      <c r="X19" s="2463"/>
      <c r="Y19" s="2463"/>
      <c r="Z19" s="2463"/>
      <c r="AA19" s="2463"/>
      <c r="AB19" s="2463"/>
      <c r="AC19" s="2463"/>
      <c r="AD19" s="2463"/>
      <c r="AE19" s="2463"/>
      <c r="AF19" s="2463"/>
      <c r="AG19" s="2463"/>
      <c r="AH19" s="2463"/>
      <c r="AI19" s="2463"/>
      <c r="AJ19" s="2463"/>
      <c r="AK19" s="2463"/>
      <c r="AL19" s="2463"/>
      <c r="AM19" s="2463"/>
    </row>
    <row r="20" spans="1:39" ht="16.5">
      <c r="A20" s="152" t="s">
        <v>91</v>
      </c>
      <c r="B20" s="152" t="s">
        <v>91</v>
      </c>
      <c r="C20" s="58" t="s">
        <v>204</v>
      </c>
      <c r="D20" s="125"/>
      <c r="E20" s="125">
        <v>652992000000</v>
      </c>
      <c r="F20" s="125">
        <v>1001216000000</v>
      </c>
      <c r="G20" s="125">
        <v>1102384000000</v>
      </c>
      <c r="H20" s="125">
        <v>1562033000000.0002</v>
      </c>
      <c r="I20" s="125">
        <v>1867236000000</v>
      </c>
      <c r="J20" s="125">
        <v>2361674000000</v>
      </c>
      <c r="K20" s="125">
        <v>3088322000000</v>
      </c>
      <c r="L20" s="125">
        <v>3508650000000</v>
      </c>
      <c r="M20" s="125">
        <v>3987587000000</v>
      </c>
      <c r="N20" s="2463"/>
      <c r="O20" s="2463"/>
      <c r="P20" s="2463"/>
      <c r="Q20" s="2463"/>
      <c r="R20" s="2463"/>
      <c r="S20" s="2463"/>
      <c r="T20" s="2463"/>
      <c r="U20" s="2463"/>
      <c r="V20" s="2463"/>
      <c r="W20" s="2463"/>
      <c r="X20" s="2463"/>
      <c r="Y20" s="2463"/>
      <c r="Z20" s="2463"/>
      <c r="AA20" s="2463"/>
      <c r="AB20" s="2463"/>
      <c r="AC20" s="2463"/>
      <c r="AD20" s="2463"/>
      <c r="AE20" s="2463"/>
      <c r="AF20" s="2463"/>
      <c r="AG20" s="2463"/>
      <c r="AH20" s="2463"/>
      <c r="AI20" s="2463"/>
      <c r="AJ20" s="2463"/>
      <c r="AK20" s="2463"/>
      <c r="AL20" s="2463"/>
      <c r="AM20" s="2463"/>
    </row>
    <row r="21" spans="1:39" ht="16.5">
      <c r="A21" s="100" t="s">
        <v>2808</v>
      </c>
      <c r="B21" s="138" t="s">
        <v>389</v>
      </c>
      <c r="C21" s="58" t="s">
        <v>204</v>
      </c>
      <c r="D21" s="125"/>
      <c r="E21" s="125">
        <v>5659264000000</v>
      </c>
      <c r="F21" s="125">
        <v>6257600000000</v>
      </c>
      <c r="G21" s="125">
        <v>6889900000000</v>
      </c>
      <c r="H21" s="125">
        <v>8236174000000</v>
      </c>
      <c r="I21" s="125">
        <v>8713767999999.999</v>
      </c>
      <c r="J21" s="125">
        <v>9109314000000</v>
      </c>
      <c r="K21" s="125">
        <v>9809964000000</v>
      </c>
      <c r="L21" s="125">
        <v>10525950000000</v>
      </c>
      <c r="M21" s="125">
        <v>11333142000000</v>
      </c>
      <c r="N21" s="2463"/>
      <c r="O21" s="2463"/>
      <c r="P21" s="2463"/>
      <c r="Q21" s="2463"/>
      <c r="R21" s="2463"/>
      <c r="S21" s="2463"/>
      <c r="T21" s="2463"/>
      <c r="U21" s="2463"/>
      <c r="V21" s="2463"/>
      <c r="W21" s="2463"/>
      <c r="X21" s="2463"/>
      <c r="Y21" s="2463"/>
      <c r="Z21" s="2463"/>
      <c r="AA21" s="2463"/>
      <c r="AB21" s="2463"/>
      <c r="AC21" s="2463"/>
      <c r="AD21" s="2463"/>
      <c r="AE21" s="2463"/>
      <c r="AF21" s="2463"/>
      <c r="AG21" s="2463"/>
      <c r="AH21" s="2463"/>
      <c r="AI21" s="2463"/>
      <c r="AJ21" s="2463"/>
      <c r="AK21" s="2463"/>
      <c r="AL21" s="2463"/>
      <c r="AM21" s="2463"/>
    </row>
    <row r="22" spans="1:39" ht="16.5">
      <c r="A22" s="138" t="s">
        <v>50</v>
      </c>
      <c r="B22" s="138" t="s">
        <v>50</v>
      </c>
      <c r="C22" s="58" t="s">
        <v>204</v>
      </c>
      <c r="D22" s="125"/>
      <c r="E22" s="125">
        <v>1197152000000</v>
      </c>
      <c r="F22" s="125">
        <v>876064000000</v>
      </c>
      <c r="G22" s="125">
        <v>964585999999.99988</v>
      </c>
      <c r="H22" s="125">
        <v>994020999999.99988</v>
      </c>
      <c r="I22" s="125">
        <v>1244824000000</v>
      </c>
      <c r="J22" s="125">
        <v>1180837000000</v>
      </c>
      <c r="K22" s="125">
        <v>1271662000000</v>
      </c>
      <c r="L22" s="125">
        <v>1364475000000</v>
      </c>
      <c r="M22" s="125">
        <v>1469111000000</v>
      </c>
      <c r="N22" s="2463"/>
      <c r="O22" s="2463"/>
      <c r="P22" s="2463"/>
      <c r="Q22" s="2463"/>
      <c r="R22" s="2463"/>
      <c r="S22" s="2463"/>
      <c r="T22" s="2463"/>
      <c r="U22" s="2463"/>
      <c r="V22" s="2463"/>
      <c r="W22" s="2463"/>
      <c r="X22" s="2463"/>
      <c r="Y22" s="2463"/>
      <c r="Z22" s="2463"/>
      <c r="AA22" s="2463"/>
      <c r="AB22" s="2463"/>
      <c r="AC22" s="2463"/>
      <c r="AD22" s="2463"/>
      <c r="AE22" s="2463"/>
      <c r="AF22" s="2463"/>
      <c r="AG22" s="2463"/>
      <c r="AH22" s="2463"/>
      <c r="AI22" s="2463"/>
      <c r="AJ22" s="2463"/>
      <c r="AK22" s="2463"/>
      <c r="AL22" s="2463"/>
      <c r="AM22" s="2463"/>
    </row>
    <row r="23" spans="1:39" ht="16.5">
      <c r="A23" s="139" t="s">
        <v>237</v>
      </c>
      <c r="B23" s="90" t="s">
        <v>393</v>
      </c>
      <c r="C23" s="58" t="s">
        <v>201</v>
      </c>
      <c r="D23" s="125"/>
      <c r="E23" s="125">
        <v>4026784000000</v>
      </c>
      <c r="F23" s="125">
        <v>4004864000000</v>
      </c>
      <c r="G23" s="125">
        <v>4133940000000</v>
      </c>
      <c r="H23" s="125">
        <v>5112108000000</v>
      </c>
      <c r="I23" s="125">
        <v>6379722999999.999</v>
      </c>
      <c r="J23" s="125">
        <v>7253713000000</v>
      </c>
      <c r="K23" s="125">
        <v>7629972000000</v>
      </c>
      <c r="L23" s="125">
        <v>7991924999999.999</v>
      </c>
      <c r="M23" s="125">
        <v>8394920000000</v>
      </c>
      <c r="N23" s="2463"/>
      <c r="O23" s="2463"/>
      <c r="P23" s="2463"/>
      <c r="Q23" s="2463"/>
      <c r="R23" s="2463"/>
      <c r="S23" s="2463"/>
      <c r="T23" s="2463"/>
      <c r="U23" s="2463"/>
      <c r="V23" s="2463"/>
      <c r="W23" s="2463"/>
      <c r="X23" s="2463"/>
      <c r="Y23" s="2463"/>
      <c r="Z23" s="2463"/>
      <c r="AA23" s="2463"/>
      <c r="AB23" s="2463"/>
      <c r="AC23" s="2463"/>
      <c r="AD23" s="2463"/>
      <c r="AE23" s="2463"/>
      <c r="AF23" s="2463"/>
      <c r="AG23" s="2463"/>
      <c r="AH23" s="2463"/>
      <c r="AI23" s="2463"/>
      <c r="AJ23" s="2463"/>
      <c r="AK23" s="2463"/>
      <c r="AL23" s="2463"/>
      <c r="AM23" s="2463"/>
    </row>
    <row r="24" spans="1:39" ht="16.5">
      <c r="A24" t="s">
        <v>76</v>
      </c>
      <c r="B24" s="90" t="s">
        <v>2455</v>
      </c>
      <c r="C24" s="27"/>
      <c r="D24" s="125"/>
      <c r="E24" s="125"/>
      <c r="F24" s="125"/>
      <c r="G24" s="125"/>
      <c r="H24" s="125"/>
      <c r="I24" s="125"/>
      <c r="J24" s="125"/>
      <c r="K24" s="125"/>
      <c r="L24" s="125"/>
      <c r="M24" s="125"/>
      <c r="N24" s="2463"/>
      <c r="O24" s="2463"/>
      <c r="P24" s="2463"/>
      <c r="Q24" s="2463"/>
      <c r="R24" s="2463"/>
      <c r="S24" s="2463"/>
      <c r="T24" s="2463"/>
      <c r="U24" s="2463"/>
      <c r="V24" s="2463"/>
      <c r="W24" s="2463"/>
      <c r="X24" s="2463"/>
      <c r="Y24" s="2463"/>
      <c r="Z24" s="2463"/>
      <c r="AA24" s="2463"/>
      <c r="AB24" s="2463"/>
      <c r="AC24" s="2463"/>
      <c r="AD24" s="2463"/>
      <c r="AE24" s="2463"/>
      <c r="AF24" s="2463"/>
      <c r="AG24" s="2463"/>
      <c r="AH24" s="2463"/>
      <c r="AI24" s="2463"/>
      <c r="AJ24" s="2463"/>
      <c r="AK24" s="2463"/>
      <c r="AL24" s="2463"/>
      <c r="AM24" s="2463"/>
    </row>
    <row r="25" spans="1:39" ht="16.5">
      <c r="A25" t="s">
        <v>76</v>
      </c>
      <c r="B25" s="90" t="s">
        <v>5340</v>
      </c>
      <c r="C25" s="27"/>
      <c r="D25" s="125"/>
      <c r="E25" s="125"/>
      <c r="F25" s="125"/>
      <c r="G25" s="125"/>
      <c r="H25" s="125"/>
      <c r="I25" s="125"/>
      <c r="J25" s="125"/>
      <c r="K25" s="125"/>
      <c r="L25" s="125"/>
      <c r="M25" s="125"/>
      <c r="N25" s="2463"/>
      <c r="O25" s="2463"/>
      <c r="P25" s="2463"/>
      <c r="Q25" s="2463"/>
      <c r="R25" s="2463"/>
      <c r="S25" s="2463"/>
      <c r="T25" s="2463"/>
      <c r="U25" s="2463"/>
      <c r="V25" s="2463"/>
      <c r="W25" s="2463"/>
      <c r="X25" s="2463"/>
      <c r="Y25" s="2463"/>
      <c r="Z25" s="2463"/>
      <c r="AA25" s="2463"/>
      <c r="AB25" s="2463"/>
      <c r="AC25" s="2463"/>
      <c r="AD25" s="2463"/>
      <c r="AE25" s="2463"/>
      <c r="AF25" s="2463"/>
      <c r="AG25" s="2463"/>
      <c r="AH25" s="2463"/>
      <c r="AI25" s="2463"/>
      <c r="AJ25" s="2463"/>
      <c r="AK25" s="2463"/>
      <c r="AL25" s="2463"/>
      <c r="AM25" s="2463"/>
    </row>
    <row r="26" spans="1:39" s="9" customFormat="1" ht="16.5">
      <c r="A26" s="9" t="s">
        <v>115</v>
      </c>
      <c r="B26" s="18" t="s">
        <v>2457</v>
      </c>
      <c r="C26" s="240" t="s">
        <v>35</v>
      </c>
      <c r="D26" s="296"/>
      <c r="E26" s="296">
        <f>E28+E30+E37</f>
        <v>1741312000000</v>
      </c>
      <c r="F26" s="296">
        <f t="shared" ref="F26:M26" si="5">F28+F30+F37</f>
        <v>1752128000000</v>
      </c>
      <c r="G26" s="296">
        <f t="shared" si="5"/>
        <v>1240181999999.9995</v>
      </c>
      <c r="H26" s="296">
        <f t="shared" si="5"/>
        <v>1988042000000</v>
      </c>
      <c r="I26" s="296">
        <f t="shared" si="5"/>
        <v>1867236000000</v>
      </c>
      <c r="J26" s="296">
        <f t="shared" si="5"/>
        <v>2361674000000</v>
      </c>
      <c r="K26" s="296">
        <f t="shared" si="5"/>
        <v>2724990000000</v>
      </c>
      <c r="L26" s="296">
        <f t="shared" si="5"/>
        <v>2534025000000</v>
      </c>
      <c r="M26" s="296">
        <f t="shared" si="5"/>
        <v>2518476000000</v>
      </c>
      <c r="N26" s="2463"/>
      <c r="O26" s="2463"/>
      <c r="P26" s="2463"/>
      <c r="Q26" s="2463"/>
      <c r="R26" s="2463"/>
      <c r="S26" s="2463"/>
      <c r="T26" s="2463"/>
      <c r="U26" s="2463"/>
      <c r="V26" s="2463"/>
      <c r="W26" s="2463"/>
      <c r="X26" s="2463"/>
      <c r="Y26" s="2463"/>
      <c r="Z26" s="2463"/>
      <c r="AA26" s="2463"/>
      <c r="AB26" s="2463"/>
      <c r="AC26" s="2463"/>
      <c r="AD26" s="2463"/>
      <c r="AE26" s="2463"/>
      <c r="AF26" s="2463"/>
      <c r="AG26" s="2463"/>
      <c r="AH26" s="2463"/>
      <c r="AI26" s="2463"/>
      <c r="AJ26" s="2463"/>
      <c r="AK26" s="2463"/>
      <c r="AL26" s="2463"/>
      <c r="AM26" s="2463"/>
    </row>
    <row r="27" spans="1:39" ht="16.5">
      <c r="A27" s="90" t="s">
        <v>815</v>
      </c>
      <c r="B27" s="90" t="s">
        <v>5341</v>
      </c>
      <c r="C27" s="380" t="s">
        <v>1033</v>
      </c>
      <c r="D27" s="125"/>
      <c r="E27" s="125">
        <v>-652992000000</v>
      </c>
      <c r="F27" s="125">
        <v>-1126368000000</v>
      </c>
      <c r="G27" s="125">
        <v>-964585999999.99988</v>
      </c>
      <c r="H27" s="125">
        <v>284006000000</v>
      </c>
      <c r="I27" s="125">
        <v>-1244824000000</v>
      </c>
      <c r="J27" s="125">
        <v>-337382000000</v>
      </c>
      <c r="K27" s="125">
        <v>-363332000000</v>
      </c>
      <c r="L27" s="125">
        <v>-194925000000</v>
      </c>
      <c r="M27" s="125">
        <v>-209873000000</v>
      </c>
      <c r="N27" s="2463"/>
      <c r="O27" s="2463"/>
      <c r="P27" s="2463"/>
      <c r="Q27" s="2463"/>
      <c r="R27" s="2463"/>
      <c r="S27" s="2463"/>
      <c r="T27" s="2463"/>
      <c r="U27" s="2463"/>
      <c r="V27" s="2463"/>
      <c r="W27" s="2463"/>
      <c r="X27" s="2463"/>
      <c r="Y27" s="2463"/>
      <c r="Z27" s="2463"/>
      <c r="AA27" s="2463"/>
      <c r="AB27" s="2463"/>
      <c r="AC27" s="2463"/>
      <c r="AD27" s="2463"/>
      <c r="AE27" s="2463"/>
      <c r="AF27" s="2463"/>
      <c r="AG27" s="2463"/>
      <c r="AH27" s="2463"/>
      <c r="AI27" s="2463"/>
      <c r="AJ27" s="2463"/>
      <c r="AK27" s="2463"/>
      <c r="AL27" s="2463"/>
      <c r="AM27" s="2463"/>
    </row>
    <row r="28" spans="1:39">
      <c r="A28" t="s">
        <v>120</v>
      </c>
      <c r="B28" t="s">
        <v>120</v>
      </c>
      <c r="C28" s="58" t="s">
        <v>252</v>
      </c>
      <c r="D28" s="125"/>
      <c r="E28" s="125">
        <f>E27+E34+E35+E36</f>
        <v>1632480000000</v>
      </c>
      <c r="F28" s="125">
        <f t="shared" ref="F28:M28" si="6">F27+F34+F35+F36</f>
        <v>-625760000000</v>
      </c>
      <c r="G28" s="125">
        <f t="shared" si="6"/>
        <v>-3444950000000.0005</v>
      </c>
      <c r="H28" s="125">
        <f t="shared" si="6"/>
        <v>142002999999.99988</v>
      </c>
      <c r="I28" s="125">
        <f t="shared" si="6"/>
        <v>-2956457000000</v>
      </c>
      <c r="J28" s="125">
        <f t="shared" si="6"/>
        <v>-2361674000000</v>
      </c>
      <c r="K28" s="125">
        <f t="shared" si="6"/>
        <v>1453328000000</v>
      </c>
      <c r="L28" s="125">
        <f t="shared" si="6"/>
        <v>1364475000000</v>
      </c>
      <c r="M28" s="125">
        <f t="shared" si="6"/>
        <v>1049365000000</v>
      </c>
      <c r="N28" s="2463"/>
      <c r="O28" s="2463"/>
      <c r="P28" s="2463"/>
      <c r="Q28" s="2463"/>
      <c r="R28" s="2463"/>
      <c r="S28" s="2463"/>
      <c r="T28" s="2463"/>
      <c r="U28" s="2463"/>
      <c r="V28" s="2463"/>
      <c r="W28" s="2463"/>
      <c r="X28" s="2463"/>
      <c r="Y28" s="2463"/>
      <c r="Z28" s="2463"/>
      <c r="AA28" s="2463"/>
      <c r="AB28" s="2463"/>
      <c r="AC28" s="2463"/>
      <c r="AD28" s="2463"/>
      <c r="AE28" s="2463"/>
      <c r="AF28" s="2463"/>
      <c r="AG28" s="2463"/>
      <c r="AH28" s="2463"/>
      <c r="AI28" s="2463"/>
      <c r="AJ28" s="2463"/>
      <c r="AK28" s="2463"/>
      <c r="AL28" s="2463"/>
      <c r="AM28" s="2463"/>
    </row>
    <row r="29" spans="1:39" ht="16.5">
      <c r="A29" t="s">
        <v>76</v>
      </c>
      <c r="B29" s="90" t="s">
        <v>821</v>
      </c>
      <c r="C29" s="27"/>
      <c r="D29" s="125"/>
      <c r="E29" s="125"/>
      <c r="F29" s="125"/>
      <c r="G29" s="125"/>
      <c r="H29" s="125"/>
      <c r="I29" s="125"/>
      <c r="J29" s="125"/>
      <c r="K29" s="125"/>
      <c r="L29" s="125"/>
      <c r="M29" s="125"/>
      <c r="N29" s="2463"/>
      <c r="O29" s="2463"/>
      <c r="P29" s="2463"/>
      <c r="Q29" s="2463"/>
      <c r="R29" s="2463"/>
      <c r="S29" s="2463"/>
      <c r="T29" s="2463"/>
      <c r="U29" s="2463"/>
      <c r="V29" s="2463"/>
      <c r="W29" s="2463"/>
      <c r="X29" s="2463"/>
      <c r="Y29" s="2463"/>
      <c r="Z29" s="2463"/>
      <c r="AA29" s="2463"/>
      <c r="AB29" s="2463"/>
      <c r="AC29" s="2463"/>
      <c r="AD29" s="2463"/>
      <c r="AE29" s="2463"/>
      <c r="AF29" s="2463"/>
      <c r="AG29" s="2463"/>
      <c r="AH29" s="2463"/>
      <c r="AI29" s="2463"/>
      <c r="AJ29" s="2463"/>
      <c r="AK29" s="2463"/>
      <c r="AL29" s="2463"/>
      <c r="AM29" s="2463"/>
    </row>
    <row r="30" spans="1:39">
      <c r="A30" t="s">
        <v>117</v>
      </c>
      <c r="B30" s="90" t="s">
        <v>280</v>
      </c>
      <c r="C30" s="58" t="s">
        <v>252</v>
      </c>
      <c r="D30" s="125"/>
      <c r="E30" s="125">
        <f>E32+E31</f>
        <v>-108832000000</v>
      </c>
      <c r="F30" s="125">
        <f t="shared" ref="F30:M30" si="7">F32+F31</f>
        <v>2127584000000</v>
      </c>
      <c r="G30" s="125">
        <f t="shared" si="7"/>
        <v>4409536000000</v>
      </c>
      <c r="H30" s="125">
        <f t="shared" si="7"/>
        <v>1704036000000</v>
      </c>
      <c r="I30" s="125">
        <f t="shared" si="7"/>
        <v>5446105000000</v>
      </c>
      <c r="J30" s="125">
        <f t="shared" si="7"/>
        <v>4723348000000</v>
      </c>
      <c r="K30" s="125">
        <f t="shared" si="7"/>
        <v>1271662000000</v>
      </c>
      <c r="L30" s="125">
        <f t="shared" si="7"/>
        <v>1169550000000</v>
      </c>
      <c r="M30" s="125">
        <f t="shared" si="7"/>
        <v>1469111000000</v>
      </c>
      <c r="N30" s="2463"/>
      <c r="O30" s="2463"/>
      <c r="P30" s="2463"/>
      <c r="Q30" s="2463"/>
      <c r="R30" s="2463"/>
      <c r="S30" s="2463"/>
      <c r="T30" s="2463"/>
      <c r="U30" s="2463"/>
      <c r="V30" s="2463"/>
      <c r="W30" s="2463"/>
      <c r="X30" s="2463"/>
      <c r="Y30" s="2463"/>
      <c r="Z30" s="2463"/>
      <c r="AA30" s="2463"/>
      <c r="AB30" s="2463"/>
      <c r="AC30" s="2463"/>
      <c r="AD30" s="2463"/>
      <c r="AE30" s="2463"/>
      <c r="AF30" s="2463"/>
      <c r="AG30" s="2463"/>
      <c r="AH30" s="2463"/>
      <c r="AI30" s="2463"/>
      <c r="AJ30" s="2463"/>
      <c r="AK30" s="2463"/>
      <c r="AL30" s="2463"/>
      <c r="AM30" s="2463"/>
    </row>
    <row r="31" spans="1:39" ht="15.75">
      <c r="A31" s="90" t="s">
        <v>415</v>
      </c>
      <c r="B31" s="90" t="s">
        <v>415</v>
      </c>
      <c r="C31" s="380" t="s">
        <v>1029</v>
      </c>
      <c r="D31" s="125"/>
      <c r="E31" s="125">
        <v>870656000000</v>
      </c>
      <c r="F31" s="125">
        <v>3003648000000</v>
      </c>
      <c r="G31" s="125">
        <v>5236324000000</v>
      </c>
      <c r="H31" s="125">
        <v>2556054000000</v>
      </c>
      <c r="I31" s="125">
        <v>6535326000000</v>
      </c>
      <c r="J31" s="125">
        <v>5904185000000</v>
      </c>
      <c r="K31" s="125">
        <v>2361658000000</v>
      </c>
      <c r="L31" s="125">
        <v>2339100000000</v>
      </c>
      <c r="M31" s="125">
        <v>2308603000000</v>
      </c>
      <c r="N31" s="2463"/>
      <c r="O31" s="2463"/>
      <c r="P31" s="2463"/>
      <c r="Q31" s="2463"/>
      <c r="R31" s="2463"/>
      <c r="S31" s="2463"/>
      <c r="T31" s="2463"/>
      <c r="U31" s="2463"/>
      <c r="V31" s="2463"/>
      <c r="W31" s="2463"/>
      <c r="X31" s="2463"/>
      <c r="Y31" s="2463"/>
      <c r="Z31" s="2463"/>
      <c r="AA31" s="2463"/>
      <c r="AB31" s="2463"/>
      <c r="AC31" s="2463"/>
      <c r="AD31" s="2463"/>
      <c r="AE31" s="2463"/>
      <c r="AF31" s="2463"/>
      <c r="AG31" s="2463"/>
      <c r="AH31" s="2463"/>
      <c r="AI31" s="2463"/>
      <c r="AJ31" s="2463"/>
      <c r="AK31" s="2463"/>
      <c r="AL31" s="2463"/>
      <c r="AM31" s="2463"/>
    </row>
    <row r="32" spans="1:39" ht="15.75">
      <c r="A32" t="s">
        <v>418</v>
      </c>
      <c r="B32" t="s">
        <v>418</v>
      </c>
      <c r="C32" s="380" t="s">
        <v>1029</v>
      </c>
      <c r="D32" s="125"/>
      <c r="E32" s="125">
        <v>-979488000000</v>
      </c>
      <c r="F32" s="125">
        <v>-876064000000</v>
      </c>
      <c r="G32" s="125">
        <v>-826788000000</v>
      </c>
      <c r="H32" s="125">
        <v>-852018000000</v>
      </c>
      <c r="I32" s="125">
        <v>-1089220999999.9999</v>
      </c>
      <c r="J32" s="125">
        <v>-1180837000000</v>
      </c>
      <c r="K32" s="125">
        <v>-1089996000000</v>
      </c>
      <c r="L32" s="125">
        <v>-1169550000000</v>
      </c>
      <c r="M32" s="125">
        <v>-839492000000</v>
      </c>
      <c r="N32" s="2463"/>
      <c r="O32" s="2463"/>
      <c r="P32" s="2463"/>
      <c r="Q32" s="2463"/>
      <c r="R32" s="2463"/>
      <c r="S32" s="2463"/>
      <c r="T32" s="2463"/>
      <c r="U32" s="2463"/>
      <c r="V32" s="2463"/>
      <c r="W32" s="2463"/>
      <c r="X32" s="2463"/>
      <c r="Y32" s="2463"/>
      <c r="Z32" s="2463"/>
      <c r="AA32" s="2463"/>
      <c r="AB32" s="2463"/>
      <c r="AC32" s="2463"/>
      <c r="AD32" s="2463"/>
      <c r="AE32" s="2463"/>
      <c r="AF32" s="2463"/>
      <c r="AG32" s="2463"/>
      <c r="AH32" s="2463"/>
      <c r="AI32" s="2463"/>
      <c r="AJ32" s="2463"/>
      <c r="AK32" s="2463"/>
      <c r="AL32" s="2463"/>
      <c r="AM32" s="2463"/>
    </row>
    <row r="33" spans="1:39">
      <c r="B33" s="90" t="s">
        <v>209</v>
      </c>
      <c r="C33" s="58"/>
      <c r="D33" s="125"/>
      <c r="E33" s="125"/>
      <c r="F33" s="125"/>
      <c r="G33" s="125"/>
      <c r="H33" s="125"/>
      <c r="I33" s="125"/>
      <c r="J33" s="125"/>
      <c r="K33" s="125"/>
      <c r="L33" s="125"/>
      <c r="M33" s="125"/>
      <c r="N33" s="2463"/>
      <c r="O33" s="2463"/>
      <c r="P33" s="2463"/>
      <c r="Q33" s="2463"/>
      <c r="R33" s="2463"/>
      <c r="S33" s="2463"/>
      <c r="T33" s="2463"/>
      <c r="U33" s="2463"/>
      <c r="V33" s="2463"/>
      <c r="W33" s="2463"/>
      <c r="X33" s="2463"/>
      <c r="Y33" s="2463"/>
      <c r="Z33" s="2463"/>
      <c r="AA33" s="2463"/>
      <c r="AB33" s="2463"/>
      <c r="AC33" s="2463"/>
      <c r="AD33" s="2463"/>
      <c r="AE33" s="2463"/>
      <c r="AF33" s="2463"/>
      <c r="AG33" s="2463"/>
      <c r="AH33" s="2463"/>
      <c r="AI33" s="2463"/>
      <c r="AJ33" s="2463"/>
      <c r="AK33" s="2463"/>
      <c r="AL33" s="2463"/>
      <c r="AM33" s="2463"/>
    </row>
    <row r="34" spans="1:39" ht="15.75">
      <c r="A34" s="90" t="s">
        <v>7050</v>
      </c>
      <c r="B34" s="90" t="s">
        <v>7050</v>
      </c>
      <c r="C34" s="380" t="s">
        <v>1033</v>
      </c>
      <c r="D34" s="125"/>
      <c r="E34" s="125">
        <v>761824000000</v>
      </c>
      <c r="F34" s="125">
        <v>876064000000</v>
      </c>
      <c r="G34" s="125">
        <v>688990000000</v>
      </c>
      <c r="H34" s="125">
        <v>142003000000</v>
      </c>
      <c r="I34" s="125">
        <v>-466809000000</v>
      </c>
      <c r="J34" s="125">
        <v>-506073000000</v>
      </c>
      <c r="K34" s="125">
        <v>1089996000000</v>
      </c>
      <c r="L34" s="125">
        <v>1169550000000</v>
      </c>
      <c r="M34" s="125">
        <v>1469111000000</v>
      </c>
      <c r="N34" s="2463"/>
      <c r="O34" s="2463"/>
      <c r="P34" s="2463"/>
      <c r="Q34" s="2463"/>
      <c r="R34" s="2463"/>
      <c r="S34" s="2463"/>
      <c r="T34" s="2463"/>
      <c r="U34" s="2463"/>
      <c r="V34" s="2463"/>
      <c r="W34" s="2463"/>
      <c r="X34" s="2463"/>
      <c r="Y34" s="2463"/>
      <c r="Z34" s="2463"/>
      <c r="AA34" s="2463"/>
      <c r="AB34" s="2463"/>
      <c r="AC34" s="2463"/>
      <c r="AD34" s="2463"/>
      <c r="AE34" s="2463"/>
      <c r="AF34" s="2463"/>
      <c r="AG34" s="2463"/>
      <c r="AH34" s="2463"/>
      <c r="AI34" s="2463"/>
      <c r="AJ34" s="2463"/>
      <c r="AK34" s="2463"/>
      <c r="AL34" s="2463"/>
      <c r="AM34" s="2463"/>
    </row>
    <row r="35" spans="1:39" ht="15.75">
      <c r="A35" s="90" t="s">
        <v>1355</v>
      </c>
      <c r="B35" s="90" t="s">
        <v>1355</v>
      </c>
      <c r="C35" s="380" t="s">
        <v>1033</v>
      </c>
      <c r="D35" s="125"/>
      <c r="E35" s="125">
        <v>1305984000000</v>
      </c>
      <c r="F35" s="125">
        <v>-1501824000000</v>
      </c>
      <c r="G35" s="125">
        <v>-3720546000000.0005</v>
      </c>
      <c r="H35" s="125">
        <v>-1278027000000</v>
      </c>
      <c r="I35" s="125">
        <v>-2178441999999.9998</v>
      </c>
      <c r="J35" s="125">
        <v>-2530365000000</v>
      </c>
      <c r="K35" s="125">
        <v>-363332000000</v>
      </c>
      <c r="L35" s="125">
        <v>-389850000000</v>
      </c>
      <c r="M35" s="125">
        <v>-1049365000000</v>
      </c>
      <c r="N35" s="2463"/>
      <c r="O35" s="2463"/>
      <c r="P35" s="2463"/>
      <c r="Q35" s="2463"/>
      <c r="R35" s="2463"/>
      <c r="S35" s="2463"/>
      <c r="T35" s="2463"/>
      <c r="U35" s="2463"/>
      <c r="V35" s="2463"/>
      <c r="W35" s="2463"/>
      <c r="X35" s="2463"/>
      <c r="Y35" s="2463"/>
      <c r="Z35" s="2463"/>
      <c r="AA35" s="2463"/>
      <c r="AB35" s="2463"/>
      <c r="AC35" s="2463"/>
      <c r="AD35" s="2463"/>
      <c r="AE35" s="2463"/>
      <c r="AF35" s="2463"/>
      <c r="AG35" s="2463"/>
      <c r="AH35" s="2463"/>
      <c r="AI35" s="2463"/>
      <c r="AJ35" s="2463"/>
      <c r="AK35" s="2463"/>
      <c r="AL35" s="2463"/>
      <c r="AM35" s="2463"/>
    </row>
    <row r="36" spans="1:39" ht="15.75">
      <c r="A36" s="90" t="s">
        <v>7185</v>
      </c>
      <c r="B36" s="90" t="s">
        <v>7185</v>
      </c>
      <c r="C36" s="380" t="s">
        <v>1033</v>
      </c>
      <c r="D36" s="125"/>
      <c r="E36" s="125">
        <v>217664000000</v>
      </c>
      <c r="F36" s="125">
        <v>1126368000000</v>
      </c>
      <c r="G36" s="125">
        <v>551192000000</v>
      </c>
      <c r="H36" s="125">
        <v>994020999999.99988</v>
      </c>
      <c r="I36" s="125">
        <v>933618000000</v>
      </c>
      <c r="J36" s="125">
        <v>1012146000000</v>
      </c>
      <c r="K36" s="125">
        <v>1089996000000</v>
      </c>
      <c r="L36" s="125">
        <v>779700000000</v>
      </c>
      <c r="M36" s="125">
        <v>839492000000</v>
      </c>
      <c r="N36" s="2463"/>
      <c r="O36" s="2463"/>
      <c r="P36" s="2463"/>
      <c r="Q36" s="2463"/>
      <c r="R36" s="2463"/>
      <c r="S36" s="2463"/>
      <c r="T36" s="2463"/>
      <c r="U36" s="2463"/>
      <c r="V36" s="2463"/>
      <c r="W36" s="2463"/>
      <c r="X36" s="2463"/>
      <c r="Y36" s="2463"/>
      <c r="Z36" s="2463"/>
      <c r="AA36" s="2463"/>
      <c r="AB36" s="2463"/>
      <c r="AC36" s="2463"/>
      <c r="AD36" s="2463"/>
      <c r="AE36" s="2463"/>
      <c r="AF36" s="2463"/>
      <c r="AG36" s="2463"/>
      <c r="AH36" s="2463"/>
      <c r="AI36" s="2463"/>
      <c r="AJ36" s="2463"/>
      <c r="AK36" s="2463"/>
      <c r="AL36" s="2463"/>
      <c r="AM36" s="2463"/>
    </row>
    <row r="37" spans="1:39">
      <c r="A37" s="90" t="s">
        <v>2264</v>
      </c>
      <c r="B37" s="90" t="s">
        <v>2264</v>
      </c>
      <c r="C37" s="58" t="s">
        <v>252</v>
      </c>
      <c r="D37" s="125"/>
      <c r="E37" s="125">
        <v>217664000000</v>
      </c>
      <c r="F37" s="125">
        <v>250304000000</v>
      </c>
      <c r="G37" s="125">
        <v>275596000000</v>
      </c>
      <c r="H37" s="125">
        <v>142003000000</v>
      </c>
      <c r="I37" s="125">
        <v>-622412000000</v>
      </c>
      <c r="J37" s="125">
        <v>0</v>
      </c>
      <c r="K37" s="125">
        <v>0</v>
      </c>
      <c r="L37" s="125">
        <v>0</v>
      </c>
      <c r="M37" s="125">
        <v>0</v>
      </c>
    </row>
    <row r="38" spans="1:39" ht="16.5">
      <c r="B38" s="90" t="s">
        <v>5344</v>
      </c>
      <c r="C38" s="27"/>
      <c r="D38" s="125"/>
      <c r="E38" s="125"/>
      <c r="F38" s="125"/>
      <c r="G38" s="125"/>
      <c r="H38" s="125"/>
      <c r="I38" s="125"/>
      <c r="J38" s="125"/>
      <c r="K38" s="125"/>
      <c r="L38" s="125"/>
      <c r="M38" s="125"/>
    </row>
    <row r="39" spans="1:39" ht="16.5">
      <c r="B39" s="139"/>
      <c r="C39" s="34"/>
      <c r="D39" s="357"/>
      <c r="E39" s="357"/>
      <c r="F39" s="357"/>
      <c r="G39" s="357"/>
      <c r="H39" s="357"/>
      <c r="I39" s="357"/>
      <c r="J39" s="357"/>
      <c r="K39" s="357"/>
      <c r="L39" s="357"/>
      <c r="M39" s="357"/>
    </row>
    <row r="40" spans="1:39" ht="16.5">
      <c r="B40" s="139"/>
      <c r="C40" s="34"/>
      <c r="E40" t="s">
        <v>139</v>
      </c>
      <c r="F40" t="s">
        <v>139</v>
      </c>
      <c r="G40" t="s">
        <v>139</v>
      </c>
      <c r="H40" t="s">
        <v>139</v>
      </c>
      <c r="I40" t="s">
        <v>139</v>
      </c>
      <c r="J40" t="s">
        <v>139</v>
      </c>
      <c r="K40" t="s">
        <v>139</v>
      </c>
      <c r="L40" t="s">
        <v>139</v>
      </c>
      <c r="M40" t="s">
        <v>139</v>
      </c>
    </row>
    <row r="41" spans="1:39" ht="16.5">
      <c r="B41" s="139"/>
      <c r="C41" s="34"/>
    </row>
    <row r="42" spans="1:39" ht="16.5">
      <c r="B42" s="139" t="s">
        <v>616</v>
      </c>
      <c r="C42" s="34"/>
      <c r="D42" s="21" t="e">
        <f>D7-D8-#REF!-D10</f>
        <v>#REF!</v>
      </c>
      <c r="E42" s="21" t="e">
        <f>E7-E8-#REF!-E10</f>
        <v>#REF!</v>
      </c>
      <c r="F42" s="21" t="e">
        <f>F7-F8-#REF!-F10</f>
        <v>#REF!</v>
      </c>
      <c r="G42" s="21" t="e">
        <f>G7-G8-#REF!-G10</f>
        <v>#REF!</v>
      </c>
      <c r="H42" s="21" t="e">
        <f>H7-H8-#REF!-H10</f>
        <v>#REF!</v>
      </c>
      <c r="I42" s="21" t="e">
        <f>I7-I8-#REF!-I10</f>
        <v>#REF!</v>
      </c>
      <c r="J42" s="21" t="e">
        <f>J7-J8-#REF!-J10</f>
        <v>#REF!</v>
      </c>
      <c r="K42" s="21" t="e">
        <f>K7-K8-#REF!-K10</f>
        <v>#REF!</v>
      </c>
      <c r="L42" s="21" t="e">
        <f>L7-L8-#REF!-L10</f>
        <v>#REF!</v>
      </c>
      <c r="M42" s="21" t="e">
        <f>M7-M8-#REF!-M10</f>
        <v>#REF!</v>
      </c>
    </row>
    <row r="43" spans="1:39" ht="16.5">
      <c r="B43" s="139" t="s">
        <v>142</v>
      </c>
      <c r="C43" s="34"/>
      <c r="D43" s="21" t="e">
        <f>D8-#REF!-#REF!-#REF!-#REF!-#REF!</f>
        <v>#REF!</v>
      </c>
      <c r="E43" s="21" t="e">
        <f>E8-#REF!-#REF!-#REF!-#REF!-#REF!</f>
        <v>#REF!</v>
      </c>
      <c r="F43" s="21" t="e">
        <f>F8-#REF!-#REF!-#REF!-#REF!-#REF!</f>
        <v>#REF!</v>
      </c>
      <c r="G43" s="21" t="e">
        <f>G8-#REF!-#REF!-#REF!-#REF!-#REF!</f>
        <v>#REF!</v>
      </c>
      <c r="H43" s="21" t="e">
        <f>H8-#REF!-#REF!-#REF!-#REF!-#REF!</f>
        <v>#REF!</v>
      </c>
      <c r="I43" s="21" t="e">
        <f>I8-#REF!-#REF!-#REF!-#REF!-#REF!</f>
        <v>#REF!</v>
      </c>
      <c r="J43" s="21" t="e">
        <f>J8-#REF!-#REF!-#REF!-#REF!-#REF!</f>
        <v>#REF!</v>
      </c>
      <c r="K43" s="21" t="e">
        <f>K8-#REF!-#REF!-#REF!-#REF!-#REF!</f>
        <v>#REF!</v>
      </c>
      <c r="L43" s="21" t="e">
        <f>L8-#REF!-#REF!-#REF!-#REF!-#REF!</f>
        <v>#REF!</v>
      </c>
      <c r="M43" s="21" t="e">
        <f>M8-#REF!-#REF!-#REF!-#REF!-#REF!</f>
        <v>#REF!</v>
      </c>
    </row>
    <row r="44" spans="1:39" ht="16.5">
      <c r="B44" s="139" t="s">
        <v>1761</v>
      </c>
      <c r="C44" s="34"/>
      <c r="D44" s="21">
        <f t="shared" ref="D44:M44" si="8">D10-D11-D12-D13-D14</f>
        <v>0</v>
      </c>
      <c r="E44" s="21">
        <f t="shared" si="8"/>
        <v>9577216000000</v>
      </c>
      <c r="F44" s="21">
        <f t="shared" si="8"/>
        <v>9511552000000</v>
      </c>
      <c r="G44" s="21">
        <f t="shared" si="8"/>
        <v>11575032000000</v>
      </c>
      <c r="H44" s="21">
        <f t="shared" si="8"/>
        <v>13490285000000.002</v>
      </c>
      <c r="I44" s="21">
        <f t="shared" si="8"/>
        <v>14315476000000</v>
      </c>
      <c r="J44" s="21">
        <f t="shared" si="8"/>
        <v>15182190000000.002</v>
      </c>
      <c r="K44" s="21">
        <f t="shared" si="8"/>
        <v>16713272000000</v>
      </c>
      <c r="L44" s="21">
        <f t="shared" si="8"/>
        <v>18322950000000</v>
      </c>
      <c r="M44" s="21">
        <f t="shared" si="8"/>
        <v>19518189000000</v>
      </c>
    </row>
    <row r="45" spans="1:39" ht="16.5">
      <c r="B45" s="139" t="s">
        <v>145</v>
      </c>
      <c r="C45" s="34"/>
      <c r="D45" s="21">
        <f t="shared" ref="D45:M45" si="9">D16-D17-D23</f>
        <v>0</v>
      </c>
      <c r="E45" s="21">
        <f t="shared" si="9"/>
        <v>0</v>
      </c>
      <c r="F45" s="21">
        <f t="shared" si="9"/>
        <v>0</v>
      </c>
      <c r="G45" s="21">
        <f t="shared" si="9"/>
        <v>0</v>
      </c>
      <c r="H45" s="21">
        <f t="shared" si="9"/>
        <v>0</v>
      </c>
      <c r="I45" s="21">
        <f t="shared" si="9"/>
        <v>0</v>
      </c>
      <c r="J45" s="21">
        <f t="shared" si="9"/>
        <v>0</v>
      </c>
      <c r="K45" s="21">
        <f t="shared" si="9"/>
        <v>0</v>
      </c>
      <c r="L45" s="21">
        <f t="shared" si="9"/>
        <v>0</v>
      </c>
      <c r="M45" s="21">
        <f t="shared" si="9"/>
        <v>0</v>
      </c>
    </row>
    <row r="46" spans="1:39" ht="16.5">
      <c r="B46" s="139" t="s">
        <v>826</v>
      </c>
      <c r="D46" s="21" t="e">
        <f>D17-D18-D19-D20-#REF!-#REF!-#REF!</f>
        <v>#REF!</v>
      </c>
      <c r="E46" s="21" t="e">
        <f>E17-E18-E19-E20-#REF!-#REF!-#REF!</f>
        <v>#REF!</v>
      </c>
      <c r="F46" s="21" t="e">
        <f>F17-F18-F19-F20-#REF!-#REF!-#REF!</f>
        <v>#REF!</v>
      </c>
      <c r="G46" s="21" t="e">
        <f>G17-G18-G19-G20-#REF!-#REF!-#REF!</f>
        <v>#REF!</v>
      </c>
      <c r="H46" s="21" t="e">
        <f>H17-H18-H19-H20-#REF!-#REF!-#REF!</f>
        <v>#REF!</v>
      </c>
      <c r="I46" s="21" t="e">
        <f>I17-I18-I19-I20-#REF!-#REF!-#REF!</f>
        <v>#REF!</v>
      </c>
      <c r="J46" s="21" t="e">
        <f>J17-J18-J19-J20-#REF!-#REF!-#REF!</f>
        <v>#REF!</v>
      </c>
      <c r="K46" s="21" t="e">
        <f>K17-K18-K19-K20-#REF!-#REF!-#REF!</f>
        <v>#REF!</v>
      </c>
      <c r="L46" s="21" t="e">
        <f>L17-L18-L19-L20-#REF!-#REF!-#REF!</f>
        <v>#REF!</v>
      </c>
      <c r="M46" s="21" t="e">
        <f>M17-M18-M19-M20-#REF!-#REF!-#REF!</f>
        <v>#REF!</v>
      </c>
    </row>
    <row r="47" spans="1:39" ht="16.5">
      <c r="B47" s="139" t="s">
        <v>2474</v>
      </c>
      <c r="D47" s="21"/>
      <c r="E47" s="21"/>
      <c r="F47" s="21"/>
      <c r="G47" s="21"/>
      <c r="H47" s="21"/>
      <c r="I47" s="21"/>
      <c r="J47" s="21"/>
      <c r="K47" s="21"/>
      <c r="L47" s="21"/>
      <c r="M47" s="21"/>
    </row>
    <row r="48" spans="1:39" ht="16.5">
      <c r="B48" s="139" t="s">
        <v>876</v>
      </c>
      <c r="D48" s="131" t="e">
        <f>D23-#REF!-#REF!</f>
        <v>#REF!</v>
      </c>
      <c r="E48" s="131" t="e">
        <f>E23-#REF!-#REF!</f>
        <v>#REF!</v>
      </c>
      <c r="F48" s="131" t="e">
        <f>F23-#REF!-#REF!</f>
        <v>#REF!</v>
      </c>
      <c r="G48" s="131" t="e">
        <f>G23-#REF!-#REF!</f>
        <v>#REF!</v>
      </c>
      <c r="H48" s="131" t="e">
        <f>H23-#REF!-#REF!</f>
        <v>#REF!</v>
      </c>
      <c r="I48" s="131" t="e">
        <f>I23-#REF!-#REF!</f>
        <v>#REF!</v>
      </c>
      <c r="J48" s="131" t="e">
        <f>J23-#REF!-#REF!</f>
        <v>#REF!</v>
      </c>
      <c r="K48" s="131" t="e">
        <f>K23-#REF!-#REF!</f>
        <v>#REF!</v>
      </c>
      <c r="L48" s="131" t="e">
        <f>L23-#REF!-#REF!</f>
        <v>#REF!</v>
      </c>
      <c r="M48" s="131" t="e">
        <f>M23-#REF!-#REF!</f>
        <v>#REF!</v>
      </c>
    </row>
    <row r="49" spans="2:13" ht="16.5">
      <c r="B49" s="139" t="s">
        <v>457</v>
      </c>
      <c r="D49" s="21" t="e">
        <f>D26-#REF!-#REF!</f>
        <v>#REF!</v>
      </c>
      <c r="E49" s="21" t="e">
        <f>E26-#REF!-#REF!</f>
        <v>#REF!</v>
      </c>
      <c r="F49" s="21" t="e">
        <f>F26-#REF!-#REF!</f>
        <v>#REF!</v>
      </c>
      <c r="G49" s="21" t="e">
        <f>G26-#REF!-#REF!</f>
        <v>#REF!</v>
      </c>
      <c r="H49" s="21" t="e">
        <f>H26-#REF!-#REF!</f>
        <v>#REF!</v>
      </c>
      <c r="I49" s="21" t="e">
        <f>I26-#REF!-#REF!</f>
        <v>#REF!</v>
      </c>
      <c r="J49" s="21" t="e">
        <f>J26-#REF!-#REF!</f>
        <v>#REF!</v>
      </c>
      <c r="K49" s="21" t="e">
        <f>K26-#REF!-#REF!</f>
        <v>#REF!</v>
      </c>
      <c r="L49" s="21" t="e">
        <f>L26-#REF!-#REF!</f>
        <v>#REF!</v>
      </c>
      <c r="M49" s="21" t="e">
        <f>M26-#REF!-#REF!</f>
        <v>#REF!</v>
      </c>
    </row>
    <row r="50" spans="2:13" ht="16.5">
      <c r="B50" s="139" t="s">
        <v>362</v>
      </c>
      <c r="D50" s="21" t="e">
        <f>#REF!-#REF!-#REF!-#REF!</f>
        <v>#REF!</v>
      </c>
      <c r="E50" s="21" t="e">
        <f>#REF!-#REF!-#REF!-#REF!</f>
        <v>#REF!</v>
      </c>
      <c r="F50" s="21" t="e">
        <f>#REF!-#REF!-#REF!-#REF!</f>
        <v>#REF!</v>
      </c>
      <c r="G50" s="21" t="e">
        <f>#REF!-#REF!-#REF!-#REF!</f>
        <v>#REF!</v>
      </c>
      <c r="H50" s="21" t="e">
        <f>#REF!-#REF!-#REF!-#REF!</f>
        <v>#REF!</v>
      </c>
      <c r="I50" s="21" t="e">
        <f>#REF!-#REF!-#REF!-#REF!</f>
        <v>#REF!</v>
      </c>
      <c r="J50" s="21" t="e">
        <f>#REF!-#REF!-#REF!-#REF!</f>
        <v>#REF!</v>
      </c>
      <c r="K50" s="21" t="e">
        <f>#REF!-#REF!-#REF!-#REF!</f>
        <v>#REF!</v>
      </c>
      <c r="L50" s="21" t="e">
        <f>#REF!-#REF!-#REF!-#REF!</f>
        <v>#REF!</v>
      </c>
      <c r="M50" s="21" t="e">
        <f>#REF!-#REF!-#REF!-#REF!</f>
        <v>#REF!</v>
      </c>
    </row>
    <row r="51" spans="2:13" ht="16.5">
      <c r="B51" s="139" t="s">
        <v>528</v>
      </c>
      <c r="D51" s="21" t="e">
        <f>#REF!-#REF!-#REF!</f>
        <v>#REF!</v>
      </c>
      <c r="E51" s="21" t="e">
        <f>#REF!-#REF!-#REF!</f>
        <v>#REF!</v>
      </c>
      <c r="F51" s="21" t="e">
        <f>#REF!-#REF!-#REF!</f>
        <v>#REF!</v>
      </c>
      <c r="G51" s="21" t="e">
        <f>#REF!-#REF!-#REF!</f>
        <v>#REF!</v>
      </c>
      <c r="H51" s="21" t="e">
        <f>#REF!-#REF!-#REF!</f>
        <v>#REF!</v>
      </c>
      <c r="I51" s="21" t="e">
        <f>#REF!-#REF!-#REF!</f>
        <v>#REF!</v>
      </c>
      <c r="J51" s="21" t="e">
        <f>#REF!-#REF!-#REF!</f>
        <v>#REF!</v>
      </c>
      <c r="K51" s="21" t="e">
        <f>#REF!-#REF!-#REF!</f>
        <v>#REF!</v>
      </c>
      <c r="L51" s="21" t="e">
        <f>#REF!-#REF!-#REF!</f>
        <v>#REF!</v>
      </c>
      <c r="M51" s="21" t="e">
        <f>#REF!-#REF!-#REF!</f>
        <v>#REF!</v>
      </c>
    </row>
    <row r="54" spans="2:13" ht="16.5">
      <c r="B54" s="139" t="s">
        <v>150</v>
      </c>
      <c r="D54" s="247">
        <v>105203000000000</v>
      </c>
      <c r="E54" s="247">
        <v>108832000000000</v>
      </c>
      <c r="F54" s="247">
        <v>125152000000000</v>
      </c>
      <c r="G54" s="247">
        <v>137798000000000</v>
      </c>
      <c r="H54" s="21">
        <v>142003000000000</v>
      </c>
      <c r="I54" s="21">
        <v>155603000000000</v>
      </c>
      <c r="J54" s="21">
        <v>168691000000000</v>
      </c>
      <c r="K54" s="21">
        <v>181666000000000</v>
      </c>
      <c r="L54" s="21">
        <v>194925000000000</v>
      </c>
      <c r="M54" s="21">
        <v>209873000000000</v>
      </c>
    </row>
    <row r="55" spans="2:13" ht="16.5">
      <c r="B55" s="139" t="s">
        <v>151</v>
      </c>
      <c r="D55">
        <f t="shared" ref="D55:M55" si="10">(D6/D54)*100</f>
        <v>0</v>
      </c>
      <c r="E55">
        <f t="shared" si="10"/>
        <v>23.7</v>
      </c>
      <c r="F55">
        <f t="shared" si="10"/>
        <v>22.1</v>
      </c>
      <c r="G55">
        <f t="shared" si="10"/>
        <v>22.7</v>
      </c>
      <c r="H55" s="397">
        <f t="shared" si="10"/>
        <v>24</v>
      </c>
      <c r="I55" s="397">
        <f t="shared" si="10"/>
        <v>23.7</v>
      </c>
      <c r="J55" s="397">
        <f t="shared" si="10"/>
        <v>23.599999999999998</v>
      </c>
      <c r="K55" s="397">
        <f t="shared" si="10"/>
        <v>23.7</v>
      </c>
      <c r="L55" s="397">
        <f t="shared" si="10"/>
        <v>23.9</v>
      </c>
      <c r="M55" s="397">
        <f t="shared" si="10"/>
        <v>24</v>
      </c>
    </row>
    <row r="56" spans="2:13" ht="16.5">
      <c r="B56" s="139" t="s">
        <v>152</v>
      </c>
      <c r="D56">
        <f t="shared" ref="D56:M56" si="11">(D16/D54)*100</f>
        <v>0</v>
      </c>
      <c r="E56">
        <f t="shared" si="11"/>
        <v>25.3</v>
      </c>
      <c r="F56">
        <f t="shared" si="11"/>
        <v>23.5</v>
      </c>
      <c r="G56">
        <f t="shared" si="11"/>
        <v>23.500000000000004</v>
      </c>
      <c r="H56" s="397">
        <f t="shared" si="11"/>
        <v>25.5</v>
      </c>
      <c r="I56" s="397">
        <f t="shared" si="11"/>
        <v>24.9</v>
      </c>
      <c r="J56" s="397">
        <f t="shared" si="11"/>
        <v>24.9</v>
      </c>
      <c r="K56" s="397">
        <f t="shared" si="11"/>
        <v>25.1</v>
      </c>
      <c r="L56" s="397">
        <f t="shared" si="11"/>
        <v>25</v>
      </c>
      <c r="M56" s="397">
        <f t="shared" si="11"/>
        <v>25.1</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70" zoomScaleNormal="70" workbookViewId="0">
      <pane xSplit="3" ySplit="5" topLeftCell="O6" activePane="bottomRight" state="frozen"/>
      <selection pane="topRight" activeCell="D1" sqref="D1"/>
      <selection pane="bottomLeft" activeCell="A6" sqref="A6"/>
      <selection pane="bottomRight" activeCell="AC45" sqref="AC45"/>
    </sheetView>
  </sheetViews>
  <sheetFormatPr defaultRowHeight="15"/>
  <cols>
    <col min="1" max="1" width="32.28515625" style="506" customWidth="1"/>
    <col min="2" max="2" width="48.5703125" style="506" customWidth="1"/>
    <col min="3" max="3" width="22.42578125" style="506" bestFit="1" customWidth="1"/>
    <col min="4" max="9" width="8.85546875" style="506"/>
    <col min="10" max="10" width="13.7109375" style="506" bestFit="1" customWidth="1"/>
    <col min="11" max="11" width="8.85546875" style="506"/>
    <col min="12" max="12" width="14.7109375" style="506" bestFit="1" customWidth="1"/>
    <col min="13" max="14" width="14.85546875" style="506" bestFit="1" customWidth="1"/>
    <col min="15" max="15" width="14.7109375" style="506" bestFit="1" customWidth="1"/>
    <col min="16" max="22" width="15.7109375" style="506" bestFit="1" customWidth="1"/>
    <col min="23" max="23" width="15.85546875" style="506" bestFit="1" customWidth="1"/>
    <col min="24" max="24" width="16" style="506" bestFit="1" customWidth="1"/>
    <col min="25" max="26" width="15.5703125" style="506" bestFit="1" customWidth="1"/>
    <col min="27" max="30" width="8.85546875" style="506"/>
  </cols>
  <sheetData>
    <row r="1" spans="1:30">
      <c r="A1" s="842" t="s">
        <v>5345</v>
      </c>
      <c r="B1" s="794" t="s">
        <v>5346</v>
      </c>
      <c r="C1" s="794"/>
      <c r="D1" s="795"/>
      <c r="E1" s="795"/>
      <c r="F1" s="795"/>
      <c r="G1" s="795"/>
      <c r="H1" s="795"/>
      <c r="I1" s="795"/>
      <c r="J1" s="795"/>
      <c r="K1" s="795"/>
      <c r="L1" s="795"/>
      <c r="M1" s="795"/>
      <c r="N1" s="795"/>
      <c r="O1" s="543"/>
      <c r="P1" s="543"/>
      <c r="Q1" s="543"/>
      <c r="R1" s="796"/>
      <c r="S1" s="543"/>
      <c r="T1" s="543"/>
      <c r="U1" s="543"/>
      <c r="V1" s="543"/>
      <c r="W1" s="543"/>
      <c r="X1" s="543"/>
    </row>
    <row r="2" spans="1:30">
      <c r="B2" s="797" t="s">
        <v>5347</v>
      </c>
      <c r="C2" s="797"/>
      <c r="D2" s="543"/>
      <c r="E2" s="543"/>
      <c r="F2" s="543"/>
      <c r="G2" s="543"/>
      <c r="H2" s="543"/>
      <c r="I2" s="543"/>
      <c r="J2" s="543"/>
      <c r="K2" s="543"/>
      <c r="L2" s="543"/>
      <c r="M2" s="543"/>
      <c r="N2" s="543"/>
      <c r="O2" s="543"/>
      <c r="P2" s="543"/>
      <c r="Q2" s="543"/>
      <c r="R2" s="798"/>
      <c r="S2" s="799"/>
      <c r="T2" s="800"/>
      <c r="U2" s="543"/>
      <c r="V2" s="543"/>
      <c r="W2" s="543"/>
      <c r="X2" s="543"/>
    </row>
    <row r="3" spans="1:30">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row>
    <row r="4" spans="1:30">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812" t="s">
        <v>26</v>
      </c>
      <c r="Z4" s="812" t="s">
        <v>27</v>
      </c>
    </row>
    <row r="5" spans="1:30">
      <c r="A5" s="506" t="s">
        <v>157</v>
      </c>
      <c r="B5" s="801" t="s">
        <v>29</v>
      </c>
      <c r="C5" s="801"/>
      <c r="D5" s="543" t="s">
        <v>30</v>
      </c>
      <c r="E5" s="543" t="s">
        <v>30</v>
      </c>
      <c r="F5" s="543" t="s">
        <v>30</v>
      </c>
      <c r="G5" s="543" t="s">
        <v>30</v>
      </c>
      <c r="H5" s="543" t="s">
        <v>30</v>
      </c>
      <c r="I5" s="795" t="s">
        <v>31</v>
      </c>
      <c r="J5" s="795" t="s">
        <v>30</v>
      </c>
      <c r="K5" s="795" t="s">
        <v>30</v>
      </c>
      <c r="L5" s="795" t="s">
        <v>30</v>
      </c>
      <c r="M5" s="795" t="s">
        <v>30</v>
      </c>
      <c r="N5" s="795" t="s">
        <v>30</v>
      </c>
      <c r="O5" s="795" t="s">
        <v>30</v>
      </c>
      <c r="P5" s="795" t="s">
        <v>30</v>
      </c>
      <c r="Q5" s="795" t="s">
        <v>30</v>
      </c>
      <c r="R5" s="795" t="s">
        <v>30</v>
      </c>
      <c r="S5" s="795" t="s">
        <v>30</v>
      </c>
      <c r="T5" s="543" t="s">
        <v>368</v>
      </c>
      <c r="U5" s="543" t="s">
        <v>32</v>
      </c>
      <c r="V5" s="543" t="s">
        <v>32</v>
      </c>
      <c r="W5" s="543" t="s">
        <v>32</v>
      </c>
      <c r="X5" s="543" t="s">
        <v>32</v>
      </c>
      <c r="Y5" s="543" t="s">
        <v>32</v>
      </c>
      <c r="Z5" s="543" t="s">
        <v>32</v>
      </c>
    </row>
    <row r="6" spans="1:30" s="848" customFormat="1">
      <c r="A6" s="822" t="s">
        <v>33</v>
      </c>
      <c r="B6" s="822" t="s">
        <v>4319</v>
      </c>
      <c r="C6" s="822" t="s">
        <v>35</v>
      </c>
      <c r="D6" s="823"/>
      <c r="E6" s="823"/>
      <c r="F6" s="823"/>
      <c r="G6" s="823"/>
      <c r="H6" s="823"/>
      <c r="I6" s="823"/>
      <c r="J6" s="823"/>
      <c r="K6" s="823"/>
      <c r="L6" s="829">
        <v>75054599000.000015</v>
      </c>
      <c r="M6" s="1938">
        <v>69360450000</v>
      </c>
      <c r="N6" s="1938">
        <f>N7+N10</f>
        <v>85197679000</v>
      </c>
      <c r="O6" s="1938">
        <f>O7+O10</f>
        <v>101958318000</v>
      </c>
      <c r="P6" s="1938">
        <f t="shared" ref="P6:Z6" si="0">P7+P10</f>
        <v>114156500000</v>
      </c>
      <c r="Q6" s="1938">
        <f t="shared" si="0"/>
        <v>121376900000.00002</v>
      </c>
      <c r="R6" s="1938">
        <f t="shared" si="0"/>
        <v>128514899999.99998</v>
      </c>
      <c r="S6" s="1938">
        <f t="shared" si="0"/>
        <v>122560000000</v>
      </c>
      <c r="T6" s="1938">
        <f t="shared" si="0"/>
        <v>123176900000.00002</v>
      </c>
      <c r="U6" s="1938">
        <f t="shared" si="0"/>
        <v>130221499999.99998</v>
      </c>
      <c r="V6" s="1938">
        <f t="shared" si="0"/>
        <v>139838600000</v>
      </c>
      <c r="W6" s="1938">
        <f t="shared" si="0"/>
        <v>150444000000</v>
      </c>
      <c r="X6" s="1938">
        <f t="shared" si="0"/>
        <v>161566900000</v>
      </c>
      <c r="Y6" s="1938">
        <f t="shared" si="0"/>
        <v>173236800000</v>
      </c>
      <c r="Z6" s="1938">
        <f t="shared" si="0"/>
        <v>182841600000</v>
      </c>
      <c r="AA6" s="823"/>
      <c r="AB6" s="823"/>
      <c r="AC6" s="823"/>
      <c r="AD6" s="823"/>
    </row>
    <row r="7" spans="1:30">
      <c r="A7" s="805" t="s">
        <v>36</v>
      </c>
      <c r="B7" s="805" t="s">
        <v>36</v>
      </c>
      <c r="C7" s="806" t="s">
        <v>38</v>
      </c>
      <c r="L7" s="809">
        <f>L8+L9+L11</f>
        <v>74698890000</v>
      </c>
      <c r="M7" s="809">
        <f t="shared" ref="M7:O7" si="1">M8+M9+M11</f>
        <v>69360450000</v>
      </c>
      <c r="N7" s="809">
        <f t="shared" si="1"/>
        <v>85197679000</v>
      </c>
      <c r="O7" s="809">
        <f t="shared" si="1"/>
        <v>101018610000</v>
      </c>
      <c r="P7" s="809">
        <f>P8+P9+P11</f>
        <v>113159500000</v>
      </c>
      <c r="Q7" s="809">
        <f t="shared" ref="Q7:Z7" si="2">Q8+Q9+Q11</f>
        <v>120842200000.00002</v>
      </c>
      <c r="R7" s="809">
        <f t="shared" si="2"/>
        <v>127938599999.99998</v>
      </c>
      <c r="S7" s="809">
        <f t="shared" si="2"/>
        <v>121947200000</v>
      </c>
      <c r="T7" s="809">
        <f t="shared" si="2"/>
        <v>122518200000.00002</v>
      </c>
      <c r="U7" s="809">
        <f t="shared" si="2"/>
        <v>129517599999.99998</v>
      </c>
      <c r="V7" s="809">
        <f t="shared" si="2"/>
        <v>139090800000</v>
      </c>
      <c r="W7" s="809">
        <f t="shared" si="2"/>
        <v>149648000000</v>
      </c>
      <c r="X7" s="809">
        <f t="shared" si="2"/>
        <v>160721000000</v>
      </c>
      <c r="Y7" s="809">
        <f t="shared" si="2"/>
        <v>172339200000</v>
      </c>
      <c r="Z7" s="809">
        <f t="shared" si="2"/>
        <v>181889300000</v>
      </c>
    </row>
    <row r="8" spans="1:30">
      <c r="A8" s="807" t="s">
        <v>371</v>
      </c>
      <c r="B8" s="807" t="s">
        <v>371</v>
      </c>
      <c r="C8" s="805" t="s">
        <v>41</v>
      </c>
      <c r="D8" s="543"/>
      <c r="E8" s="543"/>
      <c r="F8" s="543"/>
      <c r="G8" s="543"/>
      <c r="H8" s="543"/>
      <c r="I8" s="543"/>
      <c r="J8" s="543"/>
      <c r="K8" s="543"/>
      <c r="L8" s="809">
        <v>56913440000</v>
      </c>
      <c r="M8" s="1939">
        <v>51472755000</v>
      </c>
      <c r="N8" s="1939">
        <v>63793336000</v>
      </c>
      <c r="O8" s="1939">
        <v>77056056000</v>
      </c>
      <c r="P8" s="1939">
        <v>86240500000</v>
      </c>
      <c r="Q8" s="1939">
        <v>91433700000.000015</v>
      </c>
      <c r="R8" s="1939">
        <v>97394699999.999985</v>
      </c>
      <c r="S8" s="1939">
        <v>92532800000</v>
      </c>
      <c r="T8" s="1939">
        <v>92218000000.000015</v>
      </c>
      <c r="U8" s="1939">
        <v>96434299999.999985</v>
      </c>
      <c r="V8" s="1939">
        <v>103944200000.00002</v>
      </c>
      <c r="W8" s="1161">
        <v>112235999999.99998</v>
      </c>
      <c r="X8" s="1161">
        <v>120963700000.00002</v>
      </c>
      <c r="Y8" s="834">
        <v>131049599999.99998</v>
      </c>
      <c r="Z8" s="834">
        <v>138083500000</v>
      </c>
    </row>
    <row r="9" spans="1:30">
      <c r="A9" s="807" t="s">
        <v>558</v>
      </c>
      <c r="B9" s="807" t="s">
        <v>569</v>
      </c>
      <c r="C9" s="805" t="s">
        <v>41</v>
      </c>
      <c r="D9" s="543"/>
      <c r="E9" s="543"/>
      <c r="F9" s="543"/>
      <c r="G9" s="543"/>
      <c r="H9" s="543"/>
      <c r="I9" s="543"/>
      <c r="J9" s="543"/>
      <c r="K9" s="543"/>
      <c r="L9" s="809">
        <v>6047053000</v>
      </c>
      <c r="M9" s="1939">
        <v>6936045000</v>
      </c>
      <c r="N9" s="1939">
        <v>7554474000</v>
      </c>
      <c r="O9" s="1939">
        <v>8927226000</v>
      </c>
      <c r="P9" s="1939">
        <v>10468500000</v>
      </c>
      <c r="Q9" s="1939">
        <v>11228700000.000002</v>
      </c>
      <c r="R9" s="1939">
        <v>12678600000.000002</v>
      </c>
      <c r="S9" s="1939">
        <v>12256000000</v>
      </c>
      <c r="T9" s="1939">
        <v>14491400000.000002</v>
      </c>
      <c r="U9" s="1939">
        <v>16189700000</v>
      </c>
      <c r="V9" s="1939">
        <v>17199400000</v>
      </c>
      <c r="W9" s="1161">
        <v>18308000000</v>
      </c>
      <c r="X9" s="1161">
        <v>19455700000</v>
      </c>
      <c r="Y9" s="834">
        <v>19747200000.000004</v>
      </c>
      <c r="Z9" s="834">
        <v>20950600000.000004</v>
      </c>
    </row>
    <row r="10" spans="1:30">
      <c r="A10" s="805" t="s">
        <v>53</v>
      </c>
      <c r="B10" s="805" t="s">
        <v>53</v>
      </c>
      <c r="C10" s="806" t="s">
        <v>38</v>
      </c>
      <c r="D10" s="543"/>
      <c r="E10" s="543"/>
      <c r="F10" s="543"/>
      <c r="G10" s="828"/>
      <c r="H10" s="543"/>
      <c r="I10" s="543"/>
      <c r="J10" s="543"/>
      <c r="K10" s="543"/>
      <c r="L10" s="809">
        <v>355709000.00000006</v>
      </c>
      <c r="M10" s="1939">
        <v>0</v>
      </c>
      <c r="N10" s="1939">
        <v>0</v>
      </c>
      <c r="O10" s="1939">
        <v>939708000</v>
      </c>
      <c r="P10" s="1939">
        <v>997000000</v>
      </c>
      <c r="Q10" s="1939">
        <v>534700000.00000006</v>
      </c>
      <c r="R10" s="1939">
        <v>576300000</v>
      </c>
      <c r="S10" s="1939">
        <v>612800000</v>
      </c>
      <c r="T10" s="1939">
        <v>658700000</v>
      </c>
      <c r="U10" s="1939">
        <v>703900000</v>
      </c>
      <c r="V10" s="1939">
        <v>747800000</v>
      </c>
      <c r="W10" s="1161">
        <v>796000000</v>
      </c>
      <c r="X10" s="1161">
        <v>845900000</v>
      </c>
      <c r="Y10" s="834">
        <v>897600000</v>
      </c>
      <c r="Z10" s="834">
        <v>952300000</v>
      </c>
    </row>
    <row r="11" spans="1:30">
      <c r="A11" s="807" t="s">
        <v>560</v>
      </c>
      <c r="B11" s="807" t="s">
        <v>561</v>
      </c>
      <c r="C11" s="805" t="s">
        <v>41</v>
      </c>
      <c r="D11" s="543"/>
      <c r="E11" s="543"/>
      <c r="F11" s="543"/>
      <c r="G11" s="543"/>
      <c r="H11" s="543"/>
      <c r="I11" s="543"/>
      <c r="J11" s="543"/>
      <c r="K11" s="543"/>
      <c r="L11" s="809">
        <v>11738397000</v>
      </c>
      <c r="M11" s="1939">
        <v>10951650000</v>
      </c>
      <c r="N11" s="1939">
        <v>13849869000</v>
      </c>
      <c r="O11" s="1939">
        <v>15035328000</v>
      </c>
      <c r="P11" s="1939">
        <v>16450500000</v>
      </c>
      <c r="Q11" s="1939">
        <v>18179800000.000004</v>
      </c>
      <c r="R11" s="1939">
        <v>17865300000</v>
      </c>
      <c r="S11" s="1939">
        <v>17158399999.999998</v>
      </c>
      <c r="T11" s="1939">
        <v>15808800000</v>
      </c>
      <c r="U11" s="1939">
        <v>16893600000</v>
      </c>
      <c r="V11" s="1939">
        <v>17947200000</v>
      </c>
      <c r="W11" s="1161">
        <v>19104000000</v>
      </c>
      <c r="X11" s="1161">
        <v>20301600000</v>
      </c>
      <c r="Y11" s="834">
        <v>21542400000</v>
      </c>
      <c r="Z11" s="834">
        <v>22855200000</v>
      </c>
    </row>
    <row r="12" spans="1:30">
      <c r="A12" s="808" t="s">
        <v>5348</v>
      </c>
      <c r="B12" s="808" t="s">
        <v>5349</v>
      </c>
      <c r="C12" s="795" t="s">
        <v>998</v>
      </c>
      <c r="D12" s="543"/>
      <c r="E12" s="543"/>
      <c r="F12" s="543"/>
      <c r="G12" s="543"/>
      <c r="H12" s="543"/>
      <c r="I12" s="543"/>
      <c r="J12" s="543"/>
      <c r="K12" s="543"/>
      <c r="L12" s="809">
        <v>0</v>
      </c>
      <c r="M12" s="1939">
        <v>730110000</v>
      </c>
      <c r="N12" s="1939">
        <v>419693000.00000006</v>
      </c>
      <c r="O12" s="1939">
        <v>469854000</v>
      </c>
      <c r="P12" s="1939"/>
      <c r="Q12" s="1939"/>
      <c r="R12" s="1939"/>
      <c r="S12" s="1939"/>
      <c r="T12" s="1939"/>
      <c r="U12" s="1939"/>
      <c r="V12" s="1939"/>
      <c r="W12" s="1161"/>
      <c r="X12" s="1161"/>
      <c r="Y12" s="834"/>
      <c r="Z12" s="834"/>
    </row>
    <row r="13" spans="1:30">
      <c r="A13" s="808" t="s">
        <v>2234</v>
      </c>
      <c r="B13" s="808" t="s">
        <v>5350</v>
      </c>
      <c r="C13" s="795" t="s">
        <v>998</v>
      </c>
      <c r="D13" s="543"/>
      <c r="E13" s="543"/>
      <c r="F13" s="543"/>
      <c r="G13" s="543"/>
      <c r="H13" s="543"/>
      <c r="I13" s="543"/>
      <c r="J13" s="543"/>
      <c r="K13" s="543"/>
      <c r="L13" s="809">
        <f>L11-L12</f>
        <v>11738397000</v>
      </c>
      <c r="M13" s="809">
        <f>M11-M12</f>
        <v>10221540000</v>
      </c>
      <c r="N13" s="809">
        <f>N11-N12</f>
        <v>13430176000</v>
      </c>
      <c r="O13" s="809">
        <f>(O11-O12)</f>
        <v>14565474000</v>
      </c>
      <c r="P13" s="809"/>
      <c r="Q13" s="809"/>
      <c r="R13" s="809"/>
      <c r="S13" s="809"/>
      <c r="T13" s="809"/>
      <c r="U13" s="809"/>
      <c r="V13" s="809"/>
      <c r="W13" s="809"/>
      <c r="X13" s="809"/>
      <c r="Y13" s="834"/>
      <c r="Z13" s="834"/>
    </row>
    <row r="14" spans="1:30" s="848" customFormat="1">
      <c r="A14" s="822" t="s">
        <v>198</v>
      </c>
      <c r="B14" s="822" t="s">
        <v>198</v>
      </c>
      <c r="C14" s="822" t="s">
        <v>35</v>
      </c>
      <c r="D14" s="828"/>
      <c r="E14" s="828"/>
      <c r="F14" s="828"/>
      <c r="G14" s="828"/>
      <c r="H14" s="828"/>
      <c r="I14" s="828"/>
      <c r="J14" s="828"/>
      <c r="K14" s="828"/>
      <c r="L14" s="829">
        <f>L15+L24</f>
        <v>67229001000</v>
      </c>
      <c r="M14" s="829">
        <f>M15+M24</f>
        <v>75201330000</v>
      </c>
      <c r="N14" s="829">
        <f>N15+N24</f>
        <v>84777986000</v>
      </c>
      <c r="O14" s="829">
        <f>((O15+O24))</f>
        <v>93031092000</v>
      </c>
      <c r="P14" s="829">
        <f>P15+P24</f>
        <v>103189500000</v>
      </c>
      <c r="Q14" s="829">
        <f>Q15+Q24</f>
        <v>117634000000.00002</v>
      </c>
      <c r="R14" s="829">
        <f t="shared" ref="R14:Z14" si="3">R15+R24</f>
        <v>129667500000</v>
      </c>
      <c r="S14" s="829">
        <f t="shared" si="3"/>
        <v>136654400000</v>
      </c>
      <c r="T14" s="829">
        <f t="shared" si="3"/>
        <v>137668300000</v>
      </c>
      <c r="U14" s="829">
        <f t="shared" si="3"/>
        <v>149930700000</v>
      </c>
      <c r="V14" s="829">
        <f t="shared" si="3"/>
        <v>165263800000</v>
      </c>
      <c r="W14" s="829">
        <f t="shared" si="3"/>
        <v>171936000000</v>
      </c>
      <c r="X14" s="829">
        <f t="shared" si="3"/>
        <v>176793100000</v>
      </c>
      <c r="Y14" s="829">
        <f t="shared" si="3"/>
        <v>183110400000</v>
      </c>
      <c r="Z14" s="829">
        <f t="shared" si="3"/>
        <v>194269200000</v>
      </c>
      <c r="AA14" s="823"/>
      <c r="AB14" s="823"/>
      <c r="AC14" s="823"/>
      <c r="AD14" s="823"/>
    </row>
    <row r="15" spans="1:30">
      <c r="A15" s="805" t="s">
        <v>73</v>
      </c>
      <c r="B15" s="805" t="s">
        <v>568</v>
      </c>
      <c r="C15" s="805" t="s">
        <v>201</v>
      </c>
      <c r="D15" s="543"/>
      <c r="E15" s="543"/>
      <c r="F15" s="543"/>
      <c r="G15" s="543"/>
      <c r="H15" s="543"/>
      <c r="I15" s="543"/>
      <c r="J15" s="543"/>
      <c r="K15" s="543"/>
      <c r="L15" s="809">
        <v>53356350000</v>
      </c>
      <c r="M15" s="1940">
        <f>M16+M17+M18+M19+M20+M21+M22+M23</f>
        <v>56583525000</v>
      </c>
      <c r="N15" s="1940">
        <f>N16+N17+N18+N19+N20+N21+N22+N23</f>
        <v>62114564000</v>
      </c>
      <c r="O15" s="1939">
        <v>69538392000</v>
      </c>
      <c r="P15" s="1939">
        <v>74276500000</v>
      </c>
      <c r="Q15" s="2678">
        <f>Q16+Q17+Q19+Q20+Q21+Q22+Q23</f>
        <v>83947900000.000015</v>
      </c>
      <c r="R15" s="2678">
        <f t="shared" ref="R15:Z15" si="4">R16+R17+R19+R20+R21+R22+R23</f>
        <v>95089500000</v>
      </c>
      <c r="S15" s="2678">
        <f t="shared" si="4"/>
        <v>103563200000</v>
      </c>
      <c r="T15" s="2678">
        <f t="shared" si="4"/>
        <v>106709400000</v>
      </c>
      <c r="U15" s="2678">
        <f t="shared" si="4"/>
        <v>114735700000</v>
      </c>
      <c r="V15" s="2678">
        <f t="shared" si="4"/>
        <v>123387000000</v>
      </c>
      <c r="W15" s="2678">
        <f t="shared" si="4"/>
        <v>127360000000</v>
      </c>
      <c r="X15" s="2678">
        <f t="shared" si="4"/>
        <v>131960400000</v>
      </c>
      <c r="Y15" s="2678">
        <f t="shared" si="4"/>
        <v>138230400000</v>
      </c>
      <c r="Z15" s="2678">
        <f t="shared" si="4"/>
        <v>147606500000</v>
      </c>
    </row>
    <row r="16" spans="1:30">
      <c r="A16" s="807" t="s">
        <v>797</v>
      </c>
      <c r="B16" s="807" t="s">
        <v>5351</v>
      </c>
      <c r="C16" s="805" t="s">
        <v>204</v>
      </c>
      <c r="D16" s="543"/>
      <c r="E16" s="543"/>
      <c r="F16" s="543"/>
      <c r="G16" s="543"/>
      <c r="H16" s="543"/>
      <c r="I16" s="543"/>
      <c r="J16" s="543"/>
      <c r="K16" s="543"/>
      <c r="L16" s="809">
        <v>18496868000.000004</v>
      </c>
      <c r="M16" s="1939">
        <v>18617804999.999996</v>
      </c>
      <c r="N16" s="1939">
        <v>20145264000</v>
      </c>
      <c r="O16" s="1939">
        <v>23022846000</v>
      </c>
      <c r="P16" s="1939">
        <v>24925000000</v>
      </c>
      <c r="Q16" s="1939">
        <v>28873800000.000008</v>
      </c>
      <c r="R16" s="1939">
        <v>34578000000</v>
      </c>
      <c r="S16" s="1939">
        <v>37993600000</v>
      </c>
      <c r="T16" s="1939">
        <v>39522000000</v>
      </c>
      <c r="U16" s="1939">
        <v>42234000000</v>
      </c>
      <c r="V16" s="1939">
        <v>46363600000</v>
      </c>
      <c r="W16" s="1939">
        <v>47760000000</v>
      </c>
      <c r="X16" s="1939">
        <v>49062200000</v>
      </c>
      <c r="Y16" s="834">
        <v>51163200000</v>
      </c>
      <c r="Z16" s="834">
        <v>53328799999.999992</v>
      </c>
    </row>
    <row r="17" spans="1:30">
      <c r="A17" s="807" t="s">
        <v>1059</v>
      </c>
      <c r="B17" s="807" t="s">
        <v>5352</v>
      </c>
      <c r="C17" s="805" t="s">
        <v>204</v>
      </c>
      <c r="D17" s="543"/>
      <c r="E17" s="543"/>
      <c r="F17" s="543"/>
      <c r="G17" s="543"/>
      <c r="H17" s="543"/>
      <c r="I17" s="543"/>
      <c r="J17" s="543"/>
      <c r="K17" s="543"/>
      <c r="L17" s="809">
        <v>15295487000</v>
      </c>
      <c r="M17" s="1939">
        <v>18252750000</v>
      </c>
      <c r="N17" s="1939">
        <v>21404342999.999996</v>
      </c>
      <c r="O17" s="1939">
        <v>23962553999.999992</v>
      </c>
      <c r="P17" s="1939">
        <v>28414500000</v>
      </c>
      <c r="Q17" s="1939">
        <v>34220800000.000004</v>
      </c>
      <c r="R17" s="1939">
        <v>34578000000</v>
      </c>
      <c r="S17" s="1939">
        <v>39832000000</v>
      </c>
      <c r="T17" s="1939">
        <v>40180700000</v>
      </c>
      <c r="U17" s="1939">
        <v>42937900000</v>
      </c>
      <c r="V17" s="1939">
        <v>45615800000</v>
      </c>
      <c r="W17" s="1939">
        <v>47760000000</v>
      </c>
      <c r="X17" s="1939">
        <v>49062200000</v>
      </c>
      <c r="Y17" s="834">
        <v>51163200000</v>
      </c>
      <c r="Z17" s="834">
        <v>55233400000</v>
      </c>
    </row>
    <row r="18" spans="1:30">
      <c r="A18" s="807" t="s">
        <v>5353</v>
      </c>
      <c r="B18" s="807" t="s">
        <v>5354</v>
      </c>
      <c r="C18" s="805"/>
      <c r="D18" s="543"/>
      <c r="E18" s="543"/>
      <c r="F18" s="543"/>
      <c r="G18" s="543"/>
      <c r="H18" s="543"/>
      <c r="I18" s="543"/>
      <c r="J18" s="543"/>
      <c r="K18" s="543"/>
      <c r="L18" s="809"/>
      <c r="M18" s="1939"/>
      <c r="N18" s="1939"/>
      <c r="O18" s="1939"/>
      <c r="P18" s="1939">
        <v>28912999999.999996</v>
      </c>
      <c r="Q18" s="1939">
        <v>33686100000.000004</v>
      </c>
      <c r="R18" s="1939">
        <v>34578000000</v>
      </c>
      <c r="S18" s="1939">
        <v>33091200000.000004</v>
      </c>
      <c r="T18" s="1939">
        <v>30958900000</v>
      </c>
      <c r="U18" s="1939">
        <v>35195000000</v>
      </c>
      <c r="V18" s="1939">
        <v>41876799999.999992</v>
      </c>
      <c r="W18" s="1939">
        <v>44575999999.999992</v>
      </c>
      <c r="X18" s="1939">
        <v>44832700000</v>
      </c>
      <c r="Y18" s="834">
        <v>44880000000</v>
      </c>
      <c r="Z18" s="834">
        <v>46662700000</v>
      </c>
    </row>
    <row r="19" spans="1:30">
      <c r="A19" s="807" t="s">
        <v>91</v>
      </c>
      <c r="B19" s="807" t="s">
        <v>91</v>
      </c>
      <c r="C19" s="805" t="s">
        <v>204</v>
      </c>
      <c r="D19" s="543"/>
      <c r="E19" s="543"/>
      <c r="F19" s="543"/>
      <c r="G19" s="543"/>
      <c r="H19" s="543"/>
      <c r="I19" s="543"/>
      <c r="J19" s="543"/>
      <c r="K19" s="543"/>
      <c r="L19" s="809">
        <v>5335635000</v>
      </c>
      <c r="M19" s="1939">
        <v>4745715000</v>
      </c>
      <c r="N19" s="1939">
        <v>4616623000.000001</v>
      </c>
      <c r="O19" s="1939">
        <v>5638247999.999999</v>
      </c>
      <c r="P19" s="1939">
        <v>5483500000.000001</v>
      </c>
      <c r="Q19" s="1939">
        <v>5881700000.000001</v>
      </c>
      <c r="R19" s="1939">
        <v>5763000000</v>
      </c>
      <c r="S19" s="1939">
        <v>6128000000</v>
      </c>
      <c r="T19" s="1939">
        <v>6587000000</v>
      </c>
      <c r="U19" s="1939">
        <v>8446800000</v>
      </c>
      <c r="V19" s="1939">
        <v>9721400000</v>
      </c>
      <c r="W19" s="1939">
        <v>10348000000</v>
      </c>
      <c r="X19" s="1939">
        <v>10996700000.000002</v>
      </c>
      <c r="Y19" s="834">
        <v>11668800000.000002</v>
      </c>
      <c r="Z19" s="834">
        <v>12379900000.000002</v>
      </c>
    </row>
    <row r="20" spans="1:30">
      <c r="A20" s="807" t="s">
        <v>215</v>
      </c>
      <c r="B20" s="807" t="s">
        <v>215</v>
      </c>
      <c r="C20" s="805" t="s">
        <v>204</v>
      </c>
      <c r="D20" s="543"/>
      <c r="E20" s="543"/>
      <c r="F20" s="543"/>
      <c r="G20" s="543"/>
      <c r="H20" s="543"/>
      <c r="I20" s="543"/>
      <c r="J20" s="543"/>
      <c r="K20" s="543"/>
      <c r="L20" s="809">
        <v>0</v>
      </c>
      <c r="M20" s="1939">
        <v>0</v>
      </c>
      <c r="N20" s="1939">
        <v>0</v>
      </c>
      <c r="O20" s="1939">
        <v>0</v>
      </c>
      <c r="P20" s="1939"/>
      <c r="Q20" s="1939"/>
      <c r="R20" s="1939"/>
      <c r="S20" s="1939"/>
      <c r="T20" s="1939"/>
      <c r="U20" s="1939"/>
      <c r="V20" s="1939"/>
      <c r="W20" s="1161"/>
      <c r="X20" s="1161"/>
      <c r="Y20" s="834"/>
      <c r="Z20" s="834"/>
    </row>
    <row r="21" spans="1:30">
      <c r="A21" s="807" t="s">
        <v>53</v>
      </c>
      <c r="B21" s="807" t="s">
        <v>53</v>
      </c>
      <c r="C21" s="805" t="s">
        <v>204</v>
      </c>
      <c r="D21" s="543"/>
      <c r="E21" s="543"/>
      <c r="F21" s="543"/>
      <c r="G21" s="543"/>
      <c r="H21" s="543"/>
      <c r="I21" s="543"/>
      <c r="J21" s="543"/>
      <c r="K21" s="543"/>
      <c r="L21" s="809">
        <v>0</v>
      </c>
      <c r="M21" s="1939">
        <v>0</v>
      </c>
      <c r="N21" s="1939">
        <v>0</v>
      </c>
      <c r="O21" s="1939">
        <v>0</v>
      </c>
      <c r="P21" s="1939"/>
      <c r="Q21" s="1939"/>
      <c r="R21" s="1939"/>
      <c r="S21" s="1939"/>
      <c r="T21" s="1939"/>
      <c r="U21" s="1939"/>
      <c r="V21" s="1939"/>
      <c r="W21" s="1161"/>
      <c r="X21" s="1161"/>
      <c r="Y21" s="834"/>
      <c r="Z21" s="834"/>
    </row>
    <row r="22" spans="1:30">
      <c r="A22" s="807" t="s">
        <v>806</v>
      </c>
      <c r="B22" s="807" t="s">
        <v>5355</v>
      </c>
      <c r="C22" s="805" t="s">
        <v>204</v>
      </c>
      <c r="D22" s="543"/>
      <c r="E22" s="543"/>
      <c r="F22" s="543"/>
      <c r="G22" s="543"/>
      <c r="H22" s="543"/>
      <c r="I22" s="543"/>
      <c r="J22" s="543"/>
      <c r="K22" s="543"/>
      <c r="L22" s="809">
        <v>8181307000</v>
      </c>
      <c r="M22" s="1939">
        <v>8396265000</v>
      </c>
      <c r="N22" s="1939">
        <v>8813553000</v>
      </c>
      <c r="O22" s="1939">
        <v>9866934000</v>
      </c>
      <c r="P22" s="1939">
        <v>9970000000</v>
      </c>
      <c r="Q22" s="1939">
        <v>10694000000.000002</v>
      </c>
      <c r="R22" s="1939">
        <v>10949700000</v>
      </c>
      <c r="S22" s="1939">
        <v>12256000000</v>
      </c>
      <c r="T22" s="1939">
        <v>13832700000</v>
      </c>
      <c r="U22" s="1939">
        <v>14781900000</v>
      </c>
      <c r="V22" s="1939">
        <v>15703800000.000002</v>
      </c>
      <c r="W22" s="1939">
        <v>15920000000</v>
      </c>
      <c r="X22" s="1939">
        <v>16918000000</v>
      </c>
      <c r="Y22" s="834">
        <v>17054400000</v>
      </c>
      <c r="Z22" s="834">
        <v>18093700000</v>
      </c>
    </row>
    <row r="23" spans="1:30">
      <c r="A23" s="807" t="s">
        <v>5356</v>
      </c>
      <c r="B23" s="807" t="s">
        <v>5357</v>
      </c>
      <c r="C23" s="805" t="s">
        <v>204</v>
      </c>
      <c r="D23" s="543"/>
      <c r="E23" s="543"/>
      <c r="F23" s="543"/>
      <c r="G23" s="543"/>
      <c r="H23" s="543"/>
      <c r="I23" s="543"/>
      <c r="J23" s="543"/>
      <c r="K23" s="543"/>
      <c r="L23" s="809">
        <v>6047053000</v>
      </c>
      <c r="M23" s="1939">
        <v>6570990000</v>
      </c>
      <c r="N23" s="1939">
        <v>7134781000</v>
      </c>
      <c r="O23" s="1939">
        <v>7047809999.9999981</v>
      </c>
      <c r="P23" s="1939">
        <v>5483500000.000001</v>
      </c>
      <c r="Q23" s="1939">
        <v>4277600000.0000005</v>
      </c>
      <c r="R23" s="1939">
        <v>9220800000</v>
      </c>
      <c r="S23" s="1939">
        <v>7353600000</v>
      </c>
      <c r="T23" s="1939">
        <v>6587000000</v>
      </c>
      <c r="U23" s="1939">
        <v>6335100000.000001</v>
      </c>
      <c r="V23" s="1939">
        <v>5982400000</v>
      </c>
      <c r="W23" s="1939">
        <v>5571999999.999999</v>
      </c>
      <c r="X23" s="1939">
        <v>5921299999.999999</v>
      </c>
      <c r="Y23" s="834">
        <v>7180800000</v>
      </c>
      <c r="Z23" s="834">
        <v>8570700000.000001</v>
      </c>
    </row>
    <row r="24" spans="1:30">
      <c r="A24" s="805" t="s">
        <v>237</v>
      </c>
      <c r="B24" s="805" t="s">
        <v>5358</v>
      </c>
      <c r="C24" s="805" t="s">
        <v>201</v>
      </c>
      <c r="D24" s="543"/>
      <c r="E24" s="543"/>
      <c r="F24" s="543"/>
      <c r="G24" s="543"/>
      <c r="H24" s="543"/>
      <c r="I24" s="543"/>
      <c r="J24" s="543"/>
      <c r="K24" s="543"/>
      <c r="L24" s="809">
        <v>13872651000</v>
      </c>
      <c r="M24" s="1939">
        <v>18617804999.999996</v>
      </c>
      <c r="N24" s="1939">
        <v>22663422000</v>
      </c>
      <c r="O24" s="1939">
        <v>23492700000</v>
      </c>
      <c r="P24" s="1939">
        <v>28912999999.999996</v>
      </c>
      <c r="Q24" s="1939">
        <v>33686100000.000004</v>
      </c>
      <c r="R24" s="1939">
        <v>34578000000</v>
      </c>
      <c r="S24" s="1939">
        <v>33091200000.000004</v>
      </c>
      <c r="T24" s="1939">
        <v>30958900000</v>
      </c>
      <c r="U24" s="1939">
        <v>35195000000</v>
      </c>
      <c r="V24" s="1939">
        <v>41876799999.999992</v>
      </c>
      <c r="W24" s="1939">
        <v>44575999999.999992</v>
      </c>
      <c r="X24" s="1939">
        <v>44832700000</v>
      </c>
      <c r="Y24" s="834">
        <v>44880000000</v>
      </c>
      <c r="Z24" s="834">
        <v>46662700000</v>
      </c>
    </row>
    <row r="25" spans="1:30">
      <c r="A25" s="506" t="s">
        <v>76</v>
      </c>
      <c r="B25" s="805" t="s">
        <v>5359</v>
      </c>
      <c r="C25" s="801"/>
      <c r="D25" s="543"/>
      <c r="E25" s="543"/>
      <c r="F25" s="543"/>
      <c r="G25" s="543"/>
      <c r="H25" s="543"/>
      <c r="I25" s="543"/>
      <c r="J25" s="543"/>
      <c r="K25" s="543"/>
      <c r="L25" s="809">
        <v>13872651000</v>
      </c>
      <c r="M25" s="1939">
        <v>18617804999.999996</v>
      </c>
      <c r="N25" s="1939">
        <v>23083115000</v>
      </c>
      <c r="O25" s="1939">
        <v>23492700000</v>
      </c>
      <c r="P25" s="1939">
        <v>28912999999.999996</v>
      </c>
      <c r="Q25" s="1939">
        <v>33686100000.000004</v>
      </c>
      <c r="R25" s="1939">
        <v>34578000000</v>
      </c>
      <c r="S25" s="1939">
        <v>33091200000.000004</v>
      </c>
      <c r="T25" s="1939">
        <v>30958900000</v>
      </c>
      <c r="U25" s="1939">
        <v>35195000000</v>
      </c>
      <c r="V25" s="1939">
        <v>41876799999.999992</v>
      </c>
      <c r="W25" s="1939">
        <v>44575999999.999992</v>
      </c>
      <c r="X25" s="1939">
        <v>44832700000</v>
      </c>
      <c r="Y25" s="834">
        <v>44880000000</v>
      </c>
      <c r="Z25" s="834">
        <v>46662700000</v>
      </c>
    </row>
    <row r="26" spans="1:30">
      <c r="A26" s="506" t="s">
        <v>76</v>
      </c>
      <c r="B26" s="805" t="s">
        <v>587</v>
      </c>
      <c r="C26" s="801"/>
      <c r="D26" s="543"/>
      <c r="E26" s="543"/>
      <c r="F26" s="543"/>
      <c r="G26" s="543"/>
      <c r="H26" s="543"/>
      <c r="I26" s="543"/>
      <c r="J26" s="543"/>
      <c r="K26" s="543"/>
      <c r="L26" s="809">
        <v>0</v>
      </c>
      <c r="M26" s="1939">
        <v>0</v>
      </c>
      <c r="N26" s="1939">
        <v>419693000.00000006</v>
      </c>
      <c r="O26" s="1939">
        <v>0</v>
      </c>
      <c r="P26" s="1939"/>
      <c r="Q26" s="1939"/>
      <c r="R26" s="1939"/>
      <c r="S26" s="1939"/>
      <c r="T26" s="1939"/>
      <c r="U26" s="1939"/>
      <c r="V26" s="1939"/>
      <c r="W26" s="1161"/>
      <c r="X26" s="1161"/>
      <c r="Y26" s="834"/>
      <c r="Z26" s="834"/>
    </row>
    <row r="27" spans="1:30">
      <c r="A27" s="506" t="s">
        <v>76</v>
      </c>
      <c r="B27" s="805" t="s">
        <v>5354</v>
      </c>
      <c r="C27" s="801"/>
      <c r="D27" s="543"/>
      <c r="E27" s="543"/>
      <c r="F27" s="543"/>
      <c r="G27" s="543"/>
      <c r="H27" s="543"/>
      <c r="I27" s="543"/>
      <c r="J27" s="543"/>
      <c r="K27" s="543"/>
      <c r="L27" s="809">
        <v>0</v>
      </c>
      <c r="M27" s="1939"/>
      <c r="N27" s="1939"/>
      <c r="O27" s="1939"/>
      <c r="P27" s="1939"/>
      <c r="Q27" s="1939"/>
      <c r="R27" s="1939"/>
      <c r="S27" s="1939"/>
      <c r="T27" s="1939"/>
      <c r="U27" s="1939"/>
      <c r="V27" s="1939"/>
      <c r="W27" s="1161"/>
      <c r="X27" s="1161"/>
      <c r="Y27" s="834"/>
      <c r="Z27" s="834"/>
    </row>
    <row r="28" spans="1:30">
      <c r="A28" s="506" t="s">
        <v>76</v>
      </c>
      <c r="B28" s="805" t="s">
        <v>5360</v>
      </c>
      <c r="C28" s="801"/>
      <c r="D28" s="543"/>
      <c r="E28" s="543"/>
      <c r="F28" s="543"/>
      <c r="G28" s="543"/>
      <c r="H28" s="543"/>
      <c r="I28" s="543"/>
      <c r="J28" s="543"/>
      <c r="K28" s="543"/>
      <c r="L28" s="809">
        <v>21698249000</v>
      </c>
      <c r="M28" s="1939">
        <v>13141980000</v>
      </c>
      <c r="N28" s="1939">
        <v>22243729000</v>
      </c>
      <c r="O28" s="1939">
        <v>32889780000</v>
      </c>
      <c r="P28" s="1939">
        <v>39381500000</v>
      </c>
      <c r="Q28" s="1939">
        <v>37429000000.000008</v>
      </c>
      <c r="R28" s="1939">
        <v>32849100000</v>
      </c>
      <c r="S28" s="1939">
        <v>19609600000</v>
      </c>
      <c r="T28" s="1939">
        <v>15150100000</v>
      </c>
      <c r="U28" s="1939">
        <v>15485800000.000002</v>
      </c>
      <c r="V28" s="1939">
        <v>16451600000.000002</v>
      </c>
      <c r="W28" s="1161">
        <v>22287999999.999996</v>
      </c>
      <c r="X28" s="1161">
        <v>29606500000.000004</v>
      </c>
      <c r="Y28" s="834">
        <v>35006400000</v>
      </c>
      <c r="Z28" s="834">
        <v>37139700000</v>
      </c>
    </row>
    <row r="29" spans="1:30">
      <c r="A29" s="506" t="s">
        <v>76</v>
      </c>
      <c r="B29" s="805" t="s">
        <v>5361</v>
      </c>
      <c r="C29" s="801"/>
      <c r="D29" s="543"/>
      <c r="E29" s="543"/>
      <c r="F29" s="543"/>
      <c r="G29" s="543"/>
      <c r="H29" s="543"/>
      <c r="I29" s="543"/>
      <c r="J29" s="543"/>
      <c r="K29" s="543"/>
      <c r="L29" s="809">
        <v>0</v>
      </c>
      <c r="M29" s="1939"/>
      <c r="N29" s="1939"/>
      <c r="O29" s="1939"/>
      <c r="P29" s="1939"/>
      <c r="Q29" s="1939"/>
      <c r="R29" s="1939"/>
      <c r="S29" s="1939"/>
      <c r="T29" s="1939"/>
      <c r="U29" s="1939"/>
      <c r="V29" s="1939"/>
      <c r="W29" s="1161"/>
      <c r="X29" s="1161"/>
      <c r="Y29" s="834"/>
      <c r="Z29" s="834"/>
    </row>
    <row r="30" spans="1:30">
      <c r="A30" s="506" t="s">
        <v>76</v>
      </c>
      <c r="B30" s="805" t="s">
        <v>5362</v>
      </c>
      <c r="C30" s="801"/>
      <c r="D30" s="543"/>
      <c r="E30" s="543"/>
      <c r="F30" s="543"/>
      <c r="G30" s="543"/>
      <c r="H30" s="543"/>
      <c r="I30" s="543"/>
      <c r="J30" s="543"/>
      <c r="K30" s="543"/>
      <c r="L30" s="809">
        <v>7825598000.000001</v>
      </c>
      <c r="M30" s="1939">
        <v>-5475825000</v>
      </c>
      <c r="N30" s="1939">
        <v>-419693000.00000006</v>
      </c>
      <c r="O30" s="1939">
        <v>9397080000</v>
      </c>
      <c r="P30" s="1939">
        <v>10468500000</v>
      </c>
      <c r="Q30" s="1939">
        <v>3742900000</v>
      </c>
      <c r="R30" s="1939">
        <v>-1728900000</v>
      </c>
      <c r="S30" s="1939">
        <v>-13481600000.000002</v>
      </c>
      <c r="T30" s="1939">
        <v>-15150100000</v>
      </c>
      <c r="U30" s="1939">
        <v>-19709199999.999996</v>
      </c>
      <c r="V30" s="1939">
        <v>-25425200000</v>
      </c>
      <c r="W30" s="1161">
        <v>-22287999999.999996</v>
      </c>
      <c r="X30" s="1161">
        <v>-15226200000.000002</v>
      </c>
      <c r="Y30" s="834">
        <v>-8976000000</v>
      </c>
      <c r="Z30" s="834">
        <v>-9523000000</v>
      </c>
    </row>
    <row r="31" spans="1:30" s="848" customFormat="1">
      <c r="A31" s="822" t="s">
        <v>592</v>
      </c>
      <c r="B31" s="822" t="s">
        <v>592</v>
      </c>
      <c r="C31" s="822" t="s">
        <v>35</v>
      </c>
      <c r="D31" s="828"/>
      <c r="E31" s="828"/>
      <c r="F31" s="828"/>
      <c r="G31" s="828"/>
      <c r="H31" s="828"/>
      <c r="I31" s="828"/>
      <c r="J31" s="828"/>
      <c r="K31" s="828"/>
      <c r="L31" s="829">
        <f>L34+L47</f>
        <v>-7825598000.000001</v>
      </c>
      <c r="M31" s="829">
        <f>M32+M33</f>
        <v>5840880000</v>
      </c>
      <c r="N31" s="829">
        <f>N34+N47</f>
        <v>0</v>
      </c>
      <c r="O31" s="829">
        <f>(O34+O47)</f>
        <v>2819124000.000001</v>
      </c>
      <c r="P31" s="829">
        <f>P32+P33</f>
        <v>-10468500000</v>
      </c>
      <c r="Q31" s="829">
        <f t="shared" ref="Q31:Z31" si="5">Q32+Q33</f>
        <v>-3742900000.0000005</v>
      </c>
      <c r="R31" s="829">
        <f t="shared" si="5"/>
        <v>1728900000</v>
      </c>
      <c r="S31" s="829">
        <f t="shared" si="5"/>
        <v>13481600000</v>
      </c>
      <c r="T31" s="829">
        <f t="shared" si="5"/>
        <v>15808800000.000002</v>
      </c>
      <c r="U31" s="829">
        <f t="shared" si="5"/>
        <v>19709200000</v>
      </c>
      <c r="V31" s="829">
        <f t="shared" si="5"/>
        <v>24677400000</v>
      </c>
      <c r="W31" s="829">
        <f t="shared" si="5"/>
        <v>21492000000</v>
      </c>
      <c r="X31" s="829">
        <f t="shared" si="5"/>
        <v>15226200000</v>
      </c>
      <c r="Y31" s="831">
        <f t="shared" si="5"/>
        <v>8976000000</v>
      </c>
      <c r="Z31" s="831">
        <f t="shared" si="5"/>
        <v>9523000000</v>
      </c>
      <c r="AA31" s="823"/>
      <c r="AB31" s="823"/>
      <c r="AC31" s="823"/>
      <c r="AD31" s="823"/>
    </row>
    <row r="32" spans="1:30">
      <c r="A32" s="506" t="s">
        <v>120</v>
      </c>
      <c r="B32" s="807" t="s">
        <v>209</v>
      </c>
      <c r="C32" s="805" t="s">
        <v>252</v>
      </c>
      <c r="D32" s="543"/>
      <c r="E32" s="543"/>
      <c r="F32" s="543"/>
      <c r="G32" s="543"/>
      <c r="H32" s="543"/>
      <c r="I32" s="543"/>
      <c r="J32" s="543"/>
      <c r="K32" s="543"/>
      <c r="L32" s="809">
        <f t="shared" ref="L32:N33" si="6">L45+L58</f>
        <v>-4268508000.000001</v>
      </c>
      <c r="M32" s="809">
        <f t="shared" si="6"/>
        <v>1460220000</v>
      </c>
      <c r="N32" s="809">
        <f t="shared" si="6"/>
        <v>-2518158000.0000005</v>
      </c>
      <c r="O32" s="809">
        <f>(O45+O58)</f>
        <v>1879416000.000001</v>
      </c>
      <c r="P32" s="809">
        <f>P45+P58</f>
        <v>-9970000000</v>
      </c>
      <c r="Q32" s="809">
        <f t="shared" ref="Q32:Z33" si="7">Q45+Q58</f>
        <v>534700000.00000006</v>
      </c>
      <c r="R32" s="809">
        <f t="shared" si="7"/>
        <v>2305200000</v>
      </c>
      <c r="S32" s="809">
        <f t="shared" si="7"/>
        <v>14094400000</v>
      </c>
      <c r="T32" s="809">
        <f t="shared" si="7"/>
        <v>14491400000.000002</v>
      </c>
      <c r="U32" s="809">
        <f t="shared" si="7"/>
        <v>19005300000</v>
      </c>
      <c r="V32" s="809">
        <f t="shared" si="7"/>
        <v>14956000000.000002</v>
      </c>
      <c r="W32" s="809">
        <f t="shared" si="7"/>
        <v>22288000000</v>
      </c>
      <c r="X32" s="809">
        <f t="shared" si="7"/>
        <v>10150800000</v>
      </c>
      <c r="Y32" s="834">
        <f t="shared" si="7"/>
        <v>5385600000</v>
      </c>
      <c r="Z32" s="834">
        <f t="shared" si="7"/>
        <v>6666099999.999999</v>
      </c>
    </row>
    <row r="33" spans="1:26">
      <c r="A33" s="805" t="s">
        <v>117</v>
      </c>
      <c r="B33" s="807" t="s">
        <v>583</v>
      </c>
      <c r="C33" s="805" t="s">
        <v>252</v>
      </c>
      <c r="D33" s="543"/>
      <c r="E33" s="543"/>
      <c r="F33" s="543"/>
      <c r="G33" s="543"/>
      <c r="H33" s="543"/>
      <c r="I33" s="543"/>
      <c r="J33" s="543"/>
      <c r="K33" s="543"/>
      <c r="L33" s="809">
        <f t="shared" si="6"/>
        <v>-3557090000</v>
      </c>
      <c r="M33" s="809">
        <f t="shared" si="6"/>
        <v>4380660000</v>
      </c>
      <c r="N33" s="809">
        <f t="shared" si="6"/>
        <v>2518158000</v>
      </c>
      <c r="O33" s="809">
        <f>(O46+O59)</f>
        <v>939708000</v>
      </c>
      <c r="P33" s="809">
        <f>P46+P59</f>
        <v>-498500000</v>
      </c>
      <c r="Q33" s="809">
        <f t="shared" si="7"/>
        <v>-4277600000.0000005</v>
      </c>
      <c r="R33" s="809">
        <f t="shared" si="7"/>
        <v>-576300000</v>
      </c>
      <c r="S33" s="809">
        <f t="shared" si="7"/>
        <v>-612800000</v>
      </c>
      <c r="T33" s="809">
        <f t="shared" si="7"/>
        <v>1317400000</v>
      </c>
      <c r="U33" s="809">
        <f t="shared" si="7"/>
        <v>703900000</v>
      </c>
      <c r="V33" s="809">
        <f t="shared" si="7"/>
        <v>9721400000</v>
      </c>
      <c r="W33" s="809">
        <f t="shared" si="7"/>
        <v>-796000000</v>
      </c>
      <c r="X33" s="809">
        <f t="shared" si="7"/>
        <v>5075400000</v>
      </c>
      <c r="Y33" s="834">
        <f t="shared" si="7"/>
        <v>3590400000</v>
      </c>
      <c r="Z33" s="834">
        <f t="shared" si="7"/>
        <v>2856900000</v>
      </c>
    </row>
    <row r="34" spans="1:26">
      <c r="B34" s="805" t="s">
        <v>5363</v>
      </c>
      <c r="C34" s="801"/>
      <c r="D34" s="543"/>
      <c r="E34" s="543"/>
      <c r="F34" s="543"/>
      <c r="G34" s="543"/>
      <c r="H34" s="543"/>
      <c r="I34" s="543"/>
      <c r="J34" s="543"/>
      <c r="K34" s="543"/>
      <c r="L34" s="809">
        <v>-4624217000.000001</v>
      </c>
      <c r="M34" s="1939">
        <v>730110000</v>
      </c>
      <c r="N34" s="1939">
        <v>-1678772000.0000002</v>
      </c>
      <c r="O34" s="1939">
        <v>6108102000.000001</v>
      </c>
      <c r="P34" s="1939">
        <v>10468500000</v>
      </c>
      <c r="Q34" s="1939">
        <v>0</v>
      </c>
      <c r="R34" s="1939">
        <v>0</v>
      </c>
      <c r="S34" s="1939">
        <v>0</v>
      </c>
      <c r="T34" s="1939">
        <v>0</v>
      </c>
      <c r="U34" s="1939">
        <v>-4927299999.999999</v>
      </c>
      <c r="V34" s="1939">
        <v>-6730200000.000001</v>
      </c>
      <c r="W34" s="1161">
        <v>-4776000000</v>
      </c>
      <c r="X34" s="1161">
        <v>-10150800000</v>
      </c>
      <c r="Y34" s="834">
        <v>-5385600000</v>
      </c>
      <c r="Z34" s="834">
        <v>-6666099999.999999</v>
      </c>
    </row>
    <row r="35" spans="1:26">
      <c r="B35" s="805" t="s">
        <v>5364</v>
      </c>
      <c r="C35" s="801"/>
      <c r="D35" s="543"/>
      <c r="E35" s="543"/>
      <c r="F35" s="543"/>
      <c r="G35" s="543"/>
      <c r="H35" s="543"/>
      <c r="I35" s="543"/>
      <c r="J35" s="543"/>
      <c r="K35" s="543"/>
      <c r="L35" s="809">
        <v>0</v>
      </c>
      <c r="M35" s="1939">
        <v>0</v>
      </c>
      <c r="N35" s="1939">
        <v>0</v>
      </c>
      <c r="O35" s="1939">
        <v>0</v>
      </c>
      <c r="P35" s="1939"/>
      <c r="Q35" s="1939"/>
      <c r="R35" s="1939"/>
      <c r="S35" s="1939"/>
      <c r="T35" s="1939"/>
      <c r="U35" s="1939"/>
      <c r="V35" s="1939"/>
      <c r="W35" s="1161"/>
      <c r="X35" s="1161"/>
      <c r="Y35" s="834"/>
      <c r="Z35" s="834"/>
    </row>
    <row r="36" spans="1:26">
      <c r="B36" s="805" t="s">
        <v>5365</v>
      </c>
      <c r="C36" s="801"/>
      <c r="D36" s="543"/>
      <c r="E36" s="543"/>
      <c r="F36" s="543"/>
      <c r="G36" s="543"/>
      <c r="H36" s="543"/>
      <c r="I36" s="543"/>
      <c r="J36" s="543"/>
      <c r="K36" s="543"/>
      <c r="L36" s="809">
        <v>0</v>
      </c>
      <c r="M36" s="1939">
        <v>0</v>
      </c>
      <c r="N36" s="1939">
        <v>0</v>
      </c>
      <c r="O36" s="1939">
        <v>0</v>
      </c>
      <c r="P36" s="1939">
        <v>0</v>
      </c>
      <c r="Q36" s="1939">
        <v>0</v>
      </c>
      <c r="R36" s="1939">
        <v>0</v>
      </c>
      <c r="S36" s="1939">
        <v>0</v>
      </c>
      <c r="T36" s="1939">
        <v>0</v>
      </c>
      <c r="U36" s="1939">
        <v>0</v>
      </c>
      <c r="V36" s="1939">
        <v>0</v>
      </c>
      <c r="W36" s="1161">
        <v>0</v>
      </c>
      <c r="X36" s="1161">
        <v>0</v>
      </c>
      <c r="Y36" s="834">
        <v>0</v>
      </c>
      <c r="Z36" s="834">
        <v>0</v>
      </c>
    </row>
    <row r="37" spans="1:26">
      <c r="B37" s="805" t="s">
        <v>5366</v>
      </c>
      <c r="C37" s="801"/>
      <c r="D37" s="543"/>
      <c r="E37" s="543"/>
      <c r="F37" s="543"/>
      <c r="G37" s="543"/>
      <c r="H37" s="543"/>
      <c r="I37" s="543"/>
      <c r="J37" s="543"/>
      <c r="K37" s="543"/>
      <c r="L37" s="809">
        <v>-4624217000.000001</v>
      </c>
      <c r="M37" s="1939">
        <v>730110000</v>
      </c>
      <c r="N37" s="1939">
        <v>-1678772000.0000002</v>
      </c>
      <c r="O37" s="1939">
        <v>6108102000.000001</v>
      </c>
      <c r="P37" s="1939">
        <v>10468500000</v>
      </c>
      <c r="Q37" s="1939">
        <v>0</v>
      </c>
      <c r="R37" s="1939">
        <v>0</v>
      </c>
      <c r="S37" s="1939">
        <v>0</v>
      </c>
      <c r="T37" s="1939">
        <v>0</v>
      </c>
      <c r="U37" s="1939">
        <v>-4927299999.999999</v>
      </c>
      <c r="V37" s="1939">
        <v>-6730200000.000001</v>
      </c>
      <c r="W37" s="1161">
        <v>-4776000000</v>
      </c>
      <c r="X37" s="1161">
        <v>-10150800000</v>
      </c>
      <c r="Y37" s="834">
        <v>-5385600000</v>
      </c>
      <c r="Z37" s="834">
        <v>-6666099999.999999</v>
      </c>
    </row>
    <row r="38" spans="1:26">
      <c r="B38" s="805" t="s">
        <v>5367</v>
      </c>
      <c r="C38" s="801"/>
      <c r="D38" s="543"/>
      <c r="E38" s="543"/>
      <c r="F38" s="543"/>
      <c r="G38" s="543"/>
      <c r="H38" s="543"/>
      <c r="I38" s="543"/>
      <c r="J38" s="543"/>
      <c r="K38" s="543"/>
      <c r="L38" s="809">
        <v>0</v>
      </c>
      <c r="M38" s="1939">
        <v>0</v>
      </c>
      <c r="N38" s="1939">
        <v>0</v>
      </c>
      <c r="O38" s="1939">
        <v>0</v>
      </c>
      <c r="P38" s="1939"/>
      <c r="Q38" s="1939"/>
      <c r="R38" s="1939"/>
      <c r="S38" s="1939"/>
      <c r="T38" s="1939"/>
      <c r="U38" s="1939"/>
      <c r="V38" s="1939"/>
      <c r="W38" s="1161"/>
      <c r="X38" s="1161"/>
      <c r="Y38" s="834"/>
      <c r="Z38" s="834"/>
    </row>
    <row r="39" spans="1:26">
      <c r="B39" s="805" t="s">
        <v>444</v>
      </c>
      <c r="C39" s="801"/>
      <c r="D39" s="543"/>
      <c r="E39" s="543"/>
      <c r="F39" s="543"/>
      <c r="G39" s="543"/>
      <c r="H39" s="543"/>
      <c r="I39" s="543"/>
      <c r="J39" s="543"/>
      <c r="K39" s="543"/>
      <c r="L39" s="809">
        <v>0</v>
      </c>
      <c r="M39" s="1939">
        <v>0</v>
      </c>
      <c r="N39" s="1939">
        <v>0</v>
      </c>
      <c r="O39" s="1939">
        <v>0</v>
      </c>
      <c r="P39" s="1939"/>
      <c r="Q39" s="1939"/>
      <c r="R39" s="1939"/>
      <c r="S39" s="1939"/>
      <c r="T39" s="1939"/>
      <c r="U39" s="1939"/>
      <c r="V39" s="1939"/>
      <c r="W39" s="1161"/>
      <c r="X39" s="1161"/>
      <c r="Y39" s="834"/>
      <c r="Z39" s="834"/>
    </row>
    <row r="40" spans="1:26">
      <c r="B40" s="805" t="s">
        <v>5368</v>
      </c>
      <c r="C40" s="801"/>
      <c r="D40" s="543"/>
      <c r="E40" s="543"/>
      <c r="F40" s="543"/>
      <c r="G40" s="543"/>
      <c r="H40" s="543"/>
      <c r="I40" s="543"/>
      <c r="J40" s="543"/>
      <c r="K40" s="543"/>
      <c r="L40" s="809">
        <v>0</v>
      </c>
      <c r="M40" s="1939">
        <v>0</v>
      </c>
      <c r="N40" s="1939">
        <v>0</v>
      </c>
      <c r="O40" s="1939">
        <v>0</v>
      </c>
      <c r="P40" s="1939"/>
      <c r="Q40" s="1939"/>
      <c r="R40" s="1939"/>
      <c r="S40" s="1939"/>
      <c r="T40" s="1939"/>
      <c r="U40" s="1939"/>
      <c r="V40" s="1939"/>
      <c r="W40" s="1161"/>
      <c r="X40" s="1161"/>
      <c r="Y40" s="834"/>
      <c r="Z40" s="834"/>
    </row>
    <row r="41" spans="1:26">
      <c r="B41" s="805" t="s">
        <v>5369</v>
      </c>
      <c r="C41" s="801"/>
      <c r="D41" s="543"/>
      <c r="E41" s="543"/>
      <c r="F41" s="543"/>
      <c r="G41" s="543"/>
      <c r="H41" s="543"/>
      <c r="I41" s="543"/>
      <c r="J41" s="543"/>
      <c r="K41" s="543"/>
      <c r="L41" s="809">
        <v>0</v>
      </c>
      <c r="M41" s="1939">
        <v>0</v>
      </c>
      <c r="N41" s="1939">
        <v>0</v>
      </c>
      <c r="O41" s="1939">
        <v>0</v>
      </c>
      <c r="P41" s="1939"/>
      <c r="Q41" s="1939"/>
      <c r="R41" s="1939"/>
      <c r="S41" s="1939"/>
      <c r="T41" s="1939"/>
      <c r="U41" s="1939"/>
      <c r="V41" s="1939"/>
      <c r="W41" s="1161"/>
      <c r="X41" s="1161"/>
      <c r="Y41" s="834"/>
      <c r="Z41" s="834"/>
    </row>
    <row r="42" spans="1:26">
      <c r="B42" s="805" t="s">
        <v>5370</v>
      </c>
      <c r="C42" s="801"/>
      <c r="D42" s="543"/>
      <c r="E42" s="543"/>
      <c r="F42" s="543"/>
      <c r="G42" s="543"/>
      <c r="H42" s="543"/>
      <c r="I42" s="543"/>
      <c r="J42" s="543"/>
      <c r="K42" s="543"/>
      <c r="L42" s="809">
        <v>0</v>
      </c>
      <c r="M42" s="1939">
        <v>0</v>
      </c>
      <c r="N42" s="1939">
        <v>0</v>
      </c>
      <c r="O42" s="1939">
        <v>0</v>
      </c>
      <c r="P42" s="1939"/>
      <c r="Q42" s="1939"/>
      <c r="R42" s="1939"/>
      <c r="S42" s="1939"/>
      <c r="T42" s="1939"/>
      <c r="U42" s="1939"/>
      <c r="V42" s="1939"/>
      <c r="W42" s="1161"/>
      <c r="X42" s="1161"/>
      <c r="Y42" s="834"/>
      <c r="Z42" s="834"/>
    </row>
    <row r="43" spans="1:26">
      <c r="B43" s="805" t="s">
        <v>5371</v>
      </c>
      <c r="C43" s="801"/>
      <c r="D43" s="543"/>
      <c r="E43" s="543"/>
      <c r="F43" s="543"/>
      <c r="G43" s="543"/>
      <c r="H43" s="543"/>
      <c r="I43" s="543"/>
      <c r="J43" s="543"/>
      <c r="K43" s="543"/>
      <c r="L43" s="809">
        <v>0</v>
      </c>
      <c r="M43" s="1939">
        <v>0</v>
      </c>
      <c r="N43" s="1939">
        <v>0</v>
      </c>
      <c r="O43" s="1939">
        <v>0</v>
      </c>
      <c r="P43" s="1939"/>
      <c r="Q43" s="1939"/>
      <c r="R43" s="1939"/>
      <c r="S43" s="1939"/>
      <c r="T43" s="1939"/>
      <c r="U43" s="1939"/>
      <c r="V43" s="1939"/>
      <c r="W43" s="1939"/>
      <c r="X43" s="1939"/>
      <c r="Y43" s="1939"/>
      <c r="Z43" s="1939"/>
    </row>
    <row r="44" spans="1:26">
      <c r="B44" s="805" t="s">
        <v>5372</v>
      </c>
      <c r="C44" s="801"/>
      <c r="D44" s="543"/>
      <c r="E44" s="543"/>
      <c r="F44" s="543"/>
      <c r="G44" s="543"/>
      <c r="H44" s="543"/>
      <c r="I44" s="543"/>
      <c r="J44" s="543"/>
      <c r="K44" s="543"/>
      <c r="L44" s="809">
        <v>0</v>
      </c>
      <c r="M44" s="1939">
        <v>0</v>
      </c>
      <c r="N44" s="1939">
        <v>0</v>
      </c>
      <c r="O44" s="1939">
        <v>0</v>
      </c>
      <c r="P44" s="1939"/>
      <c r="Q44" s="1939"/>
      <c r="R44" s="1939"/>
      <c r="S44" s="1939"/>
      <c r="T44" s="1939"/>
      <c r="U44" s="1939"/>
      <c r="V44" s="1939"/>
      <c r="W44" s="1939"/>
      <c r="X44" s="1939"/>
      <c r="Y44" s="1939"/>
      <c r="Z44" s="1939"/>
    </row>
    <row r="45" spans="1:26">
      <c r="B45" s="805" t="s">
        <v>209</v>
      </c>
      <c r="C45" s="801"/>
      <c r="D45" s="543"/>
      <c r="E45" s="543"/>
      <c r="F45" s="543"/>
      <c r="G45" s="543"/>
      <c r="H45" s="543"/>
      <c r="I45" s="543"/>
      <c r="J45" s="543"/>
      <c r="K45" s="543"/>
      <c r="L45" s="809">
        <v>-4624217000.000001</v>
      </c>
      <c r="M45" s="1939">
        <v>730110000</v>
      </c>
      <c r="N45" s="1939">
        <v>-1678772000.0000002</v>
      </c>
      <c r="O45" s="1939">
        <v>6108102000.000001</v>
      </c>
      <c r="P45" s="1939">
        <v>-10468500000</v>
      </c>
      <c r="Q45" s="1939">
        <v>0</v>
      </c>
      <c r="R45" s="1939">
        <v>0</v>
      </c>
      <c r="S45" s="1939">
        <v>0</v>
      </c>
      <c r="T45" s="1939">
        <v>0</v>
      </c>
      <c r="U45" s="1939">
        <v>4927299999.999999</v>
      </c>
      <c r="V45" s="1939">
        <v>6730200000.000001</v>
      </c>
      <c r="W45" s="1161">
        <v>4776000000</v>
      </c>
      <c r="X45" s="1161">
        <v>10150800000</v>
      </c>
      <c r="Y45" s="834">
        <v>5385600000</v>
      </c>
      <c r="Z45" s="834">
        <v>6666099999.999999</v>
      </c>
    </row>
    <row r="46" spans="1:26">
      <c r="B46" s="805" t="s">
        <v>280</v>
      </c>
      <c r="C46" s="801"/>
      <c r="D46" s="543"/>
      <c r="E46" s="543"/>
      <c r="F46" s="543"/>
      <c r="G46" s="543"/>
      <c r="H46" s="543"/>
      <c r="I46" s="543"/>
      <c r="J46" s="543"/>
      <c r="K46" s="543"/>
      <c r="L46" s="809">
        <v>0</v>
      </c>
      <c r="M46" s="1939">
        <v>0</v>
      </c>
      <c r="N46" s="1939">
        <v>0</v>
      </c>
      <c r="O46" s="1939">
        <v>0</v>
      </c>
      <c r="P46" s="1939">
        <v>0</v>
      </c>
      <c r="Q46" s="1939">
        <v>0</v>
      </c>
      <c r="R46" s="1939">
        <v>0</v>
      </c>
      <c r="S46" s="1939">
        <v>0</v>
      </c>
      <c r="T46" s="1939">
        <v>0</v>
      </c>
      <c r="U46" s="1939">
        <v>0</v>
      </c>
      <c r="V46" s="1939">
        <v>0</v>
      </c>
      <c r="W46" s="1161">
        <v>0</v>
      </c>
      <c r="X46" s="1161">
        <v>0</v>
      </c>
      <c r="Y46" s="834">
        <v>0</v>
      </c>
      <c r="Z46" s="834">
        <v>0</v>
      </c>
    </row>
    <row r="47" spans="1:26">
      <c r="B47" s="805" t="s">
        <v>5373</v>
      </c>
      <c r="C47" s="801"/>
      <c r="D47" s="543"/>
      <c r="E47" s="543"/>
      <c r="F47" s="543"/>
      <c r="G47" s="543"/>
      <c r="H47" s="543"/>
      <c r="I47" s="543"/>
      <c r="J47" s="543"/>
      <c r="K47" s="543"/>
      <c r="L47" s="809">
        <v>-3201381000</v>
      </c>
      <c r="M47" s="1939">
        <v>4745715000</v>
      </c>
      <c r="N47" s="1939">
        <v>1678772000.0000002</v>
      </c>
      <c r="O47" s="1939">
        <v>-3288978000</v>
      </c>
      <c r="P47" s="1939">
        <v>0</v>
      </c>
      <c r="Q47" s="1939">
        <v>-3742900000</v>
      </c>
      <c r="R47" s="1939">
        <v>1728900000</v>
      </c>
      <c r="S47" s="1939">
        <v>13481600000.000002</v>
      </c>
      <c r="T47" s="1939">
        <v>15150100000</v>
      </c>
      <c r="U47" s="1939">
        <v>14781900000</v>
      </c>
      <c r="V47" s="1939">
        <v>18695000000</v>
      </c>
      <c r="W47" s="1161">
        <v>16716000000.000002</v>
      </c>
      <c r="X47" s="1161">
        <v>5075400000</v>
      </c>
      <c r="Y47" s="834">
        <v>3590400000</v>
      </c>
      <c r="Z47" s="834">
        <v>2856900000</v>
      </c>
    </row>
    <row r="48" spans="1:26">
      <c r="B48" s="805" t="s">
        <v>5364</v>
      </c>
      <c r="C48" s="801"/>
      <c r="D48" s="543"/>
      <c r="E48" s="543"/>
      <c r="F48" s="543"/>
      <c r="G48" s="543"/>
      <c r="H48" s="543"/>
      <c r="I48" s="543"/>
      <c r="J48" s="543"/>
      <c r="K48" s="543"/>
      <c r="L48" s="809">
        <v>0</v>
      </c>
      <c r="M48" s="1939">
        <v>0</v>
      </c>
      <c r="N48" s="1939">
        <v>0</v>
      </c>
      <c r="O48" s="1939">
        <v>0</v>
      </c>
      <c r="P48" s="1939"/>
      <c r="Q48" s="1939"/>
      <c r="R48" s="1939"/>
      <c r="S48" s="1939"/>
      <c r="T48" s="1939"/>
      <c r="U48" s="1939"/>
      <c r="V48" s="1939"/>
      <c r="W48" s="1161"/>
      <c r="X48" s="1161"/>
      <c r="Y48" s="834"/>
      <c r="Z48" s="834"/>
    </row>
    <row r="49" spans="2:26">
      <c r="B49" s="805" t="s">
        <v>1206</v>
      </c>
      <c r="C49" s="801"/>
      <c r="D49" s="543"/>
      <c r="E49" s="543"/>
      <c r="F49" s="543"/>
      <c r="G49" s="543"/>
      <c r="H49" s="543"/>
      <c r="I49" s="543"/>
      <c r="J49" s="543"/>
      <c r="K49" s="543"/>
      <c r="L49" s="809">
        <v>0</v>
      </c>
      <c r="M49" s="1939">
        <v>0</v>
      </c>
      <c r="N49" s="1939">
        <v>0</v>
      </c>
      <c r="O49" s="1939">
        <v>0</v>
      </c>
      <c r="P49" s="1939">
        <v>498500000</v>
      </c>
      <c r="Q49" s="1939">
        <v>534700000.00000006</v>
      </c>
      <c r="R49" s="1939">
        <v>2305200000</v>
      </c>
      <c r="S49" s="1939">
        <v>14094400000</v>
      </c>
      <c r="T49" s="1939">
        <v>14491400000.000002</v>
      </c>
      <c r="U49" s="1939">
        <v>14078000000</v>
      </c>
      <c r="V49" s="1939">
        <v>8225800000.000001</v>
      </c>
      <c r="W49" s="1161">
        <v>17512000000</v>
      </c>
      <c r="X49" s="1161">
        <v>0</v>
      </c>
      <c r="Y49" s="834">
        <v>0</v>
      </c>
      <c r="Z49" s="834">
        <v>0</v>
      </c>
    </row>
    <row r="50" spans="2:26">
      <c r="B50" s="805" t="s">
        <v>5374</v>
      </c>
      <c r="C50" s="801"/>
      <c r="D50" s="543"/>
      <c r="E50" s="543"/>
      <c r="F50" s="543"/>
      <c r="G50" s="543"/>
      <c r="H50" s="543"/>
      <c r="I50" s="543"/>
      <c r="J50" s="543"/>
      <c r="K50" s="543"/>
      <c r="L50" s="809">
        <v>0</v>
      </c>
      <c r="M50" s="1939">
        <v>0</v>
      </c>
      <c r="N50" s="1939">
        <v>0</v>
      </c>
      <c r="O50" s="1939">
        <v>0</v>
      </c>
      <c r="P50" s="1939">
        <v>-498500000</v>
      </c>
      <c r="Q50" s="1939">
        <v>-4277600000.0000005</v>
      </c>
      <c r="R50" s="1939">
        <v>-576300000</v>
      </c>
      <c r="S50" s="1939">
        <v>-612800000</v>
      </c>
      <c r="T50" s="1939">
        <v>1317400000</v>
      </c>
      <c r="U50" s="1939">
        <v>703900000</v>
      </c>
      <c r="V50" s="1939">
        <v>9721400000</v>
      </c>
      <c r="W50" s="1161">
        <v>-796000000</v>
      </c>
      <c r="X50" s="1161">
        <v>5075400000</v>
      </c>
      <c r="Y50" s="834">
        <v>3590400000</v>
      </c>
      <c r="Z50" s="834">
        <v>2856900000</v>
      </c>
    </row>
    <row r="51" spans="2:26">
      <c r="B51" s="805" t="s">
        <v>5367</v>
      </c>
      <c r="C51" s="801"/>
      <c r="D51" s="543"/>
      <c r="E51" s="543"/>
      <c r="F51" s="543"/>
      <c r="G51" s="543"/>
      <c r="H51" s="543"/>
      <c r="I51" s="543"/>
      <c r="J51" s="543"/>
      <c r="K51" s="543"/>
      <c r="L51" s="809">
        <v>-3201381000</v>
      </c>
      <c r="M51" s="1939">
        <v>730110000</v>
      </c>
      <c r="N51" s="1939">
        <v>-839386000.00000012</v>
      </c>
      <c r="O51" s="1939">
        <v>-4228686000</v>
      </c>
      <c r="P51" s="1939"/>
      <c r="Q51" s="1939"/>
      <c r="R51" s="1939"/>
      <c r="S51" s="1939"/>
      <c r="T51" s="1939"/>
      <c r="U51" s="1939"/>
      <c r="V51" s="1939"/>
      <c r="W51" s="1161"/>
      <c r="X51" s="1161"/>
      <c r="Y51" s="834"/>
      <c r="Z51" s="834"/>
    </row>
    <row r="52" spans="2:26">
      <c r="B52" s="805" t="s">
        <v>444</v>
      </c>
      <c r="C52" s="801"/>
      <c r="D52" s="543"/>
      <c r="E52" s="543"/>
      <c r="F52" s="543"/>
      <c r="G52" s="543"/>
      <c r="H52" s="543"/>
      <c r="I52" s="543"/>
      <c r="J52" s="543"/>
      <c r="K52" s="543"/>
      <c r="L52" s="809">
        <v>0</v>
      </c>
      <c r="M52" s="1939">
        <v>4380660000</v>
      </c>
      <c r="N52" s="1939">
        <v>2518158000</v>
      </c>
      <c r="O52" s="1939">
        <v>939708000</v>
      </c>
      <c r="P52" s="1939"/>
      <c r="Q52" s="1939"/>
      <c r="R52" s="1939"/>
      <c r="S52" s="1939"/>
      <c r="T52" s="1939"/>
      <c r="U52" s="1939"/>
      <c r="V52" s="1939"/>
      <c r="W52" s="1161"/>
      <c r="X52" s="1161"/>
      <c r="Y52" s="834"/>
      <c r="Z52" s="834"/>
    </row>
    <row r="53" spans="2:26">
      <c r="B53" s="805" t="s">
        <v>5368</v>
      </c>
      <c r="C53" s="801"/>
      <c r="D53" s="543"/>
      <c r="E53" s="543"/>
      <c r="F53" s="543"/>
      <c r="G53" s="543"/>
      <c r="H53" s="543"/>
      <c r="I53" s="543"/>
      <c r="J53" s="543"/>
      <c r="K53" s="543"/>
      <c r="L53" s="809">
        <v>0</v>
      </c>
      <c r="M53" s="1939">
        <v>0</v>
      </c>
      <c r="N53" s="1939">
        <v>0</v>
      </c>
      <c r="O53" s="1939">
        <v>0</v>
      </c>
      <c r="P53" s="1939"/>
      <c r="Q53" s="1939"/>
      <c r="R53" s="1939"/>
      <c r="S53" s="1939"/>
      <c r="T53" s="1939"/>
      <c r="U53" s="1939"/>
      <c r="V53" s="1939"/>
      <c r="W53" s="1161"/>
      <c r="X53" s="1161"/>
      <c r="Y53" s="834"/>
      <c r="Z53" s="834"/>
    </row>
    <row r="54" spans="2:26">
      <c r="B54" s="805" t="s">
        <v>5369</v>
      </c>
      <c r="C54" s="801"/>
      <c r="D54" s="543"/>
      <c r="E54" s="543"/>
      <c r="F54" s="543"/>
      <c r="G54" s="543"/>
      <c r="H54" s="543"/>
      <c r="I54" s="543"/>
      <c r="J54" s="543"/>
      <c r="K54" s="543"/>
      <c r="L54" s="809">
        <v>0</v>
      </c>
      <c r="M54" s="1939">
        <v>0</v>
      </c>
      <c r="N54" s="1939">
        <v>0</v>
      </c>
      <c r="O54" s="1939">
        <v>0</v>
      </c>
      <c r="P54" s="1939"/>
      <c r="Q54" s="1939"/>
      <c r="R54" s="1939"/>
      <c r="S54" s="1939"/>
      <c r="T54" s="1939"/>
      <c r="U54" s="1939"/>
      <c r="V54" s="1939"/>
      <c r="W54" s="1161"/>
      <c r="X54" s="1161"/>
      <c r="Y54" s="834"/>
      <c r="Z54" s="834"/>
    </row>
    <row r="55" spans="2:26">
      <c r="B55" s="805" t="s">
        <v>5370</v>
      </c>
      <c r="C55" s="801"/>
      <c r="D55" s="543"/>
      <c r="E55" s="543"/>
      <c r="F55" s="543"/>
      <c r="G55" s="543"/>
      <c r="H55" s="543"/>
      <c r="I55" s="543"/>
      <c r="J55" s="543"/>
      <c r="K55" s="543"/>
      <c r="L55" s="809">
        <v>0</v>
      </c>
      <c r="M55" s="1939">
        <v>0</v>
      </c>
      <c r="N55" s="1939">
        <v>0</v>
      </c>
      <c r="O55" s="1939">
        <v>0</v>
      </c>
      <c r="P55" s="1939"/>
      <c r="Q55" s="1939"/>
      <c r="R55" s="1939"/>
      <c r="S55" s="1939"/>
      <c r="T55" s="1939"/>
      <c r="U55" s="1939"/>
      <c r="V55" s="1939"/>
      <c r="W55" s="1161"/>
      <c r="X55" s="1161"/>
      <c r="Y55" s="834"/>
      <c r="Z55" s="834"/>
    </row>
    <row r="56" spans="2:26">
      <c r="B56" s="805" t="s">
        <v>5375</v>
      </c>
      <c r="C56" s="801"/>
      <c r="D56" s="543"/>
      <c r="E56" s="543"/>
      <c r="F56" s="543"/>
      <c r="G56" s="543"/>
      <c r="H56" s="543"/>
      <c r="I56" s="543"/>
      <c r="J56" s="543"/>
      <c r="K56" s="543"/>
      <c r="L56" s="809">
        <v>0</v>
      </c>
      <c r="M56" s="1939"/>
      <c r="N56" s="1939"/>
      <c r="O56" s="1939">
        <v>0</v>
      </c>
      <c r="P56" s="1939"/>
      <c r="Q56" s="1939"/>
      <c r="R56" s="1939"/>
      <c r="S56" s="1939"/>
      <c r="T56" s="1939"/>
      <c r="U56" s="1939"/>
      <c r="V56" s="1939"/>
      <c r="W56" s="1161"/>
      <c r="X56" s="1161"/>
      <c r="Y56" s="834"/>
      <c r="Z56" s="834"/>
    </row>
    <row r="57" spans="2:26">
      <c r="B57" s="805" t="s">
        <v>5372</v>
      </c>
      <c r="C57" s="801"/>
      <c r="D57" s="543"/>
      <c r="E57" s="543"/>
      <c r="F57" s="543"/>
      <c r="G57" s="543"/>
      <c r="H57" s="543"/>
      <c r="I57" s="543"/>
      <c r="J57" s="543"/>
      <c r="K57" s="543"/>
      <c r="L57" s="809">
        <v>0</v>
      </c>
      <c r="M57" s="1939">
        <v>0</v>
      </c>
      <c r="N57" s="1939">
        <v>0</v>
      </c>
      <c r="O57" s="1939">
        <v>0</v>
      </c>
      <c r="P57" s="1939"/>
      <c r="Q57" s="1939"/>
      <c r="R57" s="1939"/>
      <c r="S57" s="1939"/>
      <c r="T57" s="1939"/>
      <c r="U57" s="1939"/>
      <c r="V57" s="1939"/>
      <c r="W57" s="1161"/>
      <c r="X57" s="1161"/>
      <c r="Y57" s="834"/>
      <c r="Z57" s="834"/>
    </row>
    <row r="58" spans="2:26">
      <c r="B58" s="805" t="s">
        <v>209</v>
      </c>
      <c r="C58" s="801"/>
      <c r="D58" s="543"/>
      <c r="E58" s="543"/>
      <c r="F58" s="543"/>
      <c r="G58" s="543"/>
      <c r="H58" s="543"/>
      <c r="I58" s="543"/>
      <c r="J58" s="543"/>
      <c r="K58" s="543"/>
      <c r="L58" s="809">
        <v>355709000.00000006</v>
      </c>
      <c r="M58" s="1939">
        <v>730110000</v>
      </c>
      <c r="N58" s="1939">
        <v>-839386000.00000012</v>
      </c>
      <c r="O58" s="1939">
        <v>-4228686000</v>
      </c>
      <c r="P58" s="1939">
        <v>498500000</v>
      </c>
      <c r="Q58" s="1939">
        <v>534700000.00000006</v>
      </c>
      <c r="R58" s="1939">
        <v>2305200000</v>
      </c>
      <c r="S58" s="1939">
        <v>14094400000</v>
      </c>
      <c r="T58" s="1939">
        <v>14491400000.000002</v>
      </c>
      <c r="U58" s="1939">
        <v>14078000000</v>
      </c>
      <c r="V58" s="1939">
        <v>8225800000.000001</v>
      </c>
      <c r="W58" s="1161">
        <v>17512000000</v>
      </c>
      <c r="X58" s="1161">
        <v>0</v>
      </c>
      <c r="Y58" s="834">
        <v>0</v>
      </c>
      <c r="Z58" s="834">
        <v>0</v>
      </c>
    </row>
    <row r="59" spans="2:26">
      <c r="B59" s="805" t="s">
        <v>280</v>
      </c>
      <c r="C59" s="801"/>
      <c r="D59" s="543"/>
      <c r="E59" s="543"/>
      <c r="F59" s="543"/>
      <c r="G59" s="543"/>
      <c r="H59" s="543"/>
      <c r="I59" s="543"/>
      <c r="J59" s="543"/>
      <c r="K59" s="543"/>
      <c r="L59" s="809">
        <v>-3557090000</v>
      </c>
      <c r="M59" s="1939">
        <v>4380660000</v>
      </c>
      <c r="N59" s="1939">
        <v>2518158000</v>
      </c>
      <c r="O59" s="1939">
        <v>939708000</v>
      </c>
      <c r="P59" s="1939">
        <v>-498500000</v>
      </c>
      <c r="Q59" s="1939">
        <v>-4277600000.0000005</v>
      </c>
      <c r="R59" s="1939">
        <v>-576300000</v>
      </c>
      <c r="S59" s="1939">
        <v>-612800000</v>
      </c>
      <c r="T59" s="1939">
        <v>1317400000</v>
      </c>
      <c r="U59" s="1939">
        <v>703900000</v>
      </c>
      <c r="V59" s="1939">
        <v>9721400000</v>
      </c>
      <c r="W59" s="1161">
        <v>-796000000</v>
      </c>
      <c r="X59" s="1161">
        <v>5075400000</v>
      </c>
      <c r="Y59" s="834">
        <v>3590400000</v>
      </c>
      <c r="Z59" s="834">
        <v>2856900000</v>
      </c>
    </row>
    <row r="60" spans="2:26">
      <c r="B60" s="805"/>
      <c r="C60" s="801"/>
      <c r="D60" s="543"/>
      <c r="E60" s="543"/>
      <c r="F60" s="543"/>
      <c r="G60" s="543"/>
      <c r="H60" s="543"/>
      <c r="I60" s="543"/>
      <c r="J60" s="543"/>
      <c r="K60" s="543"/>
      <c r="L60" s="543"/>
      <c r="M60" s="543"/>
      <c r="N60" s="543"/>
      <c r="O60" s="543"/>
      <c r="P60" s="543"/>
      <c r="Q60" s="543"/>
      <c r="R60" s="543"/>
      <c r="S60" s="543"/>
      <c r="T60" s="543"/>
      <c r="U60" s="543"/>
      <c r="V60" s="543"/>
      <c r="W60" s="543"/>
      <c r="X60" s="543"/>
      <c r="Y60" s="834"/>
      <c r="Z60" s="834"/>
    </row>
    <row r="61" spans="2:26">
      <c r="B61" s="805"/>
      <c r="C61" s="801"/>
      <c r="D61" s="543"/>
      <c r="E61" s="543"/>
      <c r="F61" s="543"/>
      <c r="G61" s="543"/>
      <c r="H61" s="543"/>
      <c r="I61" s="543"/>
      <c r="J61" s="543"/>
      <c r="K61" s="543"/>
      <c r="L61" s="506" t="s">
        <v>139</v>
      </c>
      <c r="M61" s="506" t="s">
        <v>139</v>
      </c>
      <c r="N61" s="506" t="s">
        <v>139</v>
      </c>
      <c r="O61" s="506" t="s">
        <v>139</v>
      </c>
      <c r="P61" s="506" t="s">
        <v>139</v>
      </c>
      <c r="Q61" s="506" t="s">
        <v>139</v>
      </c>
      <c r="R61" s="506" t="s">
        <v>139</v>
      </c>
      <c r="S61" s="506" t="s">
        <v>139</v>
      </c>
      <c r="T61" s="506" t="s">
        <v>139</v>
      </c>
      <c r="U61" s="506" t="s">
        <v>139</v>
      </c>
      <c r="V61" s="506" t="s">
        <v>139</v>
      </c>
      <c r="W61" s="506" t="s">
        <v>139</v>
      </c>
      <c r="X61" s="506" t="s">
        <v>139</v>
      </c>
      <c r="Y61" s="506" t="s">
        <v>139</v>
      </c>
      <c r="Z61" s="506" t="s">
        <v>139</v>
      </c>
    </row>
    <row r="62" spans="2:26">
      <c r="B62" s="805"/>
      <c r="C62" s="801"/>
      <c r="D62" s="543"/>
      <c r="E62" s="543"/>
      <c r="F62" s="543"/>
      <c r="G62" s="543"/>
      <c r="H62" s="543"/>
      <c r="I62" s="543"/>
      <c r="J62" s="543"/>
      <c r="K62" s="543"/>
      <c r="L62" s="1937"/>
      <c r="M62" s="543"/>
      <c r="N62" s="543"/>
      <c r="O62" s="543"/>
      <c r="P62" s="543"/>
      <c r="Q62" s="543"/>
      <c r="R62" s="543"/>
      <c r="S62" s="543"/>
      <c r="T62" s="543"/>
      <c r="U62" s="543"/>
      <c r="V62" s="543"/>
      <c r="W62" s="543"/>
      <c r="X62" s="543"/>
      <c r="Y62" s="834"/>
      <c r="Z62" s="834"/>
    </row>
    <row r="63" spans="2:26">
      <c r="B63" s="506" t="s">
        <v>284</v>
      </c>
      <c r="L63" s="820">
        <f>L6-L7-L10</f>
        <v>1.5199184417724609E-5</v>
      </c>
      <c r="M63" s="820">
        <f t="shared" ref="M63:V63" si="8">M6-M7-M10</f>
        <v>0</v>
      </c>
      <c r="N63" s="820">
        <f>N6-N7-N10</f>
        <v>0</v>
      </c>
      <c r="O63" s="820">
        <f>O6-O7-O10</f>
        <v>0</v>
      </c>
      <c r="P63" s="820">
        <f>P6-P7-P10</f>
        <v>0</v>
      </c>
      <c r="Q63" s="820">
        <f t="shared" si="8"/>
        <v>0</v>
      </c>
      <c r="R63" s="820">
        <f>R6-R7-R10</f>
        <v>0</v>
      </c>
      <c r="S63" s="820">
        <f t="shared" si="8"/>
        <v>0</v>
      </c>
      <c r="T63" s="820">
        <f t="shared" si="8"/>
        <v>0</v>
      </c>
      <c r="U63" s="820">
        <f t="shared" si="8"/>
        <v>0</v>
      </c>
      <c r="V63" s="820">
        <f t="shared" si="8"/>
        <v>0</v>
      </c>
      <c r="W63" s="820">
        <f>W6-W7-W10</f>
        <v>0</v>
      </c>
      <c r="X63" s="820">
        <f>X6-X7-X10</f>
        <v>0</v>
      </c>
      <c r="Y63" s="820">
        <f t="shared" ref="Y63:Z63" si="9">Y6-Y7-Y10</f>
        <v>0</v>
      </c>
      <c r="Z63" s="820">
        <f t="shared" si="9"/>
        <v>0</v>
      </c>
    </row>
    <row r="64" spans="2:26">
      <c r="B64" s="506" t="s">
        <v>616</v>
      </c>
      <c r="L64" s="820">
        <f>L7-L8-L9-L11</f>
        <v>0</v>
      </c>
      <c r="M64" s="820">
        <f t="shared" ref="M64:V64" si="10">M7-M8-M9-M11</f>
        <v>0</v>
      </c>
      <c r="N64" s="820">
        <f t="shared" si="10"/>
        <v>0</v>
      </c>
      <c r="O64" s="820">
        <f t="shared" si="10"/>
        <v>0</v>
      </c>
      <c r="P64" s="820">
        <f t="shared" si="10"/>
        <v>0</v>
      </c>
      <c r="Q64" s="820">
        <f t="shared" si="10"/>
        <v>0</v>
      </c>
      <c r="R64" s="820">
        <f t="shared" si="10"/>
        <v>0</v>
      </c>
      <c r="S64" s="820">
        <f t="shared" si="10"/>
        <v>0</v>
      </c>
      <c r="T64" s="820">
        <f t="shared" si="10"/>
        <v>0</v>
      </c>
      <c r="U64" s="820">
        <f t="shared" si="10"/>
        <v>0</v>
      </c>
      <c r="V64" s="820">
        <f t="shared" si="10"/>
        <v>0</v>
      </c>
      <c r="W64" s="820">
        <f>W7-W8-W9-W11</f>
        <v>0</v>
      </c>
      <c r="X64" s="820">
        <f>X7-X8-X9-X11</f>
        <v>0</v>
      </c>
      <c r="Y64" s="820">
        <f t="shared" ref="Y64:Z64" si="11">Y7-Y8-Y9-Y11</f>
        <v>0</v>
      </c>
      <c r="Z64" s="820">
        <f t="shared" si="11"/>
        <v>0</v>
      </c>
    </row>
    <row r="65" spans="2:26">
      <c r="B65" s="506" t="s">
        <v>1761</v>
      </c>
      <c r="L65" s="820">
        <f>L11-L12-L13</f>
        <v>0</v>
      </c>
      <c r="M65" s="820">
        <f t="shared" ref="M65:V65" si="12">M11-M12-M13</f>
        <v>0</v>
      </c>
      <c r="N65" s="820">
        <f t="shared" si="12"/>
        <v>0</v>
      </c>
      <c r="O65" s="820">
        <f t="shared" si="12"/>
        <v>0</v>
      </c>
      <c r="P65" s="1941">
        <f t="shared" si="12"/>
        <v>16450500000</v>
      </c>
      <c r="Q65" s="1941">
        <f t="shared" si="12"/>
        <v>18179800000.000004</v>
      </c>
      <c r="R65" s="1941">
        <f t="shared" si="12"/>
        <v>17865300000</v>
      </c>
      <c r="S65" s="1941">
        <f t="shared" si="12"/>
        <v>17158399999.999998</v>
      </c>
      <c r="T65" s="1941">
        <f t="shared" si="12"/>
        <v>15808800000</v>
      </c>
      <c r="U65" s="1941">
        <f t="shared" si="12"/>
        <v>16893600000</v>
      </c>
      <c r="V65" s="1941">
        <f t="shared" si="12"/>
        <v>17947200000</v>
      </c>
      <c r="W65" s="1941">
        <f>W11-W12-W13</f>
        <v>19104000000</v>
      </c>
      <c r="X65" s="1941">
        <f>X11-X12-X13</f>
        <v>20301600000</v>
      </c>
      <c r="Y65" s="1941">
        <f t="shared" ref="Y65:Z65" si="13">Y11-Y12-Y13</f>
        <v>21542400000</v>
      </c>
      <c r="Z65" s="1941">
        <f t="shared" si="13"/>
        <v>22855200000</v>
      </c>
    </row>
    <row r="66" spans="2:26">
      <c r="B66" s="506" t="s">
        <v>145</v>
      </c>
      <c r="L66" s="820">
        <f>L14-L15-L24</f>
        <v>0</v>
      </c>
      <c r="M66" s="820">
        <f t="shared" ref="M66:V66" si="14">M14-M15-M24</f>
        <v>0</v>
      </c>
      <c r="N66" s="820">
        <f t="shared" si="14"/>
        <v>0</v>
      </c>
      <c r="O66" s="820">
        <f t="shared" si="14"/>
        <v>0</v>
      </c>
      <c r="P66" s="820">
        <f t="shared" si="14"/>
        <v>0</v>
      </c>
      <c r="Q66" s="820">
        <f t="shared" si="14"/>
        <v>0</v>
      </c>
      <c r="R66" s="820">
        <f t="shared" si="14"/>
        <v>0</v>
      </c>
      <c r="S66" s="820">
        <f t="shared" si="14"/>
        <v>0</v>
      </c>
      <c r="T66" s="820">
        <f t="shared" si="14"/>
        <v>0</v>
      </c>
      <c r="U66" s="820">
        <f t="shared" si="14"/>
        <v>0</v>
      </c>
      <c r="V66" s="820">
        <f t="shared" si="14"/>
        <v>0</v>
      </c>
      <c r="W66" s="820">
        <f>W14-W15-W24</f>
        <v>0</v>
      </c>
      <c r="X66" s="820">
        <f>X14-X15-X24</f>
        <v>0</v>
      </c>
      <c r="Y66" s="820">
        <f t="shared" ref="Y66:Z66" si="15">Y14-Y15-Y24</f>
        <v>0</v>
      </c>
      <c r="Z66" s="820">
        <f t="shared" si="15"/>
        <v>0</v>
      </c>
    </row>
    <row r="67" spans="2:26">
      <c r="B67" s="506" t="s">
        <v>826</v>
      </c>
      <c r="L67" s="820">
        <f>L15-L16-L17-L18-L19-L20-L21-L22-L23</f>
        <v>0</v>
      </c>
      <c r="M67" s="820">
        <f>M15-M16-M17-M18-M19-M20-M21-M22-M23</f>
        <v>0</v>
      </c>
      <c r="N67" s="820">
        <f>N15-N16-N17-N18-N19-N20-N21-N22-N23</f>
        <v>0</v>
      </c>
      <c r="O67" s="820">
        <f t="shared" ref="O67" si="16">O15-O16-O17-O18-O19-O20-O21-O22-O23</f>
        <v>9.5367431640625E-6</v>
      </c>
      <c r="P67" s="820">
        <f>P15-P16-P17-P19-P20-P21-P22-P23</f>
        <v>0</v>
      </c>
      <c r="Q67" s="820">
        <f t="shared" ref="Q67:Z67" si="17">Q15-Q16-Q17-Q19-Q20-Q21-Q22-Q23</f>
        <v>0</v>
      </c>
      <c r="R67" s="820">
        <f t="shared" si="17"/>
        <v>0</v>
      </c>
      <c r="S67" s="820">
        <f t="shared" si="17"/>
        <v>0</v>
      </c>
      <c r="T67" s="820">
        <f t="shared" si="17"/>
        <v>0</v>
      </c>
      <c r="U67" s="820">
        <f t="shared" si="17"/>
        <v>0</v>
      </c>
      <c r="V67" s="820">
        <f t="shared" si="17"/>
        <v>0</v>
      </c>
      <c r="W67" s="820">
        <f t="shared" si="17"/>
        <v>0</v>
      </c>
      <c r="X67" s="820">
        <f t="shared" si="17"/>
        <v>0</v>
      </c>
      <c r="Y67" s="820">
        <f t="shared" si="17"/>
        <v>0</v>
      </c>
      <c r="Z67" s="820">
        <f t="shared" si="17"/>
        <v>0</v>
      </c>
    </row>
    <row r="68" spans="2:26">
      <c r="B68" s="506" t="s">
        <v>148</v>
      </c>
      <c r="L68" s="820">
        <f>L31-L32-L33</f>
        <v>0</v>
      </c>
      <c r="M68" s="820">
        <f>M31-M32-M33</f>
        <v>0</v>
      </c>
      <c r="N68" s="820">
        <f t="shared" ref="N68:U68" si="18">N31-N32-N33</f>
        <v>0</v>
      </c>
      <c r="O68" s="820">
        <f t="shared" si="18"/>
        <v>0</v>
      </c>
      <c r="P68" s="820">
        <f t="shared" si="18"/>
        <v>0</v>
      </c>
      <c r="Q68" s="820">
        <f>Q31-Q32-Q33</f>
        <v>0</v>
      </c>
      <c r="R68" s="820">
        <f t="shared" si="18"/>
        <v>0</v>
      </c>
      <c r="S68" s="820">
        <f t="shared" si="18"/>
        <v>0</v>
      </c>
      <c r="T68" s="820">
        <f t="shared" si="18"/>
        <v>0</v>
      </c>
      <c r="U68" s="820">
        <f t="shared" si="18"/>
        <v>0</v>
      </c>
      <c r="V68" s="820">
        <f>V31-V32-V33</f>
        <v>0</v>
      </c>
      <c r="W68" s="820">
        <f>W31-W32-W33</f>
        <v>0</v>
      </c>
      <c r="X68" s="820">
        <f>X31-X32-X33</f>
        <v>0</v>
      </c>
      <c r="Y68" s="820">
        <f t="shared" ref="Y68:Z68" si="19">Y31-Y32-Y33</f>
        <v>0</v>
      </c>
      <c r="Z68" s="820">
        <f t="shared" si="19"/>
        <v>0</v>
      </c>
    </row>
    <row r="69" spans="2:26">
      <c r="J69" s="820"/>
    </row>
    <row r="70" spans="2:26" ht="15.75" thickBot="1"/>
    <row r="71" spans="2:26" ht="15.75" thickBot="1">
      <c r="B71" s="506" t="s">
        <v>150</v>
      </c>
      <c r="L71" s="838">
        <v>355709000000</v>
      </c>
      <c r="M71" s="839">
        <v>365055000000</v>
      </c>
      <c r="N71" s="839">
        <v>419693000000</v>
      </c>
      <c r="O71" s="839">
        <v>469854000000</v>
      </c>
      <c r="P71" s="839">
        <v>498500000000</v>
      </c>
      <c r="Q71" s="839">
        <v>534700000000.00006</v>
      </c>
      <c r="R71" s="839">
        <v>576300000000</v>
      </c>
      <c r="S71" s="840">
        <v>612800000000</v>
      </c>
      <c r="T71" s="840">
        <v>658700000000</v>
      </c>
      <c r="U71" s="840">
        <v>703900000000</v>
      </c>
      <c r="V71" s="840">
        <v>747800000000</v>
      </c>
      <c r="W71" s="840">
        <v>796000000000</v>
      </c>
      <c r="X71" s="841">
        <v>845900000000</v>
      </c>
      <c r="Y71" s="506">
        <v>897600000000</v>
      </c>
      <c r="Z71" s="506">
        <v>952300000000</v>
      </c>
    </row>
    <row r="72" spans="2:26">
      <c r="B72" s="506" t="s">
        <v>152</v>
      </c>
      <c r="L72" s="506">
        <f t="shared" ref="L72:V72" si="20">(L6/L71)*100</f>
        <v>21.100000000000005</v>
      </c>
      <c r="M72" s="506">
        <f t="shared" si="20"/>
        <v>19</v>
      </c>
      <c r="N72" s="506">
        <f t="shared" si="20"/>
        <v>20.3</v>
      </c>
      <c r="O72" s="506">
        <f t="shared" si="20"/>
        <v>21.7</v>
      </c>
      <c r="P72" s="506">
        <f t="shared" si="20"/>
        <v>22.900000000000002</v>
      </c>
      <c r="Q72" s="506">
        <f t="shared" si="20"/>
        <v>22.7</v>
      </c>
      <c r="R72" s="506">
        <f t="shared" si="20"/>
        <v>22.299999999999997</v>
      </c>
      <c r="S72" s="506">
        <f t="shared" si="20"/>
        <v>20</v>
      </c>
      <c r="T72" s="506">
        <f t="shared" si="20"/>
        <v>18.700000000000003</v>
      </c>
      <c r="U72" s="506">
        <f t="shared" si="20"/>
        <v>18.499999999999996</v>
      </c>
      <c r="V72" s="506">
        <f t="shared" si="20"/>
        <v>18.7</v>
      </c>
      <c r="W72" s="506">
        <f t="shared" ref="W72:Z72" si="21">(W6/W71)*100</f>
        <v>18.899999999999999</v>
      </c>
      <c r="X72" s="506">
        <f t="shared" si="21"/>
        <v>19.100000000000001</v>
      </c>
      <c r="Y72" s="506">
        <f t="shared" si="21"/>
        <v>19.3</v>
      </c>
      <c r="Z72" s="506">
        <f t="shared" si="21"/>
        <v>19.2</v>
      </c>
    </row>
    <row r="73" spans="2:26">
      <c r="B73" s="506" t="s">
        <v>151</v>
      </c>
      <c r="L73" s="506">
        <f t="shared" ref="L73:V73" si="22">(L14/L71)*100</f>
        <v>18.899999999999999</v>
      </c>
      <c r="M73" s="506">
        <f t="shared" si="22"/>
        <v>20.599999999999998</v>
      </c>
      <c r="N73" s="506">
        <f t="shared" si="22"/>
        <v>20.200000000000003</v>
      </c>
      <c r="O73" s="506">
        <f t="shared" si="22"/>
        <v>19.8</v>
      </c>
      <c r="P73" s="506">
        <f t="shared" si="22"/>
        <v>20.7</v>
      </c>
      <c r="Q73" s="506">
        <f t="shared" si="22"/>
        <v>22</v>
      </c>
      <c r="R73" s="506">
        <f t="shared" si="22"/>
        <v>22.5</v>
      </c>
      <c r="S73" s="506">
        <f t="shared" si="22"/>
        <v>22.3</v>
      </c>
      <c r="T73" s="506">
        <f t="shared" si="22"/>
        <v>20.9</v>
      </c>
      <c r="U73" s="506">
        <f t="shared" si="22"/>
        <v>21.3</v>
      </c>
      <c r="V73" s="506">
        <f t="shared" si="22"/>
        <v>22.1</v>
      </c>
      <c r="W73" s="506">
        <f t="shared" ref="W73:Z73" si="23">(W14/W71)*100</f>
        <v>21.6</v>
      </c>
      <c r="X73" s="506">
        <f t="shared" si="23"/>
        <v>20.9</v>
      </c>
      <c r="Y73" s="506">
        <f t="shared" si="23"/>
        <v>20.399999999999999</v>
      </c>
      <c r="Z73" s="506">
        <f t="shared" si="23"/>
        <v>20.399999999999999</v>
      </c>
    </row>
    <row r="74" spans="2:26">
      <c r="B74" s="506" t="s">
        <v>1980</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02" bestFit="1" customWidth="1"/>
    <col min="2" max="2" width="43.140625" style="1602" bestFit="1" customWidth="1"/>
    <col min="3" max="3" width="22.42578125" style="1602" bestFit="1" customWidth="1"/>
    <col min="4" max="10" width="9" style="1602" bestFit="1" customWidth="1"/>
    <col min="11" max="11" width="13.7109375" style="1602" bestFit="1" customWidth="1"/>
    <col min="12" max="15" width="22.5703125" style="1602" customWidth="1"/>
    <col min="16" max="16" width="26.5703125" style="1602" bestFit="1" customWidth="1"/>
    <col min="17" max="17" width="26.140625" style="1602" bestFit="1" customWidth="1"/>
    <col min="18" max="19" width="26.5703125" style="1602" bestFit="1" customWidth="1"/>
    <col min="20" max="20" width="27" style="1602" bestFit="1" customWidth="1"/>
    <col min="21" max="21" width="26.5703125" style="1602" bestFit="1" customWidth="1"/>
    <col min="22" max="22" width="27" style="1602" bestFit="1" customWidth="1"/>
    <col min="23" max="24" width="9" style="1602" bestFit="1" customWidth="1"/>
    <col min="25" max="32" width="8.85546875" style="1602"/>
  </cols>
  <sheetData>
    <row r="1" spans="1:32">
      <c r="A1" s="2072" t="s">
        <v>5376</v>
      </c>
      <c r="B1" s="1603" t="s">
        <v>5377</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2">
      <c r="B2" s="1607" t="s">
        <v>5378</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2">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row>
    <row r="4" spans="1:32">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2">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12" t="s">
        <v>30</v>
      </c>
      <c r="Q5" s="1612" t="s">
        <v>30</v>
      </c>
      <c r="R5" s="1612" t="s">
        <v>30</v>
      </c>
      <c r="S5" s="1612" t="s">
        <v>30</v>
      </c>
      <c r="T5" s="1612" t="s">
        <v>30</v>
      </c>
      <c r="U5" s="1612" t="s">
        <v>32</v>
      </c>
      <c r="V5" s="1605" t="s">
        <v>32</v>
      </c>
      <c r="W5" s="1605" t="s">
        <v>32</v>
      </c>
      <c r="X5" s="1605" t="s">
        <v>32</v>
      </c>
    </row>
    <row r="6" spans="1:32" s="848" customFormat="1">
      <c r="A6" s="1902" t="s">
        <v>33</v>
      </c>
      <c r="B6" s="1902" t="s">
        <v>4319</v>
      </c>
      <c r="C6" s="1902" t="s">
        <v>35</v>
      </c>
      <c r="D6" s="1902"/>
      <c r="E6" s="1899"/>
      <c r="F6" s="1899"/>
      <c r="G6" s="1899"/>
      <c r="H6" s="1899"/>
      <c r="I6" s="1899"/>
      <c r="J6" s="1899"/>
      <c r="K6" s="1899"/>
      <c r="L6" s="2084">
        <f>L7</f>
        <v>1428367425000</v>
      </c>
      <c r="M6" s="2084">
        <f>M7</f>
        <v>1396549056000</v>
      </c>
      <c r="N6" s="2176">
        <v>1512584471999.9998</v>
      </c>
      <c r="O6" s="2176">
        <v>1708666784000.0002</v>
      </c>
      <c r="P6" s="1897">
        <v>1964362554000.0002</v>
      </c>
      <c r="Q6" s="1897">
        <v>2180759489999.9998</v>
      </c>
      <c r="R6" s="1897">
        <v>2400495530000</v>
      </c>
      <c r="S6" s="1897">
        <v>2584475953999.9995</v>
      </c>
      <c r="T6" s="1897">
        <f>T7</f>
        <v>2780298240000</v>
      </c>
      <c r="U6" s="1897">
        <v>3047385024000</v>
      </c>
      <c r="V6" s="1914">
        <v>3350334720000</v>
      </c>
      <c r="W6" s="1899"/>
      <c r="X6" s="1899"/>
      <c r="Y6" s="1899"/>
      <c r="Z6" s="1899"/>
      <c r="AA6" s="1899"/>
      <c r="AB6" s="1899"/>
      <c r="AC6" s="1899"/>
      <c r="AD6" s="1899"/>
      <c r="AE6" s="1899"/>
      <c r="AF6" s="1899"/>
    </row>
    <row r="7" spans="1:32">
      <c r="A7" s="1612" t="s">
        <v>36</v>
      </c>
      <c r="B7" s="1612" t="s">
        <v>824</v>
      </c>
      <c r="C7" s="1613" t="s">
        <v>38</v>
      </c>
      <c r="D7" s="1612"/>
      <c r="L7" s="2352">
        <f>L8+L13+L15</f>
        <v>1428367425000</v>
      </c>
      <c r="M7" s="2352">
        <f>M8+M13+M15</f>
        <v>1396549056000</v>
      </c>
      <c r="N7" s="1891">
        <f>N6-N14</f>
        <v>1512584471999.9998</v>
      </c>
      <c r="O7" s="1891">
        <f>O6-O14</f>
        <v>1708666784000.0002</v>
      </c>
      <c r="P7" s="1891">
        <f t="shared" ref="P7:V7" si="0">P6-P14</f>
        <v>1964362554000.0002</v>
      </c>
      <c r="Q7" s="1891">
        <f t="shared" si="0"/>
        <v>2180759489999.9998</v>
      </c>
      <c r="R7" s="1891">
        <f t="shared" si="0"/>
        <v>2400495530000</v>
      </c>
      <c r="S7" s="1891">
        <f t="shared" si="0"/>
        <v>2584475953999.9995</v>
      </c>
      <c r="T7" s="2352">
        <f>T13+T8+T15</f>
        <v>2780298240000</v>
      </c>
      <c r="U7" s="1891">
        <f t="shared" si="0"/>
        <v>3047385024000</v>
      </c>
      <c r="V7" s="1891">
        <f t="shared" si="0"/>
        <v>3350334720000</v>
      </c>
    </row>
    <row r="8" spans="1:32">
      <c r="A8" s="1616" t="s">
        <v>371</v>
      </c>
      <c r="B8" s="1616" t="s">
        <v>371</v>
      </c>
      <c r="C8" s="1612" t="s">
        <v>41</v>
      </c>
      <c r="D8" s="1612"/>
      <c r="L8" s="2090">
        <f>L9+L10+L11+L12</f>
        <v>1104089415000</v>
      </c>
      <c r="M8" s="2090">
        <f>M9+M10+M11+M12</f>
        <v>1051424864000</v>
      </c>
      <c r="N8" s="1891">
        <v>1161448790999.9998</v>
      </c>
      <c r="O8" s="1891">
        <v>1281500088000</v>
      </c>
      <c r="P8" s="1637">
        <v>1489113548999.9998</v>
      </c>
      <c r="Q8" s="1637">
        <v>1673069450000</v>
      </c>
      <c r="R8" s="1637">
        <v>1831957114999.9998</v>
      </c>
      <c r="S8" s="1637">
        <v>1931695944999.9998</v>
      </c>
      <c r="T8" s="1637">
        <v>2114185119999.9998</v>
      </c>
      <c r="U8" s="1637">
        <v>2317282362000</v>
      </c>
      <c r="V8" s="1636">
        <v>2547650360000</v>
      </c>
    </row>
    <row r="9" spans="1:32">
      <c r="A9" s="1620" t="s">
        <v>1291</v>
      </c>
      <c r="B9" s="1620" t="s">
        <v>5379</v>
      </c>
      <c r="C9" s="1604" t="s">
        <v>44</v>
      </c>
      <c r="D9" s="1612"/>
      <c r="L9" s="1624">
        <v>478696110000</v>
      </c>
      <c r="M9" s="1891">
        <v>449464064000</v>
      </c>
      <c r="N9" s="1891">
        <v>486187866000</v>
      </c>
      <c r="O9" s="1891">
        <v>572791706000.00012</v>
      </c>
      <c r="P9" s="1637">
        <v>644226429000</v>
      </c>
      <c r="Q9" s="1637">
        <v>715381420000</v>
      </c>
      <c r="R9" s="1637">
        <v>783319594000</v>
      </c>
      <c r="S9" s="1637">
        <v>852610624000</v>
      </c>
      <c r="T9" s="1637">
        <v>926766080000</v>
      </c>
      <c r="U9" s="1637">
        <v>1015795008000</v>
      </c>
      <c r="V9" s="1636">
        <v>1116778240000</v>
      </c>
    </row>
    <row r="10" spans="1:32">
      <c r="A10" s="1620" t="s">
        <v>47</v>
      </c>
      <c r="B10" s="1620" t="s">
        <v>5380</v>
      </c>
      <c r="C10" s="1604" t="s">
        <v>44</v>
      </c>
      <c r="D10" s="1612"/>
      <c r="L10" s="1624">
        <v>447812489999.99994</v>
      </c>
      <c r="M10" s="1891">
        <v>441437920000</v>
      </c>
      <c r="N10" s="1891">
        <v>495191344999.99994</v>
      </c>
      <c r="O10" s="1891">
        <v>563083372000</v>
      </c>
      <c r="P10" s="1637">
        <v>654787518000</v>
      </c>
      <c r="Q10" s="1637">
        <v>761535060000</v>
      </c>
      <c r="R10" s="1637">
        <v>833856342000</v>
      </c>
      <c r="S10" s="1637">
        <v>879254706000</v>
      </c>
      <c r="T10" s="1637">
        <v>955727520000</v>
      </c>
      <c r="U10" s="1637">
        <v>1047538602000</v>
      </c>
      <c r="V10" s="1636">
        <v>1151677560000</v>
      </c>
    </row>
    <row r="11" spans="1:32">
      <c r="A11" s="1620" t="s">
        <v>2448</v>
      </c>
      <c r="B11" s="1620" t="s">
        <v>5381</v>
      </c>
      <c r="C11" s="1604" t="s">
        <v>44</v>
      </c>
      <c r="D11" s="1612"/>
      <c r="L11" s="1624">
        <v>84929955000</v>
      </c>
      <c r="M11" s="1891">
        <v>72235296000</v>
      </c>
      <c r="N11" s="1891">
        <v>81031310999.999985</v>
      </c>
      <c r="O11" s="1891">
        <v>38833336000</v>
      </c>
      <c r="P11" s="1637">
        <v>42244356000</v>
      </c>
      <c r="Q11" s="1637">
        <v>34615230000</v>
      </c>
      <c r="R11" s="1637">
        <v>50536748000</v>
      </c>
      <c r="S11" s="1637">
        <v>53288164000</v>
      </c>
      <c r="T11" s="1637">
        <v>57922880000</v>
      </c>
      <c r="U11" s="1637">
        <v>63487188000</v>
      </c>
      <c r="V11" s="1636">
        <v>87248300000</v>
      </c>
    </row>
    <row r="12" spans="1:32">
      <c r="A12" s="1620" t="s">
        <v>3172</v>
      </c>
      <c r="B12" s="1620" t="s">
        <v>5382</v>
      </c>
      <c r="C12" s="1604" t="s">
        <v>44</v>
      </c>
      <c r="D12" s="1612"/>
      <c r="L12" s="1624">
        <v>92650859999.999985</v>
      </c>
      <c r="M12" s="1891">
        <v>88287584000.000015</v>
      </c>
      <c r="N12" s="1891">
        <v>99038269000</v>
      </c>
      <c r="O12" s="1891">
        <v>106791674000.00002</v>
      </c>
      <c r="P12" s="1637">
        <v>147855246000</v>
      </c>
      <c r="Q12" s="1637">
        <v>161537739999.99997</v>
      </c>
      <c r="R12" s="2353">
        <f>R8-R9-R10-R11</f>
        <v>164244430999.99976</v>
      </c>
      <c r="S12" s="2353">
        <f t="shared" ref="S12:V12" si="1">S8-S9-S10-S11</f>
        <v>146542450999.99976</v>
      </c>
      <c r="T12" s="2353">
        <f t="shared" si="1"/>
        <v>173768639999.99976</v>
      </c>
      <c r="U12" s="2353">
        <f t="shared" si="1"/>
        <v>190461564000</v>
      </c>
      <c r="V12" s="2353">
        <f t="shared" si="1"/>
        <v>191946260000</v>
      </c>
    </row>
    <row r="13" spans="1:32">
      <c r="A13" s="1612" t="s">
        <v>558</v>
      </c>
      <c r="B13" s="1612" t="s">
        <v>5383</v>
      </c>
      <c r="C13" s="1612" t="s">
        <v>41</v>
      </c>
      <c r="D13" s="1612"/>
      <c r="L13" s="1624">
        <v>138976289999.99997</v>
      </c>
      <c r="M13" s="1891">
        <v>152496736000</v>
      </c>
      <c r="N13" s="1891">
        <v>171066100999.99997</v>
      </c>
      <c r="O13" s="1891">
        <v>184458346000</v>
      </c>
      <c r="P13" s="1637">
        <v>211221780000</v>
      </c>
      <c r="Q13" s="1637">
        <v>242306610000</v>
      </c>
      <c r="R13" s="1637">
        <v>277952114000</v>
      </c>
      <c r="S13" s="1637">
        <v>319728984000</v>
      </c>
      <c r="T13" s="1637">
        <v>347537280000</v>
      </c>
      <c r="U13" s="1637">
        <v>380923128000</v>
      </c>
      <c r="V13" s="1636">
        <v>418791840000</v>
      </c>
    </row>
    <row r="14" spans="1:32">
      <c r="A14" s="1612" t="s">
        <v>53</v>
      </c>
      <c r="B14" s="1612" t="s">
        <v>53</v>
      </c>
      <c r="C14" s="1613" t="s">
        <v>38</v>
      </c>
      <c r="D14" s="1612"/>
      <c r="L14" s="1624">
        <v>0</v>
      </c>
      <c r="M14" s="1891">
        <v>0</v>
      </c>
      <c r="N14" s="1891">
        <v>0</v>
      </c>
      <c r="O14" s="1891">
        <v>0</v>
      </c>
      <c r="P14" s="1637">
        <v>0</v>
      </c>
      <c r="Q14" s="1637">
        <v>0</v>
      </c>
      <c r="R14" s="1637">
        <v>0</v>
      </c>
      <c r="S14" s="1637">
        <v>0</v>
      </c>
      <c r="T14" s="1637">
        <v>0</v>
      </c>
      <c r="U14" s="1637">
        <v>0</v>
      </c>
      <c r="V14" s="1636">
        <v>0</v>
      </c>
    </row>
    <row r="15" spans="1:32">
      <c r="A15" s="1612" t="s">
        <v>560</v>
      </c>
      <c r="B15" s="1612" t="s">
        <v>5384</v>
      </c>
      <c r="C15" s="1612" t="s">
        <v>41</v>
      </c>
      <c r="D15" s="1612"/>
      <c r="L15" s="1624">
        <v>185301719999.99997</v>
      </c>
      <c r="M15" s="1891">
        <v>192627456000.00003</v>
      </c>
      <c r="N15" s="1891">
        <v>180069579999.99997</v>
      </c>
      <c r="O15" s="1891">
        <v>242708350000.00003</v>
      </c>
      <c r="P15" s="1637">
        <v>264027225000</v>
      </c>
      <c r="Q15" s="1637">
        <v>265383430000</v>
      </c>
      <c r="R15" s="1637">
        <v>290586301000</v>
      </c>
      <c r="S15" s="1637">
        <v>333051025000</v>
      </c>
      <c r="T15" s="1637">
        <v>318575840000.00006</v>
      </c>
      <c r="U15" s="1637">
        <v>349179534000.00006</v>
      </c>
      <c r="V15" s="1636">
        <v>383892520000.00006</v>
      </c>
    </row>
    <row r="16" spans="1:32" s="848" customFormat="1">
      <c r="A16" s="1902" t="s">
        <v>198</v>
      </c>
      <c r="B16" s="1902" t="s">
        <v>5385</v>
      </c>
      <c r="C16" s="1902" t="s">
        <v>35</v>
      </c>
      <c r="D16" s="1902"/>
      <c r="E16" s="1899"/>
      <c r="F16" s="1899"/>
      <c r="G16" s="1899"/>
      <c r="H16" s="1899"/>
      <c r="I16" s="1899"/>
      <c r="J16" s="1899"/>
      <c r="K16" s="1899"/>
      <c r="L16" s="2084">
        <f>L17+L23</f>
        <v>1443809234999.9998</v>
      </c>
      <c r="M16" s="2176">
        <v>1613254944000.0002</v>
      </c>
      <c r="N16" s="2352">
        <f>N17+N23</f>
        <v>1719664488999.9998</v>
      </c>
      <c r="O16" s="2352">
        <f>O17+O23</f>
        <v>1757208454000.0002</v>
      </c>
      <c r="P16" s="2353">
        <f>P17+P23</f>
        <v>1974923643000</v>
      </c>
      <c r="Q16" s="1897">
        <f>Q17+Q23</f>
        <v>2146144260000</v>
      </c>
      <c r="R16" s="1897">
        <v>2286787847000.0005</v>
      </c>
      <c r="S16" s="1897">
        <v>2504543708000</v>
      </c>
      <c r="T16" s="2353">
        <f>T17+T23</f>
        <v>2809259680000</v>
      </c>
      <c r="U16" s="2353">
        <v>3206102994000</v>
      </c>
      <c r="V16" s="1897">
        <v>3524831319999.9995</v>
      </c>
      <c r="W16" s="1899"/>
      <c r="X16" s="1899"/>
      <c r="Y16" s="1899"/>
      <c r="Z16" s="1899"/>
      <c r="AA16" s="1899"/>
      <c r="AB16" s="1899"/>
      <c r="AC16" s="1899"/>
      <c r="AD16" s="1899"/>
      <c r="AE16" s="1899"/>
      <c r="AF16" s="1899"/>
    </row>
    <row r="17" spans="1:32">
      <c r="A17" s="1612" t="s">
        <v>73</v>
      </c>
      <c r="B17" s="1612" t="s">
        <v>382</v>
      </c>
      <c r="C17" s="1612" t="s">
        <v>201</v>
      </c>
      <c r="D17" s="1612"/>
      <c r="L17" s="1624">
        <v>1219902989999.9998</v>
      </c>
      <c r="M17" s="1891">
        <v>1300235328000</v>
      </c>
      <c r="N17" s="2352">
        <f>N18+N19+N20+N21+N22</f>
        <v>1404542723999.9998</v>
      </c>
      <c r="O17" s="2352">
        <f>O18+O19+O20+O21+O22</f>
        <v>1475666768000.0002</v>
      </c>
      <c r="P17" s="2352">
        <f>P18+P19+P20+P21+P22</f>
        <v>1594724439000</v>
      </c>
      <c r="Q17" s="1637">
        <v>1765376730000</v>
      </c>
      <c r="R17" s="1637">
        <v>1895128050000</v>
      </c>
      <c r="S17" s="1637">
        <v>2011628191000</v>
      </c>
      <c r="T17" s="2352">
        <f>T18+T19+T20+T21+T22</f>
        <v>2143146560000</v>
      </c>
      <c r="U17" s="2352">
        <f>U18+U19+U20+U21+U22</f>
        <v>2396641347000</v>
      </c>
      <c r="V17" s="1636">
        <v>2634898660000</v>
      </c>
    </row>
    <row r="18" spans="1:32">
      <c r="A18" s="1616" t="s">
        <v>2236</v>
      </c>
      <c r="B18" s="1616" t="s">
        <v>5386</v>
      </c>
      <c r="C18" s="1612" t="s">
        <v>204</v>
      </c>
      <c r="D18" s="1612"/>
      <c r="L18" s="1624">
        <v>378324345000</v>
      </c>
      <c r="M18" s="1891">
        <v>417359488000.00006</v>
      </c>
      <c r="N18" s="1891">
        <v>468180907999.99994</v>
      </c>
      <c r="O18" s="1891">
        <v>504833368000.00006</v>
      </c>
      <c r="P18" s="1637">
        <v>538615538999.99994</v>
      </c>
      <c r="Q18" s="1637">
        <v>576920500000</v>
      </c>
      <c r="R18" s="1637">
        <v>606440976000</v>
      </c>
      <c r="S18" s="1637">
        <v>666102050000</v>
      </c>
      <c r="T18" s="1637">
        <v>724036000000</v>
      </c>
      <c r="U18" s="1637">
        <v>809461647000</v>
      </c>
      <c r="V18" s="1636">
        <v>889932660000</v>
      </c>
    </row>
    <row r="19" spans="1:32">
      <c r="A19" s="1616" t="s">
        <v>1059</v>
      </c>
      <c r="B19" s="1616" t="s">
        <v>5387</v>
      </c>
      <c r="C19" s="1612" t="s">
        <v>204</v>
      </c>
      <c r="D19" s="1612"/>
      <c r="L19" s="1624">
        <v>138976289999.99997</v>
      </c>
      <c r="M19" s="1891">
        <v>176575168000.00003</v>
      </c>
      <c r="N19" s="1891">
        <v>189073058999.99997</v>
      </c>
      <c r="O19" s="1891">
        <v>203875014000.00003</v>
      </c>
      <c r="P19" s="1637">
        <v>232343958000.00003</v>
      </c>
      <c r="Q19" s="1637">
        <v>288460250000</v>
      </c>
      <c r="R19" s="1637">
        <v>303220488000</v>
      </c>
      <c r="S19" s="1637">
        <v>399661230000</v>
      </c>
      <c r="T19" s="1637">
        <v>419940880000</v>
      </c>
      <c r="U19" s="1637">
        <v>460282112999.99994</v>
      </c>
      <c r="V19" s="1636">
        <v>506040139999.99994</v>
      </c>
    </row>
    <row r="20" spans="1:32">
      <c r="A20" s="1616" t="s">
        <v>91</v>
      </c>
      <c r="B20" s="1616" t="s">
        <v>5388</v>
      </c>
      <c r="C20" s="1612" t="s">
        <v>204</v>
      </c>
      <c r="D20" s="1612"/>
      <c r="L20" s="1624">
        <v>262510769999.99997</v>
      </c>
      <c r="M20" s="1891">
        <v>264862752000</v>
      </c>
      <c r="N20" s="1891">
        <v>270104369999.99997</v>
      </c>
      <c r="O20" s="1891">
        <v>252416684000.00003</v>
      </c>
      <c r="P20" s="1637">
        <v>274588314000.00003</v>
      </c>
      <c r="Q20" s="1637">
        <v>288460250000</v>
      </c>
      <c r="R20" s="1637">
        <v>290586301000</v>
      </c>
      <c r="S20" s="1637">
        <v>279762861000</v>
      </c>
      <c r="T20" s="1637">
        <v>260652960000.00003</v>
      </c>
      <c r="U20" s="1637">
        <v>301564143000</v>
      </c>
      <c r="V20" s="1636">
        <v>331543540000</v>
      </c>
    </row>
    <row r="21" spans="1:32">
      <c r="A21" s="1616" t="s">
        <v>806</v>
      </c>
      <c r="B21" s="1616" t="s">
        <v>5389</v>
      </c>
      <c r="C21" s="1612" t="s">
        <v>204</v>
      </c>
      <c r="D21" s="1612"/>
      <c r="L21" s="1624">
        <v>115813574999.99998</v>
      </c>
      <c r="M21" s="1891">
        <v>136444448000.00002</v>
      </c>
      <c r="N21" s="1891">
        <v>153059142999.99997</v>
      </c>
      <c r="O21" s="1891">
        <v>174750012000.00003</v>
      </c>
      <c r="P21" s="1637">
        <v>190099602000.00003</v>
      </c>
      <c r="Q21" s="1637">
        <v>219229790000</v>
      </c>
      <c r="R21" s="1637">
        <v>265317927000.00003</v>
      </c>
      <c r="S21" s="1637">
        <v>293084902000</v>
      </c>
      <c r="T21" s="1637">
        <v>318575840000.00006</v>
      </c>
      <c r="U21" s="1637">
        <v>365051331000</v>
      </c>
      <c r="V21" s="1636">
        <v>401342180000</v>
      </c>
    </row>
    <row r="22" spans="1:32">
      <c r="A22" s="1616" t="s">
        <v>5390</v>
      </c>
      <c r="B22" s="1616" t="s">
        <v>5391</v>
      </c>
      <c r="C22" s="1612" t="s">
        <v>204</v>
      </c>
      <c r="D22" s="1612"/>
      <c r="L22" s="1624">
        <v>324278010000</v>
      </c>
      <c r="M22" s="1891">
        <v>304993472000</v>
      </c>
      <c r="N22" s="1891">
        <v>324125243999.99994</v>
      </c>
      <c r="O22" s="1891">
        <v>339791690000</v>
      </c>
      <c r="P22" s="1637">
        <v>359077026000</v>
      </c>
      <c r="Q22" s="1637">
        <v>392305940000</v>
      </c>
      <c r="R22" s="1637">
        <v>429562358000.00006</v>
      </c>
      <c r="S22" s="1637">
        <v>373017147999.99994</v>
      </c>
      <c r="T22" s="1637">
        <v>419940880000</v>
      </c>
      <c r="U22" s="1637">
        <v>460282112999.99994</v>
      </c>
      <c r="V22" s="1636">
        <v>506040139999.99994</v>
      </c>
    </row>
    <row r="23" spans="1:32">
      <c r="A23" s="1612" t="s">
        <v>237</v>
      </c>
      <c r="B23" s="1612" t="s">
        <v>5392</v>
      </c>
      <c r="C23" s="1612" t="s">
        <v>201</v>
      </c>
      <c r="D23" s="1612"/>
      <c r="L23" s="1624">
        <v>223906244999.99997</v>
      </c>
      <c r="M23" s="1891">
        <v>313019616000.00006</v>
      </c>
      <c r="N23" s="1891">
        <v>315121765000</v>
      </c>
      <c r="O23" s="1891">
        <v>281541686000</v>
      </c>
      <c r="P23" s="1637">
        <v>380199204000.00006</v>
      </c>
      <c r="Q23" s="1637">
        <v>380767530000</v>
      </c>
      <c r="R23" s="1637">
        <v>391659797000</v>
      </c>
      <c r="S23" s="1637">
        <v>492915517000.00006</v>
      </c>
      <c r="T23" s="1637">
        <v>666113120000</v>
      </c>
      <c r="U23" s="1637">
        <v>809461647000</v>
      </c>
      <c r="V23" s="1636">
        <v>889932660000</v>
      </c>
    </row>
    <row r="24" spans="1:32">
      <c r="B24" s="1612" t="s">
        <v>5393</v>
      </c>
      <c r="C24" s="1612"/>
      <c r="D24" s="1612"/>
      <c r="L24" s="1624">
        <v>0</v>
      </c>
      <c r="M24" s="1891">
        <v>-208679744000.00003</v>
      </c>
      <c r="N24" s="1891">
        <v>-216083495999.99997</v>
      </c>
      <c r="O24" s="1891">
        <v>-38833336000</v>
      </c>
      <c r="P24" s="1637">
        <v>-31683267000</v>
      </c>
      <c r="Q24" s="1637">
        <v>23076820000</v>
      </c>
      <c r="R24" s="1637">
        <v>113707683000.00002</v>
      </c>
      <c r="S24" s="1637">
        <v>79932246000</v>
      </c>
      <c r="T24" s="1637">
        <v>-57922880000</v>
      </c>
      <c r="U24" s="1637">
        <v>-158717970000</v>
      </c>
      <c r="V24" s="1636">
        <v>-174496600000</v>
      </c>
    </row>
    <row r="25" spans="1:32">
      <c r="B25" s="1612" t="s">
        <v>5394</v>
      </c>
      <c r="D25" s="1612"/>
      <c r="L25" s="1624">
        <v>-92650859999.999985</v>
      </c>
      <c r="M25" s="1891">
        <v>-296967328000.00006</v>
      </c>
      <c r="N25" s="1891">
        <v>-306118285999.99994</v>
      </c>
      <c r="O25" s="1891">
        <v>-174750012000.00003</v>
      </c>
      <c r="P25" s="1637">
        <v>-200660691000</v>
      </c>
      <c r="Q25" s="1637">
        <v>-138460920000</v>
      </c>
      <c r="R25" s="1637">
        <v>-63170935000</v>
      </c>
      <c r="S25" s="1637">
        <v>-173186533000</v>
      </c>
      <c r="T25" s="1637">
        <v>-318575840000.00006</v>
      </c>
      <c r="U25" s="1637">
        <v>-444410315999.99994</v>
      </c>
      <c r="V25" s="1636">
        <v>-488590479999.99994</v>
      </c>
    </row>
    <row r="26" spans="1:32">
      <c r="B26" s="1612" t="s">
        <v>5395</v>
      </c>
      <c r="D26" s="1612"/>
      <c r="L26" s="1624">
        <v>38604524999.999992</v>
      </c>
      <c r="M26" s="1891">
        <v>40130720000</v>
      </c>
      <c r="N26" s="1891">
        <v>54020873999.999992</v>
      </c>
      <c r="O26" s="1891">
        <v>67958338000</v>
      </c>
      <c r="P26" s="1637">
        <v>73927623000</v>
      </c>
      <c r="Q26" s="1637">
        <v>80768869999.999985</v>
      </c>
      <c r="R26" s="1637">
        <v>88439308999.999985</v>
      </c>
      <c r="S26" s="1637">
        <v>173186533000</v>
      </c>
      <c r="T26" s="1637">
        <v>188249360000.00003</v>
      </c>
      <c r="U26" s="1637">
        <v>206333361000.00003</v>
      </c>
      <c r="V26" s="1636">
        <v>226845580000.00003</v>
      </c>
    </row>
    <row r="27" spans="1:32">
      <c r="B27" s="1612" t="s">
        <v>5396</v>
      </c>
      <c r="D27" s="1612"/>
      <c r="L27" s="1624">
        <v>61767239999.999992</v>
      </c>
      <c r="M27" s="1891">
        <v>40130720000</v>
      </c>
      <c r="N27" s="1891">
        <v>45017394999.999992</v>
      </c>
      <c r="O27" s="1891">
        <v>67958338000</v>
      </c>
      <c r="P27" s="1637">
        <v>95049801000.000015</v>
      </c>
      <c r="Q27" s="1637">
        <v>80768869999.999985</v>
      </c>
      <c r="R27" s="1637">
        <v>88439308999.999985</v>
      </c>
      <c r="S27" s="1637">
        <v>79932246000</v>
      </c>
      <c r="T27" s="1637">
        <v>86884320000</v>
      </c>
      <c r="U27" s="1637">
        <v>79358985000</v>
      </c>
      <c r="V27" s="1636">
        <v>69798640000</v>
      </c>
    </row>
    <row r="28" spans="1:32" s="848" customFormat="1">
      <c r="A28" s="1899" t="s">
        <v>115</v>
      </c>
      <c r="B28" s="1902" t="s">
        <v>5397</v>
      </c>
      <c r="C28" s="1902" t="s">
        <v>35</v>
      </c>
      <c r="D28" s="1902"/>
      <c r="E28" s="1899"/>
      <c r="F28" s="1899"/>
      <c r="G28" s="1899"/>
      <c r="H28" s="1899"/>
      <c r="I28" s="1899"/>
      <c r="J28" s="1899"/>
      <c r="K28" s="1899"/>
      <c r="L28" s="2084">
        <f>L29+L30</f>
        <v>0</v>
      </c>
      <c r="M28" s="2084">
        <f t="shared" ref="M28:O28" si="2">M29+M30</f>
        <v>208679744000.00003</v>
      </c>
      <c r="N28" s="2084">
        <f t="shared" si="2"/>
        <v>207080016999.99994</v>
      </c>
      <c r="O28" s="2084">
        <f t="shared" si="2"/>
        <v>38833336000.000015</v>
      </c>
      <c r="P28" s="1914">
        <f>P29+P30</f>
        <v>31683267000</v>
      </c>
      <c r="Q28" s="1914">
        <f t="shared" ref="Q28:V28" si="3">Q29+Q30</f>
        <v>-23076819999.999939</v>
      </c>
      <c r="R28" s="1914">
        <f t="shared" si="3"/>
        <v>-113707683000.00003</v>
      </c>
      <c r="S28" s="1914">
        <f t="shared" si="3"/>
        <v>-66610205000</v>
      </c>
      <c r="T28" s="1914">
        <f t="shared" si="3"/>
        <v>57922880000</v>
      </c>
      <c r="U28" s="1914">
        <f t="shared" si="3"/>
        <v>158717970000.00006</v>
      </c>
      <c r="V28" s="1914">
        <f t="shared" si="3"/>
        <v>174496600000</v>
      </c>
      <c r="W28" s="1899"/>
      <c r="X28" s="1899"/>
      <c r="Y28" s="1899"/>
      <c r="Z28" s="1899"/>
      <c r="AA28" s="1899"/>
      <c r="AB28" s="1899"/>
      <c r="AC28" s="1899"/>
      <c r="AD28" s="1899"/>
      <c r="AE28" s="1899"/>
      <c r="AF28" s="1899"/>
    </row>
    <row r="29" spans="1:32">
      <c r="A29" s="1612" t="s">
        <v>5398</v>
      </c>
      <c r="B29" s="1612" t="s">
        <v>5398</v>
      </c>
      <c r="C29" s="1612" t="s">
        <v>252</v>
      </c>
      <c r="D29" s="1612"/>
      <c r="L29" s="1624">
        <v>-138976290000</v>
      </c>
      <c r="M29" s="1891">
        <v>-24078432000</v>
      </c>
      <c r="N29" s="1891">
        <v>-153059143000</v>
      </c>
      <c r="O29" s="1891">
        <v>-77666672000</v>
      </c>
      <c r="P29" s="1637">
        <v>-485810094000</v>
      </c>
      <c r="Q29" s="1637">
        <v>-334613890000</v>
      </c>
      <c r="R29" s="1637">
        <v>-265317927000.00003</v>
      </c>
      <c r="S29" s="1637">
        <v>-146542451000</v>
      </c>
      <c r="T29" s="1637">
        <v>-173768640000</v>
      </c>
      <c r="U29" s="1637">
        <v>-380923128000</v>
      </c>
      <c r="V29" s="1636">
        <v>-418791840000</v>
      </c>
    </row>
    <row r="30" spans="1:32">
      <c r="A30" s="1612" t="s">
        <v>5399</v>
      </c>
      <c r="B30" s="1612" t="s">
        <v>5399</v>
      </c>
      <c r="C30" s="1612" t="s">
        <v>252</v>
      </c>
      <c r="D30" s="1612"/>
      <c r="L30" s="1624">
        <v>138976289999.99997</v>
      </c>
      <c r="M30" s="1891">
        <v>232758176000.00003</v>
      </c>
      <c r="N30" s="1891">
        <v>360139159999.99994</v>
      </c>
      <c r="O30" s="1891">
        <v>116500008000.00002</v>
      </c>
      <c r="P30" s="1637">
        <v>517493361000</v>
      </c>
      <c r="Q30" s="1637">
        <v>311537070000.00006</v>
      </c>
      <c r="R30" s="1637">
        <v>151610244000</v>
      </c>
      <c r="S30" s="1637">
        <v>79932246000</v>
      </c>
      <c r="T30" s="1637">
        <v>231691520000</v>
      </c>
      <c r="U30" s="1637">
        <v>539641098000.00006</v>
      </c>
      <c r="V30" s="1636">
        <v>593288440000</v>
      </c>
    </row>
    <row r="31" spans="1:32">
      <c r="B31" s="1612" t="s">
        <v>614</v>
      </c>
      <c r="M31" s="1602">
        <f t="shared" ref="M31:R31" si="4">(M14/M6)*100</f>
        <v>0</v>
      </c>
      <c r="N31" s="1602">
        <f t="shared" si="4"/>
        <v>0</v>
      </c>
      <c r="O31" s="1602">
        <f t="shared" si="4"/>
        <v>0</v>
      </c>
      <c r="P31" s="1636">
        <f t="shared" si="4"/>
        <v>0</v>
      </c>
      <c r="Q31" s="1636">
        <f t="shared" si="4"/>
        <v>0</v>
      </c>
      <c r="R31" s="1636">
        <f t="shared" si="4"/>
        <v>0</v>
      </c>
      <c r="S31" s="1636">
        <f>(S14/S6)*100</f>
        <v>0</v>
      </c>
      <c r="T31" s="1636">
        <f t="shared" ref="T31:U31" si="5">(T14/T6)*100</f>
        <v>0</v>
      </c>
      <c r="U31" s="1636">
        <f t="shared" si="5"/>
        <v>0</v>
      </c>
      <c r="V31" s="1636"/>
    </row>
    <row r="32" spans="1:32">
      <c r="B32" s="1612" t="s">
        <v>299</v>
      </c>
      <c r="M32" s="1892">
        <v>8026.1440000000002</v>
      </c>
      <c r="N32" s="1892">
        <v>9003.4789999999994</v>
      </c>
      <c r="O32" s="1892">
        <v>9708.3340000000007</v>
      </c>
      <c r="P32" s="1636">
        <v>10567.334999999999</v>
      </c>
      <c r="Q32" s="1636">
        <v>11548.19</v>
      </c>
      <c r="R32" s="1636">
        <v>12746.172</v>
      </c>
      <c r="S32" s="1636">
        <v>14069.03</v>
      </c>
      <c r="T32" s="1636"/>
      <c r="U32" s="1636"/>
      <c r="V32" s="1636"/>
      <c r="W32" s="1892"/>
    </row>
    <row r="33" spans="2:23">
      <c r="P33" s="1636"/>
      <c r="Q33" s="1636"/>
      <c r="R33" s="1636"/>
      <c r="S33" s="1636"/>
      <c r="T33" s="1636"/>
      <c r="U33" s="1636"/>
      <c r="V33" s="1636"/>
    </row>
    <row r="34" spans="2:23">
      <c r="L34" s="1602" t="s">
        <v>139</v>
      </c>
      <c r="M34" s="1602" t="s">
        <v>139</v>
      </c>
      <c r="N34" s="1602" t="s">
        <v>139</v>
      </c>
      <c r="O34" s="1602" t="s">
        <v>139</v>
      </c>
      <c r="P34" s="1636" t="s">
        <v>139</v>
      </c>
      <c r="Q34" s="1636" t="s">
        <v>139</v>
      </c>
      <c r="R34" s="1636" t="s">
        <v>139</v>
      </c>
      <c r="S34" s="1636" t="s">
        <v>139</v>
      </c>
      <c r="T34" s="1636" t="s">
        <v>139</v>
      </c>
      <c r="U34" s="1636" t="s">
        <v>139</v>
      </c>
      <c r="V34" s="1636" t="s">
        <v>139</v>
      </c>
    </row>
    <row r="35" spans="2:23">
      <c r="P35" s="1636"/>
      <c r="Q35" s="1636"/>
      <c r="R35" s="1636"/>
      <c r="S35" s="1636"/>
      <c r="T35" s="1636"/>
      <c r="U35" s="1636"/>
      <c r="V35" s="1636"/>
    </row>
    <row r="36" spans="2:23">
      <c r="B36" s="1602" t="s">
        <v>5400</v>
      </c>
      <c r="L36" s="1624">
        <f>L7-L8-L13-L15</f>
        <v>0</v>
      </c>
      <c r="M36" s="1624">
        <f t="shared" ref="M36:R36" si="6">M7-M8-M13-M15</f>
        <v>0</v>
      </c>
      <c r="N36" s="1624">
        <f t="shared" si="6"/>
        <v>0</v>
      </c>
      <c r="O36" s="1624">
        <f t="shared" si="6"/>
        <v>0</v>
      </c>
      <c r="P36" s="1636">
        <f t="shared" si="6"/>
        <v>4.8828125E-4</v>
      </c>
      <c r="Q36" s="1636">
        <f t="shared" si="6"/>
        <v>-2.44140625E-4</v>
      </c>
      <c r="R36" s="1636">
        <f t="shared" si="6"/>
        <v>0</v>
      </c>
      <c r="S36" s="1636">
        <f>S7-S8-S13-S15</f>
        <v>0</v>
      </c>
      <c r="T36" s="1636">
        <f t="shared" ref="T36:U36" si="7">T7-T8-T13-T15</f>
        <v>0</v>
      </c>
      <c r="U36" s="1636">
        <f t="shared" si="7"/>
        <v>0</v>
      </c>
      <c r="V36" s="1636">
        <f t="shared" ref="V36" si="8">V7-V8-V13-V15</f>
        <v>0</v>
      </c>
    </row>
    <row r="37" spans="2:23">
      <c r="B37" s="1602" t="s">
        <v>141</v>
      </c>
      <c r="L37" s="1624">
        <f>L7-L8-L15-L13</f>
        <v>0</v>
      </c>
      <c r="M37" s="1624">
        <f t="shared" ref="M37:S37" si="9">M7-M8-M15-M13</f>
        <v>0</v>
      </c>
      <c r="N37" s="1624">
        <f t="shared" si="9"/>
        <v>0</v>
      </c>
      <c r="O37" s="1624">
        <f t="shared" si="9"/>
        <v>0</v>
      </c>
      <c r="P37" s="1636">
        <f t="shared" si="9"/>
        <v>4.8828125E-4</v>
      </c>
      <c r="Q37" s="1636">
        <f t="shared" si="9"/>
        <v>-2.44140625E-4</v>
      </c>
      <c r="R37" s="1636">
        <f t="shared" si="9"/>
        <v>0</v>
      </c>
      <c r="S37" s="1636">
        <f t="shared" si="9"/>
        <v>0</v>
      </c>
      <c r="T37" s="1636">
        <f t="shared" ref="T37:U37" si="10">T7-T8-T15-T13</f>
        <v>0</v>
      </c>
      <c r="U37" s="1636">
        <f t="shared" si="10"/>
        <v>0</v>
      </c>
      <c r="V37" s="1636">
        <f t="shared" ref="V37" si="11">V7-V8-V15-V13</f>
        <v>0</v>
      </c>
    </row>
    <row r="38" spans="2:23">
      <c r="B38" s="1602" t="s">
        <v>142</v>
      </c>
      <c r="L38" s="1624">
        <f>L8-L9-L10-L11-L12</f>
        <v>0</v>
      </c>
      <c r="M38" s="1624">
        <f t="shared" ref="M38:S38" si="12">M8-M9-M10-M11-M12</f>
        <v>0</v>
      </c>
      <c r="N38" s="1624">
        <f t="shared" si="12"/>
        <v>-1.678466796875E-4</v>
      </c>
      <c r="O38" s="1624">
        <f t="shared" si="12"/>
        <v>-1.373291015625E-4</v>
      </c>
      <c r="P38" s="1636">
        <f t="shared" si="12"/>
        <v>-2.44140625E-4</v>
      </c>
      <c r="Q38" s="1636">
        <f>Q8-Q9-Q10-Q11-Q12</f>
        <v>0</v>
      </c>
      <c r="R38" s="1636">
        <f t="shared" si="12"/>
        <v>0</v>
      </c>
      <c r="S38" s="1636">
        <f t="shared" si="12"/>
        <v>0</v>
      </c>
      <c r="T38" s="2348">
        <f t="shared" ref="T38:U38" si="13">T8-T9-T10-T11-T12</f>
        <v>0</v>
      </c>
      <c r="U38" s="1636">
        <f t="shared" si="13"/>
        <v>0</v>
      </c>
      <c r="V38" s="1636">
        <f t="shared" ref="V38" si="14">V8-V9-V10-V11-V12</f>
        <v>0</v>
      </c>
    </row>
    <row r="39" spans="2:23">
      <c r="B39" s="1602" t="s">
        <v>619</v>
      </c>
      <c r="L39" s="1624">
        <f>L16-L17-L23</f>
        <v>0</v>
      </c>
      <c r="M39" s="1624">
        <f t="shared" ref="M39:S39" si="15">M16-M17-M23</f>
        <v>0</v>
      </c>
      <c r="N39" s="1624">
        <f t="shared" si="15"/>
        <v>0</v>
      </c>
      <c r="O39" s="1624">
        <f t="shared" si="15"/>
        <v>0</v>
      </c>
      <c r="P39" s="1636">
        <f t="shared" si="15"/>
        <v>0</v>
      </c>
      <c r="Q39" s="2348">
        <f t="shared" si="15"/>
        <v>0</v>
      </c>
      <c r="R39" s="1636">
        <f t="shared" si="15"/>
        <v>4.8828125E-4</v>
      </c>
      <c r="S39" s="1636">
        <f t="shared" si="15"/>
        <v>0</v>
      </c>
      <c r="T39" s="1636">
        <f t="shared" ref="T39:U39" si="16">T16-T17-T23</f>
        <v>0</v>
      </c>
      <c r="U39" s="1636">
        <f t="shared" si="16"/>
        <v>0</v>
      </c>
      <c r="V39" s="1636">
        <f t="shared" ref="V39" si="17">V16-V17-V23</f>
        <v>0</v>
      </c>
    </row>
    <row r="40" spans="2:23">
      <c r="B40" s="1602" t="s">
        <v>620</v>
      </c>
      <c r="L40" s="1624">
        <f>L17-L18-L19-L20-L21-L22</f>
        <v>0</v>
      </c>
      <c r="M40" s="1624">
        <f t="shared" ref="M40:S40" si="18">M17-M18-M19-M20-M21-M22</f>
        <v>0</v>
      </c>
      <c r="N40" s="1624">
        <f>N17-N18-N19-N20-N21-N22</f>
        <v>0</v>
      </c>
      <c r="O40" s="1624">
        <f t="shared" si="18"/>
        <v>0</v>
      </c>
      <c r="P40" s="2348">
        <f>P17-P18-P19-P20-P21-P22</f>
        <v>0</v>
      </c>
      <c r="Q40" s="1636">
        <f t="shared" si="18"/>
        <v>0</v>
      </c>
      <c r="R40" s="2348">
        <f t="shared" si="18"/>
        <v>0</v>
      </c>
      <c r="S40" s="1636">
        <f t="shared" si="18"/>
        <v>0</v>
      </c>
      <c r="T40" s="1636">
        <f t="shared" ref="T40:U40" si="19">T17-T18-T19-T20-T21-T22</f>
        <v>0</v>
      </c>
      <c r="U40" s="2348">
        <f t="shared" si="19"/>
        <v>0</v>
      </c>
      <c r="V40" s="2348">
        <f t="shared" ref="V40" si="20">V17-V18-V19-V20-V21-V22</f>
        <v>0</v>
      </c>
    </row>
    <row r="41" spans="2:23">
      <c r="B41" s="1602" t="s">
        <v>5401</v>
      </c>
      <c r="K41" s="1624"/>
      <c r="L41" s="1624">
        <f>L29+L30</f>
        <v>0</v>
      </c>
      <c r="M41" s="1624">
        <f t="shared" ref="M41:S41" si="21">M28-M29-M30</f>
        <v>0</v>
      </c>
      <c r="N41" s="1624">
        <f t="shared" si="21"/>
        <v>0</v>
      </c>
      <c r="O41" s="1624">
        <f t="shared" si="21"/>
        <v>0</v>
      </c>
      <c r="P41" s="1636">
        <f t="shared" si="21"/>
        <v>0</v>
      </c>
      <c r="Q41" s="1636">
        <f t="shared" si="21"/>
        <v>0</v>
      </c>
      <c r="R41" s="1636">
        <f t="shared" si="21"/>
        <v>0</v>
      </c>
      <c r="S41" s="1636">
        <f t="shared" si="21"/>
        <v>0</v>
      </c>
      <c r="T41" s="1636">
        <f t="shared" ref="T41:U41" si="22">T28-T29-T30</f>
        <v>0</v>
      </c>
      <c r="U41" s="1636">
        <f t="shared" si="22"/>
        <v>0</v>
      </c>
      <c r="V41" s="1636"/>
    </row>
    <row r="42" spans="2:23">
      <c r="B42" s="1602" t="s">
        <v>150</v>
      </c>
      <c r="D42" s="2349"/>
      <c r="E42" s="2350"/>
      <c r="F42" s="2350"/>
      <c r="G42" s="2350"/>
      <c r="H42" s="2350"/>
      <c r="I42" s="2350"/>
      <c r="J42" s="2350"/>
      <c r="K42" s="2350"/>
      <c r="L42" s="2350">
        <v>7720905000000</v>
      </c>
      <c r="M42" s="2350">
        <v>8026144000000</v>
      </c>
      <c r="N42" s="2350">
        <v>9003479000000</v>
      </c>
      <c r="O42" s="2350">
        <v>9708334000000</v>
      </c>
      <c r="P42" s="1637">
        <v>10561089000000</v>
      </c>
      <c r="Q42" s="1637">
        <v>11538410000000</v>
      </c>
      <c r="R42" s="1637">
        <v>12634187000000</v>
      </c>
      <c r="S42" s="1637">
        <v>13322041000000</v>
      </c>
      <c r="T42" s="1637">
        <v>14480720000000</v>
      </c>
      <c r="U42" s="1637">
        <v>15871797000000</v>
      </c>
      <c r="V42" s="1639">
        <v>17449660000000</v>
      </c>
      <c r="W42" s="2351"/>
    </row>
    <row r="43" spans="2:23">
      <c r="B43" s="1602" t="s">
        <v>151</v>
      </c>
      <c r="L43" s="1602">
        <f>(L6/L42)*100</f>
        <v>18.5</v>
      </c>
      <c r="M43" s="1602">
        <f t="shared" ref="M43:S43" si="23">(M6/M42)*100</f>
        <v>17.399999999999999</v>
      </c>
      <c r="N43" s="1602">
        <f t="shared" si="23"/>
        <v>16.799999999999997</v>
      </c>
      <c r="O43" s="1602">
        <f t="shared" si="23"/>
        <v>17.600000000000001</v>
      </c>
      <c r="P43" s="1636">
        <f t="shared" si="23"/>
        <v>18.600000000000001</v>
      </c>
      <c r="Q43" s="1636">
        <f t="shared" si="23"/>
        <v>18.899999999999999</v>
      </c>
      <c r="R43" s="1636">
        <f t="shared" si="23"/>
        <v>19</v>
      </c>
      <c r="S43" s="1636">
        <f t="shared" si="23"/>
        <v>19.399999999999995</v>
      </c>
      <c r="T43" s="1636">
        <f t="shared" ref="T43:U43" si="24">(T6/T42)*100</f>
        <v>19.2</v>
      </c>
      <c r="U43" s="1636">
        <f t="shared" si="24"/>
        <v>19.2</v>
      </c>
      <c r="V43" s="1636"/>
    </row>
    <row r="44" spans="2:23">
      <c r="B44" s="1602" t="s">
        <v>152</v>
      </c>
      <c r="L44" s="1602">
        <f>(L16/L42)*100</f>
        <v>18.699999999999996</v>
      </c>
      <c r="M44" s="1602">
        <f t="shared" ref="M44:S44" si="25">(M16/M42)*100</f>
        <v>20.100000000000005</v>
      </c>
      <c r="N44" s="1602">
        <f t="shared" si="25"/>
        <v>19.099999999999998</v>
      </c>
      <c r="O44" s="1602">
        <f t="shared" si="25"/>
        <v>18.100000000000001</v>
      </c>
      <c r="P44" s="1636">
        <f t="shared" si="25"/>
        <v>18.7</v>
      </c>
      <c r="Q44" s="1636">
        <f t="shared" si="25"/>
        <v>18.600000000000001</v>
      </c>
      <c r="R44" s="1636">
        <f t="shared" si="25"/>
        <v>18.100000000000005</v>
      </c>
      <c r="S44" s="1636">
        <f t="shared" si="25"/>
        <v>18.8</v>
      </c>
      <c r="T44" s="1636">
        <f t="shared" ref="T44:U44" si="26">(T16/T42)*100</f>
        <v>19.400000000000002</v>
      </c>
      <c r="U44" s="1636">
        <f t="shared" si="26"/>
        <v>20.200000000000003</v>
      </c>
      <c r="V44" s="1636"/>
    </row>
    <row r="46" spans="2:23">
      <c r="O46" s="1612"/>
      <c r="P46" s="1631"/>
      <c r="Q46" s="1631"/>
      <c r="R46" s="1631"/>
      <c r="S46" s="1631"/>
      <c r="T46" s="1631"/>
      <c r="U46" s="1631"/>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K20" activePane="bottomRight" state="frozen"/>
      <selection pane="topRight" activeCell="Q31" sqref="Q31:X31"/>
      <selection pane="bottomLeft" activeCell="Q31" sqref="Q31:X31"/>
      <selection pane="bottomRight" activeCell="B31" sqref="B31"/>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2" width="18" bestFit="1" customWidth="1"/>
    <col min="23" max="24" width="19.85546875" bestFit="1" customWidth="1"/>
    <col min="26" max="26" width="10.85546875" bestFit="1" customWidth="1"/>
    <col min="27" max="27" width="13.7109375" bestFit="1" customWidth="1"/>
    <col min="28" max="31" width="13" bestFit="1" customWidth="1"/>
  </cols>
  <sheetData>
    <row r="1" spans="1:27">
      <c r="A1" s="369" t="s">
        <v>5402</v>
      </c>
      <c r="B1" t="s">
        <v>5403</v>
      </c>
    </row>
    <row r="2" spans="1:27">
      <c r="B2" t="s">
        <v>7201</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30</v>
      </c>
      <c r="T5" t="s">
        <v>30</v>
      </c>
      <c r="U5" t="s">
        <v>30</v>
      </c>
      <c r="V5" t="s">
        <v>32</v>
      </c>
      <c r="W5" t="s">
        <v>32</v>
      </c>
      <c r="X5" t="s">
        <v>32</v>
      </c>
    </row>
    <row r="6" spans="1:27" s="9" customFormat="1">
      <c r="A6" s="96" t="s">
        <v>33</v>
      </c>
      <c r="B6" s="9" t="s">
        <v>785</v>
      </c>
      <c r="C6" s="160" t="s">
        <v>35</v>
      </c>
      <c r="H6" s="292">
        <f t="shared" ref="H6:R6" si="0">H7+H20</f>
        <v>5796320000000</v>
      </c>
      <c r="I6" s="292">
        <f t="shared" si="0"/>
        <v>8412125000000</v>
      </c>
      <c r="J6" s="292">
        <f t="shared" si="0"/>
        <v>10653984000000</v>
      </c>
      <c r="K6" s="292">
        <f t="shared" si="0"/>
        <v>13244400000000</v>
      </c>
      <c r="L6" s="292">
        <f t="shared" si="0"/>
        <v>15958844000000</v>
      </c>
      <c r="M6" s="292">
        <f t="shared" si="0"/>
        <v>13621257000000</v>
      </c>
      <c r="N6" s="292">
        <f t="shared" si="0"/>
        <v>16069223000000</v>
      </c>
      <c r="O6" s="292">
        <f t="shared" si="0"/>
        <v>20875691000000</v>
      </c>
      <c r="P6" s="292">
        <f t="shared" si="0"/>
        <v>23378176000000</v>
      </c>
      <c r="Q6" s="292">
        <f t="shared" si="0"/>
        <v>24424110000000</v>
      </c>
      <c r="R6" s="292">
        <f t="shared" si="0"/>
        <v>26777250000000</v>
      </c>
      <c r="S6" s="292">
        <f>S7+S20</f>
        <v>26600453000000</v>
      </c>
      <c r="T6" s="292">
        <f t="shared" ref="T6:X6" si="1">T7+T20</f>
        <v>28084574000000</v>
      </c>
      <c r="U6" s="292">
        <f t="shared" si="1"/>
        <v>30556284000000</v>
      </c>
      <c r="V6" s="292">
        <f t="shared" si="1"/>
        <v>35632384000000</v>
      </c>
      <c r="W6" s="292">
        <f t="shared" si="1"/>
        <v>36927510000000</v>
      </c>
      <c r="X6" s="292">
        <f t="shared" si="1"/>
        <v>38187432000000</v>
      </c>
    </row>
    <row r="7" spans="1:27" ht="16.5">
      <c r="A7" s="139" t="s">
        <v>36</v>
      </c>
      <c r="B7" s="139" t="s">
        <v>36</v>
      </c>
      <c r="C7" s="345" t="s">
        <v>38</v>
      </c>
      <c r="D7" s="13"/>
      <c r="H7" s="500">
        <f>H10+H18+H19</f>
        <v>5796320000000</v>
      </c>
      <c r="I7" s="500">
        <f t="shared" ref="I7:R7" si="2">I10+I18+I19</f>
        <v>8412125000000</v>
      </c>
      <c r="J7" s="500">
        <f t="shared" si="2"/>
        <v>10653984000000</v>
      </c>
      <c r="K7" s="500">
        <f t="shared" si="2"/>
        <v>13244400000000</v>
      </c>
      <c r="L7" s="500">
        <f t="shared" si="2"/>
        <v>15958844000000</v>
      </c>
      <c r="M7" s="500">
        <f t="shared" si="2"/>
        <v>13621257000000</v>
      </c>
      <c r="N7" s="500">
        <f t="shared" si="2"/>
        <v>16069223000000</v>
      </c>
      <c r="O7" s="500">
        <f t="shared" si="2"/>
        <v>20875691000000</v>
      </c>
      <c r="P7" s="500">
        <f t="shared" si="2"/>
        <v>23378176000000</v>
      </c>
      <c r="Q7" s="500">
        <f t="shared" si="2"/>
        <v>24424110000000</v>
      </c>
      <c r="R7" s="500">
        <f t="shared" si="2"/>
        <v>26777250000000</v>
      </c>
      <c r="S7" s="500">
        <f>S10+S18+S19</f>
        <v>26600453000000</v>
      </c>
      <c r="T7" s="500">
        <f t="shared" ref="T7:X7" si="3">T10+T18+T19</f>
        <v>28084574000000</v>
      </c>
      <c r="U7" s="500">
        <f t="shared" si="3"/>
        <v>30556284000000</v>
      </c>
      <c r="V7" s="500">
        <f t="shared" si="3"/>
        <v>35632384000000</v>
      </c>
      <c r="W7" s="500">
        <f t="shared" si="3"/>
        <v>36927510000000</v>
      </c>
      <c r="X7" s="500">
        <f t="shared" si="3"/>
        <v>38187432000000</v>
      </c>
      <c r="AA7" s="21"/>
    </row>
    <row r="8" spans="1:27" ht="16.5">
      <c r="B8" s="90" t="s">
        <v>5404</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c r="T8" s="21"/>
      <c r="U8" s="21"/>
      <c r="V8" s="21"/>
      <c r="W8" s="21"/>
      <c r="X8" s="21"/>
    </row>
    <row r="9" spans="1:27" ht="16.5">
      <c r="B9" s="90" t="s">
        <v>5405</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c r="T9" s="21"/>
      <c r="U9" s="21"/>
      <c r="V9" s="21"/>
      <c r="W9" s="21"/>
      <c r="X9" s="21"/>
    </row>
    <row r="10" spans="1:27" ht="16.5">
      <c r="A10" s="103" t="s">
        <v>371</v>
      </c>
      <c r="B10" s="139" t="s">
        <v>371</v>
      </c>
      <c r="C10" s="58" t="s">
        <v>41</v>
      </c>
      <c r="H10" s="21">
        <f t="shared" ref="H10:M10" si="4">H11+H12+H13+H14+H15+H16+H17</f>
        <v>4193808000000</v>
      </c>
      <c r="I10" s="21">
        <f t="shared" si="4"/>
        <v>6379375000000</v>
      </c>
      <c r="J10" s="21">
        <f t="shared" si="4"/>
        <v>7882872000000</v>
      </c>
      <c r="K10" s="21">
        <f t="shared" si="4"/>
        <v>9734634000000</v>
      </c>
      <c r="L10" s="21">
        <f t="shared" si="4"/>
        <v>12083720000000</v>
      </c>
      <c r="M10" s="500">
        <f t="shared" si="4"/>
        <v>10089820000000</v>
      </c>
      <c r="N10" s="500">
        <f t="shared" ref="N10:R10" si="5">N11+N12+N13+N14+N15+N16+N17</f>
        <v>12318194000000</v>
      </c>
      <c r="O10" s="500">
        <f t="shared" si="5"/>
        <v>16062529000000</v>
      </c>
      <c r="P10" s="500">
        <f t="shared" si="5"/>
        <v>17720160000000</v>
      </c>
      <c r="Q10" s="500">
        <f t="shared" si="5"/>
        <v>18268440000000</v>
      </c>
      <c r="R10" s="500">
        <f t="shared" si="5"/>
        <v>20136492000000</v>
      </c>
      <c r="S10" s="500">
        <f>S11+S12+S13+S14+S15+S16+S17</f>
        <v>19095623000000</v>
      </c>
      <c r="T10" s="500">
        <f t="shared" ref="T10:X10" si="6">T11+T12+T13+T14+T15+T16+T17</f>
        <v>18866631000000</v>
      </c>
      <c r="U10" s="500">
        <f t="shared" si="6"/>
        <v>22180917000000</v>
      </c>
      <c r="V10" s="500">
        <f t="shared" si="6"/>
        <v>26773504000000</v>
      </c>
      <c r="W10" s="500">
        <f t="shared" si="6"/>
        <v>27434845000000</v>
      </c>
      <c r="X10" s="500">
        <f t="shared" si="6"/>
        <v>27982170000000</v>
      </c>
    </row>
    <row r="11" spans="1:27" ht="16.5">
      <c r="A11" s="99" t="s">
        <v>5406</v>
      </c>
      <c r="B11" s="99" t="s">
        <v>5406</v>
      </c>
      <c r="C11" s="498" t="s">
        <v>5407</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125">
        <v>2584997000000</v>
      </c>
      <c r="T11" s="125">
        <v>2756768000000</v>
      </c>
      <c r="U11" s="125">
        <v>3313332000000</v>
      </c>
      <c r="V11" s="125">
        <v>3937280000000</v>
      </c>
      <c r="W11" s="125">
        <v>3755340000000</v>
      </c>
      <c r="X11" s="125">
        <v>3840690000000</v>
      </c>
    </row>
    <row r="12" spans="1:27" ht="16.5">
      <c r="A12" s="99" t="s">
        <v>5408</v>
      </c>
      <c r="B12" s="99" t="s">
        <v>5408</v>
      </c>
      <c r="C12" s="498" t="s">
        <v>5407</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125">
        <v>2835158000000</v>
      </c>
      <c r="T12" s="125">
        <v>3015215000000</v>
      </c>
      <c r="U12" s="125">
        <v>3221295000000</v>
      </c>
      <c r="V12" s="125">
        <v>3445120000000</v>
      </c>
      <c r="W12" s="125">
        <v>3651025000000</v>
      </c>
      <c r="X12" s="125">
        <v>3840690000000</v>
      </c>
    </row>
    <row r="13" spans="1:27" ht="16.5">
      <c r="A13" s="152" t="s">
        <v>162</v>
      </c>
      <c r="B13" s="152" t="s">
        <v>162</v>
      </c>
      <c r="C13" s="498" t="s">
        <v>5407</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125">
        <v>4252736999999.9995</v>
      </c>
      <c r="T13" s="125">
        <v>4565897000000</v>
      </c>
      <c r="U13" s="125">
        <v>5154072000000</v>
      </c>
      <c r="V13" s="125">
        <v>5413760000000</v>
      </c>
      <c r="W13" s="125">
        <v>5737325000000</v>
      </c>
      <c r="X13" s="125">
        <v>6035370000000</v>
      </c>
    </row>
    <row r="14" spans="1:27" ht="16.5">
      <c r="A14" s="152" t="s">
        <v>553</v>
      </c>
      <c r="B14" s="152" t="s">
        <v>553</v>
      </c>
      <c r="C14" s="498" t="s">
        <v>5407</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125">
        <v>1084031000000</v>
      </c>
      <c r="T14" s="125">
        <v>1378384000000</v>
      </c>
      <c r="U14" s="125">
        <v>1564629000000</v>
      </c>
      <c r="V14" s="125">
        <v>1574912000000</v>
      </c>
      <c r="W14" s="125">
        <v>1564725000000</v>
      </c>
      <c r="X14" s="125">
        <v>1646010000000</v>
      </c>
    </row>
    <row r="15" spans="1:27" ht="16.5">
      <c r="A15" s="99" t="s">
        <v>5409</v>
      </c>
      <c r="B15" s="99" t="s">
        <v>5409</v>
      </c>
      <c r="C15" s="498" t="s">
        <v>5407</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125">
        <v>3335480000000</v>
      </c>
      <c r="T15" s="125">
        <v>2584470000000</v>
      </c>
      <c r="U15" s="125">
        <v>2577036000000</v>
      </c>
      <c r="V15" s="125">
        <v>3543552000000</v>
      </c>
      <c r="W15" s="125">
        <v>3651025000000</v>
      </c>
      <c r="X15" s="125">
        <v>3621222000000</v>
      </c>
    </row>
    <row r="16" spans="1:27" ht="16.5">
      <c r="A16" s="99" t="s">
        <v>5410</v>
      </c>
      <c r="B16" s="99" t="s">
        <v>5410</v>
      </c>
      <c r="C16" s="498" t="s">
        <v>5407</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125">
        <v>3418866999999.9995</v>
      </c>
      <c r="T16" s="125">
        <v>3187513000000</v>
      </c>
      <c r="U16" s="125">
        <v>4509813000000</v>
      </c>
      <c r="V16" s="125">
        <v>6890240000000</v>
      </c>
      <c r="W16" s="125">
        <v>6989105000000</v>
      </c>
      <c r="X16" s="125">
        <v>6803508000000</v>
      </c>
    </row>
    <row r="17" spans="1:25" ht="16.5">
      <c r="A17" s="99" t="s">
        <v>5411</v>
      </c>
      <c r="B17" s="99" t="s">
        <v>5411</v>
      </c>
      <c r="C17" s="498" t="s">
        <v>5407</v>
      </c>
      <c r="H17" s="21"/>
      <c r="I17" s="21"/>
      <c r="J17" s="21"/>
      <c r="K17" s="21"/>
      <c r="L17" s="21"/>
      <c r="M17" s="21">
        <v>892560999999.99988</v>
      </c>
      <c r="N17" s="21">
        <v>1018798000000</v>
      </c>
      <c r="O17" s="21">
        <v>1007406000000.0001</v>
      </c>
      <c r="P17" s="21">
        <v>1181344000000</v>
      </c>
      <c r="Q17" s="21">
        <v>1323800000000</v>
      </c>
      <c r="R17" s="21">
        <v>1356714000000</v>
      </c>
      <c r="S17" s="125">
        <v>1584353000000</v>
      </c>
      <c r="T17" s="125">
        <v>1378384000000</v>
      </c>
      <c r="U17" s="125">
        <v>1840740000000</v>
      </c>
      <c r="V17" s="125">
        <v>1968640000000</v>
      </c>
      <c r="W17" s="125">
        <v>2086300000000</v>
      </c>
      <c r="X17" s="125">
        <v>2194680000000</v>
      </c>
    </row>
    <row r="18" spans="1:25"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125">
        <v>5336768000000</v>
      </c>
      <c r="T18" s="125">
        <v>6030430000000</v>
      </c>
      <c r="U18" s="125">
        <v>6534627000000</v>
      </c>
      <c r="V18" s="125">
        <v>6791808000000</v>
      </c>
      <c r="W18" s="125">
        <v>7197735000000</v>
      </c>
      <c r="X18" s="125">
        <v>7681380000000</v>
      </c>
    </row>
    <row r="19" spans="1:25"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125">
        <v>2168062000000</v>
      </c>
      <c r="T19" s="125">
        <v>3187513000000</v>
      </c>
      <c r="U19" s="125">
        <v>1840740000000</v>
      </c>
      <c r="V19" s="125">
        <v>2067072000000</v>
      </c>
      <c r="W19" s="125">
        <v>2294930000000</v>
      </c>
      <c r="X19" s="125">
        <v>2523882000000</v>
      </c>
    </row>
    <row r="20" spans="1:25">
      <c r="A20" s="90" t="s">
        <v>795</v>
      </c>
      <c r="B20" s="90" t="s">
        <v>795</v>
      </c>
      <c r="C20" s="345"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5" s="9" customFormat="1" ht="16.5">
      <c r="A21" s="160" t="s">
        <v>198</v>
      </c>
      <c r="B21" s="148" t="s">
        <v>535</v>
      </c>
      <c r="C21" s="456" t="s">
        <v>35</v>
      </c>
      <c r="H21" s="292">
        <v>5404215999999.999</v>
      </c>
      <c r="I21" s="292">
        <v>7092999999999.999</v>
      </c>
      <c r="J21" s="292">
        <v>8394047999999.999</v>
      </c>
      <c r="K21" s="292">
        <v>10992852000000.002</v>
      </c>
      <c r="L21" s="292">
        <v>14208788000000</v>
      </c>
      <c r="M21" s="292">
        <f t="shared" ref="M21:R21" si="7">M22+M30</f>
        <v>16066098000000</v>
      </c>
      <c r="N21" s="292">
        <f t="shared" si="7"/>
        <v>17643729000000</v>
      </c>
      <c r="O21" s="292">
        <f t="shared" si="7"/>
        <v>19980219000000</v>
      </c>
      <c r="P21" s="292">
        <f t="shared" si="7"/>
        <v>23191648000000</v>
      </c>
      <c r="Q21" s="292">
        <f t="shared" si="7"/>
        <v>25350770000000</v>
      </c>
      <c r="R21" s="292">
        <f t="shared" si="7"/>
        <v>27634122000000.004</v>
      </c>
      <c r="S21" s="295">
        <f>S22+S30</f>
        <v>29352224000000</v>
      </c>
      <c r="T21" s="295">
        <f t="shared" ref="T21:X21" si="8">T22+T30</f>
        <v>31272087000000</v>
      </c>
      <c r="U21" s="295">
        <f t="shared" si="8"/>
        <v>32028876000000</v>
      </c>
      <c r="V21" s="295">
        <f t="shared" si="8"/>
        <v>33466880000000</v>
      </c>
      <c r="W21" s="295">
        <f t="shared" si="8"/>
        <v>33902375000000</v>
      </c>
      <c r="X21" s="295">
        <f t="shared" si="8"/>
        <v>35663550000000</v>
      </c>
      <c r="Y21" s="295"/>
    </row>
    <row r="22" spans="1:25" ht="16.5">
      <c r="A22" s="448" t="s">
        <v>476</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125">
        <f>S23+S24+S25+S26+S27+S28+S29</f>
        <v>25516422000000</v>
      </c>
      <c r="T22" s="125">
        <f t="shared" ref="T22:X22" si="9">T23+T24+T25+T26+T27+T28+T29</f>
        <v>27223084000000</v>
      </c>
      <c r="U22" s="125">
        <f t="shared" si="9"/>
        <v>28531470000000</v>
      </c>
      <c r="V22" s="125">
        <f t="shared" si="9"/>
        <v>29923328000000</v>
      </c>
      <c r="W22" s="125">
        <f t="shared" si="9"/>
        <v>30355665000000</v>
      </c>
      <c r="X22" s="125">
        <f t="shared" si="9"/>
        <v>31932594000000</v>
      </c>
    </row>
    <row r="23" spans="1:25"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125">
        <v>3585641000000</v>
      </c>
      <c r="T23" s="125">
        <v>3704407000000</v>
      </c>
      <c r="U23" s="125">
        <v>3773516999999.9995</v>
      </c>
      <c r="V23" s="125">
        <v>3937280000000</v>
      </c>
      <c r="W23" s="125">
        <v>4068285000000</v>
      </c>
      <c r="X23" s="125">
        <v>4279626000000</v>
      </c>
    </row>
    <row r="24" spans="1:25" ht="16.5">
      <c r="A24" s="99" t="s">
        <v>5412</v>
      </c>
      <c r="B24" s="99" t="s">
        <v>5412</v>
      </c>
      <c r="C24" s="58" t="s">
        <v>81</v>
      </c>
      <c r="H24" s="21"/>
      <c r="I24" s="21"/>
      <c r="J24" s="21"/>
      <c r="K24" s="21"/>
      <c r="L24" s="21"/>
      <c r="M24" s="21">
        <v>2250806000000</v>
      </c>
      <c r="N24" s="21">
        <v>2222832000000</v>
      </c>
      <c r="O24" s="21">
        <v>2742383000000.0005</v>
      </c>
      <c r="P24" s="21">
        <v>2549216000000</v>
      </c>
      <c r="Q24" s="21">
        <v>2713790000000</v>
      </c>
      <c r="R24" s="21">
        <v>2784834000000</v>
      </c>
      <c r="S24" s="125">
        <v>2751771000000</v>
      </c>
      <c r="T24" s="125">
        <v>2929066000000</v>
      </c>
      <c r="U24" s="125">
        <v>2761110000000</v>
      </c>
      <c r="V24" s="125">
        <v>2854528000000</v>
      </c>
      <c r="W24" s="125">
        <v>2816505000000</v>
      </c>
      <c r="X24" s="125">
        <v>2962818000000</v>
      </c>
    </row>
    <row r="25" spans="1:25"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125">
        <v>667096000000</v>
      </c>
      <c r="T25" s="125">
        <v>775341000000</v>
      </c>
      <c r="U25" s="125">
        <v>828333000000</v>
      </c>
      <c r="V25" s="125">
        <v>885888000000</v>
      </c>
      <c r="W25" s="125">
        <v>938835000000</v>
      </c>
      <c r="X25" s="125">
        <v>987606000000</v>
      </c>
    </row>
    <row r="26" spans="1:25"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125">
        <v>5753703000000</v>
      </c>
      <c r="T26" s="125">
        <v>6202728000000</v>
      </c>
      <c r="U26" s="125">
        <v>6902775000000</v>
      </c>
      <c r="V26" s="125">
        <v>7087104000000</v>
      </c>
      <c r="W26" s="125">
        <v>7093420000000</v>
      </c>
      <c r="X26" s="125">
        <v>7461912000000</v>
      </c>
    </row>
    <row r="27" spans="1:25"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125">
        <v>166774000000</v>
      </c>
      <c r="T27" s="125">
        <v>172298000000</v>
      </c>
      <c r="U27" s="125">
        <v>184074000000</v>
      </c>
      <c r="V27" s="125">
        <v>196864000000</v>
      </c>
      <c r="W27" s="125">
        <v>208630000000</v>
      </c>
      <c r="X27" s="125">
        <v>219468000000</v>
      </c>
    </row>
    <row r="28" spans="1:25" ht="16.5">
      <c r="A28" s="99" t="s">
        <v>1062</v>
      </c>
      <c r="B28" s="99" t="s">
        <v>1062</v>
      </c>
      <c r="C28" s="58" t="s">
        <v>81</v>
      </c>
      <c r="H28" s="21"/>
      <c r="I28" s="21"/>
      <c r="J28" s="21"/>
      <c r="K28" s="21"/>
      <c r="L28" s="21"/>
      <c r="M28" s="21">
        <v>4967296000000</v>
      </c>
      <c r="N28" s="21">
        <v>6483260000000</v>
      </c>
      <c r="O28" s="21">
        <v>6827973999999.999</v>
      </c>
      <c r="P28" s="21">
        <v>8145056000000</v>
      </c>
      <c r="Q28" s="21">
        <v>9398980000000</v>
      </c>
      <c r="R28" s="21">
        <v>9925434000000.002</v>
      </c>
      <c r="S28" s="125">
        <v>11007084000000</v>
      </c>
      <c r="T28" s="125">
        <v>11888562000000</v>
      </c>
      <c r="U28" s="125">
        <v>12609069000000</v>
      </c>
      <c r="V28" s="125">
        <v>13288320000000</v>
      </c>
      <c r="W28" s="125">
        <v>13665265000000</v>
      </c>
      <c r="X28" s="125">
        <v>14155686000000</v>
      </c>
    </row>
    <row r="29" spans="1:25" ht="16.5">
      <c r="A29" s="152" t="s">
        <v>50</v>
      </c>
      <c r="B29" s="152" t="s">
        <v>50</v>
      </c>
      <c r="C29" s="58" t="s">
        <v>81</v>
      </c>
      <c r="H29" s="21"/>
      <c r="I29" s="21"/>
      <c r="J29" s="21"/>
      <c r="K29" s="21"/>
      <c r="L29" s="21"/>
      <c r="M29" s="500">
        <f t="shared" ref="M29:R29" si="10">M22-M23-M24-M25-M26-M27-M28</f>
        <v>737333000000</v>
      </c>
      <c r="N29" s="500">
        <f t="shared" si="10"/>
        <v>787253000000</v>
      </c>
      <c r="O29" s="500">
        <f t="shared" si="10"/>
        <v>1063373000000.0029</v>
      </c>
      <c r="P29" s="500">
        <f t="shared" si="10"/>
        <v>1305696000000</v>
      </c>
      <c r="Q29" s="500">
        <f t="shared" si="10"/>
        <v>1191420000000</v>
      </c>
      <c r="R29" s="500">
        <f t="shared" si="10"/>
        <v>928278000000.00195</v>
      </c>
      <c r="S29" s="2689">
        <v>1584353000000</v>
      </c>
      <c r="T29" s="2689">
        <v>1550682000000</v>
      </c>
      <c r="U29" s="2689">
        <v>1472592000000</v>
      </c>
      <c r="V29" s="2689">
        <v>1673344000000</v>
      </c>
      <c r="W29" s="2689">
        <v>1564725000000</v>
      </c>
      <c r="X29" s="2689">
        <v>1865478000000</v>
      </c>
    </row>
    <row r="30" spans="1:25"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125">
        <v>3835801999999.9995</v>
      </c>
      <c r="T30" s="125">
        <v>4049003000000</v>
      </c>
      <c r="U30" s="125">
        <v>3497406000000</v>
      </c>
      <c r="V30" s="125">
        <v>3543552000000</v>
      </c>
      <c r="W30" s="125">
        <v>3546710000000</v>
      </c>
      <c r="X30" s="125">
        <v>3730956000000</v>
      </c>
    </row>
    <row r="31" spans="1:25" ht="16.5">
      <c r="A31" s="2001" t="s">
        <v>115</v>
      </c>
      <c r="B31" s="90" t="s">
        <v>5413</v>
      </c>
      <c r="C31" s="456"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f>S21-S6</f>
        <v>2751771000000</v>
      </c>
      <c r="T31" s="21">
        <f t="shared" ref="T31:X31" si="11">T21-T6</f>
        <v>3187513000000</v>
      </c>
      <c r="U31" s="21">
        <f t="shared" si="11"/>
        <v>1472592000000</v>
      </c>
      <c r="V31" s="21">
        <f t="shared" si="11"/>
        <v>-2165504000000</v>
      </c>
      <c r="W31" s="21">
        <f t="shared" si="11"/>
        <v>-3025135000000</v>
      </c>
      <c r="X31" s="21">
        <f t="shared" si="11"/>
        <v>-2523882000000</v>
      </c>
    </row>
    <row r="32" spans="1:25" ht="16.5">
      <c r="B32" s="90" t="s">
        <v>5414</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c r="T32" s="21"/>
      <c r="U32" s="21"/>
      <c r="V32" s="21"/>
      <c r="W32" s="21"/>
      <c r="X32" s="21"/>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12">H7-H10-H18-H19</f>
        <v>0</v>
      </c>
      <c r="I36" s="21">
        <f t="shared" si="12"/>
        <v>0</v>
      </c>
      <c r="J36" s="21">
        <f t="shared" si="12"/>
        <v>0</v>
      </c>
      <c r="K36" s="21">
        <f t="shared" si="12"/>
        <v>0</v>
      </c>
      <c r="L36" s="21">
        <f t="shared" si="12"/>
        <v>0</v>
      </c>
      <c r="M36" s="21">
        <f t="shared" si="12"/>
        <v>0</v>
      </c>
      <c r="N36" s="21">
        <f t="shared" si="12"/>
        <v>0</v>
      </c>
      <c r="O36" s="21">
        <f t="shared" si="12"/>
        <v>0</v>
      </c>
      <c r="P36" s="21">
        <f t="shared" si="12"/>
        <v>0</v>
      </c>
      <c r="Q36" s="21">
        <f t="shared" si="12"/>
        <v>0</v>
      </c>
      <c r="R36" s="21">
        <f t="shared" si="12"/>
        <v>0</v>
      </c>
      <c r="S36" s="21">
        <f t="shared" si="12"/>
        <v>0</v>
      </c>
      <c r="T36" s="21">
        <f t="shared" si="12"/>
        <v>0</v>
      </c>
      <c r="U36" s="21">
        <f t="shared" si="12"/>
        <v>0</v>
      </c>
      <c r="V36" s="21">
        <f t="shared" si="12"/>
        <v>0</v>
      </c>
      <c r="W36" s="21">
        <f t="shared" si="12"/>
        <v>0</v>
      </c>
      <c r="X36" s="21">
        <f t="shared" si="12"/>
        <v>0</v>
      </c>
    </row>
    <row r="37" spans="2:24">
      <c r="B37" t="s">
        <v>1372</v>
      </c>
      <c r="E37" s="21"/>
      <c r="H37" s="21">
        <f t="shared" ref="H37:N37" si="13">H10-H11-H12-H13-H14-H15-H16-H17</f>
        <v>0</v>
      </c>
      <c r="I37" s="21">
        <f t="shared" si="13"/>
        <v>0</v>
      </c>
      <c r="J37" s="21">
        <f t="shared" si="13"/>
        <v>0</v>
      </c>
      <c r="K37" s="21">
        <f t="shared" si="13"/>
        <v>0</v>
      </c>
      <c r="L37" s="21">
        <f t="shared" si="13"/>
        <v>0</v>
      </c>
      <c r="M37" s="21">
        <f t="shared" si="13"/>
        <v>0</v>
      </c>
      <c r="N37" s="21">
        <f t="shared" si="13"/>
        <v>0</v>
      </c>
      <c r="O37" s="21">
        <f t="shared" ref="O37:X37" si="14">O10-O11-O12-O13-O14-O15-O16-O17</f>
        <v>0</v>
      </c>
      <c r="P37" s="21">
        <f t="shared" si="14"/>
        <v>0</v>
      </c>
      <c r="Q37" s="21">
        <f t="shared" si="14"/>
        <v>0</v>
      </c>
      <c r="R37" s="21">
        <f t="shared" si="14"/>
        <v>0</v>
      </c>
      <c r="S37" s="21">
        <f t="shared" si="14"/>
        <v>0</v>
      </c>
      <c r="T37" s="21">
        <f t="shared" si="14"/>
        <v>0</v>
      </c>
      <c r="U37" s="21">
        <f t="shared" si="14"/>
        <v>0</v>
      </c>
      <c r="V37" s="21">
        <f t="shared" si="14"/>
        <v>0</v>
      </c>
      <c r="W37" s="21">
        <f t="shared" si="14"/>
        <v>0</v>
      </c>
      <c r="X37" s="21">
        <f t="shared" si="14"/>
        <v>0</v>
      </c>
    </row>
    <row r="38" spans="2:24">
      <c r="B38" t="s">
        <v>1639</v>
      </c>
      <c r="E38" s="21"/>
      <c r="H38" s="131">
        <f>H21-H22-H30</f>
        <v>5404215999999.999</v>
      </c>
      <c r="I38" s="131">
        <f t="shared" ref="I38:W38" si="15">I21-I22-I30</f>
        <v>7092999999999.999</v>
      </c>
      <c r="J38" s="131">
        <f t="shared" si="15"/>
        <v>8394047999999.999</v>
      </c>
      <c r="K38" s="131">
        <f t="shared" si="15"/>
        <v>10992852000000.002</v>
      </c>
      <c r="L38" s="131">
        <f t="shared" si="15"/>
        <v>14208788000000</v>
      </c>
      <c r="M38" s="21">
        <f t="shared" si="15"/>
        <v>0</v>
      </c>
      <c r="N38" s="21">
        <f t="shared" si="15"/>
        <v>0</v>
      </c>
      <c r="O38" s="21">
        <f t="shared" si="15"/>
        <v>0</v>
      </c>
      <c r="P38" s="21">
        <f t="shared" si="15"/>
        <v>0</v>
      </c>
      <c r="Q38" s="21">
        <f t="shared" si="15"/>
        <v>0</v>
      </c>
      <c r="R38" s="21">
        <f t="shared" si="15"/>
        <v>0</v>
      </c>
      <c r="S38" s="21">
        <f t="shared" si="15"/>
        <v>0</v>
      </c>
      <c r="T38" s="21">
        <f t="shared" si="15"/>
        <v>0</v>
      </c>
      <c r="U38" s="21">
        <f t="shared" si="15"/>
        <v>0</v>
      </c>
      <c r="V38" s="21">
        <f t="shared" si="15"/>
        <v>0</v>
      </c>
      <c r="W38" s="21">
        <f t="shared" si="15"/>
        <v>0</v>
      </c>
      <c r="X38" s="21">
        <f>X21-X22-X30</f>
        <v>0</v>
      </c>
    </row>
    <row r="39" spans="2:24">
      <c r="B39" t="s">
        <v>5415</v>
      </c>
      <c r="E39" s="21"/>
      <c r="H39" s="21">
        <f t="shared" ref="H39:X39" si="16">H22-H23-H24-H25-H26-H28-H29-H27</f>
        <v>0</v>
      </c>
      <c r="I39" s="21">
        <f t="shared" si="16"/>
        <v>0</v>
      </c>
      <c r="J39" s="21">
        <f t="shared" si="16"/>
        <v>0</v>
      </c>
      <c r="K39" s="21">
        <f t="shared" si="16"/>
        <v>0</v>
      </c>
      <c r="L39" s="21">
        <f t="shared" si="16"/>
        <v>0</v>
      </c>
      <c r="M39" s="21">
        <f t="shared" si="16"/>
        <v>0</v>
      </c>
      <c r="N39" s="21">
        <f t="shared" si="16"/>
        <v>0</v>
      </c>
      <c r="O39" s="21">
        <f t="shared" si="16"/>
        <v>0</v>
      </c>
      <c r="P39" s="21">
        <f t="shared" si="16"/>
        <v>0</v>
      </c>
      <c r="Q39" s="21">
        <f t="shared" si="16"/>
        <v>0</v>
      </c>
      <c r="R39" s="21">
        <f t="shared" si="16"/>
        <v>0</v>
      </c>
      <c r="S39" s="21">
        <f t="shared" si="16"/>
        <v>0</v>
      </c>
      <c r="T39" s="21">
        <f t="shared" si="16"/>
        <v>0</v>
      </c>
      <c r="U39" s="21">
        <f t="shared" si="16"/>
        <v>0</v>
      </c>
      <c r="V39" s="21">
        <f t="shared" si="16"/>
        <v>0</v>
      </c>
      <c r="W39" s="21">
        <f t="shared" si="16"/>
        <v>0</v>
      </c>
      <c r="X39" s="21">
        <f t="shared" si="16"/>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6">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21">
        <v>83387000000000</v>
      </c>
      <c r="T43" s="21">
        <v>86149000000000</v>
      </c>
      <c r="U43" s="21">
        <v>92037000000000</v>
      </c>
      <c r="V43" s="21">
        <v>98432000000000</v>
      </c>
      <c r="W43" s="21">
        <v>104315000000000</v>
      </c>
      <c r="X43" s="21">
        <v>109734000000000</v>
      </c>
    </row>
    <row r="44" spans="2:24">
      <c r="H44" s="499">
        <f t="shared" ref="H44:X44" si="17">H7/H43</f>
        <v>0.34041553538781211</v>
      </c>
      <c r="I44" s="499">
        <f t="shared" si="17"/>
        <v>0.38927415701323986</v>
      </c>
      <c r="J44" s="499">
        <f t="shared" si="17"/>
        <v>0.39580580446703223</v>
      </c>
      <c r="K44" s="499">
        <f t="shared" si="17"/>
        <v>0.39835765144517582</v>
      </c>
      <c r="L44" s="499">
        <f t="shared" si="17"/>
        <v>0.38662987440886892</v>
      </c>
      <c r="M44" s="499">
        <f t="shared" si="17"/>
        <v>0.35099801016408805</v>
      </c>
      <c r="N44" s="499">
        <f t="shared" si="17"/>
        <v>0.34700344688042423</v>
      </c>
      <c r="O44" s="499">
        <f t="shared" si="17"/>
        <v>0.37299846713871671</v>
      </c>
      <c r="P44" s="499">
        <f t="shared" si="17"/>
        <v>0.37599703682211716</v>
      </c>
      <c r="Q44" s="499">
        <f t="shared" si="17"/>
        <v>0.36899933101798277</v>
      </c>
      <c r="R44" s="499">
        <f t="shared" si="17"/>
        <v>0.37499789934795763</v>
      </c>
      <c r="S44" s="499">
        <f t="shared" si="17"/>
        <v>0.31900000000000001</v>
      </c>
      <c r="T44" s="499">
        <f t="shared" si="17"/>
        <v>0.32600000000000001</v>
      </c>
      <c r="U44" s="499">
        <f t="shared" si="17"/>
        <v>0.33200000000000002</v>
      </c>
      <c r="V44" s="499">
        <f t="shared" si="17"/>
        <v>0.36199999999999999</v>
      </c>
      <c r="W44" s="499">
        <f t="shared" si="17"/>
        <v>0.35399999999999998</v>
      </c>
      <c r="X44" s="499">
        <f t="shared" si="17"/>
        <v>0.34799999999999998</v>
      </c>
    </row>
    <row r="45" spans="2:24">
      <c r="H45" s="499">
        <f t="shared" ref="H45:X45" si="18">H21/H43</f>
        <v>0.31738742564098948</v>
      </c>
      <c r="I45" s="499">
        <f t="shared" si="18"/>
        <v>0.32823116581064948</v>
      </c>
      <c r="J45" s="499">
        <f t="shared" si="18"/>
        <v>0.31184699745887384</v>
      </c>
      <c r="K45" s="499">
        <f t="shared" si="18"/>
        <v>0.330636850699496</v>
      </c>
      <c r="L45" s="499">
        <f t="shared" si="18"/>
        <v>0.34423182029614696</v>
      </c>
      <c r="M45" s="499">
        <f t="shared" si="18"/>
        <v>0.41399765301405256</v>
      </c>
      <c r="N45" s="499">
        <f t="shared" si="18"/>
        <v>0.38100378461510553</v>
      </c>
      <c r="O45" s="499">
        <f t="shared" si="18"/>
        <v>0.35699853289147954</v>
      </c>
      <c r="P45" s="499">
        <f t="shared" si="18"/>
        <v>0.37299706046449388</v>
      </c>
      <c r="Q45" s="499">
        <f t="shared" si="18"/>
        <v>0.38299930563655121</v>
      </c>
      <c r="R45" s="499">
        <f t="shared" si="18"/>
        <v>0.38699783212709232</v>
      </c>
      <c r="S45" s="499">
        <f t="shared" si="18"/>
        <v>0.35199999999999998</v>
      </c>
      <c r="T45" s="499">
        <f t="shared" si="18"/>
        <v>0.36299999999999999</v>
      </c>
      <c r="U45" s="499">
        <f t="shared" si="18"/>
        <v>0.34799999999999998</v>
      </c>
      <c r="V45" s="499">
        <f t="shared" si="18"/>
        <v>0.34</v>
      </c>
      <c r="W45" s="499">
        <f t="shared" si="18"/>
        <v>0.32500000000000001</v>
      </c>
      <c r="X45" s="499">
        <f t="shared" si="18"/>
        <v>0.32500000000000001</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J18" activePane="bottomRight" state="frozen"/>
      <selection pane="topRight" activeCell="C1" sqref="C1"/>
      <selection pane="bottomLeft" activeCell="A6" sqref="A6"/>
      <selection pane="bottomRight" activeCell="C37" sqref="C37"/>
    </sheetView>
  </sheetViews>
  <sheetFormatPr defaultRowHeight="15"/>
  <cols>
    <col min="1" max="1" width="35" style="1570" customWidth="1"/>
    <col min="2" max="2" width="47.28515625" style="1570" bestFit="1" customWidth="1"/>
    <col min="3" max="3" width="23.42578125" style="1570" customWidth="1"/>
    <col min="4" max="4" width="8.85546875" style="1570"/>
    <col min="5" max="6" width="21.7109375" style="1570" bestFit="1" customWidth="1"/>
    <col min="7" max="7" width="19.42578125" style="1570" bestFit="1" customWidth="1"/>
    <col min="8" max="8" width="20.7109375" style="1570" bestFit="1" customWidth="1"/>
    <col min="9" max="10" width="20.140625" style="1570" bestFit="1" customWidth="1"/>
    <col min="11" max="13" width="18.5703125" style="1570" bestFit="1" customWidth="1"/>
    <col min="14" max="15" width="21" style="1570" bestFit="1" customWidth="1"/>
    <col min="16" max="21" width="22.85546875" style="1570" bestFit="1" customWidth="1"/>
    <col min="22" max="22" width="23.140625" style="1570" bestFit="1" customWidth="1"/>
    <col min="23" max="23" width="21.7109375" style="1570" bestFit="1" customWidth="1"/>
    <col min="24" max="24" width="22.140625" style="1570" bestFit="1" customWidth="1"/>
    <col min="25" max="25" width="8.85546875" style="1570"/>
  </cols>
  <sheetData>
    <row r="1" spans="1:25">
      <c r="A1" s="1584" t="s">
        <v>5416</v>
      </c>
      <c r="B1" s="1566" t="s">
        <v>5417</v>
      </c>
      <c r="C1" s="1566"/>
      <c r="D1" s="1567"/>
      <c r="E1" s="1567"/>
      <c r="F1" s="1567"/>
      <c r="G1" s="1567"/>
      <c r="H1" s="1567"/>
      <c r="I1" s="1567"/>
      <c r="J1" s="1567"/>
      <c r="K1" s="1567"/>
      <c r="L1" s="1567"/>
      <c r="M1" s="1567"/>
      <c r="N1" s="1567"/>
      <c r="O1" s="1568"/>
      <c r="P1" s="1568"/>
      <c r="Q1" s="1568"/>
      <c r="R1" s="1569"/>
      <c r="S1" s="1568">
        <v>44</v>
      </c>
      <c r="T1" s="1568"/>
      <c r="U1" s="1568"/>
      <c r="V1" s="1568"/>
      <c r="W1" s="1568"/>
      <c r="X1" s="1568"/>
    </row>
    <row r="2" spans="1:25">
      <c r="B2" s="1571" t="s">
        <v>5418</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25">
      <c r="B3" s="1575" t="s">
        <v>3</v>
      </c>
      <c r="C3" s="1575"/>
      <c r="D3" s="1568">
        <v>2000</v>
      </c>
      <c r="E3" s="1568">
        <v>2001</v>
      </c>
      <c r="F3" s="1568">
        <v>2002</v>
      </c>
      <c r="G3" s="1568">
        <v>2003</v>
      </c>
      <c r="H3" s="1568">
        <v>2004</v>
      </c>
      <c r="I3" s="1568">
        <v>2005</v>
      </c>
      <c r="J3" s="1959">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row>
    <row r="4" spans="1:25">
      <c r="B4" s="1575" t="s">
        <v>4</v>
      </c>
      <c r="C4" s="1575"/>
      <c r="D4" s="1568" t="s">
        <v>5</v>
      </c>
      <c r="E4" s="1568" t="s">
        <v>6</v>
      </c>
      <c r="F4" s="1568" t="s">
        <v>7</v>
      </c>
      <c r="G4" s="1568" t="s">
        <v>8</v>
      </c>
      <c r="H4" s="1568" t="s">
        <v>9</v>
      </c>
      <c r="I4" s="1568" t="s">
        <v>10</v>
      </c>
      <c r="J4" s="1568" t="s">
        <v>11</v>
      </c>
      <c r="K4" s="1959"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row>
    <row r="5" spans="1:25">
      <c r="A5" s="1578"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30</v>
      </c>
      <c r="T5" s="1568" t="s">
        <v>30</v>
      </c>
      <c r="U5" s="1568" t="s">
        <v>2937</v>
      </c>
      <c r="V5" s="1568" t="s">
        <v>32</v>
      </c>
      <c r="W5" s="1568" t="s">
        <v>32</v>
      </c>
      <c r="X5" s="1568" t="s">
        <v>32</v>
      </c>
    </row>
    <row r="6" spans="1:25" s="848" customFormat="1">
      <c r="A6" s="2001" t="s">
        <v>33</v>
      </c>
      <c r="B6" s="2002" t="s">
        <v>5419</v>
      </c>
      <c r="C6" s="2003" t="s">
        <v>35</v>
      </c>
      <c r="D6" s="2004"/>
      <c r="E6" s="2005">
        <v>148200000000</v>
      </c>
      <c r="F6" s="2005">
        <v>160300000000</v>
      </c>
      <c r="G6" s="2005">
        <v>195500000000</v>
      </c>
      <c r="H6" s="2005">
        <v>272600000000.00003</v>
      </c>
      <c r="I6" s="2006">
        <v>349400000000</v>
      </c>
      <c r="J6" s="2006">
        <v>376000000000</v>
      </c>
      <c r="K6" s="2005">
        <v>388000000000</v>
      </c>
      <c r="L6" s="2005">
        <v>518200000000.00006</v>
      </c>
      <c r="M6" s="2005">
        <v>670700000000</v>
      </c>
      <c r="N6" s="2005">
        <v>800700000000</v>
      </c>
      <c r="O6" s="2005">
        <v>844200000000</v>
      </c>
      <c r="P6" s="2007">
        <v>1049099999999.9999</v>
      </c>
      <c r="Q6" s="2007">
        <v>1101300000000</v>
      </c>
      <c r="R6" s="2007">
        <v>1336400000000</v>
      </c>
      <c r="S6" s="2007">
        <v>1418800000000</v>
      </c>
      <c r="T6" s="2009">
        <v>1541700000000</v>
      </c>
      <c r="U6" s="1597">
        <f>U17+U7</f>
        <v>1615800000000</v>
      </c>
      <c r="V6" s="2009">
        <v>1766500000000</v>
      </c>
      <c r="W6" s="2010">
        <v>1929100000000</v>
      </c>
      <c r="X6" s="2010">
        <v>2196699999999.9998</v>
      </c>
      <c r="Y6" s="2003"/>
    </row>
    <row r="7" spans="1:25">
      <c r="A7" s="1578" t="s">
        <v>36</v>
      </c>
      <c r="B7" s="1577" t="s">
        <v>5420</v>
      </c>
      <c r="C7" s="1578" t="s">
        <v>38</v>
      </c>
      <c r="D7" s="1577"/>
      <c r="E7" s="1960">
        <v>86200000000</v>
      </c>
      <c r="F7" s="1960">
        <v>101200000000</v>
      </c>
      <c r="G7" s="1960">
        <v>122300000000</v>
      </c>
      <c r="H7" s="1960">
        <v>147100000000</v>
      </c>
      <c r="I7" s="1961">
        <v>180300000000</v>
      </c>
      <c r="J7" s="1961">
        <v>208200000000</v>
      </c>
      <c r="K7" s="1960">
        <v>233200000000</v>
      </c>
      <c r="L7" s="1960">
        <v>290300000000</v>
      </c>
      <c r="M7" s="1960">
        <v>413000000000</v>
      </c>
      <c r="N7" s="1960">
        <v>391400000000</v>
      </c>
      <c r="O7" s="1960">
        <v>471700000000</v>
      </c>
      <c r="P7" s="1579">
        <v>591700000000</v>
      </c>
      <c r="Q7" s="1579">
        <v>736400000000</v>
      </c>
      <c r="R7" s="1579">
        <v>862100000000</v>
      </c>
      <c r="S7" s="1579">
        <v>1002900000000</v>
      </c>
      <c r="T7" s="1592">
        <v>1167900000000</v>
      </c>
      <c r="U7" s="1592">
        <v>1285600000000</v>
      </c>
      <c r="V7" s="1592">
        <v>1413700000000</v>
      </c>
      <c r="W7" s="1841">
        <v>1554000000000</v>
      </c>
      <c r="X7" s="1841">
        <v>1779900000000</v>
      </c>
    </row>
    <row r="8" spans="1:25">
      <c r="A8" s="1578" t="s">
        <v>39</v>
      </c>
      <c r="B8" s="1577" t="s">
        <v>3846</v>
      </c>
      <c r="C8" s="1578" t="s">
        <v>41</v>
      </c>
      <c r="D8" s="1577"/>
      <c r="E8" s="1960">
        <v>79500000000</v>
      </c>
      <c r="F8" s="1960">
        <v>94600000000</v>
      </c>
      <c r="G8" s="1960">
        <v>114600000000</v>
      </c>
      <c r="H8" s="1960">
        <v>134699999999.99998</v>
      </c>
      <c r="I8" s="1961">
        <v>162600000000</v>
      </c>
      <c r="J8" s="1961">
        <v>193600000000</v>
      </c>
      <c r="K8" s="1960">
        <v>217600000000</v>
      </c>
      <c r="L8" s="1960">
        <v>272399999999.99997</v>
      </c>
      <c r="M8" s="1960">
        <v>361400000000</v>
      </c>
      <c r="N8" s="1960">
        <v>376400000000</v>
      </c>
      <c r="O8" s="1960">
        <v>449100000000</v>
      </c>
      <c r="P8" s="1579">
        <v>557000000000</v>
      </c>
      <c r="Q8" s="1579">
        <v>651900000000</v>
      </c>
      <c r="R8" s="1579">
        <v>761000000000</v>
      </c>
      <c r="S8" s="1579">
        <v>871700000000</v>
      </c>
      <c r="T8" s="1592">
        <v>1000300000000</v>
      </c>
      <c r="U8" s="1592">
        <v>1104100000000</v>
      </c>
      <c r="V8" s="1592">
        <v>1229600000000</v>
      </c>
      <c r="W8" s="1841">
        <v>1373600000000</v>
      </c>
      <c r="X8" s="1841">
        <v>1585200000000</v>
      </c>
    </row>
    <row r="9" spans="1:25">
      <c r="A9" s="1578" t="s">
        <v>989</v>
      </c>
      <c r="B9" s="1580" t="s">
        <v>5421</v>
      </c>
      <c r="C9" s="1570" t="s">
        <v>44</v>
      </c>
      <c r="D9" s="1577"/>
      <c r="E9" s="1960">
        <v>24500000000</v>
      </c>
      <c r="F9" s="1960">
        <v>30500000000</v>
      </c>
      <c r="G9" s="1960">
        <v>35100000000</v>
      </c>
      <c r="H9" s="1960">
        <v>38200000000</v>
      </c>
      <c r="I9" s="1961">
        <v>50700000000</v>
      </c>
      <c r="J9" s="1961">
        <v>64500000000</v>
      </c>
      <c r="K9" s="1960">
        <v>73600000000</v>
      </c>
      <c r="L9" s="1960">
        <v>103300000000</v>
      </c>
      <c r="M9" s="1960">
        <v>130100000000</v>
      </c>
      <c r="N9" s="1960">
        <v>148800000000</v>
      </c>
      <c r="O9" s="1960">
        <v>175800000000</v>
      </c>
      <c r="P9" s="1579">
        <v>228500000000</v>
      </c>
      <c r="Q9" s="1579">
        <v>282000000000</v>
      </c>
      <c r="R9" s="1579">
        <v>311100000000</v>
      </c>
      <c r="S9" s="1579">
        <v>375800000000</v>
      </c>
      <c r="T9" s="1592">
        <v>406200000000</v>
      </c>
      <c r="U9" s="1592">
        <v>468400000000</v>
      </c>
      <c r="V9" s="1592">
        <v>518400000000</v>
      </c>
      <c r="W9" s="1841">
        <v>596600000000</v>
      </c>
      <c r="X9" s="1841">
        <v>697100000000</v>
      </c>
    </row>
    <row r="10" spans="1:25">
      <c r="A10" s="1578" t="s">
        <v>4668</v>
      </c>
      <c r="B10" s="1582" t="s">
        <v>5422</v>
      </c>
      <c r="C10" s="1577" t="s">
        <v>5423</v>
      </c>
      <c r="D10" s="1577"/>
      <c r="E10" s="1961"/>
      <c r="F10" s="1961"/>
      <c r="G10" s="1961"/>
      <c r="H10" s="1961"/>
      <c r="I10" s="1961"/>
      <c r="J10" s="1961"/>
      <c r="K10" s="1961"/>
      <c r="L10" s="1961"/>
      <c r="M10" s="1961"/>
      <c r="N10" s="1960"/>
      <c r="O10" s="1960"/>
      <c r="P10" s="1579"/>
      <c r="Q10" s="1579"/>
      <c r="R10" s="1962"/>
      <c r="S10" s="1579"/>
      <c r="T10" s="1592"/>
      <c r="U10" s="1592"/>
      <c r="V10" s="1592"/>
      <c r="W10" s="1840"/>
      <c r="X10" s="1841"/>
    </row>
    <row r="11" spans="1:25">
      <c r="A11" s="1578" t="s">
        <v>5424</v>
      </c>
      <c r="B11" s="1582" t="s">
        <v>5425</v>
      </c>
      <c r="C11" s="1577" t="s">
        <v>5423</v>
      </c>
      <c r="D11" s="1577"/>
      <c r="E11" s="1961"/>
      <c r="F11" s="1961"/>
      <c r="G11" s="1961"/>
      <c r="H11" s="1961"/>
      <c r="I11" s="1961"/>
      <c r="J11" s="1961"/>
      <c r="K11" s="1961"/>
      <c r="L11" s="1961"/>
      <c r="M11" s="1961"/>
      <c r="N11" s="1960"/>
      <c r="O11" s="1960"/>
      <c r="P11" s="1960"/>
      <c r="Q11" s="1960"/>
      <c r="R11" s="1960"/>
      <c r="S11" s="1960"/>
      <c r="T11" s="2011"/>
      <c r="U11" s="2011"/>
      <c r="V11" s="2011"/>
      <c r="W11" s="1840"/>
      <c r="X11" s="1841"/>
    </row>
    <row r="12" spans="1:25">
      <c r="A12" s="1578" t="s">
        <v>2072</v>
      </c>
      <c r="B12" s="1580" t="s">
        <v>3849</v>
      </c>
      <c r="C12" s="1570" t="s">
        <v>44</v>
      </c>
      <c r="D12" s="1577"/>
      <c r="E12" s="1960">
        <v>41000000000</v>
      </c>
      <c r="F12" s="1960">
        <v>47400000000</v>
      </c>
      <c r="G12" s="1960">
        <v>57500000000</v>
      </c>
      <c r="H12" s="1960">
        <v>70200000000</v>
      </c>
      <c r="I12" s="1961">
        <v>82900000000</v>
      </c>
      <c r="J12" s="1961">
        <v>95500000000</v>
      </c>
      <c r="K12" s="1960">
        <v>109800000000</v>
      </c>
      <c r="L12" s="1960">
        <v>135000000000</v>
      </c>
      <c r="M12" s="1960">
        <v>179300000000</v>
      </c>
      <c r="N12" s="1960">
        <v>195000000000</v>
      </c>
      <c r="O12" s="1960">
        <v>234300000000</v>
      </c>
      <c r="P12" s="1579">
        <v>282600000000</v>
      </c>
      <c r="Q12" s="1579">
        <v>315100000000</v>
      </c>
      <c r="R12" s="1579">
        <v>394100000000</v>
      </c>
      <c r="S12" s="1579">
        <v>432400000000</v>
      </c>
      <c r="T12" s="1592">
        <v>510300000000</v>
      </c>
      <c r="U12" s="1592">
        <v>544600000000</v>
      </c>
      <c r="V12" s="1592">
        <v>602900000000</v>
      </c>
      <c r="W12" s="1841">
        <v>672700000000</v>
      </c>
      <c r="X12" s="1841">
        <v>773800000000</v>
      </c>
    </row>
    <row r="13" spans="1:25">
      <c r="A13" s="1578" t="s">
        <v>45</v>
      </c>
      <c r="B13" s="1580" t="s">
        <v>3850</v>
      </c>
      <c r="C13" s="1570" t="s">
        <v>44</v>
      </c>
      <c r="D13" s="1577"/>
      <c r="E13" s="1960">
        <v>14000000000</v>
      </c>
      <c r="F13" s="1960">
        <v>16700000000</v>
      </c>
      <c r="G13" s="1960">
        <v>22100000000</v>
      </c>
      <c r="H13" s="1960">
        <v>26300000000</v>
      </c>
      <c r="I13" s="1961">
        <v>29000000000</v>
      </c>
      <c r="J13" s="1961">
        <v>33600000000</v>
      </c>
      <c r="K13" s="1960">
        <v>34200000000.000004</v>
      </c>
      <c r="L13" s="1960">
        <v>34200000000.000004</v>
      </c>
      <c r="M13" s="1960">
        <v>52000000000</v>
      </c>
      <c r="N13" s="1960">
        <v>32600000000</v>
      </c>
      <c r="O13" s="1960">
        <v>39000000000</v>
      </c>
      <c r="P13" s="1579">
        <v>45900000000</v>
      </c>
      <c r="Q13" s="1579">
        <v>54800000000</v>
      </c>
      <c r="R13" s="1579">
        <v>55900000000</v>
      </c>
      <c r="S13" s="1579">
        <v>63500000000</v>
      </c>
      <c r="T13" s="1592">
        <v>83900000000</v>
      </c>
      <c r="U13" s="1592">
        <v>91200000000</v>
      </c>
      <c r="V13" s="1592">
        <v>108400000000</v>
      </c>
      <c r="W13" s="1841">
        <v>104300000000</v>
      </c>
      <c r="X13" s="1841">
        <v>114200000000</v>
      </c>
    </row>
    <row r="14" spans="1:25">
      <c r="A14" s="1578" t="s">
        <v>51</v>
      </c>
      <c r="B14" s="1577" t="s">
        <v>3855</v>
      </c>
      <c r="C14" s="1578" t="s">
        <v>41</v>
      </c>
      <c r="D14" s="1577"/>
      <c r="E14" s="1960">
        <v>6700000000</v>
      </c>
      <c r="F14" s="1960">
        <v>6600000000</v>
      </c>
      <c r="G14" s="1960">
        <v>7700000000</v>
      </c>
      <c r="H14" s="1960">
        <v>12400000000</v>
      </c>
      <c r="I14" s="1961">
        <v>17700000000</v>
      </c>
      <c r="J14" s="1961">
        <v>14600000000</v>
      </c>
      <c r="K14" s="1960">
        <v>15700000000</v>
      </c>
      <c r="L14" s="1960">
        <v>17800000000</v>
      </c>
      <c r="M14" s="1960">
        <v>51700000000</v>
      </c>
      <c r="N14" s="1960">
        <v>15000000000</v>
      </c>
      <c r="O14" s="1960">
        <v>22600000000</v>
      </c>
      <c r="P14" s="1579">
        <v>34700000000</v>
      </c>
      <c r="Q14" s="1579">
        <v>84500000000</v>
      </c>
      <c r="R14" s="1579">
        <v>101000000000</v>
      </c>
      <c r="S14" s="1579">
        <v>131199999999.99998</v>
      </c>
      <c r="T14" s="1592">
        <v>167600000000</v>
      </c>
      <c r="U14" s="1592">
        <v>181400000000</v>
      </c>
      <c r="V14" s="1592">
        <v>184100000000</v>
      </c>
      <c r="W14" s="1841">
        <v>180400000000</v>
      </c>
      <c r="X14" s="1841">
        <v>194700000000</v>
      </c>
    </row>
    <row r="15" spans="1:25">
      <c r="A15" s="1578" t="s">
        <v>5426</v>
      </c>
      <c r="B15" s="1580" t="s">
        <v>5427</v>
      </c>
      <c r="C15" s="1577" t="s">
        <v>192</v>
      </c>
      <c r="D15" s="1577"/>
      <c r="E15" s="1961"/>
      <c r="F15" s="1961"/>
      <c r="G15" s="1961"/>
      <c r="H15" s="1961"/>
      <c r="I15" s="1961"/>
      <c r="J15" s="1961"/>
      <c r="K15" s="1961"/>
      <c r="L15" s="1961"/>
      <c r="M15" s="1961"/>
      <c r="N15" s="1961"/>
      <c r="O15" s="1961"/>
      <c r="P15" s="1579"/>
      <c r="Q15" s="1579">
        <v>61900000000</v>
      </c>
      <c r="R15" s="1579">
        <v>81500000000</v>
      </c>
      <c r="S15" s="1579">
        <v>89000000000</v>
      </c>
      <c r="T15" s="1592">
        <v>122900000000</v>
      </c>
      <c r="U15" s="1592">
        <v>128500000000</v>
      </c>
      <c r="V15" s="1592">
        <v>115500000000</v>
      </c>
      <c r="W15" s="1841">
        <v>104000000000</v>
      </c>
      <c r="X15" s="1841">
        <v>108900000000</v>
      </c>
    </row>
    <row r="16" spans="1:25">
      <c r="A16" s="1578" t="s">
        <v>50</v>
      </c>
      <c r="B16" s="2712" t="s">
        <v>50</v>
      </c>
      <c r="C16" s="1577" t="s">
        <v>192</v>
      </c>
      <c r="D16" s="1577"/>
      <c r="E16" s="1961"/>
      <c r="F16" s="1961"/>
      <c r="G16" s="1961"/>
      <c r="H16" s="1961"/>
      <c r="I16" s="1961"/>
      <c r="J16" s="1961"/>
      <c r="K16" s="1961"/>
      <c r="L16" s="1961"/>
      <c r="M16" s="1961"/>
      <c r="N16" s="1961"/>
      <c r="O16" s="1961"/>
      <c r="P16" s="1579"/>
      <c r="Q16" s="1579">
        <f>Q14-Q15</f>
        <v>22600000000</v>
      </c>
      <c r="R16" s="1579">
        <f t="shared" ref="R16:X16" si="0">R14-R15</f>
        <v>19500000000</v>
      </c>
      <c r="S16" s="1579">
        <f t="shared" si="0"/>
        <v>42199999999.999985</v>
      </c>
      <c r="T16" s="1579">
        <f t="shared" si="0"/>
        <v>44700000000</v>
      </c>
      <c r="U16" s="1579">
        <f t="shared" si="0"/>
        <v>52900000000</v>
      </c>
      <c r="V16" s="1579">
        <f t="shared" si="0"/>
        <v>68600000000</v>
      </c>
      <c r="W16" s="1579">
        <f t="shared" si="0"/>
        <v>76400000000</v>
      </c>
      <c r="X16" s="1579">
        <f t="shared" si="0"/>
        <v>85800000000</v>
      </c>
    </row>
    <row r="17" spans="1:25" s="848" customFormat="1">
      <c r="A17" s="2001" t="s">
        <v>53</v>
      </c>
      <c r="B17" s="2004" t="s">
        <v>53</v>
      </c>
      <c r="C17" s="2001" t="s">
        <v>38</v>
      </c>
      <c r="D17" s="2004"/>
      <c r="E17" s="2005">
        <v>62000000000</v>
      </c>
      <c r="F17" s="2005">
        <v>59100000000</v>
      </c>
      <c r="G17" s="2005">
        <v>73100000000</v>
      </c>
      <c r="H17" s="2005">
        <v>125600000000</v>
      </c>
      <c r="I17" s="2006">
        <v>169100000000</v>
      </c>
      <c r="J17" s="2006">
        <v>167800000000</v>
      </c>
      <c r="K17" s="2005">
        <v>154800000000</v>
      </c>
      <c r="L17" s="2005">
        <v>227900000000</v>
      </c>
      <c r="M17" s="2005">
        <v>257700000000</v>
      </c>
      <c r="N17" s="2005">
        <v>409300000000</v>
      </c>
      <c r="O17" s="2005">
        <v>372500000000</v>
      </c>
      <c r="P17" s="2007">
        <v>457400000000</v>
      </c>
      <c r="Q17" s="2007">
        <v>364900000000</v>
      </c>
      <c r="R17" s="2007">
        <v>474300000000</v>
      </c>
      <c r="S17" s="2007">
        <v>415900000000</v>
      </c>
      <c r="T17" s="2009">
        <v>373800000000</v>
      </c>
      <c r="U17" s="2009">
        <v>330200000000</v>
      </c>
      <c r="V17" s="2009">
        <v>352900000000</v>
      </c>
      <c r="W17" s="2010">
        <v>375100000000</v>
      </c>
      <c r="X17" s="2010">
        <v>416900000000</v>
      </c>
      <c r="Y17" s="2003"/>
    </row>
    <row r="18" spans="1:25">
      <c r="A18" s="1578" t="s">
        <v>886</v>
      </c>
      <c r="B18" s="1580" t="s">
        <v>5428</v>
      </c>
      <c r="C18" s="1583" t="s">
        <v>57</v>
      </c>
      <c r="E18" s="1960">
        <v>33900000000</v>
      </c>
      <c r="F18" s="1960">
        <v>39300000000</v>
      </c>
      <c r="G18" s="1960">
        <v>51000000000</v>
      </c>
      <c r="H18" s="1960">
        <v>90800000000</v>
      </c>
      <c r="I18" s="1961">
        <v>111300000000</v>
      </c>
      <c r="J18" s="1961">
        <v>71900000000</v>
      </c>
      <c r="K18" s="1960">
        <v>101400000000</v>
      </c>
      <c r="L18" s="1960">
        <v>168100000000</v>
      </c>
      <c r="M18" s="1960">
        <v>167000000000</v>
      </c>
      <c r="N18" s="1960">
        <v>283000000000</v>
      </c>
      <c r="O18" s="1960">
        <v>208500000000</v>
      </c>
      <c r="P18" s="1579">
        <v>265700000000</v>
      </c>
      <c r="Q18" s="1579">
        <v>190000000000</v>
      </c>
      <c r="R18" s="1579">
        <v>171000000000</v>
      </c>
      <c r="S18" s="1579">
        <v>174900000000</v>
      </c>
      <c r="T18" s="1592">
        <v>204800000000</v>
      </c>
      <c r="U18" s="1592">
        <v>184200000000</v>
      </c>
      <c r="V18" s="1592">
        <v>182600000000</v>
      </c>
      <c r="W18" s="1841">
        <v>182900000000</v>
      </c>
      <c r="X18" s="1841">
        <v>200700000000</v>
      </c>
    </row>
    <row r="19" spans="1:25">
      <c r="A19" s="1578" t="s">
        <v>5429</v>
      </c>
      <c r="B19" s="1582" t="s">
        <v>5430</v>
      </c>
      <c r="C19" s="1577" t="s">
        <v>5431</v>
      </c>
      <c r="E19" s="1960"/>
      <c r="F19" s="1960"/>
      <c r="G19" s="1960"/>
      <c r="H19" s="1960"/>
      <c r="I19" s="1961"/>
      <c r="J19" s="1961"/>
      <c r="K19" s="1960"/>
      <c r="L19" s="1960"/>
      <c r="M19" s="1960"/>
      <c r="N19" s="1960"/>
      <c r="O19" s="1960"/>
      <c r="P19" s="1579"/>
      <c r="Q19" s="1579"/>
      <c r="R19" s="1579"/>
      <c r="S19" s="1579">
        <v>86600000000</v>
      </c>
      <c r="T19" s="1592">
        <v>70300000000</v>
      </c>
      <c r="U19" s="1592">
        <v>54100000000</v>
      </c>
      <c r="V19" s="1592">
        <v>61100000000</v>
      </c>
      <c r="W19" s="1841">
        <v>61700000000</v>
      </c>
      <c r="X19" s="1841">
        <v>64300000000</v>
      </c>
    </row>
    <row r="20" spans="1:25">
      <c r="A20" s="1578" t="s">
        <v>50</v>
      </c>
      <c r="B20" s="1595" t="s">
        <v>50</v>
      </c>
      <c r="C20" s="1577" t="s">
        <v>5431</v>
      </c>
      <c r="E20" s="1960"/>
      <c r="F20" s="1960"/>
      <c r="G20" s="1960"/>
      <c r="H20" s="1960"/>
      <c r="I20" s="1961"/>
      <c r="J20" s="1961"/>
      <c r="K20" s="1960"/>
      <c r="L20" s="1960"/>
      <c r="M20" s="1960"/>
      <c r="N20" s="1960"/>
      <c r="O20" s="1960"/>
      <c r="P20" s="1579"/>
      <c r="Q20" s="1579"/>
      <c r="R20" s="1579"/>
      <c r="S20" s="1579">
        <f>S18-S19</f>
        <v>88300000000</v>
      </c>
      <c r="T20" s="1592">
        <f>T18-T19</f>
        <v>134500000000</v>
      </c>
      <c r="U20" s="1592">
        <f t="shared" ref="U20:X20" si="1">U18-U19</f>
        <v>130100000000</v>
      </c>
      <c r="V20" s="1592">
        <f t="shared" si="1"/>
        <v>121500000000</v>
      </c>
      <c r="W20" s="1592">
        <f t="shared" si="1"/>
        <v>121200000000</v>
      </c>
      <c r="X20" s="1592">
        <f t="shared" si="1"/>
        <v>136400000000</v>
      </c>
    </row>
    <row r="21" spans="1:25">
      <c r="A21" s="1578" t="s">
        <v>564</v>
      </c>
      <c r="B21" s="1580" t="s">
        <v>5432</v>
      </c>
      <c r="C21" s="1583" t="s">
        <v>57</v>
      </c>
      <c r="E21" s="1960">
        <v>28100000000</v>
      </c>
      <c r="F21" s="1960">
        <v>19800000000</v>
      </c>
      <c r="G21" s="1960">
        <v>22100000000</v>
      </c>
      <c r="H21" s="1960">
        <v>34800000000</v>
      </c>
      <c r="I21" s="1961">
        <v>57800000000</v>
      </c>
      <c r="J21" s="1961">
        <v>95900000000</v>
      </c>
      <c r="K21" s="1960">
        <v>53400000000</v>
      </c>
      <c r="L21" s="1960">
        <v>59800000000</v>
      </c>
      <c r="M21" s="1960">
        <v>90700000000</v>
      </c>
      <c r="N21" s="1960">
        <v>126300000000</v>
      </c>
      <c r="O21" s="1960">
        <v>164000000000</v>
      </c>
      <c r="P21" s="1579">
        <v>191700000000</v>
      </c>
      <c r="Q21" s="1579">
        <v>174900000000</v>
      </c>
      <c r="R21" s="1579">
        <v>303300000000</v>
      </c>
      <c r="S21" s="1579">
        <v>241000000000</v>
      </c>
      <c r="T21" s="1592">
        <v>168900000000</v>
      </c>
      <c r="U21" s="1592">
        <v>146000000000</v>
      </c>
      <c r="V21" s="1592">
        <v>170300000000</v>
      </c>
      <c r="W21" s="1841">
        <v>192200000000</v>
      </c>
      <c r="X21" s="1841">
        <v>216200000000</v>
      </c>
    </row>
    <row r="22" spans="1:25">
      <c r="A22" s="1578" t="s">
        <v>5429</v>
      </c>
      <c r="B22" s="1582" t="s">
        <v>5430</v>
      </c>
      <c r="C22" s="1577" t="s">
        <v>5433</v>
      </c>
      <c r="E22" s="1960"/>
      <c r="F22" s="1960"/>
      <c r="G22" s="1960"/>
      <c r="H22" s="1960"/>
      <c r="I22" s="1960"/>
      <c r="J22" s="1960"/>
      <c r="K22" s="1960"/>
      <c r="L22" s="1960"/>
      <c r="M22" s="1960"/>
      <c r="N22" s="1960"/>
      <c r="O22" s="1960"/>
      <c r="P22" s="1579">
        <v>78000000000</v>
      </c>
      <c r="Q22" s="1579">
        <v>64300000000</v>
      </c>
      <c r="R22" s="1579">
        <v>92700000000</v>
      </c>
      <c r="S22" s="1579"/>
      <c r="T22" s="1592"/>
      <c r="U22" s="1592"/>
      <c r="V22" s="1592"/>
      <c r="W22" s="1841"/>
      <c r="X22" s="1841"/>
    </row>
    <row r="23" spans="1:25">
      <c r="A23" s="1578" t="s">
        <v>50</v>
      </c>
      <c r="B23" s="1595" t="s">
        <v>236</v>
      </c>
      <c r="C23" s="1577" t="s">
        <v>5433</v>
      </c>
      <c r="E23" s="1960"/>
      <c r="F23" s="1960"/>
      <c r="G23" s="1960"/>
      <c r="H23" s="1960"/>
      <c r="I23" s="1960"/>
      <c r="J23" s="1960"/>
      <c r="K23" s="1960"/>
      <c r="L23" s="1960"/>
      <c r="M23" s="1960"/>
      <c r="N23" s="1960"/>
      <c r="O23" s="1960"/>
      <c r="P23" s="1960">
        <f>P21-P22</f>
        <v>113700000000</v>
      </c>
      <c r="Q23" s="1960">
        <f t="shared" ref="Q23:R23" si="2">Q21-Q22</f>
        <v>110600000000</v>
      </c>
      <c r="R23" s="1960">
        <f t="shared" si="2"/>
        <v>210600000000</v>
      </c>
      <c r="S23" s="1960"/>
      <c r="T23" s="2011"/>
      <c r="U23" s="2011"/>
      <c r="V23" s="2011"/>
      <c r="W23" s="1841"/>
      <c r="X23" s="1841"/>
    </row>
    <row r="24" spans="1:25" s="848" customFormat="1">
      <c r="A24" s="2001"/>
      <c r="B24" s="2003" t="s">
        <v>379</v>
      </c>
      <c r="C24" s="2003"/>
      <c r="D24" s="2004"/>
      <c r="E24" s="2005">
        <v>158100000000</v>
      </c>
      <c r="F24" s="2005">
        <v>174600000000</v>
      </c>
      <c r="G24" s="2005">
        <v>216000000000</v>
      </c>
      <c r="H24" s="2005">
        <v>274900000000</v>
      </c>
      <c r="I24" s="2006">
        <v>340700000000</v>
      </c>
      <c r="J24" s="2006">
        <v>382500000000</v>
      </c>
      <c r="K24" s="2005">
        <v>414200000000</v>
      </c>
      <c r="L24" s="2005">
        <v>521799999999.99994</v>
      </c>
      <c r="M24" s="2005">
        <v>731200000000</v>
      </c>
      <c r="N24" s="2005">
        <v>804200000000</v>
      </c>
      <c r="O24" s="2005">
        <v>958500000000</v>
      </c>
      <c r="P24" s="2005">
        <v>1098099999999.9999</v>
      </c>
      <c r="Q24" s="2005">
        <v>1335600000000</v>
      </c>
      <c r="R24" s="2005">
        <v>1538900000000</v>
      </c>
      <c r="S24" s="2005">
        <v>1720100000000</v>
      </c>
      <c r="T24" s="2012">
        <v>1757700000000</v>
      </c>
      <c r="U24" s="2012">
        <v>1942900000000</v>
      </c>
      <c r="V24" s="2012">
        <v>2092400000000</v>
      </c>
      <c r="W24" s="2010">
        <v>2314700000000</v>
      </c>
      <c r="X24" s="2010">
        <v>2609400000000</v>
      </c>
      <c r="Y24" s="2003"/>
    </row>
    <row r="25" spans="1:25" s="848" customFormat="1">
      <c r="A25" s="2001" t="s">
        <v>71</v>
      </c>
      <c r="B25" s="2003" t="s">
        <v>72</v>
      </c>
      <c r="C25" s="2004" t="s">
        <v>35</v>
      </c>
      <c r="D25" s="2004"/>
      <c r="E25" s="2005">
        <f t="shared" ref="E25:S25" si="3">E26+E36+E39+E40+E45</f>
        <v>158000000000</v>
      </c>
      <c r="F25" s="2005">
        <f t="shared" si="3"/>
        <v>174600000000</v>
      </c>
      <c r="G25" s="2005">
        <f t="shared" si="3"/>
        <v>216000000000</v>
      </c>
      <c r="H25" s="2005">
        <f t="shared" si="3"/>
        <v>274900000000</v>
      </c>
      <c r="I25" s="2005">
        <f t="shared" si="3"/>
        <v>340700000000</v>
      </c>
      <c r="J25" s="2005">
        <f t="shared" si="3"/>
        <v>382400000000</v>
      </c>
      <c r="K25" s="2005">
        <f t="shared" si="3"/>
        <v>414200000000</v>
      </c>
      <c r="L25" s="2005">
        <f>L26+L36+L39+L40+L45</f>
        <v>537200000000</v>
      </c>
      <c r="M25" s="2005">
        <f t="shared" si="3"/>
        <v>731200000000</v>
      </c>
      <c r="N25" s="2005">
        <f t="shared" si="3"/>
        <v>804100000000</v>
      </c>
      <c r="O25" s="2005">
        <f t="shared" si="3"/>
        <v>958500000000</v>
      </c>
      <c r="P25" s="2005">
        <f t="shared" si="3"/>
        <v>1098100000000</v>
      </c>
      <c r="Q25" s="2005">
        <f t="shared" si="3"/>
        <v>1335600000000</v>
      </c>
      <c r="R25" s="2005">
        <f t="shared" si="3"/>
        <v>1538900000000</v>
      </c>
      <c r="S25" s="2005">
        <f t="shared" si="3"/>
        <v>1697100000000</v>
      </c>
      <c r="T25" s="2013">
        <f>T26+T36+T40+T45</f>
        <v>1757600000000</v>
      </c>
      <c r="U25" s="2013">
        <f t="shared" ref="U25:X25" si="4">U26+U36+U40+U45</f>
        <v>1942900000000</v>
      </c>
      <c r="V25" s="2013">
        <f t="shared" si="4"/>
        <v>2092400000000</v>
      </c>
      <c r="W25" s="2013">
        <f t="shared" si="4"/>
        <v>2314700000000</v>
      </c>
      <c r="X25" s="2013">
        <f t="shared" si="4"/>
        <v>2609400000000</v>
      </c>
      <c r="Y25" s="2003"/>
    </row>
    <row r="26" spans="1:25">
      <c r="A26" s="1578" t="s">
        <v>73</v>
      </c>
      <c r="B26" s="1577" t="s">
        <v>5434</v>
      </c>
      <c r="C26" s="1578" t="s">
        <v>75</v>
      </c>
      <c r="D26" s="1577"/>
      <c r="E26" s="1960">
        <v>107400000000</v>
      </c>
      <c r="F26" s="1960">
        <v>122400000000</v>
      </c>
      <c r="G26" s="1960">
        <v>160900000000</v>
      </c>
      <c r="H26" s="1960">
        <v>168100000000</v>
      </c>
      <c r="I26" s="1961">
        <v>214900000000</v>
      </c>
      <c r="J26" s="1961">
        <v>254100000000</v>
      </c>
      <c r="K26" s="1960">
        <v>266500000000</v>
      </c>
      <c r="L26" s="1960">
        <v>349000000000</v>
      </c>
      <c r="M26" s="1960">
        <v>401700000000</v>
      </c>
      <c r="N26" s="1960">
        <v>459200000000</v>
      </c>
      <c r="O26" s="1960">
        <v>485300000000</v>
      </c>
      <c r="P26" s="1579">
        <v>614100000000</v>
      </c>
      <c r="Q26" s="1579">
        <v>633900000000</v>
      </c>
      <c r="R26" s="1579">
        <v>776700000000</v>
      </c>
      <c r="S26" s="1579">
        <v>834100000000</v>
      </c>
      <c r="T26" s="1592">
        <v>947500000000</v>
      </c>
      <c r="U26" s="1592">
        <v>1069599999999.9999</v>
      </c>
      <c r="V26" s="1592">
        <v>1144800000000</v>
      </c>
      <c r="W26" s="1841">
        <v>1274000000000</v>
      </c>
      <c r="X26" s="1841">
        <v>1443100000000</v>
      </c>
    </row>
    <row r="27" spans="1:25">
      <c r="A27" s="1578" t="s">
        <v>79</v>
      </c>
      <c r="B27" s="1580" t="s">
        <v>3864</v>
      </c>
      <c r="C27" s="1578" t="s">
        <v>81</v>
      </c>
      <c r="E27" s="1960">
        <v>38900000000</v>
      </c>
      <c r="F27" s="1960">
        <v>40600000000</v>
      </c>
      <c r="G27" s="1960">
        <v>44000000000</v>
      </c>
      <c r="H27" s="1960">
        <v>48500000000</v>
      </c>
      <c r="I27" s="1961">
        <v>51200000000</v>
      </c>
      <c r="J27" s="1961">
        <v>62200000000</v>
      </c>
      <c r="K27" s="1960">
        <v>71500000000</v>
      </c>
      <c r="L27" s="1960">
        <v>76300000000</v>
      </c>
      <c r="M27" s="1960">
        <v>90800000000</v>
      </c>
      <c r="N27" s="1960">
        <v>106900000000</v>
      </c>
      <c r="O27" s="1960">
        <v>90900000000</v>
      </c>
      <c r="P27" s="1579">
        <v>144800000000</v>
      </c>
      <c r="Q27" s="1579">
        <v>168900000000</v>
      </c>
      <c r="R27" s="1579">
        <v>187900000000</v>
      </c>
      <c r="S27" s="1579">
        <v>203900000000</v>
      </c>
      <c r="T27" s="1592">
        <v>242300000000</v>
      </c>
      <c r="U27" s="1592">
        <v>263700000000</v>
      </c>
      <c r="V27" s="1592">
        <v>302100000000</v>
      </c>
      <c r="W27" s="1841">
        <v>342400000000</v>
      </c>
      <c r="X27" s="1841">
        <v>395100000000</v>
      </c>
    </row>
    <row r="28" spans="1:25">
      <c r="A28" s="1578" t="s">
        <v>83</v>
      </c>
      <c r="B28" s="1580" t="s">
        <v>5435</v>
      </c>
      <c r="C28" s="1578" t="s">
        <v>81</v>
      </c>
      <c r="E28" s="1960">
        <v>29400000000</v>
      </c>
      <c r="F28" s="1960">
        <v>35200000000</v>
      </c>
      <c r="G28" s="1960">
        <v>45800000000</v>
      </c>
      <c r="H28" s="1960">
        <v>47600000000</v>
      </c>
      <c r="I28" s="1961">
        <v>64500000000</v>
      </c>
      <c r="J28" s="1961">
        <v>71600000000</v>
      </c>
      <c r="K28" s="1960">
        <v>66400000000.000008</v>
      </c>
      <c r="L28" s="1960">
        <v>81600000000</v>
      </c>
      <c r="M28" s="1960">
        <v>103200000000</v>
      </c>
      <c r="N28" s="1960">
        <v>106300000000</v>
      </c>
      <c r="O28" s="1960">
        <v>119200000000</v>
      </c>
      <c r="P28" s="1579">
        <v>149500000000</v>
      </c>
      <c r="Q28" s="1579">
        <v>123100000000</v>
      </c>
      <c r="R28" s="1579">
        <v>142500000000</v>
      </c>
      <c r="S28" s="1579">
        <v>159500000000</v>
      </c>
      <c r="T28" s="1592">
        <v>180600000000</v>
      </c>
      <c r="U28" s="1592">
        <v>207400000000</v>
      </c>
      <c r="V28" s="1592">
        <v>222000000000</v>
      </c>
      <c r="W28" s="1841">
        <v>243200000000</v>
      </c>
      <c r="X28" s="1841">
        <v>274200000000</v>
      </c>
    </row>
    <row r="29" spans="1:25">
      <c r="A29" s="1578" t="s">
        <v>90</v>
      </c>
      <c r="B29" s="1580" t="s">
        <v>3868</v>
      </c>
      <c r="C29" s="1578" t="s">
        <v>81</v>
      </c>
      <c r="E29" s="1960">
        <v>6200000000</v>
      </c>
      <c r="F29" s="1960">
        <v>7000000000</v>
      </c>
      <c r="G29" s="1960">
        <v>8700000000</v>
      </c>
      <c r="H29" s="1960">
        <v>11900000000</v>
      </c>
      <c r="I29" s="1961">
        <v>10300000000</v>
      </c>
      <c r="J29" s="1961">
        <v>14800000000</v>
      </c>
      <c r="K29" s="1960">
        <v>12800000000</v>
      </c>
      <c r="L29" s="1960">
        <v>13600000000</v>
      </c>
      <c r="M29" s="1960">
        <v>11400000000</v>
      </c>
      <c r="N29" s="1960">
        <v>14700000000</v>
      </c>
      <c r="O29" s="1960">
        <v>15200000000</v>
      </c>
      <c r="P29" s="1579">
        <v>18400000000</v>
      </c>
      <c r="Q29" s="1579">
        <v>30700000000</v>
      </c>
      <c r="R29" s="1579">
        <v>40400000000</v>
      </c>
      <c r="S29" s="1579">
        <v>45600000000</v>
      </c>
      <c r="T29" s="1592">
        <v>56700000000</v>
      </c>
      <c r="U29" s="1592">
        <v>72200000000</v>
      </c>
      <c r="V29" s="1592">
        <v>94200000000</v>
      </c>
      <c r="W29" s="1841">
        <v>104100000000</v>
      </c>
      <c r="X29" s="1841">
        <v>110100000000</v>
      </c>
    </row>
    <row r="30" spans="1:25">
      <c r="A30" s="1578" t="s">
        <v>209</v>
      </c>
      <c r="B30" s="1582" t="s">
        <v>5436</v>
      </c>
      <c r="C30" s="1577" t="s">
        <v>211</v>
      </c>
      <c r="E30" s="1960">
        <v>1300000000</v>
      </c>
      <c r="F30" s="1960">
        <v>2100000000</v>
      </c>
      <c r="G30" s="1960">
        <v>3170000000</v>
      </c>
      <c r="H30" s="1960">
        <v>4400000000</v>
      </c>
      <c r="I30" s="1961">
        <v>4200000000</v>
      </c>
      <c r="J30" s="1961">
        <v>8600000000</v>
      </c>
      <c r="K30" s="1960">
        <v>8700000000</v>
      </c>
      <c r="L30" s="1960">
        <v>11100000000</v>
      </c>
      <c r="M30" s="1960">
        <v>7400000000</v>
      </c>
      <c r="N30" s="1960">
        <v>10100000000</v>
      </c>
      <c r="O30" s="1960">
        <v>10600000000</v>
      </c>
      <c r="P30" s="1579">
        <v>13200000000</v>
      </c>
      <c r="Q30" s="1579">
        <v>15700000000</v>
      </c>
      <c r="R30" s="1579">
        <v>14800000000</v>
      </c>
      <c r="S30" s="1579">
        <v>18000000000</v>
      </c>
      <c r="T30" s="1592">
        <v>25400000000</v>
      </c>
      <c r="U30" s="1592">
        <v>35300000000</v>
      </c>
      <c r="V30" s="1592">
        <v>52700000000</v>
      </c>
      <c r="W30" s="1841">
        <v>58400000000</v>
      </c>
      <c r="X30" s="1841">
        <v>64500000000</v>
      </c>
    </row>
    <row r="31" spans="1:25">
      <c r="A31" s="1578" t="s">
        <v>280</v>
      </c>
      <c r="B31" s="1582" t="s">
        <v>5437</v>
      </c>
      <c r="C31" s="1577" t="s">
        <v>211</v>
      </c>
      <c r="E31" s="1960">
        <v>5000000000</v>
      </c>
      <c r="F31" s="1960">
        <v>4900000000</v>
      </c>
      <c r="G31" s="1960">
        <v>5530000000</v>
      </c>
      <c r="H31" s="1960">
        <v>7500000000</v>
      </c>
      <c r="I31" s="1961">
        <v>6100000000</v>
      </c>
      <c r="J31" s="1961">
        <v>6200000000</v>
      </c>
      <c r="K31" s="1960">
        <v>4099999999.9999995</v>
      </c>
      <c r="L31" s="1960">
        <v>2400000000</v>
      </c>
      <c r="M31" s="1960">
        <v>4000000000</v>
      </c>
      <c r="N31" s="1960">
        <v>4600000000</v>
      </c>
      <c r="O31" s="1960">
        <v>4600000000</v>
      </c>
      <c r="P31" s="1579">
        <v>5200000000</v>
      </c>
      <c r="Q31" s="1579">
        <v>15000000000</v>
      </c>
      <c r="R31" s="1579">
        <v>25600000000</v>
      </c>
      <c r="S31" s="1579">
        <v>27600000000</v>
      </c>
      <c r="T31" s="1592">
        <v>31300000000</v>
      </c>
      <c r="U31" s="1592">
        <v>36900000000</v>
      </c>
      <c r="V31" s="1592">
        <v>41500000000</v>
      </c>
      <c r="W31" s="1841">
        <v>45700000000</v>
      </c>
      <c r="X31" s="1841">
        <v>45700000000</v>
      </c>
    </row>
    <row r="32" spans="1:25">
      <c r="B32" s="1582" t="s">
        <v>5438</v>
      </c>
      <c r="C32" s="1577"/>
      <c r="E32" s="1960"/>
      <c r="F32" s="1960"/>
      <c r="G32" s="1960"/>
      <c r="H32" s="1960"/>
      <c r="I32" s="1960"/>
      <c r="J32" s="1960"/>
      <c r="K32" s="1960"/>
      <c r="L32" s="1961"/>
      <c r="M32" s="1961"/>
      <c r="N32" s="1960"/>
      <c r="O32" s="1960"/>
      <c r="P32" s="1579"/>
      <c r="Q32" s="1579">
        <v>5000000000</v>
      </c>
      <c r="R32" s="1579">
        <v>25600000000</v>
      </c>
      <c r="S32" s="1579"/>
      <c r="T32" s="1592"/>
      <c r="U32" s="1592"/>
      <c r="V32" s="1592"/>
      <c r="W32" s="1841"/>
      <c r="X32" s="1841"/>
    </row>
    <row r="33" spans="1:24">
      <c r="A33" s="1578" t="s">
        <v>895</v>
      </c>
      <c r="B33" s="1580" t="s">
        <v>389</v>
      </c>
      <c r="C33" s="1578" t="s">
        <v>81</v>
      </c>
      <c r="E33" s="1960">
        <v>15100000000</v>
      </c>
      <c r="F33" s="1960">
        <v>20400000000</v>
      </c>
      <c r="G33" s="1960">
        <v>22200000000</v>
      </c>
      <c r="H33" s="1960">
        <v>41800000000</v>
      </c>
      <c r="I33" s="1961">
        <v>53500000000</v>
      </c>
      <c r="J33" s="1961">
        <v>71900000000</v>
      </c>
      <c r="K33" s="1960">
        <v>82400000000</v>
      </c>
      <c r="L33" s="1960">
        <v>121800000000</v>
      </c>
      <c r="M33" s="1960">
        <v>141600000000</v>
      </c>
      <c r="N33" s="1960">
        <v>179600000000</v>
      </c>
      <c r="O33" s="1960">
        <v>193200000000</v>
      </c>
      <c r="P33" s="1579">
        <v>225600000000</v>
      </c>
      <c r="Q33" s="1579">
        <v>230800000000</v>
      </c>
      <c r="R33" s="1579">
        <v>286800000000</v>
      </c>
      <c r="S33" s="1579">
        <v>304000000000</v>
      </c>
      <c r="T33" s="1592">
        <v>308700000000</v>
      </c>
      <c r="U33" s="1592">
        <v>366900000000</v>
      </c>
      <c r="V33" s="1592">
        <v>402700000000</v>
      </c>
      <c r="W33" s="1841">
        <v>438100000000</v>
      </c>
      <c r="X33" s="1841">
        <v>492500000000</v>
      </c>
    </row>
    <row r="34" spans="1:24">
      <c r="A34" s="1578" t="s">
        <v>2123</v>
      </c>
      <c r="B34" s="1580" t="s">
        <v>5439</v>
      </c>
      <c r="C34" s="1578" t="s">
        <v>81</v>
      </c>
      <c r="E34" s="1960">
        <v>17700000000</v>
      </c>
      <c r="F34" s="1960">
        <v>19200000000</v>
      </c>
      <c r="G34" s="1960">
        <v>40200000000</v>
      </c>
      <c r="H34" s="1960">
        <v>18200000000</v>
      </c>
      <c r="I34" s="1961">
        <v>35400000000</v>
      </c>
      <c r="J34" s="1961">
        <v>33700000000.000004</v>
      </c>
      <c r="K34" s="1960">
        <v>33500000000</v>
      </c>
      <c r="L34" s="1960">
        <v>55700000000</v>
      </c>
      <c r="M34" s="1960">
        <v>54700000000</v>
      </c>
      <c r="N34" s="1960">
        <v>51600000000</v>
      </c>
      <c r="O34" s="1960">
        <v>66900000000.000008</v>
      </c>
      <c r="P34" s="1579">
        <v>75800000000</v>
      </c>
      <c r="Q34" s="1579">
        <v>80400000000</v>
      </c>
      <c r="R34" s="1579">
        <v>119100000000</v>
      </c>
      <c r="S34" s="1579"/>
      <c r="T34" s="1592"/>
      <c r="U34" s="1592"/>
      <c r="V34" s="1592"/>
      <c r="W34" s="1841"/>
      <c r="X34" s="1841"/>
    </row>
    <row r="35" spans="1:24">
      <c r="A35" s="1578" t="s">
        <v>5440</v>
      </c>
      <c r="B35" s="1580" t="s">
        <v>5441</v>
      </c>
      <c r="C35" s="1578" t="s">
        <v>81</v>
      </c>
      <c r="E35" s="1960"/>
      <c r="F35" s="1960"/>
      <c r="G35" s="1960"/>
      <c r="H35" s="1960"/>
      <c r="I35" s="1961"/>
      <c r="J35" s="1961"/>
      <c r="K35" s="1960"/>
      <c r="L35" s="1960"/>
      <c r="M35" s="1960"/>
      <c r="N35" s="1960"/>
      <c r="O35" s="1960"/>
      <c r="P35" s="1579"/>
      <c r="Q35" s="1579"/>
      <c r="R35" s="1579"/>
      <c r="S35" s="1579">
        <v>121100000000</v>
      </c>
      <c r="T35" s="1592">
        <v>159200000000</v>
      </c>
      <c r="U35" s="1592">
        <v>159400000000</v>
      </c>
      <c r="V35" s="1592">
        <v>123900000000</v>
      </c>
      <c r="W35" s="1841">
        <v>146300000000</v>
      </c>
      <c r="X35" s="1841">
        <v>171300000000</v>
      </c>
    </row>
    <row r="36" spans="1:24">
      <c r="A36" s="1578" t="s">
        <v>237</v>
      </c>
      <c r="B36" s="1577" t="s">
        <v>5442</v>
      </c>
      <c r="C36" s="1578" t="s">
        <v>75</v>
      </c>
      <c r="D36" s="1577"/>
      <c r="E36" s="1960">
        <v>50000000000</v>
      </c>
      <c r="F36" s="1960">
        <v>40700000000</v>
      </c>
      <c r="G36" s="1960">
        <v>51100000000</v>
      </c>
      <c r="H36" s="1960">
        <v>89500000000</v>
      </c>
      <c r="I36" s="1961">
        <v>121400000000</v>
      </c>
      <c r="J36" s="1961">
        <v>118700000000</v>
      </c>
      <c r="K36" s="1960">
        <v>131800000000.00002</v>
      </c>
      <c r="L36" s="1960">
        <v>188200000000</v>
      </c>
      <c r="M36" s="1960">
        <v>306600000000</v>
      </c>
      <c r="N36" s="1960">
        <v>316700000000</v>
      </c>
      <c r="O36" s="1960">
        <v>452900000000</v>
      </c>
      <c r="P36" s="1579">
        <v>482900000000</v>
      </c>
      <c r="Q36" s="1579">
        <v>564500000000</v>
      </c>
      <c r="R36" s="1579">
        <v>712000000000</v>
      </c>
      <c r="S36" s="1579">
        <v>769800000000</v>
      </c>
      <c r="T36" s="1592">
        <v>721700000000</v>
      </c>
      <c r="U36" s="1592">
        <v>759500000000</v>
      </c>
      <c r="V36" s="1592">
        <v>769600000000</v>
      </c>
      <c r="W36" s="1841">
        <v>852000000000</v>
      </c>
      <c r="X36" s="1841">
        <v>972300000000</v>
      </c>
    </row>
    <row r="37" spans="1:24">
      <c r="A37" s="1578" t="s">
        <v>239</v>
      </c>
      <c r="B37" s="1580" t="s">
        <v>209</v>
      </c>
      <c r="C37" s="1578" t="s">
        <v>95</v>
      </c>
      <c r="E37" s="1960">
        <v>3500000000</v>
      </c>
      <c r="F37" s="1960">
        <v>6900000000</v>
      </c>
      <c r="G37" s="1960">
        <v>13200000000</v>
      </c>
      <c r="H37" s="1960">
        <v>27200000000</v>
      </c>
      <c r="I37" s="1961">
        <v>34700000000</v>
      </c>
      <c r="J37" s="1961">
        <v>35700000000</v>
      </c>
      <c r="K37" s="1960">
        <v>42500000000</v>
      </c>
      <c r="L37" s="1960">
        <v>87600000000</v>
      </c>
      <c r="M37" s="1960">
        <v>139700000000</v>
      </c>
      <c r="N37" s="1960">
        <v>159300000000</v>
      </c>
      <c r="O37" s="1960">
        <v>219400000000</v>
      </c>
      <c r="P37" s="1579">
        <v>231600000000</v>
      </c>
      <c r="Q37" s="1579">
        <v>239400000000</v>
      </c>
      <c r="R37" s="1579">
        <v>320200000000</v>
      </c>
      <c r="S37" s="1579">
        <v>388500000000</v>
      </c>
      <c r="T37" s="1592">
        <v>446900000000</v>
      </c>
      <c r="U37" s="1592">
        <v>418200000000</v>
      </c>
      <c r="V37" s="1592">
        <v>466800000000</v>
      </c>
      <c r="W37" s="1841">
        <v>483200000000</v>
      </c>
      <c r="X37" s="1841">
        <v>532400000000</v>
      </c>
    </row>
    <row r="38" spans="1:24">
      <c r="A38" s="1578" t="s">
        <v>395</v>
      </c>
      <c r="B38" s="1580" t="s">
        <v>212</v>
      </c>
      <c r="C38" s="1578" t="s">
        <v>95</v>
      </c>
      <c r="E38" s="1960">
        <v>46500000000</v>
      </c>
      <c r="F38" s="1960">
        <v>33799999999.999996</v>
      </c>
      <c r="G38" s="1960">
        <v>37900000000</v>
      </c>
      <c r="H38" s="1960">
        <v>62300000000</v>
      </c>
      <c r="I38" s="1961">
        <v>86700000000</v>
      </c>
      <c r="J38" s="1961">
        <v>83000000000</v>
      </c>
      <c r="K38" s="1960">
        <v>89300000000</v>
      </c>
      <c r="L38" s="1960">
        <v>100600000000</v>
      </c>
      <c r="M38" s="1960">
        <v>167000000000</v>
      </c>
      <c r="N38" s="1960">
        <v>157400000000</v>
      </c>
      <c r="O38" s="1960">
        <v>233500000000</v>
      </c>
      <c r="P38" s="1579">
        <v>251300000000</v>
      </c>
      <c r="Q38" s="1579">
        <v>325100000000</v>
      </c>
      <c r="R38" s="1579">
        <v>391900000000</v>
      </c>
      <c r="S38" s="1579">
        <v>381300000000</v>
      </c>
      <c r="T38" s="1592">
        <v>274800000000</v>
      </c>
      <c r="U38" s="1592">
        <v>341300000000</v>
      </c>
      <c r="V38" s="1592">
        <v>302700000000</v>
      </c>
      <c r="W38" s="1841">
        <v>368700000000</v>
      </c>
      <c r="X38" s="1841">
        <v>439900000000</v>
      </c>
    </row>
    <row r="39" spans="1:24">
      <c r="A39" s="1580" t="s">
        <v>579</v>
      </c>
      <c r="B39" s="1580" t="s">
        <v>1317</v>
      </c>
      <c r="C39" s="1578" t="s">
        <v>75</v>
      </c>
      <c r="E39" s="1960"/>
      <c r="F39" s="1960">
        <f>F24-F26-F36-F40</f>
        <v>10900000000</v>
      </c>
      <c r="G39" s="1960"/>
      <c r="H39" s="1960"/>
      <c r="I39" s="1961"/>
      <c r="J39" s="1961"/>
      <c r="K39" s="1960"/>
      <c r="L39" s="1960"/>
      <c r="M39" s="1960"/>
      <c r="N39" s="1960"/>
      <c r="O39" s="1960"/>
      <c r="P39" s="1960"/>
      <c r="Q39" s="1960"/>
      <c r="R39" s="1960"/>
      <c r="S39" s="1960"/>
      <c r="T39" s="2011"/>
      <c r="U39" s="2011"/>
      <c r="V39" s="2011"/>
      <c r="W39" s="1841"/>
      <c r="X39" s="1841"/>
    </row>
    <row r="40" spans="1:24">
      <c r="A40" s="1578" t="s">
        <v>244</v>
      </c>
      <c r="B40" s="1577" t="s">
        <v>5443</v>
      </c>
      <c r="C40" s="1578" t="s">
        <v>75</v>
      </c>
      <c r="D40" s="1577"/>
      <c r="E40" s="1960">
        <v>600000000</v>
      </c>
      <c r="F40" s="1960">
        <v>600000000</v>
      </c>
      <c r="G40" s="1960">
        <v>4000000000</v>
      </c>
      <c r="H40" s="1961">
        <v>17300000000</v>
      </c>
      <c r="I40" s="1961">
        <v>4400000000</v>
      </c>
      <c r="J40" s="1961">
        <v>9600000000</v>
      </c>
      <c r="K40" s="1960">
        <v>15900000000</v>
      </c>
      <c r="L40" s="2765">
        <v>0</v>
      </c>
      <c r="M40" s="1960">
        <v>22900000000</v>
      </c>
      <c r="N40" s="1960">
        <v>28200000000</v>
      </c>
      <c r="O40" s="1960">
        <v>20300000000</v>
      </c>
      <c r="P40" s="1579">
        <v>1100000000</v>
      </c>
      <c r="Q40" s="1579">
        <v>137199999999.99998</v>
      </c>
      <c r="R40" s="1579">
        <v>50200000000</v>
      </c>
      <c r="S40" s="1579">
        <v>93200000000</v>
      </c>
      <c r="T40" s="1592">
        <v>88400000000</v>
      </c>
      <c r="U40" s="1592">
        <v>113800000000</v>
      </c>
      <c r="V40" s="1592">
        <v>178000000000</v>
      </c>
      <c r="W40" s="1841">
        <v>188700000000</v>
      </c>
      <c r="X40" s="1841">
        <v>194000000000</v>
      </c>
    </row>
    <row r="41" spans="1:24">
      <c r="A41" s="1578" t="s">
        <v>76</v>
      </c>
      <c r="B41" s="1580" t="s">
        <v>5444</v>
      </c>
      <c r="D41" s="1577"/>
      <c r="E41" s="1961"/>
      <c r="F41" s="1961"/>
      <c r="G41" s="1961"/>
      <c r="H41" s="1960">
        <v>0</v>
      </c>
      <c r="I41" s="1964"/>
      <c r="J41" s="1964"/>
      <c r="K41" s="1960">
        <v>4800000000</v>
      </c>
      <c r="L41" s="1960">
        <v>3900000000</v>
      </c>
      <c r="M41" s="1960">
        <v>2100000000</v>
      </c>
      <c r="N41" s="1960">
        <v>2900000000</v>
      </c>
      <c r="O41" s="1960">
        <v>3600000000</v>
      </c>
      <c r="P41" s="1579"/>
      <c r="Q41" s="1579"/>
      <c r="R41" s="1962"/>
      <c r="S41" s="1579"/>
      <c r="T41" s="1592"/>
      <c r="U41" s="1592"/>
      <c r="V41" s="1592"/>
      <c r="W41" s="1841"/>
      <c r="X41" s="1841"/>
    </row>
    <row r="42" spans="1:24">
      <c r="A42" s="1578" t="s">
        <v>76</v>
      </c>
      <c r="B42" s="1580" t="s">
        <v>5445</v>
      </c>
      <c r="D42" s="1577"/>
      <c r="E42" s="1961"/>
      <c r="F42" s="1961"/>
      <c r="G42" s="1961"/>
      <c r="H42" s="1961"/>
      <c r="I42" s="1961"/>
      <c r="J42" s="1961"/>
      <c r="K42" s="1960">
        <v>0</v>
      </c>
      <c r="L42" s="1960">
        <v>0</v>
      </c>
      <c r="M42" s="1960">
        <v>0</v>
      </c>
      <c r="N42" s="1960">
        <v>18200000000</v>
      </c>
      <c r="O42" s="1960">
        <v>9200000000</v>
      </c>
      <c r="P42" s="1579"/>
      <c r="Q42" s="1579">
        <v>63100000000</v>
      </c>
      <c r="R42" s="1579">
        <v>49700000000</v>
      </c>
      <c r="S42" s="1579"/>
      <c r="T42" s="1592"/>
      <c r="U42" s="1592"/>
      <c r="V42" s="1592"/>
      <c r="W42" s="1841"/>
      <c r="X42" s="1841"/>
    </row>
    <row r="43" spans="1:24">
      <c r="A43" s="1578" t="s">
        <v>76</v>
      </c>
      <c r="B43" s="1580" t="s">
        <v>5446</v>
      </c>
      <c r="D43" s="1577"/>
      <c r="E43" s="1961"/>
      <c r="F43" s="1961"/>
      <c r="G43" s="1961"/>
      <c r="H43" s="1961"/>
      <c r="I43" s="1961"/>
      <c r="J43" s="1961"/>
      <c r="K43" s="1960">
        <v>0</v>
      </c>
      <c r="L43" s="1960">
        <v>0</v>
      </c>
      <c r="M43" s="1960">
        <v>0</v>
      </c>
      <c r="N43" s="1960">
        <v>4500000000</v>
      </c>
      <c r="O43" s="1960">
        <v>25000000000</v>
      </c>
      <c r="P43" s="1579">
        <v>34500000000</v>
      </c>
      <c r="Q43" s="1579">
        <v>27000000000</v>
      </c>
      <c r="R43" s="1579">
        <v>31400000000</v>
      </c>
      <c r="S43" s="1579"/>
      <c r="T43" s="1592"/>
      <c r="U43" s="1592"/>
      <c r="V43" s="1592"/>
      <c r="W43" s="1841"/>
      <c r="X43" s="1841"/>
    </row>
    <row r="44" spans="1:24">
      <c r="A44" s="1578" t="s">
        <v>76</v>
      </c>
      <c r="B44" s="1580" t="s">
        <v>5447</v>
      </c>
      <c r="D44" s="1577"/>
      <c r="E44" s="1961"/>
      <c r="F44" s="1961"/>
      <c r="G44" s="1961"/>
      <c r="H44" s="1961"/>
      <c r="I44" s="1961"/>
      <c r="J44" s="1961"/>
      <c r="K44" s="1961"/>
      <c r="L44" s="1961"/>
      <c r="M44" s="1961"/>
      <c r="N44" s="1960"/>
      <c r="O44" s="1960">
        <v>-21800000000</v>
      </c>
      <c r="P44" s="1579">
        <v>-28000000000</v>
      </c>
      <c r="Q44" s="1579">
        <v>-5100000000</v>
      </c>
      <c r="R44" s="1962"/>
      <c r="S44" s="1579"/>
      <c r="T44" s="1592"/>
      <c r="U44" s="1592"/>
      <c r="V44" s="1592"/>
      <c r="W44" s="1841"/>
      <c r="X44" s="1841"/>
    </row>
    <row r="45" spans="1:24">
      <c r="A45" s="1584" t="s">
        <v>5448</v>
      </c>
      <c r="B45" s="1584" t="s">
        <v>5448</v>
      </c>
      <c r="C45" s="1578" t="s">
        <v>75</v>
      </c>
      <c r="D45" s="1577"/>
      <c r="E45" s="1961"/>
      <c r="F45" s="1961"/>
      <c r="G45" s="1961"/>
      <c r="H45" s="1961"/>
      <c r="I45" s="1961"/>
      <c r="J45" s="1961"/>
      <c r="K45" s="1961"/>
      <c r="L45" s="1961"/>
      <c r="M45" s="1961"/>
      <c r="N45" s="1960"/>
      <c r="O45" s="1960"/>
      <c r="P45" s="1579"/>
      <c r="Q45" s="1579"/>
      <c r="R45" s="1579"/>
      <c r="S45" s="1579"/>
      <c r="T45" s="1592"/>
      <c r="U45" s="1592"/>
      <c r="V45" s="1592"/>
      <c r="W45" s="1841"/>
      <c r="X45" s="1841"/>
    </row>
    <row r="46" spans="1:24">
      <c r="A46" s="1578" t="s">
        <v>76</v>
      </c>
      <c r="B46" s="1577" t="s">
        <v>5449</v>
      </c>
      <c r="C46" s="1577"/>
      <c r="D46" s="1965"/>
      <c r="E46" s="1960">
        <v>-800000000</v>
      </c>
      <c r="F46" s="1960">
        <v>-12900000000</v>
      </c>
      <c r="G46" s="1960">
        <v>-2800000000</v>
      </c>
      <c r="H46" s="1960">
        <v>-18100000000</v>
      </c>
      <c r="I46" s="1961">
        <v>-23600000000</v>
      </c>
      <c r="J46" s="1961">
        <v>-31200000000</v>
      </c>
      <c r="K46" s="1960">
        <v>-29500000000</v>
      </c>
      <c r="L46" s="1960">
        <v>-77100000000</v>
      </c>
      <c r="M46" s="1960">
        <v>-62200000000</v>
      </c>
      <c r="N46" s="1960">
        <v>11300000000</v>
      </c>
      <c r="O46" s="1960">
        <v>-99100000000</v>
      </c>
      <c r="P46" s="1579">
        <v>-30600000000</v>
      </c>
      <c r="Q46" s="1579">
        <v>-203600000000</v>
      </c>
      <c r="R46" s="1579">
        <v>-162200000000</v>
      </c>
      <c r="S46" s="1579"/>
      <c r="T46" s="1592"/>
      <c r="U46" s="1592"/>
      <c r="V46" s="1592"/>
      <c r="W46" s="1841"/>
      <c r="X46" s="1841"/>
    </row>
    <row r="47" spans="1:24">
      <c r="A47" s="1578" t="s">
        <v>76</v>
      </c>
      <c r="B47" s="1577" t="s">
        <v>5450</v>
      </c>
      <c r="C47" s="1577"/>
      <c r="D47" s="1577"/>
      <c r="E47" s="1960">
        <v>-20400000000</v>
      </c>
      <c r="F47" s="1960">
        <v>-34800000000</v>
      </c>
      <c r="G47" s="1960">
        <v>-50200000000</v>
      </c>
      <c r="H47" s="1960">
        <v>-58100000000</v>
      </c>
      <c r="I47" s="1961">
        <v>-67599999999.999992</v>
      </c>
      <c r="J47" s="1961">
        <v>-85100000000</v>
      </c>
      <c r="K47" s="1960">
        <v>-87500000000</v>
      </c>
      <c r="L47" s="1960">
        <v>-128500000000</v>
      </c>
      <c r="M47" s="1960">
        <v>-147200000000</v>
      </c>
      <c r="N47" s="1960">
        <v>-250700000000</v>
      </c>
      <c r="O47" s="1960">
        <v>-249900000000</v>
      </c>
      <c r="P47" s="1579">
        <v>-249900000000</v>
      </c>
      <c r="Q47" s="1579">
        <v>-259100000000.00003</v>
      </c>
      <c r="R47" s="1579">
        <v>-259399999999.99997</v>
      </c>
      <c r="S47" s="1579"/>
      <c r="T47" s="1592"/>
      <c r="U47" s="1592"/>
      <c r="V47" s="1592"/>
      <c r="W47" s="1841"/>
      <c r="X47" s="1841"/>
    </row>
    <row r="48" spans="1:24">
      <c r="A48" s="1578" t="s">
        <v>76</v>
      </c>
      <c r="B48" s="1577" t="s">
        <v>5451</v>
      </c>
      <c r="C48" s="1577"/>
      <c r="D48" s="1577"/>
      <c r="E48" s="1960"/>
      <c r="F48" s="1960"/>
      <c r="G48" s="1960"/>
      <c r="H48" s="1960"/>
      <c r="I48" s="1960"/>
      <c r="J48" s="1960"/>
      <c r="K48" s="1960"/>
      <c r="L48" s="1960"/>
      <c r="M48" s="1960"/>
      <c r="N48" s="1960"/>
      <c r="O48" s="1960"/>
      <c r="P48" s="1579"/>
      <c r="Q48" s="1579"/>
      <c r="R48" s="1579"/>
      <c r="S48" s="1579"/>
      <c r="T48" s="1592"/>
      <c r="U48" s="1592"/>
      <c r="V48" s="1592"/>
      <c r="W48" s="1841"/>
      <c r="X48" s="1841"/>
    </row>
    <row r="49" spans="1:25">
      <c r="A49" s="1578" t="s">
        <v>76</v>
      </c>
      <c r="B49" s="1577" t="s">
        <v>5452</v>
      </c>
      <c r="C49" s="1577"/>
      <c r="D49" s="1577"/>
      <c r="E49" s="1960">
        <v>-9900000000</v>
      </c>
      <c r="F49" s="1960">
        <v>-14400000000</v>
      </c>
      <c r="G49" s="1960">
        <v>-20500000000</v>
      </c>
      <c r="H49" s="1960">
        <v>-2200000000</v>
      </c>
      <c r="I49" s="1961">
        <v>9000000000</v>
      </c>
      <c r="J49" s="1961">
        <v>-6500000000</v>
      </c>
      <c r="K49" s="1960">
        <v>-26100000000</v>
      </c>
      <c r="L49" s="1960">
        <v>-3600000000</v>
      </c>
      <c r="M49" s="1960">
        <v>-60500000000</v>
      </c>
      <c r="N49" s="1960">
        <v>-3500000000</v>
      </c>
      <c r="O49" s="1960">
        <v>-114300000000</v>
      </c>
      <c r="P49" s="1579">
        <v>-49000000000</v>
      </c>
      <c r="Q49" s="1579">
        <v>-234300000000</v>
      </c>
      <c r="R49" s="1579">
        <v>-202600000000</v>
      </c>
      <c r="S49" s="1579"/>
      <c r="T49" s="1592">
        <v>-216000000000</v>
      </c>
      <c r="U49" s="1592">
        <v>-327100000000</v>
      </c>
      <c r="V49" s="1592">
        <v>-325800000000</v>
      </c>
      <c r="W49" s="1841">
        <v>-385500000000</v>
      </c>
      <c r="X49" s="1841">
        <v>-412700000000</v>
      </c>
    </row>
    <row r="50" spans="1:25">
      <c r="A50" s="1578" t="s">
        <v>76</v>
      </c>
      <c r="B50" s="1577" t="s">
        <v>5453</v>
      </c>
      <c r="C50" s="1577"/>
      <c r="D50" s="1577"/>
      <c r="E50" s="1960">
        <v>-71900000000</v>
      </c>
      <c r="F50" s="1960">
        <v>-73500000000</v>
      </c>
      <c r="G50" s="1960">
        <v>-93600000000</v>
      </c>
      <c r="H50" s="1960">
        <v>-127800000000</v>
      </c>
      <c r="I50" s="1961">
        <v>-160400000000</v>
      </c>
      <c r="J50" s="1961">
        <v>-174300000000</v>
      </c>
      <c r="K50" s="1960">
        <v>-180900000000</v>
      </c>
      <c r="L50" s="1960">
        <v>-231600000000</v>
      </c>
      <c r="M50" s="1960">
        <v>-318100000000</v>
      </c>
      <c r="N50" s="1960">
        <v>-412800000000</v>
      </c>
      <c r="O50" s="1960">
        <v>-486800000000</v>
      </c>
      <c r="P50" s="1579">
        <v>-506400000000</v>
      </c>
      <c r="Q50" s="1579">
        <v>-599200000000</v>
      </c>
      <c r="R50" s="1579">
        <v>-676900000000</v>
      </c>
      <c r="S50" s="1579"/>
      <c r="T50" s="1592">
        <v>-243600000000</v>
      </c>
      <c r="U50" s="1592">
        <v>-347200000000</v>
      </c>
      <c r="V50" s="1592">
        <v>-350000000000</v>
      </c>
      <c r="W50" s="1841">
        <v>-412800000000</v>
      </c>
      <c r="X50" s="1841">
        <v>-443300000000</v>
      </c>
    </row>
    <row r="51" spans="1:25">
      <c r="A51" s="1578" t="s">
        <v>76</v>
      </c>
      <c r="B51" s="1577" t="s">
        <v>5454</v>
      </c>
      <c r="C51" s="1577"/>
      <c r="D51" s="1577"/>
      <c r="E51" s="1960">
        <v>-31700000000</v>
      </c>
      <c r="F51" s="1960">
        <v>-1700000000</v>
      </c>
      <c r="G51" s="1960">
        <v>-13200000000</v>
      </c>
      <c r="H51" s="1960">
        <v>-16300000000</v>
      </c>
      <c r="I51" s="1961">
        <v>-7000000000</v>
      </c>
      <c r="J51" s="1961">
        <v>-7500000000</v>
      </c>
      <c r="K51" s="1960">
        <v>-7000000000</v>
      </c>
      <c r="L51" s="1960">
        <v>-8600000000</v>
      </c>
      <c r="M51" s="1960">
        <v>-9000000000</v>
      </c>
      <c r="N51" s="1960">
        <v>-11200000000</v>
      </c>
      <c r="O51" s="1960">
        <v>-11200000000</v>
      </c>
      <c r="P51" s="1579">
        <v>-13700000000</v>
      </c>
      <c r="Q51" s="1579">
        <v>-9100000000</v>
      </c>
      <c r="R51" s="1579">
        <v>-16100000000.000002</v>
      </c>
      <c r="S51" s="1579"/>
      <c r="T51" s="1592"/>
      <c r="U51" s="1592"/>
      <c r="V51" s="1592"/>
      <c r="W51" s="1841"/>
      <c r="X51" s="1841"/>
    </row>
    <row r="52" spans="1:25">
      <c r="A52" s="1578"/>
      <c r="B52" s="1577" t="s">
        <v>5455</v>
      </c>
      <c r="C52" s="1577"/>
      <c r="D52" s="1577"/>
      <c r="E52" s="1960"/>
      <c r="F52" s="1960"/>
      <c r="G52" s="1960"/>
      <c r="H52" s="1960"/>
      <c r="I52" s="1961"/>
      <c r="J52" s="1961"/>
      <c r="K52" s="1960"/>
      <c r="L52" s="1960"/>
      <c r="M52" s="1960"/>
      <c r="N52" s="1960"/>
      <c r="O52" s="1960"/>
      <c r="P52" s="1579"/>
      <c r="Q52" s="1579"/>
      <c r="R52" s="1579"/>
      <c r="S52" s="1579">
        <v>-301300000000</v>
      </c>
      <c r="T52" s="1592"/>
      <c r="U52" s="1592"/>
      <c r="V52" s="1592"/>
      <c r="W52" s="1841"/>
      <c r="X52" s="1841"/>
    </row>
    <row r="53" spans="1:25">
      <c r="A53" s="1578"/>
      <c r="B53" s="1577" t="s">
        <v>5456</v>
      </c>
      <c r="C53" s="1577"/>
      <c r="D53" s="1577"/>
      <c r="E53" s="1960"/>
      <c r="F53" s="1960"/>
      <c r="G53" s="1960"/>
      <c r="H53" s="1960"/>
      <c r="I53" s="1961"/>
      <c r="J53" s="1961"/>
      <c r="K53" s="1960"/>
      <c r="L53" s="1960"/>
      <c r="M53" s="1960"/>
      <c r="N53" s="1960"/>
      <c r="O53" s="1960"/>
      <c r="P53" s="1579"/>
      <c r="Q53" s="1579"/>
      <c r="R53" s="1579"/>
      <c r="S53" s="1579">
        <v>5000000000</v>
      </c>
      <c r="T53" s="1592">
        <v>-27600000000</v>
      </c>
      <c r="U53" s="1592">
        <v>-20100000000</v>
      </c>
      <c r="V53" s="1592">
        <v>-24200000000</v>
      </c>
      <c r="W53" s="1841">
        <v>-27200000000</v>
      </c>
      <c r="X53" s="1841">
        <v>-30600000000</v>
      </c>
    </row>
    <row r="54" spans="1:25">
      <c r="A54" s="1578" t="s">
        <v>76</v>
      </c>
      <c r="B54" s="1577" t="s">
        <v>5457</v>
      </c>
      <c r="C54" s="1577"/>
      <c r="D54" s="1577"/>
      <c r="E54" s="1960">
        <v>-41600000000</v>
      </c>
      <c r="F54" s="1960">
        <v>-16100000000.000002</v>
      </c>
      <c r="G54" s="1960">
        <v>-33700000000.000004</v>
      </c>
      <c r="H54" s="1961">
        <v>-18600000000</v>
      </c>
      <c r="I54" s="1961">
        <v>2000000000</v>
      </c>
      <c r="J54" s="1961">
        <v>-14000000000</v>
      </c>
      <c r="K54" s="1960">
        <v>-33100000000</v>
      </c>
      <c r="L54" s="1960">
        <v>-12200000000</v>
      </c>
      <c r="M54" s="1960">
        <v>-69400000000</v>
      </c>
      <c r="N54" s="1960">
        <v>-14700000000</v>
      </c>
      <c r="O54" s="1960">
        <v>-125500000000</v>
      </c>
      <c r="P54" s="1579">
        <v>-62700000000</v>
      </c>
      <c r="Q54" s="1579">
        <v>-243400000000</v>
      </c>
      <c r="R54" s="1579">
        <v>-218700000000</v>
      </c>
      <c r="S54" s="1579">
        <v>-296300000000</v>
      </c>
      <c r="T54" s="1592"/>
      <c r="U54" s="1592"/>
      <c r="V54" s="1592"/>
      <c r="W54" s="1841"/>
      <c r="X54" s="1841"/>
    </row>
    <row r="55" spans="1:25" s="848" customFormat="1">
      <c r="A55" s="2001" t="s">
        <v>115</v>
      </c>
      <c r="B55" s="2004" t="s">
        <v>115</v>
      </c>
      <c r="C55" s="2002" t="s">
        <v>35</v>
      </c>
      <c r="D55" s="2004"/>
      <c r="E55" s="2005">
        <v>42600000000</v>
      </c>
      <c r="F55" s="2005">
        <v>30700000000</v>
      </c>
      <c r="G55" s="2005">
        <v>24100000000</v>
      </c>
      <c r="H55" s="2006">
        <v>23400000000</v>
      </c>
      <c r="I55" s="2006">
        <v>-5400000000</v>
      </c>
      <c r="J55" s="2006">
        <v>15200000000</v>
      </c>
      <c r="K55" s="2005">
        <v>41200000000</v>
      </c>
      <c r="L55" s="2005">
        <v>11300000000</v>
      </c>
      <c r="M55" s="2005">
        <v>69400000000</v>
      </c>
      <c r="N55" s="2005">
        <v>16300000000</v>
      </c>
      <c r="O55" s="2005">
        <v>125500000000</v>
      </c>
      <c r="P55" s="2007">
        <v>62600000000</v>
      </c>
      <c r="Q55" s="2007">
        <v>243400000000</v>
      </c>
      <c r="R55" s="2007">
        <v>224600000000</v>
      </c>
      <c r="S55" s="2007">
        <v>296300000000</v>
      </c>
      <c r="T55" s="2009">
        <v>243600000000</v>
      </c>
      <c r="U55" s="2009">
        <v>347200000000</v>
      </c>
      <c r="V55" s="2009">
        <v>350000000000</v>
      </c>
      <c r="W55" s="2010">
        <v>412800000000</v>
      </c>
      <c r="X55" s="2010">
        <f>X56+X63</f>
        <v>442200000000</v>
      </c>
      <c r="Y55" s="2003"/>
    </row>
    <row r="56" spans="1:25">
      <c r="A56" s="1578" t="s">
        <v>117</v>
      </c>
      <c r="B56" s="1577" t="s">
        <v>5458</v>
      </c>
      <c r="C56" s="1578" t="s">
        <v>119</v>
      </c>
      <c r="D56" s="1577"/>
      <c r="E56" s="1960">
        <v>40900000000</v>
      </c>
      <c r="F56" s="1960">
        <v>30300000000</v>
      </c>
      <c r="G56" s="1960">
        <v>18800000000</v>
      </c>
      <c r="H56" s="1961">
        <v>47600000000</v>
      </c>
      <c r="I56" s="1961">
        <v>27100000000</v>
      </c>
      <c r="J56" s="1961">
        <v>25900000000</v>
      </c>
      <c r="K56" s="1960">
        <v>39200000000</v>
      </c>
      <c r="L56" s="1960">
        <v>42800000000</v>
      </c>
      <c r="M56" s="1960">
        <v>72500000000</v>
      </c>
      <c r="N56" s="1960">
        <v>26100000000</v>
      </c>
      <c r="O56" s="1960">
        <v>81800000000</v>
      </c>
      <c r="P56" s="1579">
        <v>95000000000</v>
      </c>
      <c r="Q56" s="1579">
        <v>338600000000</v>
      </c>
      <c r="R56" s="1579">
        <v>104700000000</v>
      </c>
      <c r="S56" s="1579">
        <v>188200000000</v>
      </c>
      <c r="T56" s="1592">
        <v>227400000000</v>
      </c>
      <c r="U56" s="1592">
        <v>322700000000</v>
      </c>
      <c r="V56" s="1592">
        <v>324600000000</v>
      </c>
      <c r="W56" s="1841">
        <v>324300000000</v>
      </c>
      <c r="X56" s="1841">
        <f>X57+X61+X62</f>
        <v>351700000000</v>
      </c>
    </row>
    <row r="57" spans="1:25">
      <c r="A57" s="1578" t="s">
        <v>1104</v>
      </c>
      <c r="B57" s="1580" t="s">
        <v>1104</v>
      </c>
      <c r="C57" s="1577" t="s">
        <v>264</v>
      </c>
      <c r="E57" s="1960">
        <v>34700000000</v>
      </c>
      <c r="F57" s="1960">
        <v>41700000000</v>
      </c>
      <c r="G57" s="1960">
        <v>21300000000</v>
      </c>
      <c r="H57" s="1961">
        <v>62800000000</v>
      </c>
      <c r="I57" s="1961">
        <v>46700000000</v>
      </c>
      <c r="J57" s="1961">
        <v>37700000000</v>
      </c>
      <c r="K57" s="1960">
        <v>44700000000</v>
      </c>
      <c r="L57" s="1960">
        <v>47900000000</v>
      </c>
      <c r="M57" s="1960">
        <v>77000000000</v>
      </c>
      <c r="N57" s="1960">
        <v>31100000000</v>
      </c>
      <c r="O57" s="1960">
        <v>89900000000</v>
      </c>
      <c r="P57" s="1579">
        <v>104700000000</v>
      </c>
      <c r="Q57" s="1579">
        <v>354100000000</v>
      </c>
      <c r="R57" s="1579">
        <v>115800000000</v>
      </c>
      <c r="S57" s="1579">
        <v>202800000000</v>
      </c>
      <c r="T57" s="1592">
        <v>244500000000</v>
      </c>
      <c r="U57" s="1592">
        <v>344600000000</v>
      </c>
      <c r="V57" s="1592">
        <v>349700000000</v>
      </c>
      <c r="W57" s="1841">
        <v>353000000000</v>
      </c>
      <c r="X57" s="1841">
        <v>392100000000</v>
      </c>
    </row>
    <row r="58" spans="1:25">
      <c r="A58" s="1578" t="s">
        <v>262</v>
      </c>
      <c r="B58" s="1580" t="s">
        <v>5459</v>
      </c>
      <c r="C58" s="1578" t="s">
        <v>499</v>
      </c>
      <c r="E58" s="1960">
        <v>16300000000</v>
      </c>
      <c r="F58" s="1960">
        <v>27700000000</v>
      </c>
      <c r="G58" s="1960">
        <v>5500000000</v>
      </c>
      <c r="H58" s="1961">
        <v>35300000000</v>
      </c>
      <c r="I58" s="1961">
        <v>17800000000</v>
      </c>
      <c r="J58" s="1961">
        <v>8199999999.999999</v>
      </c>
      <c r="K58" s="1960">
        <v>8800000000</v>
      </c>
      <c r="L58" s="1960">
        <v>5200000000</v>
      </c>
      <c r="M58" s="1960">
        <v>700000000</v>
      </c>
      <c r="N58" s="1960">
        <v>0</v>
      </c>
      <c r="O58" s="1960">
        <v>20400000000</v>
      </c>
      <c r="P58" s="1579">
        <f>P57-P59</f>
        <v>53400000000</v>
      </c>
      <c r="Q58" s="1579">
        <v>16200000000</v>
      </c>
      <c r="R58" s="1579">
        <v>49500000000</v>
      </c>
      <c r="S58" s="1579">
        <v>103600000000</v>
      </c>
      <c r="T58" s="1592">
        <v>138700000000</v>
      </c>
      <c r="U58" s="1592">
        <v>183800000000</v>
      </c>
      <c r="V58" s="1592">
        <v>217200000000</v>
      </c>
      <c r="W58" s="1841">
        <v>176500000000</v>
      </c>
      <c r="X58" s="1841">
        <v>168400000000</v>
      </c>
    </row>
    <row r="59" spans="1:25">
      <c r="A59" s="1578" t="s">
        <v>1253</v>
      </c>
      <c r="B59" s="1580" t="s">
        <v>5460</v>
      </c>
      <c r="C59" s="1578" t="s">
        <v>499</v>
      </c>
      <c r="E59" s="1960">
        <v>18400000000</v>
      </c>
      <c r="F59" s="1960">
        <v>14000000000</v>
      </c>
      <c r="G59" s="1960">
        <v>15800000000</v>
      </c>
      <c r="H59" s="1961">
        <v>27500000000</v>
      </c>
      <c r="I59" s="1961">
        <v>28800000000</v>
      </c>
      <c r="J59" s="1961">
        <v>29500000000</v>
      </c>
      <c r="K59" s="1960">
        <v>36000000000</v>
      </c>
      <c r="L59" s="1960">
        <v>42700000000</v>
      </c>
      <c r="M59" s="1960">
        <v>76300000000</v>
      </c>
      <c r="N59" s="1960">
        <v>31100000000</v>
      </c>
      <c r="O59" s="1960">
        <v>69500000000</v>
      </c>
      <c r="P59" s="1579">
        <v>51300000000</v>
      </c>
      <c r="Q59" s="1579">
        <v>337900000000</v>
      </c>
      <c r="R59" s="1579">
        <v>66300000000</v>
      </c>
      <c r="S59" s="1579">
        <v>99200000000</v>
      </c>
      <c r="T59" s="1592">
        <v>105900000000</v>
      </c>
      <c r="U59" s="1592">
        <v>160700000000</v>
      </c>
      <c r="V59" s="1592">
        <v>132400000000</v>
      </c>
      <c r="W59" s="1841">
        <v>176500000000</v>
      </c>
      <c r="X59" s="1841">
        <v>223700000000</v>
      </c>
    </row>
    <row r="60" spans="1:25">
      <c r="A60" s="1578" t="s">
        <v>76</v>
      </c>
      <c r="B60" s="1582" t="s">
        <v>5438</v>
      </c>
      <c r="C60" s="1577"/>
      <c r="E60" s="1960"/>
      <c r="F60" s="1960"/>
      <c r="G60" s="1960"/>
      <c r="H60" s="1960"/>
      <c r="I60" s="1960"/>
      <c r="J60" s="1960"/>
      <c r="K60" s="1960"/>
      <c r="L60" s="1960"/>
      <c r="M60" s="1960"/>
      <c r="N60" s="1960"/>
      <c r="O60" s="1960"/>
      <c r="P60" s="1579"/>
      <c r="Q60" s="1579">
        <v>255600000000</v>
      </c>
      <c r="R60" s="1579"/>
      <c r="S60" s="1579"/>
      <c r="T60" s="1592"/>
      <c r="U60" s="1592"/>
      <c r="V60" s="1592"/>
      <c r="W60" s="1841"/>
      <c r="X60" s="1841"/>
    </row>
    <row r="61" spans="1:25">
      <c r="A61" s="1578" t="s">
        <v>258</v>
      </c>
      <c r="B61" s="1580" t="s">
        <v>258</v>
      </c>
      <c r="C61" s="1577" t="s">
        <v>264</v>
      </c>
      <c r="E61" s="1960">
        <v>-9200000000</v>
      </c>
      <c r="F61" s="1960">
        <v>-14700000000</v>
      </c>
      <c r="G61" s="1960">
        <v>-17300000000</v>
      </c>
      <c r="H61" s="1961">
        <v>-21400000000</v>
      </c>
      <c r="I61" s="1961">
        <v>-19600000000</v>
      </c>
      <c r="J61" s="1961">
        <v>-11800000000</v>
      </c>
      <c r="K61" s="1960">
        <v>-5600000000</v>
      </c>
      <c r="L61" s="1960">
        <v>-5100000000</v>
      </c>
      <c r="M61" s="1960">
        <v>-4400000000</v>
      </c>
      <c r="N61" s="1960">
        <v>-5000000000</v>
      </c>
      <c r="O61" s="1960">
        <v>-8100000000</v>
      </c>
      <c r="P61" s="1579">
        <v>-9700000000</v>
      </c>
      <c r="Q61" s="1579">
        <v>-15500000000</v>
      </c>
      <c r="R61" s="1579">
        <v>-11000000000</v>
      </c>
      <c r="S61" s="1579">
        <v>-14600000000</v>
      </c>
      <c r="T61" s="1592">
        <v>-17100000000.000002</v>
      </c>
      <c r="U61" s="1592">
        <v>-21900000000</v>
      </c>
      <c r="V61" s="1592">
        <v>-25100000000</v>
      </c>
      <c r="W61" s="1841">
        <v>-28700000000</v>
      </c>
      <c r="X61" s="1841">
        <v>-40400000000</v>
      </c>
    </row>
    <row r="62" spans="1:25">
      <c r="A62" s="1578" t="s">
        <v>871</v>
      </c>
      <c r="B62" s="1580" t="s">
        <v>872</v>
      </c>
      <c r="C62" s="1577" t="s">
        <v>264</v>
      </c>
      <c r="E62" s="1960">
        <v>15400000000</v>
      </c>
      <c r="F62" s="1960">
        <v>3300000000</v>
      </c>
      <c r="G62" s="1960">
        <v>14900000000</v>
      </c>
      <c r="H62" s="1961">
        <v>6200000000</v>
      </c>
      <c r="I62" s="1961">
        <v>0</v>
      </c>
      <c r="J62" s="1961"/>
      <c r="K62" s="1960"/>
      <c r="L62" s="1960"/>
      <c r="M62" s="1960"/>
      <c r="N62" s="1960"/>
      <c r="O62" s="1960"/>
      <c r="P62" s="1960"/>
      <c r="Q62" s="1960"/>
      <c r="R62" s="1960"/>
      <c r="S62" s="1960"/>
      <c r="T62" s="2011"/>
      <c r="U62" s="2011"/>
      <c r="V62" s="2011"/>
      <c r="W62" s="1841"/>
      <c r="X62" s="1841"/>
    </row>
    <row r="63" spans="1:25">
      <c r="A63" s="1578" t="s">
        <v>120</v>
      </c>
      <c r="B63" s="1577" t="s">
        <v>5461</v>
      </c>
      <c r="C63" s="1578" t="s">
        <v>119</v>
      </c>
      <c r="D63" s="1577"/>
      <c r="E63" s="1960">
        <v>1700000000</v>
      </c>
      <c r="F63" s="1960">
        <v>400000000</v>
      </c>
      <c r="G63" s="1960">
        <v>5200000000</v>
      </c>
      <c r="H63" s="1961">
        <v>-24200000000</v>
      </c>
      <c r="I63" s="1961">
        <v>-32500000000</v>
      </c>
      <c r="J63" s="1961">
        <v>-10700000000</v>
      </c>
      <c r="K63" s="1960">
        <v>2100000000</v>
      </c>
      <c r="L63" s="1960">
        <v>-31500000000</v>
      </c>
      <c r="M63" s="1960">
        <v>-3100000000</v>
      </c>
      <c r="N63" s="1960">
        <v>-9800000000</v>
      </c>
      <c r="O63" s="1960">
        <v>43600000000</v>
      </c>
      <c r="P63" s="1579">
        <v>-32400000000</v>
      </c>
      <c r="Q63" s="1579">
        <v>-95200000000</v>
      </c>
      <c r="R63" s="1579">
        <v>119900000000</v>
      </c>
      <c r="S63" s="1579">
        <v>147100000000</v>
      </c>
      <c r="T63" s="1592">
        <v>43600000000</v>
      </c>
      <c r="U63" s="1592">
        <v>48900000000</v>
      </c>
      <c r="V63" s="1592">
        <v>25400000000</v>
      </c>
      <c r="W63" s="1841">
        <v>88500000000</v>
      </c>
      <c r="X63" s="1841">
        <v>90500000000</v>
      </c>
    </row>
    <row r="64" spans="1:25">
      <c r="A64" s="1578" t="s">
        <v>122</v>
      </c>
      <c r="B64" s="1580" t="s">
        <v>5462</v>
      </c>
      <c r="C64" s="1577" t="s">
        <v>124</v>
      </c>
      <c r="E64" s="1960">
        <v>-400000000</v>
      </c>
      <c r="F64" s="1960">
        <v>2800000000</v>
      </c>
      <c r="G64" s="1960">
        <v>5300000000</v>
      </c>
      <c r="H64" s="1961">
        <v>-30100000000</v>
      </c>
      <c r="I64" s="1961">
        <v>-16800000000</v>
      </c>
      <c r="J64" s="1961">
        <v>-11200000000</v>
      </c>
      <c r="K64" s="1960">
        <v>-7200000000</v>
      </c>
      <c r="L64" s="1960">
        <v>-13400000000</v>
      </c>
      <c r="M64" s="1960">
        <v>18000000000</v>
      </c>
      <c r="N64" s="1960">
        <v>8400000000</v>
      </c>
      <c r="O64" s="1960">
        <v>59300000000</v>
      </c>
      <c r="P64" s="1579">
        <v>-15400000000</v>
      </c>
      <c r="Q64" s="1579">
        <v>-144300000000</v>
      </c>
      <c r="R64" s="1579">
        <v>150600000000</v>
      </c>
      <c r="S64" s="1579">
        <v>137800000000</v>
      </c>
      <c r="T64" s="1592">
        <v>-600000000</v>
      </c>
      <c r="U64" s="1592">
        <v>16600000000.000002</v>
      </c>
      <c r="V64" s="1592">
        <v>25400000000</v>
      </c>
      <c r="W64" s="1841">
        <v>88500000000</v>
      </c>
      <c r="X64" s="1841">
        <v>90500000000</v>
      </c>
    </row>
    <row r="65" spans="1:24">
      <c r="A65" s="1578" t="s">
        <v>76</v>
      </c>
      <c r="B65" s="1582" t="s">
        <v>5438</v>
      </c>
      <c r="C65" s="1577"/>
      <c r="E65" s="1960"/>
      <c r="F65" s="1960"/>
      <c r="G65" s="1960"/>
      <c r="H65" s="1961"/>
      <c r="I65" s="1961"/>
      <c r="J65" s="1961"/>
      <c r="K65" s="1961"/>
      <c r="L65" s="1961"/>
      <c r="M65" s="1961"/>
      <c r="N65" s="1960"/>
      <c r="O65" s="1960"/>
      <c r="P65" s="1579"/>
      <c r="Q65" s="1579">
        <v>-141300000000</v>
      </c>
      <c r="R65" s="1579"/>
      <c r="S65" s="1579"/>
      <c r="T65" s="1592"/>
      <c r="U65" s="1592"/>
      <c r="V65" s="1592"/>
      <c r="W65" s="1841"/>
      <c r="X65" s="1841"/>
    </row>
    <row r="66" spans="1:24">
      <c r="A66" s="1578" t="s">
        <v>76</v>
      </c>
      <c r="B66" s="1582" t="s">
        <v>5463</v>
      </c>
      <c r="C66" s="1577"/>
      <c r="E66" s="1960"/>
      <c r="F66" s="1960"/>
      <c r="G66" s="1960"/>
      <c r="H66" s="1961"/>
      <c r="I66" s="1961"/>
      <c r="J66" s="1961"/>
      <c r="K66" s="1961"/>
      <c r="L66" s="1961"/>
      <c r="M66" s="1961"/>
      <c r="N66" s="1960" t="s">
        <v>78</v>
      </c>
      <c r="O66" s="1960" t="s">
        <v>78</v>
      </c>
      <c r="P66" s="1579"/>
      <c r="Q66" s="1579"/>
      <c r="R66" s="1579"/>
      <c r="S66" s="1579"/>
      <c r="T66" s="1592"/>
      <c r="U66" s="1592"/>
      <c r="V66" s="1592"/>
      <c r="W66" s="1841"/>
      <c r="X66" s="1841"/>
    </row>
    <row r="67" spans="1:24">
      <c r="A67" s="1578" t="s">
        <v>428</v>
      </c>
      <c r="B67" s="1580" t="s">
        <v>5464</v>
      </c>
      <c r="C67" s="1577" t="s">
        <v>124</v>
      </c>
      <c r="E67" s="1960">
        <v>2100000000</v>
      </c>
      <c r="F67" s="1960">
        <v>-2400000000</v>
      </c>
      <c r="G67" s="1960">
        <v>0</v>
      </c>
      <c r="H67" s="1961">
        <v>5900000000</v>
      </c>
      <c r="I67" s="1961">
        <v>-15700000000</v>
      </c>
      <c r="J67" s="1961">
        <v>500000000</v>
      </c>
      <c r="K67" s="1960">
        <v>9300000000</v>
      </c>
      <c r="L67" s="1960">
        <v>-18100000000</v>
      </c>
      <c r="M67" s="1960">
        <v>-21200000000</v>
      </c>
      <c r="N67" s="1960">
        <v>-18200000000</v>
      </c>
      <c r="O67" s="1960">
        <v>5600000000</v>
      </c>
      <c r="P67" s="1579">
        <v>-22800000000</v>
      </c>
      <c r="Q67" s="1579">
        <v>24300000000</v>
      </c>
      <c r="R67" s="1579">
        <v>-30800000000</v>
      </c>
      <c r="S67" s="1579">
        <v>9300000000</v>
      </c>
      <c r="T67" s="1592">
        <v>44200000000</v>
      </c>
      <c r="U67" s="1592">
        <v>32299999999.999996</v>
      </c>
      <c r="V67" s="1592"/>
      <c r="W67" s="1841"/>
      <c r="X67" s="1841"/>
    </row>
    <row r="68" spans="1:24">
      <c r="A68" s="1580" t="s">
        <v>7206</v>
      </c>
      <c r="B68" s="1580" t="s">
        <v>5465</v>
      </c>
      <c r="C68" s="1577" t="s">
        <v>124</v>
      </c>
      <c r="E68" s="1960"/>
      <c r="F68" s="1960"/>
      <c r="G68" s="1960"/>
      <c r="H68" s="1961"/>
      <c r="I68" s="1961">
        <f>I63-I64-I67</f>
        <v>0</v>
      </c>
      <c r="J68" s="1961"/>
      <c r="K68" s="1960"/>
      <c r="L68" s="1960"/>
      <c r="M68" s="1960"/>
      <c r="N68" s="1960"/>
      <c r="O68" s="1960">
        <f>O63-O64-O67</f>
        <v>-21300000000</v>
      </c>
      <c r="P68" s="1960">
        <f t="shared" ref="P68:S68" si="5">P63-P64-P67</f>
        <v>5800000000</v>
      </c>
      <c r="Q68" s="1960">
        <f t="shared" si="5"/>
        <v>24800000000</v>
      </c>
      <c r="R68" s="1960">
        <f t="shared" si="5"/>
        <v>100000000</v>
      </c>
      <c r="S68" s="1960">
        <f t="shared" si="5"/>
        <v>0</v>
      </c>
      <c r="T68" s="2011"/>
      <c r="U68" s="2011"/>
      <c r="V68" s="2011"/>
      <c r="W68" s="1841"/>
      <c r="X68" s="1841"/>
    </row>
    <row r="69" spans="1:24">
      <c r="B69" s="1577" t="s">
        <v>5466</v>
      </c>
      <c r="D69" s="1577"/>
      <c r="E69" s="1966">
        <v>1000000000</v>
      </c>
      <c r="F69" s="1966">
        <v>14600000000</v>
      </c>
      <c r="G69" s="1966">
        <v>-9600000000</v>
      </c>
      <c r="H69" s="1967">
        <v>4800000000</v>
      </c>
      <c r="I69" s="1967">
        <v>-7000000000</v>
      </c>
      <c r="J69" s="1967">
        <v>1200000000</v>
      </c>
      <c r="K69" s="1966">
        <v>2100000000</v>
      </c>
      <c r="L69" s="1966">
        <v>-31500000000</v>
      </c>
      <c r="M69" s="1966">
        <v>-3100000000</v>
      </c>
      <c r="N69" s="1966" t="s">
        <v>3514</v>
      </c>
      <c r="O69" s="1966" t="s">
        <v>3514</v>
      </c>
      <c r="P69" s="1579">
        <v>-100000000</v>
      </c>
      <c r="Q69" s="1579">
        <v>0</v>
      </c>
      <c r="R69" s="1579">
        <v>5900000000</v>
      </c>
      <c r="T69" s="1841"/>
      <c r="U69" s="1841"/>
      <c r="V69" s="1841"/>
      <c r="W69" s="1841"/>
      <c r="X69" s="1841"/>
    </row>
    <row r="70" spans="1:24">
      <c r="A70" s="1570" t="s">
        <v>5119</v>
      </c>
      <c r="B70" s="1577" t="s">
        <v>5466</v>
      </c>
      <c r="C70" s="1578" t="s">
        <v>119</v>
      </c>
      <c r="K70" s="1963"/>
      <c r="L70" s="1963"/>
      <c r="M70" s="1963"/>
      <c r="S70" s="1579">
        <v>-39000000000</v>
      </c>
      <c r="T70" s="1592">
        <v>-27400000000</v>
      </c>
      <c r="U70" s="1592">
        <v>-24300000000</v>
      </c>
      <c r="V70" s="1592"/>
      <c r="W70" s="1841"/>
      <c r="X70" s="1841"/>
    </row>
    <row r="71" spans="1:24">
      <c r="C71" s="1578"/>
      <c r="K71" s="1963"/>
      <c r="L71" s="1963"/>
      <c r="M71" s="1963"/>
    </row>
    <row r="72" spans="1:24">
      <c r="E72" s="1570" t="s">
        <v>139</v>
      </c>
      <c r="F72" s="1570" t="s">
        <v>139</v>
      </c>
      <c r="G72" s="1570" t="s">
        <v>139</v>
      </c>
      <c r="H72" s="1570" t="s">
        <v>138</v>
      </c>
      <c r="I72" s="1570" t="s">
        <v>139</v>
      </c>
      <c r="J72" s="1570" t="s">
        <v>139</v>
      </c>
      <c r="K72" s="1570" t="s">
        <v>139</v>
      </c>
      <c r="L72" s="1570" t="s">
        <v>139</v>
      </c>
      <c r="M72" s="1570" t="s">
        <v>139</v>
      </c>
      <c r="N72" s="1570" t="s">
        <v>139</v>
      </c>
      <c r="O72" s="1570" t="s">
        <v>139</v>
      </c>
      <c r="P72" s="1570" t="s">
        <v>139</v>
      </c>
      <c r="Q72" s="1570" t="s">
        <v>139</v>
      </c>
      <c r="R72" s="1570" t="s">
        <v>139</v>
      </c>
      <c r="S72" s="1570" t="s">
        <v>139</v>
      </c>
      <c r="T72" s="1570" t="s">
        <v>139</v>
      </c>
      <c r="U72" s="1570" t="s">
        <v>139</v>
      </c>
      <c r="V72" s="1570" t="s">
        <v>139</v>
      </c>
      <c r="W72" s="1570" t="s">
        <v>139</v>
      </c>
      <c r="X72" s="1570" t="s">
        <v>139</v>
      </c>
    </row>
    <row r="74" spans="1:24">
      <c r="E74" s="1968"/>
      <c r="F74" s="1968"/>
      <c r="G74" s="1968"/>
      <c r="H74" s="1968"/>
      <c r="I74" s="1968"/>
      <c r="J74" s="1968"/>
      <c r="K74" s="1968"/>
      <c r="L74" s="1968"/>
      <c r="M74" s="1968"/>
      <c r="N74" s="1968"/>
      <c r="O74" s="1968"/>
      <c r="P74" s="1968"/>
      <c r="Q74" s="1968"/>
      <c r="R74" s="1968"/>
      <c r="S74" s="1968"/>
      <c r="T74" s="1968"/>
      <c r="U74" s="1968"/>
      <c r="V74" s="1968"/>
    </row>
    <row r="75" spans="1:24">
      <c r="B75" s="1570" t="s">
        <v>875</v>
      </c>
      <c r="E75" s="1968">
        <f t="shared" ref="E75:X75" si="6">E6-E7-E17</f>
        <v>0</v>
      </c>
      <c r="F75" s="1968">
        <f t="shared" si="6"/>
        <v>0</v>
      </c>
      <c r="G75" s="1968">
        <f t="shared" si="6"/>
        <v>100000000</v>
      </c>
      <c r="H75" s="1968">
        <f t="shared" si="6"/>
        <v>-99999999.999969482</v>
      </c>
      <c r="I75" s="1968">
        <f t="shared" si="6"/>
        <v>0</v>
      </c>
      <c r="J75" s="1968">
        <f t="shared" si="6"/>
        <v>0</v>
      </c>
      <c r="K75" s="1968">
        <f t="shared" si="6"/>
        <v>0</v>
      </c>
      <c r="L75" s="1968">
        <f t="shared" si="6"/>
        <v>0</v>
      </c>
      <c r="M75" s="1968">
        <f t="shared" si="6"/>
        <v>0</v>
      </c>
      <c r="N75" s="1968">
        <f t="shared" si="6"/>
        <v>0</v>
      </c>
      <c r="O75" s="1968">
        <f t="shared" si="6"/>
        <v>0</v>
      </c>
      <c r="P75" s="1968">
        <f t="shared" si="6"/>
        <v>0</v>
      </c>
      <c r="Q75" s="1968">
        <f t="shared" si="6"/>
        <v>0</v>
      </c>
      <c r="R75" s="1968">
        <f t="shared" si="6"/>
        <v>0</v>
      </c>
      <c r="S75" s="1968">
        <f t="shared" si="6"/>
        <v>0</v>
      </c>
      <c r="T75" s="1841">
        <f t="shared" si="6"/>
        <v>0</v>
      </c>
      <c r="U75" s="1841">
        <f t="shared" si="6"/>
        <v>0</v>
      </c>
      <c r="V75" s="1841">
        <f t="shared" si="6"/>
        <v>-100000000</v>
      </c>
      <c r="W75" s="1841">
        <f t="shared" si="6"/>
        <v>0</v>
      </c>
      <c r="X75" s="1841">
        <f t="shared" si="6"/>
        <v>-100000000.00024414</v>
      </c>
    </row>
    <row r="76" spans="1:24">
      <c r="B76" s="1570" t="s">
        <v>141</v>
      </c>
      <c r="E76" s="1969">
        <f t="shared" ref="E76:X76" si="7">E7-E8-E14</f>
        <v>0</v>
      </c>
      <c r="F76" s="1969">
        <f t="shared" si="7"/>
        <v>0</v>
      </c>
      <c r="G76" s="1969">
        <f t="shared" si="7"/>
        <v>0</v>
      </c>
      <c r="H76" s="1969">
        <f t="shared" si="7"/>
        <v>1.52587890625E-5</v>
      </c>
      <c r="I76" s="1969">
        <f t="shared" si="7"/>
        <v>0</v>
      </c>
      <c r="J76" s="1969">
        <f t="shared" si="7"/>
        <v>0</v>
      </c>
      <c r="K76" s="1969">
        <f t="shared" si="7"/>
        <v>-100000000</v>
      </c>
      <c r="L76" s="1969">
        <f t="shared" si="7"/>
        <v>100000000.00003052</v>
      </c>
      <c r="M76" s="1969">
        <f t="shared" si="7"/>
        <v>-100000000</v>
      </c>
      <c r="N76" s="1969">
        <f t="shared" si="7"/>
        <v>0</v>
      </c>
      <c r="O76" s="1969">
        <f t="shared" si="7"/>
        <v>0</v>
      </c>
      <c r="P76" s="1969">
        <f t="shared" si="7"/>
        <v>0</v>
      </c>
      <c r="Q76" s="1969">
        <f t="shared" si="7"/>
        <v>0</v>
      </c>
      <c r="R76" s="1969">
        <f t="shared" si="7"/>
        <v>100000000</v>
      </c>
      <c r="S76" s="1969">
        <f t="shared" si="7"/>
        <v>0</v>
      </c>
      <c r="T76" s="1841">
        <f t="shared" si="7"/>
        <v>0</v>
      </c>
      <c r="U76" s="1841">
        <f t="shared" si="7"/>
        <v>100000000</v>
      </c>
      <c r="V76" s="1841">
        <f t="shared" si="7"/>
        <v>0</v>
      </c>
      <c r="W76" s="1841">
        <f t="shared" si="7"/>
        <v>0</v>
      </c>
      <c r="X76" s="1841">
        <f t="shared" si="7"/>
        <v>0</v>
      </c>
    </row>
    <row r="77" spans="1:24">
      <c r="B77" s="1570" t="s">
        <v>142</v>
      </c>
      <c r="E77" s="1970">
        <f t="shared" ref="E77:X77" si="8">E8-E9-E12-E13</f>
        <v>0</v>
      </c>
      <c r="F77" s="1970">
        <f t="shared" si="8"/>
        <v>0</v>
      </c>
      <c r="G77" s="1970">
        <f t="shared" si="8"/>
        <v>-100000000</v>
      </c>
      <c r="H77" s="1970">
        <f t="shared" si="8"/>
        <v>0</v>
      </c>
      <c r="I77" s="1970">
        <f t="shared" si="8"/>
        <v>0</v>
      </c>
      <c r="J77" s="1970">
        <f t="shared" si="8"/>
        <v>0</v>
      </c>
      <c r="K77" s="1970">
        <f t="shared" si="8"/>
        <v>0</v>
      </c>
      <c r="L77" s="1970">
        <f t="shared" si="8"/>
        <v>-100000000.00003433</v>
      </c>
      <c r="M77" s="1970">
        <f t="shared" si="8"/>
        <v>0</v>
      </c>
      <c r="N77" s="1970">
        <f t="shared" si="8"/>
        <v>0</v>
      </c>
      <c r="O77" s="1970">
        <f t="shared" si="8"/>
        <v>0</v>
      </c>
      <c r="P77" s="1970">
        <f t="shared" si="8"/>
        <v>0</v>
      </c>
      <c r="Q77" s="1970">
        <f t="shared" si="8"/>
        <v>0</v>
      </c>
      <c r="R77" s="1970">
        <f t="shared" si="8"/>
        <v>-100000000</v>
      </c>
      <c r="S77" s="1970">
        <f t="shared" si="8"/>
        <v>0</v>
      </c>
      <c r="T77" s="1841">
        <f t="shared" si="8"/>
        <v>-100000000</v>
      </c>
      <c r="U77" s="1841">
        <f t="shared" si="8"/>
        <v>-100000000</v>
      </c>
      <c r="V77" s="1841">
        <f t="shared" si="8"/>
        <v>-100000000</v>
      </c>
      <c r="W77" s="1841">
        <f t="shared" si="8"/>
        <v>0</v>
      </c>
      <c r="X77" s="1841">
        <f t="shared" si="8"/>
        <v>100000000</v>
      </c>
    </row>
    <row r="78" spans="1:24">
      <c r="B78" s="1570" t="s">
        <v>143</v>
      </c>
      <c r="E78" s="1589">
        <f t="shared" ref="E78:V78" si="9">E17-E18-E21</f>
        <v>0</v>
      </c>
      <c r="F78" s="1589">
        <f t="shared" si="9"/>
        <v>0</v>
      </c>
      <c r="G78" s="1589">
        <f t="shared" si="9"/>
        <v>0</v>
      </c>
      <c r="H78" s="1589">
        <f t="shared" si="9"/>
        <v>0</v>
      </c>
      <c r="I78" s="1589">
        <f t="shared" si="9"/>
        <v>0</v>
      </c>
      <c r="J78" s="1589">
        <f t="shared" si="9"/>
        <v>0</v>
      </c>
      <c r="K78" s="1589">
        <f t="shared" si="9"/>
        <v>0</v>
      </c>
      <c r="L78" s="1589">
        <f t="shared" si="9"/>
        <v>0</v>
      </c>
      <c r="M78" s="1589">
        <f t="shared" si="9"/>
        <v>0</v>
      </c>
      <c r="N78" s="1589">
        <f t="shared" si="9"/>
        <v>0</v>
      </c>
      <c r="O78" s="1589">
        <f t="shared" si="9"/>
        <v>0</v>
      </c>
      <c r="P78" s="1589">
        <f t="shared" si="9"/>
        <v>0</v>
      </c>
      <c r="Q78" s="1589">
        <f t="shared" si="9"/>
        <v>0</v>
      </c>
      <c r="R78" s="1589">
        <f t="shared" si="9"/>
        <v>0</v>
      </c>
      <c r="S78" s="1589">
        <f t="shared" si="9"/>
        <v>0</v>
      </c>
      <c r="T78" s="1841">
        <f t="shared" si="9"/>
        <v>100000000</v>
      </c>
      <c r="U78" s="1841">
        <f t="shared" si="9"/>
        <v>0</v>
      </c>
      <c r="V78" s="1841">
        <f t="shared" si="9"/>
        <v>0</v>
      </c>
      <c r="W78" s="1841">
        <f t="shared" ref="W78:X78" si="10">W17-W18-W21</f>
        <v>0</v>
      </c>
      <c r="X78" s="1841">
        <f t="shared" si="10"/>
        <v>0</v>
      </c>
    </row>
    <row r="79" spans="1:24">
      <c r="B79" s="1570" t="s">
        <v>5467</v>
      </c>
      <c r="E79" s="1971">
        <f t="shared" ref="E79:V79" si="11">E21-E22-E23</f>
        <v>28100000000</v>
      </c>
      <c r="F79" s="1971">
        <f t="shared" si="11"/>
        <v>19800000000</v>
      </c>
      <c r="G79" s="1971">
        <f t="shared" si="11"/>
        <v>22100000000</v>
      </c>
      <c r="H79" s="1971">
        <f t="shared" si="11"/>
        <v>34800000000</v>
      </c>
      <c r="I79" s="1971">
        <f t="shared" si="11"/>
        <v>57800000000</v>
      </c>
      <c r="J79" s="1971">
        <f t="shared" si="11"/>
        <v>95900000000</v>
      </c>
      <c r="K79" s="1971">
        <f t="shared" si="11"/>
        <v>53400000000</v>
      </c>
      <c r="L79" s="1971">
        <f t="shared" si="11"/>
        <v>59800000000</v>
      </c>
      <c r="M79" s="1971">
        <f t="shared" si="11"/>
        <v>90700000000</v>
      </c>
      <c r="N79" s="1971">
        <f t="shared" si="11"/>
        <v>126300000000</v>
      </c>
      <c r="O79" s="1971">
        <f t="shared" si="11"/>
        <v>164000000000</v>
      </c>
      <c r="P79" s="1589">
        <f t="shared" si="11"/>
        <v>0</v>
      </c>
      <c r="Q79" s="1589">
        <f t="shared" si="11"/>
        <v>0</v>
      </c>
      <c r="R79" s="1589">
        <f t="shared" si="11"/>
        <v>0</v>
      </c>
      <c r="S79" s="2014">
        <f>S21-S22-S23</f>
        <v>241000000000</v>
      </c>
      <c r="T79" s="2015">
        <f t="shared" si="11"/>
        <v>168900000000</v>
      </c>
      <c r="U79" s="2015">
        <f t="shared" si="11"/>
        <v>146000000000</v>
      </c>
      <c r="V79" s="2015">
        <f t="shared" si="11"/>
        <v>170300000000</v>
      </c>
      <c r="W79" s="2015">
        <f t="shared" ref="W79:X79" si="12">W21-W22-W23</f>
        <v>192200000000</v>
      </c>
      <c r="X79" s="2015">
        <f t="shared" si="12"/>
        <v>216200000000</v>
      </c>
    </row>
    <row r="80" spans="1:24">
      <c r="B80" s="1570" t="s">
        <v>5468</v>
      </c>
      <c r="E80" s="1971"/>
      <c r="F80" s="1971"/>
      <c r="G80" s="1971"/>
      <c r="H80" s="1971"/>
      <c r="I80" s="1971"/>
      <c r="J80" s="1971"/>
      <c r="K80" s="1971"/>
      <c r="L80" s="1971"/>
      <c r="M80" s="1971"/>
      <c r="N80" s="1971"/>
      <c r="O80" s="1971"/>
      <c r="P80" s="1589"/>
      <c r="Q80" s="1589"/>
      <c r="R80" s="1589"/>
      <c r="S80" s="1589">
        <f>S18-S19-S20</f>
        <v>0</v>
      </c>
      <c r="T80" s="1841">
        <f t="shared" ref="T80:V80" si="13">T18-T19-T20</f>
        <v>0</v>
      </c>
      <c r="U80" s="1841">
        <f t="shared" si="13"/>
        <v>0</v>
      </c>
      <c r="V80" s="1841">
        <f t="shared" si="13"/>
        <v>0</v>
      </c>
      <c r="W80" s="1841">
        <f t="shared" ref="W80:X80" si="14">W18-W19-W20</f>
        <v>0</v>
      </c>
      <c r="X80" s="1841">
        <f t="shared" si="14"/>
        <v>0</v>
      </c>
    </row>
    <row r="81" spans="2:24">
      <c r="B81" s="1570" t="s">
        <v>145</v>
      </c>
      <c r="E81" s="1589">
        <f t="shared" ref="E81:R81" si="15">E25-E26-E36-E39-E40-E45</f>
        <v>0</v>
      </c>
      <c r="F81" s="1589">
        <f t="shared" si="15"/>
        <v>0</v>
      </c>
      <c r="G81" s="1589">
        <f t="shared" si="15"/>
        <v>0</v>
      </c>
      <c r="H81" s="1589">
        <f t="shared" si="15"/>
        <v>0</v>
      </c>
      <c r="I81" s="1589">
        <f t="shared" si="15"/>
        <v>0</v>
      </c>
      <c r="J81" s="1589">
        <f t="shared" si="15"/>
        <v>0</v>
      </c>
      <c r="K81" s="1589">
        <f t="shared" si="15"/>
        <v>-1.52587890625E-5</v>
      </c>
      <c r="L81" s="1589">
        <f t="shared" si="15"/>
        <v>0</v>
      </c>
      <c r="M81" s="1589">
        <f t="shared" si="15"/>
        <v>0</v>
      </c>
      <c r="N81" s="1589">
        <f t="shared" si="15"/>
        <v>0</v>
      </c>
      <c r="O81" s="1589">
        <f t="shared" si="15"/>
        <v>0</v>
      </c>
      <c r="P81" s="1589">
        <f t="shared" si="15"/>
        <v>0</v>
      </c>
      <c r="Q81" s="1589">
        <f t="shared" si="15"/>
        <v>1.52587890625E-5</v>
      </c>
      <c r="R81" s="1589">
        <f t="shared" si="15"/>
        <v>0</v>
      </c>
      <c r="S81" s="1589">
        <f>S25-S26-S36-S39-S40-S45</f>
        <v>0</v>
      </c>
      <c r="T81" s="1841">
        <f>T25-T26-T36-T39-T40-T45</f>
        <v>0</v>
      </c>
      <c r="U81" s="1841">
        <f>U25-U26-U36-U39-U40-U45</f>
        <v>1.220703125E-4</v>
      </c>
      <c r="V81" s="1841">
        <f>V25-V26-V36-V39-V40-V45</f>
        <v>0</v>
      </c>
      <c r="W81" s="1841">
        <f t="shared" ref="W81:X81" si="16">W25-W26-W36-W39-W40-W45</f>
        <v>0</v>
      </c>
      <c r="X81" s="1841">
        <f t="shared" si="16"/>
        <v>0</v>
      </c>
    </row>
    <row r="82" spans="2:24">
      <c r="B82" s="1570" t="s">
        <v>361</v>
      </c>
      <c r="E82" s="1589">
        <f t="shared" ref="E82:R82" si="17">E26-E27-E28-E29-E33-E34</f>
        <v>100000000</v>
      </c>
      <c r="F82" s="1589">
        <f t="shared" si="17"/>
        <v>0</v>
      </c>
      <c r="G82" s="1589">
        <f t="shared" si="17"/>
        <v>0</v>
      </c>
      <c r="H82" s="1589">
        <f t="shared" si="17"/>
        <v>100000000</v>
      </c>
      <c r="I82" s="1589">
        <f t="shared" si="17"/>
        <v>0</v>
      </c>
      <c r="J82" s="1589">
        <f t="shared" si="17"/>
        <v>-100000000.00000381</v>
      </c>
      <c r="K82" s="1589">
        <f t="shared" si="17"/>
        <v>-100000000</v>
      </c>
      <c r="L82" s="1589">
        <f t="shared" si="17"/>
        <v>0</v>
      </c>
      <c r="M82" s="1589">
        <f t="shared" si="17"/>
        <v>0</v>
      </c>
      <c r="N82" s="1589">
        <f t="shared" si="17"/>
        <v>100000000</v>
      </c>
      <c r="O82" s="1589">
        <f t="shared" si="17"/>
        <v>-100000000.00000763</v>
      </c>
      <c r="P82" s="1589">
        <f t="shared" si="17"/>
        <v>0</v>
      </c>
      <c r="Q82" s="1589">
        <f t="shared" si="17"/>
        <v>0</v>
      </c>
      <c r="R82" s="1589">
        <f t="shared" si="17"/>
        <v>0</v>
      </c>
      <c r="S82" s="1589">
        <f>S26-S27-S28-S29-S33-S34-S35</f>
        <v>0</v>
      </c>
      <c r="T82" s="1841">
        <f t="shared" ref="T82:V82" si="18">T26-T27-T28-T29-T33-T34-T35</f>
        <v>0</v>
      </c>
      <c r="U82" s="1841">
        <f t="shared" si="18"/>
        <v>0</v>
      </c>
      <c r="V82" s="1841">
        <f t="shared" si="18"/>
        <v>-100000000</v>
      </c>
      <c r="W82" s="1841">
        <f t="shared" ref="W82:X82" si="19">W26-W27-W28-W29-W33-W34-W35</f>
        <v>-100000000</v>
      </c>
      <c r="X82" s="1841">
        <f t="shared" si="19"/>
        <v>-100000000</v>
      </c>
    </row>
    <row r="83" spans="2:24">
      <c r="B83" s="1570" t="s">
        <v>936</v>
      </c>
      <c r="E83" s="1590">
        <f>E29-E30-E31</f>
        <v>-100000000</v>
      </c>
      <c r="F83" s="1590">
        <f t="shared" ref="F83:V83" si="20">F29-F30-F31</f>
        <v>0</v>
      </c>
      <c r="G83" s="1590">
        <f t="shared" si="20"/>
        <v>0</v>
      </c>
      <c r="H83" s="1590">
        <f t="shared" si="20"/>
        <v>0</v>
      </c>
      <c r="I83" s="1590">
        <f t="shared" si="20"/>
        <v>0</v>
      </c>
      <c r="J83" s="1590">
        <f t="shared" si="20"/>
        <v>0</v>
      </c>
      <c r="K83" s="1590">
        <f t="shared" si="20"/>
        <v>0</v>
      </c>
      <c r="L83" s="1590">
        <f t="shared" si="20"/>
        <v>100000000</v>
      </c>
      <c r="M83" s="1590">
        <f t="shared" si="20"/>
        <v>0</v>
      </c>
      <c r="N83" s="1590">
        <f t="shared" si="20"/>
        <v>0</v>
      </c>
      <c r="O83" s="1590">
        <f t="shared" si="20"/>
        <v>0</v>
      </c>
      <c r="P83" s="1590">
        <f t="shared" si="20"/>
        <v>0</v>
      </c>
      <c r="Q83" s="1590">
        <f t="shared" si="20"/>
        <v>0</v>
      </c>
      <c r="R83" s="1590">
        <f t="shared" si="20"/>
        <v>0</v>
      </c>
      <c r="S83" s="1590">
        <f t="shared" si="20"/>
        <v>0</v>
      </c>
      <c r="T83" s="1841">
        <f t="shared" si="20"/>
        <v>0</v>
      </c>
      <c r="U83" s="1841">
        <f t="shared" si="20"/>
        <v>0</v>
      </c>
      <c r="V83" s="1841">
        <f t="shared" si="20"/>
        <v>0</v>
      </c>
      <c r="W83" s="1841">
        <f t="shared" ref="W83:X83" si="21">W29-W30-W31</f>
        <v>0</v>
      </c>
      <c r="X83" s="1841">
        <f t="shared" si="21"/>
        <v>-100000000</v>
      </c>
    </row>
    <row r="84" spans="2:24">
      <c r="B84" s="1570" t="s">
        <v>876</v>
      </c>
      <c r="E84" s="1590">
        <f>E36-E37-E38</f>
        <v>0</v>
      </c>
      <c r="F84" s="1590">
        <f t="shared" ref="F84:V84" si="22">F36-F37-F38</f>
        <v>0</v>
      </c>
      <c r="G84" s="1590">
        <f t="shared" si="22"/>
        <v>0</v>
      </c>
      <c r="H84" s="1590">
        <f t="shared" si="22"/>
        <v>0</v>
      </c>
      <c r="I84" s="1590">
        <f t="shared" si="22"/>
        <v>0</v>
      </c>
      <c r="J84" s="1590">
        <f t="shared" si="22"/>
        <v>0</v>
      </c>
      <c r="K84" s="1590">
        <f t="shared" si="22"/>
        <v>0</v>
      </c>
      <c r="L84" s="1590">
        <f t="shared" si="22"/>
        <v>0</v>
      </c>
      <c r="M84" s="1590">
        <f t="shared" si="22"/>
        <v>-100000000</v>
      </c>
      <c r="N84" s="1590">
        <f t="shared" si="22"/>
        <v>0</v>
      </c>
      <c r="O84" s="1590">
        <f t="shared" si="22"/>
        <v>0</v>
      </c>
      <c r="P84" s="1590">
        <f t="shared" si="22"/>
        <v>0</v>
      </c>
      <c r="Q84" s="1590">
        <f t="shared" si="22"/>
        <v>0</v>
      </c>
      <c r="R84" s="1590">
        <f t="shared" si="22"/>
        <v>-100000000</v>
      </c>
      <c r="S84" s="1590">
        <f t="shared" si="22"/>
        <v>0</v>
      </c>
      <c r="T84" s="1841">
        <f t="shared" si="22"/>
        <v>0</v>
      </c>
      <c r="U84" s="1841">
        <f t="shared" si="22"/>
        <v>0</v>
      </c>
      <c r="V84" s="1841">
        <f t="shared" si="22"/>
        <v>100000000</v>
      </c>
      <c r="W84" s="1841">
        <f t="shared" ref="W84:X84" si="23">W36-W37-W38</f>
        <v>100000000</v>
      </c>
      <c r="X84" s="1841">
        <f t="shared" si="23"/>
        <v>0</v>
      </c>
    </row>
    <row r="85" spans="2:24">
      <c r="B85" s="1570" t="s">
        <v>148</v>
      </c>
      <c r="E85" s="1590">
        <f>E55-E56-E63-E70</f>
        <v>0</v>
      </c>
      <c r="F85" s="1590">
        <f t="shared" ref="F85:R85" si="24">F55-F56-F63-F70</f>
        <v>0</v>
      </c>
      <c r="G85" s="1590">
        <f t="shared" si="24"/>
        <v>100000000</v>
      </c>
      <c r="H85" s="1590">
        <f t="shared" si="24"/>
        <v>0</v>
      </c>
      <c r="I85" s="1590">
        <f t="shared" si="24"/>
        <v>0</v>
      </c>
      <c r="J85" s="1590">
        <f t="shared" si="24"/>
        <v>0</v>
      </c>
      <c r="K85" s="1590">
        <f t="shared" si="24"/>
        <v>-100000000</v>
      </c>
      <c r="L85" s="1590">
        <f t="shared" si="24"/>
        <v>0</v>
      </c>
      <c r="M85" s="1590">
        <f t="shared" si="24"/>
        <v>0</v>
      </c>
      <c r="N85" s="1590">
        <f t="shared" si="24"/>
        <v>0</v>
      </c>
      <c r="O85" s="1590">
        <f t="shared" si="24"/>
        <v>100000000</v>
      </c>
      <c r="P85" s="1590">
        <f t="shared" si="24"/>
        <v>0</v>
      </c>
      <c r="Q85" s="1590">
        <f t="shared" si="24"/>
        <v>0</v>
      </c>
      <c r="R85" s="1590">
        <f t="shared" si="24"/>
        <v>0</v>
      </c>
      <c r="S85" s="1590">
        <f>S55-S56-S63-S70</f>
        <v>0</v>
      </c>
      <c r="T85" s="1841">
        <f>T55-T56-T63-T70</f>
        <v>0</v>
      </c>
      <c r="U85" s="1841">
        <f>U55-U56-U63-U70</f>
        <v>-100000000</v>
      </c>
      <c r="V85" s="1841">
        <f>V55-V56-V63-V70</f>
        <v>0</v>
      </c>
      <c r="W85" s="1841">
        <f t="shared" ref="W85:X85" si="25">W55-W56-W63-W70</f>
        <v>0</v>
      </c>
      <c r="X85" s="1841">
        <f t="shared" si="25"/>
        <v>0</v>
      </c>
    </row>
    <row r="86" spans="2:24">
      <c r="B86" s="1570" t="s">
        <v>528</v>
      </c>
      <c r="E86" s="1590">
        <f>E56-E57-E61-E62</f>
        <v>0</v>
      </c>
      <c r="F86" s="1590">
        <f t="shared" ref="F86:V86" si="26">F56-F57-F61-F62</f>
        <v>0</v>
      </c>
      <c r="G86" s="1590">
        <f t="shared" si="26"/>
        <v>-100000000</v>
      </c>
      <c r="H86" s="1590">
        <f t="shared" si="26"/>
        <v>0</v>
      </c>
      <c r="I86" s="1590">
        <f>I56-I57-I61-I62</f>
        <v>0</v>
      </c>
      <c r="J86" s="1590">
        <f t="shared" si="26"/>
        <v>0</v>
      </c>
      <c r="K86" s="1590">
        <f t="shared" si="26"/>
        <v>100000000</v>
      </c>
      <c r="L86" s="1590">
        <f t="shared" si="26"/>
        <v>0</v>
      </c>
      <c r="M86" s="1590">
        <f t="shared" si="26"/>
        <v>-100000000</v>
      </c>
      <c r="N86" s="1590">
        <f t="shared" si="26"/>
        <v>0</v>
      </c>
      <c r="O86" s="1590">
        <f t="shared" si="26"/>
        <v>0</v>
      </c>
      <c r="P86" s="1590">
        <f t="shared" si="26"/>
        <v>0</v>
      </c>
      <c r="Q86" s="1590">
        <f t="shared" si="26"/>
        <v>0</v>
      </c>
      <c r="R86" s="1590">
        <f t="shared" si="26"/>
        <v>-100000000</v>
      </c>
      <c r="S86" s="1590">
        <f t="shared" si="26"/>
        <v>0</v>
      </c>
      <c r="T86" s="1841">
        <f t="shared" si="26"/>
        <v>1.9073486328125E-6</v>
      </c>
      <c r="U86" s="1841">
        <f t="shared" si="26"/>
        <v>0</v>
      </c>
      <c r="V86" s="1841">
        <f t="shared" si="26"/>
        <v>0</v>
      </c>
      <c r="W86" s="1841">
        <f t="shared" ref="W86:X86" si="27">W56-W57-W61-W62</f>
        <v>0</v>
      </c>
      <c r="X86" s="1841">
        <f t="shared" si="27"/>
        <v>0</v>
      </c>
    </row>
    <row r="87" spans="2:24">
      <c r="B87" s="1570" t="s">
        <v>297</v>
      </c>
      <c r="E87" s="1590">
        <f t="shared" ref="E87:N87" si="28">E63-E64-E67-E68</f>
        <v>0</v>
      </c>
      <c r="F87" s="1590">
        <f t="shared" si="28"/>
        <v>0</v>
      </c>
      <c r="G87" s="1590">
        <f t="shared" si="28"/>
        <v>-100000000</v>
      </c>
      <c r="H87" s="1590">
        <f t="shared" si="28"/>
        <v>0</v>
      </c>
      <c r="I87" s="1590">
        <f t="shared" si="28"/>
        <v>0</v>
      </c>
      <c r="J87" s="1590">
        <f t="shared" si="28"/>
        <v>0</v>
      </c>
      <c r="K87" s="1590">
        <f t="shared" si="28"/>
        <v>0</v>
      </c>
      <c r="L87" s="1590">
        <f t="shared" si="28"/>
        <v>0</v>
      </c>
      <c r="M87" s="1590">
        <f t="shared" si="28"/>
        <v>100000000</v>
      </c>
      <c r="N87" s="1590">
        <f t="shared" si="28"/>
        <v>0</v>
      </c>
      <c r="O87" s="1590">
        <f>O63-O64-O67-O68</f>
        <v>0</v>
      </c>
      <c r="P87" s="1590">
        <f t="shared" ref="P87:V87" si="29">P63-P64-P67-P68</f>
        <v>0</v>
      </c>
      <c r="Q87" s="1590">
        <f t="shared" si="29"/>
        <v>0</v>
      </c>
      <c r="R87" s="1590">
        <f t="shared" si="29"/>
        <v>0</v>
      </c>
      <c r="S87" s="1590">
        <f t="shared" si="29"/>
        <v>0</v>
      </c>
      <c r="T87" s="1841">
        <f t="shared" si="29"/>
        <v>0</v>
      </c>
      <c r="U87" s="1841">
        <f t="shared" si="29"/>
        <v>3.814697265625E-6</v>
      </c>
      <c r="V87" s="1841">
        <f t="shared" si="29"/>
        <v>0</v>
      </c>
      <c r="W87" s="1841">
        <f t="shared" ref="W87:X87" si="30">W63-W64-W67-W68</f>
        <v>0</v>
      </c>
      <c r="X87" s="1841">
        <f t="shared" si="30"/>
        <v>0</v>
      </c>
    </row>
    <row r="90" spans="2:24" ht="15.75" thickBot="1"/>
    <row r="91" spans="2:24" ht="15.75" thickBot="1">
      <c r="B91" s="1570" t="s">
        <v>623</v>
      </c>
      <c r="E91" s="1996">
        <v>741668000000</v>
      </c>
      <c r="F91" s="1997">
        <v>797228000000</v>
      </c>
      <c r="G91" s="1997">
        <v>992341000000</v>
      </c>
      <c r="H91" s="1998">
        <v>1205933000000</v>
      </c>
      <c r="I91" s="1998">
        <v>1439514000000</v>
      </c>
      <c r="J91" s="1998">
        <v>1716000000000</v>
      </c>
      <c r="K91" s="1998">
        <v>2027600000000</v>
      </c>
      <c r="L91" s="1998">
        <v>2556000000000</v>
      </c>
      <c r="M91" s="1998">
        <v>2960000000000</v>
      </c>
      <c r="N91" s="1998">
        <v>3280000000000</v>
      </c>
      <c r="O91" s="1998">
        <v>3846000000000</v>
      </c>
      <c r="P91" s="1998">
        <v>4479000000000</v>
      </c>
      <c r="Q91" s="1998">
        <v>4915000000000</v>
      </c>
      <c r="R91" s="1999">
        <v>5442663000000</v>
      </c>
      <c r="S91" s="1999">
        <v>6136794000000</v>
      </c>
      <c r="T91" s="1999">
        <v>7022190000000</v>
      </c>
      <c r="U91" s="1999">
        <v>7954681000000</v>
      </c>
      <c r="V91" s="1999">
        <v>9007686000000</v>
      </c>
      <c r="W91" s="2000"/>
    </row>
    <row r="92" spans="2:24">
      <c r="B92" s="1570" t="s">
        <v>363</v>
      </c>
      <c r="E92" s="1570">
        <f t="shared" ref="E92:V92" si="31">(E6/E91)*100</f>
        <v>19.981986549237664</v>
      </c>
      <c r="F92" s="1570">
        <f t="shared" si="31"/>
        <v>20.107171348723327</v>
      </c>
      <c r="G92" s="1570">
        <f t="shared" si="31"/>
        <v>19.700889109691126</v>
      </c>
      <c r="H92" s="1570">
        <f t="shared" si="31"/>
        <v>22.604904252557979</v>
      </c>
      <c r="I92" s="1570">
        <f t="shared" si="31"/>
        <v>24.272080716130585</v>
      </c>
      <c r="J92" s="1570">
        <f t="shared" si="31"/>
        <v>21.911421911421911</v>
      </c>
      <c r="K92" s="1570">
        <f t="shared" si="31"/>
        <v>19.135924245413296</v>
      </c>
      <c r="L92" s="1570">
        <f t="shared" si="31"/>
        <v>20.273865414710489</v>
      </c>
      <c r="M92" s="1570">
        <f t="shared" si="31"/>
        <v>22.658783783783782</v>
      </c>
      <c r="N92" s="1570">
        <f t="shared" si="31"/>
        <v>24.411585365853657</v>
      </c>
      <c r="O92" s="1570">
        <f t="shared" si="31"/>
        <v>21.950078003120126</v>
      </c>
      <c r="P92" s="1570">
        <f t="shared" si="31"/>
        <v>23.422638981915604</v>
      </c>
      <c r="Q92" s="1570">
        <f t="shared" si="31"/>
        <v>22.406917599186166</v>
      </c>
      <c r="R92" s="1570">
        <f t="shared" si="31"/>
        <v>24.554156669262824</v>
      </c>
      <c r="S92" s="1570">
        <f t="shared" si="31"/>
        <v>23.11956373311537</v>
      </c>
      <c r="T92" s="1570">
        <f t="shared" si="31"/>
        <v>21.954689349049229</v>
      </c>
      <c r="U92" s="1570">
        <f t="shared" si="31"/>
        <v>20.312568159552846</v>
      </c>
      <c r="V92" s="1570">
        <f t="shared" si="31"/>
        <v>19.61102995819348</v>
      </c>
    </row>
    <row r="93" spans="2:24">
      <c r="B93" s="1570" t="s">
        <v>152</v>
      </c>
      <c r="E93" s="1570">
        <f>(E24/E91)*100</f>
        <v>21.316815610219127</v>
      </c>
      <c r="F93" s="1570">
        <f t="shared" ref="F93:V93" si="32">(F24/F91)*100</f>
        <v>21.900886571971885</v>
      </c>
      <c r="G93" s="1570">
        <f t="shared" si="32"/>
        <v>21.766711241397864</v>
      </c>
      <c r="H93" s="1570">
        <f t="shared" si="32"/>
        <v>22.79562794947978</v>
      </c>
      <c r="I93" s="1570">
        <f t="shared" si="32"/>
        <v>23.667710074372323</v>
      </c>
      <c r="J93" s="1570">
        <f t="shared" si="32"/>
        <v>22.29020979020979</v>
      </c>
      <c r="K93" s="1570">
        <f t="shared" si="32"/>
        <v>20.428092325902544</v>
      </c>
      <c r="L93" s="1570">
        <f t="shared" si="32"/>
        <v>20.414710485133018</v>
      </c>
      <c r="M93" s="1570">
        <f t="shared" si="32"/>
        <v>24.702702702702702</v>
      </c>
      <c r="N93" s="1570">
        <f t="shared" si="32"/>
        <v>24.51829268292683</v>
      </c>
      <c r="O93" s="1570">
        <f t="shared" si="32"/>
        <v>24.921996879875195</v>
      </c>
      <c r="P93" s="1570">
        <f t="shared" si="32"/>
        <v>24.516633177048448</v>
      </c>
      <c r="Q93" s="1570">
        <f t="shared" si="32"/>
        <v>27.173957273652082</v>
      </c>
      <c r="R93" s="1570">
        <f t="shared" si="32"/>
        <v>28.274761821556837</v>
      </c>
      <c r="S93" s="1570">
        <f t="shared" si="32"/>
        <v>28.029293471477125</v>
      </c>
      <c r="T93" s="1570">
        <f t="shared" si="32"/>
        <v>25.030652830527227</v>
      </c>
      <c r="U93" s="1570">
        <f t="shared" si="32"/>
        <v>24.424612376033682</v>
      </c>
      <c r="V93" s="1570">
        <f t="shared" si="32"/>
        <v>23.229051279096542</v>
      </c>
    </row>
    <row r="96" spans="2:24">
      <c r="B96" s="1570" t="s">
        <v>153</v>
      </c>
      <c r="E96" s="1570" t="b">
        <f>IF(E40&lt;0, (E40/E24)*100)</f>
        <v>0</v>
      </c>
      <c r="F96" s="1570" t="b">
        <f t="shared" ref="F96:V96" si="33">IF(F40&lt;0, (F40/F24)*100)</f>
        <v>0</v>
      </c>
      <c r="G96" s="1570" t="b">
        <f t="shared" si="33"/>
        <v>0</v>
      </c>
      <c r="H96" s="1570" t="b">
        <f t="shared" si="33"/>
        <v>0</v>
      </c>
      <c r="I96" s="1570" t="b">
        <f t="shared" si="33"/>
        <v>0</v>
      </c>
      <c r="J96" s="1570" t="b">
        <f t="shared" si="33"/>
        <v>0</v>
      </c>
      <c r="K96" s="1570" t="b">
        <f t="shared" si="33"/>
        <v>0</v>
      </c>
      <c r="L96" s="1570" t="b">
        <f t="shared" si="33"/>
        <v>0</v>
      </c>
      <c r="M96" s="1570" t="b">
        <f t="shared" si="33"/>
        <v>0</v>
      </c>
      <c r="N96" s="1570" t="b">
        <f t="shared" si="33"/>
        <v>0</v>
      </c>
      <c r="O96" s="1570" t="b">
        <f t="shared" si="33"/>
        <v>0</v>
      </c>
      <c r="P96" s="1570" t="b">
        <f t="shared" si="33"/>
        <v>0</v>
      </c>
      <c r="Q96" s="1570" t="b">
        <f t="shared" si="33"/>
        <v>0</v>
      </c>
      <c r="R96" s="1570" t="b">
        <f t="shared" si="33"/>
        <v>0</v>
      </c>
      <c r="S96" s="1570" t="b">
        <f t="shared" si="33"/>
        <v>0</v>
      </c>
      <c r="T96" s="1570" t="b">
        <f t="shared" si="33"/>
        <v>0</v>
      </c>
      <c r="U96" s="1570" t="b">
        <f t="shared" si="33"/>
        <v>0</v>
      </c>
      <c r="V96" s="1570" t="b">
        <f t="shared" si="33"/>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A54"/>
  <sheetViews>
    <sheetView zoomScale="60" zoomScaleNormal="60" workbookViewId="0">
      <pane xSplit="3" ySplit="5" topLeftCell="O6" activePane="bottomRight" state="frozen"/>
      <selection pane="topRight" activeCell="D1" sqref="D1"/>
      <selection pane="bottomLeft" activeCell="A6" sqref="A6"/>
      <selection pane="bottomRight" activeCell="X69" sqref="X69"/>
    </sheetView>
  </sheetViews>
  <sheetFormatPr defaultRowHeight="15.75"/>
  <cols>
    <col min="1" max="1" width="30.140625" style="534" bestFit="1" customWidth="1"/>
    <col min="2" max="2" width="60.42578125" style="534" bestFit="1" customWidth="1"/>
    <col min="3" max="3" width="18.85546875" style="534" customWidth="1"/>
    <col min="4" max="5" width="16.85546875" style="534" bestFit="1" customWidth="1"/>
    <col min="6" max="10" width="17" style="534" bestFit="1" customWidth="1"/>
    <col min="11" max="17" width="16.85546875" style="534" bestFit="1" customWidth="1"/>
    <col min="18" max="19" width="17.7109375" style="534" bestFit="1" customWidth="1"/>
    <col min="20" max="20" width="18.28515625" style="534" bestFit="1" customWidth="1"/>
    <col min="21" max="26" width="17.7109375" style="534" bestFit="1" customWidth="1"/>
    <col min="27" max="27" width="8.85546875" style="534"/>
  </cols>
  <sheetData>
    <row r="1" spans="1:27">
      <c r="A1" s="1149" t="s">
        <v>5469</v>
      </c>
      <c r="B1" s="548" t="s">
        <v>5470</v>
      </c>
      <c r="C1" s="548"/>
      <c r="D1" s="549"/>
      <c r="E1" s="549"/>
      <c r="F1" s="549"/>
      <c r="G1" s="549"/>
      <c r="H1" s="549"/>
      <c r="I1" s="549"/>
      <c r="J1" s="549"/>
      <c r="K1" s="549"/>
      <c r="L1" s="549"/>
      <c r="M1" s="549"/>
      <c r="N1" s="549"/>
      <c r="O1" s="550"/>
      <c r="P1" s="550"/>
      <c r="Q1" s="550"/>
      <c r="R1" s="551"/>
      <c r="S1" s="550"/>
      <c r="T1" s="550"/>
      <c r="U1" s="550"/>
      <c r="V1" s="550"/>
      <c r="W1" s="550"/>
    </row>
    <row r="2" spans="1:27">
      <c r="B2" s="552" t="s">
        <v>7186</v>
      </c>
      <c r="C2" s="552"/>
      <c r="D2" s="550"/>
      <c r="E2" s="550"/>
      <c r="F2" s="550"/>
      <c r="G2" s="550"/>
      <c r="H2" s="550"/>
      <c r="I2" s="550"/>
      <c r="J2" s="550"/>
      <c r="K2" s="550"/>
      <c r="L2" s="550"/>
      <c r="M2" s="550"/>
      <c r="N2" s="550"/>
      <c r="O2" s="550"/>
      <c r="P2" s="550"/>
      <c r="Q2" s="550"/>
      <c r="R2" s="553"/>
      <c r="S2" s="554"/>
      <c r="T2" s="555"/>
      <c r="U2" s="550"/>
      <c r="V2" s="550"/>
      <c r="W2" s="550"/>
    </row>
    <row r="3" spans="1:27">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row>
    <row r="4" spans="1:27">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34" t="s">
        <v>26</v>
      </c>
      <c r="Z4" s="534" t="s">
        <v>27</v>
      </c>
    </row>
    <row r="5" spans="1:27">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31</v>
      </c>
      <c r="P5" s="550" t="s">
        <v>31</v>
      </c>
      <c r="Q5" s="550" t="s">
        <v>31</v>
      </c>
      <c r="R5" s="550" t="s">
        <v>31</v>
      </c>
      <c r="S5" s="550" t="s">
        <v>31</v>
      </c>
      <c r="T5" s="550" t="s">
        <v>31</v>
      </c>
      <c r="U5" s="550" t="s">
        <v>369</v>
      </c>
      <c r="V5" s="550" t="s">
        <v>32</v>
      </c>
      <c r="W5" s="550" t="s">
        <v>32</v>
      </c>
      <c r="X5" s="550" t="s">
        <v>32</v>
      </c>
      <c r="Y5" s="550" t="s">
        <v>32</v>
      </c>
      <c r="Z5" s="550" t="s">
        <v>32</v>
      </c>
    </row>
    <row r="6" spans="1:27" s="848" customFormat="1">
      <c r="A6" s="880" t="s">
        <v>33</v>
      </c>
      <c r="B6" s="880" t="s">
        <v>3885</v>
      </c>
      <c r="C6" s="880" t="s">
        <v>35</v>
      </c>
      <c r="D6" s="876">
        <v>251000000</v>
      </c>
      <c r="E6" s="876">
        <v>262399999.99999997</v>
      </c>
      <c r="F6" s="876">
        <v>290800000</v>
      </c>
      <c r="G6" s="876">
        <v>303500000</v>
      </c>
      <c r="H6" s="876">
        <v>317700000</v>
      </c>
      <c r="I6" s="876">
        <v>524400000</v>
      </c>
      <c r="J6" s="876">
        <v>388200000</v>
      </c>
      <c r="K6" s="876">
        <v>486700000</v>
      </c>
      <c r="L6" s="876">
        <v>454900000</v>
      </c>
      <c r="M6" s="876">
        <v>492000000</v>
      </c>
      <c r="N6" s="876">
        <v>525200000.00000006</v>
      </c>
      <c r="O6" s="876">
        <v>567200000</v>
      </c>
      <c r="P6" s="876">
        <v>556100000</v>
      </c>
      <c r="Q6" s="876">
        <v>709200000</v>
      </c>
      <c r="R6" s="876">
        <v>709200000</v>
      </c>
      <c r="S6" s="1647">
        <f>S7+S14</f>
        <v>683500000</v>
      </c>
      <c r="T6" s="1647">
        <f t="shared" ref="T6:Z6" si="0">T7+T14</f>
        <v>741200000</v>
      </c>
      <c r="U6" s="1647">
        <f t="shared" si="0"/>
        <v>730600000</v>
      </c>
      <c r="V6" s="1647">
        <f t="shared" si="0"/>
        <v>799100000</v>
      </c>
      <c r="W6" s="1647">
        <f t="shared" si="0"/>
        <v>845200000</v>
      </c>
      <c r="X6" s="1647">
        <f t="shared" si="0"/>
        <v>907400000</v>
      </c>
      <c r="Y6" s="1647">
        <f t="shared" si="0"/>
        <v>952900000</v>
      </c>
      <c r="Z6" s="1647">
        <f t="shared" si="0"/>
        <v>983800000</v>
      </c>
      <c r="AA6" s="874"/>
    </row>
    <row r="7" spans="1:27">
      <c r="A7" s="380" t="s">
        <v>36</v>
      </c>
      <c r="B7" s="380" t="s">
        <v>4247</v>
      </c>
      <c r="C7" s="865" t="s">
        <v>38</v>
      </c>
      <c r="D7" s="565">
        <v>194400000</v>
      </c>
      <c r="E7" s="565">
        <v>197400000</v>
      </c>
      <c r="F7" s="565">
        <v>198700000</v>
      </c>
      <c r="G7" s="565">
        <v>229300000</v>
      </c>
      <c r="H7" s="565">
        <v>246500000</v>
      </c>
      <c r="I7" s="565">
        <v>283000000</v>
      </c>
      <c r="J7" s="565">
        <v>316400000</v>
      </c>
      <c r="K7" s="565">
        <v>388300000</v>
      </c>
      <c r="L7" s="565">
        <v>378000000</v>
      </c>
      <c r="M7" s="565">
        <v>381400000</v>
      </c>
      <c r="N7" s="565">
        <v>372400000</v>
      </c>
      <c r="O7" s="565">
        <v>423800000</v>
      </c>
      <c r="P7" s="565">
        <v>416800000</v>
      </c>
      <c r="Q7" s="565">
        <v>473500000</v>
      </c>
      <c r="R7" s="565">
        <v>473500000</v>
      </c>
      <c r="S7" s="565">
        <f>S8+S13</f>
        <v>493200000</v>
      </c>
      <c r="T7" s="565">
        <f t="shared" ref="T7:Z7" si="1">T8+T13</f>
        <v>550100000</v>
      </c>
      <c r="U7" s="565">
        <f t="shared" si="1"/>
        <v>576600000</v>
      </c>
      <c r="V7" s="565">
        <f t="shared" si="1"/>
        <v>617600000</v>
      </c>
      <c r="W7" s="565">
        <f t="shared" si="1"/>
        <v>667400000</v>
      </c>
      <c r="X7" s="565">
        <f t="shared" si="1"/>
        <v>718500000</v>
      </c>
      <c r="Y7" s="565">
        <f t="shared" si="1"/>
        <v>754600000</v>
      </c>
      <c r="Z7" s="565">
        <f t="shared" si="1"/>
        <v>794600000</v>
      </c>
    </row>
    <row r="8" spans="1:27">
      <c r="A8" s="566" t="s">
        <v>371</v>
      </c>
      <c r="B8" s="566" t="s">
        <v>943</v>
      </c>
      <c r="C8" s="865" t="s">
        <v>41</v>
      </c>
      <c r="D8" s="565">
        <v>156700000</v>
      </c>
      <c r="E8" s="565">
        <v>174800000</v>
      </c>
      <c r="F8" s="565">
        <v>182700000</v>
      </c>
      <c r="G8" s="565">
        <v>206500000</v>
      </c>
      <c r="H8" s="565">
        <v>219700000</v>
      </c>
      <c r="I8" s="565">
        <v>242200000</v>
      </c>
      <c r="J8" s="565">
        <v>272900000</v>
      </c>
      <c r="K8" s="565">
        <v>334100000</v>
      </c>
      <c r="L8" s="565">
        <v>330200000</v>
      </c>
      <c r="M8" s="565">
        <v>324700000</v>
      </c>
      <c r="N8" s="565">
        <v>324800000</v>
      </c>
      <c r="O8" s="565">
        <v>346000000</v>
      </c>
      <c r="P8" s="565">
        <v>360500000</v>
      </c>
      <c r="Q8" s="565">
        <v>430300000</v>
      </c>
      <c r="R8" s="565">
        <v>430300000</v>
      </c>
      <c r="S8" s="565">
        <v>442000000</v>
      </c>
      <c r="T8" s="866">
        <v>497500000</v>
      </c>
      <c r="U8" s="866">
        <v>517500000</v>
      </c>
      <c r="V8" s="866">
        <v>553400000</v>
      </c>
      <c r="W8" s="866">
        <v>597200000</v>
      </c>
      <c r="X8" s="866">
        <v>642900000</v>
      </c>
      <c r="Y8" s="567">
        <v>675200000</v>
      </c>
      <c r="Z8" s="567">
        <v>711000000</v>
      </c>
    </row>
    <row r="9" spans="1:27">
      <c r="A9" s="2565" t="s">
        <v>5471</v>
      </c>
      <c r="B9" s="2565" t="s">
        <v>5472</v>
      </c>
      <c r="C9" s="2679" t="s">
        <v>44</v>
      </c>
      <c r="D9" s="565"/>
      <c r="E9" s="565"/>
      <c r="F9" s="565"/>
      <c r="G9" s="565"/>
      <c r="H9" s="565"/>
      <c r="I9" s="565"/>
      <c r="J9" s="565"/>
      <c r="K9" s="565"/>
      <c r="L9" s="565"/>
      <c r="M9" s="565"/>
      <c r="N9" s="565"/>
      <c r="O9" s="565"/>
      <c r="P9" s="565"/>
      <c r="Q9" s="565">
        <v>103300000</v>
      </c>
      <c r="R9" s="565">
        <v>103300000</v>
      </c>
      <c r="S9" s="565"/>
      <c r="T9" s="866"/>
      <c r="U9" s="866"/>
      <c r="V9" s="866"/>
      <c r="W9" s="125"/>
      <c r="X9" s="866"/>
      <c r="Y9" s="567"/>
      <c r="Z9" s="567"/>
    </row>
    <row r="10" spans="1:27">
      <c r="A10" s="2565" t="s">
        <v>788</v>
      </c>
      <c r="B10" s="2565" t="s">
        <v>2664</v>
      </c>
      <c r="C10" s="2679" t="s">
        <v>44</v>
      </c>
      <c r="D10" s="565"/>
      <c r="E10" s="565"/>
      <c r="F10" s="565"/>
      <c r="G10" s="565"/>
      <c r="H10" s="565"/>
      <c r="I10" s="565"/>
      <c r="J10" s="565"/>
      <c r="K10" s="565"/>
      <c r="L10" s="565"/>
      <c r="M10" s="565"/>
      <c r="N10" s="565"/>
      <c r="O10" s="565"/>
      <c r="P10" s="565"/>
      <c r="Q10" s="565">
        <v>3000000</v>
      </c>
      <c r="R10" s="565">
        <v>3000000</v>
      </c>
      <c r="S10" s="565"/>
      <c r="T10" s="866"/>
      <c r="U10" s="866"/>
      <c r="V10" s="866"/>
      <c r="W10" s="866"/>
      <c r="X10" s="866"/>
      <c r="Y10" s="567"/>
      <c r="Z10" s="567"/>
    </row>
    <row r="11" spans="1:27">
      <c r="A11" s="2565" t="s">
        <v>5473</v>
      </c>
      <c r="B11" s="2565" t="s">
        <v>3101</v>
      </c>
      <c r="C11" s="2679" t="s">
        <v>44</v>
      </c>
      <c r="D11" s="565"/>
      <c r="E11" s="565"/>
      <c r="F11" s="565"/>
      <c r="G11" s="565"/>
      <c r="H11" s="565"/>
      <c r="I11" s="565"/>
      <c r="J11" s="565"/>
      <c r="K11" s="565"/>
      <c r="L11" s="565"/>
      <c r="M11" s="565"/>
      <c r="N11" s="565"/>
      <c r="O11" s="565"/>
      <c r="P11" s="565"/>
      <c r="Q11" s="565">
        <v>271300000</v>
      </c>
      <c r="R11" s="565">
        <v>271300000</v>
      </c>
      <c r="S11" s="565"/>
      <c r="T11" s="866"/>
      <c r="U11" s="866"/>
      <c r="V11" s="866"/>
      <c r="W11" s="866"/>
      <c r="X11" s="866"/>
      <c r="Y11" s="567"/>
      <c r="Z11" s="567"/>
    </row>
    <row r="12" spans="1:27">
      <c r="A12" s="2565" t="s">
        <v>5474</v>
      </c>
      <c r="B12" s="2565" t="s">
        <v>5475</v>
      </c>
      <c r="C12" s="2679" t="s">
        <v>44</v>
      </c>
      <c r="D12" s="565"/>
      <c r="E12" s="565"/>
      <c r="F12" s="565"/>
      <c r="G12" s="565"/>
      <c r="H12" s="565"/>
      <c r="I12" s="565"/>
      <c r="J12" s="565"/>
      <c r="K12" s="565"/>
      <c r="L12" s="565"/>
      <c r="M12" s="565"/>
      <c r="N12" s="565"/>
      <c r="O12" s="565"/>
      <c r="P12" s="565"/>
      <c r="Q12" s="565">
        <v>52700000</v>
      </c>
      <c r="R12" s="565">
        <v>52700000</v>
      </c>
      <c r="S12" s="565"/>
      <c r="T12" s="866"/>
      <c r="U12" s="866"/>
      <c r="V12" s="866"/>
      <c r="W12" s="866"/>
      <c r="X12" s="866"/>
      <c r="Y12" s="567"/>
      <c r="Z12" s="567"/>
    </row>
    <row r="13" spans="1:27">
      <c r="A13" s="566" t="s">
        <v>3104</v>
      </c>
      <c r="B13" s="566" t="s">
        <v>952</v>
      </c>
      <c r="C13" s="865" t="s">
        <v>41</v>
      </c>
      <c r="D13" s="565">
        <v>37700000</v>
      </c>
      <c r="E13" s="565">
        <v>22500000</v>
      </c>
      <c r="F13" s="565">
        <v>16000000</v>
      </c>
      <c r="G13" s="565">
        <v>22800000</v>
      </c>
      <c r="H13" s="565">
        <v>26800000</v>
      </c>
      <c r="I13" s="565">
        <v>40900000</v>
      </c>
      <c r="J13" s="565">
        <v>43500000</v>
      </c>
      <c r="K13" s="565">
        <v>54200000</v>
      </c>
      <c r="L13" s="565">
        <v>47800000</v>
      </c>
      <c r="M13" s="565">
        <v>56700000</v>
      </c>
      <c r="N13" s="565">
        <v>47600000</v>
      </c>
      <c r="O13" s="565">
        <v>77800000</v>
      </c>
      <c r="P13" s="565">
        <v>56300000</v>
      </c>
      <c r="Q13" s="565">
        <v>43200000</v>
      </c>
      <c r="R13" s="565">
        <v>43200000</v>
      </c>
      <c r="S13" s="866">
        <v>51200000</v>
      </c>
      <c r="T13" s="866">
        <v>52600000</v>
      </c>
      <c r="U13" s="866">
        <v>59100000</v>
      </c>
      <c r="V13" s="866">
        <v>64200000</v>
      </c>
      <c r="W13" s="866">
        <v>70200000</v>
      </c>
      <c r="X13" s="866">
        <v>75600000</v>
      </c>
      <c r="Y13" s="567">
        <v>79400000</v>
      </c>
      <c r="Z13" s="567">
        <v>83600000</v>
      </c>
    </row>
    <row r="14" spans="1:27" s="848" customFormat="1">
      <c r="A14" s="874" t="s">
        <v>53</v>
      </c>
      <c r="B14" s="880" t="s">
        <v>1840</v>
      </c>
      <c r="C14" s="875" t="s">
        <v>38</v>
      </c>
      <c r="D14" s="876">
        <v>56600000</v>
      </c>
      <c r="E14" s="876">
        <v>65099999.999999993</v>
      </c>
      <c r="F14" s="876">
        <v>92100000</v>
      </c>
      <c r="G14" s="876">
        <v>74200000</v>
      </c>
      <c r="H14" s="876">
        <v>71200000</v>
      </c>
      <c r="I14" s="876">
        <v>241400000</v>
      </c>
      <c r="J14" s="876">
        <v>71800000</v>
      </c>
      <c r="K14" s="876">
        <v>98500000</v>
      </c>
      <c r="L14" s="876">
        <v>76900000</v>
      </c>
      <c r="M14" s="876">
        <v>110700000</v>
      </c>
      <c r="N14" s="876">
        <v>152800000</v>
      </c>
      <c r="O14" s="876">
        <v>143400000</v>
      </c>
      <c r="P14" s="876">
        <v>139300000</v>
      </c>
      <c r="Q14" s="876">
        <v>235700000</v>
      </c>
      <c r="R14" s="876">
        <v>235700000</v>
      </c>
      <c r="S14" s="876">
        <v>190300000</v>
      </c>
      <c r="T14" s="1647">
        <v>191100000</v>
      </c>
      <c r="U14" s="1647">
        <v>154000000</v>
      </c>
      <c r="V14" s="1647">
        <v>181500000</v>
      </c>
      <c r="W14" s="1647">
        <v>177800000</v>
      </c>
      <c r="X14" s="1647">
        <v>188900000</v>
      </c>
      <c r="Y14" s="1641">
        <v>198300000</v>
      </c>
      <c r="Z14" s="1641">
        <v>189200000</v>
      </c>
      <c r="AA14" s="874"/>
    </row>
    <row r="15" spans="1:27">
      <c r="A15" s="566"/>
      <c r="B15" s="380" t="s">
        <v>5476</v>
      </c>
      <c r="C15" s="865"/>
      <c r="D15" s="567"/>
      <c r="E15" s="567"/>
      <c r="F15" s="567"/>
      <c r="G15" s="567"/>
      <c r="H15" s="567"/>
      <c r="I15" s="567"/>
      <c r="J15" s="567"/>
      <c r="K15" s="565"/>
      <c r="L15" s="565"/>
      <c r="M15" s="565"/>
      <c r="N15" s="565"/>
      <c r="O15" s="565"/>
      <c r="P15" s="565"/>
      <c r="Q15" s="565"/>
      <c r="R15" s="565"/>
      <c r="S15" s="565"/>
      <c r="T15" s="866"/>
      <c r="U15" s="866"/>
      <c r="V15" s="866"/>
      <c r="W15" s="866"/>
      <c r="X15" s="866"/>
      <c r="Y15" s="567"/>
      <c r="Z15" s="567"/>
    </row>
    <row r="16" spans="1:27" s="848" customFormat="1">
      <c r="A16" s="2019" t="s">
        <v>5477</v>
      </c>
      <c r="B16" s="880" t="s">
        <v>5478</v>
      </c>
      <c r="C16" s="874"/>
      <c r="D16" s="876">
        <v>256200000</v>
      </c>
      <c r="E16" s="876">
        <v>280700000</v>
      </c>
      <c r="F16" s="876">
        <v>308600000</v>
      </c>
      <c r="G16" s="876">
        <v>309100000</v>
      </c>
      <c r="H16" s="876">
        <v>326600000</v>
      </c>
      <c r="I16" s="876">
        <v>521299999.99999994</v>
      </c>
      <c r="J16" s="876">
        <v>394600000</v>
      </c>
      <c r="K16" s="876">
        <v>478300000</v>
      </c>
      <c r="L16" s="876">
        <v>476500000</v>
      </c>
      <c r="M16" s="876">
        <v>552500000</v>
      </c>
      <c r="N16" s="876">
        <v>633800000</v>
      </c>
      <c r="O16" s="876">
        <v>664600000</v>
      </c>
      <c r="P16" s="876">
        <v>688000000</v>
      </c>
      <c r="Q16" s="876">
        <f>Q17</f>
        <v>809000000</v>
      </c>
      <c r="R16" s="876">
        <f t="shared" ref="R16" si="2">R17</f>
        <v>809000000</v>
      </c>
      <c r="S16" s="876"/>
      <c r="T16" s="876"/>
      <c r="U16" s="876"/>
      <c r="V16" s="876"/>
      <c r="W16" s="876"/>
      <c r="X16" s="876"/>
      <c r="Y16" s="876"/>
      <c r="Z16" s="876"/>
      <c r="AA16" s="874"/>
    </row>
    <row r="17" spans="1:27" s="848" customFormat="1">
      <c r="A17" s="2017" t="s">
        <v>71</v>
      </c>
      <c r="B17" s="880" t="s">
        <v>5478</v>
      </c>
      <c r="C17" s="880" t="s">
        <v>35</v>
      </c>
      <c r="D17" s="876">
        <f>D18+D25+D26</f>
        <v>256200000</v>
      </c>
      <c r="E17" s="876">
        <f t="shared" ref="E17:P17" si="3">E18+E25+E26</f>
        <v>280700000</v>
      </c>
      <c r="F17" s="876">
        <f t="shared" si="3"/>
        <v>308600000</v>
      </c>
      <c r="G17" s="876">
        <f t="shared" si="3"/>
        <v>309100000</v>
      </c>
      <c r="H17" s="876">
        <f t="shared" si="3"/>
        <v>326600000</v>
      </c>
      <c r="I17" s="876">
        <f t="shared" si="3"/>
        <v>521400000</v>
      </c>
      <c r="J17" s="876">
        <f t="shared" si="3"/>
        <v>394600000</v>
      </c>
      <c r="K17" s="876">
        <f t="shared" si="3"/>
        <v>478400000</v>
      </c>
      <c r="L17" s="876">
        <f t="shared" si="3"/>
        <v>476400000</v>
      </c>
      <c r="M17" s="876">
        <f t="shared" si="3"/>
        <v>552600000</v>
      </c>
      <c r="N17" s="876">
        <f t="shared" si="3"/>
        <v>633800000</v>
      </c>
      <c r="O17" s="876">
        <f t="shared" si="3"/>
        <v>664500000</v>
      </c>
      <c r="P17" s="876">
        <f t="shared" si="3"/>
        <v>688100000</v>
      </c>
      <c r="Q17" s="876">
        <v>809000000</v>
      </c>
      <c r="R17" s="876">
        <v>809000000</v>
      </c>
      <c r="S17" s="876">
        <f>S18+S25+S26</f>
        <v>758800000</v>
      </c>
      <c r="T17" s="876">
        <f t="shared" ref="T17:Z17" si="4">T18+T25+T26</f>
        <v>749700000</v>
      </c>
      <c r="U17" s="876">
        <f t="shared" si="4"/>
        <v>771300000</v>
      </c>
      <c r="V17" s="876">
        <f t="shared" si="4"/>
        <v>861800000</v>
      </c>
      <c r="W17" s="876">
        <f t="shared" si="4"/>
        <v>918700000</v>
      </c>
      <c r="X17" s="876">
        <f t="shared" si="4"/>
        <v>989000000</v>
      </c>
      <c r="Y17" s="876">
        <f t="shared" si="4"/>
        <v>1038600000</v>
      </c>
      <c r="Z17" s="876">
        <f t="shared" si="4"/>
        <v>1076900000</v>
      </c>
      <c r="AA17" s="874"/>
    </row>
    <row r="18" spans="1:27">
      <c r="A18" s="534" t="s">
        <v>73</v>
      </c>
      <c r="B18" s="566" t="s">
        <v>963</v>
      </c>
      <c r="C18" s="865" t="s">
        <v>75</v>
      </c>
      <c r="D18" s="565">
        <v>169700000</v>
      </c>
      <c r="E18" s="565">
        <v>164600000</v>
      </c>
      <c r="F18" s="565">
        <v>183300000</v>
      </c>
      <c r="G18" s="565">
        <v>202200000</v>
      </c>
      <c r="H18" s="565">
        <v>224000000</v>
      </c>
      <c r="I18" s="565">
        <v>236600000</v>
      </c>
      <c r="J18" s="565">
        <v>294700000</v>
      </c>
      <c r="K18" s="565">
        <v>333600000</v>
      </c>
      <c r="L18" s="565">
        <v>372400000</v>
      </c>
      <c r="M18" s="565">
        <v>358800000</v>
      </c>
      <c r="N18" s="565">
        <v>349100000</v>
      </c>
      <c r="O18" s="565">
        <v>374800000</v>
      </c>
      <c r="P18" s="565">
        <v>457500000</v>
      </c>
      <c r="Q18" s="565">
        <v>529900000</v>
      </c>
      <c r="R18" s="565">
        <v>529900000</v>
      </c>
      <c r="S18" s="565">
        <v>526500000</v>
      </c>
      <c r="T18" s="565">
        <v>503900000</v>
      </c>
      <c r="U18" s="565">
        <v>490500000</v>
      </c>
      <c r="V18" s="565">
        <v>565300000</v>
      </c>
      <c r="W18" s="565">
        <v>602700000</v>
      </c>
      <c r="X18" s="565">
        <v>648900000</v>
      </c>
      <c r="Y18" s="565">
        <v>681400000</v>
      </c>
      <c r="Z18" s="565">
        <v>717600000</v>
      </c>
    </row>
    <row r="19" spans="1:27">
      <c r="A19" s="435" t="s">
        <v>79</v>
      </c>
      <c r="B19" s="1156" t="s">
        <v>5291</v>
      </c>
      <c r="C19" s="865" t="s">
        <v>81</v>
      </c>
      <c r="D19" s="565">
        <v>66099999.999999993</v>
      </c>
      <c r="E19" s="565">
        <v>64400000.000000007</v>
      </c>
      <c r="F19" s="565">
        <v>74700000</v>
      </c>
      <c r="G19" s="565">
        <v>75500000</v>
      </c>
      <c r="H19" s="565">
        <v>70900000</v>
      </c>
      <c r="I19" s="565">
        <v>77800000</v>
      </c>
      <c r="J19" s="565"/>
      <c r="K19" s="565"/>
      <c r="L19" s="565"/>
      <c r="M19" s="565"/>
      <c r="N19" s="565"/>
      <c r="O19" s="565"/>
      <c r="P19" s="565"/>
      <c r="Q19" s="565">
        <v>143900000</v>
      </c>
      <c r="R19" s="565">
        <v>143900000</v>
      </c>
      <c r="S19" s="565">
        <v>154600000</v>
      </c>
      <c r="T19" s="866">
        <v>163500000</v>
      </c>
      <c r="U19" s="866">
        <v>170000000</v>
      </c>
      <c r="V19" s="866">
        <v>204900000</v>
      </c>
      <c r="W19" s="866">
        <v>219200000</v>
      </c>
      <c r="X19" s="866">
        <v>235900000</v>
      </c>
      <c r="Y19" s="567">
        <v>247800000</v>
      </c>
      <c r="Z19" s="567">
        <v>260899999.99999997</v>
      </c>
    </row>
    <row r="20" spans="1:27">
      <c r="A20" s="2567" t="s">
        <v>5284</v>
      </c>
      <c r="B20" s="2567" t="s">
        <v>5284</v>
      </c>
      <c r="C20" s="2679" t="s">
        <v>81</v>
      </c>
      <c r="D20" s="565"/>
      <c r="E20" s="565"/>
      <c r="F20" s="565"/>
      <c r="G20" s="565"/>
      <c r="H20" s="565"/>
      <c r="I20" s="565"/>
      <c r="J20" s="565"/>
      <c r="K20" s="565"/>
      <c r="L20" s="565"/>
      <c r="M20" s="565"/>
      <c r="N20" s="565"/>
      <c r="O20" s="565"/>
      <c r="P20" s="565"/>
      <c r="Q20" s="565">
        <v>142700000</v>
      </c>
      <c r="R20" s="565">
        <v>142700000</v>
      </c>
      <c r="S20" s="565">
        <v>151700000</v>
      </c>
      <c r="T20" s="866">
        <v>120300000</v>
      </c>
      <c r="U20" s="866">
        <v>112700000</v>
      </c>
      <c r="V20" s="866">
        <v>131500000</v>
      </c>
      <c r="W20" s="866">
        <v>141500000</v>
      </c>
      <c r="X20" s="866">
        <v>152300000</v>
      </c>
      <c r="Y20" s="567">
        <v>159900000</v>
      </c>
      <c r="Z20" s="567">
        <v>168400000</v>
      </c>
    </row>
    <row r="21" spans="1:27">
      <c r="A21" s="435" t="s">
        <v>90</v>
      </c>
      <c r="B21" s="1156" t="s">
        <v>1849</v>
      </c>
      <c r="C21" s="865" t="s">
        <v>81</v>
      </c>
      <c r="D21" s="565">
        <v>4300000</v>
      </c>
      <c r="E21" s="565">
        <v>5400000</v>
      </c>
      <c r="F21" s="565">
        <v>4099999.9999999995</v>
      </c>
      <c r="G21" s="565">
        <v>4800000</v>
      </c>
      <c r="H21" s="565">
        <v>5100000</v>
      </c>
      <c r="I21" s="565">
        <v>5600000</v>
      </c>
      <c r="J21" s="565"/>
      <c r="K21" s="565"/>
      <c r="L21" s="565"/>
      <c r="M21" s="565"/>
      <c r="N21" s="565"/>
      <c r="O21" s="565"/>
      <c r="P21" s="565"/>
      <c r="Q21" s="565"/>
      <c r="R21" s="565"/>
      <c r="S21" s="565"/>
      <c r="T21" s="866"/>
      <c r="U21" s="866"/>
      <c r="V21" s="866"/>
      <c r="W21" s="866"/>
      <c r="X21" s="866"/>
      <c r="Y21" s="567"/>
      <c r="Z21" s="567"/>
    </row>
    <row r="22" spans="1:27">
      <c r="A22" s="1156" t="s">
        <v>280</v>
      </c>
      <c r="B22" s="1156" t="s">
        <v>280</v>
      </c>
      <c r="C22" s="380" t="s">
        <v>3405</v>
      </c>
      <c r="D22" s="565">
        <v>4099999.9999999995</v>
      </c>
      <c r="E22" s="565">
        <v>5300000</v>
      </c>
      <c r="F22" s="565">
        <v>4099999.9999999995</v>
      </c>
      <c r="G22" s="565">
        <v>4800000</v>
      </c>
      <c r="H22" s="565">
        <v>4900000</v>
      </c>
      <c r="I22" s="565">
        <v>5600000</v>
      </c>
      <c r="J22" s="565"/>
      <c r="K22" s="565"/>
      <c r="L22" s="565"/>
      <c r="M22" s="565"/>
      <c r="N22" s="565"/>
      <c r="O22" s="565"/>
      <c r="P22" s="565"/>
      <c r="Q22" s="565"/>
      <c r="R22" s="565"/>
      <c r="S22" s="565"/>
      <c r="T22" s="866"/>
      <c r="U22" s="866"/>
      <c r="V22" s="866"/>
      <c r="W22" s="866"/>
      <c r="X22" s="866"/>
      <c r="Y22" s="567"/>
      <c r="Z22" s="567"/>
    </row>
    <row r="23" spans="1:27">
      <c r="A23" s="1156" t="s">
        <v>209</v>
      </c>
      <c r="B23" s="1156" t="s">
        <v>209</v>
      </c>
      <c r="C23" s="380" t="s">
        <v>3405</v>
      </c>
      <c r="D23" s="565">
        <v>100000</v>
      </c>
      <c r="E23" s="565">
        <v>100000</v>
      </c>
      <c r="F23" s="565">
        <v>0</v>
      </c>
      <c r="G23" s="565">
        <v>0</v>
      </c>
      <c r="H23" s="565">
        <v>200000</v>
      </c>
      <c r="I23" s="565">
        <v>100000</v>
      </c>
      <c r="J23" s="565"/>
      <c r="K23" s="565"/>
      <c r="L23" s="565"/>
      <c r="M23" s="565"/>
      <c r="N23" s="565"/>
      <c r="O23" s="565"/>
      <c r="P23" s="565"/>
      <c r="Q23" s="565"/>
      <c r="R23" s="565"/>
      <c r="S23" s="565"/>
      <c r="T23" s="866"/>
      <c r="U23" s="866"/>
      <c r="V23" s="866"/>
      <c r="W23" s="866"/>
      <c r="X23" s="866"/>
      <c r="Y23" s="567"/>
      <c r="Z23" s="567"/>
    </row>
    <row r="24" spans="1:27">
      <c r="A24" s="435" t="s">
        <v>391</v>
      </c>
      <c r="B24" s="1156" t="s">
        <v>50</v>
      </c>
      <c r="C24" s="865" t="s">
        <v>81</v>
      </c>
      <c r="D24" s="565">
        <v>99300000</v>
      </c>
      <c r="E24" s="565">
        <v>94900000</v>
      </c>
      <c r="F24" s="565">
        <v>104400000</v>
      </c>
      <c r="G24" s="565">
        <v>122000000</v>
      </c>
      <c r="H24" s="565">
        <v>148000000</v>
      </c>
      <c r="I24" s="565">
        <v>153100000</v>
      </c>
      <c r="J24" s="565"/>
      <c r="K24" s="565"/>
      <c r="L24" s="565"/>
      <c r="M24" s="565"/>
      <c r="N24" s="565"/>
      <c r="O24" s="565"/>
      <c r="P24" s="565"/>
      <c r="Q24" s="565">
        <f>Q18-Q19-Q20</f>
        <v>243300000</v>
      </c>
      <c r="R24" s="565">
        <f>R18-R19-R20</f>
        <v>243300000</v>
      </c>
      <c r="S24" s="565">
        <f t="shared" ref="S24:Z24" si="5">S18-S19-S20</f>
        <v>220200000</v>
      </c>
      <c r="T24" s="565">
        <f t="shared" si="5"/>
        <v>220100000</v>
      </c>
      <c r="U24" s="565">
        <f t="shared" si="5"/>
        <v>207800000</v>
      </c>
      <c r="V24" s="565">
        <f t="shared" si="5"/>
        <v>228900000</v>
      </c>
      <c r="W24" s="565">
        <f t="shared" si="5"/>
        <v>242000000</v>
      </c>
      <c r="X24" s="565">
        <f t="shared" si="5"/>
        <v>260700000</v>
      </c>
      <c r="Y24" s="565">
        <f t="shared" si="5"/>
        <v>273700000</v>
      </c>
      <c r="Z24" s="565">
        <f t="shared" si="5"/>
        <v>288300000</v>
      </c>
    </row>
    <row r="25" spans="1:27">
      <c r="A25" s="566" t="s">
        <v>92</v>
      </c>
      <c r="B25" s="566" t="s">
        <v>5479</v>
      </c>
      <c r="C25" s="865" t="s">
        <v>75</v>
      </c>
      <c r="D25" s="565">
        <v>67099999.999999993</v>
      </c>
      <c r="E25" s="565">
        <v>103100000</v>
      </c>
      <c r="F25" s="565">
        <v>104200000</v>
      </c>
      <c r="G25" s="565">
        <v>86900000</v>
      </c>
      <c r="H25" s="565">
        <v>86600000</v>
      </c>
      <c r="I25" s="565">
        <v>263800000</v>
      </c>
      <c r="J25" s="565">
        <v>86100000</v>
      </c>
      <c r="K25" s="565">
        <v>123700000</v>
      </c>
      <c r="L25" s="565">
        <v>96200000</v>
      </c>
      <c r="M25" s="565">
        <v>182100000</v>
      </c>
      <c r="N25" s="565">
        <v>273800000</v>
      </c>
      <c r="O25" s="565">
        <v>272900000</v>
      </c>
      <c r="P25" s="565">
        <v>230600000</v>
      </c>
      <c r="Q25" s="565">
        <v>279100000</v>
      </c>
      <c r="R25" s="565">
        <v>279100000</v>
      </c>
      <c r="S25" s="565">
        <v>232300000</v>
      </c>
      <c r="T25" s="866">
        <v>245800000</v>
      </c>
      <c r="U25" s="866">
        <v>262700000</v>
      </c>
      <c r="V25" s="866">
        <v>277500000</v>
      </c>
      <c r="W25" s="866">
        <v>295900000</v>
      </c>
      <c r="X25" s="866">
        <v>318500000</v>
      </c>
      <c r="Y25" s="567">
        <v>334500000</v>
      </c>
      <c r="Z25" s="567">
        <v>335400000</v>
      </c>
    </row>
    <row r="26" spans="1:27">
      <c r="A26" s="566" t="s">
        <v>968</v>
      </c>
      <c r="B26" s="566" t="s">
        <v>968</v>
      </c>
      <c r="C26" s="865" t="s">
        <v>75</v>
      </c>
      <c r="D26" s="565">
        <v>19400000</v>
      </c>
      <c r="E26" s="561">
        <v>13000000</v>
      </c>
      <c r="F26" s="565">
        <v>21100000</v>
      </c>
      <c r="G26" s="565">
        <v>20000000</v>
      </c>
      <c r="H26" s="565">
        <v>16000000</v>
      </c>
      <c r="I26" s="565">
        <v>21000000</v>
      </c>
      <c r="J26" s="565">
        <v>13800000</v>
      </c>
      <c r="K26" s="565">
        <v>21100000</v>
      </c>
      <c r="L26" s="565">
        <v>7800000</v>
      </c>
      <c r="M26" s="565">
        <v>11700000</v>
      </c>
      <c r="N26" s="565">
        <v>10900000</v>
      </c>
      <c r="O26" s="565">
        <v>16800000</v>
      </c>
      <c r="P26" s="565"/>
      <c r="Q26" s="565"/>
      <c r="R26" s="565"/>
      <c r="S26" s="565">
        <v>0</v>
      </c>
      <c r="T26" s="866">
        <v>0</v>
      </c>
      <c r="U26" s="866">
        <v>18100000</v>
      </c>
      <c r="V26" s="125">
        <v>19000000</v>
      </c>
      <c r="W26" s="125">
        <v>20100000</v>
      </c>
      <c r="X26" s="125">
        <v>21600000</v>
      </c>
      <c r="Y26" s="125">
        <v>22700000</v>
      </c>
      <c r="Z26" s="125">
        <v>23900000</v>
      </c>
    </row>
    <row r="27" spans="1:27">
      <c r="A27" s="566"/>
      <c r="B27" s="380" t="s">
        <v>5480</v>
      </c>
      <c r="C27" s="865"/>
      <c r="D27" s="565"/>
      <c r="E27" s="561"/>
      <c r="F27" s="565"/>
      <c r="G27" s="565"/>
      <c r="H27" s="565"/>
      <c r="I27" s="565"/>
      <c r="J27" s="565"/>
      <c r="K27" s="565"/>
      <c r="L27" s="565"/>
      <c r="M27" s="565"/>
      <c r="N27" s="565"/>
      <c r="O27" s="565"/>
      <c r="P27" s="565">
        <v>-40700000</v>
      </c>
      <c r="Q27" s="565">
        <v>-56300000</v>
      </c>
      <c r="R27" s="565">
        <v>-56300000</v>
      </c>
      <c r="S27" s="565"/>
      <c r="T27" s="866"/>
      <c r="U27" s="866"/>
      <c r="V27" s="866"/>
      <c r="W27" s="866"/>
      <c r="X27" s="866"/>
      <c r="Y27" s="567"/>
      <c r="Z27" s="567"/>
    </row>
    <row r="28" spans="1:27">
      <c r="A28" s="566" t="s">
        <v>5481</v>
      </c>
      <c r="B28" s="380" t="s">
        <v>5482</v>
      </c>
      <c r="C28" s="380"/>
      <c r="D28" s="565">
        <v>-5100000</v>
      </c>
      <c r="E28" s="565">
        <v>-18300000</v>
      </c>
      <c r="F28" s="565">
        <v>-17800000</v>
      </c>
      <c r="G28" s="565">
        <v>-5600000</v>
      </c>
      <c r="H28" s="565">
        <v>-8900000</v>
      </c>
      <c r="I28" s="565">
        <v>3100000</v>
      </c>
      <c r="J28" s="565">
        <v>-6300000</v>
      </c>
      <c r="K28" s="565">
        <v>8400000</v>
      </c>
      <c r="L28" s="565">
        <v>-21600000</v>
      </c>
      <c r="M28" s="565">
        <v>-60500000</v>
      </c>
      <c r="N28" s="565">
        <v>-108700000</v>
      </c>
      <c r="O28" s="565">
        <v>-97400000</v>
      </c>
      <c r="P28" s="565">
        <v>-131900000</v>
      </c>
      <c r="Q28" s="565">
        <v>-99800000</v>
      </c>
      <c r="R28" s="565">
        <v>-99800000</v>
      </c>
      <c r="S28" s="565"/>
      <c r="T28" s="866"/>
      <c r="U28" s="866"/>
      <c r="V28" s="866"/>
      <c r="W28" s="866"/>
      <c r="X28" s="866"/>
      <c r="Y28" s="567"/>
      <c r="Z28" s="567"/>
    </row>
    <row r="29" spans="1:27" s="848" customFormat="1">
      <c r="A29" s="880" t="s">
        <v>115</v>
      </c>
      <c r="B29" s="880" t="s">
        <v>115</v>
      </c>
      <c r="C29" s="880" t="s">
        <v>35</v>
      </c>
      <c r="D29" s="876">
        <v>5200000</v>
      </c>
      <c r="E29" s="876">
        <v>18300000</v>
      </c>
      <c r="F29" s="876">
        <v>17800000</v>
      </c>
      <c r="G29" s="876">
        <v>5600000</v>
      </c>
      <c r="H29" s="876">
        <v>8900000</v>
      </c>
      <c r="I29" s="876">
        <v>-3100000</v>
      </c>
      <c r="J29" s="876">
        <v>6300000</v>
      </c>
      <c r="K29" s="876">
        <f>K30+K34</f>
        <v>13300000</v>
      </c>
      <c r="L29" s="876">
        <v>21600000</v>
      </c>
      <c r="M29" s="876">
        <v>60500000</v>
      </c>
      <c r="N29" s="876">
        <v>108600000</v>
      </c>
      <c r="O29" s="876">
        <v>97400000</v>
      </c>
      <c r="P29" s="876">
        <v>131900000</v>
      </c>
      <c r="Q29" s="876">
        <v>98700000</v>
      </c>
      <c r="R29" s="876">
        <v>98700000</v>
      </c>
      <c r="S29" s="876">
        <f>S30+S34</f>
        <v>75600000</v>
      </c>
      <c r="T29" s="876">
        <f t="shared" ref="T29:Z29" si="6">T30+T34</f>
        <v>8500000</v>
      </c>
      <c r="U29" s="876">
        <f t="shared" si="6"/>
        <v>23600000</v>
      </c>
      <c r="V29" s="876">
        <f t="shared" si="6"/>
        <v>43800000</v>
      </c>
      <c r="W29" s="876">
        <f t="shared" si="6"/>
        <v>53500000</v>
      </c>
      <c r="X29" s="876">
        <f t="shared" si="6"/>
        <v>60100000.000000007</v>
      </c>
      <c r="Y29" s="876">
        <f t="shared" si="6"/>
        <v>63100000.000000007</v>
      </c>
      <c r="Z29" s="876">
        <f t="shared" si="6"/>
        <v>69200000</v>
      </c>
      <c r="AA29" s="874"/>
    </row>
    <row r="30" spans="1:27">
      <c r="A30" s="435" t="s">
        <v>117</v>
      </c>
      <c r="B30" s="380" t="s">
        <v>5483</v>
      </c>
      <c r="C30" s="865" t="s">
        <v>119</v>
      </c>
      <c r="D30" s="565">
        <v>1500000</v>
      </c>
      <c r="E30" s="565">
        <v>4300000</v>
      </c>
      <c r="F30" s="565">
        <v>11800000</v>
      </c>
      <c r="G30" s="565">
        <v>4700000</v>
      </c>
      <c r="H30" s="565">
        <v>300000</v>
      </c>
      <c r="I30" s="565">
        <v>15800000</v>
      </c>
      <c r="J30" s="565">
        <v>6300000</v>
      </c>
      <c r="K30" s="565">
        <v>7400000</v>
      </c>
      <c r="L30" s="565">
        <v>12500000</v>
      </c>
      <c r="M30" s="565">
        <v>44600000</v>
      </c>
      <c r="N30" s="565">
        <v>144800000</v>
      </c>
      <c r="O30" s="565">
        <v>82700000</v>
      </c>
      <c r="P30" s="565">
        <v>133800000.00000001</v>
      </c>
      <c r="Q30" s="565">
        <v>53100000</v>
      </c>
      <c r="R30" s="565">
        <v>53100000</v>
      </c>
      <c r="S30" s="565">
        <v>45300000</v>
      </c>
      <c r="T30" s="866">
        <v>9100000</v>
      </c>
      <c r="U30" s="866">
        <v>2800000</v>
      </c>
      <c r="V30" s="866">
        <v>52400000</v>
      </c>
      <c r="W30" s="866">
        <v>62800000</v>
      </c>
      <c r="X30" s="866">
        <v>66400000.000000007</v>
      </c>
      <c r="Y30" s="567">
        <v>64900000.000000007</v>
      </c>
      <c r="Z30" s="125">
        <v>70800000</v>
      </c>
    </row>
    <row r="31" spans="1:27">
      <c r="A31" s="566" t="s">
        <v>415</v>
      </c>
      <c r="B31" s="566" t="s">
        <v>415</v>
      </c>
      <c r="C31" s="380" t="s">
        <v>264</v>
      </c>
      <c r="D31" s="565">
        <v>10400000</v>
      </c>
      <c r="E31" s="565">
        <v>13300000</v>
      </c>
      <c r="F31" s="565">
        <v>23900000</v>
      </c>
      <c r="G31" s="565">
        <v>16600000.000000002</v>
      </c>
      <c r="H31" s="565">
        <v>12100000</v>
      </c>
      <c r="I31" s="565">
        <v>27600000</v>
      </c>
      <c r="J31" s="565">
        <v>19200000</v>
      </c>
      <c r="K31" s="565">
        <v>14000000</v>
      </c>
      <c r="L31" s="565">
        <v>28500000</v>
      </c>
      <c r="M31" s="565">
        <v>60400000</v>
      </c>
      <c r="N31" s="565">
        <v>160100000</v>
      </c>
      <c r="O31" s="565">
        <v>100600000</v>
      </c>
      <c r="P31" s="565">
        <v>152200000</v>
      </c>
      <c r="Q31" s="565"/>
      <c r="R31" s="565"/>
      <c r="S31" s="565"/>
      <c r="T31" s="866"/>
      <c r="U31" s="866"/>
      <c r="V31" s="866"/>
      <c r="W31" s="866"/>
      <c r="X31" s="866"/>
      <c r="Y31" s="567"/>
      <c r="Z31" s="567"/>
    </row>
    <row r="32" spans="1:27">
      <c r="A32" s="566" t="s">
        <v>258</v>
      </c>
      <c r="B32" s="566" t="s">
        <v>258</v>
      </c>
      <c r="C32" s="380" t="s">
        <v>264</v>
      </c>
      <c r="D32" s="565">
        <v>-8900000</v>
      </c>
      <c r="E32" s="565">
        <v>-8900000</v>
      </c>
      <c r="F32" s="565">
        <v>-12100000</v>
      </c>
      <c r="G32" s="565">
        <v>-11900000</v>
      </c>
      <c r="H32" s="565">
        <v>-11900000</v>
      </c>
      <c r="I32" s="565">
        <v>-11800000</v>
      </c>
      <c r="J32" s="565">
        <v>-12800000</v>
      </c>
      <c r="K32" s="565">
        <v>-6600000</v>
      </c>
      <c r="L32" s="565">
        <v>-16000000</v>
      </c>
      <c r="M32" s="565">
        <v>-15800000</v>
      </c>
      <c r="N32" s="565">
        <v>-15300000</v>
      </c>
      <c r="O32" s="565">
        <v>-17900000</v>
      </c>
      <c r="P32" s="565">
        <v>18400000</v>
      </c>
      <c r="Q32" s="565"/>
      <c r="R32" s="565"/>
      <c r="S32" s="565"/>
      <c r="T32" s="866"/>
      <c r="U32" s="866"/>
      <c r="V32" s="866"/>
      <c r="W32" s="866"/>
      <c r="X32" s="866"/>
      <c r="Y32" s="567"/>
      <c r="Z32" s="567"/>
    </row>
    <row r="33" spans="1:27">
      <c r="A33" s="2565" t="s">
        <v>1688</v>
      </c>
      <c r="B33" s="2565" t="s">
        <v>1689</v>
      </c>
      <c r="C33" s="380" t="s">
        <v>264</v>
      </c>
      <c r="D33" s="565">
        <f>D30-D31-D32</f>
        <v>0</v>
      </c>
      <c r="E33" s="565">
        <f t="shared" ref="E33:P33" si="7">E30-E31-E32</f>
        <v>-100000</v>
      </c>
      <c r="F33" s="565">
        <f t="shared" si="7"/>
        <v>0</v>
      </c>
      <c r="G33" s="565">
        <f t="shared" si="7"/>
        <v>0</v>
      </c>
      <c r="H33" s="565">
        <f t="shared" si="7"/>
        <v>100000</v>
      </c>
      <c r="I33" s="565">
        <f t="shared" si="7"/>
        <v>0</v>
      </c>
      <c r="J33" s="565">
        <f t="shared" si="7"/>
        <v>-100000</v>
      </c>
      <c r="K33" s="565">
        <f t="shared" si="7"/>
        <v>0</v>
      </c>
      <c r="L33" s="565">
        <f t="shared" si="7"/>
        <v>0</v>
      </c>
      <c r="M33" s="565">
        <f t="shared" si="7"/>
        <v>0</v>
      </c>
      <c r="N33" s="565">
        <f t="shared" si="7"/>
        <v>0</v>
      </c>
      <c r="O33" s="565">
        <f t="shared" si="7"/>
        <v>0</v>
      </c>
      <c r="P33" s="565">
        <f t="shared" si="7"/>
        <v>-36799999.999999985</v>
      </c>
      <c r="Q33" s="565"/>
      <c r="R33" s="565"/>
      <c r="S33" s="565"/>
      <c r="T33" s="565"/>
      <c r="U33" s="565"/>
      <c r="V33" s="565"/>
      <c r="W33" s="565"/>
      <c r="X33" s="565"/>
      <c r="Y33" s="567"/>
      <c r="Z33" s="567"/>
    </row>
    <row r="34" spans="1:27">
      <c r="A34" s="435" t="s">
        <v>120</v>
      </c>
      <c r="B34" s="380" t="s">
        <v>5484</v>
      </c>
      <c r="C34" s="865" t="s">
        <v>119</v>
      </c>
      <c r="D34" s="565">
        <v>3700000</v>
      </c>
      <c r="E34" s="565">
        <v>14000000</v>
      </c>
      <c r="F34" s="565">
        <v>6000000</v>
      </c>
      <c r="G34" s="565">
        <v>900000</v>
      </c>
      <c r="H34" s="565">
        <v>8600000</v>
      </c>
      <c r="I34" s="565">
        <v>-18900000</v>
      </c>
      <c r="J34" s="565">
        <v>0</v>
      </c>
      <c r="K34" s="565">
        <v>5900000</v>
      </c>
      <c r="L34" s="565">
        <v>9100000</v>
      </c>
      <c r="M34" s="565">
        <v>15900000</v>
      </c>
      <c r="N34" s="565">
        <v>-36200000</v>
      </c>
      <c r="O34" s="565">
        <v>14700000</v>
      </c>
      <c r="P34" s="565">
        <v>-1900000</v>
      </c>
      <c r="Q34" s="565">
        <v>45600000</v>
      </c>
      <c r="R34" s="565">
        <v>45600000</v>
      </c>
      <c r="S34" s="565">
        <v>30300000</v>
      </c>
      <c r="T34" s="866">
        <v>-600000</v>
      </c>
      <c r="U34" s="866">
        <v>20800000</v>
      </c>
      <c r="V34" s="866">
        <v>-8600000</v>
      </c>
      <c r="W34" s="125">
        <v>-9300000</v>
      </c>
      <c r="X34" s="866">
        <v>-6300000</v>
      </c>
      <c r="Y34" s="567">
        <v>-1800000</v>
      </c>
      <c r="Z34" s="567">
        <v>-1600000</v>
      </c>
    </row>
    <row r="35" spans="1:27">
      <c r="A35" s="435" t="s">
        <v>122</v>
      </c>
      <c r="B35" s="566" t="s">
        <v>4298</v>
      </c>
      <c r="C35" s="380" t="s">
        <v>124</v>
      </c>
      <c r="D35" s="565">
        <v>100000</v>
      </c>
      <c r="E35" s="565">
        <v>12000000</v>
      </c>
      <c r="F35" s="565">
        <v>-3500000</v>
      </c>
      <c r="G35" s="565">
        <v>-6200000</v>
      </c>
      <c r="H35" s="565">
        <v>-17600000</v>
      </c>
      <c r="I35" s="565">
        <v>18700000</v>
      </c>
      <c r="J35" s="565">
        <v>11000000</v>
      </c>
      <c r="K35" s="565">
        <v>-4500000</v>
      </c>
      <c r="L35" s="565">
        <v>11900000</v>
      </c>
      <c r="M35" s="565">
        <v>2200000</v>
      </c>
      <c r="N35" s="565">
        <v>-82900000</v>
      </c>
      <c r="O35" s="565">
        <v>10300000</v>
      </c>
      <c r="P35" s="565">
        <v>5500000</v>
      </c>
      <c r="Q35" s="565"/>
      <c r="R35" s="565"/>
      <c r="S35" s="565"/>
      <c r="T35" s="571"/>
      <c r="U35" s="571"/>
      <c r="V35" s="571"/>
      <c r="W35" s="571"/>
      <c r="X35" s="571"/>
      <c r="Y35" s="897"/>
      <c r="Z35" s="897"/>
    </row>
    <row r="36" spans="1:27">
      <c r="A36" s="435" t="s">
        <v>2466</v>
      </c>
      <c r="B36" s="566" t="s">
        <v>50</v>
      </c>
      <c r="C36" s="380" t="s">
        <v>124</v>
      </c>
      <c r="D36" s="565">
        <v>3600000</v>
      </c>
      <c r="E36" s="565">
        <v>2000000</v>
      </c>
      <c r="F36" s="565">
        <v>9500000</v>
      </c>
      <c r="G36" s="565">
        <v>7000000</v>
      </c>
      <c r="H36" s="561">
        <f>H34-H35</f>
        <v>26200000</v>
      </c>
      <c r="I36" s="561">
        <f>I34-I35</f>
        <v>-37600000</v>
      </c>
      <c r="J36" s="565">
        <v>-11000000</v>
      </c>
      <c r="K36" s="565">
        <v>10500000</v>
      </c>
      <c r="L36" s="565">
        <v>-2800000</v>
      </c>
      <c r="M36" s="565">
        <v>13700000</v>
      </c>
      <c r="N36" s="565">
        <v>46800000</v>
      </c>
      <c r="O36" s="565">
        <v>4400000</v>
      </c>
      <c r="P36" s="565">
        <v>-7500000</v>
      </c>
      <c r="Q36" s="565"/>
      <c r="R36" s="565"/>
      <c r="S36" s="565"/>
      <c r="T36" s="571"/>
      <c r="U36" s="571"/>
      <c r="V36" s="571"/>
      <c r="W36" s="571"/>
      <c r="X36" s="571"/>
      <c r="Y36" s="897"/>
      <c r="Z36" s="897"/>
    </row>
    <row r="37" spans="1:27">
      <c r="A37" s="566"/>
      <c r="B37" s="380" t="s">
        <v>4308</v>
      </c>
      <c r="C37" s="380"/>
      <c r="D37" s="567"/>
      <c r="E37" s="567"/>
      <c r="F37" s="567"/>
      <c r="G37" s="567"/>
      <c r="H37" s="567"/>
      <c r="I37" s="567"/>
      <c r="J37" s="565">
        <v>0</v>
      </c>
      <c r="K37" s="565">
        <v>0</v>
      </c>
      <c r="L37" s="565">
        <v>0</v>
      </c>
      <c r="M37" s="565">
        <v>0</v>
      </c>
      <c r="N37" s="565">
        <v>0</v>
      </c>
      <c r="O37" s="565">
        <v>0</v>
      </c>
      <c r="P37" s="565">
        <v>0</v>
      </c>
      <c r="Q37" s="565">
        <v>0</v>
      </c>
      <c r="R37" s="565">
        <v>0</v>
      </c>
      <c r="S37" s="565"/>
      <c r="T37" s="571"/>
      <c r="U37" s="571"/>
      <c r="V37" s="571"/>
      <c r="W37" s="571"/>
      <c r="X37" s="571"/>
      <c r="Y37" s="897"/>
      <c r="Z37" s="897"/>
    </row>
    <row r="38" spans="1:27">
      <c r="T38" s="571"/>
      <c r="U38" s="571"/>
      <c r="V38" s="571"/>
      <c r="W38" s="571"/>
      <c r="X38" s="571"/>
      <c r="Y38" s="897"/>
      <c r="Z38" s="897"/>
    </row>
    <row r="39" spans="1:27">
      <c r="D39" s="534" t="s">
        <v>139</v>
      </c>
      <c r="E39" s="534" t="s">
        <v>139</v>
      </c>
      <c r="F39" s="534" t="s">
        <v>139</v>
      </c>
      <c r="G39" s="534" t="s">
        <v>139</v>
      </c>
      <c r="H39" s="534" t="s">
        <v>139</v>
      </c>
      <c r="I39" s="534" t="s">
        <v>139</v>
      </c>
      <c r="J39" s="534" t="s">
        <v>139</v>
      </c>
      <c r="K39" s="534" t="s">
        <v>139</v>
      </c>
      <c r="L39" s="534" t="s">
        <v>139</v>
      </c>
      <c r="M39" s="534" t="s">
        <v>139</v>
      </c>
      <c r="N39" s="534" t="s">
        <v>139</v>
      </c>
      <c r="O39" s="534" t="s">
        <v>139</v>
      </c>
      <c r="P39" s="534" t="s">
        <v>139</v>
      </c>
      <c r="Q39" s="534" t="s">
        <v>139</v>
      </c>
      <c r="R39" s="534" t="s">
        <v>139</v>
      </c>
      <c r="S39" s="534" t="s">
        <v>139</v>
      </c>
      <c r="T39" s="534" t="s">
        <v>139</v>
      </c>
      <c r="U39" s="534" t="s">
        <v>139</v>
      </c>
      <c r="V39" s="534" t="s">
        <v>139</v>
      </c>
      <c r="W39" s="534" t="s">
        <v>139</v>
      </c>
      <c r="X39" s="534" t="s">
        <v>139</v>
      </c>
      <c r="Y39" s="534" t="s">
        <v>139</v>
      </c>
      <c r="Z39" s="534" t="s">
        <v>139</v>
      </c>
    </row>
    <row r="40" spans="1:27">
      <c r="Y40" s="897"/>
      <c r="Z40" s="897"/>
    </row>
    <row r="41" spans="1:27">
      <c r="B41" s="534" t="s">
        <v>875</v>
      </c>
      <c r="D41" s="1958">
        <f>D6-D7-D14</f>
        <v>0</v>
      </c>
      <c r="E41" s="1958">
        <f t="shared" ref="E41:Q41" si="8">E6-E7-E14</f>
        <v>-100000.00000002235</v>
      </c>
      <c r="F41" s="1958">
        <f t="shared" si="8"/>
        <v>0</v>
      </c>
      <c r="G41" s="1958">
        <f t="shared" si="8"/>
        <v>0</v>
      </c>
      <c r="H41" s="1958">
        <f t="shared" si="8"/>
        <v>0</v>
      </c>
      <c r="I41" s="1958">
        <f t="shared" si="8"/>
        <v>0</v>
      </c>
      <c r="J41" s="1958">
        <f t="shared" si="8"/>
        <v>0</v>
      </c>
      <c r="K41" s="1958">
        <f t="shared" si="8"/>
        <v>-100000</v>
      </c>
      <c r="L41" s="1958">
        <f t="shared" si="8"/>
        <v>0</v>
      </c>
      <c r="M41" s="1958">
        <f t="shared" si="8"/>
        <v>-100000</v>
      </c>
      <c r="N41" s="1958">
        <f t="shared" si="8"/>
        <v>0</v>
      </c>
      <c r="O41" s="1958">
        <f t="shared" si="8"/>
        <v>0</v>
      </c>
      <c r="P41" s="1958">
        <f t="shared" si="8"/>
        <v>0</v>
      </c>
      <c r="Q41" s="897">
        <f t="shared" si="8"/>
        <v>0</v>
      </c>
      <c r="R41" s="897">
        <f t="shared" ref="R41:X41" si="9">R6-R7-R14</f>
        <v>0</v>
      </c>
      <c r="S41" s="897">
        <f t="shared" si="9"/>
        <v>0</v>
      </c>
      <c r="T41" s="897">
        <f t="shared" si="9"/>
        <v>0</v>
      </c>
      <c r="U41" s="897">
        <f t="shared" si="9"/>
        <v>0</v>
      </c>
      <c r="V41" s="897">
        <f t="shared" si="9"/>
        <v>0</v>
      </c>
      <c r="W41" s="897">
        <f t="shared" si="9"/>
        <v>0</v>
      </c>
      <c r="X41" s="897">
        <f t="shared" si="9"/>
        <v>0</v>
      </c>
      <c r="Y41" s="897">
        <f t="shared" ref="Y41:Z41" si="10">Y6-Y7-Y14</f>
        <v>0</v>
      </c>
      <c r="Z41" s="897">
        <f t="shared" si="10"/>
        <v>0</v>
      </c>
      <c r="AA41" s="897"/>
    </row>
    <row r="42" spans="1:27">
      <c r="B42" s="534" t="s">
        <v>141</v>
      </c>
      <c r="D42" s="1956">
        <f>D7-D8-D13</f>
        <v>0</v>
      </c>
      <c r="E42" s="1956">
        <f t="shared" ref="E42:R42" si="11">E7-E8-E13</f>
        <v>100000</v>
      </c>
      <c r="F42" s="1956">
        <f t="shared" si="11"/>
        <v>0</v>
      </c>
      <c r="G42" s="1956">
        <f t="shared" si="11"/>
        <v>0</v>
      </c>
      <c r="H42" s="1956">
        <f t="shared" si="11"/>
        <v>0</v>
      </c>
      <c r="I42" s="1956">
        <f t="shared" si="11"/>
        <v>-100000</v>
      </c>
      <c r="J42" s="1956">
        <f t="shared" si="11"/>
        <v>0</v>
      </c>
      <c r="K42" s="1956">
        <f t="shared" si="11"/>
        <v>0</v>
      </c>
      <c r="L42" s="1956">
        <f t="shared" si="11"/>
        <v>0</v>
      </c>
      <c r="M42" s="1956">
        <f t="shared" si="11"/>
        <v>0</v>
      </c>
      <c r="N42" s="1956">
        <f t="shared" si="11"/>
        <v>0</v>
      </c>
      <c r="O42" s="1956">
        <f t="shared" si="11"/>
        <v>0</v>
      </c>
      <c r="P42" s="1956">
        <f t="shared" si="11"/>
        <v>0</v>
      </c>
      <c r="Q42" s="897">
        <f t="shared" si="11"/>
        <v>0</v>
      </c>
      <c r="R42" s="897">
        <f t="shared" si="11"/>
        <v>0</v>
      </c>
      <c r="S42" s="897">
        <f>S7-S8-S13</f>
        <v>0</v>
      </c>
      <c r="T42" s="897">
        <f t="shared" ref="T42:X42" si="12">T7-T8-T13</f>
        <v>0</v>
      </c>
      <c r="U42" s="897">
        <f t="shared" si="12"/>
        <v>0</v>
      </c>
      <c r="V42" s="897">
        <f t="shared" si="12"/>
        <v>0</v>
      </c>
      <c r="W42" s="897">
        <f t="shared" si="12"/>
        <v>0</v>
      </c>
      <c r="X42" s="897">
        <f t="shared" si="12"/>
        <v>0</v>
      </c>
      <c r="Y42" s="897">
        <f t="shared" ref="Y42:Z42" si="13">Y7-Y8-Y13</f>
        <v>0</v>
      </c>
      <c r="Z42" s="897">
        <f t="shared" si="13"/>
        <v>0</v>
      </c>
      <c r="AA42" s="897"/>
    </row>
    <row r="43" spans="1:27">
      <c r="B43" s="534" t="s">
        <v>145</v>
      </c>
      <c r="D43" s="575">
        <f>D17-D18-D25-D26</f>
        <v>0</v>
      </c>
      <c r="E43" s="575">
        <f t="shared" ref="E43:S43" si="14">E17-E18-E25-E26</f>
        <v>0</v>
      </c>
      <c r="F43" s="575">
        <f t="shared" si="14"/>
        <v>0</v>
      </c>
      <c r="G43" s="575">
        <f t="shared" si="14"/>
        <v>0</v>
      </c>
      <c r="H43" s="575">
        <f t="shared" si="14"/>
        <v>0</v>
      </c>
      <c r="I43" s="575">
        <f t="shared" si="14"/>
        <v>0</v>
      </c>
      <c r="J43" s="575">
        <f t="shared" si="14"/>
        <v>0</v>
      </c>
      <c r="K43" s="575">
        <f t="shared" si="14"/>
        <v>0</v>
      </c>
      <c r="L43" s="575">
        <f t="shared" si="14"/>
        <v>0</v>
      </c>
      <c r="M43" s="575">
        <f t="shared" si="14"/>
        <v>0</v>
      </c>
      <c r="N43" s="575">
        <f t="shared" si="14"/>
        <v>0</v>
      </c>
      <c r="O43" s="575">
        <f t="shared" si="14"/>
        <v>0</v>
      </c>
      <c r="P43" s="575">
        <f t="shared" si="14"/>
        <v>0</v>
      </c>
      <c r="Q43" s="897">
        <f t="shared" si="14"/>
        <v>0</v>
      </c>
      <c r="R43" s="897">
        <f t="shared" si="14"/>
        <v>0</v>
      </c>
      <c r="S43" s="897">
        <f t="shared" si="14"/>
        <v>0</v>
      </c>
      <c r="T43" s="897">
        <f>T17-T18-T25-T26</f>
        <v>0</v>
      </c>
      <c r="U43" s="897">
        <f>U17-U18-U25-U26</f>
        <v>0</v>
      </c>
      <c r="V43" s="897">
        <f>V17-V18-V25-V26</f>
        <v>0</v>
      </c>
      <c r="W43" s="897">
        <f>W17-W18-W25-W26</f>
        <v>0</v>
      </c>
      <c r="X43" s="897">
        <f>X17-X18-X25-X26</f>
        <v>0</v>
      </c>
      <c r="Y43" s="897">
        <f t="shared" ref="Y43:Z43" si="15">Y17-Y18-Y25-Y26</f>
        <v>0</v>
      </c>
      <c r="Z43" s="897">
        <f t="shared" si="15"/>
        <v>0</v>
      </c>
      <c r="AA43" s="897"/>
    </row>
    <row r="44" spans="1:27">
      <c r="B44" s="534" t="s">
        <v>291</v>
      </c>
      <c r="D44" s="575">
        <f>D21-D22-D23</f>
        <v>100000.00000000047</v>
      </c>
      <c r="E44" s="575">
        <f t="shared" ref="E44:S44" si="16">E21-E22-E23</f>
        <v>0</v>
      </c>
      <c r="F44" s="575">
        <f t="shared" si="16"/>
        <v>0</v>
      </c>
      <c r="G44" s="575">
        <f t="shared" si="16"/>
        <v>0</v>
      </c>
      <c r="H44" s="575">
        <f t="shared" si="16"/>
        <v>0</v>
      </c>
      <c r="I44" s="575">
        <f t="shared" si="16"/>
        <v>-100000</v>
      </c>
      <c r="J44" s="575">
        <f t="shared" si="16"/>
        <v>0</v>
      </c>
      <c r="K44" s="575">
        <f t="shared" si="16"/>
        <v>0</v>
      </c>
      <c r="L44" s="575">
        <f t="shared" si="16"/>
        <v>0</v>
      </c>
      <c r="M44" s="575">
        <f t="shared" si="16"/>
        <v>0</v>
      </c>
      <c r="N44" s="575">
        <f t="shared" si="16"/>
        <v>0</v>
      </c>
      <c r="O44" s="575">
        <f t="shared" si="16"/>
        <v>0</v>
      </c>
      <c r="P44" s="575">
        <f t="shared" si="16"/>
        <v>0</v>
      </c>
      <c r="Q44" s="897">
        <f t="shared" si="16"/>
        <v>0</v>
      </c>
      <c r="R44" s="897">
        <f t="shared" si="16"/>
        <v>0</v>
      </c>
      <c r="S44" s="897">
        <f t="shared" si="16"/>
        <v>0</v>
      </c>
      <c r="T44" s="897">
        <f>T21-T22-T23</f>
        <v>0</v>
      </c>
      <c r="U44" s="897">
        <f>U21-U22-U23</f>
        <v>0</v>
      </c>
      <c r="V44" s="897">
        <f>V21-V22-V23</f>
        <v>0</v>
      </c>
      <c r="W44" s="897">
        <f>W21-W22-W23</f>
        <v>0</v>
      </c>
      <c r="X44" s="897">
        <f>X21-X22-X23</f>
        <v>0</v>
      </c>
      <c r="Y44" s="897">
        <f t="shared" ref="Y44:Z44" si="17">Y21-Y22-Y23</f>
        <v>0</v>
      </c>
      <c r="Z44" s="897">
        <f t="shared" si="17"/>
        <v>0</v>
      </c>
      <c r="AA44" s="897"/>
    </row>
    <row r="45" spans="1:27">
      <c r="B45" s="534" t="s">
        <v>148</v>
      </c>
      <c r="D45" s="1958">
        <f t="shared" ref="D45:R45" si="18">D29-D30-D34</f>
        <v>0</v>
      </c>
      <c r="E45" s="1958">
        <f t="shared" si="18"/>
        <v>0</v>
      </c>
      <c r="F45" s="1958">
        <f t="shared" si="18"/>
        <v>0</v>
      </c>
      <c r="G45" s="1958">
        <f t="shared" si="18"/>
        <v>0</v>
      </c>
      <c r="H45" s="1958">
        <f t="shared" si="18"/>
        <v>0</v>
      </c>
      <c r="I45" s="1958">
        <f t="shared" si="18"/>
        <v>0</v>
      </c>
      <c r="J45" s="1958">
        <f t="shared" si="18"/>
        <v>0</v>
      </c>
      <c r="K45" s="2016">
        <f>K29-K30-K34</f>
        <v>0</v>
      </c>
      <c r="L45" s="1958">
        <f t="shared" si="18"/>
        <v>0</v>
      </c>
      <c r="M45" s="1958">
        <f t="shared" si="18"/>
        <v>0</v>
      </c>
      <c r="N45" s="1958">
        <f t="shared" si="18"/>
        <v>0</v>
      </c>
      <c r="O45" s="1958">
        <f t="shared" si="18"/>
        <v>0</v>
      </c>
      <c r="P45" s="1958">
        <f t="shared" si="18"/>
        <v>-1.4901161193847656E-8</v>
      </c>
      <c r="Q45" s="897">
        <f t="shared" si="18"/>
        <v>0</v>
      </c>
      <c r="R45" s="897">
        <f t="shared" si="18"/>
        <v>0</v>
      </c>
      <c r="S45" s="897">
        <f t="shared" ref="S45:X45" si="19">S29-S30-S34</f>
        <v>0</v>
      </c>
      <c r="T45" s="897">
        <f t="shared" si="19"/>
        <v>0</v>
      </c>
      <c r="U45" s="897">
        <f t="shared" si="19"/>
        <v>0</v>
      </c>
      <c r="V45" s="897">
        <f t="shared" si="19"/>
        <v>0</v>
      </c>
      <c r="W45" s="897">
        <f t="shared" si="19"/>
        <v>0</v>
      </c>
      <c r="X45" s="897">
        <f t="shared" si="19"/>
        <v>0</v>
      </c>
      <c r="Y45" s="897">
        <f t="shared" ref="Y45:Z45" si="20">Y29-Y30-Y34</f>
        <v>0</v>
      </c>
      <c r="Z45" s="897">
        <f t="shared" si="20"/>
        <v>0</v>
      </c>
      <c r="AA45" s="897"/>
    </row>
    <row r="46" spans="1:27">
      <c r="B46" s="534" t="s">
        <v>528</v>
      </c>
      <c r="D46" s="575">
        <f t="shared" ref="D46:P46" si="21">D30-D31-D32-D33</f>
        <v>0</v>
      </c>
      <c r="E46" s="575">
        <f t="shared" si="21"/>
        <v>0</v>
      </c>
      <c r="F46" s="575">
        <f t="shared" si="21"/>
        <v>0</v>
      </c>
      <c r="G46" s="575">
        <f t="shared" si="21"/>
        <v>-1.862645149230957E-9</v>
      </c>
      <c r="H46" s="575">
        <f t="shared" si="21"/>
        <v>0</v>
      </c>
      <c r="I46" s="575">
        <f t="shared" si="21"/>
        <v>0</v>
      </c>
      <c r="J46" s="575">
        <f t="shared" si="21"/>
        <v>0</v>
      </c>
      <c r="K46" s="575">
        <f t="shared" si="21"/>
        <v>0</v>
      </c>
      <c r="L46" s="575">
        <f t="shared" si="21"/>
        <v>0</v>
      </c>
      <c r="M46" s="575">
        <f t="shared" si="21"/>
        <v>0</v>
      </c>
      <c r="N46" s="575">
        <f t="shared" si="21"/>
        <v>0</v>
      </c>
      <c r="O46" s="575">
        <f t="shared" si="21"/>
        <v>0</v>
      </c>
      <c r="P46" s="575">
        <f t="shared" si="21"/>
        <v>0</v>
      </c>
      <c r="Q46" s="897">
        <f t="shared" ref="Q46:X46" si="22">Q30-Q31-Q32-Q33</f>
        <v>53100000</v>
      </c>
      <c r="R46" s="2020">
        <f t="shared" si="22"/>
        <v>53100000</v>
      </c>
      <c r="S46" s="2020">
        <f t="shared" si="22"/>
        <v>45300000</v>
      </c>
      <c r="T46" s="2020">
        <f t="shared" si="22"/>
        <v>9100000</v>
      </c>
      <c r="U46" s="2020">
        <f t="shared" si="22"/>
        <v>2800000</v>
      </c>
      <c r="V46" s="2020">
        <f t="shared" si="22"/>
        <v>52400000</v>
      </c>
      <c r="W46" s="2020">
        <f t="shared" si="22"/>
        <v>62800000</v>
      </c>
      <c r="X46" s="2020">
        <f t="shared" si="22"/>
        <v>66400000.000000007</v>
      </c>
      <c r="Y46" s="2020">
        <f t="shared" ref="Y46:Z46" si="23">Y30-Y31-Y32-Y33</f>
        <v>64900000.000000007</v>
      </c>
      <c r="Z46" s="2020">
        <f t="shared" si="23"/>
        <v>70800000</v>
      </c>
      <c r="AA46" s="897"/>
    </row>
    <row r="47" spans="1:27">
      <c r="B47" s="534" t="s">
        <v>297</v>
      </c>
      <c r="D47" s="575">
        <f>D34-D35-D36</f>
        <v>0</v>
      </c>
      <c r="E47" s="575">
        <f t="shared" ref="E47:S47" si="24">E34-E35-E36</f>
        <v>0</v>
      </c>
      <c r="F47" s="575">
        <f t="shared" si="24"/>
        <v>0</v>
      </c>
      <c r="G47" s="575">
        <f t="shared" si="24"/>
        <v>100000</v>
      </c>
      <c r="H47" s="575">
        <f>H34-H35-H36</f>
        <v>0</v>
      </c>
      <c r="I47" s="575">
        <f t="shared" si="24"/>
        <v>0</v>
      </c>
      <c r="J47" s="575">
        <f t="shared" si="24"/>
        <v>0</v>
      </c>
      <c r="K47" s="575">
        <f t="shared" si="24"/>
        <v>-100000</v>
      </c>
      <c r="L47" s="575">
        <f t="shared" si="24"/>
        <v>0</v>
      </c>
      <c r="M47" s="575">
        <f t="shared" si="24"/>
        <v>0</v>
      </c>
      <c r="N47" s="575">
        <f t="shared" si="24"/>
        <v>-100000</v>
      </c>
      <c r="O47" s="575">
        <f t="shared" si="24"/>
        <v>0</v>
      </c>
      <c r="P47" s="575">
        <f t="shared" si="24"/>
        <v>100000</v>
      </c>
      <c r="Q47" s="897">
        <f t="shared" si="24"/>
        <v>45600000</v>
      </c>
      <c r="R47" s="2020">
        <f t="shared" si="24"/>
        <v>45600000</v>
      </c>
      <c r="S47" s="2020">
        <f t="shared" si="24"/>
        <v>30300000</v>
      </c>
      <c r="T47" s="2020">
        <f>T34-T35-T36</f>
        <v>-600000</v>
      </c>
      <c r="U47" s="2020">
        <f>U34-U35-U36</f>
        <v>20800000</v>
      </c>
      <c r="V47" s="2020">
        <f>V34-V35-V36</f>
        <v>-8600000</v>
      </c>
      <c r="W47" s="2020">
        <f>W34-W35-W36</f>
        <v>-9300000</v>
      </c>
      <c r="X47" s="2020">
        <f>X34-X35-X36</f>
        <v>-6300000</v>
      </c>
      <c r="Y47" s="2020">
        <f t="shared" ref="Y47:Z47" si="25">Y34-Y35-Y36</f>
        <v>-1800000</v>
      </c>
      <c r="Z47" s="2020">
        <f t="shared" si="25"/>
        <v>-1600000</v>
      </c>
      <c r="AA47" s="897"/>
    </row>
    <row r="48" spans="1:27">
      <c r="P48" s="425"/>
      <c r="Q48" s="425"/>
      <c r="R48" s="425"/>
      <c r="S48" s="425"/>
      <c r="T48" s="425"/>
      <c r="U48" s="425"/>
      <c r="V48" s="425"/>
      <c r="W48" s="425"/>
      <c r="X48" s="425"/>
    </row>
    <row r="49" spans="2:26">
      <c r="B49" s="534" t="s">
        <v>1040</v>
      </c>
      <c r="D49" s="534">
        <v>845000000</v>
      </c>
      <c r="E49" s="534">
        <v>936000000</v>
      </c>
      <c r="F49" s="534">
        <v>1004000000</v>
      </c>
      <c r="G49" s="534">
        <v>1082000000</v>
      </c>
      <c r="H49" s="534">
        <v>1193000000</v>
      </c>
      <c r="I49" s="534">
        <v>1328000000</v>
      </c>
      <c r="J49" s="534">
        <v>1425000000</v>
      </c>
      <c r="K49" s="534">
        <v>1530000000</v>
      </c>
      <c r="L49" s="534">
        <v>1696000000</v>
      </c>
      <c r="M49" s="534">
        <v>1661000000</v>
      </c>
      <c r="N49" s="534">
        <v>1632000000</v>
      </c>
      <c r="O49" s="534">
        <v>1760000000</v>
      </c>
      <c r="P49" s="425">
        <v>1847000000</v>
      </c>
      <c r="Q49" s="425">
        <v>1835000000</v>
      </c>
      <c r="R49" s="425">
        <v>1866400000</v>
      </c>
      <c r="S49" s="425">
        <v>1948900000</v>
      </c>
      <c r="T49" s="425">
        <v>2054199999.9999998</v>
      </c>
      <c r="U49" s="425">
        <v>2134900000</v>
      </c>
      <c r="V49" s="425">
        <v>2196000000</v>
      </c>
      <c r="W49" s="425">
        <v>2290100000</v>
      </c>
      <c r="X49" s="425">
        <v>2403100000</v>
      </c>
      <c r="Y49" s="534">
        <v>2527600000</v>
      </c>
      <c r="Z49" s="534">
        <v>2658600000</v>
      </c>
    </row>
    <row r="50" spans="2:26">
      <c r="B50" s="534" t="s">
        <v>151</v>
      </c>
      <c r="D50" s="534">
        <f>(D6/D49)*100</f>
        <v>29.704142011834318</v>
      </c>
      <c r="E50" s="534">
        <f t="shared" ref="E50:S50" si="26">(E6/E49)*100</f>
        <v>28.034188034188031</v>
      </c>
      <c r="F50" s="534">
        <f t="shared" si="26"/>
        <v>28.964143426294818</v>
      </c>
      <c r="G50" s="534">
        <f t="shared" si="26"/>
        <v>28.049907578558226</v>
      </c>
      <c r="H50" s="534">
        <f t="shared" si="26"/>
        <v>26.630343671416597</v>
      </c>
      <c r="I50" s="534">
        <f t="shared" si="26"/>
        <v>39.487951807228917</v>
      </c>
      <c r="J50" s="534">
        <f t="shared" si="26"/>
        <v>27.242105263157896</v>
      </c>
      <c r="K50" s="534">
        <f t="shared" si="26"/>
        <v>31.81045751633987</v>
      </c>
      <c r="L50" s="534">
        <f t="shared" si="26"/>
        <v>26.821933962264151</v>
      </c>
      <c r="M50" s="534">
        <f t="shared" si="26"/>
        <v>29.620710415412404</v>
      </c>
      <c r="N50" s="534">
        <f t="shared" si="26"/>
        <v>32.181372549019613</v>
      </c>
      <c r="O50" s="534">
        <f t="shared" si="26"/>
        <v>32.227272727272727</v>
      </c>
      <c r="P50" s="534">
        <f t="shared" si="26"/>
        <v>30.108283703302654</v>
      </c>
      <c r="Q50" s="534">
        <f t="shared" si="26"/>
        <v>38.648501362397816</v>
      </c>
      <c r="R50" s="1958">
        <f t="shared" si="26"/>
        <v>37.998285469352766</v>
      </c>
      <c r="S50" s="1958">
        <f t="shared" si="26"/>
        <v>35.071065729385808</v>
      </c>
      <c r="T50" s="1958">
        <f>(T6/T49)*100</f>
        <v>36.082173108752805</v>
      </c>
      <c r="U50" s="1958">
        <f>(U6/U49)*100</f>
        <v>34.22174340718535</v>
      </c>
      <c r="V50" s="1958">
        <f>(V6/V49)*100</f>
        <v>36.388888888888886</v>
      </c>
      <c r="W50" s="1958">
        <f>(W6/W49)*100</f>
        <v>36.906685297585256</v>
      </c>
      <c r="X50" s="1958">
        <f>(X6/X49)*100</f>
        <v>37.759560567600182</v>
      </c>
      <c r="Y50" s="1958">
        <f t="shared" ref="Y50:Z50" si="27">(Y6/Y49)*100</f>
        <v>37.699794271245452</v>
      </c>
      <c r="Z50" s="1958">
        <f t="shared" si="27"/>
        <v>37.004438426239375</v>
      </c>
    </row>
    <row r="51" spans="2:26">
      <c r="B51" s="534" t="s">
        <v>152</v>
      </c>
      <c r="D51" s="534">
        <f>(D16/D49)*100</f>
        <v>30.319526627218934</v>
      </c>
      <c r="E51" s="534">
        <f t="shared" ref="E51:S51" si="28">(E16/E49)*100</f>
        <v>29.989316239316238</v>
      </c>
      <c r="F51" s="534">
        <f t="shared" si="28"/>
        <v>30.737051792828684</v>
      </c>
      <c r="G51" s="534">
        <f t="shared" si="28"/>
        <v>28.567467652495377</v>
      </c>
      <c r="H51" s="534">
        <f t="shared" si="28"/>
        <v>27.376362112321878</v>
      </c>
      <c r="I51" s="534">
        <f t="shared" si="28"/>
        <v>39.254518072289152</v>
      </c>
      <c r="J51" s="534">
        <f t="shared" si="28"/>
        <v>27.691228070175438</v>
      </c>
      <c r="K51" s="534">
        <f t="shared" si="28"/>
        <v>31.261437908496731</v>
      </c>
      <c r="L51" s="534">
        <f t="shared" si="28"/>
        <v>28.095518867924529</v>
      </c>
      <c r="M51" s="534">
        <f t="shared" si="28"/>
        <v>33.263094521372665</v>
      </c>
      <c r="N51" s="534">
        <f t="shared" si="28"/>
        <v>38.83578431372549</v>
      </c>
      <c r="O51" s="534">
        <f t="shared" si="28"/>
        <v>37.76136363636364</v>
      </c>
      <c r="P51" s="534">
        <f t="shared" si="28"/>
        <v>37.24959393611261</v>
      </c>
      <c r="Q51" s="534">
        <f t="shared" si="28"/>
        <v>44.087193460490468</v>
      </c>
      <c r="R51" s="1958">
        <f t="shared" si="28"/>
        <v>43.345477925417917</v>
      </c>
      <c r="S51" s="1958">
        <f t="shared" si="28"/>
        <v>0</v>
      </c>
      <c r="T51" s="1958">
        <f>(T16/T49)*100</f>
        <v>0</v>
      </c>
      <c r="U51" s="1958">
        <f>(U16/U49)*100</f>
        <v>0</v>
      </c>
      <c r="V51" s="1958">
        <f>(V16/V49)*100</f>
        <v>0</v>
      </c>
      <c r="W51" s="1958">
        <f>(W16/W49)*100</f>
        <v>0</v>
      </c>
      <c r="X51" s="1958">
        <f>(X16/X49)*100</f>
        <v>0</v>
      </c>
      <c r="Y51" s="1958">
        <f t="shared" ref="Y51:Z51" si="29">(Y16/Y49)*100</f>
        <v>0</v>
      </c>
      <c r="Z51" s="1958">
        <f t="shared" si="29"/>
        <v>0</v>
      </c>
    </row>
    <row r="54" spans="2:26" ht="13.5" customHeight="1">
      <c r="B54" s="534" t="s">
        <v>153</v>
      </c>
      <c r="D54" s="534" t="b">
        <f>IF(D26&lt;0, (D26/D17)*100)</f>
        <v>0</v>
      </c>
      <c r="E54" s="534" t="b">
        <f t="shared" ref="E54:Z54" si="30">IF(E26&lt;0, (E26/E17)*100)</f>
        <v>0</v>
      </c>
      <c r="F54" s="534" t="b">
        <f t="shared" si="30"/>
        <v>0</v>
      </c>
      <c r="G54" s="534" t="b">
        <f t="shared" si="30"/>
        <v>0</v>
      </c>
      <c r="H54" s="534" t="b">
        <f t="shared" si="30"/>
        <v>0</v>
      </c>
      <c r="I54" s="534" t="b">
        <f t="shared" si="30"/>
        <v>0</v>
      </c>
      <c r="J54" s="534" t="b">
        <f t="shared" si="30"/>
        <v>0</v>
      </c>
      <c r="K54" s="534" t="b">
        <f t="shared" si="30"/>
        <v>0</v>
      </c>
      <c r="L54" s="534" t="b">
        <f t="shared" si="30"/>
        <v>0</v>
      </c>
      <c r="M54" s="534" t="b">
        <f t="shared" si="30"/>
        <v>0</v>
      </c>
      <c r="N54" s="534" t="b">
        <f t="shared" si="30"/>
        <v>0</v>
      </c>
      <c r="O54" s="534" t="b">
        <f t="shared" si="30"/>
        <v>0</v>
      </c>
      <c r="P54" s="534" t="b">
        <f t="shared" si="30"/>
        <v>0</v>
      </c>
      <c r="Q54" s="534" t="b">
        <f t="shared" si="30"/>
        <v>0</v>
      </c>
      <c r="R54" s="534" t="b">
        <f t="shared" si="30"/>
        <v>0</v>
      </c>
      <c r="S54" s="534" t="b">
        <f t="shared" si="30"/>
        <v>0</v>
      </c>
      <c r="T54" s="534" t="b">
        <f t="shared" si="30"/>
        <v>0</v>
      </c>
      <c r="U54" s="534" t="b">
        <f t="shared" si="30"/>
        <v>0</v>
      </c>
      <c r="V54" s="534" t="b">
        <f t="shared" si="30"/>
        <v>0</v>
      </c>
      <c r="W54" s="534" t="b">
        <f t="shared" si="30"/>
        <v>0</v>
      </c>
      <c r="X54" s="534" t="b">
        <f t="shared" si="30"/>
        <v>0</v>
      </c>
      <c r="Y54" s="534" t="b">
        <f t="shared" si="30"/>
        <v>0</v>
      </c>
      <c r="Z54" s="534" t="b">
        <f t="shared" si="30"/>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D9" activePane="bottomRight" state="frozen"/>
      <selection pane="topRight" activeCell="R7" sqref="R7"/>
      <selection pane="bottomLeft" activeCell="R7" sqref="R7"/>
      <selection pane="bottomRight" activeCell="K22" sqref="K22"/>
    </sheetView>
  </sheetViews>
  <sheetFormatPr defaultRowHeight="16.5"/>
  <cols>
    <col min="1" max="1" width="32.28515625" style="1797" bestFit="1" customWidth="1"/>
    <col min="2" max="2" width="66.28515625" style="1797" bestFit="1" customWidth="1"/>
    <col min="3" max="3" width="25.28515625" style="1797" bestFit="1" customWidth="1"/>
    <col min="4" max="4" width="13.7109375" style="1797" bestFit="1" customWidth="1"/>
    <col min="5" max="7" width="19" style="1797" bestFit="1" customWidth="1"/>
    <col min="8" max="8" width="20.42578125" style="1797" bestFit="1" customWidth="1"/>
    <col min="9" max="10" width="21.42578125" style="1797" bestFit="1" customWidth="1"/>
    <col min="11" max="11" width="26" style="1797" bestFit="1" customWidth="1"/>
    <col min="12" max="22" width="22.7109375" style="1797" bestFit="1" customWidth="1"/>
    <col min="23" max="23" width="19.7109375" style="1803" customWidth="1"/>
    <col min="24" max="24" width="22.140625" style="1797" bestFit="1" customWidth="1"/>
    <col min="25" max="26" width="8.85546875" style="1797"/>
  </cols>
  <sheetData>
    <row r="1" spans="1:26">
      <c r="A1" s="448" t="s">
        <v>5485</v>
      </c>
      <c r="B1" s="1793" t="s">
        <v>5486</v>
      </c>
      <c r="C1" s="1793"/>
      <c r="D1" s="1794"/>
      <c r="E1" s="1794"/>
      <c r="F1" s="1794"/>
      <c r="G1" s="1794"/>
      <c r="H1" s="1794"/>
      <c r="I1" s="1794"/>
      <c r="J1" s="1794"/>
      <c r="K1" s="1794"/>
      <c r="L1" s="1794"/>
      <c r="M1" s="1794"/>
      <c r="N1" s="1794"/>
      <c r="O1" s="1795"/>
      <c r="P1" s="1795"/>
      <c r="Q1" s="1795"/>
      <c r="R1" s="1796"/>
      <c r="S1" s="1795"/>
      <c r="T1" s="1795"/>
      <c r="U1" s="1795"/>
      <c r="V1" s="1795"/>
      <c r="W1" s="1795"/>
    </row>
    <row r="2" spans="1:26">
      <c r="B2" s="1798" t="s">
        <v>5487</v>
      </c>
      <c r="C2" s="1798"/>
      <c r="D2" s="1795"/>
      <c r="E2" s="1795"/>
      <c r="F2" s="1795"/>
      <c r="G2" s="1795"/>
      <c r="H2" s="1795"/>
      <c r="I2" s="1795"/>
      <c r="J2" s="1795"/>
      <c r="K2" s="1795"/>
      <c r="L2" s="1795"/>
      <c r="M2" s="1795"/>
      <c r="N2" s="1795"/>
      <c r="O2" s="1795"/>
      <c r="P2" s="1795"/>
      <c r="Q2" s="1795"/>
      <c r="R2" s="1799"/>
      <c r="S2" s="1800"/>
      <c r="T2" s="1801"/>
      <c r="U2" s="1795"/>
      <c r="V2" s="1795"/>
      <c r="W2" s="1795"/>
    </row>
    <row r="3" spans="1:26">
      <c r="B3" s="1802" t="s">
        <v>3</v>
      </c>
      <c r="C3" s="1802"/>
      <c r="D3" s="1795">
        <v>2000</v>
      </c>
      <c r="E3" s="1795">
        <v>2001</v>
      </c>
      <c r="F3" s="1795">
        <v>2002</v>
      </c>
      <c r="G3" s="1795">
        <v>2003</v>
      </c>
      <c r="H3" s="1795">
        <v>2004</v>
      </c>
      <c r="I3" s="1795">
        <v>2005</v>
      </c>
      <c r="J3" s="1795">
        <v>2006</v>
      </c>
      <c r="K3" s="1795">
        <v>2007</v>
      </c>
      <c r="L3" s="1795">
        <v>2008</v>
      </c>
      <c r="M3" s="1795">
        <v>2009</v>
      </c>
      <c r="N3" s="1795">
        <v>2010</v>
      </c>
      <c r="O3" s="1795">
        <v>2011</v>
      </c>
      <c r="P3" s="1795">
        <v>2012</v>
      </c>
      <c r="Q3" s="1795">
        <v>2013</v>
      </c>
      <c r="R3" s="1795">
        <v>2014</v>
      </c>
      <c r="S3" s="1795">
        <v>2015</v>
      </c>
      <c r="T3" s="1795">
        <v>2016</v>
      </c>
      <c r="U3" s="1795">
        <v>2017</v>
      </c>
      <c r="V3" s="1795">
        <v>2018</v>
      </c>
      <c r="W3" s="1795">
        <v>2019</v>
      </c>
      <c r="X3" s="1795">
        <v>2020</v>
      </c>
    </row>
    <row r="4" spans="1:26">
      <c r="B4" s="1802" t="s">
        <v>4</v>
      </c>
      <c r="C4" s="1802"/>
      <c r="D4" s="1795" t="s">
        <v>5</v>
      </c>
      <c r="E4" s="1795" t="s">
        <v>6</v>
      </c>
      <c r="F4" s="1795" t="s">
        <v>7</v>
      </c>
      <c r="G4" s="1795" t="s">
        <v>8</v>
      </c>
      <c r="H4" s="1795" t="s">
        <v>9</v>
      </c>
      <c r="I4" s="1795" t="s">
        <v>10</v>
      </c>
      <c r="J4" s="1795" t="s">
        <v>11</v>
      </c>
      <c r="K4" s="1795" t="s">
        <v>12</v>
      </c>
      <c r="L4" s="1795" t="s">
        <v>13</v>
      </c>
      <c r="M4" s="1795" t="s">
        <v>14</v>
      </c>
      <c r="N4" s="1795" t="s">
        <v>15</v>
      </c>
      <c r="O4" s="1795" t="s">
        <v>16</v>
      </c>
      <c r="P4" s="1795" t="s">
        <v>17</v>
      </c>
      <c r="Q4" s="1795" t="s">
        <v>18</v>
      </c>
      <c r="R4" s="1796" t="s">
        <v>19</v>
      </c>
      <c r="S4" s="1795" t="s">
        <v>20</v>
      </c>
      <c r="T4" s="1795" t="s">
        <v>21</v>
      </c>
      <c r="U4" s="1795" t="s">
        <v>22</v>
      </c>
      <c r="V4" s="1795" t="s">
        <v>23</v>
      </c>
      <c r="W4" s="1795" t="s">
        <v>24</v>
      </c>
      <c r="X4" s="1795" t="s">
        <v>25</v>
      </c>
    </row>
    <row r="5" spans="1:26">
      <c r="A5" s="1797" t="s">
        <v>28</v>
      </c>
      <c r="B5" s="1802" t="s">
        <v>29</v>
      </c>
      <c r="C5" s="1802"/>
      <c r="D5" s="1795" t="s">
        <v>30</v>
      </c>
      <c r="E5" s="1795" t="s">
        <v>30</v>
      </c>
      <c r="F5" s="1795" t="s">
        <v>30</v>
      </c>
      <c r="G5" s="1795" t="s">
        <v>30</v>
      </c>
      <c r="H5" s="1795" t="s">
        <v>30</v>
      </c>
      <c r="I5" s="1794" t="s">
        <v>31</v>
      </c>
      <c r="J5" s="1794" t="s">
        <v>30</v>
      </c>
      <c r="K5" s="1794" t="s">
        <v>30</v>
      </c>
      <c r="L5" s="1794" t="s">
        <v>30</v>
      </c>
      <c r="M5" s="1794" t="s">
        <v>30</v>
      </c>
      <c r="N5" s="1795" t="s">
        <v>31</v>
      </c>
      <c r="O5" s="1795" t="s">
        <v>31</v>
      </c>
      <c r="P5" s="1795" t="s">
        <v>369</v>
      </c>
      <c r="Q5" s="1795" t="s">
        <v>369</v>
      </c>
      <c r="R5" s="1795" t="s">
        <v>31</v>
      </c>
      <c r="S5" s="1795" t="s">
        <v>31</v>
      </c>
      <c r="T5" s="1795" t="s">
        <v>30</v>
      </c>
      <c r="U5" s="1795" t="s">
        <v>32</v>
      </c>
      <c r="V5" s="1795" t="s">
        <v>32</v>
      </c>
      <c r="W5" s="1795" t="s">
        <v>32</v>
      </c>
      <c r="X5" s="1795" t="s">
        <v>32</v>
      </c>
    </row>
    <row r="6" spans="1:26" s="848" customFormat="1">
      <c r="A6" s="1818" t="s">
        <v>33</v>
      </c>
      <c r="B6" s="1818" t="s">
        <v>5488</v>
      </c>
      <c r="C6" s="1818" t="s">
        <v>35</v>
      </c>
      <c r="D6" s="1818"/>
      <c r="E6" s="2021">
        <v>248800000000</v>
      </c>
      <c r="F6" s="2021">
        <v>245600000000</v>
      </c>
      <c r="G6" s="2021">
        <v>321000000000</v>
      </c>
      <c r="H6" s="2021">
        <v>381200000000</v>
      </c>
      <c r="I6" s="2021">
        <v>974000000000</v>
      </c>
      <c r="J6" s="2021">
        <v>570000000000</v>
      </c>
      <c r="K6" s="2021">
        <v>3233000000000</v>
      </c>
      <c r="L6" s="2021">
        <v>1225000000000</v>
      </c>
      <c r="M6" s="2021">
        <v>995000000000</v>
      </c>
      <c r="N6" s="2021">
        <v>1417000000000</v>
      </c>
      <c r="O6" s="2021">
        <v>1622000000000</v>
      </c>
      <c r="P6" s="2021">
        <v>1685000000000</v>
      </c>
      <c r="Q6" s="2021">
        <v>1819000000000</v>
      </c>
      <c r="R6" s="2021">
        <v>1618000000000</v>
      </c>
      <c r="S6" s="2032">
        <f>S7+S17</f>
        <v>1912000000000</v>
      </c>
      <c r="T6" s="2021">
        <v>2280000000000</v>
      </c>
      <c r="U6" s="2021">
        <v>2042000000000</v>
      </c>
      <c r="V6" s="2021">
        <v>2556000000000</v>
      </c>
      <c r="W6" s="1821">
        <v>2788000000000</v>
      </c>
      <c r="X6" s="1826">
        <v>3071000000000</v>
      </c>
      <c r="Y6" s="1820"/>
      <c r="Z6" s="1820"/>
    </row>
    <row r="7" spans="1:26">
      <c r="A7" s="1804" t="s">
        <v>36</v>
      </c>
      <c r="B7" s="1804" t="s">
        <v>5489</v>
      </c>
      <c r="C7" s="1805" t="s">
        <v>38</v>
      </c>
      <c r="D7" s="1804"/>
      <c r="E7" s="1850">
        <f>E8+E22</f>
        <v>89200000000</v>
      </c>
      <c r="F7" s="1850">
        <f t="shared" ref="F7:R7" si="0">F8+F22</f>
        <v>113400000000</v>
      </c>
      <c r="G7" s="1850">
        <f t="shared" si="0"/>
        <v>141600000000</v>
      </c>
      <c r="H7" s="1850">
        <f t="shared" si="0"/>
        <v>178600000000</v>
      </c>
      <c r="I7" s="1850">
        <f t="shared" si="0"/>
        <v>769000000000</v>
      </c>
      <c r="J7" s="1850">
        <f t="shared" si="0"/>
        <v>324000000000</v>
      </c>
      <c r="K7" s="1850">
        <f t="shared" si="0"/>
        <v>761000000000</v>
      </c>
      <c r="L7" s="1850">
        <f t="shared" si="0"/>
        <v>444000000000</v>
      </c>
      <c r="M7" s="1850">
        <f t="shared" si="0"/>
        <v>529000000000</v>
      </c>
      <c r="N7" s="1850">
        <f t="shared" si="0"/>
        <v>677000000000</v>
      </c>
      <c r="O7" s="1850">
        <f t="shared" si="0"/>
        <v>822000000000</v>
      </c>
      <c r="P7" s="1850">
        <f t="shared" si="0"/>
        <v>809000000000</v>
      </c>
      <c r="Q7" s="1850">
        <f t="shared" si="0"/>
        <v>1061000000000</v>
      </c>
      <c r="R7" s="1850">
        <f t="shared" si="0"/>
        <v>973000000000</v>
      </c>
      <c r="S7" s="1850">
        <v>1108000000000</v>
      </c>
      <c r="T7" s="1850">
        <v>1130000000000</v>
      </c>
      <c r="U7" s="1850">
        <v>1206000000000</v>
      </c>
      <c r="V7" s="1850">
        <v>1359000000000</v>
      </c>
      <c r="W7" s="1850">
        <v>1514000000000</v>
      </c>
      <c r="X7" s="1828">
        <v>1683000000000</v>
      </c>
    </row>
    <row r="8" spans="1:26">
      <c r="A8" s="1804" t="s">
        <v>76</v>
      </c>
      <c r="B8" s="1804" t="s">
        <v>5489</v>
      </c>
      <c r="C8" s="1805"/>
      <c r="D8" s="1804"/>
      <c r="E8" s="1851">
        <f>E9+E13+E16</f>
        <v>89200000000</v>
      </c>
      <c r="F8" s="1851">
        <f>F9+F13+F16</f>
        <v>113400000000</v>
      </c>
      <c r="G8" s="1851">
        <f>G9+G13+G16</f>
        <v>141600000000</v>
      </c>
      <c r="H8" s="1851">
        <f>H9+H13+H16</f>
        <v>178600000000</v>
      </c>
      <c r="I8" s="1850">
        <v>207000000000</v>
      </c>
      <c r="J8" s="1850">
        <v>324000000000</v>
      </c>
      <c r="K8" s="1850">
        <v>374000000000</v>
      </c>
      <c r="L8" s="1850">
        <v>444000000000</v>
      </c>
      <c r="M8" s="1850">
        <v>529000000000</v>
      </c>
      <c r="N8" s="1850">
        <v>677000000000</v>
      </c>
      <c r="O8" s="1850">
        <v>787000000000</v>
      </c>
      <c r="P8" s="1850">
        <v>771000000000</v>
      </c>
      <c r="Q8" s="1850">
        <v>970000000000</v>
      </c>
      <c r="R8" s="1850">
        <v>973000000000</v>
      </c>
      <c r="S8" s="1850"/>
      <c r="T8" s="1850"/>
      <c r="U8" s="1850"/>
      <c r="V8" s="1850"/>
      <c r="W8" s="1808"/>
      <c r="X8" s="1828"/>
    </row>
    <row r="9" spans="1:26">
      <c r="A9" s="1806" t="s">
        <v>39</v>
      </c>
      <c r="B9" s="1806" t="s">
        <v>4847</v>
      </c>
      <c r="C9" s="1805" t="s">
        <v>41</v>
      </c>
      <c r="D9" s="1804"/>
      <c r="E9" s="1850">
        <v>77200000000</v>
      </c>
      <c r="F9" s="1850">
        <v>95000000000</v>
      </c>
      <c r="G9" s="1850">
        <v>114200000000</v>
      </c>
      <c r="H9" s="1850">
        <v>147300000000</v>
      </c>
      <c r="I9" s="1850">
        <v>180000000000</v>
      </c>
      <c r="J9" s="1850">
        <v>267000000000</v>
      </c>
      <c r="K9" s="1850">
        <v>320000000000</v>
      </c>
      <c r="L9" s="1850">
        <v>411000000000</v>
      </c>
      <c r="M9" s="1850">
        <v>462000000000</v>
      </c>
      <c r="N9" s="1850">
        <v>617000000000</v>
      </c>
      <c r="O9" s="1850">
        <v>726000000000</v>
      </c>
      <c r="P9" s="1850">
        <v>704000000000</v>
      </c>
      <c r="Q9" s="1850">
        <v>871000000000</v>
      </c>
      <c r="R9" s="1850">
        <v>879000000000</v>
      </c>
      <c r="S9" s="1850">
        <v>1006000000000</v>
      </c>
      <c r="T9" s="1850">
        <v>949000000000</v>
      </c>
      <c r="U9" s="1850">
        <v>1077000000000</v>
      </c>
      <c r="V9" s="1850">
        <v>1213000000000</v>
      </c>
      <c r="W9" s="1808">
        <v>1354000000000</v>
      </c>
      <c r="X9" s="1828">
        <v>1508000000000</v>
      </c>
    </row>
    <row r="10" spans="1:26">
      <c r="A10" s="1807" t="s">
        <v>5490</v>
      </c>
      <c r="B10" s="1807" t="s">
        <v>5491</v>
      </c>
      <c r="C10" s="1797" t="s">
        <v>44</v>
      </c>
      <c r="D10" s="1804"/>
      <c r="E10" s="1850">
        <v>30100000000</v>
      </c>
      <c r="F10" s="1850">
        <v>30300000000</v>
      </c>
      <c r="G10" s="1850">
        <v>39400000000</v>
      </c>
      <c r="H10" s="1850">
        <v>53600000000</v>
      </c>
      <c r="I10" s="1850"/>
      <c r="J10" s="1850"/>
      <c r="K10" s="1850"/>
      <c r="L10" s="1850"/>
      <c r="M10" s="1850"/>
      <c r="N10" s="1850"/>
      <c r="O10" s="1850"/>
      <c r="P10" s="1850"/>
      <c r="Q10" s="1850"/>
      <c r="R10" s="1850"/>
      <c r="S10" s="1850"/>
      <c r="T10" s="1850"/>
      <c r="U10" s="1850"/>
      <c r="V10" s="1850"/>
      <c r="W10" s="1808"/>
      <c r="X10" s="1828"/>
    </row>
    <row r="11" spans="1:26">
      <c r="A11" s="1807" t="s">
        <v>4492</v>
      </c>
      <c r="B11" s="1807" t="s">
        <v>5492</v>
      </c>
      <c r="C11" s="1797" t="s">
        <v>44</v>
      </c>
      <c r="D11" s="1804"/>
      <c r="E11" s="1850">
        <v>19400000000</v>
      </c>
      <c r="F11" s="1850">
        <v>23800000000</v>
      </c>
      <c r="G11" s="1850">
        <v>30900000000</v>
      </c>
      <c r="H11" s="1850">
        <v>35700000000</v>
      </c>
      <c r="I11" s="1850"/>
      <c r="J11" s="1850"/>
      <c r="K11" s="1850"/>
      <c r="L11" s="1850"/>
      <c r="M11" s="1850"/>
      <c r="N11" s="1850"/>
      <c r="O11" s="1850"/>
      <c r="P11" s="1850"/>
      <c r="Q11" s="1850"/>
      <c r="R11" s="1850"/>
      <c r="S11" s="1850">
        <v>455000000000</v>
      </c>
      <c r="T11" s="1850">
        <v>371000000000</v>
      </c>
      <c r="U11" s="1850">
        <v>409000000000</v>
      </c>
      <c r="V11" s="1850">
        <v>466000000000</v>
      </c>
      <c r="W11" s="1808">
        <v>520000000000</v>
      </c>
      <c r="X11" s="1828">
        <v>579000000000</v>
      </c>
    </row>
    <row r="12" spans="1:26">
      <c r="A12" s="1807" t="s">
        <v>49</v>
      </c>
      <c r="B12" s="1807" t="s">
        <v>4860</v>
      </c>
      <c r="C12" s="1797" t="s">
        <v>44</v>
      </c>
      <c r="D12" s="1804"/>
      <c r="E12" s="1850">
        <v>27700000000</v>
      </c>
      <c r="F12" s="1850">
        <v>40900000000</v>
      </c>
      <c r="G12" s="1850">
        <v>43800000000</v>
      </c>
      <c r="H12" s="1850">
        <v>58100000000</v>
      </c>
      <c r="I12" s="1850"/>
      <c r="J12" s="1850"/>
      <c r="K12" s="1850"/>
      <c r="L12" s="1850"/>
      <c r="M12" s="1850"/>
      <c r="N12" s="1850"/>
      <c r="O12" s="1850"/>
      <c r="P12" s="1850"/>
      <c r="Q12" s="1850"/>
      <c r="R12" s="1850"/>
      <c r="S12" s="1850">
        <v>550000000000</v>
      </c>
      <c r="T12" s="1850">
        <v>578000000000</v>
      </c>
      <c r="U12" s="1850">
        <v>668000000000</v>
      </c>
      <c r="V12" s="1850">
        <v>747000000000</v>
      </c>
      <c r="W12" s="1808">
        <v>834000000000</v>
      </c>
      <c r="X12" s="1828">
        <v>929000000000</v>
      </c>
    </row>
    <row r="13" spans="1:26">
      <c r="A13" s="1806" t="s">
        <v>51</v>
      </c>
      <c r="B13" s="1806" t="s">
        <v>4861</v>
      </c>
      <c r="C13" s="1805" t="s">
        <v>41</v>
      </c>
      <c r="D13" s="1804"/>
      <c r="E13" s="1850">
        <v>12000000000</v>
      </c>
      <c r="F13" s="1850">
        <v>18400000000</v>
      </c>
      <c r="G13" s="1850">
        <v>27400000000</v>
      </c>
      <c r="H13" s="1850">
        <v>31300000000</v>
      </c>
      <c r="I13" s="1850">
        <v>27000000000</v>
      </c>
      <c r="J13" s="1850">
        <v>57000000000</v>
      </c>
      <c r="K13" s="1850">
        <v>55000000000</v>
      </c>
      <c r="L13" s="1850">
        <v>33000000000</v>
      </c>
      <c r="M13" s="1850">
        <v>67000000000</v>
      </c>
      <c r="N13" s="1850">
        <v>60000000000</v>
      </c>
      <c r="O13" s="1850">
        <v>61000000000</v>
      </c>
      <c r="P13" s="1850">
        <v>67000000000</v>
      </c>
      <c r="Q13" s="1850">
        <v>100000000000</v>
      </c>
      <c r="R13" s="1850">
        <v>94000000000</v>
      </c>
      <c r="S13" s="1850">
        <v>102000000000</v>
      </c>
      <c r="T13" s="1850">
        <v>181000000000</v>
      </c>
      <c r="U13" s="1850">
        <v>128000000000</v>
      </c>
      <c r="V13" s="1850">
        <v>146000000000</v>
      </c>
      <c r="W13" s="1808">
        <v>160000000000</v>
      </c>
      <c r="X13" s="1828">
        <v>175000000000</v>
      </c>
    </row>
    <row r="14" spans="1:26">
      <c r="A14" s="1824" t="s">
        <v>2308</v>
      </c>
      <c r="B14" s="1824" t="s">
        <v>5493</v>
      </c>
      <c r="C14" s="2030" t="s">
        <v>192</v>
      </c>
      <c r="D14" s="1804"/>
      <c r="E14" s="1850"/>
      <c r="F14" s="1850"/>
      <c r="G14" s="1850"/>
      <c r="H14" s="1850"/>
      <c r="I14" s="1850"/>
      <c r="J14" s="1850"/>
      <c r="K14" s="1850"/>
      <c r="L14" s="1850"/>
      <c r="M14" s="1850"/>
      <c r="N14" s="1850"/>
      <c r="O14" s="1850"/>
      <c r="P14" s="1850"/>
      <c r="Q14" s="1850"/>
      <c r="R14" s="1850"/>
      <c r="S14" s="1850">
        <v>0</v>
      </c>
      <c r="T14" s="1850">
        <v>74000000000</v>
      </c>
      <c r="U14" s="1850">
        <v>29000000000</v>
      </c>
      <c r="V14" s="1850">
        <v>35000000000</v>
      </c>
      <c r="W14" s="1808">
        <v>38000000000</v>
      </c>
      <c r="X14" s="1828">
        <v>39000000000</v>
      </c>
    </row>
    <row r="15" spans="1:26">
      <c r="A15" s="1824" t="s">
        <v>50</v>
      </c>
      <c r="B15" s="1824" t="s">
        <v>5494</v>
      </c>
      <c r="C15" s="2030" t="s">
        <v>192</v>
      </c>
      <c r="D15" s="1804"/>
      <c r="E15" s="1850"/>
      <c r="F15" s="1850"/>
      <c r="G15" s="1850"/>
      <c r="H15" s="1850"/>
      <c r="I15" s="1850"/>
      <c r="J15" s="1850"/>
      <c r="K15" s="1850"/>
      <c r="L15" s="1850"/>
      <c r="M15" s="1850"/>
      <c r="N15" s="1850"/>
      <c r="O15" s="1850"/>
      <c r="P15" s="1850"/>
      <c r="Q15" s="1850"/>
      <c r="R15" s="1850"/>
      <c r="S15" s="1850">
        <v>102000000000</v>
      </c>
      <c r="T15" s="1850">
        <v>107000000000</v>
      </c>
      <c r="U15" s="1850">
        <v>99000000000</v>
      </c>
      <c r="V15" s="1850">
        <v>111000000000</v>
      </c>
      <c r="W15" s="1808">
        <v>122000000000</v>
      </c>
      <c r="X15" s="1828">
        <v>136000000000</v>
      </c>
    </row>
    <row r="16" spans="1:26">
      <c r="A16" s="140" t="s">
        <v>76</v>
      </c>
      <c r="B16" s="1806" t="s">
        <v>5495</v>
      </c>
      <c r="C16" s="1805"/>
      <c r="D16" s="1804"/>
      <c r="E16" s="1850"/>
      <c r="F16" s="1850"/>
      <c r="G16" s="1850"/>
      <c r="H16" s="1850"/>
      <c r="I16" s="1850"/>
      <c r="J16" s="1850">
        <v>18000000000</v>
      </c>
      <c r="K16" s="1850">
        <v>7000000000</v>
      </c>
      <c r="L16" s="1850"/>
      <c r="M16" s="1850"/>
      <c r="N16" s="1850"/>
      <c r="O16" s="1850"/>
      <c r="P16" s="1850"/>
      <c r="Q16" s="1850"/>
      <c r="R16" s="1850"/>
      <c r="S16" s="1850"/>
      <c r="T16" s="1850"/>
      <c r="U16" s="1850"/>
      <c r="V16" s="1850"/>
      <c r="W16" s="1808"/>
      <c r="X16" s="1828"/>
    </row>
    <row r="17" spans="1:26" s="848" customFormat="1">
      <c r="A17" s="1818" t="s">
        <v>53</v>
      </c>
      <c r="B17" s="1818" t="s">
        <v>53</v>
      </c>
      <c r="C17" s="2022" t="s">
        <v>38</v>
      </c>
      <c r="D17" s="1818"/>
      <c r="E17" s="2021">
        <v>159500000000</v>
      </c>
      <c r="F17" s="2021">
        <v>132199999999.99998</v>
      </c>
      <c r="G17" s="2021">
        <v>179400000000</v>
      </c>
      <c r="H17" s="2021">
        <v>202600000000</v>
      </c>
      <c r="I17" s="2021">
        <v>204000000000</v>
      </c>
      <c r="J17" s="2021">
        <v>247000000000</v>
      </c>
      <c r="K17" s="2021">
        <v>2471000000000</v>
      </c>
      <c r="L17" s="2021">
        <v>780000000000</v>
      </c>
      <c r="M17" s="2021">
        <v>466000000000</v>
      </c>
      <c r="N17" s="2021">
        <v>739000000000</v>
      </c>
      <c r="O17" s="2021">
        <v>799000000000</v>
      </c>
      <c r="P17" s="2021">
        <v>876000000000</v>
      </c>
      <c r="Q17" s="2021">
        <v>757000000000</v>
      </c>
      <c r="R17" s="2021">
        <v>645000000000</v>
      </c>
      <c r="S17" s="2021">
        <v>804000000000</v>
      </c>
      <c r="T17" s="2021">
        <v>1151000000000</v>
      </c>
      <c r="U17" s="2021">
        <v>836000000000</v>
      </c>
      <c r="V17" s="2021">
        <v>1197000000000</v>
      </c>
      <c r="W17" s="1821">
        <v>1274000000000</v>
      </c>
      <c r="X17" s="1826">
        <v>1388000000000</v>
      </c>
      <c r="Y17" s="1820"/>
      <c r="Z17" s="1820"/>
    </row>
    <row r="18" spans="1:26">
      <c r="A18" s="140" t="s">
        <v>564</v>
      </c>
      <c r="B18" s="1806" t="s">
        <v>5496</v>
      </c>
      <c r="C18" s="2023" t="s">
        <v>57</v>
      </c>
      <c r="D18" s="1804"/>
      <c r="E18" s="1851"/>
      <c r="F18" s="1851"/>
      <c r="G18" s="1851"/>
      <c r="H18" s="1851"/>
      <c r="I18" s="1850">
        <v>152000000000</v>
      </c>
      <c r="J18" s="1850">
        <v>197000000000</v>
      </c>
      <c r="K18" s="1850">
        <v>168000000000</v>
      </c>
      <c r="L18" s="1850">
        <v>165000000000</v>
      </c>
      <c r="M18" s="1850">
        <v>387000000000</v>
      </c>
      <c r="N18" s="1850">
        <v>686000000000</v>
      </c>
      <c r="O18" s="1850">
        <v>674000000000</v>
      </c>
      <c r="P18" s="1850">
        <v>730000000000</v>
      </c>
      <c r="Q18" s="1850">
        <v>475000000000</v>
      </c>
      <c r="R18" s="1850">
        <v>500000000000</v>
      </c>
      <c r="S18" s="1850">
        <v>610000000000</v>
      </c>
      <c r="T18" s="1850">
        <v>891000000000</v>
      </c>
      <c r="U18" s="1850">
        <v>641000000000</v>
      </c>
      <c r="V18" s="1850">
        <v>933000000000</v>
      </c>
      <c r="W18" s="1808">
        <v>1023000000000</v>
      </c>
      <c r="X18" s="1828">
        <v>1118000000000</v>
      </c>
    </row>
    <row r="19" spans="1:26">
      <c r="A19" s="140" t="s">
        <v>4782</v>
      </c>
      <c r="B19" s="1806" t="s">
        <v>5497</v>
      </c>
      <c r="C19" s="2023" t="s">
        <v>57</v>
      </c>
      <c r="D19" s="1804"/>
      <c r="E19" s="1851"/>
      <c r="F19" s="1851"/>
      <c r="G19" s="1851"/>
      <c r="H19" s="1851"/>
      <c r="I19" s="1850">
        <v>17000000000</v>
      </c>
      <c r="J19" s="1850">
        <v>2000000000</v>
      </c>
      <c r="K19" s="1850">
        <v>21000000000</v>
      </c>
      <c r="L19" s="1850">
        <v>99000000000</v>
      </c>
      <c r="M19" s="1850">
        <v>13000000000</v>
      </c>
      <c r="N19" s="1850">
        <v>25000000000</v>
      </c>
      <c r="O19" s="1850">
        <v>83000000000</v>
      </c>
      <c r="P19" s="1850">
        <v>119000000000</v>
      </c>
      <c r="Q19" s="1850">
        <v>240000000000</v>
      </c>
      <c r="R19" s="1850">
        <v>103000000000</v>
      </c>
      <c r="S19" s="1850">
        <v>61000000000</v>
      </c>
      <c r="T19" s="1850">
        <v>194000000000</v>
      </c>
      <c r="U19" s="1850">
        <v>113000000000</v>
      </c>
      <c r="V19" s="1850">
        <v>181000000000</v>
      </c>
      <c r="W19" s="1808">
        <v>156000000000</v>
      </c>
      <c r="X19" s="1828">
        <v>171000000000</v>
      </c>
    </row>
    <row r="20" spans="1:26">
      <c r="A20" s="140"/>
      <c r="B20" s="1804" t="s">
        <v>5498</v>
      </c>
      <c r="C20" s="2023"/>
      <c r="D20" s="1804"/>
      <c r="E20" s="1851"/>
      <c r="F20" s="1851"/>
      <c r="G20" s="1851"/>
      <c r="H20" s="1851"/>
      <c r="I20" s="1850"/>
      <c r="J20" s="1850"/>
      <c r="K20" s="1850"/>
      <c r="L20" s="1850"/>
      <c r="M20" s="1850"/>
      <c r="N20" s="1850"/>
      <c r="O20" s="1850"/>
      <c r="P20" s="1850"/>
      <c r="Q20" s="1850"/>
      <c r="R20" s="1850" t="s">
        <v>78</v>
      </c>
      <c r="S20" s="1850"/>
      <c r="T20" s="1850"/>
      <c r="U20" s="1850"/>
      <c r="V20" s="1850"/>
      <c r="W20" s="1808"/>
      <c r="X20" s="1828"/>
    </row>
    <row r="21" spans="1:26">
      <c r="A21" s="140" t="s">
        <v>4782</v>
      </c>
      <c r="B21" s="1806" t="s">
        <v>5499</v>
      </c>
      <c r="C21" s="2023" t="s">
        <v>57</v>
      </c>
      <c r="D21" s="1804"/>
      <c r="E21" s="1851"/>
      <c r="F21" s="1851"/>
      <c r="G21" s="1851"/>
      <c r="H21" s="1851"/>
      <c r="I21" s="1850">
        <v>35000000000</v>
      </c>
      <c r="J21" s="1850">
        <v>47000000000</v>
      </c>
      <c r="K21" s="1850">
        <v>2282000000000</v>
      </c>
      <c r="L21" s="1850">
        <v>516000000000</v>
      </c>
      <c r="M21" s="1850">
        <v>66000000000</v>
      </c>
      <c r="N21" s="1850">
        <v>28000000000</v>
      </c>
      <c r="O21" s="1850">
        <v>43000000000</v>
      </c>
      <c r="P21" s="1850">
        <v>28000000000</v>
      </c>
      <c r="Q21" s="1850">
        <v>42000000000</v>
      </c>
      <c r="R21" s="1850">
        <v>42000000000</v>
      </c>
      <c r="S21" s="1850">
        <v>133000000000</v>
      </c>
      <c r="T21" s="1850">
        <v>65000000000</v>
      </c>
      <c r="U21" s="1850">
        <v>82000000000</v>
      </c>
      <c r="V21" s="1850">
        <v>83000000000</v>
      </c>
      <c r="W21" s="1808">
        <v>95000000000</v>
      </c>
      <c r="X21" s="1828">
        <v>98000000000</v>
      </c>
    </row>
    <row r="22" spans="1:26" ht="15.75" customHeight="1">
      <c r="A22" s="1804" t="s">
        <v>5500</v>
      </c>
      <c r="B22" s="1804" t="s">
        <v>5501</v>
      </c>
      <c r="C22" s="1805" t="s">
        <v>41</v>
      </c>
      <c r="D22" s="1804"/>
      <c r="E22" s="1850">
        <v>0</v>
      </c>
      <c r="F22" s="1850">
        <v>0</v>
      </c>
      <c r="G22" s="1850">
        <v>0</v>
      </c>
      <c r="H22" s="1850">
        <v>0</v>
      </c>
      <c r="I22" s="1850">
        <v>562000000000</v>
      </c>
      <c r="J22" s="1850">
        <v>0</v>
      </c>
      <c r="K22" s="1850">
        <v>387000000000</v>
      </c>
      <c r="L22" s="1850">
        <v>0</v>
      </c>
      <c r="M22" s="1850">
        <v>0</v>
      </c>
      <c r="N22" s="1850">
        <v>0</v>
      </c>
      <c r="O22" s="1850">
        <v>35000000000</v>
      </c>
      <c r="P22" s="1850">
        <v>38000000000</v>
      </c>
      <c r="Q22" s="1850">
        <v>91000000000</v>
      </c>
      <c r="R22" s="1850">
        <v>0</v>
      </c>
      <c r="S22" s="1850"/>
      <c r="T22" s="1850"/>
      <c r="U22" s="1850"/>
      <c r="V22" s="1850"/>
      <c r="W22" s="1808"/>
      <c r="X22" s="1828"/>
    </row>
    <row r="23" spans="1:26" s="848" customFormat="1" ht="15.75" customHeight="1">
      <c r="A23" s="1818" t="s">
        <v>71</v>
      </c>
      <c r="B23" s="1818" t="s">
        <v>535</v>
      </c>
      <c r="C23" s="1818" t="s">
        <v>35</v>
      </c>
      <c r="D23" s="1818"/>
      <c r="E23" s="2021">
        <f t="shared" ref="E23:Q23" si="1">E27+E33+E37+E38+E39+E40</f>
        <v>335300000000</v>
      </c>
      <c r="F23" s="2021">
        <f t="shared" si="1"/>
        <v>325600000000</v>
      </c>
      <c r="G23" s="2021">
        <f t="shared" si="1"/>
        <v>415400000000</v>
      </c>
      <c r="H23" s="2021">
        <f>H27+H33+H37+H38+H39+H40</f>
        <v>557500000000</v>
      </c>
      <c r="I23" s="2021">
        <f t="shared" si="1"/>
        <v>528000000000</v>
      </c>
      <c r="J23" s="2021">
        <f t="shared" si="1"/>
        <v>783000000000</v>
      </c>
      <c r="K23" s="2021">
        <f>K27+K33+K37+K38+K39+K40</f>
        <v>783000000000</v>
      </c>
      <c r="L23" s="2021">
        <f t="shared" si="1"/>
        <v>841000000000</v>
      </c>
      <c r="M23" s="2021">
        <f t="shared" si="1"/>
        <v>1581000000000</v>
      </c>
      <c r="N23" s="2021">
        <f t="shared" si="1"/>
        <v>1824000000000</v>
      </c>
      <c r="O23" s="2021">
        <f t="shared" si="1"/>
        <v>2146000000000</v>
      </c>
      <c r="P23" s="2021">
        <f t="shared" si="1"/>
        <v>2225000000000</v>
      </c>
      <c r="Q23" s="2021">
        <f t="shared" si="1"/>
        <v>2238000000000</v>
      </c>
      <c r="R23" s="2021">
        <f t="shared" ref="R23" si="2">R27+R33+R37+R38+R39+R40</f>
        <v>1960000000000</v>
      </c>
      <c r="S23" s="2021">
        <v>2405000000000</v>
      </c>
      <c r="T23" s="2021">
        <v>2494000000000</v>
      </c>
      <c r="U23" s="2021">
        <v>2451000000000</v>
      </c>
      <c r="V23" s="2021">
        <v>2774000000000</v>
      </c>
      <c r="W23" s="2021">
        <v>3081000000000</v>
      </c>
      <c r="X23" s="1826">
        <v>3307000000000</v>
      </c>
      <c r="Y23" s="1820"/>
      <c r="Z23" s="1820"/>
    </row>
    <row r="24" spans="1:26">
      <c r="A24" s="1804" t="s">
        <v>76</v>
      </c>
      <c r="B24" s="1804" t="s">
        <v>5502</v>
      </c>
      <c r="C24" s="1804"/>
      <c r="D24" s="1804"/>
      <c r="E24" s="1850">
        <f t="shared" ref="E24:Q24" si="3">E39+E25</f>
        <v>335300000000</v>
      </c>
      <c r="F24" s="1850">
        <f t="shared" si="3"/>
        <v>325600000000</v>
      </c>
      <c r="G24" s="1850">
        <f t="shared" si="3"/>
        <v>415400000000</v>
      </c>
      <c r="H24" s="1850">
        <f>H39+H25</f>
        <v>548600000000</v>
      </c>
      <c r="I24" s="1850">
        <f t="shared" si="3"/>
        <v>528000000000</v>
      </c>
      <c r="J24" s="1850">
        <f t="shared" si="3"/>
        <v>783000000000</v>
      </c>
      <c r="K24" s="1850">
        <f t="shared" si="3"/>
        <v>783000000000</v>
      </c>
      <c r="L24" s="1850">
        <f t="shared" si="3"/>
        <v>841000000000</v>
      </c>
      <c r="M24" s="1850">
        <f t="shared" si="3"/>
        <v>1581000000000</v>
      </c>
      <c r="N24" s="1850">
        <f t="shared" si="3"/>
        <v>1824000000000</v>
      </c>
      <c r="O24" s="1850">
        <f t="shared" si="3"/>
        <v>2145000000000</v>
      </c>
      <c r="P24" s="1850">
        <f t="shared" si="3"/>
        <v>2225000000000</v>
      </c>
      <c r="Q24" s="1850">
        <f t="shared" si="3"/>
        <v>2238000000000</v>
      </c>
      <c r="R24" s="1850">
        <f t="shared" ref="R24" si="4">R39+R25</f>
        <v>1960000000000</v>
      </c>
      <c r="S24" s="1850"/>
      <c r="T24" s="1850"/>
      <c r="U24" s="1850"/>
      <c r="V24" s="1850"/>
      <c r="W24" s="1850"/>
      <c r="X24" s="1828"/>
    </row>
    <row r="25" spans="1:26">
      <c r="A25" s="1797" t="s">
        <v>76</v>
      </c>
      <c r="B25" s="1804" t="s">
        <v>5503</v>
      </c>
      <c r="C25" s="1804"/>
      <c r="D25" s="1804"/>
      <c r="E25" s="1850">
        <v>335300000000</v>
      </c>
      <c r="F25" s="1850">
        <v>325600000000</v>
      </c>
      <c r="G25" s="1850">
        <v>415100000000</v>
      </c>
      <c r="H25" s="1850">
        <v>548600000000</v>
      </c>
      <c r="I25" s="1850">
        <v>528000000000</v>
      </c>
      <c r="J25" s="1850">
        <v>783000000000</v>
      </c>
      <c r="K25" s="1850">
        <v>783000000000</v>
      </c>
      <c r="L25" s="1850">
        <v>841000000000</v>
      </c>
      <c r="M25" s="1850">
        <v>1581000000000</v>
      </c>
      <c r="N25" s="1850">
        <v>1824000000000</v>
      </c>
      <c r="O25" s="1850">
        <v>2145000000000</v>
      </c>
      <c r="P25" s="1850">
        <v>2225000000000</v>
      </c>
      <c r="Q25" s="1850">
        <v>2238000000000</v>
      </c>
      <c r="R25" s="1850">
        <v>1960000000000</v>
      </c>
      <c r="S25" s="1850"/>
      <c r="T25" s="1850"/>
      <c r="U25" s="1850"/>
      <c r="V25" s="1850"/>
      <c r="W25" s="1808"/>
      <c r="X25" s="1828"/>
    </row>
    <row r="26" spans="1:26">
      <c r="A26" s="1797" t="s">
        <v>76</v>
      </c>
      <c r="B26" s="1804" t="s">
        <v>5504</v>
      </c>
      <c r="D26" s="1804"/>
      <c r="E26" s="1851"/>
      <c r="F26" s="1851"/>
      <c r="G26" s="1851"/>
      <c r="H26" s="1851"/>
      <c r="I26" s="1851"/>
      <c r="J26" s="1850">
        <v>472000000000</v>
      </c>
      <c r="K26" s="1850">
        <v>533000000000</v>
      </c>
      <c r="L26" s="1850">
        <v>633000000000</v>
      </c>
      <c r="M26" s="1850">
        <v>783000000000</v>
      </c>
      <c r="N26" s="1850">
        <v>829000000000</v>
      </c>
      <c r="O26" s="1850">
        <v>920000000000</v>
      </c>
      <c r="P26" s="1850">
        <v>934000000000</v>
      </c>
      <c r="Q26" s="1850">
        <v>1149000000000</v>
      </c>
      <c r="R26" s="1850">
        <v>1181000000000</v>
      </c>
      <c r="S26" s="1850">
        <v>1315000000000</v>
      </c>
      <c r="T26" s="1850">
        <v>1370000000000</v>
      </c>
      <c r="U26" s="1850">
        <v>1329000000000</v>
      </c>
      <c r="V26" s="1850">
        <v>1416000000000</v>
      </c>
      <c r="W26" s="1808">
        <v>1605000000000</v>
      </c>
      <c r="X26" s="1828">
        <v>1790000000000</v>
      </c>
    </row>
    <row r="27" spans="1:26">
      <c r="A27" s="1803" t="s">
        <v>73</v>
      </c>
      <c r="B27" s="1804" t="s">
        <v>5505</v>
      </c>
      <c r="C27" s="1805" t="s">
        <v>75</v>
      </c>
      <c r="D27" s="1804"/>
      <c r="E27" s="1850">
        <v>121900000000</v>
      </c>
      <c r="F27" s="1850">
        <v>156800000000</v>
      </c>
      <c r="G27" s="1850">
        <v>183300000000</v>
      </c>
      <c r="H27" s="1850">
        <v>292500000000</v>
      </c>
      <c r="I27" s="1850">
        <v>314000000000</v>
      </c>
      <c r="J27" s="1850">
        <v>441000000000</v>
      </c>
      <c r="K27" s="1850">
        <v>506000000000</v>
      </c>
      <c r="L27" s="1850">
        <v>569000000000</v>
      </c>
      <c r="M27" s="1850">
        <v>646000000000</v>
      </c>
      <c r="N27" s="1850">
        <v>737000000000</v>
      </c>
      <c r="O27" s="1850">
        <v>851000000000</v>
      </c>
      <c r="P27" s="1850">
        <v>875000000000</v>
      </c>
      <c r="Q27" s="1850">
        <v>1046000000000</v>
      </c>
      <c r="R27" s="1850">
        <v>1157000000000</v>
      </c>
      <c r="S27" s="1850">
        <v>1274000000000</v>
      </c>
      <c r="T27" s="1850">
        <v>1334000000000</v>
      </c>
      <c r="U27" s="1850">
        <v>1343000000000</v>
      </c>
      <c r="V27" s="1850">
        <v>1411000000000</v>
      </c>
      <c r="W27" s="1808">
        <v>1550000000000</v>
      </c>
      <c r="X27" s="1828">
        <v>1685000000000</v>
      </c>
    </row>
    <row r="28" spans="1:26">
      <c r="A28" s="1803" t="s">
        <v>5506</v>
      </c>
      <c r="B28" s="1806" t="s">
        <v>5507</v>
      </c>
      <c r="C28" s="1805" t="s">
        <v>81</v>
      </c>
      <c r="D28" s="1804"/>
      <c r="E28" s="1850">
        <v>40500000000</v>
      </c>
      <c r="F28" s="1850">
        <v>43600000000</v>
      </c>
      <c r="G28" s="1850">
        <v>55000000000</v>
      </c>
      <c r="H28" s="1850">
        <v>75700000000</v>
      </c>
      <c r="I28" s="1850">
        <v>103000000000</v>
      </c>
      <c r="J28" s="1850">
        <v>133000000000</v>
      </c>
      <c r="K28" s="1850">
        <v>174000000000</v>
      </c>
      <c r="L28" s="1850">
        <v>219000000000</v>
      </c>
      <c r="M28" s="1850">
        <v>252000000000</v>
      </c>
      <c r="N28" s="1850">
        <v>309000000000</v>
      </c>
      <c r="O28" s="1850">
        <v>369000000000</v>
      </c>
      <c r="P28" s="1850">
        <v>419000000000</v>
      </c>
      <c r="Q28" s="1850">
        <v>486000000000</v>
      </c>
      <c r="R28" s="1850">
        <v>569000000000</v>
      </c>
      <c r="S28" s="1850">
        <v>623000000000</v>
      </c>
      <c r="T28" s="1850">
        <v>684000000000</v>
      </c>
      <c r="U28" s="1850">
        <v>702000000000</v>
      </c>
      <c r="V28" s="1850">
        <v>749000000000</v>
      </c>
      <c r="W28" s="1808">
        <v>807000000000</v>
      </c>
      <c r="X28" s="1828">
        <v>874000000000</v>
      </c>
    </row>
    <row r="29" spans="1:26">
      <c r="A29" s="448" t="s">
        <v>90</v>
      </c>
      <c r="B29" s="1806" t="s">
        <v>5508</v>
      </c>
      <c r="C29" s="1805" t="s">
        <v>81</v>
      </c>
      <c r="D29" s="1804"/>
      <c r="E29" s="1851">
        <v>24700000000.000004</v>
      </c>
      <c r="F29" s="1851">
        <v>25900000000</v>
      </c>
      <c r="G29" s="1851">
        <v>26100000000</v>
      </c>
      <c r="H29" s="1851">
        <v>30100000000</v>
      </c>
      <c r="I29" s="1850">
        <v>32000000000</v>
      </c>
      <c r="J29" s="1850">
        <v>52000000000</v>
      </c>
      <c r="K29" s="1850">
        <v>26000000000</v>
      </c>
      <c r="L29" s="1850">
        <v>23000000000</v>
      </c>
      <c r="M29" s="1850">
        <v>23000000000</v>
      </c>
      <c r="N29" s="1850">
        <v>16000000000</v>
      </c>
      <c r="O29" s="1850">
        <v>24000000000</v>
      </c>
      <c r="P29" s="1850">
        <v>30000000000</v>
      </c>
      <c r="Q29" s="1850">
        <v>21000000000</v>
      </c>
      <c r="R29" s="1850">
        <v>44000000000</v>
      </c>
      <c r="S29" s="1850">
        <v>54000000000</v>
      </c>
      <c r="T29" s="1850">
        <v>34000000000</v>
      </c>
      <c r="U29" s="1850">
        <v>59000000000</v>
      </c>
      <c r="V29" s="1850">
        <v>44000000000</v>
      </c>
      <c r="W29" s="1808">
        <v>66000000000</v>
      </c>
      <c r="X29" s="1828">
        <v>80000000000</v>
      </c>
    </row>
    <row r="30" spans="1:26">
      <c r="A30" s="140" t="s">
        <v>83</v>
      </c>
      <c r="B30" s="1806" t="s">
        <v>4869</v>
      </c>
      <c r="C30" s="1805" t="s">
        <v>81</v>
      </c>
      <c r="D30" s="1804"/>
      <c r="E30" s="1850">
        <v>18800000000</v>
      </c>
      <c r="F30" s="1850">
        <v>26700000000</v>
      </c>
      <c r="G30" s="1850">
        <v>43900000000</v>
      </c>
      <c r="H30" s="1850">
        <v>95800000000</v>
      </c>
      <c r="I30" s="1850">
        <v>66000000000</v>
      </c>
      <c r="J30" s="1850">
        <v>91000000000</v>
      </c>
      <c r="K30" s="1850">
        <v>112000000000</v>
      </c>
      <c r="L30" s="1850">
        <v>164000000000</v>
      </c>
      <c r="M30" s="1850">
        <v>195000000000</v>
      </c>
      <c r="N30" s="1850">
        <v>191000000000</v>
      </c>
      <c r="O30" s="1850">
        <v>234000000000</v>
      </c>
      <c r="P30" s="1850">
        <v>198000000000</v>
      </c>
      <c r="Q30" s="1850">
        <v>230000000000</v>
      </c>
      <c r="R30" s="1850">
        <v>223000000000</v>
      </c>
      <c r="S30" s="1850">
        <v>239000000000</v>
      </c>
      <c r="T30" s="1850">
        <v>249000000000</v>
      </c>
      <c r="U30" s="1850">
        <v>226000000000</v>
      </c>
      <c r="V30" s="1850">
        <v>246000000000</v>
      </c>
      <c r="W30" s="1808">
        <v>269000000000</v>
      </c>
      <c r="X30" s="1828">
        <v>290000000000</v>
      </c>
    </row>
    <row r="31" spans="1:26">
      <c r="A31" s="140" t="s">
        <v>895</v>
      </c>
      <c r="B31" s="1806" t="s">
        <v>389</v>
      </c>
      <c r="C31" s="1805" t="s">
        <v>81</v>
      </c>
      <c r="D31" s="1804"/>
      <c r="E31" s="1850">
        <v>13100000000</v>
      </c>
      <c r="F31" s="1850">
        <v>40700000000</v>
      </c>
      <c r="G31" s="1850">
        <v>35900000000</v>
      </c>
      <c r="H31" s="1850">
        <v>65900000000.000008</v>
      </c>
      <c r="I31" s="1850">
        <v>83000000000</v>
      </c>
      <c r="J31" s="1850">
        <v>108000000000</v>
      </c>
      <c r="K31" s="1850">
        <v>140000000000</v>
      </c>
      <c r="L31" s="1850">
        <v>124000000000</v>
      </c>
      <c r="M31" s="1850">
        <v>144000000000</v>
      </c>
      <c r="N31" s="1850">
        <v>192000000000</v>
      </c>
      <c r="O31" s="1850">
        <v>181000000000</v>
      </c>
      <c r="P31" s="1850">
        <v>190000000000</v>
      </c>
      <c r="Q31" s="1850">
        <v>275000000000</v>
      </c>
      <c r="R31" s="1850">
        <v>230000000000</v>
      </c>
      <c r="S31" s="1850">
        <v>248000000000</v>
      </c>
      <c r="T31" s="1850">
        <v>282000000000</v>
      </c>
      <c r="U31" s="1850">
        <v>280000000000</v>
      </c>
      <c r="V31" s="1850">
        <v>295000000000</v>
      </c>
      <c r="W31" s="1808">
        <v>324000000000</v>
      </c>
      <c r="X31" s="1828">
        <v>349000000000</v>
      </c>
    </row>
    <row r="32" spans="1:26">
      <c r="A32" s="140" t="s">
        <v>391</v>
      </c>
      <c r="B32" s="1806" t="s">
        <v>5509</v>
      </c>
      <c r="C32" s="1805" t="s">
        <v>81</v>
      </c>
      <c r="D32" s="1804"/>
      <c r="E32" s="1850">
        <v>24800000000</v>
      </c>
      <c r="F32" s="1850">
        <v>20000000000</v>
      </c>
      <c r="G32" s="1850">
        <v>22400000000</v>
      </c>
      <c r="H32" s="1850">
        <v>25000000000</v>
      </c>
      <c r="I32" s="2024">
        <f>I27-I28-I29-I30-I31</f>
        <v>30000000000</v>
      </c>
      <c r="J32" s="2024">
        <f>J27-J28-J29-J30-J31</f>
        <v>57000000000</v>
      </c>
      <c r="K32" s="1850">
        <v>54000000000</v>
      </c>
      <c r="L32" s="1850">
        <v>39000000000</v>
      </c>
      <c r="M32" s="1850">
        <v>32000000000</v>
      </c>
      <c r="N32" s="1850">
        <v>28000000000</v>
      </c>
      <c r="O32" s="1850">
        <v>43000000000</v>
      </c>
      <c r="P32" s="1850">
        <v>39000000000</v>
      </c>
      <c r="Q32" s="1850">
        <v>34000000000</v>
      </c>
      <c r="R32" s="1850">
        <v>92000000000</v>
      </c>
      <c r="S32" s="1850">
        <v>110000000000</v>
      </c>
      <c r="T32" s="1850">
        <v>84000000000</v>
      </c>
      <c r="U32" s="1850">
        <v>76000000000</v>
      </c>
      <c r="V32" s="1850">
        <v>77000000000</v>
      </c>
      <c r="W32" s="1808">
        <v>84000000000</v>
      </c>
      <c r="X32" s="1828">
        <v>92000000000</v>
      </c>
    </row>
    <row r="33" spans="1:24">
      <c r="A33" s="1803" t="s">
        <v>237</v>
      </c>
      <c r="B33" s="1804" t="s">
        <v>4873</v>
      </c>
      <c r="C33" s="1805" t="s">
        <v>75</v>
      </c>
      <c r="D33" s="1804"/>
      <c r="E33" s="1850">
        <v>194300000000</v>
      </c>
      <c r="F33" s="1850">
        <v>140000000000</v>
      </c>
      <c r="G33" s="1850">
        <v>197900000000</v>
      </c>
      <c r="H33" s="1850">
        <v>234900000000</v>
      </c>
      <c r="I33" s="1850">
        <v>186000000000</v>
      </c>
      <c r="J33" s="1850">
        <v>307000000000</v>
      </c>
      <c r="K33" s="1850">
        <v>226000000000</v>
      </c>
      <c r="L33" s="1850">
        <v>219000000000</v>
      </c>
      <c r="M33" s="1850">
        <v>902000000000</v>
      </c>
      <c r="N33" s="1850">
        <v>1066000000000</v>
      </c>
      <c r="O33" s="1850">
        <v>1266000000000</v>
      </c>
      <c r="P33" s="1850">
        <v>1336000000000</v>
      </c>
      <c r="Q33" s="1850">
        <v>1164000000000</v>
      </c>
      <c r="R33" s="1850">
        <v>793000000000</v>
      </c>
      <c r="S33" s="1850">
        <v>1087000000000</v>
      </c>
      <c r="T33" s="1850">
        <v>1141000000000</v>
      </c>
      <c r="U33" s="1850">
        <v>1090000000000</v>
      </c>
      <c r="V33" s="1850">
        <v>1341000000000</v>
      </c>
      <c r="W33" s="1808">
        <v>1465000000000</v>
      </c>
      <c r="X33" s="1828">
        <v>1563000000000</v>
      </c>
    </row>
    <row r="34" spans="1:24">
      <c r="A34" s="140" t="s">
        <v>239</v>
      </c>
      <c r="B34" s="1806" t="s">
        <v>5510</v>
      </c>
      <c r="C34" s="1805" t="s">
        <v>95</v>
      </c>
      <c r="D34" s="1804"/>
      <c r="E34" s="1850">
        <v>29400000000</v>
      </c>
      <c r="F34" s="1850">
        <v>12300000000</v>
      </c>
      <c r="G34" s="1850">
        <v>38000000000</v>
      </c>
      <c r="H34" s="1850">
        <v>50500000000</v>
      </c>
      <c r="I34" s="1850">
        <v>21000000000</v>
      </c>
      <c r="J34" s="1850">
        <v>51000000000</v>
      </c>
      <c r="K34" s="1850">
        <v>22000000000</v>
      </c>
      <c r="L34" s="1850">
        <v>34000000000</v>
      </c>
      <c r="M34" s="1850">
        <v>126000000000</v>
      </c>
      <c r="N34" s="1850">
        <v>87000000000</v>
      </c>
      <c r="O34" s="1850">
        <v>65000000000</v>
      </c>
      <c r="P34" s="1850">
        <v>74000000000</v>
      </c>
      <c r="Q34" s="1850">
        <v>96000000000</v>
      </c>
      <c r="R34" s="1850">
        <v>58000000000</v>
      </c>
      <c r="S34" s="1850">
        <v>51000000000</v>
      </c>
      <c r="T34" s="1850">
        <v>50000000000</v>
      </c>
      <c r="U34" s="1850">
        <v>27000000000</v>
      </c>
      <c r="V34" s="1850">
        <v>28000000000</v>
      </c>
      <c r="W34" s="1808">
        <v>56000000000</v>
      </c>
      <c r="X34" s="1828">
        <v>126000000000</v>
      </c>
    </row>
    <row r="35" spans="1:24">
      <c r="A35" s="1806" t="s">
        <v>5511</v>
      </c>
      <c r="B35" s="1804" t="s">
        <v>5512</v>
      </c>
      <c r="C35" s="1805" t="s">
        <v>95</v>
      </c>
      <c r="D35" s="1804"/>
      <c r="E35" s="1850"/>
      <c r="F35" s="1850"/>
      <c r="G35" s="1850"/>
      <c r="H35" s="1850"/>
      <c r="I35" s="1850"/>
      <c r="J35" s="1850"/>
      <c r="K35" s="1850"/>
      <c r="L35" s="1850"/>
      <c r="M35" s="1850"/>
      <c r="N35" s="1850"/>
      <c r="O35" s="1850"/>
      <c r="P35" s="1850"/>
      <c r="Q35" s="1850"/>
      <c r="R35" s="1850" t="s">
        <v>78</v>
      </c>
      <c r="S35" s="1850" t="s">
        <v>78</v>
      </c>
      <c r="T35" s="1850">
        <v>0</v>
      </c>
      <c r="U35" s="1850">
        <v>0</v>
      </c>
      <c r="V35" s="1850">
        <v>0</v>
      </c>
      <c r="W35" s="1808">
        <v>0</v>
      </c>
      <c r="X35" s="1828">
        <v>0</v>
      </c>
    </row>
    <row r="36" spans="1:24">
      <c r="A36" s="140" t="s">
        <v>395</v>
      </c>
      <c r="B36" s="1806" t="s">
        <v>5513</v>
      </c>
      <c r="C36" s="1805" t="s">
        <v>95</v>
      </c>
      <c r="D36" s="1804"/>
      <c r="E36" s="1850">
        <v>164900000000</v>
      </c>
      <c r="F36" s="1850">
        <v>127700000000</v>
      </c>
      <c r="G36" s="1850">
        <v>160000000000</v>
      </c>
      <c r="H36" s="1850">
        <v>184400000000</v>
      </c>
      <c r="I36" s="1850">
        <v>165000000000</v>
      </c>
      <c r="J36" s="1850">
        <v>256000000000</v>
      </c>
      <c r="K36" s="1850">
        <v>203000000000</v>
      </c>
      <c r="L36" s="1850">
        <v>185000000000</v>
      </c>
      <c r="M36" s="1850">
        <v>776000000000</v>
      </c>
      <c r="N36" s="1850">
        <v>979000000000</v>
      </c>
      <c r="O36" s="1850">
        <v>1201000000000</v>
      </c>
      <c r="P36" s="1850">
        <v>1262000000000</v>
      </c>
      <c r="Q36" s="1850">
        <v>1068000000000</v>
      </c>
      <c r="R36" s="1850">
        <v>735000000000</v>
      </c>
      <c r="S36" s="1850">
        <v>1036000000000</v>
      </c>
      <c r="T36" s="1850">
        <v>1090000000000</v>
      </c>
      <c r="U36" s="1850">
        <v>1063000000000</v>
      </c>
      <c r="V36" s="1850">
        <v>1314000000000</v>
      </c>
      <c r="W36" s="1808">
        <v>1410000000000</v>
      </c>
      <c r="X36" s="1828">
        <v>1436000000000</v>
      </c>
    </row>
    <row r="37" spans="1:24">
      <c r="A37" s="140" t="s">
        <v>2630</v>
      </c>
      <c r="B37" s="1804" t="s">
        <v>5514</v>
      </c>
      <c r="C37" s="1805" t="s">
        <v>75</v>
      </c>
      <c r="D37" s="1804"/>
      <c r="E37" s="1850">
        <v>17200000000</v>
      </c>
      <c r="F37" s="1850">
        <v>22500000000</v>
      </c>
      <c r="G37" s="1850">
        <v>33600000000</v>
      </c>
      <c r="H37" s="1850">
        <v>30100000000</v>
      </c>
      <c r="I37" s="1850">
        <v>28000000000</v>
      </c>
      <c r="J37" s="1850">
        <v>35000000000</v>
      </c>
      <c r="K37" s="1850">
        <v>51000000000</v>
      </c>
      <c r="L37" s="1850">
        <v>53000000000</v>
      </c>
      <c r="M37" s="1850">
        <v>33000000000</v>
      </c>
      <c r="N37" s="1850">
        <v>21000000000</v>
      </c>
      <c r="O37" s="1850">
        <v>29000000000</v>
      </c>
      <c r="P37" s="1850">
        <v>14000000000</v>
      </c>
      <c r="Q37" s="1850">
        <v>28000000000</v>
      </c>
      <c r="R37" s="1850">
        <v>10000000000</v>
      </c>
      <c r="S37" s="1850">
        <v>44000000000</v>
      </c>
      <c r="T37" s="1850">
        <v>19000000000</v>
      </c>
      <c r="U37" s="1850">
        <v>19000000000</v>
      </c>
      <c r="V37" s="1850">
        <v>21000000000</v>
      </c>
      <c r="W37" s="1808">
        <v>66000000000</v>
      </c>
      <c r="X37" s="1828">
        <v>59000000000</v>
      </c>
    </row>
    <row r="38" spans="1:24">
      <c r="A38" s="1804" t="s">
        <v>5515</v>
      </c>
      <c r="B38" s="1804" t="s">
        <v>5516</v>
      </c>
      <c r="C38" s="1805" t="s">
        <v>75</v>
      </c>
      <c r="D38" s="1804"/>
      <c r="E38" s="1850">
        <v>1900000000</v>
      </c>
      <c r="F38" s="1850">
        <v>6300000000</v>
      </c>
      <c r="G38" s="1850">
        <v>0</v>
      </c>
      <c r="H38" s="1850">
        <v>0</v>
      </c>
      <c r="I38" s="1850"/>
      <c r="J38" s="1850"/>
      <c r="K38" s="1850"/>
      <c r="L38" s="1850"/>
      <c r="M38" s="1850"/>
      <c r="N38" s="1850"/>
      <c r="O38" s="1850"/>
      <c r="P38" s="1850"/>
      <c r="Q38" s="1850"/>
      <c r="R38" s="1850"/>
      <c r="S38" s="1850"/>
      <c r="T38" s="1850"/>
      <c r="U38" s="1850"/>
      <c r="V38" s="1850"/>
      <c r="W38" s="1808"/>
      <c r="X38" s="1828"/>
    </row>
    <row r="39" spans="1:24">
      <c r="A39" s="1804" t="s">
        <v>4879</v>
      </c>
      <c r="B39" s="1804" t="s">
        <v>4879</v>
      </c>
      <c r="C39" s="1805" t="s">
        <v>75</v>
      </c>
      <c r="D39" s="1804"/>
      <c r="E39" s="1850">
        <v>0</v>
      </c>
      <c r="F39" s="1850">
        <v>0</v>
      </c>
      <c r="G39" s="1850">
        <v>300000000</v>
      </c>
      <c r="H39" s="2766">
        <v>0</v>
      </c>
      <c r="I39" s="1850"/>
      <c r="J39" s="1850"/>
      <c r="K39" s="1850"/>
      <c r="L39" s="1850"/>
      <c r="M39" s="1850"/>
      <c r="N39" s="1850"/>
      <c r="O39" s="1850"/>
      <c r="P39" s="1850"/>
      <c r="Q39" s="1850"/>
      <c r="R39" s="1850"/>
      <c r="S39" s="1850"/>
      <c r="T39" s="1850"/>
      <c r="U39" s="1850"/>
      <c r="V39" s="1850"/>
      <c r="W39" s="1808"/>
      <c r="X39" s="1828"/>
    </row>
    <row r="40" spans="1:24">
      <c r="A40" s="1804" t="s">
        <v>579</v>
      </c>
      <c r="B40" s="1804" t="s">
        <v>5517</v>
      </c>
      <c r="C40" s="1805" t="s">
        <v>75</v>
      </c>
      <c r="D40" s="1804"/>
      <c r="E40" s="1850"/>
      <c r="F40" s="1850"/>
      <c r="G40" s="2024">
        <f>G24-G27-G38-G39-G37-G33</f>
        <v>300000000</v>
      </c>
      <c r="H40" s="2024"/>
      <c r="I40" s="1850"/>
      <c r="J40" s="1850"/>
      <c r="K40" s="1850"/>
      <c r="L40" s="1850"/>
      <c r="M40" s="1850"/>
      <c r="N40" s="1850"/>
      <c r="O40" s="1850"/>
      <c r="P40" s="1850"/>
      <c r="Q40" s="1850"/>
      <c r="R40" s="1850"/>
      <c r="S40" s="1850"/>
      <c r="T40" s="1850"/>
      <c r="U40" s="1850"/>
      <c r="V40" s="1850"/>
      <c r="W40" s="1808"/>
      <c r="X40" s="1828"/>
    </row>
    <row r="41" spans="1:24">
      <c r="A41" s="1797" t="s">
        <v>76</v>
      </c>
      <c r="B41" s="1804" t="s">
        <v>5518</v>
      </c>
      <c r="C41" s="1804"/>
      <c r="D41" s="1804"/>
      <c r="E41" s="1851"/>
      <c r="F41" s="1851"/>
      <c r="G41" s="1851"/>
      <c r="H41" s="1851"/>
      <c r="I41" s="1850">
        <v>-122000000000</v>
      </c>
      <c r="J41" s="1850">
        <v>-166000000000</v>
      </c>
      <c r="K41" s="1850">
        <v>-166000000000</v>
      </c>
      <c r="L41" s="1850">
        <v>360000000000</v>
      </c>
      <c r="M41" s="1850">
        <v>-609000000000</v>
      </c>
      <c r="N41" s="1850">
        <v>-391000000000</v>
      </c>
      <c r="O41" s="1850">
        <v>-500000000000</v>
      </c>
      <c r="P41" s="1850">
        <v>-511000000000</v>
      </c>
      <c r="Q41" s="1850">
        <v>-397000000000</v>
      </c>
      <c r="R41" s="1850"/>
      <c r="S41" s="1850"/>
      <c r="T41" s="1850"/>
      <c r="U41" s="1850"/>
      <c r="V41" s="1850"/>
      <c r="W41" s="1808"/>
      <c r="X41" s="1828"/>
    </row>
    <row r="42" spans="1:24">
      <c r="B42" s="1804" t="s">
        <v>5519</v>
      </c>
      <c r="C42" s="1804"/>
      <c r="D42" s="1804"/>
      <c r="E42" s="1851"/>
      <c r="F42" s="1851"/>
      <c r="G42" s="1851"/>
      <c r="H42" s="1851"/>
      <c r="I42" s="1850"/>
      <c r="J42" s="1850"/>
      <c r="K42" s="1850"/>
      <c r="L42" s="1850"/>
      <c r="M42" s="1850"/>
      <c r="N42" s="1850"/>
      <c r="O42" s="1850"/>
      <c r="P42" s="1850"/>
      <c r="Q42" s="1850"/>
      <c r="R42" s="1850">
        <v>-208000000000</v>
      </c>
      <c r="S42" s="1850">
        <v>-207000000000</v>
      </c>
      <c r="T42" s="1850">
        <v>-314000000000</v>
      </c>
      <c r="U42" s="1850">
        <v>-152000000000</v>
      </c>
      <c r="V42" s="1850">
        <v>-92000000000</v>
      </c>
      <c r="W42" s="1808">
        <v>-100000000000</v>
      </c>
      <c r="X42" s="1828">
        <v>-105000000000</v>
      </c>
    </row>
    <row r="43" spans="1:24">
      <c r="A43" s="1797" t="s">
        <v>76</v>
      </c>
      <c r="B43" s="1804" t="s">
        <v>5520</v>
      </c>
      <c r="C43" s="1804"/>
      <c r="D43" s="1804"/>
      <c r="E43" s="1850">
        <v>-86500000000</v>
      </c>
      <c r="F43" s="1850">
        <v>-80000000000</v>
      </c>
      <c r="G43" s="1850">
        <v>-94100000000</v>
      </c>
      <c r="H43" s="1850">
        <v>-167300000000</v>
      </c>
      <c r="I43" s="1850">
        <v>445000000000</v>
      </c>
      <c r="J43" s="1850">
        <v>-213000000000</v>
      </c>
      <c r="K43" s="1850">
        <v>2449000000000</v>
      </c>
      <c r="L43" s="1850">
        <v>383000000000</v>
      </c>
      <c r="M43" s="1850">
        <v>-586000000000</v>
      </c>
      <c r="N43" s="1850">
        <v>-408000000000</v>
      </c>
      <c r="O43" s="1850">
        <v>-524000000000</v>
      </c>
      <c r="P43" s="1850">
        <v>-540000000000</v>
      </c>
      <c r="Q43" s="1850">
        <v>-419000000000</v>
      </c>
      <c r="R43" s="1850">
        <v>-342000000000</v>
      </c>
      <c r="S43" s="1850">
        <v>-440000000000</v>
      </c>
      <c r="T43" s="1850">
        <v>-214000000000</v>
      </c>
      <c r="U43" s="1850">
        <v>-410000000000</v>
      </c>
      <c r="V43" s="1850">
        <v>-218000000000</v>
      </c>
      <c r="W43" s="1808">
        <v>-263000000000</v>
      </c>
      <c r="X43" s="1828">
        <v>-196000000000</v>
      </c>
    </row>
    <row r="44" spans="1:24">
      <c r="A44" s="1797" t="s">
        <v>76</v>
      </c>
      <c r="B44" s="1804" t="s">
        <v>5521</v>
      </c>
      <c r="C44" s="1804"/>
      <c r="D44" s="1804"/>
      <c r="E44" s="1850">
        <v>3800000000</v>
      </c>
      <c r="F44" s="1850">
        <v>48800000000</v>
      </c>
      <c r="G44" s="1850">
        <v>28300000000</v>
      </c>
      <c r="H44" s="1850">
        <v>41000000000</v>
      </c>
      <c r="I44" s="1850">
        <v>-134000000000</v>
      </c>
      <c r="J44" s="1850">
        <v>21000000000</v>
      </c>
      <c r="K44" s="1850">
        <v>25000000000</v>
      </c>
      <c r="L44" s="1850">
        <v>52000000000</v>
      </c>
      <c r="M44" s="1850">
        <v>35000000000</v>
      </c>
      <c r="N44" s="1850">
        <v>-75000000000</v>
      </c>
      <c r="O44" s="1850">
        <v>-15000000000</v>
      </c>
      <c r="P44" s="1850">
        <v>87000000000</v>
      </c>
      <c r="Q44" s="1850">
        <v>-87000000000</v>
      </c>
      <c r="R44" s="1850">
        <v>135000000000</v>
      </c>
      <c r="S44" s="1850">
        <v>-65000000000</v>
      </c>
      <c r="T44" s="1850">
        <v>224000000000</v>
      </c>
      <c r="U44" s="1850">
        <v>-12000000000</v>
      </c>
      <c r="V44" s="1850">
        <v>-36000000000</v>
      </c>
      <c r="W44" s="1808">
        <v>-86000000000</v>
      </c>
      <c r="X44" s="1828">
        <v>-86000000000</v>
      </c>
    </row>
    <row r="45" spans="1:24">
      <c r="A45" s="1797" t="s">
        <v>76</v>
      </c>
      <c r="B45" s="1804" t="s">
        <v>5522</v>
      </c>
      <c r="D45" s="1804"/>
      <c r="E45" s="1850">
        <v>3800000000</v>
      </c>
      <c r="F45" s="1850">
        <v>14900000000</v>
      </c>
      <c r="G45" s="1850">
        <v>9400000000</v>
      </c>
      <c r="H45" s="1850">
        <v>13800000000</v>
      </c>
      <c r="I45" s="1850">
        <v>-52000000000</v>
      </c>
      <c r="J45" s="1850">
        <v>21000000000</v>
      </c>
      <c r="K45" s="1850">
        <v>0</v>
      </c>
      <c r="L45" s="1850">
        <v>0</v>
      </c>
      <c r="M45" s="1850">
        <v>0</v>
      </c>
      <c r="N45" s="1850">
        <v>0</v>
      </c>
      <c r="O45" s="1850">
        <v>0</v>
      </c>
      <c r="P45" s="1850">
        <v>0</v>
      </c>
      <c r="Q45" s="1850">
        <v>0</v>
      </c>
      <c r="R45" s="1850">
        <v>11000000000</v>
      </c>
      <c r="S45" s="1850"/>
      <c r="T45" s="1850"/>
      <c r="U45" s="1850"/>
      <c r="V45" s="1850"/>
      <c r="W45" s="1808"/>
      <c r="X45" s="1828"/>
    </row>
    <row r="46" spans="1:24">
      <c r="A46" s="1797" t="s">
        <v>76</v>
      </c>
      <c r="B46" s="1804" t="s">
        <v>5523</v>
      </c>
      <c r="D46" s="1804"/>
      <c r="E46" s="1850">
        <v>0</v>
      </c>
      <c r="F46" s="1850">
        <v>34000000000</v>
      </c>
      <c r="G46" s="1850">
        <v>18800000000</v>
      </c>
      <c r="H46" s="1850">
        <v>27200000000</v>
      </c>
      <c r="I46" s="1850">
        <v>-82000000000</v>
      </c>
      <c r="J46" s="1850">
        <v>0</v>
      </c>
      <c r="K46" s="1850">
        <v>6000000000</v>
      </c>
      <c r="L46" s="1850">
        <v>21000000000</v>
      </c>
      <c r="M46" s="1850">
        <v>0</v>
      </c>
      <c r="N46" s="1850">
        <v>0</v>
      </c>
      <c r="O46" s="1850">
        <v>65000000000</v>
      </c>
      <c r="P46" s="1850">
        <v>33000000000</v>
      </c>
      <c r="Q46" s="1850">
        <v>-87000000000</v>
      </c>
      <c r="R46" s="1850">
        <v>35000000000</v>
      </c>
      <c r="S46" s="1850"/>
      <c r="T46" s="1850"/>
      <c r="U46" s="1850"/>
      <c r="V46" s="1850"/>
      <c r="W46" s="1808"/>
      <c r="X46" s="1828"/>
    </row>
    <row r="47" spans="1:24">
      <c r="A47" s="1797" t="s">
        <v>76</v>
      </c>
      <c r="B47" s="1804" t="s">
        <v>5524</v>
      </c>
      <c r="D47" s="1804"/>
      <c r="E47" s="1851"/>
      <c r="F47" s="1851"/>
      <c r="G47" s="1851"/>
      <c r="H47" s="1851"/>
      <c r="I47" s="1851"/>
      <c r="J47" s="1851"/>
      <c r="K47" s="1850">
        <v>20000000000</v>
      </c>
      <c r="L47" s="1850">
        <v>31000000000</v>
      </c>
      <c r="M47" s="1850">
        <v>35000000000</v>
      </c>
      <c r="N47" s="1850">
        <v>-75000000000</v>
      </c>
      <c r="O47" s="1850">
        <v>-80000000000</v>
      </c>
      <c r="P47" s="1850">
        <v>54000000000</v>
      </c>
      <c r="Q47" s="1850">
        <v>0</v>
      </c>
      <c r="R47" s="1850">
        <v>89000000000</v>
      </c>
      <c r="S47" s="1850"/>
      <c r="T47" s="1850"/>
      <c r="U47" s="1850"/>
      <c r="V47" s="1850"/>
      <c r="W47" s="1808"/>
      <c r="X47" s="1828"/>
    </row>
    <row r="48" spans="1:24">
      <c r="A48" s="1797" t="s">
        <v>76</v>
      </c>
      <c r="B48" s="1804" t="s">
        <v>5525</v>
      </c>
      <c r="C48" s="1804"/>
      <c r="D48" s="1804"/>
      <c r="E48" s="1850">
        <v>-82700000000</v>
      </c>
      <c r="F48" s="1850">
        <v>-31100000000</v>
      </c>
      <c r="G48" s="1850">
        <v>-65800000000</v>
      </c>
      <c r="H48" s="1850">
        <v>-126300000000</v>
      </c>
      <c r="I48" s="1850">
        <v>311000000000</v>
      </c>
      <c r="J48" s="1850">
        <v>-192000000000</v>
      </c>
      <c r="K48" s="1850">
        <v>2475000000000</v>
      </c>
      <c r="L48" s="1850">
        <v>435000000000</v>
      </c>
      <c r="M48" s="1850">
        <v>-552000000000</v>
      </c>
      <c r="N48" s="1850">
        <v>-483000000000</v>
      </c>
      <c r="O48" s="1850">
        <v>-539000000000</v>
      </c>
      <c r="P48" s="1850">
        <v>-453000000000</v>
      </c>
      <c r="Q48" s="1850">
        <v>-506000000000</v>
      </c>
      <c r="R48" s="1850">
        <v>-207000000000</v>
      </c>
      <c r="S48" s="1850">
        <v>-505000000000</v>
      </c>
      <c r="T48" s="1850">
        <v>10000000000</v>
      </c>
      <c r="U48" s="1850">
        <v>-422000000000</v>
      </c>
      <c r="V48" s="1850">
        <v>-254000000000</v>
      </c>
      <c r="W48" s="1808">
        <v>-349000000000</v>
      </c>
      <c r="X48" s="1828">
        <v>-282000000000</v>
      </c>
    </row>
    <row r="49" spans="1:26" s="848" customFormat="1">
      <c r="A49" s="1818" t="s">
        <v>115</v>
      </c>
      <c r="B49" s="2025" t="s">
        <v>115</v>
      </c>
      <c r="C49" s="1818" t="s">
        <v>35</v>
      </c>
      <c r="D49" s="1818"/>
      <c r="E49" s="2021">
        <v>82700000000</v>
      </c>
      <c r="F49" s="2021">
        <v>31100000000</v>
      </c>
      <c r="G49" s="2021">
        <v>65800000000</v>
      </c>
      <c r="H49" s="2021">
        <v>126300000000</v>
      </c>
      <c r="I49" s="2021">
        <v>-311000000000</v>
      </c>
      <c r="J49" s="2021">
        <v>192000000000</v>
      </c>
      <c r="K49" s="2021">
        <v>-2475000000000</v>
      </c>
      <c r="L49" s="2021">
        <v>-435000000000</v>
      </c>
      <c r="M49" s="2021">
        <v>552000000000</v>
      </c>
      <c r="N49" s="2021">
        <v>483000000000</v>
      </c>
      <c r="O49" s="2021">
        <v>539000000000</v>
      </c>
      <c r="P49" s="2021">
        <v>453000000000</v>
      </c>
      <c r="Q49" s="2021">
        <v>506000000000</v>
      </c>
      <c r="R49" s="2021">
        <v>207000000000</v>
      </c>
      <c r="S49" s="2021">
        <v>505000000000</v>
      </c>
      <c r="T49" s="2021">
        <v>-10000000000</v>
      </c>
      <c r="U49" s="2021">
        <v>422000000000</v>
      </c>
      <c r="V49" s="2021">
        <v>254000000000</v>
      </c>
      <c r="W49" s="1821">
        <v>294000000000</v>
      </c>
      <c r="X49" s="1826">
        <v>170000000000</v>
      </c>
      <c r="Y49" s="1820"/>
      <c r="Z49" s="1820"/>
    </row>
    <row r="50" spans="1:26">
      <c r="A50" s="140" t="s">
        <v>117</v>
      </c>
      <c r="B50" s="1804" t="s">
        <v>5526</v>
      </c>
      <c r="C50" s="1805" t="s">
        <v>119</v>
      </c>
      <c r="E50" s="1850">
        <v>31900000000</v>
      </c>
      <c r="F50" s="1850">
        <v>3600000000</v>
      </c>
      <c r="G50" s="1850">
        <v>24700000000</v>
      </c>
      <c r="H50" s="1850">
        <v>74200000000</v>
      </c>
      <c r="I50" s="1850">
        <v>-37000000000</v>
      </c>
      <c r="J50" s="1850">
        <v>31000000000</v>
      </c>
      <c r="K50" s="1850">
        <v>-2461000000000</v>
      </c>
      <c r="L50" s="1850">
        <v>-473000000000</v>
      </c>
      <c r="M50" s="1850">
        <v>348000000000</v>
      </c>
      <c r="N50" s="1850">
        <v>246000000000</v>
      </c>
      <c r="O50" s="1850">
        <v>461000000000</v>
      </c>
      <c r="P50" s="1850">
        <v>558000000000</v>
      </c>
      <c r="Q50" s="1850">
        <v>564000000000</v>
      </c>
      <c r="R50" s="1850">
        <v>199000000000</v>
      </c>
      <c r="S50" s="1850">
        <v>576000000000</v>
      </c>
      <c r="T50" s="1850">
        <v>62000000000</v>
      </c>
      <c r="U50" s="1850">
        <v>298000000000</v>
      </c>
      <c r="V50" s="1850">
        <v>200000000000</v>
      </c>
      <c r="W50" s="1808">
        <v>299000000000</v>
      </c>
      <c r="X50" s="1828">
        <v>223000000000</v>
      </c>
    </row>
    <row r="51" spans="1:26">
      <c r="A51" s="1797" t="s">
        <v>5527</v>
      </c>
      <c r="B51" s="1806" t="s">
        <v>5528</v>
      </c>
      <c r="C51" s="1804" t="s">
        <v>264</v>
      </c>
      <c r="E51" s="1850">
        <v>42900000000</v>
      </c>
      <c r="F51" s="1850">
        <v>17700000000</v>
      </c>
      <c r="G51" s="1850">
        <v>17900000000</v>
      </c>
      <c r="H51" s="1850">
        <v>38400000000</v>
      </c>
      <c r="I51" s="1850">
        <v>14000000000</v>
      </c>
      <c r="J51" s="1850">
        <v>99000000000</v>
      </c>
      <c r="K51" s="1850">
        <v>39000000000</v>
      </c>
      <c r="L51" s="1850">
        <v>20000000000</v>
      </c>
      <c r="M51" s="1850">
        <v>388000000000</v>
      </c>
      <c r="N51" s="1850">
        <v>293000000000</v>
      </c>
      <c r="O51" s="1850">
        <v>528000000000</v>
      </c>
      <c r="P51" s="1850">
        <v>532000000000</v>
      </c>
      <c r="Q51" s="1850">
        <v>592000000000</v>
      </c>
      <c r="R51" s="1850">
        <v>236000000000</v>
      </c>
      <c r="S51" s="1850">
        <v>742000000000</v>
      </c>
      <c r="T51" s="1850">
        <v>143000000000</v>
      </c>
      <c r="U51" s="1850">
        <v>422000000000</v>
      </c>
      <c r="V51" s="1850">
        <v>381000000000</v>
      </c>
      <c r="W51" s="1808">
        <v>387000000000</v>
      </c>
      <c r="X51" s="1828">
        <v>318000000000</v>
      </c>
    </row>
    <row r="52" spans="1:26">
      <c r="A52" s="140" t="s">
        <v>1258</v>
      </c>
      <c r="B52" s="1806" t="s">
        <v>5529</v>
      </c>
      <c r="C52" s="1804" t="s">
        <v>264</v>
      </c>
      <c r="E52" s="1850">
        <v>25800000000</v>
      </c>
      <c r="F52" s="1850">
        <v>0</v>
      </c>
      <c r="G52" s="1850">
        <v>30800000000</v>
      </c>
      <c r="H52" s="1850">
        <v>50300000000</v>
      </c>
      <c r="I52" s="1850">
        <v>0</v>
      </c>
      <c r="J52" s="1850">
        <v>24000000000</v>
      </c>
      <c r="K52" s="1850">
        <v>30000000000</v>
      </c>
      <c r="L52" s="1850">
        <v>30000000000</v>
      </c>
      <c r="M52" s="1850">
        <v>0</v>
      </c>
      <c r="N52" s="1850">
        <v>1000000000</v>
      </c>
      <c r="O52" s="1850">
        <v>1000000000</v>
      </c>
      <c r="P52" s="1850">
        <v>75000000000</v>
      </c>
      <c r="Q52" s="1850">
        <v>60000000000</v>
      </c>
      <c r="R52" s="1850">
        <v>80000000000</v>
      </c>
      <c r="S52" s="1850"/>
      <c r="T52" s="1850"/>
      <c r="U52" s="1850"/>
      <c r="V52" s="1850"/>
      <c r="W52" s="1808"/>
      <c r="X52" s="1828"/>
    </row>
    <row r="53" spans="1:26">
      <c r="A53" s="1806" t="s">
        <v>5530</v>
      </c>
      <c r="B53" s="1806" t="s">
        <v>5531</v>
      </c>
      <c r="C53" s="1804" t="s">
        <v>264</v>
      </c>
      <c r="E53" s="1850">
        <v>0</v>
      </c>
      <c r="F53" s="1850">
        <v>45000000000</v>
      </c>
      <c r="G53" s="1850">
        <v>46700000000</v>
      </c>
      <c r="H53" s="1850">
        <v>58700000000</v>
      </c>
      <c r="I53" s="1850">
        <v>0</v>
      </c>
      <c r="J53" s="1850">
        <v>0</v>
      </c>
      <c r="K53" s="1850">
        <v>-213000000000</v>
      </c>
      <c r="L53" s="1850">
        <v>0</v>
      </c>
      <c r="M53" s="1850">
        <v>0</v>
      </c>
      <c r="N53" s="1850">
        <v>0</v>
      </c>
      <c r="O53" s="1850">
        <v>0</v>
      </c>
      <c r="P53" s="1850">
        <v>0</v>
      </c>
      <c r="Q53" s="1850">
        <v>0</v>
      </c>
      <c r="R53" s="1850">
        <v>0</v>
      </c>
      <c r="S53" s="1850"/>
      <c r="T53" s="1850"/>
      <c r="U53" s="1850"/>
      <c r="V53" s="1850"/>
      <c r="W53" s="1808"/>
      <c r="X53" s="1828"/>
    </row>
    <row r="54" spans="1:26">
      <c r="A54" s="1797" t="s">
        <v>258</v>
      </c>
      <c r="B54" s="1806" t="s">
        <v>5532</v>
      </c>
      <c r="C54" s="1804" t="s">
        <v>264</v>
      </c>
      <c r="E54" s="1850">
        <v>-36700000000</v>
      </c>
      <c r="F54" s="1850">
        <v>-59100000000</v>
      </c>
      <c r="G54" s="1850">
        <v>-70800000000</v>
      </c>
      <c r="H54" s="1850">
        <v>-73200000000</v>
      </c>
      <c r="I54" s="1850">
        <v>-93000000000</v>
      </c>
      <c r="J54" s="1850">
        <v>-92000000000</v>
      </c>
      <c r="K54" s="1850">
        <v>-2319000000000</v>
      </c>
      <c r="L54" s="1850">
        <v>-530000000000</v>
      </c>
      <c r="M54" s="1850">
        <v>-75000000000</v>
      </c>
      <c r="N54" s="1850">
        <v>-48000000000</v>
      </c>
      <c r="O54" s="1850">
        <v>-68000000000</v>
      </c>
      <c r="P54" s="1850">
        <v>-49000000000</v>
      </c>
      <c r="Q54" s="1850">
        <v>-89000000000</v>
      </c>
      <c r="R54" s="1850">
        <v>-117000000000</v>
      </c>
      <c r="S54" s="1850">
        <v>-187000000000</v>
      </c>
      <c r="T54" s="1850">
        <v>-112000000000</v>
      </c>
      <c r="U54" s="1850">
        <v>-124000000000</v>
      </c>
      <c r="V54" s="1850">
        <v>-181000000000</v>
      </c>
      <c r="W54" s="1808">
        <v>-88000000000</v>
      </c>
      <c r="X54" s="1828">
        <v>-95000000000</v>
      </c>
    </row>
    <row r="55" spans="1:26">
      <c r="A55" s="1797" t="s">
        <v>3121</v>
      </c>
      <c r="B55" s="1806" t="s">
        <v>5533</v>
      </c>
      <c r="C55" s="1804" t="s">
        <v>264</v>
      </c>
      <c r="E55" s="1851"/>
      <c r="F55" s="1851"/>
      <c r="G55" s="1851"/>
      <c r="H55" s="1851"/>
      <c r="I55" s="1850">
        <v>-102000000000</v>
      </c>
      <c r="J55" s="1850">
        <v>0</v>
      </c>
      <c r="K55" s="1850">
        <v>-144000000000</v>
      </c>
      <c r="L55" s="1850">
        <v>0</v>
      </c>
      <c r="M55" s="1850">
        <v>0</v>
      </c>
      <c r="N55" s="1850">
        <v>0</v>
      </c>
      <c r="O55" s="1850">
        <v>0</v>
      </c>
      <c r="P55" s="1850">
        <v>0</v>
      </c>
      <c r="Q55" s="1850">
        <v>0</v>
      </c>
      <c r="R55" s="1850">
        <v>0</v>
      </c>
      <c r="S55" s="1850"/>
      <c r="T55" s="1850"/>
      <c r="U55" s="1850"/>
      <c r="V55" s="1850"/>
      <c r="W55" s="1808"/>
      <c r="X55" s="1828"/>
    </row>
    <row r="56" spans="1:26">
      <c r="A56" s="1806" t="s">
        <v>5534</v>
      </c>
      <c r="B56" s="1806" t="s">
        <v>5535</v>
      </c>
      <c r="C56" s="1804" t="s">
        <v>264</v>
      </c>
      <c r="E56" s="1851"/>
      <c r="F56" s="1851"/>
      <c r="G56" s="1851"/>
      <c r="H56" s="1851"/>
      <c r="I56" s="1850">
        <v>144000000000</v>
      </c>
      <c r="J56" s="1850">
        <v>0</v>
      </c>
      <c r="K56" s="1850">
        <v>147000000000</v>
      </c>
      <c r="L56" s="1850">
        <v>7000000000</v>
      </c>
      <c r="M56" s="1850">
        <v>2000000000</v>
      </c>
      <c r="N56" s="1850">
        <v>0</v>
      </c>
      <c r="O56" s="1850">
        <v>0</v>
      </c>
      <c r="P56" s="1850">
        <v>0</v>
      </c>
      <c r="Q56" s="1850">
        <v>0</v>
      </c>
      <c r="R56" s="1850">
        <v>0</v>
      </c>
      <c r="S56" s="1850"/>
      <c r="T56" s="1850"/>
      <c r="U56" s="1850"/>
      <c r="V56" s="1850"/>
      <c r="W56" s="1808"/>
      <c r="X56" s="1828"/>
    </row>
    <row r="57" spans="1:26">
      <c r="A57" s="1806" t="s">
        <v>5536</v>
      </c>
      <c r="B57" s="1806" t="s">
        <v>5537</v>
      </c>
      <c r="C57" s="1804" t="s">
        <v>264</v>
      </c>
      <c r="E57" s="1851"/>
      <c r="F57" s="1851"/>
      <c r="G57" s="1851"/>
      <c r="H57" s="1851"/>
      <c r="I57" s="1851"/>
      <c r="J57" s="1851"/>
      <c r="K57" s="1850">
        <v>0</v>
      </c>
      <c r="L57" s="1850">
        <v>0</v>
      </c>
      <c r="M57" s="1850">
        <v>32000000000</v>
      </c>
      <c r="N57" s="1850">
        <v>0</v>
      </c>
      <c r="O57" s="1850">
        <v>0</v>
      </c>
      <c r="P57" s="1850">
        <v>0</v>
      </c>
      <c r="Q57" s="1850">
        <v>0</v>
      </c>
      <c r="R57" s="1850">
        <v>0</v>
      </c>
      <c r="S57" s="1850"/>
      <c r="T57" s="1850"/>
      <c r="U57" s="1850"/>
      <c r="V57" s="1850"/>
      <c r="W57" s="1808"/>
      <c r="X57" s="1828"/>
    </row>
    <row r="58" spans="1:26">
      <c r="A58" s="1824" t="s">
        <v>50</v>
      </c>
      <c r="B58" s="1824" t="s">
        <v>50</v>
      </c>
      <c r="C58" s="2031" t="s">
        <v>264</v>
      </c>
      <c r="E58" s="1851"/>
      <c r="F58" s="1851"/>
      <c r="G58" s="1851"/>
      <c r="H58" s="1851"/>
      <c r="I58" s="1851"/>
      <c r="J58" s="1851"/>
      <c r="K58" s="1850"/>
      <c r="L58" s="1850"/>
      <c r="M58" s="1850"/>
      <c r="N58" s="1850"/>
      <c r="O58" s="1850"/>
      <c r="P58" s="1850"/>
      <c r="Q58" s="1850"/>
      <c r="R58" s="1850"/>
      <c r="S58" s="2032">
        <f>S50-S51-S54</f>
        <v>21000000000</v>
      </c>
      <c r="T58" s="2032">
        <f>T50-T51-T54</f>
        <v>31000000000</v>
      </c>
      <c r="U58" s="1850"/>
      <c r="V58" s="1850"/>
      <c r="W58" s="1808"/>
      <c r="X58" s="1828"/>
    </row>
    <row r="59" spans="1:26">
      <c r="A59" s="140" t="s">
        <v>120</v>
      </c>
      <c r="B59" s="1804" t="s">
        <v>5538</v>
      </c>
      <c r="C59" s="1805" t="s">
        <v>119</v>
      </c>
      <c r="E59" s="1850">
        <v>35600000000</v>
      </c>
      <c r="F59" s="1850">
        <v>-1800000000</v>
      </c>
      <c r="G59" s="1850">
        <v>16000000000</v>
      </c>
      <c r="H59" s="1850">
        <v>17200000000</v>
      </c>
      <c r="I59" s="1850">
        <v>-274000000000</v>
      </c>
      <c r="J59" s="1850">
        <v>162000000000</v>
      </c>
      <c r="K59" s="1850">
        <v>-14000000000</v>
      </c>
      <c r="L59" s="1850">
        <v>38000000000</v>
      </c>
      <c r="M59" s="1850">
        <v>203000000000</v>
      </c>
      <c r="N59" s="1850">
        <v>236000000000</v>
      </c>
      <c r="O59" s="1850">
        <v>78000000000</v>
      </c>
      <c r="P59" s="1850">
        <v>-104000000000</v>
      </c>
      <c r="Q59" s="1850">
        <v>-58000000000</v>
      </c>
      <c r="R59" s="1850">
        <v>7000000000</v>
      </c>
      <c r="S59" s="1850">
        <v>-71000000000</v>
      </c>
      <c r="T59" s="1850">
        <v>-72000000000</v>
      </c>
      <c r="U59" s="1850">
        <v>123000000000</v>
      </c>
      <c r="V59" s="1850">
        <v>54000000000</v>
      </c>
      <c r="W59" s="1808">
        <v>-4000000000</v>
      </c>
      <c r="X59" s="1828">
        <v>-53000000000</v>
      </c>
    </row>
    <row r="60" spans="1:26">
      <c r="A60" s="140" t="s">
        <v>122</v>
      </c>
      <c r="B60" s="2026" t="s">
        <v>5539</v>
      </c>
      <c r="C60" s="1804" t="s">
        <v>124</v>
      </c>
      <c r="E60" s="1850">
        <v>17300000000</v>
      </c>
      <c r="F60" s="1850">
        <v>-300000000</v>
      </c>
      <c r="G60" s="1850">
        <v>29700000000</v>
      </c>
      <c r="H60" s="1850">
        <v>16600000000.000002</v>
      </c>
      <c r="I60" s="1850">
        <v>-277000000000</v>
      </c>
      <c r="J60" s="1850">
        <v>162000000000</v>
      </c>
      <c r="K60" s="1850">
        <v>-14000000000</v>
      </c>
      <c r="L60" s="1850">
        <v>-272000000000</v>
      </c>
      <c r="M60" s="1850">
        <v>170000000000</v>
      </c>
      <c r="N60" s="1850">
        <v>236000000000</v>
      </c>
      <c r="O60" s="1850">
        <v>78000000000</v>
      </c>
      <c r="P60" s="1850">
        <v>-104000000000</v>
      </c>
      <c r="Q60" s="1850">
        <v>-58000000000</v>
      </c>
      <c r="R60" s="1850">
        <v>7000000000</v>
      </c>
      <c r="S60" s="1850">
        <v>-71000000000</v>
      </c>
      <c r="T60" s="1850">
        <v>-72000000000</v>
      </c>
      <c r="U60" s="1850">
        <v>123000000000</v>
      </c>
      <c r="V60" s="1850">
        <v>54000000000</v>
      </c>
      <c r="W60" s="1808">
        <v>-4000000000</v>
      </c>
      <c r="X60" s="1828">
        <v>-53000000000</v>
      </c>
    </row>
    <row r="61" spans="1:26">
      <c r="A61" s="1797" t="s">
        <v>76</v>
      </c>
      <c r="B61" s="1806" t="s">
        <v>5540</v>
      </c>
      <c r="C61" s="1804"/>
      <c r="E61" s="1851"/>
      <c r="F61" s="1851"/>
      <c r="G61" s="1851"/>
      <c r="H61" s="1851"/>
      <c r="I61" s="1850">
        <v>-14000000000</v>
      </c>
      <c r="J61" s="1850">
        <v>-23000000000</v>
      </c>
      <c r="K61" s="1850">
        <v>46000000000</v>
      </c>
      <c r="L61" s="1850">
        <v>-301000000000</v>
      </c>
      <c r="M61" s="1850">
        <v>149000000000</v>
      </c>
      <c r="N61" s="1850">
        <v>201000000000</v>
      </c>
      <c r="O61" s="1850">
        <v>51000000000</v>
      </c>
      <c r="P61" s="1850">
        <v>-66000000000</v>
      </c>
      <c r="Q61" s="1850">
        <v>0</v>
      </c>
      <c r="R61" s="1850">
        <v>-37000000000</v>
      </c>
      <c r="S61" s="1850">
        <v>-61000000000</v>
      </c>
      <c r="T61" s="1850">
        <v>-45000000000</v>
      </c>
      <c r="U61" s="1850">
        <v>93000000000</v>
      </c>
      <c r="V61" s="1850">
        <v>58000000000</v>
      </c>
      <c r="W61" s="1808">
        <v>-49000000000</v>
      </c>
      <c r="X61" s="1828">
        <v>-90000000000</v>
      </c>
    </row>
    <row r="62" spans="1:26">
      <c r="A62" s="1797" t="s">
        <v>76</v>
      </c>
      <c r="B62" s="1807" t="s">
        <v>5541</v>
      </c>
      <c r="C62" s="1804"/>
      <c r="E62" s="1851"/>
      <c r="F62" s="1851"/>
      <c r="G62" s="1851"/>
      <c r="H62" s="1851"/>
      <c r="I62" s="1851"/>
      <c r="J62" s="1850">
        <v>0</v>
      </c>
      <c r="K62" s="1850">
        <v>0</v>
      </c>
      <c r="L62" s="1850">
        <v>-309000000000</v>
      </c>
      <c r="M62" s="1850">
        <v>196000000000</v>
      </c>
      <c r="N62" s="1850">
        <v>13000000000</v>
      </c>
      <c r="O62" s="1850">
        <v>0</v>
      </c>
      <c r="P62" s="1850">
        <v>0</v>
      </c>
      <c r="Q62" s="1850">
        <v>0</v>
      </c>
      <c r="R62" s="1850"/>
      <c r="S62" s="1850"/>
      <c r="T62" s="1850"/>
      <c r="U62" s="1850"/>
      <c r="V62" s="1850"/>
      <c r="W62" s="1808"/>
      <c r="X62" s="1828"/>
    </row>
    <row r="63" spans="1:26">
      <c r="A63" s="1797" t="s">
        <v>76</v>
      </c>
      <c r="B63" s="1806" t="s">
        <v>5542</v>
      </c>
      <c r="C63" s="1804"/>
      <c r="E63" s="1851"/>
      <c r="F63" s="1851"/>
      <c r="G63" s="1851"/>
      <c r="H63" s="1851"/>
      <c r="I63" s="1850">
        <v>-263000000000</v>
      </c>
      <c r="J63" s="1850">
        <v>184000000000</v>
      </c>
      <c r="K63" s="1850">
        <v>-60000000000</v>
      </c>
      <c r="L63" s="1850">
        <v>29000000000</v>
      </c>
      <c r="M63" s="1850">
        <v>21000000000</v>
      </c>
      <c r="N63" s="1850">
        <v>35000000000</v>
      </c>
      <c r="O63" s="1850">
        <v>27000000000</v>
      </c>
      <c r="P63" s="1850">
        <v>-38000000000</v>
      </c>
      <c r="Q63" s="1850">
        <v>-58000000000</v>
      </c>
      <c r="R63" s="1850">
        <v>44000000000</v>
      </c>
      <c r="S63" s="1850">
        <v>-10000000000</v>
      </c>
      <c r="T63" s="1850">
        <v>-27000000000</v>
      </c>
      <c r="U63" s="1850">
        <v>30000000000</v>
      </c>
      <c r="V63" s="1850">
        <v>-4000000000</v>
      </c>
      <c r="W63" s="1808">
        <v>44000000000</v>
      </c>
      <c r="X63" s="1828">
        <v>37000000000</v>
      </c>
    </row>
    <row r="64" spans="1:26">
      <c r="A64" s="140" t="s">
        <v>428</v>
      </c>
      <c r="B64" s="2026" t="s">
        <v>5543</v>
      </c>
      <c r="C64" s="1804" t="s">
        <v>124</v>
      </c>
      <c r="E64" s="1850">
        <v>18300000000</v>
      </c>
      <c r="F64" s="1850">
        <v>-1500000000</v>
      </c>
      <c r="G64" s="1850">
        <v>-13700000000</v>
      </c>
      <c r="H64" s="1850">
        <v>700000000</v>
      </c>
      <c r="I64" s="1850">
        <v>3000000000</v>
      </c>
      <c r="J64" s="1850">
        <v>0</v>
      </c>
      <c r="K64" s="1850">
        <v>0</v>
      </c>
      <c r="L64" s="1850">
        <v>310000000000</v>
      </c>
      <c r="M64" s="1850">
        <v>33000000000</v>
      </c>
      <c r="N64" s="1850">
        <v>0</v>
      </c>
      <c r="O64" s="1850">
        <v>0</v>
      </c>
      <c r="P64" s="1850">
        <v>0</v>
      </c>
      <c r="Q64" s="1850">
        <v>0</v>
      </c>
      <c r="R64" s="1850">
        <v>0</v>
      </c>
      <c r="S64" s="1850">
        <v>0</v>
      </c>
      <c r="T64" s="1850">
        <v>0</v>
      </c>
      <c r="U64" s="1850">
        <v>0</v>
      </c>
      <c r="V64" s="1850">
        <v>0</v>
      </c>
      <c r="W64" s="1808">
        <v>0</v>
      </c>
      <c r="X64" s="1828">
        <v>0</v>
      </c>
    </row>
    <row r="65" spans="1:24">
      <c r="A65" s="140"/>
      <c r="B65" s="1804" t="s">
        <v>5544</v>
      </c>
      <c r="C65" s="1804"/>
      <c r="E65" s="1850"/>
      <c r="F65" s="1850"/>
      <c r="G65" s="1850"/>
      <c r="H65" s="1850"/>
      <c r="I65" s="1850"/>
      <c r="J65" s="1850"/>
      <c r="K65" s="1850"/>
      <c r="L65" s="1850"/>
      <c r="M65" s="1850"/>
      <c r="N65" s="1850"/>
      <c r="O65" s="1850"/>
      <c r="P65" s="1850"/>
      <c r="Q65" s="1850"/>
      <c r="R65" s="1850">
        <v>0</v>
      </c>
      <c r="S65" s="1850">
        <v>0</v>
      </c>
      <c r="T65" s="1850">
        <v>0</v>
      </c>
      <c r="U65" s="1850">
        <v>0</v>
      </c>
      <c r="V65" s="1850">
        <v>0</v>
      </c>
      <c r="W65" s="1808">
        <v>0</v>
      </c>
      <c r="X65" s="1828">
        <v>0</v>
      </c>
    </row>
    <row r="66" spans="1:24">
      <c r="A66" s="140" t="s">
        <v>411</v>
      </c>
      <c r="B66" s="1804" t="s">
        <v>5545</v>
      </c>
      <c r="C66" s="1805" t="s">
        <v>119</v>
      </c>
      <c r="E66" s="1850">
        <v>0</v>
      </c>
      <c r="F66" s="1850">
        <v>0</v>
      </c>
      <c r="G66" s="1850">
        <v>0</v>
      </c>
      <c r="H66" s="1850">
        <v>0</v>
      </c>
      <c r="I66" s="1850"/>
      <c r="J66" s="1850"/>
      <c r="K66" s="1850"/>
      <c r="L66" s="1850"/>
      <c r="M66" s="1850"/>
      <c r="N66" s="1850"/>
      <c r="O66" s="1850"/>
      <c r="P66" s="1850"/>
      <c r="Q66" s="1850"/>
      <c r="R66" s="1850"/>
      <c r="S66" s="1850"/>
      <c r="T66" s="1850"/>
      <c r="U66" s="1850"/>
      <c r="V66" s="1850"/>
      <c r="W66" s="1808"/>
      <c r="X66" s="1828"/>
    </row>
    <row r="67" spans="1:24" ht="15.75" customHeight="1">
      <c r="A67" s="1797" t="s">
        <v>3121</v>
      </c>
      <c r="B67" s="1804" t="s">
        <v>5546</v>
      </c>
      <c r="C67" s="1805" t="s">
        <v>119</v>
      </c>
      <c r="E67" s="1850">
        <v>15200000000</v>
      </c>
      <c r="F67" s="1850">
        <v>29300000000</v>
      </c>
      <c r="G67" s="1850">
        <v>25100000000</v>
      </c>
      <c r="H67" s="1850">
        <v>34900000000</v>
      </c>
      <c r="I67" s="1850"/>
      <c r="J67" s="1850"/>
      <c r="K67" s="1850"/>
      <c r="L67" s="1850"/>
      <c r="M67" s="1850"/>
      <c r="N67" s="1850"/>
      <c r="O67" s="1850"/>
      <c r="P67" s="1850"/>
      <c r="Q67" s="1850"/>
      <c r="R67" s="1850"/>
      <c r="S67" s="1850"/>
      <c r="T67" s="1850"/>
      <c r="U67" s="1850"/>
      <c r="V67" s="1850"/>
      <c r="W67" s="1808"/>
      <c r="X67" s="1828"/>
    </row>
    <row r="68" spans="1:24">
      <c r="A68" s="1804" t="s">
        <v>5547</v>
      </c>
      <c r="B68" s="1804" t="s">
        <v>5548</v>
      </c>
      <c r="C68" s="1805" t="s">
        <v>119</v>
      </c>
      <c r="E68" s="1850">
        <v>0</v>
      </c>
      <c r="F68" s="1850">
        <v>0</v>
      </c>
      <c r="G68" s="1850">
        <v>0</v>
      </c>
      <c r="H68" s="1850">
        <v>0</v>
      </c>
      <c r="I68" s="1850"/>
      <c r="J68" s="1850"/>
      <c r="K68" s="1850"/>
      <c r="L68" s="1850"/>
      <c r="M68" s="1850"/>
      <c r="N68" s="1850"/>
      <c r="O68" s="1850"/>
      <c r="P68" s="1850"/>
      <c r="Q68" s="1850"/>
      <c r="R68" s="1850"/>
      <c r="S68" s="1850"/>
      <c r="T68" s="1850"/>
      <c r="U68" s="1850"/>
      <c r="V68" s="1850"/>
      <c r="W68" s="1808"/>
      <c r="X68" s="1828"/>
    </row>
    <row r="69" spans="1:24">
      <c r="B69" s="1804" t="s">
        <v>5549</v>
      </c>
      <c r="C69" s="1804"/>
      <c r="D69" s="1804"/>
      <c r="E69" s="1851"/>
      <c r="F69" s="1851"/>
      <c r="G69" s="1851"/>
      <c r="H69" s="1851"/>
      <c r="I69" s="1850">
        <v>0</v>
      </c>
      <c r="J69" s="1850">
        <v>0</v>
      </c>
      <c r="K69" s="1850">
        <v>0</v>
      </c>
      <c r="L69" s="1850">
        <v>0</v>
      </c>
      <c r="M69" s="1850">
        <v>0</v>
      </c>
      <c r="N69" s="1850">
        <v>0</v>
      </c>
      <c r="O69" s="1850">
        <v>0</v>
      </c>
      <c r="P69" s="1850">
        <v>0</v>
      </c>
      <c r="Q69" s="1850">
        <v>0</v>
      </c>
      <c r="R69" s="1850">
        <v>0</v>
      </c>
      <c r="S69" s="1850">
        <v>0</v>
      </c>
      <c r="T69" s="1850">
        <v>0</v>
      </c>
      <c r="U69" s="1850">
        <v>0</v>
      </c>
      <c r="V69" s="1850">
        <v>0</v>
      </c>
      <c r="W69" s="1808">
        <v>-54000000000</v>
      </c>
      <c r="X69" s="1828">
        <v>-112000000000</v>
      </c>
    </row>
    <row r="70" spans="1:24">
      <c r="W70" s="1808"/>
    </row>
    <row r="71" spans="1:24">
      <c r="E71" s="1797" t="s">
        <v>139</v>
      </c>
      <c r="F71" s="1797" t="s">
        <v>139</v>
      </c>
      <c r="G71" s="1797" t="s">
        <v>139</v>
      </c>
      <c r="H71" s="1797" t="s">
        <v>139</v>
      </c>
      <c r="I71" s="1797" t="s">
        <v>139</v>
      </c>
      <c r="J71" s="1797" t="s">
        <v>139</v>
      </c>
      <c r="K71" s="1797" t="s">
        <v>139</v>
      </c>
      <c r="L71" s="1797" t="s">
        <v>139</v>
      </c>
      <c r="M71" s="1797" t="s">
        <v>139</v>
      </c>
      <c r="N71" s="1797" t="s">
        <v>139</v>
      </c>
      <c r="O71" s="1797" t="s">
        <v>139</v>
      </c>
      <c r="P71" s="1797" t="s">
        <v>139</v>
      </c>
      <c r="Q71" s="1797" t="s">
        <v>139</v>
      </c>
      <c r="R71" s="1797" t="s">
        <v>139</v>
      </c>
      <c r="S71" s="1797" t="s">
        <v>139</v>
      </c>
      <c r="T71" s="1797" t="s">
        <v>139</v>
      </c>
      <c r="U71" s="1797" t="s">
        <v>139</v>
      </c>
      <c r="V71" s="1797" t="s">
        <v>139</v>
      </c>
      <c r="W71" s="1797" t="s">
        <v>139</v>
      </c>
      <c r="X71" s="1797" t="s">
        <v>139</v>
      </c>
    </row>
    <row r="72" spans="1:24">
      <c r="W72" s="1797"/>
    </row>
    <row r="73" spans="1:24">
      <c r="B73" s="1797" t="s">
        <v>875</v>
      </c>
      <c r="D73" s="1813"/>
      <c r="E73" s="1814">
        <f>E6-E7-E17</f>
        <v>100000000</v>
      </c>
      <c r="F73" s="1814">
        <f t="shared" ref="F73:V73" si="5">F6-F7-F17</f>
        <v>0</v>
      </c>
      <c r="G73" s="1814">
        <f t="shared" si="5"/>
        <v>0</v>
      </c>
      <c r="H73" s="1814">
        <f t="shared" si="5"/>
        <v>0</v>
      </c>
      <c r="I73" s="1814">
        <f t="shared" si="5"/>
        <v>1000000000</v>
      </c>
      <c r="J73" s="1814">
        <f t="shared" si="5"/>
        <v>-1000000000</v>
      </c>
      <c r="K73" s="1814">
        <f t="shared" si="5"/>
        <v>1000000000</v>
      </c>
      <c r="L73" s="1814">
        <f t="shared" si="5"/>
        <v>1000000000</v>
      </c>
      <c r="M73" s="1814">
        <f t="shared" si="5"/>
        <v>0</v>
      </c>
      <c r="N73" s="1814">
        <f t="shared" si="5"/>
        <v>1000000000</v>
      </c>
      <c r="O73" s="1814">
        <f t="shared" si="5"/>
        <v>1000000000</v>
      </c>
      <c r="P73" s="1814">
        <f t="shared" si="5"/>
        <v>0</v>
      </c>
      <c r="Q73" s="1814">
        <f t="shared" si="5"/>
        <v>1000000000</v>
      </c>
      <c r="R73" s="1814">
        <f t="shared" si="5"/>
        <v>0</v>
      </c>
      <c r="S73" s="1814">
        <f t="shared" si="5"/>
        <v>0</v>
      </c>
      <c r="T73" s="1814">
        <f t="shared" si="5"/>
        <v>-1000000000</v>
      </c>
      <c r="U73" s="1814">
        <f t="shared" si="5"/>
        <v>0</v>
      </c>
      <c r="V73" s="1814">
        <f t="shared" si="5"/>
        <v>0</v>
      </c>
      <c r="W73" s="1814">
        <f>W6-W7-W17</f>
        <v>0</v>
      </c>
      <c r="X73" s="1814">
        <f>X6-X7-X17</f>
        <v>0</v>
      </c>
    </row>
    <row r="74" spans="1:24">
      <c r="B74" s="1797" t="s">
        <v>141</v>
      </c>
      <c r="D74" s="1813"/>
      <c r="E74" s="1814">
        <f t="shared" ref="E74:J74" si="6">E7-E9-E13-E22</f>
        <v>0</v>
      </c>
      <c r="F74" s="1814">
        <f t="shared" si="6"/>
        <v>0</v>
      </c>
      <c r="G74" s="1814">
        <f t="shared" si="6"/>
        <v>0</v>
      </c>
      <c r="H74" s="1814">
        <f t="shared" si="6"/>
        <v>0</v>
      </c>
      <c r="I74" s="1814">
        <f t="shared" si="6"/>
        <v>0</v>
      </c>
      <c r="J74" s="1814">
        <f t="shared" si="6"/>
        <v>0</v>
      </c>
      <c r="K74" s="1814">
        <f t="shared" ref="K74:V74" si="7">K7-K9-K13-K22</f>
        <v>-1000000000</v>
      </c>
      <c r="L74" s="1814">
        <f t="shared" si="7"/>
        <v>0</v>
      </c>
      <c r="M74" s="1814">
        <f t="shared" si="7"/>
        <v>0</v>
      </c>
      <c r="N74" s="1814">
        <f t="shared" si="7"/>
        <v>0</v>
      </c>
      <c r="O74" s="1814">
        <f t="shared" si="7"/>
        <v>0</v>
      </c>
      <c r="P74" s="1814">
        <f t="shared" si="7"/>
        <v>0</v>
      </c>
      <c r="Q74" s="1814">
        <f t="shared" si="7"/>
        <v>-1000000000</v>
      </c>
      <c r="R74" s="1814">
        <f t="shared" si="7"/>
        <v>0</v>
      </c>
      <c r="S74" s="1814">
        <f t="shared" si="7"/>
        <v>0</v>
      </c>
      <c r="T74" s="1814">
        <f t="shared" si="7"/>
        <v>0</v>
      </c>
      <c r="U74" s="1814">
        <f t="shared" si="7"/>
        <v>1000000000</v>
      </c>
      <c r="V74" s="1814">
        <f t="shared" si="7"/>
        <v>0</v>
      </c>
      <c r="W74" s="1814">
        <f>W7-W9-W13-W22</f>
        <v>0</v>
      </c>
      <c r="X74" s="1814">
        <f>X7-X9-X13-X22</f>
        <v>0</v>
      </c>
    </row>
    <row r="75" spans="1:24">
      <c r="B75" s="1797" t="s">
        <v>142</v>
      </c>
      <c r="D75" s="1813"/>
      <c r="E75" s="1814">
        <f t="shared" ref="E75:V75" si="8">E9-E10-E11-E12</f>
        <v>0</v>
      </c>
      <c r="F75" s="1814">
        <f t="shared" si="8"/>
        <v>0</v>
      </c>
      <c r="G75" s="1814">
        <f t="shared" si="8"/>
        <v>100000000</v>
      </c>
      <c r="H75" s="1814">
        <f t="shared" si="8"/>
        <v>-100000000</v>
      </c>
      <c r="I75" s="2027">
        <f t="shared" si="8"/>
        <v>180000000000</v>
      </c>
      <c r="J75" s="2027">
        <f t="shared" si="8"/>
        <v>267000000000</v>
      </c>
      <c r="K75" s="2027">
        <f t="shared" si="8"/>
        <v>320000000000</v>
      </c>
      <c r="L75" s="2027">
        <f t="shared" si="8"/>
        <v>411000000000</v>
      </c>
      <c r="M75" s="2027">
        <f t="shared" si="8"/>
        <v>462000000000</v>
      </c>
      <c r="N75" s="2027">
        <f t="shared" si="8"/>
        <v>617000000000</v>
      </c>
      <c r="O75" s="2027">
        <f t="shared" si="8"/>
        <v>726000000000</v>
      </c>
      <c r="P75" s="2027">
        <f t="shared" si="8"/>
        <v>704000000000</v>
      </c>
      <c r="Q75" s="2027">
        <f t="shared" si="8"/>
        <v>871000000000</v>
      </c>
      <c r="R75" s="2027">
        <f t="shared" si="8"/>
        <v>879000000000</v>
      </c>
      <c r="S75" s="2027">
        <f t="shared" si="8"/>
        <v>1000000000</v>
      </c>
      <c r="T75" s="2027">
        <f t="shared" si="8"/>
        <v>0</v>
      </c>
      <c r="U75" s="2027">
        <f t="shared" si="8"/>
        <v>0</v>
      </c>
      <c r="V75" s="2027">
        <f t="shared" si="8"/>
        <v>0</v>
      </c>
      <c r="W75" s="2027">
        <f>W9-W10-W11-W12</f>
        <v>0</v>
      </c>
      <c r="X75" s="2027">
        <f>X9-X10-X11-X12</f>
        <v>0</v>
      </c>
    </row>
    <row r="76" spans="1:24">
      <c r="B76" s="1797" t="s">
        <v>143</v>
      </c>
      <c r="D76" s="1813"/>
      <c r="E76" s="2027">
        <f t="shared" ref="E76:V76" si="9">E17-E18-E19-E21</f>
        <v>159500000000</v>
      </c>
      <c r="F76" s="2027">
        <f t="shared" si="9"/>
        <v>132199999999.99998</v>
      </c>
      <c r="G76" s="2027">
        <f t="shared" si="9"/>
        <v>179400000000</v>
      </c>
      <c r="H76" s="2027">
        <f t="shared" si="9"/>
        <v>202600000000</v>
      </c>
      <c r="I76" s="1814">
        <f t="shared" si="9"/>
        <v>0</v>
      </c>
      <c r="J76" s="1814">
        <f t="shared" si="9"/>
        <v>1000000000</v>
      </c>
      <c r="K76" s="1814">
        <f t="shared" si="9"/>
        <v>0</v>
      </c>
      <c r="L76" s="1814">
        <f t="shared" si="9"/>
        <v>0</v>
      </c>
      <c r="M76" s="1814">
        <f t="shared" si="9"/>
        <v>0</v>
      </c>
      <c r="N76" s="1814">
        <f t="shared" si="9"/>
        <v>0</v>
      </c>
      <c r="O76" s="1814">
        <f t="shared" si="9"/>
        <v>-1000000000</v>
      </c>
      <c r="P76" s="1814">
        <f t="shared" si="9"/>
        <v>-1000000000</v>
      </c>
      <c r="Q76" s="1814">
        <f t="shared" si="9"/>
        <v>0</v>
      </c>
      <c r="R76" s="1814">
        <f t="shared" si="9"/>
        <v>0</v>
      </c>
      <c r="S76" s="1814">
        <f t="shared" si="9"/>
        <v>0</v>
      </c>
      <c r="T76" s="1814">
        <f t="shared" si="9"/>
        <v>1000000000</v>
      </c>
      <c r="U76" s="1814">
        <f t="shared" si="9"/>
        <v>0</v>
      </c>
      <c r="V76" s="1814">
        <f t="shared" si="9"/>
        <v>0</v>
      </c>
      <c r="W76" s="1814">
        <f>W17-W18-W19-W21</f>
        <v>0</v>
      </c>
      <c r="X76" s="1814">
        <f>X17-X18-X19-X21</f>
        <v>1000000000</v>
      </c>
    </row>
    <row r="77" spans="1:24">
      <c r="B77" s="1797" t="s">
        <v>2061</v>
      </c>
      <c r="D77" s="1813"/>
      <c r="E77" s="1814">
        <f t="shared" ref="E77:W77" si="10">E23-E27-E33-E37-E38-E40-E39</f>
        <v>0</v>
      </c>
      <c r="F77" s="1814">
        <f t="shared" si="10"/>
        <v>0</v>
      </c>
      <c r="G77" s="1814">
        <f t="shared" si="10"/>
        <v>0</v>
      </c>
      <c r="H77" s="1814">
        <f t="shared" si="10"/>
        <v>0</v>
      </c>
      <c r="I77" s="1814">
        <f t="shared" si="10"/>
        <v>0</v>
      </c>
      <c r="J77" s="1814">
        <f t="shared" si="10"/>
        <v>0</v>
      </c>
      <c r="K77" s="1814">
        <f t="shared" si="10"/>
        <v>0</v>
      </c>
      <c r="L77" s="1814">
        <f t="shared" si="10"/>
        <v>0</v>
      </c>
      <c r="M77" s="1814">
        <f t="shared" si="10"/>
        <v>0</v>
      </c>
      <c r="N77" s="1814">
        <f t="shared" si="10"/>
        <v>0</v>
      </c>
      <c r="O77" s="1814">
        <f t="shared" si="10"/>
        <v>0</v>
      </c>
      <c r="P77" s="1814">
        <f t="shared" si="10"/>
        <v>0</v>
      </c>
      <c r="Q77" s="1814">
        <f t="shared" si="10"/>
        <v>0</v>
      </c>
      <c r="R77" s="1814">
        <f t="shared" si="10"/>
        <v>0</v>
      </c>
      <c r="S77" s="1814">
        <f t="shared" si="10"/>
        <v>0</v>
      </c>
      <c r="T77" s="1814">
        <f t="shared" si="10"/>
        <v>0</v>
      </c>
      <c r="U77" s="1814">
        <f t="shared" si="10"/>
        <v>-1000000000</v>
      </c>
      <c r="V77" s="1814">
        <f t="shared" si="10"/>
        <v>1000000000</v>
      </c>
      <c r="W77" s="1814">
        <f t="shared" si="10"/>
        <v>0</v>
      </c>
      <c r="X77" s="1814">
        <f t="shared" ref="X77" si="11">X23-X27-X33-X37-X38-X40-X39</f>
        <v>0</v>
      </c>
    </row>
    <row r="78" spans="1:24">
      <c r="B78" s="1797" t="s">
        <v>2930</v>
      </c>
      <c r="D78" s="1813"/>
      <c r="E78" s="1814">
        <f t="shared" ref="E78:V78" si="12">E27-E28-E29-E30-E31-E32</f>
        <v>0</v>
      </c>
      <c r="F78" s="1814">
        <f t="shared" si="12"/>
        <v>-100000000</v>
      </c>
      <c r="G78" s="1814">
        <f t="shared" si="12"/>
        <v>0</v>
      </c>
      <c r="H78" s="1814">
        <f t="shared" si="12"/>
        <v>0</v>
      </c>
      <c r="I78" s="1814">
        <f t="shared" si="12"/>
        <v>0</v>
      </c>
      <c r="J78" s="1814">
        <f>J27-J28-J29-J30-J31-J32</f>
        <v>0</v>
      </c>
      <c r="K78" s="1814">
        <f t="shared" si="12"/>
        <v>0</v>
      </c>
      <c r="L78" s="1814">
        <f t="shared" si="12"/>
        <v>0</v>
      </c>
      <c r="M78" s="1814">
        <f t="shared" si="12"/>
        <v>0</v>
      </c>
      <c r="N78" s="1814">
        <f t="shared" si="12"/>
        <v>1000000000</v>
      </c>
      <c r="O78" s="1814">
        <f t="shared" si="12"/>
        <v>0</v>
      </c>
      <c r="P78" s="1814">
        <f t="shared" si="12"/>
        <v>-1000000000</v>
      </c>
      <c r="Q78" s="1814">
        <f t="shared" si="12"/>
        <v>0</v>
      </c>
      <c r="R78" s="1814">
        <f t="shared" si="12"/>
        <v>-1000000000</v>
      </c>
      <c r="S78" s="1814">
        <f t="shared" si="12"/>
        <v>0</v>
      </c>
      <c r="T78" s="1814">
        <f t="shared" si="12"/>
        <v>1000000000</v>
      </c>
      <c r="U78" s="1814">
        <f t="shared" si="12"/>
        <v>0</v>
      </c>
      <c r="V78" s="1814">
        <f t="shared" si="12"/>
        <v>0</v>
      </c>
      <c r="W78" s="1814">
        <f>W27-W28-W29-W30-W31-W32</f>
        <v>0</v>
      </c>
      <c r="X78" s="1814">
        <f>X27-X28-X29-X30-X31-X32</f>
        <v>0</v>
      </c>
    </row>
    <row r="79" spans="1:24">
      <c r="B79" s="1797" t="s">
        <v>876</v>
      </c>
      <c r="D79" s="1813"/>
      <c r="E79" s="1814">
        <f t="shared" ref="E79:V79" si="13">E33-E34-E36</f>
        <v>0</v>
      </c>
      <c r="F79" s="1814">
        <f t="shared" si="13"/>
        <v>0</v>
      </c>
      <c r="G79" s="1814">
        <f t="shared" si="13"/>
        <v>-100000000</v>
      </c>
      <c r="H79" s="1814">
        <f t="shared" si="13"/>
        <v>0</v>
      </c>
      <c r="I79" s="1814">
        <f t="shared" si="13"/>
        <v>0</v>
      </c>
      <c r="J79" s="1814">
        <f t="shared" si="13"/>
        <v>0</v>
      </c>
      <c r="K79" s="1814">
        <f t="shared" si="13"/>
        <v>1000000000</v>
      </c>
      <c r="L79" s="1814">
        <f t="shared" si="13"/>
        <v>0</v>
      </c>
      <c r="M79" s="1814">
        <f t="shared" si="13"/>
        <v>0</v>
      </c>
      <c r="N79" s="1814">
        <f t="shared" si="13"/>
        <v>0</v>
      </c>
      <c r="O79" s="1814">
        <f t="shared" si="13"/>
        <v>0</v>
      </c>
      <c r="P79" s="1814">
        <f t="shared" si="13"/>
        <v>0</v>
      </c>
      <c r="Q79" s="1814">
        <f t="shared" si="13"/>
        <v>0</v>
      </c>
      <c r="R79" s="1814">
        <f t="shared" si="13"/>
        <v>0</v>
      </c>
      <c r="S79" s="1814">
        <f t="shared" si="13"/>
        <v>0</v>
      </c>
      <c r="T79" s="1814">
        <f>T33-T34-T35-T36</f>
        <v>1000000000</v>
      </c>
      <c r="U79" s="1814">
        <f t="shared" si="13"/>
        <v>0</v>
      </c>
      <c r="V79" s="1814">
        <f t="shared" si="13"/>
        <v>-1000000000</v>
      </c>
      <c r="W79" s="1814">
        <f>W33-W34-W36</f>
        <v>-1000000000</v>
      </c>
      <c r="X79" s="1814">
        <f>X33-X34-X36</f>
        <v>1000000000</v>
      </c>
    </row>
    <row r="80" spans="1:24">
      <c r="B80" s="1797" t="s">
        <v>5550</v>
      </c>
      <c r="D80" s="1813"/>
      <c r="E80" s="1814">
        <f t="shared" ref="E80:V80" si="14">E49-E50-E59-E69-E66-E67-E68</f>
        <v>0</v>
      </c>
      <c r="F80" s="1814">
        <f t="shared" si="14"/>
        <v>0</v>
      </c>
      <c r="G80" s="1814">
        <f t="shared" si="14"/>
        <v>0</v>
      </c>
      <c r="H80" s="1814">
        <f t="shared" si="14"/>
        <v>0</v>
      </c>
      <c r="I80" s="1814">
        <f t="shared" si="14"/>
        <v>0</v>
      </c>
      <c r="J80" s="1814">
        <f t="shared" si="14"/>
        <v>-1000000000</v>
      </c>
      <c r="K80" s="1814">
        <f t="shared" si="14"/>
        <v>0</v>
      </c>
      <c r="L80" s="1814">
        <f t="shared" si="14"/>
        <v>0</v>
      </c>
      <c r="M80" s="1814">
        <f t="shared" si="14"/>
        <v>1000000000</v>
      </c>
      <c r="N80" s="1814">
        <f t="shared" si="14"/>
        <v>1000000000</v>
      </c>
      <c r="O80" s="1814">
        <f t="shared" si="14"/>
        <v>0</v>
      </c>
      <c r="P80" s="1814">
        <f t="shared" si="14"/>
        <v>-1000000000</v>
      </c>
      <c r="Q80" s="1814">
        <f t="shared" si="14"/>
        <v>0</v>
      </c>
      <c r="R80" s="1814">
        <f t="shared" si="14"/>
        <v>1000000000</v>
      </c>
      <c r="S80" s="1814">
        <f t="shared" si="14"/>
        <v>0</v>
      </c>
      <c r="T80" s="1814">
        <f t="shared" si="14"/>
        <v>0</v>
      </c>
      <c r="U80" s="1814">
        <f t="shared" si="14"/>
        <v>1000000000</v>
      </c>
      <c r="V80" s="1814">
        <f t="shared" si="14"/>
        <v>0</v>
      </c>
      <c r="W80" s="1814">
        <f>W49-W50-W59-W66-W67-W68</f>
        <v>-1000000000</v>
      </c>
      <c r="X80" s="1814">
        <f>X49-X50-X59-X66-X67-X68</f>
        <v>0</v>
      </c>
    </row>
    <row r="81" spans="2:24">
      <c r="B81" s="1797" t="s">
        <v>528</v>
      </c>
      <c r="D81" s="1813"/>
      <c r="E81" s="1814">
        <f>E50-E51-E52-E53-E54-E55-E56-E57</f>
        <v>-100000000</v>
      </c>
      <c r="F81" s="1814">
        <f t="shared" ref="F81:R81" si="15">F50-F51-F52-F53-F54-F55-F56-F57</f>
        <v>0</v>
      </c>
      <c r="G81" s="1814">
        <f t="shared" si="15"/>
        <v>100000000</v>
      </c>
      <c r="H81" s="1814">
        <f t="shared" si="15"/>
        <v>0</v>
      </c>
      <c r="I81" s="1814">
        <f t="shared" si="15"/>
        <v>0</v>
      </c>
      <c r="J81" s="1814">
        <f t="shared" si="15"/>
        <v>0</v>
      </c>
      <c r="K81" s="1814">
        <f t="shared" si="15"/>
        <v>-1000000000</v>
      </c>
      <c r="L81" s="1814">
        <f t="shared" si="15"/>
        <v>0</v>
      </c>
      <c r="M81" s="1814">
        <f t="shared" si="15"/>
        <v>1000000000</v>
      </c>
      <c r="N81" s="1814">
        <f t="shared" si="15"/>
        <v>0</v>
      </c>
      <c r="O81" s="1814">
        <f t="shared" si="15"/>
        <v>0</v>
      </c>
      <c r="P81" s="1814">
        <f t="shared" si="15"/>
        <v>0</v>
      </c>
      <c r="Q81" s="1814">
        <f t="shared" si="15"/>
        <v>1000000000</v>
      </c>
      <c r="R81" s="1814">
        <f t="shared" si="15"/>
        <v>0</v>
      </c>
      <c r="S81" s="1814">
        <f>S50-S51-S52-S53-S54-S55-S56-S57-S58</f>
        <v>0</v>
      </c>
      <c r="T81" s="1814">
        <f>T50-T51-T52-T53-T54-T55-T56-T57-T58</f>
        <v>0</v>
      </c>
      <c r="U81" s="1814">
        <f t="shared" ref="U81:X81" si="16">U50-U51-U52-U53-U54-U55-U56-U57-U58</f>
        <v>0</v>
      </c>
      <c r="V81" s="1814">
        <f t="shared" si="16"/>
        <v>0</v>
      </c>
      <c r="W81" s="1814">
        <f t="shared" si="16"/>
        <v>0</v>
      </c>
      <c r="X81" s="1814">
        <f t="shared" si="16"/>
        <v>0</v>
      </c>
    </row>
    <row r="82" spans="2:24">
      <c r="B82" s="1797" t="s">
        <v>297</v>
      </c>
      <c r="D82" s="1813"/>
      <c r="E82" s="1814">
        <f>E59-E60-E64</f>
        <v>0</v>
      </c>
      <c r="F82" s="1814">
        <f t="shared" ref="F82:V82" si="17">F59-F60-F64</f>
        <v>0</v>
      </c>
      <c r="G82" s="1814">
        <f t="shared" si="17"/>
        <v>0</v>
      </c>
      <c r="H82" s="1814">
        <f t="shared" si="17"/>
        <v>-100000000.00000191</v>
      </c>
      <c r="I82" s="1814">
        <f t="shared" si="17"/>
        <v>0</v>
      </c>
      <c r="J82" s="1814">
        <f t="shared" si="17"/>
        <v>0</v>
      </c>
      <c r="K82" s="1814">
        <f t="shared" si="17"/>
        <v>0</v>
      </c>
      <c r="L82" s="1814">
        <f t="shared" si="17"/>
        <v>0</v>
      </c>
      <c r="M82" s="1814">
        <f t="shared" si="17"/>
        <v>0</v>
      </c>
      <c r="N82" s="1814">
        <f t="shared" si="17"/>
        <v>0</v>
      </c>
      <c r="O82" s="1814">
        <f t="shared" si="17"/>
        <v>0</v>
      </c>
      <c r="P82" s="1814">
        <f t="shared" si="17"/>
        <v>0</v>
      </c>
      <c r="Q82" s="1814">
        <f t="shared" si="17"/>
        <v>0</v>
      </c>
      <c r="R82" s="1814">
        <f t="shared" si="17"/>
        <v>0</v>
      </c>
      <c r="S82" s="1814">
        <f t="shared" si="17"/>
        <v>0</v>
      </c>
      <c r="T82" s="1814">
        <f t="shared" si="17"/>
        <v>0</v>
      </c>
      <c r="U82" s="1814">
        <f t="shared" si="17"/>
        <v>0</v>
      </c>
      <c r="V82" s="1814">
        <f t="shared" si="17"/>
        <v>0</v>
      </c>
      <c r="W82" s="1814">
        <f>W59-W60-W64</f>
        <v>0</v>
      </c>
      <c r="X82" s="1814">
        <f>X59-X60-X64</f>
        <v>0</v>
      </c>
    </row>
    <row r="83" spans="2:24">
      <c r="W83" s="1808"/>
    </row>
    <row r="85" spans="2:24">
      <c r="B85" s="1797" t="s">
        <v>724</v>
      </c>
      <c r="E85" s="1797">
        <v>676894000000</v>
      </c>
      <c r="F85" s="1797">
        <v>769036000000</v>
      </c>
      <c r="G85" s="1797">
        <v>947054000000</v>
      </c>
      <c r="H85" s="2028">
        <v>1096419000000.0001</v>
      </c>
      <c r="I85" s="2028">
        <v>1301360000000</v>
      </c>
      <c r="J85" s="2028">
        <v>1682831000000</v>
      </c>
      <c r="K85" s="2028">
        <v>1952802000000</v>
      </c>
      <c r="L85" s="2028">
        <v>2696055000000</v>
      </c>
      <c r="M85" s="2028">
        <v>3184537000000</v>
      </c>
      <c r="N85" s="2028">
        <v>3718920000000</v>
      </c>
      <c r="O85" s="2028">
        <v>4375542000000.0005</v>
      </c>
      <c r="P85" s="2028">
        <v>5041778000000</v>
      </c>
      <c r="Q85" s="2028">
        <v>5732116000000</v>
      </c>
      <c r="R85" s="479">
        <v>6242000000000</v>
      </c>
      <c r="S85" s="479">
        <v>7028000000000</v>
      </c>
      <c r="T85" s="479">
        <v>7847000000000</v>
      </c>
      <c r="U85" s="2029">
        <v>8287000000000</v>
      </c>
      <c r="V85" s="2029">
        <v>8839000000000</v>
      </c>
      <c r="W85" s="2029">
        <v>9533000000000</v>
      </c>
    </row>
    <row r="86" spans="2:24">
      <c r="B86" s="1797" t="s">
        <v>151</v>
      </c>
      <c r="E86" s="1797">
        <f t="shared" ref="E86:Q86" si="18">(E6/E85)*100</f>
        <v>36.756124297157314</v>
      </c>
      <c r="F86" s="1797">
        <f t="shared" si="18"/>
        <v>31.936086217030152</v>
      </c>
      <c r="G86" s="1797">
        <f t="shared" si="18"/>
        <v>33.894582568681408</v>
      </c>
      <c r="H86" s="1797">
        <f t="shared" si="18"/>
        <v>34.767730219925042</v>
      </c>
      <c r="I86" s="1797">
        <f t="shared" si="18"/>
        <v>74.844777770947317</v>
      </c>
      <c r="J86" s="1797">
        <f t="shared" si="18"/>
        <v>33.871493928980392</v>
      </c>
      <c r="K86" s="1797">
        <f t="shared" si="18"/>
        <v>165.55697915098406</v>
      </c>
      <c r="L86" s="1797">
        <f t="shared" si="18"/>
        <v>45.436758523101346</v>
      </c>
      <c r="M86" s="1797">
        <f t="shared" si="18"/>
        <v>31.24473039565877</v>
      </c>
      <c r="N86" s="1797">
        <f t="shared" si="18"/>
        <v>38.102459853936089</v>
      </c>
      <c r="O86" s="1797">
        <f t="shared" si="18"/>
        <v>37.069693308851789</v>
      </c>
      <c r="P86" s="1797">
        <f t="shared" si="18"/>
        <v>33.420749584769496</v>
      </c>
      <c r="Q86" s="1797">
        <f t="shared" si="18"/>
        <v>31.733482016065274</v>
      </c>
      <c r="R86" s="1797">
        <f t="shared" ref="R86:W86" si="19">(R6/R85)*100</f>
        <v>25.92117910925985</v>
      </c>
      <c r="S86" s="1797">
        <f t="shared" si="19"/>
        <v>27.205463858850315</v>
      </c>
      <c r="T86" s="1797">
        <f t="shared" si="19"/>
        <v>29.055690072639223</v>
      </c>
      <c r="U86" s="1797">
        <f t="shared" si="19"/>
        <v>24.641003982140703</v>
      </c>
      <c r="V86" s="1797">
        <f t="shared" si="19"/>
        <v>28.917298336915941</v>
      </c>
      <c r="W86" s="1797">
        <f t="shared" si="19"/>
        <v>29.245777824399454</v>
      </c>
    </row>
    <row r="87" spans="2:24">
      <c r="B87" s="1797" t="s">
        <v>152</v>
      </c>
      <c r="E87" s="1797">
        <f t="shared" ref="E87:Q87" si="20">(E23/E85)*100</f>
        <v>49.535082302398898</v>
      </c>
      <c r="F87" s="1797">
        <f t="shared" si="20"/>
        <v>42.33872016394551</v>
      </c>
      <c r="G87" s="1797">
        <f t="shared" si="20"/>
        <v>43.862335199471204</v>
      </c>
      <c r="H87" s="1797">
        <f t="shared" si="20"/>
        <v>50.847349416600764</v>
      </c>
      <c r="I87" s="1797">
        <f t="shared" si="20"/>
        <v>40.572939079117234</v>
      </c>
      <c r="J87" s="1797">
        <f t="shared" si="20"/>
        <v>46.528736397178328</v>
      </c>
      <c r="K87" s="1797">
        <f t="shared" si="20"/>
        <v>40.096230954290299</v>
      </c>
      <c r="L87" s="1797">
        <f t="shared" si="20"/>
        <v>31.19372564728835</v>
      </c>
      <c r="M87" s="1797">
        <f t="shared" si="20"/>
        <v>49.646149503051781</v>
      </c>
      <c r="N87" s="1797">
        <f t="shared" si="20"/>
        <v>49.04649737020425</v>
      </c>
      <c r="O87" s="1797">
        <f t="shared" si="20"/>
        <v>49.045352552895153</v>
      </c>
      <c r="P87" s="1797">
        <f t="shared" si="20"/>
        <v>44.131256870096223</v>
      </c>
      <c r="Q87" s="1797">
        <f t="shared" si="20"/>
        <v>39.043173585461282</v>
      </c>
      <c r="R87" s="1797">
        <f t="shared" ref="R87:W87" si="21">(R23/R85)*100</f>
        <v>31.400192246074976</v>
      </c>
      <c r="S87" s="1797">
        <f t="shared" si="21"/>
        <v>34.220261809903249</v>
      </c>
      <c r="T87" s="1797">
        <f t="shared" si="21"/>
        <v>31.78284694787817</v>
      </c>
      <c r="U87" s="1797">
        <f t="shared" si="21"/>
        <v>29.576445034391213</v>
      </c>
      <c r="V87" s="1797">
        <f t="shared" si="21"/>
        <v>31.383640683335219</v>
      </c>
      <c r="W87" s="1797">
        <f t="shared" si="21"/>
        <v>32.319311864051194</v>
      </c>
    </row>
    <row r="88" spans="2:24">
      <c r="W88" s="1808"/>
    </row>
    <row r="89" spans="2:24" ht="13.5" customHeight="1">
      <c r="B89" s="1797" t="s">
        <v>153</v>
      </c>
      <c r="D89" s="1797" t="b">
        <f>IF(D61&lt;0, (D61/D52)*100)</f>
        <v>0</v>
      </c>
      <c r="E89" s="1797" t="b">
        <f t="shared" ref="E89:W89" si="22">IF(E39&lt;0, (E39/E24)*100)</f>
        <v>0</v>
      </c>
      <c r="F89" s="1797" t="b">
        <f t="shared" si="22"/>
        <v>0</v>
      </c>
      <c r="G89" s="1797" t="b">
        <f t="shared" si="22"/>
        <v>0</v>
      </c>
      <c r="H89" s="1797" t="b">
        <f t="shared" si="22"/>
        <v>0</v>
      </c>
      <c r="I89" s="1797" t="b">
        <f t="shared" si="22"/>
        <v>0</v>
      </c>
      <c r="J89" s="1797" t="b">
        <f t="shared" si="22"/>
        <v>0</v>
      </c>
      <c r="K89" s="1797" t="b">
        <f t="shared" si="22"/>
        <v>0</v>
      </c>
      <c r="L89" s="1797" t="b">
        <f t="shared" si="22"/>
        <v>0</v>
      </c>
      <c r="M89" s="1797" t="b">
        <f t="shared" si="22"/>
        <v>0</v>
      </c>
      <c r="N89" s="1797" t="b">
        <f t="shared" si="22"/>
        <v>0</v>
      </c>
      <c r="O89" s="1797" t="b">
        <f t="shared" si="22"/>
        <v>0</v>
      </c>
      <c r="P89" s="1797" t="b">
        <f t="shared" si="22"/>
        <v>0</v>
      </c>
      <c r="Q89" s="1797" t="b">
        <f t="shared" si="22"/>
        <v>0</v>
      </c>
      <c r="R89" s="1797" t="b">
        <f t="shared" si="22"/>
        <v>0</v>
      </c>
      <c r="S89" s="1797" t="b">
        <f t="shared" si="22"/>
        <v>0</v>
      </c>
      <c r="T89" s="1797" t="b">
        <f t="shared" si="22"/>
        <v>0</v>
      </c>
      <c r="U89" s="1797" t="b">
        <f t="shared" si="22"/>
        <v>0</v>
      </c>
      <c r="V89" s="1797" t="b">
        <f t="shared" si="22"/>
        <v>0</v>
      </c>
      <c r="W89" s="1808"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X71"/>
  <sheetViews>
    <sheetView zoomScale="70" zoomScaleNormal="70" workbookViewId="0">
      <pane xSplit="3" ySplit="5" topLeftCell="L6" activePane="bottomRight" state="frozen"/>
      <selection pane="topRight" activeCell="Q31" sqref="Q31:X31"/>
      <selection pane="bottomLeft" activeCell="Q31" sqref="Q31:X31"/>
      <selection pane="bottomRight" activeCell="S44" activeCellId="2" sqref="S37 S42 S44"/>
    </sheetView>
  </sheetViews>
  <sheetFormatPr defaultRowHeight="15"/>
  <cols>
    <col min="1" max="1" width="27.85546875" customWidth="1"/>
    <col min="2" max="2" width="31.140625" customWidth="1"/>
    <col min="3" max="3" width="22.42578125" bestFit="1" customWidth="1"/>
    <col min="4" max="4" width="9.85546875" bestFit="1" customWidth="1"/>
    <col min="12" max="12" width="13.7109375" bestFit="1" customWidth="1"/>
    <col min="13" max="13" width="20.42578125" bestFit="1" customWidth="1"/>
    <col min="14" max="14" width="20.140625" customWidth="1"/>
    <col min="15" max="16" width="20.28515625" customWidth="1"/>
    <col min="17" max="17" width="19.5703125" customWidth="1"/>
    <col min="18" max="19" width="19" customWidth="1"/>
    <col min="20" max="22" width="19.28515625" bestFit="1" customWidth="1"/>
  </cols>
  <sheetData>
    <row r="1" spans="1:22">
      <c r="A1" s="369" t="s">
        <v>5551</v>
      </c>
      <c r="B1" s="82" t="s">
        <v>5552</v>
      </c>
      <c r="C1" s="82"/>
      <c r="D1" s="27"/>
      <c r="E1" s="27"/>
      <c r="F1" s="27"/>
      <c r="G1" s="27"/>
      <c r="H1" s="27"/>
      <c r="I1" s="27"/>
      <c r="J1" s="27"/>
      <c r="K1" s="27"/>
      <c r="L1" s="27"/>
      <c r="M1" s="27"/>
      <c r="N1" s="27"/>
      <c r="O1" s="28"/>
      <c r="P1" s="28"/>
      <c r="Q1" s="28"/>
      <c r="R1" s="29"/>
      <c r="S1" s="28"/>
      <c r="T1" s="28"/>
      <c r="U1" s="28"/>
      <c r="V1" s="28"/>
    </row>
    <row r="2" spans="1:22">
      <c r="B2" s="30" t="s">
        <v>5553</v>
      </c>
      <c r="C2" s="30"/>
      <c r="D2" s="28"/>
      <c r="E2" s="28"/>
      <c r="F2" s="28"/>
      <c r="G2" s="28"/>
      <c r="H2" s="28"/>
      <c r="I2" s="28"/>
      <c r="J2" s="28"/>
      <c r="K2" s="28"/>
      <c r="L2" s="28"/>
      <c r="M2" s="28"/>
      <c r="N2" s="28"/>
      <c r="O2" s="28"/>
      <c r="P2" s="28"/>
      <c r="Q2" s="28"/>
      <c r="R2" s="31"/>
      <c r="S2" s="32"/>
      <c r="T2" s="33"/>
      <c r="U2" s="28"/>
      <c r="V2" s="28"/>
    </row>
    <row r="3" spans="1:2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2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22">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30</v>
      </c>
      <c r="U5" s="28" t="s">
        <v>30</v>
      </c>
      <c r="V5" s="28" t="s">
        <v>32</v>
      </c>
    </row>
    <row r="6" spans="1:22" s="15" customFormat="1">
      <c r="A6" s="96" t="s">
        <v>33</v>
      </c>
      <c r="B6" s="258" t="s">
        <v>785</v>
      </c>
      <c r="C6" s="160" t="s">
        <v>35</v>
      </c>
      <c r="D6" s="200"/>
      <c r="E6" s="200"/>
      <c r="F6" s="200"/>
      <c r="G6" s="200"/>
      <c r="H6" s="200"/>
      <c r="I6" s="368"/>
      <c r="J6" s="368"/>
      <c r="K6" s="368"/>
      <c r="L6" s="368"/>
      <c r="M6" s="368"/>
      <c r="N6" s="497">
        <f>N7+N17</f>
        <v>741600000000</v>
      </c>
      <c r="O6" s="497">
        <f t="shared" ref="O6:V6" si="0">O7+O17</f>
        <v>1118000000000</v>
      </c>
      <c r="P6" s="497">
        <f t="shared" si="0"/>
        <v>1248000000000</v>
      </c>
      <c r="Q6" s="497">
        <f t="shared" si="0"/>
        <v>1156000000000</v>
      </c>
      <c r="R6" s="497">
        <f t="shared" si="0"/>
        <v>1044000000000</v>
      </c>
      <c r="S6" s="497">
        <f t="shared" si="0"/>
        <v>616000000000</v>
      </c>
      <c r="T6" s="497">
        <f t="shared" si="0"/>
        <v>520000000000</v>
      </c>
      <c r="U6" s="497">
        <f t="shared" si="0"/>
        <v>622000000000</v>
      </c>
      <c r="V6" s="497">
        <f t="shared" si="0"/>
        <v>897000000000</v>
      </c>
    </row>
    <row r="7" spans="1:22" ht="16.5">
      <c r="A7" s="139" t="s">
        <v>36</v>
      </c>
      <c r="B7" t="s">
        <v>36</v>
      </c>
      <c r="C7" s="345" t="s">
        <v>38</v>
      </c>
      <c r="D7" s="28"/>
      <c r="E7" s="28"/>
      <c r="F7" s="28"/>
      <c r="G7" s="28"/>
      <c r="H7" s="28"/>
      <c r="I7" s="28"/>
      <c r="J7" s="28"/>
      <c r="K7" s="28"/>
      <c r="L7" s="28"/>
      <c r="M7" s="28"/>
      <c r="N7" s="366">
        <v>741600000000</v>
      </c>
      <c r="O7" s="455">
        <f t="shared" ref="O7" si="1">O8+O9</f>
        <v>1118000000000</v>
      </c>
      <c r="P7" s="455">
        <f t="shared" ref="P7" si="2">P8+P9</f>
        <v>1248000000000</v>
      </c>
      <c r="Q7" s="455">
        <f t="shared" ref="Q7" si="3">Q8+Q9</f>
        <v>1156000000000</v>
      </c>
      <c r="R7" s="455">
        <f t="shared" ref="R7" si="4">R8+R9</f>
        <v>1044000000000</v>
      </c>
      <c r="S7" s="455">
        <f t="shared" ref="S7" si="5">S8+S9</f>
        <v>616000000000</v>
      </c>
      <c r="T7" s="455">
        <f t="shared" ref="T7" si="6">T8+T9</f>
        <v>520000000000</v>
      </c>
      <c r="U7" s="455">
        <f t="shared" ref="U7" si="7">U8+U9</f>
        <v>622000000000</v>
      </c>
      <c r="V7" s="455">
        <f t="shared" ref="V7" si="8">V8+V9</f>
        <v>897000000000</v>
      </c>
    </row>
    <row r="8" spans="1:22">
      <c r="A8" t="s">
        <v>2308</v>
      </c>
      <c r="B8" s="13" t="s">
        <v>372</v>
      </c>
      <c r="C8" s="58" t="s">
        <v>41</v>
      </c>
      <c r="D8" s="28"/>
      <c r="E8" s="28"/>
      <c r="F8" s="28"/>
      <c r="G8" s="28"/>
      <c r="H8" s="28"/>
      <c r="I8" s="28"/>
      <c r="J8" s="28"/>
      <c r="K8" s="28"/>
      <c r="L8" s="28"/>
      <c r="M8" s="28"/>
      <c r="N8" s="366">
        <v>670300000000</v>
      </c>
      <c r="O8" s="455">
        <v>1034000000000</v>
      </c>
      <c r="P8" s="455">
        <v>1145000000000</v>
      </c>
      <c r="Q8" s="455">
        <v>1035000000000</v>
      </c>
      <c r="R8" s="455">
        <v>913000000000</v>
      </c>
      <c r="S8" s="455">
        <v>446000000000</v>
      </c>
      <c r="T8" s="455">
        <v>334000000000</v>
      </c>
      <c r="U8" s="455">
        <v>436000000000</v>
      </c>
      <c r="V8" s="455">
        <v>636000000000</v>
      </c>
    </row>
    <row r="9" spans="1:22">
      <c r="A9" s="13" t="s">
        <v>374</v>
      </c>
      <c r="B9" s="13" t="s">
        <v>374</v>
      </c>
      <c r="C9" s="58" t="s">
        <v>41</v>
      </c>
      <c r="D9" s="28"/>
      <c r="E9" s="28"/>
      <c r="F9" s="28"/>
      <c r="G9" s="28"/>
      <c r="H9" s="28"/>
      <c r="I9" s="28"/>
      <c r="J9" s="28"/>
      <c r="K9" s="28"/>
      <c r="L9" s="28"/>
      <c r="M9" s="28"/>
      <c r="N9" s="366">
        <v>71400000000</v>
      </c>
      <c r="O9" s="455">
        <f>O10+O13</f>
        <v>84000000000</v>
      </c>
      <c r="P9" s="455">
        <f t="shared" ref="P9:V9" si="9">P10+P13</f>
        <v>103000000000</v>
      </c>
      <c r="Q9" s="455">
        <f t="shared" si="9"/>
        <v>121000000000</v>
      </c>
      <c r="R9" s="455">
        <f t="shared" si="9"/>
        <v>131000000000</v>
      </c>
      <c r="S9" s="455">
        <f t="shared" si="9"/>
        <v>170000000000</v>
      </c>
      <c r="T9" s="455">
        <f t="shared" si="9"/>
        <v>186000000000</v>
      </c>
      <c r="U9" s="455">
        <f t="shared" si="9"/>
        <v>186000000000</v>
      </c>
      <c r="V9" s="455">
        <f t="shared" si="9"/>
        <v>261000000000</v>
      </c>
    </row>
    <row r="10" spans="1:22">
      <c r="A10" s="632" t="s">
        <v>371</v>
      </c>
      <c r="B10" s="632" t="s">
        <v>371</v>
      </c>
      <c r="C10" s="34" t="s">
        <v>5554</v>
      </c>
      <c r="D10" s="28"/>
      <c r="E10" s="28"/>
      <c r="F10" s="28"/>
      <c r="G10" s="28"/>
      <c r="H10" s="28"/>
      <c r="I10" s="28"/>
      <c r="J10" s="28"/>
      <c r="K10" s="28"/>
      <c r="L10" s="28"/>
      <c r="M10" s="28"/>
      <c r="N10" s="366">
        <v>21800000000</v>
      </c>
      <c r="O10" s="455">
        <v>27000000000</v>
      </c>
      <c r="P10" s="455">
        <v>34000000000</v>
      </c>
      <c r="Q10" s="455">
        <v>33000000000</v>
      </c>
      <c r="R10" s="455">
        <v>38000000000</v>
      </c>
      <c r="S10" s="455">
        <v>41000000000</v>
      </c>
      <c r="T10" s="455">
        <v>82000000000</v>
      </c>
      <c r="U10" s="455">
        <v>87000000000</v>
      </c>
      <c r="V10" s="455">
        <v>138000000000</v>
      </c>
    </row>
    <row r="11" spans="1:22">
      <c r="A11" s="100" t="s">
        <v>3945</v>
      </c>
      <c r="B11" s="100" t="s">
        <v>3945</v>
      </c>
      <c r="C11" s="34" t="s">
        <v>5555</v>
      </c>
      <c r="D11" s="28"/>
      <c r="E11" s="28"/>
      <c r="F11" s="28"/>
      <c r="G11" s="28"/>
      <c r="H11" s="28"/>
      <c r="I11" s="28"/>
      <c r="J11" s="28"/>
      <c r="K11" s="28"/>
      <c r="L11" s="28"/>
      <c r="M11" s="28"/>
      <c r="N11" s="366">
        <v>7100000000</v>
      </c>
      <c r="O11" s="389"/>
      <c r="P11" s="389"/>
      <c r="Q11" s="389"/>
      <c r="R11" s="389"/>
      <c r="S11" s="389"/>
      <c r="T11" s="455"/>
      <c r="U11" s="455"/>
      <c r="V11" s="455"/>
    </row>
    <row r="12" spans="1:22">
      <c r="A12" s="100" t="s">
        <v>3946</v>
      </c>
      <c r="B12" s="100" t="s">
        <v>3946</v>
      </c>
      <c r="C12" s="34" t="s">
        <v>5555</v>
      </c>
      <c r="D12" s="28"/>
      <c r="E12" s="28"/>
      <c r="F12" s="28"/>
      <c r="G12" s="28"/>
      <c r="H12" s="28"/>
      <c r="I12" s="28"/>
      <c r="J12" s="28"/>
      <c r="K12" s="28"/>
      <c r="L12" s="28"/>
      <c r="M12" s="28"/>
      <c r="N12" s="366">
        <v>14700000000</v>
      </c>
      <c r="O12" s="389"/>
      <c r="P12" s="389"/>
      <c r="Q12" s="389"/>
      <c r="R12" s="389"/>
      <c r="S12" s="389"/>
      <c r="T12" s="455"/>
      <c r="U12" s="455"/>
      <c r="V12" s="455"/>
    </row>
    <row r="13" spans="1:22">
      <c r="A13" s="634" t="s">
        <v>5556</v>
      </c>
      <c r="B13" s="634" t="s">
        <v>5557</v>
      </c>
      <c r="C13" s="34" t="s">
        <v>5554</v>
      </c>
      <c r="D13" s="28"/>
      <c r="E13" s="28"/>
      <c r="F13" s="28"/>
      <c r="G13" s="28"/>
      <c r="H13" s="28"/>
      <c r="I13" s="28"/>
      <c r="J13" s="28"/>
      <c r="K13" s="28"/>
      <c r="L13" s="28"/>
      <c r="M13" s="28"/>
      <c r="N13" s="366">
        <v>49600000000</v>
      </c>
      <c r="O13" s="455">
        <v>57000000000</v>
      </c>
      <c r="P13" s="455">
        <v>69000000000</v>
      </c>
      <c r="Q13" s="455">
        <v>88000000000</v>
      </c>
      <c r="R13" s="455">
        <v>93000000000</v>
      </c>
      <c r="S13" s="455">
        <v>129000000000</v>
      </c>
      <c r="T13" s="455">
        <v>104000000000</v>
      </c>
      <c r="U13" s="455">
        <v>99000000000</v>
      </c>
      <c r="V13" s="455">
        <v>123000000000</v>
      </c>
    </row>
    <row r="14" spans="1:22">
      <c r="A14" s="100" t="s">
        <v>5558</v>
      </c>
      <c r="B14" s="100" t="s">
        <v>5558</v>
      </c>
      <c r="C14" s="34" t="s">
        <v>2102</v>
      </c>
      <c r="D14" s="28"/>
      <c r="E14" s="28"/>
      <c r="F14" s="28"/>
      <c r="G14" s="28"/>
      <c r="H14" s="28"/>
      <c r="I14" s="28"/>
      <c r="J14" s="28"/>
      <c r="K14" s="28"/>
      <c r="L14" s="28"/>
      <c r="M14" s="28"/>
      <c r="N14" s="366">
        <v>15700000000</v>
      </c>
      <c r="O14" s="389"/>
      <c r="P14" s="389"/>
      <c r="Q14" s="389"/>
      <c r="R14" s="389"/>
      <c r="S14" s="389"/>
      <c r="T14" s="455"/>
      <c r="U14" s="455"/>
      <c r="V14" s="455"/>
    </row>
    <row r="15" spans="1:22">
      <c r="A15" s="100" t="s">
        <v>5559</v>
      </c>
      <c r="B15" s="100" t="s">
        <v>5559</v>
      </c>
      <c r="C15" s="34" t="s">
        <v>2102</v>
      </c>
      <c r="D15" s="28"/>
      <c r="E15" s="28"/>
      <c r="F15" s="28"/>
      <c r="G15" s="28"/>
      <c r="H15" s="28"/>
      <c r="I15" s="28"/>
      <c r="J15" s="28"/>
      <c r="K15" s="28"/>
      <c r="L15" s="28"/>
      <c r="M15" s="28"/>
      <c r="N15" s="366">
        <v>30900000000</v>
      </c>
      <c r="O15" s="389"/>
      <c r="P15" s="389"/>
      <c r="Q15" s="389"/>
      <c r="R15" s="389"/>
      <c r="S15" s="389"/>
      <c r="T15" s="455"/>
      <c r="U15" s="455"/>
      <c r="V15" s="455"/>
    </row>
    <row r="16" spans="1:22">
      <c r="A16" s="100" t="s">
        <v>5560</v>
      </c>
      <c r="B16" s="100" t="s">
        <v>5560</v>
      </c>
      <c r="C16" s="34" t="s">
        <v>2102</v>
      </c>
      <c r="D16" s="28"/>
      <c r="E16" s="28"/>
      <c r="F16" s="28"/>
      <c r="G16" s="28"/>
      <c r="H16" s="28"/>
      <c r="I16" s="28"/>
      <c r="J16" s="28"/>
      <c r="K16" s="28"/>
      <c r="L16" s="28"/>
      <c r="M16" s="28"/>
      <c r="N16" s="366">
        <v>2900000000</v>
      </c>
      <c r="O16" s="389"/>
      <c r="P16" s="389"/>
      <c r="Q16" s="389"/>
      <c r="R16" s="389"/>
      <c r="S16" s="389"/>
      <c r="T16" s="455"/>
      <c r="U16" s="455"/>
      <c r="V16" s="455"/>
    </row>
    <row r="17" spans="1:24">
      <c r="A17" s="90" t="s">
        <v>795</v>
      </c>
      <c r="B17" s="90" t="s">
        <v>795</v>
      </c>
      <c r="C17" s="345" t="s">
        <v>38</v>
      </c>
      <c r="D17" s="28"/>
      <c r="E17" s="28"/>
      <c r="F17" s="28"/>
      <c r="G17" s="28"/>
      <c r="H17" s="28"/>
      <c r="I17" s="28"/>
      <c r="J17" s="28"/>
      <c r="K17" s="28"/>
      <c r="L17" s="28"/>
      <c r="M17" s="28"/>
      <c r="N17" s="366">
        <v>0</v>
      </c>
      <c r="O17" s="366">
        <v>0</v>
      </c>
      <c r="P17" s="366">
        <v>0</v>
      </c>
      <c r="Q17" s="366">
        <v>0</v>
      </c>
      <c r="R17" s="366">
        <v>0</v>
      </c>
      <c r="S17" s="366">
        <v>0</v>
      </c>
      <c r="T17" s="366">
        <v>0</v>
      </c>
      <c r="U17" s="366">
        <v>0</v>
      </c>
      <c r="V17" s="366">
        <v>0</v>
      </c>
    </row>
    <row r="18" spans="1:24" s="15" customFormat="1">
      <c r="A18" s="160" t="s">
        <v>198</v>
      </c>
      <c r="B18" s="15" t="s">
        <v>535</v>
      </c>
      <c r="C18" s="459" t="s">
        <v>35</v>
      </c>
      <c r="D18" s="200"/>
      <c r="E18" s="200"/>
      <c r="F18" s="200"/>
      <c r="G18" s="200"/>
      <c r="H18" s="200"/>
      <c r="I18" s="200"/>
      <c r="J18" s="200"/>
      <c r="K18" s="200"/>
      <c r="L18" s="200"/>
      <c r="M18" s="200"/>
      <c r="N18" s="457">
        <v>671000000000</v>
      </c>
      <c r="O18" s="458">
        <f t="shared" ref="O18" si="10">O19+O27</f>
        <v>838000000000</v>
      </c>
      <c r="P18" s="458">
        <f t="shared" ref="P18" si="11">P19+P27</f>
        <v>916000000000</v>
      </c>
      <c r="Q18" s="458">
        <f t="shared" ref="Q18" si="12">Q19+Q27</f>
        <v>996000000000</v>
      </c>
      <c r="R18" s="458">
        <f t="shared" ref="R18" si="13">R19+R27</f>
        <v>1142000000000</v>
      </c>
      <c r="S18" s="458">
        <f t="shared" ref="S18" si="14">S19+S27</f>
        <v>1002000000000</v>
      </c>
      <c r="T18" s="458">
        <f t="shared" ref="T18" si="15">T19+T27</f>
        <v>934000000000</v>
      </c>
      <c r="U18" s="458">
        <f t="shared" ref="U18" si="16">U19+U27</f>
        <v>860000000000</v>
      </c>
      <c r="V18" s="458">
        <f t="shared" ref="V18" si="17">V19+V27</f>
        <v>1030000000000</v>
      </c>
      <c r="W18" s="458"/>
      <c r="X18" s="458"/>
    </row>
    <row r="19" spans="1:24" ht="16.5">
      <c r="A19" s="448" t="s">
        <v>476</v>
      </c>
      <c r="B19" t="s">
        <v>382</v>
      </c>
      <c r="C19" s="58" t="s">
        <v>201</v>
      </c>
      <c r="D19" s="28"/>
      <c r="E19" s="28"/>
      <c r="F19" s="28"/>
      <c r="G19" s="28"/>
      <c r="H19" s="28"/>
      <c r="I19" s="28"/>
      <c r="J19" s="28"/>
      <c r="K19" s="28"/>
      <c r="L19" s="28"/>
      <c r="M19" s="28"/>
      <c r="N19" s="366">
        <v>455000000000</v>
      </c>
      <c r="O19" s="455">
        <f t="shared" ref="O19" si="18">O20+O21+O22+O23+O24+O25+O26</f>
        <v>551000000000</v>
      </c>
      <c r="P19" s="455">
        <f t="shared" ref="P19" si="19">P20+P21+P22+P23+P24+P25+P26</f>
        <v>611000000000</v>
      </c>
      <c r="Q19" s="455">
        <f t="shared" ref="Q19" si="20">Q20+Q21+Q22+Q23+Q24+Q25+Q26</f>
        <v>595000000000</v>
      </c>
      <c r="R19" s="455">
        <f t="shared" ref="R19" si="21">R20+R21+R22+R23+R24+R25+R26</f>
        <v>671000000000</v>
      </c>
      <c r="S19" s="455">
        <f t="shared" ref="S19" si="22">S20+S21+S22+S23+S24+S25+S26</f>
        <v>671000000000</v>
      </c>
      <c r="T19" s="455">
        <f t="shared" ref="T19" si="23">T20+T21+T22+T23+T24+T25+T26</f>
        <v>725000000000</v>
      </c>
      <c r="U19" s="455">
        <f t="shared" ref="U19" si="24">U20+U21+U22+U23+U24+U25+U26</f>
        <v>722000000000</v>
      </c>
      <c r="V19" s="455">
        <f t="shared" ref="V19" si="25">V20+V21+V22+V23+V24+V25+V26</f>
        <v>795000000000</v>
      </c>
    </row>
    <row r="20" spans="1:24">
      <c r="A20" s="41" t="s">
        <v>5283</v>
      </c>
      <c r="B20" s="41" t="s">
        <v>5283</v>
      </c>
      <c r="C20" s="58" t="s">
        <v>81</v>
      </c>
      <c r="D20" s="28"/>
      <c r="E20" s="28"/>
      <c r="F20" s="28"/>
      <c r="G20" s="28"/>
      <c r="H20" s="28"/>
      <c r="I20" s="28"/>
      <c r="J20" s="28"/>
      <c r="K20" s="28"/>
      <c r="L20" s="28"/>
      <c r="M20" s="28"/>
      <c r="N20" s="366">
        <v>248400000000</v>
      </c>
      <c r="O20" s="455">
        <v>289000000000</v>
      </c>
      <c r="P20" s="455">
        <v>317000000000</v>
      </c>
      <c r="Q20" s="455">
        <v>315000000000</v>
      </c>
      <c r="R20" s="455">
        <v>335000000000</v>
      </c>
      <c r="S20" s="455">
        <v>394000000000</v>
      </c>
      <c r="T20" s="455">
        <v>439000000000</v>
      </c>
      <c r="U20" s="455">
        <v>420000000000</v>
      </c>
      <c r="V20" s="455">
        <v>461000000000</v>
      </c>
    </row>
    <row r="21" spans="1:24">
      <c r="A21" s="41" t="s">
        <v>5561</v>
      </c>
      <c r="B21" s="41" t="s">
        <v>5561</v>
      </c>
      <c r="C21" s="58" t="s">
        <v>81</v>
      </c>
      <c r="D21" s="28"/>
      <c r="E21" s="28"/>
      <c r="F21" s="28"/>
      <c r="G21" s="28"/>
      <c r="H21" s="28"/>
      <c r="I21" s="28"/>
      <c r="J21" s="28"/>
      <c r="K21" s="28"/>
      <c r="L21" s="28"/>
      <c r="M21" s="28"/>
      <c r="N21" s="366">
        <v>168600000000</v>
      </c>
      <c r="O21" s="455">
        <v>217000000000</v>
      </c>
      <c r="P21" s="455">
        <v>218000000000</v>
      </c>
      <c r="Q21" s="455">
        <v>227000000000</v>
      </c>
      <c r="R21" s="455">
        <v>286000000000</v>
      </c>
      <c r="S21" s="455">
        <v>229000000000</v>
      </c>
      <c r="T21" s="455">
        <v>150000000000</v>
      </c>
      <c r="U21" s="455">
        <v>136000000000</v>
      </c>
      <c r="V21" s="455">
        <v>143000000000</v>
      </c>
    </row>
    <row r="22" spans="1:24">
      <c r="A22" s="41" t="s">
        <v>215</v>
      </c>
      <c r="B22" s="41" t="s">
        <v>215</v>
      </c>
      <c r="C22" s="58" t="s">
        <v>81</v>
      </c>
      <c r="D22" s="28"/>
      <c r="E22" s="28"/>
      <c r="F22" s="28"/>
      <c r="G22" s="28"/>
      <c r="H22" s="28"/>
      <c r="I22" s="28"/>
      <c r="J22" s="28"/>
      <c r="K22" s="28"/>
      <c r="L22" s="28"/>
      <c r="M22" s="28"/>
      <c r="N22" s="366">
        <v>5900000000</v>
      </c>
      <c r="O22" s="455">
        <v>10000000000</v>
      </c>
      <c r="P22" s="455">
        <v>10000000000</v>
      </c>
      <c r="Q22" s="455">
        <v>16000000000</v>
      </c>
      <c r="R22" s="455">
        <v>14000000000</v>
      </c>
      <c r="S22" s="455">
        <v>10000000000</v>
      </c>
      <c r="T22" s="455">
        <v>7000000000</v>
      </c>
      <c r="U22" s="455">
        <v>5000000000</v>
      </c>
      <c r="V22" s="455">
        <v>5000000000</v>
      </c>
    </row>
    <row r="23" spans="1:24">
      <c r="A23" s="41" t="s">
        <v>3108</v>
      </c>
      <c r="B23" s="41" t="s">
        <v>3108</v>
      </c>
      <c r="C23" s="58" t="s">
        <v>81</v>
      </c>
      <c r="D23" s="28"/>
      <c r="E23" s="28"/>
      <c r="F23" s="28"/>
      <c r="G23" s="28"/>
      <c r="H23" s="28"/>
      <c r="I23" s="28"/>
      <c r="J23" s="28"/>
      <c r="K23" s="28"/>
      <c r="L23" s="28"/>
      <c r="M23" s="28"/>
      <c r="N23" s="366">
        <v>20600000000</v>
      </c>
      <c r="O23" s="455">
        <v>26000000000</v>
      </c>
      <c r="P23" s="455">
        <v>59000000000</v>
      </c>
      <c r="Q23" s="455">
        <v>31000000000</v>
      </c>
      <c r="R23" s="455">
        <v>31000000000</v>
      </c>
      <c r="S23" s="455">
        <v>34000000000</v>
      </c>
      <c r="T23" s="455">
        <v>41000000000</v>
      </c>
      <c r="U23" s="455">
        <v>48000000000</v>
      </c>
      <c r="V23" s="455">
        <v>85000000000</v>
      </c>
    </row>
    <row r="24" spans="1:24">
      <c r="A24" s="41" t="s">
        <v>53</v>
      </c>
      <c r="B24" s="41" t="s">
        <v>53</v>
      </c>
      <c r="C24" s="58" t="s">
        <v>81</v>
      </c>
      <c r="D24" s="28"/>
      <c r="E24" s="28"/>
      <c r="F24" s="28"/>
      <c r="G24" s="28"/>
      <c r="H24" s="28"/>
      <c r="I24" s="28"/>
      <c r="J24" s="28"/>
      <c r="K24" s="28"/>
      <c r="L24" s="28"/>
      <c r="M24" s="28"/>
      <c r="N24" s="366">
        <v>700000000</v>
      </c>
      <c r="O24" s="455">
        <v>1000000000</v>
      </c>
      <c r="P24" s="455">
        <v>1000000000</v>
      </c>
      <c r="Q24" s="455">
        <v>1000000000</v>
      </c>
      <c r="R24" s="455">
        <v>1000000000</v>
      </c>
      <c r="S24" s="455">
        <v>1000000000</v>
      </c>
      <c r="T24" s="455">
        <v>5000000000</v>
      </c>
      <c r="U24" s="455">
        <v>6000000000</v>
      </c>
      <c r="V24" s="455">
        <v>6000000000</v>
      </c>
    </row>
    <row r="25" spans="1:24">
      <c r="A25" s="41" t="s">
        <v>5562</v>
      </c>
      <c r="B25" s="41" t="s">
        <v>5562</v>
      </c>
      <c r="C25" s="58" t="s">
        <v>81</v>
      </c>
      <c r="D25" s="28"/>
      <c r="E25" s="28"/>
      <c r="F25" s="28"/>
      <c r="G25" s="28"/>
      <c r="H25" s="28"/>
      <c r="I25" s="28"/>
      <c r="J25" s="28"/>
      <c r="K25" s="28"/>
      <c r="L25" s="28"/>
      <c r="M25" s="28"/>
      <c r="N25" s="366">
        <v>10900000000</v>
      </c>
      <c r="O25" s="455">
        <v>8000000000</v>
      </c>
      <c r="P25" s="455">
        <v>6000000000</v>
      </c>
      <c r="Q25" s="455">
        <v>5000000000</v>
      </c>
      <c r="R25" s="455">
        <v>4000000000</v>
      </c>
      <c r="S25" s="455">
        <v>3000000000</v>
      </c>
      <c r="T25" s="455">
        <v>5000000000</v>
      </c>
      <c r="U25" s="455">
        <v>9000000000</v>
      </c>
      <c r="V25" s="455">
        <v>12000000000</v>
      </c>
    </row>
    <row r="26" spans="1:24">
      <c r="A26" s="41" t="s">
        <v>50</v>
      </c>
      <c r="B26" s="41" t="s">
        <v>50</v>
      </c>
      <c r="C26" s="58" t="s">
        <v>81</v>
      </c>
      <c r="D26" s="28"/>
      <c r="E26" s="28"/>
      <c r="F26" s="28"/>
      <c r="G26" s="28"/>
      <c r="H26" s="28"/>
      <c r="I26" s="28"/>
      <c r="J26" s="28"/>
      <c r="K26" s="28"/>
      <c r="L26" s="28"/>
      <c r="M26" s="28"/>
      <c r="N26" s="366"/>
      <c r="O26" s="455"/>
      <c r="P26" s="455"/>
      <c r="Q26" s="455"/>
      <c r="R26" s="455"/>
      <c r="S26" s="455"/>
      <c r="T26" s="455">
        <v>78000000000</v>
      </c>
      <c r="U26" s="21">
        <v>98000000000</v>
      </c>
      <c r="V26" s="21">
        <v>83000000000</v>
      </c>
    </row>
    <row r="27" spans="1:24">
      <c r="A27" s="58" t="s">
        <v>237</v>
      </c>
      <c r="B27" t="s">
        <v>5563</v>
      </c>
      <c r="C27" s="58" t="s">
        <v>201</v>
      </c>
      <c r="D27" s="28"/>
      <c r="E27" s="28"/>
      <c r="F27" s="28"/>
      <c r="G27" s="28"/>
      <c r="H27" s="28"/>
      <c r="I27" s="28"/>
      <c r="J27" s="28"/>
      <c r="K27" s="28"/>
      <c r="L27" s="28"/>
      <c r="M27" s="28"/>
      <c r="N27" s="366">
        <v>215900000000</v>
      </c>
      <c r="O27" s="455">
        <v>287000000000</v>
      </c>
      <c r="P27" s="455">
        <v>305000000000</v>
      </c>
      <c r="Q27" s="455">
        <v>401000000000</v>
      </c>
      <c r="R27" s="455">
        <v>471000000000</v>
      </c>
      <c r="S27" s="455">
        <v>331000000000</v>
      </c>
      <c r="T27" s="455">
        <v>209000000000</v>
      </c>
      <c r="U27" s="455">
        <v>138000000000</v>
      </c>
      <c r="V27" s="455">
        <v>235000000000</v>
      </c>
    </row>
    <row r="28" spans="1:24">
      <c r="A28" s="58"/>
      <c r="B28" s="13" t="s">
        <v>5564</v>
      </c>
      <c r="C28" s="58"/>
      <c r="D28" s="28"/>
      <c r="E28" s="28"/>
      <c r="F28" s="28"/>
      <c r="G28" s="28"/>
      <c r="H28" s="28"/>
      <c r="I28" s="28"/>
      <c r="J28" s="28"/>
      <c r="K28" s="28"/>
      <c r="L28" s="28"/>
      <c r="M28" s="28"/>
      <c r="N28" s="366">
        <v>198800000000</v>
      </c>
      <c r="O28" s="455">
        <v>276000000000</v>
      </c>
      <c r="P28" s="455">
        <v>262000000000</v>
      </c>
      <c r="Q28" s="455">
        <v>382000000000</v>
      </c>
      <c r="R28" s="455">
        <v>440000000000</v>
      </c>
      <c r="S28" s="455">
        <v>308000000000</v>
      </c>
      <c r="T28" s="455"/>
      <c r="U28" s="455"/>
      <c r="V28" s="455"/>
    </row>
    <row r="29" spans="1:24">
      <c r="A29" s="13"/>
      <c r="B29" s="13" t="s">
        <v>5565</v>
      </c>
      <c r="C29" s="58"/>
      <c r="D29" s="28"/>
      <c r="E29" s="28"/>
      <c r="F29" s="28"/>
      <c r="G29" s="28"/>
      <c r="H29" s="28"/>
      <c r="I29" s="28"/>
      <c r="J29" s="28"/>
      <c r="K29" s="28"/>
      <c r="L29" s="28"/>
      <c r="M29" s="28"/>
      <c r="N29" s="366">
        <v>17100000000.000002</v>
      </c>
      <c r="O29" s="455">
        <v>11000000000</v>
      </c>
      <c r="P29" s="455">
        <v>44000000000</v>
      </c>
      <c r="Q29" s="455">
        <v>19000000000</v>
      </c>
      <c r="R29" s="455">
        <v>31000000000</v>
      </c>
      <c r="S29" s="455">
        <v>23000000000</v>
      </c>
      <c r="T29" s="455"/>
      <c r="U29" s="455"/>
      <c r="V29" s="455"/>
    </row>
    <row r="30" spans="1:24">
      <c r="B30" t="s">
        <v>5566</v>
      </c>
      <c r="C30" s="34"/>
      <c r="D30" s="28"/>
      <c r="E30" s="28"/>
      <c r="F30" s="28"/>
      <c r="G30" s="28"/>
      <c r="H30" s="28"/>
      <c r="I30" s="28"/>
      <c r="J30" s="28"/>
      <c r="K30" s="28"/>
      <c r="L30" s="28"/>
      <c r="M30" s="28"/>
      <c r="N30" s="366">
        <v>286600000000</v>
      </c>
      <c r="O30" s="455">
        <v>567000000000</v>
      </c>
      <c r="P30" s="455">
        <v>636000000000</v>
      </c>
      <c r="Q30" s="455">
        <v>562000000000</v>
      </c>
      <c r="R30" s="455">
        <v>375000000000</v>
      </c>
      <c r="S30" s="455">
        <v>-55000000000</v>
      </c>
      <c r="T30" s="455"/>
      <c r="U30" s="455"/>
      <c r="V30" s="455"/>
    </row>
    <row r="31" spans="1:24">
      <c r="B31" t="s">
        <v>5567</v>
      </c>
      <c r="C31" s="34"/>
      <c r="D31" s="28"/>
      <c r="E31" s="28"/>
      <c r="F31" s="28"/>
      <c r="G31" s="28"/>
      <c r="H31" s="28"/>
      <c r="I31" s="28"/>
      <c r="J31" s="28"/>
      <c r="K31" s="28"/>
      <c r="L31" s="28"/>
      <c r="M31" s="28"/>
      <c r="N31" s="486">
        <v>70600000000</v>
      </c>
      <c r="O31" s="455">
        <v>280000000000</v>
      </c>
      <c r="P31" s="455">
        <v>330000000000</v>
      </c>
      <c r="Q31" s="455">
        <v>162000000000</v>
      </c>
      <c r="R31" s="455">
        <v>-96000000000</v>
      </c>
      <c r="S31" s="455">
        <v>-386000000000</v>
      </c>
      <c r="T31" s="455"/>
      <c r="U31" s="455"/>
      <c r="V31" s="455"/>
    </row>
    <row r="32" spans="1:24" s="15" customFormat="1" ht="16.5">
      <c r="A32" s="260" t="s">
        <v>115</v>
      </c>
      <c r="B32" s="15" t="s">
        <v>115</v>
      </c>
      <c r="C32" s="459" t="s">
        <v>35</v>
      </c>
      <c r="D32" s="200"/>
      <c r="E32" s="200"/>
      <c r="F32" s="200"/>
      <c r="G32" s="200"/>
      <c r="H32" s="200"/>
      <c r="I32" s="200"/>
      <c r="J32" s="200"/>
      <c r="K32" s="200"/>
      <c r="L32" s="200"/>
      <c r="M32" s="200"/>
      <c r="N32" s="458">
        <v>-70631000000</v>
      </c>
      <c r="O32" s="458">
        <v>-280000000000</v>
      </c>
      <c r="P32" s="458">
        <v>-330000000000</v>
      </c>
      <c r="Q32" s="458">
        <v>-162000000000</v>
      </c>
      <c r="R32" s="458">
        <f>R33+R40</f>
        <v>80000000000</v>
      </c>
      <c r="S32" s="458">
        <f>S34+S35</f>
        <v>454000000000</v>
      </c>
      <c r="T32" s="458">
        <f t="shared" ref="T32:V32" si="26">T34+T35</f>
        <v>367000000000</v>
      </c>
      <c r="U32" s="458">
        <f t="shared" si="26"/>
        <v>224000000000</v>
      </c>
      <c r="V32" s="458">
        <f t="shared" si="26"/>
        <v>135000000000</v>
      </c>
      <c r="W32" s="458"/>
      <c r="X32" s="458"/>
    </row>
    <row r="33" spans="1:22">
      <c r="A33" t="s">
        <v>688</v>
      </c>
      <c r="B33" t="s">
        <v>688</v>
      </c>
      <c r="C33" s="58" t="s">
        <v>252</v>
      </c>
      <c r="D33" s="28"/>
      <c r="E33" s="28"/>
      <c r="F33" s="28"/>
      <c r="G33" s="28"/>
      <c r="H33" s="28"/>
      <c r="I33" s="28"/>
      <c r="J33" s="28"/>
      <c r="K33" s="28"/>
      <c r="L33" s="28"/>
      <c r="M33" s="28"/>
      <c r="O33" s="455">
        <v>-194000000000</v>
      </c>
      <c r="P33" s="455">
        <v>-329000000000</v>
      </c>
      <c r="Q33" s="455">
        <v>-125000000000</v>
      </c>
      <c r="R33" s="455">
        <v>96000000000</v>
      </c>
      <c r="S33" s="455"/>
      <c r="T33" s="455"/>
      <c r="U33" s="455"/>
      <c r="V33" s="455"/>
    </row>
    <row r="34" spans="1:22" ht="16.5">
      <c r="A34" s="140" t="s">
        <v>120</v>
      </c>
      <c r="B34" t="s">
        <v>209</v>
      </c>
      <c r="C34" s="58" t="s">
        <v>252</v>
      </c>
      <c r="D34" s="28"/>
      <c r="E34" s="28"/>
      <c r="F34" s="28"/>
      <c r="G34" s="28"/>
      <c r="H34" s="28"/>
      <c r="I34" s="28"/>
      <c r="J34" s="28"/>
      <c r="K34" s="28"/>
      <c r="L34" s="28"/>
      <c r="M34" s="28"/>
      <c r="O34" s="455"/>
      <c r="P34" s="455"/>
      <c r="Q34" s="455"/>
      <c r="R34" s="455"/>
      <c r="S34" s="455">
        <f>S37+S38+S42+S44+S45</f>
        <v>454000000000</v>
      </c>
      <c r="T34" s="455">
        <f>T37+T38+T42+T44+T45</f>
        <v>264000000000</v>
      </c>
      <c r="U34" s="455">
        <f>U37+U38+U42+U44+U45</f>
        <v>143000000000</v>
      </c>
      <c r="V34" s="455">
        <f>V37+V38+V42+V44+V45</f>
        <v>71000000000</v>
      </c>
    </row>
    <row r="35" spans="1:22" ht="16.5">
      <c r="A35" s="140" t="s">
        <v>117</v>
      </c>
      <c r="B35" t="s">
        <v>7214</v>
      </c>
      <c r="C35" s="58" t="s">
        <v>252</v>
      </c>
      <c r="D35" s="28"/>
      <c r="E35" s="28"/>
      <c r="F35" s="28"/>
      <c r="G35" s="28"/>
      <c r="H35" s="28"/>
      <c r="I35" s="28"/>
      <c r="J35" s="28"/>
      <c r="K35" s="28"/>
      <c r="L35" s="28"/>
      <c r="M35" s="28"/>
      <c r="O35" s="455"/>
      <c r="P35" s="455"/>
      <c r="Q35" s="455"/>
      <c r="R35" s="455"/>
      <c r="S35" s="455">
        <f>S39+S47+S48</f>
        <v>0</v>
      </c>
      <c r="T35" s="455">
        <f t="shared" ref="T35:V35" si="27">T39+T47+T48</f>
        <v>103000000000</v>
      </c>
      <c r="U35" s="455">
        <f t="shared" si="27"/>
        <v>81000000000</v>
      </c>
      <c r="V35" s="455">
        <f t="shared" si="27"/>
        <v>64000000000</v>
      </c>
    </row>
    <row r="36" spans="1:22">
      <c r="A36" s="2717" t="s">
        <v>5568</v>
      </c>
      <c r="B36" s="2717" t="s">
        <v>209</v>
      </c>
      <c r="C36" s="2579"/>
      <c r="D36" s="28"/>
      <c r="E36" s="28"/>
      <c r="F36" s="28"/>
      <c r="G36" s="28"/>
      <c r="H36" s="28"/>
      <c r="I36" s="28"/>
      <c r="J36" s="28"/>
      <c r="K36" s="28"/>
      <c r="L36" s="28"/>
      <c r="M36" s="28"/>
      <c r="O36" s="455"/>
      <c r="P36" s="455"/>
      <c r="Q36" s="455"/>
      <c r="R36" s="455"/>
      <c r="S36" s="455">
        <v>0</v>
      </c>
      <c r="T36" s="455"/>
      <c r="U36" s="455"/>
      <c r="V36" s="455"/>
    </row>
    <row r="37" spans="1:22" ht="15.75">
      <c r="A37" s="2718" t="s">
        <v>5569</v>
      </c>
      <c r="B37" s="2718" t="s">
        <v>5570</v>
      </c>
      <c r="C37" s="2566" t="s">
        <v>124</v>
      </c>
      <c r="D37" s="28"/>
      <c r="E37" s="28"/>
      <c r="F37" s="28"/>
      <c r="G37" s="28"/>
      <c r="H37" s="28"/>
      <c r="I37" s="28"/>
      <c r="J37" s="28"/>
      <c r="K37" s="28"/>
      <c r="L37" s="28"/>
      <c r="M37" s="28"/>
      <c r="N37" s="389"/>
      <c r="O37" s="455"/>
      <c r="P37" s="455"/>
      <c r="Q37" s="455"/>
      <c r="R37" s="455"/>
      <c r="S37" s="455">
        <v>356000000000</v>
      </c>
      <c r="T37" s="455">
        <v>293000000000</v>
      </c>
      <c r="U37" s="455">
        <v>89000000000</v>
      </c>
      <c r="V37" s="455">
        <v>68000000000</v>
      </c>
    </row>
    <row r="38" spans="1:22" ht="15.75">
      <c r="A38" s="2719" t="s">
        <v>444</v>
      </c>
      <c r="B38" s="2719" t="s">
        <v>444</v>
      </c>
      <c r="C38" s="2566" t="s">
        <v>124</v>
      </c>
      <c r="D38" s="28"/>
      <c r="E38" s="28"/>
      <c r="F38" s="28"/>
      <c r="G38" s="28"/>
      <c r="H38" s="28"/>
      <c r="I38" s="28"/>
      <c r="J38" s="28"/>
      <c r="K38" s="28"/>
      <c r="L38" s="28"/>
      <c r="M38" s="28"/>
      <c r="N38" s="389"/>
      <c r="O38" s="455"/>
      <c r="P38" s="455"/>
      <c r="Q38" s="455"/>
      <c r="R38" s="455"/>
      <c r="S38" s="455">
        <v>0</v>
      </c>
      <c r="T38" s="455">
        <v>-100000000000</v>
      </c>
      <c r="U38" s="455">
        <v>9000000000</v>
      </c>
      <c r="V38" s="455">
        <v>-50000000000</v>
      </c>
    </row>
    <row r="39" spans="1:22" ht="15.75">
      <c r="A39" s="2717" t="s">
        <v>5571</v>
      </c>
      <c r="B39" s="2717" t="s">
        <v>212</v>
      </c>
      <c r="C39" s="2566" t="s">
        <v>264</v>
      </c>
      <c r="D39" s="28"/>
      <c r="E39" s="28"/>
      <c r="F39" s="28"/>
      <c r="G39" s="28"/>
      <c r="H39" s="28"/>
      <c r="I39" s="28"/>
      <c r="J39" s="28"/>
      <c r="K39" s="28"/>
      <c r="L39" s="28"/>
      <c r="M39" s="28"/>
      <c r="N39" s="389"/>
      <c r="O39" s="455"/>
      <c r="P39" s="455"/>
      <c r="Q39" s="455"/>
      <c r="R39" s="455"/>
      <c r="S39" s="455">
        <v>0</v>
      </c>
      <c r="T39" s="455">
        <v>0</v>
      </c>
      <c r="U39" s="455">
        <v>0</v>
      </c>
      <c r="V39" s="455">
        <v>0</v>
      </c>
    </row>
    <row r="40" spans="1:22">
      <c r="A40" s="2463" t="s">
        <v>5572</v>
      </c>
      <c r="B40" s="2463" t="s">
        <v>5573</v>
      </c>
      <c r="C40" s="2579" t="s">
        <v>252</v>
      </c>
      <c r="D40" s="28"/>
      <c r="E40" s="28"/>
      <c r="F40" s="28"/>
      <c r="G40" s="28"/>
      <c r="H40" s="28"/>
      <c r="I40" s="28"/>
      <c r="J40" s="28"/>
      <c r="K40" s="28"/>
      <c r="L40" s="28"/>
      <c r="M40" s="28"/>
      <c r="N40" s="389"/>
      <c r="O40" s="455">
        <v>-32000000000</v>
      </c>
      <c r="P40" s="455">
        <v>-37000000000</v>
      </c>
      <c r="Q40" s="455">
        <v>-39000000000</v>
      </c>
      <c r="R40" s="455">
        <v>-16000000000</v>
      </c>
      <c r="S40" s="455">
        <v>0</v>
      </c>
      <c r="T40" s="455"/>
      <c r="U40" s="455"/>
      <c r="V40" s="455"/>
    </row>
    <row r="41" spans="1:22">
      <c r="A41" s="2717" t="s">
        <v>209</v>
      </c>
      <c r="B41" s="2717" t="s">
        <v>209</v>
      </c>
      <c r="C41" s="2579"/>
      <c r="D41" s="28"/>
      <c r="E41" s="28"/>
      <c r="F41" s="28"/>
      <c r="G41" s="28"/>
      <c r="H41" s="28"/>
      <c r="I41" s="28"/>
      <c r="J41" s="28"/>
      <c r="K41" s="28"/>
      <c r="L41" s="28"/>
      <c r="M41" s="28"/>
      <c r="N41" s="389"/>
      <c r="O41" s="455"/>
      <c r="P41" s="455"/>
      <c r="Q41" s="455"/>
      <c r="R41" s="455"/>
      <c r="S41" s="125">
        <v>0</v>
      </c>
      <c r="T41" s="455"/>
      <c r="U41" s="455"/>
      <c r="V41" s="455"/>
    </row>
    <row r="42" spans="1:22" ht="15.75">
      <c r="A42" s="2717" t="s">
        <v>7219</v>
      </c>
      <c r="B42" s="2717" t="s">
        <v>4426</v>
      </c>
      <c r="C42" s="2566" t="s">
        <v>124</v>
      </c>
      <c r="D42" s="28"/>
      <c r="E42" s="28"/>
      <c r="F42" s="28"/>
      <c r="G42" s="28"/>
      <c r="H42" s="28"/>
      <c r="I42" s="28"/>
      <c r="J42" s="28"/>
      <c r="K42" s="28"/>
      <c r="L42" s="28"/>
      <c r="M42" s="28"/>
      <c r="N42" s="389"/>
      <c r="O42" s="455"/>
      <c r="P42" s="455"/>
      <c r="Q42" s="455"/>
      <c r="R42" s="455"/>
      <c r="S42" s="125">
        <v>39000000000</v>
      </c>
      <c r="T42" s="455">
        <v>91000000000</v>
      </c>
      <c r="U42" s="455">
        <v>40000000000</v>
      </c>
      <c r="V42" s="455">
        <v>28000000000</v>
      </c>
    </row>
    <row r="43" spans="1:22">
      <c r="A43" s="2720" t="s">
        <v>5574</v>
      </c>
      <c r="B43" s="2720" t="s">
        <v>5575</v>
      </c>
      <c r="C43" s="2579"/>
      <c r="D43" s="28"/>
      <c r="E43" s="28"/>
      <c r="F43" s="28"/>
      <c r="G43" s="28"/>
      <c r="H43" s="28"/>
      <c r="I43" s="28"/>
      <c r="J43" s="28"/>
      <c r="K43" s="28"/>
      <c r="L43" s="28"/>
      <c r="M43" s="28"/>
      <c r="N43" s="389"/>
      <c r="O43" s="455"/>
      <c r="P43" s="455"/>
      <c r="Q43" s="455"/>
      <c r="R43" s="455"/>
      <c r="S43" s="455">
        <v>0</v>
      </c>
      <c r="T43" s="455"/>
      <c r="U43" s="455"/>
      <c r="V43" s="455"/>
    </row>
    <row r="44" spans="1:22" ht="15.75">
      <c r="A44" s="2717" t="s">
        <v>7218</v>
      </c>
      <c r="B44" s="2720" t="s">
        <v>5576</v>
      </c>
      <c r="C44" s="2566" t="s">
        <v>124</v>
      </c>
      <c r="D44" s="28"/>
      <c r="E44" s="28"/>
      <c r="F44" s="28"/>
      <c r="G44" s="28"/>
      <c r="H44" s="28"/>
      <c r="I44" s="28"/>
      <c r="J44" s="28"/>
      <c r="K44" s="28"/>
      <c r="L44" s="28"/>
      <c r="M44" s="28"/>
      <c r="N44" s="389"/>
      <c r="O44" s="455"/>
      <c r="P44" s="455"/>
      <c r="Q44" s="455"/>
      <c r="R44" s="455"/>
      <c r="S44" s="455">
        <v>59000000000</v>
      </c>
      <c r="T44" s="455">
        <v>6000000000</v>
      </c>
      <c r="U44" s="455">
        <v>18000000000</v>
      </c>
      <c r="V44" s="455">
        <v>28000000000</v>
      </c>
    </row>
    <row r="45" spans="1:22" ht="15.75">
      <c r="A45" s="2720" t="s">
        <v>258</v>
      </c>
      <c r="B45" s="2720" t="s">
        <v>7215</v>
      </c>
      <c r="C45" s="2566" t="s">
        <v>124</v>
      </c>
      <c r="D45" s="28"/>
      <c r="E45" s="28"/>
      <c r="F45" s="28"/>
      <c r="G45" s="28"/>
      <c r="H45" s="28"/>
      <c r="I45" s="28"/>
      <c r="J45" s="28"/>
      <c r="K45" s="28"/>
      <c r="L45" s="28"/>
      <c r="M45" s="28"/>
      <c r="N45" s="389"/>
      <c r="O45" s="455"/>
      <c r="P45" s="455"/>
      <c r="Q45" s="455"/>
      <c r="R45" s="455"/>
      <c r="S45" s="455">
        <v>0</v>
      </c>
      <c r="T45" s="455">
        <v>-26000000000</v>
      </c>
      <c r="U45" s="455">
        <v>-13000000000</v>
      </c>
      <c r="V45" s="455">
        <v>-3000000000</v>
      </c>
    </row>
    <row r="46" spans="1:22">
      <c r="A46" s="2717" t="s">
        <v>50</v>
      </c>
      <c r="B46" s="2717" t="s">
        <v>50</v>
      </c>
      <c r="C46" s="2579"/>
      <c r="D46" s="28"/>
      <c r="E46" s="28"/>
      <c r="F46" s="28"/>
      <c r="G46" s="28"/>
      <c r="H46" s="28"/>
      <c r="I46" s="28"/>
      <c r="J46" s="28"/>
      <c r="K46" s="28"/>
      <c r="L46" s="28"/>
      <c r="M46" s="28"/>
      <c r="N46" s="389"/>
      <c r="O46" s="455"/>
      <c r="P46" s="455"/>
      <c r="Q46" s="455"/>
      <c r="R46" s="455"/>
      <c r="S46" s="455">
        <v>0</v>
      </c>
      <c r="T46" s="455"/>
      <c r="U46" s="455"/>
      <c r="V46" s="455"/>
    </row>
    <row r="47" spans="1:22" ht="15.75">
      <c r="A47" s="2717" t="s">
        <v>7217</v>
      </c>
      <c r="B47" s="2717" t="s">
        <v>212</v>
      </c>
      <c r="C47" s="2566" t="s">
        <v>264</v>
      </c>
      <c r="D47" s="28"/>
      <c r="E47" s="28"/>
      <c r="F47" s="28"/>
      <c r="G47" s="28"/>
      <c r="H47" s="28"/>
      <c r="I47" s="28"/>
      <c r="J47" s="28"/>
      <c r="K47" s="28"/>
      <c r="L47" s="28"/>
      <c r="M47" s="28"/>
      <c r="N47" s="389"/>
      <c r="O47" s="455"/>
      <c r="P47" s="455"/>
      <c r="Q47" s="455"/>
      <c r="R47" s="455"/>
      <c r="S47" s="455">
        <v>0</v>
      </c>
      <c r="T47" s="455">
        <v>103000000000</v>
      </c>
      <c r="U47" s="455">
        <v>81000000000</v>
      </c>
      <c r="V47" s="455">
        <v>64000000000</v>
      </c>
    </row>
    <row r="48" spans="1:22" ht="15.75">
      <c r="A48" s="2720" t="s">
        <v>258</v>
      </c>
      <c r="B48" s="2720" t="s">
        <v>7216</v>
      </c>
      <c r="C48" s="2566" t="s">
        <v>264</v>
      </c>
      <c r="D48" s="28"/>
      <c r="E48" s="28"/>
      <c r="F48" s="28"/>
      <c r="G48" s="28"/>
      <c r="H48" s="28"/>
      <c r="I48" s="28"/>
      <c r="J48" s="28"/>
      <c r="K48" s="28"/>
      <c r="L48" s="28"/>
      <c r="M48" s="28"/>
      <c r="N48" s="389"/>
      <c r="O48" s="455"/>
      <c r="P48" s="455"/>
      <c r="Q48" s="455"/>
      <c r="R48" s="455"/>
      <c r="S48" s="455">
        <v>0</v>
      </c>
      <c r="T48" s="455">
        <v>0</v>
      </c>
      <c r="U48" s="455">
        <v>0</v>
      </c>
      <c r="V48" s="455">
        <v>0</v>
      </c>
    </row>
    <row r="49" spans="1:22">
      <c r="A49" s="2720"/>
      <c r="B49" s="2720" t="s">
        <v>5577</v>
      </c>
      <c r="C49" s="2579"/>
      <c r="D49" s="28"/>
      <c r="E49" s="28"/>
      <c r="F49" s="28"/>
      <c r="G49" s="28"/>
      <c r="H49" s="28"/>
      <c r="I49" s="28"/>
      <c r="J49" s="28"/>
      <c r="K49" s="28"/>
      <c r="L49" s="28"/>
      <c r="M49" s="28"/>
      <c r="N49" s="389"/>
      <c r="O49" s="455"/>
      <c r="P49" s="455"/>
      <c r="Q49" s="455"/>
      <c r="R49" s="455"/>
      <c r="S49" s="455"/>
      <c r="T49" s="455"/>
      <c r="U49" s="455"/>
      <c r="V49" s="455"/>
    </row>
    <row r="50" spans="1:22">
      <c r="A50" s="2463" t="s">
        <v>50</v>
      </c>
      <c r="B50" s="2463" t="s">
        <v>50</v>
      </c>
      <c r="C50" s="2579" t="s">
        <v>252</v>
      </c>
      <c r="D50" s="28"/>
      <c r="E50" s="28"/>
      <c r="F50" s="28"/>
      <c r="G50" s="28"/>
      <c r="H50" s="28"/>
      <c r="I50" s="28"/>
      <c r="J50" s="28"/>
      <c r="K50" s="28"/>
      <c r="L50" s="28"/>
      <c r="M50" s="28"/>
      <c r="N50" s="389"/>
      <c r="O50" s="455">
        <v>-54000000000</v>
      </c>
      <c r="P50" s="455">
        <v>35000000000</v>
      </c>
      <c r="Q50" s="455">
        <v>2000000000</v>
      </c>
      <c r="R50" s="455"/>
      <c r="S50" s="455"/>
      <c r="T50" s="455"/>
      <c r="U50" s="455"/>
      <c r="V50" s="455"/>
    </row>
    <row r="51" spans="1:22">
      <c r="C51" s="34"/>
      <c r="D51" s="28"/>
      <c r="E51" s="28"/>
      <c r="F51" s="28"/>
      <c r="G51" s="28"/>
      <c r="H51" s="28"/>
      <c r="I51" s="28"/>
      <c r="J51" s="28"/>
      <c r="K51" s="28"/>
      <c r="L51" s="28"/>
      <c r="M51" s="28"/>
      <c r="N51" s="28"/>
      <c r="O51" s="28"/>
      <c r="P51" s="28"/>
      <c r="Q51" s="28"/>
      <c r="R51" s="28"/>
      <c r="S51" s="28"/>
      <c r="T51" s="28"/>
      <c r="U51" s="28"/>
      <c r="V51" s="28"/>
    </row>
    <row r="52" spans="1:22">
      <c r="C52" s="34"/>
      <c r="D52" s="28"/>
      <c r="E52" s="28"/>
      <c r="F52" s="28"/>
      <c r="G52" s="28"/>
      <c r="H52" s="28"/>
      <c r="I52" s="28"/>
      <c r="J52" s="28"/>
      <c r="K52" s="28"/>
      <c r="L52" s="28"/>
      <c r="M52" s="28"/>
      <c r="N52" t="s">
        <v>138</v>
      </c>
      <c r="O52" t="s">
        <v>139</v>
      </c>
      <c r="P52" t="s">
        <v>139</v>
      </c>
      <c r="Q52" t="s">
        <v>139</v>
      </c>
      <c r="R52" t="s">
        <v>139</v>
      </c>
      <c r="S52" t="s">
        <v>139</v>
      </c>
      <c r="T52" t="s">
        <v>139</v>
      </c>
      <c r="U52" t="s">
        <v>139</v>
      </c>
      <c r="V52" t="s">
        <v>139</v>
      </c>
    </row>
    <row r="55" spans="1:22">
      <c r="B55" t="s">
        <v>1977</v>
      </c>
      <c r="N55" s="21">
        <f t="shared" ref="N55:V55" si="28">N6-N7-N17</f>
        <v>0</v>
      </c>
      <c r="O55" s="21">
        <f t="shared" si="28"/>
        <v>0</v>
      </c>
      <c r="P55" s="21">
        <f t="shared" si="28"/>
        <v>0</v>
      </c>
      <c r="Q55" s="21">
        <f t="shared" si="28"/>
        <v>0</v>
      </c>
      <c r="R55" s="21">
        <f t="shared" si="28"/>
        <v>0</v>
      </c>
      <c r="S55" s="21">
        <f t="shared" si="28"/>
        <v>0</v>
      </c>
      <c r="T55" s="21">
        <f t="shared" si="28"/>
        <v>0</v>
      </c>
      <c r="U55" s="21">
        <f t="shared" si="28"/>
        <v>0</v>
      </c>
      <c r="V55" s="21">
        <f t="shared" si="28"/>
        <v>0</v>
      </c>
    </row>
    <row r="56" spans="1:22">
      <c r="B56" t="s">
        <v>1622</v>
      </c>
      <c r="N56" s="21">
        <f t="shared" ref="N56:V56" si="29">N7-N8-N9</f>
        <v>-100000000</v>
      </c>
      <c r="O56" s="21">
        <f t="shared" si="29"/>
        <v>0</v>
      </c>
      <c r="P56" s="21">
        <f t="shared" si="29"/>
        <v>0</v>
      </c>
      <c r="Q56" s="21">
        <f t="shared" si="29"/>
        <v>0</v>
      </c>
      <c r="R56" s="21">
        <f t="shared" si="29"/>
        <v>0</v>
      </c>
      <c r="S56" s="21">
        <f t="shared" si="29"/>
        <v>0</v>
      </c>
      <c r="T56" s="21">
        <f t="shared" si="29"/>
        <v>0</v>
      </c>
      <c r="U56" s="21">
        <f t="shared" si="29"/>
        <v>0</v>
      </c>
      <c r="V56" s="21">
        <f t="shared" si="29"/>
        <v>0</v>
      </c>
    </row>
    <row r="57" spans="1:22">
      <c r="B57" t="s">
        <v>5578</v>
      </c>
      <c r="N57" s="21">
        <f t="shared" ref="N57:V57" si="30">N9-N10-N13</f>
        <v>0</v>
      </c>
      <c r="O57" s="21">
        <f t="shared" si="30"/>
        <v>0</v>
      </c>
      <c r="P57" s="21">
        <f t="shared" si="30"/>
        <v>0</v>
      </c>
      <c r="Q57" s="21">
        <f t="shared" si="30"/>
        <v>0</v>
      </c>
      <c r="R57" s="21">
        <f t="shared" si="30"/>
        <v>0</v>
      </c>
      <c r="S57" s="21">
        <f t="shared" si="30"/>
        <v>0</v>
      </c>
      <c r="T57" s="21">
        <f t="shared" si="30"/>
        <v>0</v>
      </c>
      <c r="U57" s="21">
        <f t="shared" si="30"/>
        <v>0</v>
      </c>
      <c r="V57" s="21">
        <f t="shared" si="30"/>
        <v>0</v>
      </c>
    </row>
    <row r="58" spans="1:22">
      <c r="B58" t="s">
        <v>3639</v>
      </c>
      <c r="N58" s="21">
        <f t="shared" ref="N58:V58" si="31">N10-N11-N12</f>
        <v>0</v>
      </c>
      <c r="O58" s="131">
        <f t="shared" si="31"/>
        <v>27000000000</v>
      </c>
      <c r="P58" s="131">
        <f t="shared" si="31"/>
        <v>34000000000</v>
      </c>
      <c r="Q58" s="131">
        <f t="shared" si="31"/>
        <v>33000000000</v>
      </c>
      <c r="R58" s="131">
        <f t="shared" si="31"/>
        <v>38000000000</v>
      </c>
      <c r="S58" s="131">
        <f t="shared" si="31"/>
        <v>41000000000</v>
      </c>
      <c r="T58" s="131">
        <f t="shared" si="31"/>
        <v>82000000000</v>
      </c>
      <c r="U58" s="131">
        <f t="shared" si="31"/>
        <v>87000000000</v>
      </c>
      <c r="V58" s="131">
        <f t="shared" si="31"/>
        <v>138000000000</v>
      </c>
    </row>
    <row r="59" spans="1:22">
      <c r="B59" t="s">
        <v>2345</v>
      </c>
      <c r="N59" s="21">
        <f t="shared" ref="N59:V59" si="32">N13-N14-N15-N16</f>
        <v>100000000</v>
      </c>
      <c r="O59" s="131">
        <f t="shared" si="32"/>
        <v>57000000000</v>
      </c>
      <c r="P59" s="131">
        <f t="shared" si="32"/>
        <v>69000000000</v>
      </c>
      <c r="Q59" s="131">
        <f t="shared" si="32"/>
        <v>88000000000</v>
      </c>
      <c r="R59" s="131">
        <f t="shared" si="32"/>
        <v>93000000000</v>
      </c>
      <c r="S59" s="131">
        <f t="shared" si="32"/>
        <v>129000000000</v>
      </c>
      <c r="T59" s="131">
        <f t="shared" si="32"/>
        <v>104000000000</v>
      </c>
      <c r="U59" s="131">
        <f t="shared" si="32"/>
        <v>99000000000</v>
      </c>
      <c r="V59" s="131">
        <f t="shared" si="32"/>
        <v>123000000000</v>
      </c>
    </row>
    <row r="60" spans="1:22">
      <c r="B60" t="s">
        <v>1207</v>
      </c>
      <c r="N60" s="21">
        <f t="shared" ref="N60:V60" si="33">N18-N19-N27</f>
        <v>100000000</v>
      </c>
      <c r="O60" s="21">
        <f t="shared" si="33"/>
        <v>0</v>
      </c>
      <c r="P60" s="21">
        <f t="shared" si="33"/>
        <v>0</v>
      </c>
      <c r="Q60" s="21">
        <f t="shared" si="33"/>
        <v>0</v>
      </c>
      <c r="R60" s="21">
        <f t="shared" si="33"/>
        <v>0</v>
      </c>
      <c r="S60" s="21">
        <f t="shared" si="33"/>
        <v>0</v>
      </c>
      <c r="T60" s="21">
        <f t="shared" si="33"/>
        <v>0</v>
      </c>
      <c r="U60" s="21">
        <f t="shared" si="33"/>
        <v>0</v>
      </c>
      <c r="V60" s="21">
        <f t="shared" si="33"/>
        <v>0</v>
      </c>
    </row>
    <row r="61" spans="1:22">
      <c r="B61" t="s">
        <v>826</v>
      </c>
      <c r="N61" s="21">
        <f t="shared" ref="N61:V61" si="34">N19-N20-N21-N22-N23-N24-N25</f>
        <v>-100000000</v>
      </c>
      <c r="O61" s="21">
        <f t="shared" si="34"/>
        <v>0</v>
      </c>
      <c r="P61" s="21">
        <f t="shared" si="34"/>
        <v>0</v>
      </c>
      <c r="Q61" s="21">
        <f t="shared" si="34"/>
        <v>0</v>
      </c>
      <c r="R61" s="21">
        <f t="shared" si="34"/>
        <v>0</v>
      </c>
      <c r="S61" s="21">
        <f t="shared" si="34"/>
        <v>0</v>
      </c>
      <c r="T61" s="21">
        <f t="shared" si="34"/>
        <v>78000000000</v>
      </c>
      <c r="U61" s="21">
        <f t="shared" si="34"/>
        <v>98000000000</v>
      </c>
      <c r="V61" s="21">
        <f t="shared" si="34"/>
        <v>83000000000</v>
      </c>
    </row>
    <row r="62" spans="1:22">
      <c r="B62" t="s">
        <v>5579</v>
      </c>
      <c r="N62" s="21">
        <f t="shared" ref="N62:V62" si="35">N27-N28-N29</f>
        <v>0</v>
      </c>
      <c r="O62" s="21">
        <f t="shared" si="35"/>
        <v>0</v>
      </c>
      <c r="P62" s="21">
        <f t="shared" si="35"/>
        <v>-1000000000</v>
      </c>
      <c r="Q62" s="21">
        <f t="shared" si="35"/>
        <v>0</v>
      </c>
      <c r="R62" s="21">
        <f t="shared" si="35"/>
        <v>0</v>
      </c>
      <c r="S62" s="21">
        <f t="shared" si="35"/>
        <v>0</v>
      </c>
      <c r="T62" s="21">
        <f t="shared" si="35"/>
        <v>209000000000</v>
      </c>
      <c r="U62" s="21">
        <f t="shared" si="35"/>
        <v>138000000000</v>
      </c>
      <c r="V62" s="21">
        <f t="shared" si="35"/>
        <v>235000000000</v>
      </c>
    </row>
    <row r="63" spans="1:22">
      <c r="B63" t="s">
        <v>5580</v>
      </c>
      <c r="N63" s="131">
        <f>N32-N33-N40-N50</f>
        <v>-70631000000</v>
      </c>
      <c r="O63" s="21">
        <f>O32-O33-O40-O50</f>
        <v>0</v>
      </c>
      <c r="P63" s="21">
        <f>P32-P33-P40-P50</f>
        <v>1000000000</v>
      </c>
      <c r="Q63" s="21">
        <f>Q32-Q33-Q40-Q50</f>
        <v>0</v>
      </c>
      <c r="R63" s="21">
        <f>R32-R33-R40-R49</f>
        <v>0</v>
      </c>
      <c r="S63" s="21">
        <f>S32-S33-S40-S49</f>
        <v>454000000000</v>
      </c>
      <c r="T63" s="21">
        <f>T32-T33-T40-T49</f>
        <v>367000000000</v>
      </c>
      <c r="U63" s="21">
        <f>U32-U33-U40-U49</f>
        <v>224000000000</v>
      </c>
      <c r="V63" s="21">
        <f>V32-V33-V40-V49</f>
        <v>135000000000</v>
      </c>
    </row>
    <row r="64" spans="1:22">
      <c r="B64" t="s">
        <v>5581</v>
      </c>
      <c r="L64" s="21"/>
      <c r="N64" s="21">
        <f t="shared" ref="N64:V64" si="36">N33-N36-N39</f>
        <v>0</v>
      </c>
      <c r="O64" s="21">
        <f t="shared" si="36"/>
        <v>-194000000000</v>
      </c>
      <c r="P64" s="21">
        <f t="shared" si="36"/>
        <v>-329000000000</v>
      </c>
      <c r="Q64" s="21">
        <f t="shared" si="36"/>
        <v>-125000000000</v>
      </c>
      <c r="R64" s="21">
        <f t="shared" si="36"/>
        <v>96000000000</v>
      </c>
      <c r="S64" s="21">
        <f t="shared" si="36"/>
        <v>0</v>
      </c>
      <c r="T64" s="21">
        <f t="shared" si="36"/>
        <v>0</v>
      </c>
      <c r="U64" s="21">
        <f t="shared" si="36"/>
        <v>0</v>
      </c>
      <c r="V64" s="21">
        <f t="shared" si="36"/>
        <v>0</v>
      </c>
    </row>
    <row r="65" spans="2:22">
      <c r="B65" t="s">
        <v>5582</v>
      </c>
      <c r="L65" s="21"/>
      <c r="N65" s="21">
        <f t="shared" ref="N65:V65" si="37">N36-N37-N38</f>
        <v>0</v>
      </c>
      <c r="O65" s="21">
        <f t="shared" si="37"/>
        <v>0</v>
      </c>
      <c r="P65" s="21">
        <f t="shared" si="37"/>
        <v>0</v>
      </c>
      <c r="Q65" s="21">
        <f t="shared" si="37"/>
        <v>0</v>
      </c>
      <c r="R65" s="21">
        <f t="shared" si="37"/>
        <v>0</v>
      </c>
      <c r="S65" s="21">
        <f t="shared" si="37"/>
        <v>-356000000000</v>
      </c>
      <c r="T65" s="21">
        <f t="shared" si="37"/>
        <v>-193000000000</v>
      </c>
      <c r="U65" s="21">
        <f t="shared" si="37"/>
        <v>-98000000000</v>
      </c>
      <c r="V65" s="21">
        <f t="shared" si="37"/>
        <v>-18000000000</v>
      </c>
    </row>
    <row r="66" spans="2:22">
      <c r="B66" t="s">
        <v>5583</v>
      </c>
      <c r="L66" s="21"/>
      <c r="N66" s="21"/>
      <c r="O66" s="21"/>
      <c r="P66" s="21"/>
      <c r="Q66" s="21"/>
      <c r="R66" s="21">
        <f>R40-R41-R47</f>
        <v>-16000000000</v>
      </c>
      <c r="S66" s="21">
        <f>S40-S41-S47</f>
        <v>0</v>
      </c>
      <c r="T66" s="21">
        <f>T40-T41-T47</f>
        <v>-103000000000</v>
      </c>
      <c r="U66" s="21">
        <f>U40-U41-U47</f>
        <v>-81000000000</v>
      </c>
      <c r="V66" s="21">
        <f>V40-V41-V47</f>
        <v>-64000000000</v>
      </c>
    </row>
    <row r="67" spans="2:22">
      <c r="B67" t="s">
        <v>5584</v>
      </c>
      <c r="L67" s="21"/>
      <c r="N67" s="21"/>
      <c r="O67" s="21"/>
      <c r="P67" s="21"/>
      <c r="Q67" s="21"/>
      <c r="R67" s="21">
        <f>R41-R42-R43-R44-R46</f>
        <v>0</v>
      </c>
      <c r="S67" s="21">
        <f>S41-S42-S43-S44-S46</f>
        <v>-98000000000</v>
      </c>
      <c r="T67" s="21">
        <f>T41-T42-T43-T44-T46</f>
        <v>-97000000000</v>
      </c>
      <c r="U67" s="21">
        <f>U41-U42-U43-U44-U46</f>
        <v>-58000000000</v>
      </c>
      <c r="V67" s="21">
        <f>V41-V42-V43-V44-V46</f>
        <v>-56000000000</v>
      </c>
    </row>
    <row r="68" spans="2:22" ht="15.75" thickBot="1">
      <c r="R68" s="542"/>
      <c r="S68" s="542"/>
      <c r="T68" s="542"/>
      <c r="U68" s="542"/>
      <c r="V68" s="542"/>
    </row>
    <row r="69" spans="2:22" ht="15.75" thickBot="1">
      <c r="B69" t="s">
        <v>543</v>
      </c>
      <c r="M69" s="22">
        <v>1609117000000</v>
      </c>
      <c r="N69" s="23">
        <v>1975543000000</v>
      </c>
      <c r="O69" s="23">
        <v>2510650000000</v>
      </c>
      <c r="P69" s="23">
        <v>2752334000000</v>
      </c>
      <c r="Q69" s="23">
        <v>2791259000000</v>
      </c>
      <c r="R69" s="542">
        <v>2827000000000</v>
      </c>
      <c r="S69" s="542">
        <v>2423000000000</v>
      </c>
      <c r="T69" s="542">
        <v>2424000000000</v>
      </c>
      <c r="U69" s="542">
        <v>2609000000000</v>
      </c>
      <c r="V69" s="542">
        <v>2798000000000</v>
      </c>
    </row>
    <row r="70" spans="2:22">
      <c r="B70" t="s">
        <v>5585</v>
      </c>
      <c r="N70" s="496">
        <f t="shared" ref="N70:V70" si="38">N6/N69</f>
        <v>0.37539046226784228</v>
      </c>
      <c r="O70" s="496">
        <f t="shared" si="38"/>
        <v>0.44530300918088939</v>
      </c>
      <c r="P70" s="496">
        <f t="shared" si="38"/>
        <v>0.45343334057567142</v>
      </c>
      <c r="Q70" s="496">
        <f t="shared" si="38"/>
        <v>0.41415003050594734</v>
      </c>
      <c r="R70" s="496">
        <f t="shared" si="38"/>
        <v>0.36929607357622923</v>
      </c>
      <c r="S70" s="496">
        <f t="shared" si="38"/>
        <v>0.25423029302517541</v>
      </c>
      <c r="T70" s="496">
        <f t="shared" si="38"/>
        <v>0.21452145214521451</v>
      </c>
      <c r="U70" s="496">
        <f t="shared" si="38"/>
        <v>0.23840551935607512</v>
      </c>
      <c r="V70" s="496">
        <f t="shared" si="38"/>
        <v>0.32058613295210864</v>
      </c>
    </row>
    <row r="71" spans="2:22">
      <c r="B71" t="s">
        <v>5586</v>
      </c>
      <c r="N71" s="496">
        <f t="shared" ref="N71:V71" si="39">N18/N69</f>
        <v>0.33965345224072574</v>
      </c>
      <c r="O71" s="496">
        <f t="shared" si="39"/>
        <v>0.33377810527154322</v>
      </c>
      <c r="P71" s="496">
        <f t="shared" si="39"/>
        <v>0.33280844548663063</v>
      </c>
      <c r="Q71" s="496">
        <f t="shared" si="39"/>
        <v>0.35682822697571237</v>
      </c>
      <c r="R71" s="496">
        <f t="shared" si="39"/>
        <v>0.40396179695790591</v>
      </c>
      <c r="S71" s="496">
        <f t="shared" si="39"/>
        <v>0.41353693768056127</v>
      </c>
      <c r="T71" s="496">
        <f t="shared" si="39"/>
        <v>0.38531353135313534</v>
      </c>
      <c r="U71" s="496">
        <f t="shared" si="39"/>
        <v>0.32962821004216175</v>
      </c>
      <c r="V71" s="496">
        <f t="shared" si="39"/>
        <v>0.36812008577555394</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K139"/>
  <sheetViews>
    <sheetView zoomScale="50" zoomScaleNormal="50" workbookViewId="0">
      <pane xSplit="3" ySplit="5" topLeftCell="G6" activePane="bottomRight" state="frozen"/>
      <selection pane="topRight" activeCell="C1" sqref="C1"/>
      <selection pane="bottomLeft" activeCell="A6" sqref="A6"/>
      <selection pane="bottomRight" activeCell="T40" sqref="T40"/>
    </sheetView>
  </sheetViews>
  <sheetFormatPr defaultRowHeight="15.75"/>
  <cols>
    <col min="1" max="1" width="23.85546875" style="534" customWidth="1"/>
    <col min="2" max="2" width="50.28515625" style="534" customWidth="1"/>
    <col min="3" max="3" width="40" style="534" customWidth="1"/>
    <col min="4" max="6" width="21" style="534" bestFit="1" customWidth="1"/>
    <col min="7" max="8" width="21.28515625" style="534" bestFit="1" customWidth="1"/>
    <col min="9" max="9" width="23.140625" style="534" bestFit="1" customWidth="1"/>
    <col min="10" max="10" width="21.7109375" style="534" bestFit="1" customWidth="1"/>
    <col min="11" max="14" width="23.140625" style="534" bestFit="1" customWidth="1"/>
    <col min="15" max="16" width="22.7109375" style="534" bestFit="1" customWidth="1"/>
    <col min="17" max="17" width="22.5703125" style="534" customWidth="1"/>
    <col min="18" max="19" width="22.7109375" style="534" bestFit="1" customWidth="1"/>
    <col min="20" max="20" width="24.42578125" style="534" bestFit="1" customWidth="1"/>
    <col min="21" max="21" width="24.7109375" style="534" bestFit="1" customWidth="1"/>
    <col min="22" max="22" width="28.5703125" style="534" bestFit="1" customWidth="1"/>
    <col min="23" max="23" width="27.7109375" style="534" bestFit="1" customWidth="1"/>
    <col min="24" max="24" width="29.140625" style="534" bestFit="1" customWidth="1"/>
    <col min="25" max="25" width="29.7109375" style="534" bestFit="1" customWidth="1"/>
    <col min="26" max="26" width="29.140625" style="534" bestFit="1" customWidth="1"/>
    <col min="27" max="27" width="29" style="534" customWidth="1"/>
    <col min="28" max="28" width="27" style="534" bestFit="1" customWidth="1"/>
  </cols>
  <sheetData>
    <row r="1" spans="1:28">
      <c r="A1" s="534" t="s">
        <v>5587</v>
      </c>
      <c r="B1" s="548" t="s">
        <v>5588</v>
      </c>
      <c r="C1" s="548"/>
      <c r="D1" s="549"/>
      <c r="E1" s="549"/>
      <c r="F1" s="549"/>
      <c r="G1" s="549"/>
      <c r="H1" s="549"/>
      <c r="I1" s="549"/>
      <c r="J1" s="549"/>
      <c r="K1" s="549"/>
      <c r="L1" s="549"/>
      <c r="M1" s="549"/>
      <c r="N1" s="549"/>
      <c r="O1" s="550"/>
      <c r="P1" s="550"/>
      <c r="Q1" s="550"/>
      <c r="R1" s="550"/>
      <c r="S1" s="551"/>
      <c r="T1" s="551"/>
      <c r="U1" s="551"/>
      <c r="V1" s="550"/>
      <c r="W1" s="550"/>
      <c r="X1" s="550"/>
      <c r="Y1" s="550"/>
      <c r="Z1" s="550"/>
      <c r="AA1" s="550"/>
    </row>
    <row r="2" spans="1:28">
      <c r="B2" s="552" t="s">
        <v>4243</v>
      </c>
      <c r="C2" s="552"/>
      <c r="D2" s="550"/>
      <c r="E2" s="550"/>
      <c r="F2" s="550"/>
      <c r="G2" s="550"/>
      <c r="H2" s="550"/>
      <c r="I2" s="550"/>
      <c r="J2" s="550"/>
      <c r="K2" s="550"/>
      <c r="L2" s="550"/>
      <c r="M2" s="550"/>
      <c r="N2" s="550"/>
      <c r="O2" s="550"/>
      <c r="P2" s="550"/>
      <c r="Q2" s="550"/>
      <c r="R2" s="550"/>
      <c r="S2" s="553"/>
      <c r="T2" s="2033"/>
      <c r="U2" s="553"/>
      <c r="V2" s="555"/>
      <c r="W2" s="550"/>
      <c r="X2" s="550"/>
      <c r="Y2" s="550"/>
      <c r="Z2" s="550"/>
      <c r="AA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2013</v>
      </c>
      <c r="S3" s="550">
        <v>2014</v>
      </c>
      <c r="T3" s="550">
        <v>2014</v>
      </c>
      <c r="U3" s="550">
        <v>2015</v>
      </c>
      <c r="V3" s="550">
        <v>2016</v>
      </c>
      <c r="W3" s="550">
        <v>2017</v>
      </c>
      <c r="X3" s="550">
        <v>2018</v>
      </c>
      <c r="Y3" s="550">
        <v>2019</v>
      </c>
      <c r="Z3" s="550">
        <v>2020</v>
      </c>
      <c r="AA3" s="550">
        <v>2021</v>
      </c>
      <c r="AB3" s="867">
        <v>2022</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0" t="s">
        <v>18</v>
      </c>
      <c r="S4" s="551" t="s">
        <v>19</v>
      </c>
      <c r="T4" s="551" t="s">
        <v>19</v>
      </c>
      <c r="U4" s="550" t="s">
        <v>20</v>
      </c>
      <c r="V4" s="550" t="s">
        <v>21</v>
      </c>
      <c r="W4" s="550" t="s">
        <v>22</v>
      </c>
      <c r="X4" s="550" t="s">
        <v>23</v>
      </c>
      <c r="Y4" s="550" t="s">
        <v>24</v>
      </c>
      <c r="Z4" s="550" t="s">
        <v>25</v>
      </c>
      <c r="AA4" s="550" t="s">
        <v>26</v>
      </c>
      <c r="AB4" s="867" t="s">
        <v>27</v>
      </c>
    </row>
    <row r="5" spans="1:28">
      <c r="A5" s="534" t="s">
        <v>28</v>
      </c>
      <c r="B5" s="556" t="s">
        <v>29</v>
      </c>
      <c r="C5" s="556"/>
      <c r="D5" s="550" t="s">
        <v>30</v>
      </c>
      <c r="E5" s="550" t="s">
        <v>30</v>
      </c>
      <c r="F5" s="550" t="s">
        <v>30</v>
      </c>
      <c r="G5" s="550" t="s">
        <v>30</v>
      </c>
      <c r="H5" s="550" t="s">
        <v>30</v>
      </c>
      <c r="I5" s="550" t="s">
        <v>31</v>
      </c>
      <c r="J5" s="550" t="s">
        <v>30</v>
      </c>
      <c r="K5" s="550" t="s">
        <v>30</v>
      </c>
      <c r="L5" s="550" t="s">
        <v>30</v>
      </c>
      <c r="M5" s="550" t="s">
        <v>30</v>
      </c>
      <c r="N5" s="550" t="s">
        <v>31</v>
      </c>
      <c r="O5" s="550" t="s">
        <v>30</v>
      </c>
      <c r="P5" s="550" t="s">
        <v>30</v>
      </c>
      <c r="Q5" s="550" t="s">
        <v>2679</v>
      </c>
      <c r="R5" s="550" t="s">
        <v>30</v>
      </c>
      <c r="S5" s="550" t="s">
        <v>2679</v>
      </c>
      <c r="T5" s="550" t="s">
        <v>30</v>
      </c>
      <c r="U5" s="550" t="s">
        <v>30</v>
      </c>
      <c r="V5" s="550" t="s">
        <v>30</v>
      </c>
      <c r="W5" s="550" t="s">
        <v>368</v>
      </c>
      <c r="X5" s="550" t="s">
        <v>32</v>
      </c>
      <c r="Y5" s="550" t="s">
        <v>32</v>
      </c>
      <c r="Z5" s="550" t="s">
        <v>32</v>
      </c>
      <c r="AA5" s="550" t="s">
        <v>32</v>
      </c>
      <c r="AB5" s="867" t="s">
        <v>32</v>
      </c>
    </row>
    <row r="6" spans="1:28" s="848" customFormat="1">
      <c r="A6" s="875" t="s">
        <v>1498</v>
      </c>
      <c r="B6" s="875" t="s">
        <v>3885</v>
      </c>
      <c r="C6" s="874" t="s">
        <v>35</v>
      </c>
      <c r="D6" s="876">
        <v>626300000000</v>
      </c>
      <c r="E6" s="876">
        <v>664400000000</v>
      </c>
      <c r="F6" s="876">
        <v>726700000000</v>
      </c>
      <c r="G6" s="876">
        <v>798000000000</v>
      </c>
      <c r="H6" s="876">
        <f>H7+H19</f>
        <v>875000000000</v>
      </c>
      <c r="I6" s="876">
        <v>956000000000</v>
      </c>
      <c r="J6" s="1641">
        <v>1036000000000</v>
      </c>
      <c r="K6" s="876">
        <v>1277000000000</v>
      </c>
      <c r="L6" s="876">
        <v>1293000000000</v>
      </c>
      <c r="M6" s="876">
        <v>1305000000000</v>
      </c>
      <c r="N6" s="876">
        <v>1398000000000</v>
      </c>
      <c r="O6" s="876">
        <v>1526000000000</v>
      </c>
      <c r="P6" s="876">
        <v>1670000000000</v>
      </c>
      <c r="Q6" s="876">
        <v>1813000000000</v>
      </c>
      <c r="R6" s="876">
        <v>1659000000000</v>
      </c>
      <c r="S6" s="876">
        <v>1891000000000</v>
      </c>
      <c r="T6" s="1170">
        <v>1877000000000</v>
      </c>
      <c r="U6" s="1170">
        <v>2335000000000</v>
      </c>
      <c r="V6" s="1170">
        <v>2377000000000</v>
      </c>
      <c r="W6" s="1170">
        <v>2598000000000</v>
      </c>
      <c r="X6" s="1170">
        <v>2841000000000</v>
      </c>
      <c r="Y6" s="1170">
        <v>3122000000000</v>
      </c>
      <c r="Z6" s="1170">
        <v>3403000000000</v>
      </c>
      <c r="AA6" s="1170">
        <f>AA7+AA19</f>
        <v>3729000000000</v>
      </c>
      <c r="AB6" s="913">
        <v>4047000000000</v>
      </c>
    </row>
    <row r="7" spans="1:28">
      <c r="A7" s="534" t="s">
        <v>36</v>
      </c>
      <c r="B7" s="380" t="s">
        <v>36</v>
      </c>
      <c r="C7" s="865" t="s">
        <v>38</v>
      </c>
      <c r="D7" s="565">
        <v>562300000000</v>
      </c>
      <c r="E7" s="565">
        <v>602700000000</v>
      </c>
      <c r="F7" s="565">
        <v>664600000000</v>
      </c>
      <c r="G7" s="565">
        <v>720000000000</v>
      </c>
      <c r="H7" s="561">
        <f>H8+H17+H18</f>
        <v>787000000000</v>
      </c>
      <c r="I7" s="565">
        <v>880000000000</v>
      </c>
      <c r="J7" s="567">
        <v>963000000000</v>
      </c>
      <c r="K7" s="567">
        <v>1139000000000</v>
      </c>
      <c r="L7" s="565">
        <v>1153000000000</v>
      </c>
      <c r="M7" s="565">
        <v>1123000000000</v>
      </c>
      <c r="N7" s="565">
        <v>1236000000000</v>
      </c>
      <c r="O7" s="565">
        <v>1376000000000</v>
      </c>
      <c r="P7" s="565">
        <v>1464000000000</v>
      </c>
      <c r="Q7" s="565">
        <v>1605000000000</v>
      </c>
      <c r="R7" s="565">
        <v>1471000000000</v>
      </c>
      <c r="S7" s="565">
        <v>1668000000000</v>
      </c>
      <c r="T7" s="565">
        <f>T8+T16</f>
        <v>1624000000000</v>
      </c>
      <c r="U7" s="565">
        <f>U8+U16</f>
        <v>2091000000000</v>
      </c>
      <c r="V7" s="565">
        <f t="shared" ref="V7:AB7" si="0">V8+V16</f>
        <v>2112000000000</v>
      </c>
      <c r="W7" s="565">
        <f t="shared" si="0"/>
        <v>2324000000000</v>
      </c>
      <c r="X7" s="565">
        <f t="shared" si="0"/>
        <v>2550000000000</v>
      </c>
      <c r="Y7" s="565">
        <f t="shared" si="0"/>
        <v>2806000000000</v>
      </c>
      <c r="Z7" s="565">
        <f t="shared" si="0"/>
        <v>3059000000000</v>
      </c>
      <c r="AA7" s="565">
        <f t="shared" si="0"/>
        <v>3358000000000</v>
      </c>
      <c r="AB7" s="565">
        <f t="shared" si="0"/>
        <v>3645000000000</v>
      </c>
    </row>
    <row r="8" spans="1:28">
      <c r="A8" s="534" t="s">
        <v>39</v>
      </c>
      <c r="B8" s="380" t="s">
        <v>943</v>
      </c>
      <c r="C8" s="865" t="s">
        <v>41</v>
      </c>
      <c r="D8" s="565">
        <v>537299999999.99994</v>
      </c>
      <c r="E8" s="565">
        <v>576800000000</v>
      </c>
      <c r="F8" s="565">
        <v>629200000000</v>
      </c>
      <c r="G8" s="565">
        <v>677000000000</v>
      </c>
      <c r="H8" s="561">
        <f>H9+H12+H14</f>
        <v>749000000000</v>
      </c>
      <c r="I8" s="565">
        <v>851000000000</v>
      </c>
      <c r="J8" s="567">
        <v>922000000000</v>
      </c>
      <c r="K8" s="567">
        <v>1088000000000</v>
      </c>
      <c r="L8" s="565">
        <v>1088000000000</v>
      </c>
      <c r="M8" s="565">
        <v>1086000000000</v>
      </c>
      <c r="N8" s="565">
        <v>1195000000000</v>
      </c>
      <c r="O8" s="565">
        <v>1287000000000</v>
      </c>
      <c r="P8" s="565">
        <v>1379000000000</v>
      </c>
      <c r="Q8" s="565">
        <v>1492000000000</v>
      </c>
      <c r="R8" s="565">
        <v>1343000000000</v>
      </c>
      <c r="S8" s="565">
        <v>1561000000000</v>
      </c>
      <c r="T8" s="1167">
        <v>1483000000000</v>
      </c>
      <c r="U8" s="1167">
        <v>1789000000000</v>
      </c>
      <c r="V8" s="1167">
        <v>1876000000000</v>
      </c>
      <c r="W8" s="1167">
        <v>2146000000000</v>
      </c>
      <c r="X8" s="1167">
        <v>2342000000000</v>
      </c>
      <c r="Y8" s="1167">
        <v>2579000000000</v>
      </c>
      <c r="Z8" s="1167">
        <v>2812000000000</v>
      </c>
      <c r="AA8" s="1167">
        <f>AA9+AA10+AA11+AA12+AA13+AA15</f>
        <v>3088000000000</v>
      </c>
      <c r="AB8" s="897">
        <v>3352000000000</v>
      </c>
    </row>
    <row r="9" spans="1:28">
      <c r="A9" s="435" t="s">
        <v>628</v>
      </c>
      <c r="B9" s="566" t="s">
        <v>5589</v>
      </c>
      <c r="C9" s="534" t="s">
        <v>44</v>
      </c>
      <c r="D9" s="567"/>
      <c r="E9" s="567"/>
      <c r="F9" s="567"/>
      <c r="G9" s="565">
        <v>159000000000</v>
      </c>
      <c r="H9" s="565">
        <v>174000000000</v>
      </c>
      <c r="I9" s="565">
        <v>178000000000</v>
      </c>
      <c r="J9" s="567">
        <v>219000000000</v>
      </c>
      <c r="K9" s="565">
        <v>232000000000</v>
      </c>
      <c r="L9" s="565">
        <v>273000000000</v>
      </c>
      <c r="M9" s="565">
        <v>288000000000</v>
      </c>
      <c r="N9" s="565">
        <v>339000000000</v>
      </c>
      <c r="O9" s="565">
        <v>346000000000</v>
      </c>
      <c r="P9" s="565">
        <v>405000000000</v>
      </c>
      <c r="Q9" s="565">
        <v>382000000000</v>
      </c>
      <c r="R9" s="565">
        <v>390000000000</v>
      </c>
      <c r="S9" s="565">
        <v>450000000000</v>
      </c>
      <c r="T9" s="1167">
        <v>402000000000</v>
      </c>
      <c r="U9" s="1167">
        <v>513000000000</v>
      </c>
      <c r="V9" s="1167">
        <v>559000000000</v>
      </c>
      <c r="W9" s="1167">
        <v>648000000000</v>
      </c>
      <c r="X9" s="1167">
        <v>687000000000</v>
      </c>
      <c r="Y9" s="1167">
        <v>757000000000</v>
      </c>
      <c r="Z9" s="1167">
        <v>825000000000</v>
      </c>
      <c r="AA9" s="1167">
        <v>901000000000</v>
      </c>
      <c r="AB9" s="897">
        <v>978000000000</v>
      </c>
    </row>
    <row r="10" spans="1:28">
      <c r="A10" s="435" t="s">
        <v>5590</v>
      </c>
      <c r="B10" s="435" t="s">
        <v>5590</v>
      </c>
      <c r="C10" s="534" t="s">
        <v>44</v>
      </c>
      <c r="D10" s="567"/>
      <c r="E10" s="567"/>
      <c r="F10" s="567"/>
      <c r="G10" s="565"/>
      <c r="H10" s="565"/>
      <c r="I10" s="565"/>
      <c r="J10" s="567"/>
      <c r="K10" s="565"/>
      <c r="L10" s="565"/>
      <c r="M10" s="565"/>
      <c r="N10" s="565"/>
      <c r="O10" s="565"/>
      <c r="P10" s="565"/>
      <c r="Q10" s="565"/>
      <c r="R10" s="565"/>
      <c r="S10" s="565"/>
      <c r="T10" s="1167">
        <v>21000000000</v>
      </c>
      <c r="U10" s="1167">
        <v>17000000000</v>
      </c>
      <c r="V10" s="1167">
        <v>14000000000</v>
      </c>
      <c r="W10" s="1167">
        <v>10000000000</v>
      </c>
      <c r="X10" s="1167">
        <v>32000000000</v>
      </c>
      <c r="Y10" s="1167">
        <v>32000000000</v>
      </c>
      <c r="Z10" s="1167">
        <v>35000000000</v>
      </c>
      <c r="AA10" s="1167">
        <v>38000000000</v>
      </c>
      <c r="AB10" s="897">
        <v>41000000000</v>
      </c>
    </row>
    <row r="11" spans="1:28">
      <c r="A11" s="435" t="s">
        <v>2664</v>
      </c>
      <c r="B11" s="435" t="s">
        <v>2664</v>
      </c>
      <c r="C11" s="534" t="s">
        <v>44</v>
      </c>
      <c r="D11" s="567"/>
      <c r="E11" s="567"/>
      <c r="F11" s="567"/>
      <c r="G11" s="565"/>
      <c r="H11" s="565"/>
      <c r="I11" s="565"/>
      <c r="J11" s="567"/>
      <c r="K11" s="565"/>
      <c r="L11" s="565"/>
      <c r="M11" s="565"/>
      <c r="N11" s="565"/>
      <c r="O11" s="565"/>
      <c r="P11" s="565"/>
      <c r="Q11" s="565"/>
      <c r="R11" s="565"/>
      <c r="S11" s="565"/>
      <c r="T11" s="1167">
        <v>27000000000</v>
      </c>
      <c r="U11" s="1167">
        <v>30000000000</v>
      </c>
      <c r="V11" s="1167">
        <v>34000000000</v>
      </c>
      <c r="W11" s="1167">
        <v>52000000000</v>
      </c>
      <c r="X11" s="1167">
        <v>44000000000</v>
      </c>
      <c r="Y11" s="1167">
        <v>48000000000</v>
      </c>
      <c r="Z11" s="1167">
        <v>52000000000</v>
      </c>
      <c r="AA11" s="1167">
        <v>55000000000</v>
      </c>
      <c r="AB11" s="897">
        <v>59000000000</v>
      </c>
    </row>
    <row r="12" spans="1:28">
      <c r="A12" s="566" t="s">
        <v>3101</v>
      </c>
      <c r="B12" s="566" t="s">
        <v>5267</v>
      </c>
      <c r="C12" s="534" t="s">
        <v>44</v>
      </c>
      <c r="D12" s="567"/>
      <c r="E12" s="567"/>
      <c r="F12" s="567"/>
      <c r="G12" s="565">
        <v>417000000000</v>
      </c>
      <c r="H12" s="565">
        <v>462000000000</v>
      </c>
      <c r="I12" s="565">
        <v>444000000000</v>
      </c>
      <c r="J12" s="567">
        <v>533000000000</v>
      </c>
      <c r="K12" s="565">
        <v>628000000000</v>
      </c>
      <c r="L12" s="565">
        <v>616000000000</v>
      </c>
      <c r="M12" s="565">
        <v>615000000000</v>
      </c>
      <c r="N12" s="565">
        <v>693000000000</v>
      </c>
      <c r="O12" s="565">
        <v>729000000000</v>
      </c>
      <c r="P12" s="565">
        <v>785000000000</v>
      </c>
      <c r="Q12" s="565">
        <v>835000000000</v>
      </c>
      <c r="R12" s="565">
        <v>760000000000</v>
      </c>
      <c r="S12" s="565">
        <v>881000000000</v>
      </c>
      <c r="T12" s="1167">
        <v>786000000000</v>
      </c>
      <c r="U12" s="1167">
        <v>960000000000</v>
      </c>
      <c r="V12" s="1167">
        <v>904000000000</v>
      </c>
      <c r="W12" s="1167">
        <v>1027000000000</v>
      </c>
      <c r="X12" s="1167">
        <v>1143000000000</v>
      </c>
      <c r="Y12" s="1167">
        <v>1299000000000</v>
      </c>
      <c r="Z12" s="1167">
        <v>1417000000000</v>
      </c>
      <c r="AA12" s="1167">
        <v>1566000000000</v>
      </c>
      <c r="AB12" s="897">
        <v>1700000000000</v>
      </c>
    </row>
    <row r="13" spans="1:28">
      <c r="A13" s="435" t="s">
        <v>5475</v>
      </c>
      <c r="B13" s="435" t="s">
        <v>5475</v>
      </c>
      <c r="C13" s="534" t="s">
        <v>44</v>
      </c>
      <c r="D13" s="567"/>
      <c r="E13" s="567"/>
      <c r="F13" s="567"/>
      <c r="G13" s="565"/>
      <c r="H13" s="565"/>
      <c r="I13" s="565"/>
      <c r="J13" s="567"/>
      <c r="K13" s="565"/>
      <c r="L13" s="565"/>
      <c r="M13" s="565"/>
      <c r="N13" s="565"/>
      <c r="O13" s="565"/>
      <c r="P13" s="565"/>
      <c r="Q13" s="565"/>
      <c r="R13" s="565"/>
      <c r="S13" s="565"/>
      <c r="T13" s="1167">
        <v>219000000000</v>
      </c>
      <c r="U13" s="1167">
        <v>235000000000</v>
      </c>
      <c r="V13" s="1167">
        <v>266000000000</v>
      </c>
      <c r="W13" s="1167">
        <v>310000000000</v>
      </c>
      <c r="X13" s="1167">
        <v>306000000000</v>
      </c>
      <c r="Y13" s="1167">
        <v>332000000000</v>
      </c>
      <c r="Z13" s="1167">
        <v>363000000000</v>
      </c>
      <c r="AA13" s="1167">
        <v>396000000000</v>
      </c>
      <c r="AB13" s="897">
        <v>430000000000</v>
      </c>
    </row>
    <row r="14" spans="1:28">
      <c r="A14" s="566" t="s">
        <v>5591</v>
      </c>
      <c r="B14" s="566" t="s">
        <v>5592</v>
      </c>
      <c r="C14" s="534" t="s">
        <v>44</v>
      </c>
      <c r="D14" s="567"/>
      <c r="E14" s="567"/>
      <c r="F14" s="567"/>
      <c r="G14" s="565">
        <v>101000000000</v>
      </c>
      <c r="H14" s="565">
        <v>113000000000</v>
      </c>
      <c r="I14" s="565">
        <v>117000000000</v>
      </c>
      <c r="J14" s="567">
        <v>170000000000</v>
      </c>
      <c r="K14" s="565">
        <v>215000000000</v>
      </c>
      <c r="L14" s="565">
        <v>199000000000</v>
      </c>
      <c r="M14" s="565">
        <v>182000000000</v>
      </c>
      <c r="N14" s="565">
        <v>162000000000</v>
      </c>
      <c r="O14" s="565">
        <v>212000000000</v>
      </c>
      <c r="P14" s="565">
        <v>189000000000</v>
      </c>
      <c r="Q14" s="565">
        <v>276000000000</v>
      </c>
      <c r="R14" s="565">
        <v>194000000000</v>
      </c>
      <c r="S14" s="565">
        <v>231000000000</v>
      </c>
      <c r="T14" s="565"/>
      <c r="U14" s="866"/>
      <c r="V14" s="565"/>
      <c r="W14" s="565"/>
      <c r="X14" s="565"/>
      <c r="Y14" s="565"/>
      <c r="Z14" s="866"/>
      <c r="AA14" s="866"/>
      <c r="AB14" s="897"/>
    </row>
    <row r="15" spans="1:28">
      <c r="A15" s="1155" t="s">
        <v>996</v>
      </c>
      <c r="B15" s="1155" t="s">
        <v>996</v>
      </c>
      <c r="C15" s="534" t="s">
        <v>44</v>
      </c>
      <c r="D15" s="567"/>
      <c r="E15" s="567"/>
      <c r="F15" s="567"/>
      <c r="G15" s="565">
        <f>G8-G9-G12-G14</f>
        <v>0</v>
      </c>
      <c r="H15" s="565"/>
      <c r="I15" s="565">
        <f t="shared" ref="I15:P15" si="1">I8-I9-I12-I14</f>
        <v>112000000000</v>
      </c>
      <c r="J15" s="565">
        <f t="shared" si="1"/>
        <v>0</v>
      </c>
      <c r="K15" s="565">
        <f t="shared" si="1"/>
        <v>13000000000</v>
      </c>
      <c r="L15" s="565">
        <f t="shared" si="1"/>
        <v>0</v>
      </c>
      <c r="M15" s="565">
        <f t="shared" si="1"/>
        <v>1000000000</v>
      </c>
      <c r="N15" s="565">
        <f t="shared" si="1"/>
        <v>1000000000</v>
      </c>
      <c r="O15" s="565">
        <f t="shared" si="1"/>
        <v>0</v>
      </c>
      <c r="P15" s="565">
        <f t="shared" si="1"/>
        <v>0</v>
      </c>
      <c r="Q15" s="565"/>
      <c r="R15" s="565"/>
      <c r="S15" s="565"/>
      <c r="T15" s="1167">
        <v>28000000000</v>
      </c>
      <c r="U15" s="1167">
        <v>34000000000</v>
      </c>
      <c r="V15" s="1167">
        <v>99000000000</v>
      </c>
      <c r="W15" s="1167">
        <v>98000000000</v>
      </c>
      <c r="X15" s="1167">
        <v>130000000000</v>
      </c>
      <c r="Y15" s="1167">
        <v>111000000000</v>
      </c>
      <c r="Z15" s="1167">
        <v>121000000000</v>
      </c>
      <c r="AA15" s="1167">
        <v>132000000000</v>
      </c>
      <c r="AB15" s="897">
        <v>144000000000</v>
      </c>
    </row>
    <row r="16" spans="1:28">
      <c r="A16" s="1155" t="s">
        <v>377</v>
      </c>
      <c r="B16" s="1155" t="s">
        <v>377</v>
      </c>
      <c r="C16" s="865" t="s">
        <v>41</v>
      </c>
      <c r="D16" s="567">
        <f>D17+D18</f>
        <v>25000000000</v>
      </c>
      <c r="E16" s="567">
        <f t="shared" ref="E16:S16" si="2">E17+E18</f>
        <v>25900000000</v>
      </c>
      <c r="F16" s="567">
        <f t="shared" si="2"/>
        <v>35400000000</v>
      </c>
      <c r="G16" s="567">
        <f t="shared" si="2"/>
        <v>43000000000</v>
      </c>
      <c r="H16" s="567">
        <f t="shared" si="2"/>
        <v>38000000000</v>
      </c>
      <c r="I16" s="567">
        <f t="shared" si="2"/>
        <v>29000000000</v>
      </c>
      <c r="J16" s="567">
        <f t="shared" si="2"/>
        <v>41000000000</v>
      </c>
      <c r="K16" s="567">
        <f t="shared" si="2"/>
        <v>51000000000</v>
      </c>
      <c r="L16" s="567">
        <f t="shared" si="2"/>
        <v>65000000000</v>
      </c>
      <c r="M16" s="567">
        <f t="shared" si="2"/>
        <v>37000000000</v>
      </c>
      <c r="N16" s="567">
        <f t="shared" si="2"/>
        <v>42000000000</v>
      </c>
      <c r="O16" s="567">
        <f t="shared" si="2"/>
        <v>89000000000</v>
      </c>
      <c r="P16" s="567">
        <f t="shared" si="2"/>
        <v>85000000000</v>
      </c>
      <c r="Q16" s="567">
        <f t="shared" si="2"/>
        <v>112000000000</v>
      </c>
      <c r="R16" s="567">
        <f t="shared" si="2"/>
        <v>128000000000</v>
      </c>
      <c r="S16" s="567">
        <f t="shared" si="2"/>
        <v>107000000000</v>
      </c>
      <c r="T16" s="1167">
        <v>141000000000</v>
      </c>
      <c r="U16" s="1167">
        <v>302000000000</v>
      </c>
      <c r="V16" s="1167">
        <v>236000000000</v>
      </c>
      <c r="W16" s="1167">
        <v>178000000000</v>
      </c>
      <c r="X16" s="1167">
        <v>208000000000</v>
      </c>
      <c r="Y16" s="1167">
        <v>227000000000</v>
      </c>
      <c r="Z16" s="1167">
        <v>247000000000</v>
      </c>
      <c r="AA16" s="1167">
        <v>270000000000</v>
      </c>
      <c r="AB16" s="897">
        <v>293000000000</v>
      </c>
    </row>
    <row r="17" spans="1:28">
      <c r="A17" s="566" t="s">
        <v>51</v>
      </c>
      <c r="B17" s="566" t="s">
        <v>952</v>
      </c>
      <c r="C17" s="865" t="s">
        <v>2765</v>
      </c>
      <c r="D17" s="565">
        <v>25000000000</v>
      </c>
      <c r="E17" s="565">
        <v>25900000000</v>
      </c>
      <c r="F17" s="565">
        <v>35400000000</v>
      </c>
      <c r="G17" s="565">
        <v>43000000000</v>
      </c>
      <c r="H17" s="565">
        <v>38000000000</v>
      </c>
      <c r="I17" s="565">
        <v>29000000000</v>
      </c>
      <c r="J17" s="567">
        <v>41000000000</v>
      </c>
      <c r="K17" s="565">
        <v>51000000000</v>
      </c>
      <c r="L17" s="565">
        <v>65000000000</v>
      </c>
      <c r="M17" s="565">
        <v>37000000000</v>
      </c>
      <c r="N17" s="565">
        <v>42000000000</v>
      </c>
      <c r="O17" s="565">
        <v>50000000000</v>
      </c>
      <c r="P17" s="565">
        <v>44000000000</v>
      </c>
      <c r="Q17" s="565">
        <v>77000000000</v>
      </c>
      <c r="R17" s="565">
        <v>90000000000</v>
      </c>
      <c r="S17" s="565">
        <v>72000000000</v>
      </c>
      <c r="T17" s="2034"/>
      <c r="U17" s="565"/>
      <c r="V17" s="565"/>
      <c r="W17" s="565"/>
      <c r="X17" s="565"/>
      <c r="Y17" s="565"/>
      <c r="Z17" s="866"/>
      <c r="AA17" s="866"/>
      <c r="AB17" s="897"/>
    </row>
    <row r="18" spans="1:28">
      <c r="A18" s="867" t="s">
        <v>5593</v>
      </c>
      <c r="B18" s="867" t="s">
        <v>5594</v>
      </c>
      <c r="C18" s="865" t="s">
        <v>2765</v>
      </c>
      <c r="D18" s="567"/>
      <c r="E18" s="567"/>
      <c r="F18" s="567"/>
      <c r="G18" s="567"/>
      <c r="H18" s="567"/>
      <c r="I18" s="567"/>
      <c r="J18" s="567"/>
      <c r="K18" s="567"/>
      <c r="L18" s="565"/>
      <c r="M18" s="565">
        <v>0</v>
      </c>
      <c r="N18" s="565">
        <v>0</v>
      </c>
      <c r="O18" s="565">
        <v>39000000000</v>
      </c>
      <c r="P18" s="565">
        <v>41000000000</v>
      </c>
      <c r="Q18" s="565">
        <v>35000000000</v>
      </c>
      <c r="R18" s="565">
        <v>38000000000</v>
      </c>
      <c r="S18" s="565">
        <v>35000000000</v>
      </c>
      <c r="T18" s="565"/>
      <c r="U18" s="565"/>
      <c r="V18" s="565"/>
      <c r="W18" s="565"/>
      <c r="X18" s="565"/>
      <c r="Y18" s="565"/>
      <c r="Z18" s="2035"/>
      <c r="AA18" s="2035"/>
      <c r="AB18" s="897"/>
    </row>
    <row r="19" spans="1:28" s="848" customFormat="1">
      <c r="A19" s="1644" t="s">
        <v>53</v>
      </c>
      <c r="B19" s="880" t="s">
        <v>53</v>
      </c>
      <c r="C19" s="875" t="s">
        <v>38</v>
      </c>
      <c r="D19" s="876">
        <v>64000000000</v>
      </c>
      <c r="E19" s="876">
        <v>61700000000</v>
      </c>
      <c r="F19" s="876">
        <v>62100000000</v>
      </c>
      <c r="G19" s="876">
        <v>78000000000</v>
      </c>
      <c r="H19" s="876">
        <v>88000000000</v>
      </c>
      <c r="I19" s="876">
        <v>76000000000</v>
      </c>
      <c r="J19" s="1641">
        <v>73000000000</v>
      </c>
      <c r="K19" s="876">
        <v>138000000000</v>
      </c>
      <c r="L19" s="876">
        <v>140000000000</v>
      </c>
      <c r="M19" s="876">
        <v>182000000000</v>
      </c>
      <c r="N19" s="876">
        <v>162000000000</v>
      </c>
      <c r="O19" s="876">
        <v>150000000000</v>
      </c>
      <c r="P19" s="876">
        <v>206000000000</v>
      </c>
      <c r="Q19" s="876">
        <v>208000000000</v>
      </c>
      <c r="R19" s="876">
        <v>188000000000</v>
      </c>
      <c r="S19" s="876">
        <v>223000000000</v>
      </c>
      <c r="T19" s="1170">
        <v>253000000000</v>
      </c>
      <c r="U19" s="1170">
        <v>244000000000</v>
      </c>
      <c r="V19" s="1170">
        <v>264000000000</v>
      </c>
      <c r="W19" s="1170">
        <v>274000000000</v>
      </c>
      <c r="X19" s="1170">
        <v>291000000000</v>
      </c>
      <c r="Y19" s="1170">
        <v>317000000000</v>
      </c>
      <c r="Z19" s="1170">
        <v>343000000000</v>
      </c>
      <c r="AA19" s="1170">
        <v>371000000000</v>
      </c>
      <c r="AB19" s="913">
        <v>401000000000</v>
      </c>
    </row>
    <row r="20" spans="1:28">
      <c r="A20" s="867" t="s">
        <v>886</v>
      </c>
      <c r="B20" s="566" t="s">
        <v>2679</v>
      </c>
      <c r="C20" s="868" t="s">
        <v>57</v>
      </c>
      <c r="D20" s="565">
        <v>14100000000</v>
      </c>
      <c r="E20" s="565">
        <v>0</v>
      </c>
      <c r="F20" s="565">
        <v>1900000000</v>
      </c>
      <c r="G20" s="565">
        <v>18000000000</v>
      </c>
      <c r="H20" s="565">
        <v>19000000000</v>
      </c>
      <c r="I20" s="565">
        <v>12000000000</v>
      </c>
      <c r="J20" s="567">
        <v>9000000000</v>
      </c>
      <c r="K20" s="565">
        <v>53000000000</v>
      </c>
      <c r="L20" s="565">
        <v>38000000000</v>
      </c>
      <c r="M20" s="565">
        <v>46000000000</v>
      </c>
      <c r="N20" s="565">
        <v>22000000000</v>
      </c>
      <c r="O20" s="565">
        <v>37000000000</v>
      </c>
      <c r="P20" s="565">
        <v>52000000000</v>
      </c>
      <c r="Q20" s="565">
        <v>39000000000</v>
      </c>
      <c r="R20" s="565">
        <v>20000000000</v>
      </c>
      <c r="S20" s="565">
        <v>42000000000</v>
      </c>
      <c r="T20" s="1167">
        <v>40000000000</v>
      </c>
      <c r="U20" s="1167">
        <v>38000000000</v>
      </c>
      <c r="V20" s="1167">
        <v>49000000000</v>
      </c>
      <c r="W20" s="1167">
        <v>37000000000</v>
      </c>
      <c r="X20" s="1167">
        <v>51000000000</v>
      </c>
      <c r="Y20" s="1167">
        <v>56000000000</v>
      </c>
      <c r="Z20" s="1167">
        <v>61000000000</v>
      </c>
      <c r="AA20" s="1167">
        <v>66000000000</v>
      </c>
      <c r="AB20" s="897">
        <v>72000000000</v>
      </c>
    </row>
    <row r="21" spans="1:28">
      <c r="A21" s="551" t="s">
        <v>564</v>
      </c>
      <c r="B21" s="566" t="s">
        <v>1427</v>
      </c>
      <c r="C21" s="868" t="s">
        <v>57</v>
      </c>
      <c r="D21" s="565">
        <v>49900000000</v>
      </c>
      <c r="E21" s="565">
        <v>61700000000</v>
      </c>
      <c r="F21" s="565">
        <v>60200000000</v>
      </c>
      <c r="G21" s="565">
        <v>60000000000</v>
      </c>
      <c r="H21" s="565">
        <v>70000000000</v>
      </c>
      <c r="I21" s="565">
        <v>63000000000</v>
      </c>
      <c r="J21" s="567">
        <v>64000000000</v>
      </c>
      <c r="K21" s="565">
        <v>86000000000</v>
      </c>
      <c r="L21" s="565">
        <v>101000000000</v>
      </c>
      <c r="M21" s="565">
        <v>136000000000</v>
      </c>
      <c r="N21" s="565">
        <v>140000000000</v>
      </c>
      <c r="O21" s="565">
        <v>113000000000</v>
      </c>
      <c r="P21" s="565">
        <v>154000000000</v>
      </c>
      <c r="Q21" s="565">
        <v>169000000000</v>
      </c>
      <c r="R21" s="565">
        <v>168000000000</v>
      </c>
      <c r="S21" s="565">
        <v>181000000000</v>
      </c>
      <c r="T21" s="1167">
        <v>213000000000</v>
      </c>
      <c r="U21" s="1167">
        <v>206000000000</v>
      </c>
      <c r="V21" s="1167">
        <v>215000000000</v>
      </c>
      <c r="W21" s="1167">
        <v>237000000000</v>
      </c>
      <c r="X21" s="1167">
        <v>240000000000</v>
      </c>
      <c r="Y21" s="1167">
        <v>261000000000</v>
      </c>
      <c r="Z21" s="1167">
        <v>282000000000</v>
      </c>
      <c r="AA21" s="1167">
        <v>305000000000</v>
      </c>
      <c r="AB21" s="897">
        <v>329000000000</v>
      </c>
    </row>
    <row r="22" spans="1:28">
      <c r="B22" s="534" t="s">
        <v>379</v>
      </c>
      <c r="D22" s="565">
        <v>616000000000</v>
      </c>
      <c r="E22" s="565">
        <v>748100000000</v>
      </c>
      <c r="F22" s="565">
        <v>730300000000</v>
      </c>
      <c r="G22" s="565">
        <f>861000000000+G46</f>
        <v>849900000000</v>
      </c>
      <c r="H22" s="565">
        <v>988000000000</v>
      </c>
      <c r="I22" s="565">
        <v>1104000000000</v>
      </c>
      <c r="J22" s="567">
        <v>1331000000000</v>
      </c>
      <c r="K22" s="565">
        <v>1491000000000</v>
      </c>
      <c r="L22" s="565">
        <v>1579000000000</v>
      </c>
      <c r="M22" s="565">
        <v>1607000000000</v>
      </c>
      <c r="N22" s="565">
        <v>1729000000000</v>
      </c>
      <c r="O22" s="565">
        <v>1980000000000</v>
      </c>
      <c r="P22" s="565">
        <v>2090000000000</v>
      </c>
      <c r="Q22" s="565">
        <v>2190000000000</v>
      </c>
      <c r="R22" s="565">
        <v>2059000000000</v>
      </c>
      <c r="S22" s="565">
        <v>2287000000000</v>
      </c>
      <c r="T22" s="2036">
        <v>2258000000000</v>
      </c>
      <c r="U22" s="565">
        <v>2704000000000</v>
      </c>
      <c r="V22" s="565">
        <v>2739000000000</v>
      </c>
      <c r="W22" s="565">
        <v>3074000000000</v>
      </c>
      <c r="X22" s="565">
        <v>3271000000000</v>
      </c>
      <c r="Y22" s="565">
        <v>3595000000000</v>
      </c>
      <c r="Z22" s="565">
        <v>3927000000000</v>
      </c>
      <c r="AA22" s="565">
        <v>4301000000000</v>
      </c>
      <c r="AB22" s="565">
        <v>4665000000000</v>
      </c>
    </row>
    <row r="23" spans="1:28" s="848" customFormat="1">
      <c r="A23" s="874" t="s">
        <v>198</v>
      </c>
      <c r="B23" s="874" t="s">
        <v>1301</v>
      </c>
      <c r="C23" s="880" t="s">
        <v>35</v>
      </c>
      <c r="D23" s="876">
        <f t="shared" ref="D23:T23" si="3">D24+D40+D47+D48</f>
        <v>609500000000</v>
      </c>
      <c r="E23" s="876">
        <f t="shared" si="3"/>
        <v>748900000000</v>
      </c>
      <c r="F23" s="876">
        <f t="shared" si="3"/>
        <v>754100000000</v>
      </c>
      <c r="G23" s="876">
        <f t="shared" si="3"/>
        <v>869000000000</v>
      </c>
      <c r="H23" s="876">
        <f t="shared" si="3"/>
        <v>987000000000</v>
      </c>
      <c r="I23" s="876">
        <f t="shared" si="3"/>
        <v>1104000000000</v>
      </c>
      <c r="J23" s="876">
        <f t="shared" si="3"/>
        <v>1331000000000</v>
      </c>
      <c r="K23" s="876">
        <f t="shared" si="3"/>
        <v>1491000000000</v>
      </c>
      <c r="L23" s="876">
        <f t="shared" si="3"/>
        <v>1579000000000</v>
      </c>
      <c r="M23" s="876">
        <f t="shared" si="3"/>
        <v>1607000000000</v>
      </c>
      <c r="N23" s="876">
        <f t="shared" si="3"/>
        <v>1731000000000</v>
      </c>
      <c r="O23" s="876">
        <f t="shared" si="3"/>
        <v>1979000000000</v>
      </c>
      <c r="P23" s="876">
        <f t="shared" si="3"/>
        <v>2090000000000</v>
      </c>
      <c r="Q23" s="876">
        <f t="shared" si="3"/>
        <v>2190000000000</v>
      </c>
      <c r="R23" s="876">
        <f t="shared" si="3"/>
        <v>2064000000000</v>
      </c>
      <c r="S23" s="876">
        <f>S24+S40+S47+S48</f>
        <v>2388000000000</v>
      </c>
      <c r="T23" s="876">
        <f t="shared" si="3"/>
        <v>2258000000000</v>
      </c>
      <c r="U23" s="876">
        <f t="shared" ref="U23:AB23" si="4">U24+U40</f>
        <v>2704000000000</v>
      </c>
      <c r="V23" s="876">
        <f t="shared" si="4"/>
        <v>2738000000000</v>
      </c>
      <c r="W23" s="876">
        <f t="shared" si="4"/>
        <v>3074000000000</v>
      </c>
      <c r="X23" s="876">
        <f t="shared" si="4"/>
        <v>3271000000000</v>
      </c>
      <c r="Y23" s="876">
        <f t="shared" si="4"/>
        <v>3595000000000</v>
      </c>
      <c r="Z23" s="876">
        <f t="shared" si="4"/>
        <v>3927000000000</v>
      </c>
      <c r="AA23" s="876">
        <f t="shared" si="4"/>
        <v>4301000000000</v>
      </c>
      <c r="AB23" s="876">
        <f t="shared" si="4"/>
        <v>4665000000000</v>
      </c>
    </row>
    <row r="24" spans="1:28">
      <c r="A24" s="549" t="s">
        <v>73</v>
      </c>
      <c r="B24" s="380" t="s">
        <v>5595</v>
      </c>
      <c r="C24" s="865" t="s">
        <v>75</v>
      </c>
      <c r="D24" s="565">
        <v>411000000000</v>
      </c>
      <c r="E24" s="565">
        <v>516600000000</v>
      </c>
      <c r="F24" s="565">
        <v>478200000000</v>
      </c>
      <c r="G24" s="565">
        <v>530000000000</v>
      </c>
      <c r="H24" s="565">
        <v>565000000000</v>
      </c>
      <c r="I24" s="565">
        <v>632000000000</v>
      </c>
      <c r="J24" s="567">
        <v>829000000000</v>
      </c>
      <c r="K24" s="565">
        <v>881000000000</v>
      </c>
      <c r="L24" s="565">
        <v>979000000000</v>
      </c>
      <c r="M24" s="565">
        <v>997000000000</v>
      </c>
      <c r="N24" s="565">
        <v>995000000000</v>
      </c>
      <c r="O24" s="565">
        <v>1233000000000</v>
      </c>
      <c r="P24" s="565">
        <v>1257000000000</v>
      </c>
      <c r="Q24" s="565">
        <v>1278000000000</v>
      </c>
      <c r="R24" s="565">
        <v>1263000000000</v>
      </c>
      <c r="S24" s="565">
        <f>S25+S26+S29+S30+S36</f>
        <v>1346000000000</v>
      </c>
      <c r="T24" s="1167">
        <v>1400000000000</v>
      </c>
      <c r="U24" s="1167">
        <v>1613000000000</v>
      </c>
      <c r="V24" s="1167">
        <v>1679000000000</v>
      </c>
      <c r="W24" s="1167">
        <v>1886000000000</v>
      </c>
      <c r="X24" s="1167">
        <v>2001000000000</v>
      </c>
      <c r="Y24" s="1167">
        <v>2195000000000</v>
      </c>
      <c r="Z24" s="1167">
        <v>2352000000000</v>
      </c>
      <c r="AA24" s="1167">
        <v>2586000000000</v>
      </c>
      <c r="AB24" s="897">
        <v>2802000000000</v>
      </c>
    </row>
    <row r="25" spans="1:28">
      <c r="A25" s="566" t="s">
        <v>79</v>
      </c>
      <c r="B25" s="566" t="s">
        <v>964</v>
      </c>
      <c r="C25" s="865" t="s">
        <v>81</v>
      </c>
      <c r="D25" s="565">
        <v>175800000000</v>
      </c>
      <c r="E25" s="565">
        <v>177300000000</v>
      </c>
      <c r="F25" s="565">
        <v>199400000000</v>
      </c>
      <c r="G25" s="565">
        <v>204000000000</v>
      </c>
      <c r="H25" s="565">
        <v>218000000000</v>
      </c>
      <c r="I25" s="565">
        <v>255000000000</v>
      </c>
      <c r="J25" s="567">
        <v>286000000000</v>
      </c>
      <c r="K25" s="565">
        <v>327000000000</v>
      </c>
      <c r="L25" s="565">
        <v>348000000000</v>
      </c>
      <c r="M25" s="565">
        <v>364000000000</v>
      </c>
      <c r="N25" s="565">
        <v>392000000000</v>
      </c>
      <c r="O25" s="565">
        <v>428000000000</v>
      </c>
      <c r="P25" s="565">
        <v>462000000000</v>
      </c>
      <c r="Q25" s="565">
        <v>467000000000</v>
      </c>
      <c r="R25" s="565">
        <v>465000000000</v>
      </c>
      <c r="S25" s="565">
        <v>492000000000</v>
      </c>
      <c r="T25" s="1167">
        <v>490000000000</v>
      </c>
      <c r="U25" s="1167">
        <v>572000000000</v>
      </c>
      <c r="V25" s="1167">
        <v>600000000000</v>
      </c>
      <c r="W25" s="1167">
        <v>683000000000</v>
      </c>
      <c r="X25" s="1167">
        <v>743000000000</v>
      </c>
      <c r="Y25" s="1167">
        <v>809000000000</v>
      </c>
      <c r="Z25" s="1167">
        <v>882000000000</v>
      </c>
      <c r="AA25" s="1167">
        <v>963000000000</v>
      </c>
      <c r="AB25" s="897">
        <v>1046000000000</v>
      </c>
    </row>
    <row r="26" spans="1:28">
      <c r="A26" s="435" t="s">
        <v>90</v>
      </c>
      <c r="B26" s="566" t="s">
        <v>5596</v>
      </c>
      <c r="C26" s="865" t="s">
        <v>81</v>
      </c>
      <c r="D26" s="565">
        <v>45300000000</v>
      </c>
      <c r="E26" s="565">
        <v>30300000000</v>
      </c>
      <c r="F26" s="565">
        <v>39800000000</v>
      </c>
      <c r="G26" s="565">
        <v>45000000000</v>
      </c>
      <c r="H26" s="565">
        <v>47000000000</v>
      </c>
      <c r="I26" s="565">
        <v>41000000000</v>
      </c>
      <c r="J26" s="567">
        <v>42000000000</v>
      </c>
      <c r="K26" s="565">
        <v>34000000000</v>
      </c>
      <c r="L26" s="565">
        <v>39000000000</v>
      </c>
      <c r="M26" s="565">
        <v>45000000000</v>
      </c>
      <c r="N26" s="565">
        <v>60000000000</v>
      </c>
      <c r="O26" s="565">
        <v>104000000000</v>
      </c>
      <c r="P26" s="565">
        <v>108000000000</v>
      </c>
      <c r="Q26" s="565">
        <v>146000000000</v>
      </c>
      <c r="R26" s="565">
        <v>113000000000</v>
      </c>
      <c r="S26" s="565">
        <v>130000000000</v>
      </c>
      <c r="T26" s="1167">
        <v>131000000000</v>
      </c>
      <c r="U26" s="1167">
        <v>188000000000</v>
      </c>
      <c r="V26" s="1167">
        <v>234000000000</v>
      </c>
      <c r="W26" s="1167">
        <v>263000000000</v>
      </c>
      <c r="X26" s="1167">
        <v>306000000000</v>
      </c>
      <c r="Y26" s="1167">
        <v>347000000000</v>
      </c>
      <c r="Z26" s="1167">
        <v>369000000000</v>
      </c>
      <c r="AA26" s="1167">
        <v>394000000000</v>
      </c>
      <c r="AB26" s="897">
        <v>417000000000</v>
      </c>
    </row>
    <row r="27" spans="1:28">
      <c r="A27" s="870" t="s">
        <v>583</v>
      </c>
      <c r="B27" s="1156" t="s">
        <v>5597</v>
      </c>
      <c r="C27" s="380" t="s">
        <v>1525</v>
      </c>
      <c r="D27" s="565">
        <v>39600000000</v>
      </c>
      <c r="E27" s="565">
        <v>23700000000</v>
      </c>
      <c r="F27" s="565">
        <v>35400000000</v>
      </c>
      <c r="G27" s="565">
        <v>40000000000</v>
      </c>
      <c r="H27" s="565">
        <v>41000000000</v>
      </c>
      <c r="I27" s="565">
        <v>36000000000</v>
      </c>
      <c r="J27" s="567">
        <v>36000000000</v>
      </c>
      <c r="K27" s="565">
        <v>24000000000</v>
      </c>
      <c r="L27" s="565">
        <v>24000000000</v>
      </c>
      <c r="M27" s="565">
        <v>23000000000</v>
      </c>
      <c r="N27" s="565">
        <v>38000000000</v>
      </c>
      <c r="O27" s="565">
        <v>62000000000</v>
      </c>
      <c r="P27" s="565">
        <v>52000000000</v>
      </c>
      <c r="Q27" s="565">
        <v>64000000000</v>
      </c>
      <c r="R27" s="565">
        <v>55000000000</v>
      </c>
      <c r="S27" s="565">
        <v>72000000000</v>
      </c>
      <c r="T27" s="1167">
        <v>63000000000</v>
      </c>
      <c r="U27" s="1167">
        <v>140000000000</v>
      </c>
      <c r="V27" s="1167">
        <v>178000000000</v>
      </c>
      <c r="W27" s="1167">
        <v>222000000000</v>
      </c>
      <c r="X27" s="1167">
        <v>257000000000</v>
      </c>
      <c r="Y27" s="1167">
        <v>291000000000</v>
      </c>
      <c r="Z27" s="1167">
        <v>309000000000</v>
      </c>
      <c r="AA27" s="1167">
        <v>337000000000</v>
      </c>
      <c r="AB27" s="897">
        <v>367000000000</v>
      </c>
    </row>
    <row r="28" spans="1:28">
      <c r="A28" s="1156" t="s">
        <v>239</v>
      </c>
      <c r="B28" s="1156" t="s">
        <v>5598</v>
      </c>
      <c r="C28" s="380" t="s">
        <v>1525</v>
      </c>
      <c r="D28" s="565">
        <v>5700000000</v>
      </c>
      <c r="E28" s="565">
        <v>6600000000</v>
      </c>
      <c r="F28" s="565">
        <v>4400000000</v>
      </c>
      <c r="G28" s="565">
        <v>5000000000</v>
      </c>
      <c r="H28" s="565">
        <v>6000000000</v>
      </c>
      <c r="I28" s="565">
        <v>5000000000</v>
      </c>
      <c r="J28" s="565">
        <v>6000000000</v>
      </c>
      <c r="K28" s="565">
        <v>10000000000</v>
      </c>
      <c r="L28" s="565">
        <v>15000000000</v>
      </c>
      <c r="M28" s="565">
        <v>22000000000</v>
      </c>
      <c r="N28" s="565">
        <v>22000000000</v>
      </c>
      <c r="O28" s="565">
        <v>42000000000</v>
      </c>
      <c r="P28" s="565">
        <v>56000000000</v>
      </c>
      <c r="Q28" s="565">
        <f>Q26-Q27</f>
        <v>82000000000</v>
      </c>
      <c r="R28" s="565">
        <v>58000000000</v>
      </c>
      <c r="S28" s="565">
        <f>S26-S27</f>
        <v>58000000000</v>
      </c>
      <c r="T28" s="1167">
        <v>68000000000</v>
      </c>
      <c r="U28" s="1167">
        <v>48000000000</v>
      </c>
      <c r="V28" s="1167">
        <v>56000000000</v>
      </c>
      <c r="W28" s="1167">
        <v>41000000000</v>
      </c>
      <c r="X28" s="1167">
        <v>48000000000</v>
      </c>
      <c r="Y28" s="1167">
        <v>56000000000</v>
      </c>
      <c r="Z28" s="1167">
        <v>60000000000</v>
      </c>
      <c r="AA28" s="1167">
        <v>57000000000</v>
      </c>
      <c r="AB28" s="897">
        <v>51000000000</v>
      </c>
    </row>
    <row r="29" spans="1:28">
      <c r="A29" s="435" t="s">
        <v>391</v>
      </c>
      <c r="B29" s="566" t="s">
        <v>4279</v>
      </c>
      <c r="C29" s="865" t="s">
        <v>81</v>
      </c>
      <c r="D29" s="561">
        <f>189900000000-D30-D36</f>
        <v>0</v>
      </c>
      <c r="E29" s="561">
        <f>309000000000-E30-E36</f>
        <v>0</v>
      </c>
      <c r="F29" s="565">
        <v>239000000000</v>
      </c>
      <c r="G29" s="565">
        <f>281000000000-G30-G36</f>
        <v>0</v>
      </c>
      <c r="H29" s="565">
        <f>301000000000-H30-H36-H37</f>
        <v>0</v>
      </c>
      <c r="I29" s="565">
        <f>336000000000-I30-I36-I37</f>
        <v>0</v>
      </c>
      <c r="J29" s="567"/>
      <c r="K29" s="565">
        <f>519000000000-K30-K36-K37</f>
        <v>0</v>
      </c>
      <c r="L29" s="565">
        <f>593000000000-L30-L36-L37</f>
        <v>0</v>
      </c>
      <c r="M29" s="565">
        <f>587000000000-M30-M36-M37</f>
        <v>0</v>
      </c>
      <c r="N29" s="565">
        <f>543000000000-N36-N30-N37</f>
        <v>1000000000</v>
      </c>
      <c r="O29" s="565">
        <f>702000000000-O30-O36-O37</f>
        <v>0</v>
      </c>
      <c r="P29" s="565"/>
      <c r="Q29" s="565"/>
      <c r="R29" s="565">
        <f>685000000000-R30-R36-R37</f>
        <v>0</v>
      </c>
      <c r="S29" s="565"/>
      <c r="T29" s="1167">
        <v>154000000000</v>
      </c>
      <c r="U29" s="1167"/>
      <c r="V29" s="1167"/>
      <c r="W29" s="1167"/>
      <c r="X29" s="1167"/>
      <c r="Y29" s="1167"/>
      <c r="Z29" s="1167"/>
      <c r="AA29" s="1167"/>
      <c r="AB29" s="1167"/>
    </row>
    <row r="30" spans="1:28">
      <c r="A30" s="435" t="s">
        <v>1437</v>
      </c>
      <c r="B30" s="566" t="s">
        <v>4277</v>
      </c>
      <c r="C30" s="865" t="s">
        <v>81</v>
      </c>
      <c r="D30" s="565">
        <v>92900000000</v>
      </c>
      <c r="E30" s="565">
        <v>178500000000</v>
      </c>
      <c r="F30" s="565"/>
      <c r="G30" s="565">
        <v>141000000000</v>
      </c>
      <c r="H30" s="565">
        <v>147000000000</v>
      </c>
      <c r="I30" s="565">
        <v>165000000000</v>
      </c>
      <c r="J30" s="567">
        <v>308000000000</v>
      </c>
      <c r="K30" s="565">
        <v>287000000000</v>
      </c>
      <c r="L30" s="565">
        <v>333000000000</v>
      </c>
      <c r="M30" s="565">
        <v>286000000000</v>
      </c>
      <c r="N30" s="565">
        <v>240000000000</v>
      </c>
      <c r="O30" s="565">
        <v>335000000000</v>
      </c>
      <c r="P30" s="565">
        <v>355000000000</v>
      </c>
      <c r="Q30" s="565">
        <v>291000000000</v>
      </c>
      <c r="R30" s="565">
        <v>336000000000</v>
      </c>
      <c r="S30" s="565">
        <v>336000000000</v>
      </c>
      <c r="T30" s="565">
        <v>264000000000</v>
      </c>
      <c r="U30" s="565"/>
      <c r="V30" s="565"/>
      <c r="W30" s="565"/>
      <c r="X30" s="565"/>
      <c r="Y30" s="565"/>
      <c r="Z30" s="565"/>
      <c r="AA30" s="565"/>
      <c r="AB30" s="565"/>
    </row>
    <row r="31" spans="1:28">
      <c r="A31" s="566" t="s">
        <v>5599</v>
      </c>
      <c r="B31" s="566" t="s">
        <v>5599</v>
      </c>
      <c r="C31" s="865" t="s">
        <v>81</v>
      </c>
      <c r="D31" s="565"/>
      <c r="E31" s="565"/>
      <c r="F31" s="565"/>
      <c r="G31" s="565"/>
      <c r="H31" s="565"/>
      <c r="I31" s="565"/>
      <c r="J31" s="567"/>
      <c r="K31" s="565"/>
      <c r="L31" s="565"/>
      <c r="M31" s="565"/>
      <c r="N31" s="565"/>
      <c r="O31" s="565"/>
      <c r="P31" s="565"/>
      <c r="Q31" s="565"/>
      <c r="R31" s="565"/>
      <c r="S31" s="565"/>
      <c r="T31" s="1167"/>
      <c r="U31" s="1167">
        <v>6000000000</v>
      </c>
      <c r="V31" s="1167">
        <v>7000000000</v>
      </c>
      <c r="W31" s="1167">
        <v>7000000000</v>
      </c>
      <c r="X31" s="1167">
        <v>15000000000</v>
      </c>
      <c r="Y31" s="1167">
        <v>31000000000</v>
      </c>
      <c r="Z31" s="1167">
        <v>50000000000</v>
      </c>
      <c r="AA31" s="1167">
        <v>80000000000</v>
      </c>
      <c r="AB31" s="897">
        <v>91000000000</v>
      </c>
    </row>
    <row r="32" spans="1:28">
      <c r="A32" s="566" t="s">
        <v>390</v>
      </c>
      <c r="B32" s="566" t="s">
        <v>390</v>
      </c>
      <c r="C32" s="865" t="s">
        <v>81</v>
      </c>
      <c r="D32" s="565"/>
      <c r="E32" s="565"/>
      <c r="F32" s="565"/>
      <c r="G32" s="565"/>
      <c r="H32" s="565"/>
      <c r="I32" s="565"/>
      <c r="J32" s="567"/>
      <c r="K32" s="565"/>
      <c r="L32" s="565"/>
      <c r="M32" s="565"/>
      <c r="N32" s="565"/>
      <c r="O32" s="565"/>
      <c r="P32" s="565"/>
      <c r="Q32" s="565"/>
      <c r="R32" s="565"/>
      <c r="S32" s="565"/>
      <c r="T32" s="1167"/>
      <c r="U32" s="1167">
        <v>52000000000</v>
      </c>
      <c r="V32" s="1167">
        <v>43000000000</v>
      </c>
      <c r="W32" s="1167">
        <v>129000000000</v>
      </c>
      <c r="X32" s="1167">
        <v>143000000000</v>
      </c>
      <c r="Y32" s="1167">
        <v>103000000000</v>
      </c>
      <c r="Z32" s="1167">
        <v>48000000000</v>
      </c>
      <c r="AA32" s="1167">
        <v>57000000000</v>
      </c>
      <c r="AB32" s="897">
        <v>62000000000</v>
      </c>
    </row>
    <row r="33" spans="1:37">
      <c r="A33" s="534" t="s">
        <v>76</v>
      </c>
      <c r="B33" s="1156" t="s">
        <v>5600</v>
      </c>
      <c r="C33" s="380"/>
      <c r="D33" s="567"/>
      <c r="E33" s="567"/>
      <c r="F33" s="567"/>
      <c r="G33" s="565">
        <v>0</v>
      </c>
      <c r="H33" s="565">
        <v>9000000000</v>
      </c>
      <c r="I33" s="565">
        <v>14000000000</v>
      </c>
      <c r="J33" s="567">
        <v>66000000000</v>
      </c>
      <c r="K33" s="565">
        <v>55000000000</v>
      </c>
      <c r="L33" s="565">
        <v>69000000000</v>
      </c>
      <c r="M33" s="565">
        <v>33000000000</v>
      </c>
      <c r="N33" s="565">
        <v>0</v>
      </c>
      <c r="O33" s="565">
        <v>15000000000</v>
      </c>
      <c r="P33" s="565">
        <v>13000000000</v>
      </c>
      <c r="Q33" s="565">
        <v>0</v>
      </c>
      <c r="R33" s="565">
        <v>16000000000</v>
      </c>
      <c r="S33" s="565">
        <v>16000000000</v>
      </c>
      <c r="T33" s="565"/>
      <c r="U33" s="565"/>
      <c r="V33" s="565"/>
      <c r="W33" s="565"/>
      <c r="X33" s="565"/>
      <c r="Y33" s="565"/>
      <c r="Z33" s="866"/>
      <c r="AA33" s="866"/>
      <c r="AB33" s="897"/>
      <c r="AD33" s="2463"/>
      <c r="AE33" s="2463"/>
      <c r="AF33" s="2463"/>
      <c r="AG33" s="2463"/>
      <c r="AH33" s="2463"/>
      <c r="AI33" s="2463"/>
      <c r="AJ33" s="2463"/>
      <c r="AK33" s="2463"/>
    </row>
    <row r="34" spans="1:37">
      <c r="A34" s="534" t="s">
        <v>76</v>
      </c>
      <c r="B34" s="1156" t="s">
        <v>5601</v>
      </c>
      <c r="C34" s="380"/>
      <c r="D34" s="567"/>
      <c r="E34" s="567"/>
      <c r="F34" s="567"/>
      <c r="G34" s="565">
        <v>0</v>
      </c>
      <c r="H34" s="565">
        <v>0</v>
      </c>
      <c r="I34" s="565">
        <v>22000000000</v>
      </c>
      <c r="J34" s="567">
        <v>86000000000</v>
      </c>
      <c r="K34" s="565">
        <v>0</v>
      </c>
      <c r="L34" s="565">
        <v>30000000000</v>
      </c>
      <c r="M34" s="565">
        <v>30000000000</v>
      </c>
      <c r="N34" s="565">
        <v>0</v>
      </c>
      <c r="O34" s="565">
        <v>124000000000</v>
      </c>
      <c r="P34" s="565">
        <v>105000000000</v>
      </c>
      <c r="Q34" s="565">
        <v>80000000000</v>
      </c>
      <c r="R34" s="565">
        <v>80000000000</v>
      </c>
      <c r="S34" s="565">
        <v>60000000000</v>
      </c>
      <c r="T34" s="2034"/>
      <c r="U34" s="565"/>
      <c r="V34" s="565"/>
      <c r="W34" s="565"/>
      <c r="X34" s="565"/>
      <c r="Y34" s="565"/>
      <c r="Z34" s="866"/>
      <c r="AA34" s="866"/>
      <c r="AB34" s="897"/>
      <c r="AD34" s="2463"/>
      <c r="AE34" s="2463"/>
      <c r="AF34" s="2463"/>
      <c r="AG34" s="2463"/>
      <c r="AH34" s="2463"/>
      <c r="AI34" s="2463"/>
      <c r="AJ34" s="2463"/>
      <c r="AK34" s="2463"/>
    </row>
    <row r="35" spans="1:37">
      <c r="A35" s="534" t="s">
        <v>76</v>
      </c>
      <c r="B35" s="1156" t="s">
        <v>5602</v>
      </c>
      <c r="C35" s="380"/>
      <c r="D35" s="567"/>
      <c r="E35" s="567"/>
      <c r="F35" s="567"/>
      <c r="G35" s="567"/>
      <c r="H35" s="567"/>
      <c r="I35" s="567"/>
      <c r="J35" s="567">
        <v>0</v>
      </c>
      <c r="K35" s="565">
        <v>21000000000</v>
      </c>
      <c r="L35" s="565">
        <v>46000000000</v>
      </c>
      <c r="M35" s="565">
        <v>0</v>
      </c>
      <c r="N35" s="565">
        <v>0</v>
      </c>
      <c r="O35" s="565">
        <v>0</v>
      </c>
      <c r="P35" s="565">
        <v>4000000000</v>
      </c>
      <c r="Q35" s="565">
        <v>0</v>
      </c>
      <c r="R35" s="565">
        <v>4000000000</v>
      </c>
      <c r="S35" s="565">
        <v>0</v>
      </c>
      <c r="T35" s="565"/>
      <c r="U35" s="565"/>
      <c r="V35" s="565"/>
      <c r="W35" s="565"/>
      <c r="X35" s="565"/>
      <c r="Y35" s="565"/>
      <c r="Z35" s="866"/>
      <c r="AA35" s="866"/>
      <c r="AB35" s="897"/>
      <c r="AD35" s="2463"/>
      <c r="AE35" s="2463"/>
      <c r="AF35" s="2463"/>
      <c r="AG35" s="2463"/>
      <c r="AH35" s="2463"/>
      <c r="AI35" s="2463"/>
      <c r="AJ35" s="2463"/>
      <c r="AK35" s="2463"/>
    </row>
    <row r="36" spans="1:37">
      <c r="A36" s="435" t="s">
        <v>83</v>
      </c>
      <c r="B36" s="566" t="s">
        <v>965</v>
      </c>
      <c r="C36" s="865" t="s">
        <v>81</v>
      </c>
      <c r="D36" s="565">
        <v>97000000000</v>
      </c>
      <c r="E36" s="565">
        <v>130500000000</v>
      </c>
      <c r="F36" s="565"/>
      <c r="G36" s="565">
        <v>140000000000</v>
      </c>
      <c r="H36" s="565">
        <v>148000000000</v>
      </c>
      <c r="I36" s="565">
        <v>163000000000</v>
      </c>
      <c r="J36" s="567">
        <v>186000000000</v>
      </c>
      <c r="K36" s="565">
        <v>217000000000</v>
      </c>
      <c r="L36" s="565">
        <v>239000000000</v>
      </c>
      <c r="M36" s="565">
        <v>292000000000</v>
      </c>
      <c r="N36" s="565">
        <v>290000000000</v>
      </c>
      <c r="O36" s="565">
        <v>367000000000</v>
      </c>
      <c r="P36" s="565">
        <v>333000000000</v>
      </c>
      <c r="Q36" s="565">
        <v>363000000000</v>
      </c>
      <c r="R36" s="565">
        <v>349000000000</v>
      </c>
      <c r="S36" s="565">
        <v>388000000000</v>
      </c>
      <c r="T36" s="1167">
        <v>361000000000</v>
      </c>
      <c r="U36" s="1167">
        <v>322000000000</v>
      </c>
      <c r="V36" s="1167">
        <v>326000000000</v>
      </c>
      <c r="W36" s="1167">
        <v>316000000000</v>
      </c>
      <c r="X36" s="1167">
        <v>335000000000</v>
      </c>
      <c r="Y36" s="1167">
        <v>381000000000</v>
      </c>
      <c r="Z36" s="1167">
        <v>432000000000</v>
      </c>
      <c r="AA36" s="1167">
        <v>472000000000</v>
      </c>
      <c r="AB36" s="897">
        <v>513000000000</v>
      </c>
    </row>
    <row r="37" spans="1:37">
      <c r="A37" s="566" t="s">
        <v>5603</v>
      </c>
      <c r="B37" s="566" t="s">
        <v>5604</v>
      </c>
      <c r="C37" s="865" t="s">
        <v>81</v>
      </c>
      <c r="D37" s="567"/>
      <c r="E37" s="567"/>
      <c r="F37" s="567"/>
      <c r="G37" s="565">
        <v>0</v>
      </c>
      <c r="H37" s="565">
        <v>6000000000</v>
      </c>
      <c r="I37" s="565">
        <v>8000000000</v>
      </c>
      <c r="J37" s="567">
        <v>7000000000</v>
      </c>
      <c r="K37" s="565">
        <v>15000000000</v>
      </c>
      <c r="L37" s="565">
        <v>21000000000</v>
      </c>
      <c r="M37" s="565">
        <v>9000000000</v>
      </c>
      <c r="N37" s="565">
        <v>12000000000</v>
      </c>
      <c r="O37" s="565"/>
      <c r="P37" s="565"/>
      <c r="Q37" s="565">
        <v>12000000000</v>
      </c>
      <c r="R37" s="565"/>
      <c r="S37" s="565"/>
      <c r="T37" s="565"/>
      <c r="U37" s="565"/>
      <c r="V37" s="565"/>
      <c r="W37" s="565"/>
      <c r="X37" s="565"/>
      <c r="Y37" s="565"/>
      <c r="Z37" s="866"/>
      <c r="AA37" s="866"/>
      <c r="AB37" s="897"/>
    </row>
    <row r="38" spans="1:37">
      <c r="A38" s="566" t="s">
        <v>5605</v>
      </c>
      <c r="B38" s="566" t="s">
        <v>5606</v>
      </c>
      <c r="C38" s="2018" t="s">
        <v>81</v>
      </c>
      <c r="D38" s="567"/>
      <c r="E38" s="567"/>
      <c r="F38" s="567"/>
      <c r="G38" s="565"/>
      <c r="H38" s="565"/>
      <c r="I38" s="565"/>
      <c r="J38" s="567"/>
      <c r="K38" s="565"/>
      <c r="L38" s="565"/>
      <c r="M38" s="565"/>
      <c r="N38" s="565"/>
      <c r="O38" s="565"/>
      <c r="P38" s="565"/>
      <c r="Q38" s="565"/>
      <c r="R38" s="565"/>
      <c r="S38" s="565"/>
      <c r="T38" s="565"/>
      <c r="U38" s="565">
        <v>284000000000</v>
      </c>
      <c r="V38" s="565">
        <v>190000000000</v>
      </c>
      <c r="W38" s="565">
        <v>248000000000</v>
      </c>
      <c r="X38" s="565">
        <v>261000000000</v>
      </c>
      <c r="Y38" s="565">
        <v>286000000000</v>
      </c>
      <c r="Z38" s="866">
        <v>311000000000</v>
      </c>
      <c r="AA38" s="866">
        <v>337000000000</v>
      </c>
      <c r="AB38" s="897">
        <v>366000000000</v>
      </c>
    </row>
    <row r="39" spans="1:37">
      <c r="A39" s="1955" t="s">
        <v>391</v>
      </c>
      <c r="B39" s="1955" t="s">
        <v>1011</v>
      </c>
      <c r="C39" s="2018" t="s">
        <v>81</v>
      </c>
      <c r="D39" s="567"/>
      <c r="E39" s="567"/>
      <c r="F39" s="567"/>
      <c r="G39" s="565"/>
      <c r="H39" s="565"/>
      <c r="I39" s="565"/>
      <c r="J39" s="567"/>
      <c r="K39" s="565"/>
      <c r="L39" s="565"/>
      <c r="M39" s="565"/>
      <c r="N39" s="565"/>
      <c r="O39" s="565"/>
      <c r="P39" s="565"/>
      <c r="Q39" s="565"/>
      <c r="R39" s="565"/>
      <c r="S39" s="565"/>
      <c r="T39" s="565"/>
      <c r="U39" s="565">
        <v>189000000000</v>
      </c>
      <c r="V39" s="565">
        <v>280000000000</v>
      </c>
      <c r="W39" s="565">
        <v>240000000000</v>
      </c>
      <c r="X39" s="565">
        <v>199000000000</v>
      </c>
      <c r="Y39" s="565">
        <v>238000000000</v>
      </c>
      <c r="Z39" s="565">
        <v>259000000000</v>
      </c>
      <c r="AA39" s="565">
        <v>283000000000</v>
      </c>
      <c r="AB39" s="565">
        <v>308000000000</v>
      </c>
    </row>
    <row r="40" spans="1:37">
      <c r="A40" s="380" t="s">
        <v>237</v>
      </c>
      <c r="B40" s="380" t="s">
        <v>5607</v>
      </c>
      <c r="C40" s="865" t="s">
        <v>75</v>
      </c>
      <c r="D40" s="565">
        <v>186100000000</v>
      </c>
      <c r="E40" s="565">
        <v>232300000000</v>
      </c>
      <c r="F40" s="565">
        <v>275900000000</v>
      </c>
      <c r="G40" s="565">
        <v>339000000000</v>
      </c>
      <c r="H40" s="565">
        <v>410000000000</v>
      </c>
      <c r="I40" s="565">
        <v>455000000000</v>
      </c>
      <c r="J40" s="567">
        <v>475000000000</v>
      </c>
      <c r="K40" s="565">
        <v>605000000000</v>
      </c>
      <c r="L40" s="565">
        <v>595000000000</v>
      </c>
      <c r="M40" s="565">
        <v>607000000000</v>
      </c>
      <c r="N40" s="565">
        <v>736000000000</v>
      </c>
      <c r="O40" s="565">
        <v>718000000000</v>
      </c>
      <c r="P40" s="565">
        <v>814000000000</v>
      </c>
      <c r="Q40" s="565">
        <v>912000000000</v>
      </c>
      <c r="R40" s="565">
        <v>801000000000</v>
      </c>
      <c r="S40" s="565">
        <f>S41+S44</f>
        <v>1042000000000</v>
      </c>
      <c r="T40" s="1167">
        <v>858000000000</v>
      </c>
      <c r="U40" s="1167">
        <v>1091000000000</v>
      </c>
      <c r="V40" s="1167">
        <v>1059000000000</v>
      </c>
      <c r="W40" s="1167">
        <v>1188000000000</v>
      </c>
      <c r="X40" s="1167">
        <v>1270000000000</v>
      </c>
      <c r="Y40" s="1167">
        <v>1400000000000</v>
      </c>
      <c r="Z40" s="1167">
        <v>1575000000000</v>
      </c>
      <c r="AA40" s="1167">
        <v>1715000000000</v>
      </c>
      <c r="AB40" s="897">
        <v>1863000000000</v>
      </c>
    </row>
    <row r="41" spans="1:37">
      <c r="A41" s="867" t="s">
        <v>239</v>
      </c>
      <c r="B41" s="566" t="s">
        <v>5608</v>
      </c>
      <c r="C41" s="865" t="s">
        <v>95</v>
      </c>
      <c r="D41" s="565">
        <v>106600000000</v>
      </c>
      <c r="E41" s="565">
        <v>133600000000</v>
      </c>
      <c r="F41" s="565">
        <v>147900000000</v>
      </c>
      <c r="G41" s="565">
        <v>190000000000</v>
      </c>
      <c r="H41" s="565">
        <v>221000000000</v>
      </c>
      <c r="I41" s="565">
        <v>287000000000</v>
      </c>
      <c r="J41" s="567">
        <v>337000000000</v>
      </c>
      <c r="K41" s="565">
        <v>392000000000</v>
      </c>
      <c r="L41" s="565">
        <v>314000000000</v>
      </c>
      <c r="M41" s="565">
        <v>369000000000</v>
      </c>
      <c r="N41" s="565">
        <v>437000000000</v>
      </c>
      <c r="O41" s="565">
        <v>475000000000</v>
      </c>
      <c r="P41" s="565">
        <v>492000000000</v>
      </c>
      <c r="Q41" s="565">
        <v>515000000000</v>
      </c>
      <c r="R41" s="565">
        <v>477000000000</v>
      </c>
      <c r="S41" s="565">
        <v>577000000000</v>
      </c>
      <c r="T41" s="1167"/>
      <c r="U41" s="1167"/>
      <c r="V41" s="1167"/>
      <c r="W41" s="1167"/>
      <c r="X41" s="1167"/>
      <c r="Y41" s="1167"/>
      <c r="Z41" s="1167"/>
      <c r="AA41" s="1167"/>
      <c r="AB41" s="897"/>
    </row>
    <row r="42" spans="1:37">
      <c r="A42" s="1156" t="s">
        <v>5609</v>
      </c>
      <c r="B42" s="1156" t="s">
        <v>5610</v>
      </c>
      <c r="C42" s="380" t="s">
        <v>1234</v>
      </c>
      <c r="D42" s="565">
        <v>0</v>
      </c>
      <c r="E42" s="565">
        <v>15100000000</v>
      </c>
      <c r="F42" s="565">
        <v>4099999999.9999995</v>
      </c>
      <c r="G42" s="565">
        <v>28000000000</v>
      </c>
      <c r="H42" s="565">
        <v>23000000000</v>
      </c>
      <c r="I42" s="565">
        <v>61000000000</v>
      </c>
      <c r="J42" s="567">
        <v>26000000000</v>
      </c>
      <c r="K42" s="565">
        <v>60000000000</v>
      </c>
      <c r="L42" s="565">
        <v>63000000000</v>
      </c>
      <c r="M42" s="565">
        <v>60000000000</v>
      </c>
      <c r="N42" s="565">
        <v>47000000000</v>
      </c>
      <c r="O42" s="565"/>
      <c r="P42" s="565"/>
      <c r="Q42" s="565">
        <v>47000000000</v>
      </c>
      <c r="R42" s="565"/>
      <c r="S42" s="565"/>
      <c r="T42" s="565"/>
      <c r="U42" s="565"/>
      <c r="V42" s="565"/>
      <c r="W42" s="565"/>
      <c r="X42" s="565"/>
      <c r="Y42" s="565"/>
      <c r="Z42" s="866"/>
      <c r="AA42" s="866"/>
      <c r="AB42" s="897"/>
    </row>
    <row r="43" spans="1:37">
      <c r="A43" s="1156" t="s">
        <v>5611</v>
      </c>
      <c r="B43" s="1156" t="s">
        <v>5612</v>
      </c>
      <c r="C43" s="380" t="s">
        <v>1234</v>
      </c>
      <c r="D43" s="565">
        <v>106600000000</v>
      </c>
      <c r="E43" s="565">
        <v>118500000000</v>
      </c>
      <c r="F43" s="565">
        <v>143800000000</v>
      </c>
      <c r="G43" s="565">
        <v>162000000000</v>
      </c>
      <c r="H43" s="565">
        <v>199000000000</v>
      </c>
      <c r="I43" s="565">
        <v>226000000000</v>
      </c>
      <c r="J43" s="567">
        <v>311000000000</v>
      </c>
      <c r="K43" s="565">
        <v>331000000000</v>
      </c>
      <c r="L43" s="565">
        <v>251000000000</v>
      </c>
      <c r="M43" s="565">
        <v>309000000000</v>
      </c>
      <c r="N43" s="565">
        <v>390000000000</v>
      </c>
      <c r="O43" s="565"/>
      <c r="P43" s="565"/>
      <c r="Q43" s="565">
        <v>468000000000</v>
      </c>
      <c r="R43" s="565"/>
      <c r="S43" s="565"/>
      <c r="T43" s="565"/>
      <c r="U43" s="565"/>
      <c r="V43" s="565"/>
      <c r="W43" s="565"/>
      <c r="X43" s="565"/>
      <c r="Y43" s="565"/>
      <c r="Z43" s="866"/>
      <c r="AA43" s="866"/>
      <c r="AB43" s="897"/>
    </row>
    <row r="44" spans="1:37">
      <c r="A44" s="867" t="s">
        <v>395</v>
      </c>
      <c r="B44" s="566" t="s">
        <v>5613</v>
      </c>
      <c r="C44" s="865" t="s">
        <v>95</v>
      </c>
      <c r="D44" s="565">
        <v>79500000000</v>
      </c>
      <c r="E44" s="565">
        <v>98700000000</v>
      </c>
      <c r="F44" s="565">
        <v>128000000000</v>
      </c>
      <c r="G44" s="565">
        <v>148000000000</v>
      </c>
      <c r="H44" s="565">
        <v>189000000000</v>
      </c>
      <c r="I44" s="565">
        <v>168000000000</v>
      </c>
      <c r="J44" s="567">
        <v>138000000000</v>
      </c>
      <c r="K44" s="567">
        <v>213000000000</v>
      </c>
      <c r="L44" s="565">
        <v>281000000000</v>
      </c>
      <c r="M44" s="565">
        <v>237000000000</v>
      </c>
      <c r="N44" s="565">
        <v>299000000000</v>
      </c>
      <c r="O44" s="565">
        <v>244000000000</v>
      </c>
      <c r="P44" s="565">
        <v>322000000000</v>
      </c>
      <c r="Q44" s="565">
        <v>397000000000</v>
      </c>
      <c r="R44" s="565">
        <v>324000000000</v>
      </c>
      <c r="S44" s="565">
        <v>465000000000</v>
      </c>
      <c r="T44" s="1167"/>
      <c r="U44" s="1167"/>
      <c r="V44" s="1167"/>
      <c r="W44" s="1167"/>
      <c r="X44" s="1167"/>
      <c r="Y44" s="1167"/>
      <c r="Z44" s="1167"/>
      <c r="AA44" s="1167"/>
      <c r="AB44" s="897"/>
    </row>
    <row r="45" spans="1:37">
      <c r="A45" s="566" t="s">
        <v>5614</v>
      </c>
      <c r="B45" s="566" t="s">
        <v>5614</v>
      </c>
      <c r="C45" s="865" t="s">
        <v>95</v>
      </c>
      <c r="D45" s="565"/>
      <c r="E45" s="565"/>
      <c r="F45" s="565"/>
      <c r="G45" s="565"/>
      <c r="H45" s="565"/>
      <c r="I45" s="565"/>
      <c r="J45" s="567"/>
      <c r="K45" s="567"/>
      <c r="L45" s="565"/>
      <c r="M45" s="565"/>
      <c r="N45" s="565"/>
      <c r="O45" s="565"/>
      <c r="P45" s="565"/>
      <c r="Q45" s="565"/>
      <c r="R45" s="565"/>
      <c r="S45" s="565"/>
      <c r="T45" s="1167"/>
      <c r="U45" s="1167"/>
      <c r="V45" s="1167"/>
      <c r="W45" s="1167"/>
      <c r="X45" s="1167"/>
      <c r="Y45" s="1167"/>
      <c r="Z45" s="1167"/>
      <c r="AA45" s="1167"/>
      <c r="AB45" s="897"/>
    </row>
    <row r="46" spans="1:37">
      <c r="A46" s="534" t="s">
        <v>76</v>
      </c>
      <c r="B46" s="1156" t="s">
        <v>5615</v>
      </c>
      <c r="C46" s="380"/>
      <c r="D46" s="565">
        <v>6500000000</v>
      </c>
      <c r="E46" s="565">
        <v>3800000000</v>
      </c>
      <c r="F46" s="565">
        <v>-18200000000</v>
      </c>
      <c r="G46" s="565">
        <v>-11100000000</v>
      </c>
      <c r="H46" s="565"/>
      <c r="I46" s="565"/>
      <c r="J46" s="567"/>
      <c r="K46" s="565"/>
      <c r="L46" s="565"/>
      <c r="M46" s="565"/>
      <c r="N46" s="565"/>
      <c r="O46" s="565"/>
      <c r="P46" s="565"/>
      <c r="Q46" s="565"/>
      <c r="R46" s="565"/>
      <c r="S46" s="565"/>
      <c r="T46" s="565"/>
      <c r="U46" s="565"/>
      <c r="V46" s="565"/>
      <c r="W46" s="565"/>
      <c r="X46" s="565"/>
      <c r="Y46" s="565"/>
      <c r="Z46" s="866"/>
      <c r="AA46" s="866"/>
      <c r="AB46" s="897"/>
    </row>
    <row r="47" spans="1:37">
      <c r="A47" s="1156" t="s">
        <v>398</v>
      </c>
      <c r="B47" s="2046" t="s">
        <v>398</v>
      </c>
      <c r="C47" s="865" t="s">
        <v>75</v>
      </c>
      <c r="D47" s="565">
        <f>D22-D24-D40-D48-D46</f>
        <v>7500000000</v>
      </c>
      <c r="E47" s="565"/>
      <c r="F47" s="565"/>
      <c r="G47" s="565"/>
      <c r="H47" s="565"/>
      <c r="I47" s="565"/>
      <c r="J47" s="567"/>
      <c r="K47" s="565"/>
      <c r="L47" s="565"/>
      <c r="M47" s="565"/>
      <c r="N47" s="565"/>
      <c r="O47" s="565"/>
      <c r="P47" s="565"/>
      <c r="Q47" s="565"/>
      <c r="R47" s="565"/>
      <c r="S47" s="565"/>
      <c r="T47" s="866"/>
      <c r="U47" s="866"/>
      <c r="V47" s="565"/>
      <c r="W47" s="565"/>
      <c r="X47" s="565"/>
      <c r="Y47" s="565"/>
      <c r="Z47" s="866"/>
      <c r="AA47" s="866"/>
      <c r="AB47" s="897"/>
    </row>
    <row r="48" spans="1:37">
      <c r="A48" s="380" t="s">
        <v>244</v>
      </c>
      <c r="B48" s="380" t="s">
        <v>968</v>
      </c>
      <c r="C48" s="865" t="s">
        <v>75</v>
      </c>
      <c r="D48" s="565">
        <v>4900000000</v>
      </c>
      <c r="E48" s="2736">
        <v>0</v>
      </c>
      <c r="F48" s="2736">
        <v>0</v>
      </c>
      <c r="G48" s="2736">
        <v>0</v>
      </c>
      <c r="H48" s="565">
        <v>12000000000</v>
      </c>
      <c r="I48" s="565">
        <v>17000000000</v>
      </c>
      <c r="J48" s="567">
        <v>27000000000</v>
      </c>
      <c r="K48" s="565">
        <v>5000000000</v>
      </c>
      <c r="L48" s="565">
        <v>5000000000</v>
      </c>
      <c r="M48" s="565">
        <v>3000000000</v>
      </c>
      <c r="N48" s="2736">
        <v>0</v>
      </c>
      <c r="O48" s="565">
        <v>28000000000</v>
      </c>
      <c r="P48" s="565">
        <v>19000000000</v>
      </c>
      <c r="Q48" s="565">
        <v>0</v>
      </c>
      <c r="R48" s="2736">
        <v>0</v>
      </c>
      <c r="S48" s="565">
        <v>0</v>
      </c>
      <c r="T48" s="2034"/>
      <c r="U48" s="565"/>
      <c r="V48" s="565"/>
      <c r="W48" s="565"/>
      <c r="X48" s="565"/>
      <c r="Y48" s="565"/>
      <c r="Z48" s="866"/>
      <c r="AA48" s="866"/>
      <c r="AB48" s="897"/>
    </row>
    <row r="49" spans="1:28">
      <c r="A49" s="534" t="s">
        <v>76</v>
      </c>
      <c r="B49" s="380" t="s">
        <v>5616</v>
      </c>
      <c r="C49" s="380"/>
      <c r="D49" s="565">
        <v>11400000000</v>
      </c>
      <c r="E49" s="565">
        <v>5700000000</v>
      </c>
      <c r="F49" s="565">
        <v>2700000000</v>
      </c>
      <c r="G49" s="565">
        <v>3000000000</v>
      </c>
      <c r="H49" s="565">
        <v>24000000000</v>
      </c>
      <c r="I49" s="565">
        <v>28000000000</v>
      </c>
      <c r="J49" s="567">
        <v>33000000000</v>
      </c>
      <c r="K49" s="565">
        <v>10000000000</v>
      </c>
      <c r="L49" s="565">
        <v>12000000000</v>
      </c>
      <c r="M49" s="565">
        <v>6000000000</v>
      </c>
      <c r="N49" s="565">
        <v>1000000000</v>
      </c>
      <c r="O49" s="565">
        <v>36000000000</v>
      </c>
      <c r="P49" s="565">
        <v>37000000000</v>
      </c>
      <c r="Q49" s="565">
        <v>13000000000</v>
      </c>
      <c r="R49" s="565">
        <v>10000000000</v>
      </c>
      <c r="S49" s="565">
        <v>13000000000</v>
      </c>
      <c r="T49" s="565"/>
      <c r="U49" s="565"/>
      <c r="V49" s="565"/>
      <c r="W49" s="565"/>
      <c r="X49" s="565"/>
      <c r="Y49" s="565"/>
      <c r="Z49" s="866"/>
      <c r="AA49" s="866"/>
      <c r="AB49" s="897"/>
    </row>
    <row r="50" spans="1:28">
      <c r="A50" s="534" t="s">
        <v>76</v>
      </c>
      <c r="B50" s="380" t="s">
        <v>5617</v>
      </c>
      <c r="C50" s="380"/>
      <c r="D50" s="565"/>
      <c r="E50" s="567"/>
      <c r="F50" s="567"/>
      <c r="G50" s="565">
        <v>11000000000</v>
      </c>
      <c r="H50" s="565">
        <v>-9000000000</v>
      </c>
      <c r="I50" s="565">
        <v>12000000000</v>
      </c>
      <c r="J50" s="567">
        <v>16000000000</v>
      </c>
      <c r="K50" s="565">
        <v>16000000000</v>
      </c>
      <c r="L50" s="565">
        <v>13000000000</v>
      </c>
      <c r="M50" s="565">
        <v>9000000000</v>
      </c>
      <c r="N50" s="565">
        <v>-3000000000</v>
      </c>
      <c r="O50" s="565">
        <v>0</v>
      </c>
      <c r="P50" s="565">
        <v>0</v>
      </c>
      <c r="Q50" s="565"/>
      <c r="R50" s="565">
        <v>0</v>
      </c>
      <c r="S50" s="565">
        <v>0</v>
      </c>
      <c r="T50" s="565"/>
      <c r="U50" s="565"/>
      <c r="V50" s="565"/>
      <c r="W50" s="565"/>
      <c r="X50" s="565"/>
      <c r="Y50" s="565"/>
      <c r="Z50" s="866"/>
      <c r="AA50" s="866"/>
      <c r="AB50" s="897"/>
    </row>
    <row r="51" spans="1:28">
      <c r="A51" s="534" t="s">
        <v>76</v>
      </c>
      <c r="B51" s="380" t="s">
        <v>5618</v>
      </c>
      <c r="C51" s="380"/>
      <c r="D51" s="565">
        <v>55600000000</v>
      </c>
      <c r="E51" s="565">
        <v>-53400000000</v>
      </c>
      <c r="F51" s="565">
        <v>36200000000</v>
      </c>
      <c r="G51" s="565">
        <v>-7000000000</v>
      </c>
      <c r="H51" s="565">
        <v>-85000000000</v>
      </c>
      <c r="I51" s="565">
        <v>-95000000000</v>
      </c>
      <c r="J51" s="567">
        <v>-236000000000</v>
      </c>
      <c r="K51" s="565">
        <v>163000000000</v>
      </c>
      <c r="L51" s="565">
        <v>-235000000000</v>
      </c>
      <c r="M51" s="565">
        <v>-247000000000</v>
      </c>
      <c r="N51" s="565">
        <v>-270000000000</v>
      </c>
      <c r="O51" s="565">
        <v>-356000000000</v>
      </c>
      <c r="P51" s="565">
        <v>-313000000000</v>
      </c>
      <c r="Q51" s="565">
        <v>-236000000000</v>
      </c>
      <c r="R51" s="565">
        <v>-287000000000</v>
      </c>
      <c r="S51" s="565">
        <v>-266000000000</v>
      </c>
      <c r="T51" s="565"/>
      <c r="U51" s="565"/>
      <c r="V51" s="565"/>
      <c r="W51" s="565"/>
      <c r="X51" s="565"/>
      <c r="Y51" s="565"/>
      <c r="Z51" s="866"/>
      <c r="AA51" s="866"/>
      <c r="AB51" s="897"/>
    </row>
    <row r="52" spans="1:28">
      <c r="A52" s="534" t="s">
        <v>76</v>
      </c>
      <c r="B52" s="380" t="s">
        <v>5619</v>
      </c>
      <c r="C52" s="380"/>
      <c r="D52" s="565">
        <v>-53700000000</v>
      </c>
      <c r="E52" s="565">
        <v>-145400000000</v>
      </c>
      <c r="F52" s="565">
        <v>-65700000000</v>
      </c>
      <c r="G52" s="565">
        <v>-130000000000</v>
      </c>
      <c r="H52" s="565">
        <v>-220000000000</v>
      </c>
      <c r="I52" s="565">
        <v>-211000000000</v>
      </c>
      <c r="J52" s="567">
        <v>-352000000000</v>
      </c>
      <c r="K52" s="567">
        <v>-336000000000</v>
      </c>
      <c r="L52" s="565">
        <v>-413000000000</v>
      </c>
      <c r="M52" s="565">
        <v>-474000000000</v>
      </c>
      <c r="N52" s="565">
        <v>-496000000000</v>
      </c>
      <c r="O52" s="565">
        <v>-605000000000</v>
      </c>
      <c r="P52" s="565">
        <v>-626000000000</v>
      </c>
      <c r="Q52" s="565">
        <v>-585000000000</v>
      </c>
      <c r="R52" s="565">
        <v>-588000000000</v>
      </c>
      <c r="S52" s="565">
        <v>-619000000000</v>
      </c>
      <c r="T52" s="565"/>
      <c r="U52" s="565">
        <v>-369000000000</v>
      </c>
      <c r="V52" s="565">
        <v>-362000000000</v>
      </c>
      <c r="W52" s="565">
        <v>-476000000000</v>
      </c>
      <c r="X52" s="565">
        <v>-431000000000</v>
      </c>
      <c r="Y52" s="565">
        <v>-472000000000</v>
      </c>
      <c r="Z52" s="866">
        <v>-524000000000</v>
      </c>
      <c r="AA52" s="866">
        <v>-573000000000</v>
      </c>
      <c r="AB52" s="897">
        <v>-618000000000</v>
      </c>
    </row>
    <row r="53" spans="1:28">
      <c r="A53" s="534" t="s">
        <v>76</v>
      </c>
      <c r="B53" s="380" t="s">
        <v>5620</v>
      </c>
      <c r="C53" s="380"/>
      <c r="D53" s="565">
        <v>10300000000</v>
      </c>
      <c r="E53" s="565">
        <v>-83700000000</v>
      </c>
      <c r="F53" s="565">
        <v>-3600000000</v>
      </c>
      <c r="G53" s="565">
        <v>-52000000000</v>
      </c>
      <c r="H53" s="565">
        <v>-132000000000</v>
      </c>
      <c r="I53" s="565">
        <v>-136000000000</v>
      </c>
      <c r="J53" s="567">
        <v>-279000000000</v>
      </c>
      <c r="K53" s="567">
        <v>-198000000000</v>
      </c>
      <c r="L53" s="565">
        <v>-273000000000</v>
      </c>
      <c r="M53" s="565">
        <v>-292000000000</v>
      </c>
      <c r="N53" s="565">
        <v>-334000000000</v>
      </c>
      <c r="O53" s="565">
        <v>-455000000000</v>
      </c>
      <c r="P53" s="565">
        <v>-420000000000</v>
      </c>
      <c r="Q53" s="565">
        <v>-377000000000</v>
      </c>
      <c r="R53" s="565">
        <v>-400000000000</v>
      </c>
      <c r="S53" s="565">
        <v>-396000000000</v>
      </c>
      <c r="T53" s="1167">
        <v>-381000000000</v>
      </c>
      <c r="U53" s="1167"/>
      <c r="V53" s="1167"/>
      <c r="W53" s="1167"/>
      <c r="X53" s="1167"/>
      <c r="Y53" s="1167"/>
      <c r="Z53" s="1167"/>
      <c r="AA53" s="1167"/>
      <c r="AB53" s="897"/>
    </row>
    <row r="54" spans="1:28" s="848" customFormat="1">
      <c r="A54" s="880" t="s">
        <v>115</v>
      </c>
      <c r="B54" s="880" t="s">
        <v>115</v>
      </c>
      <c r="C54" s="880" t="s">
        <v>35</v>
      </c>
      <c r="D54" s="876">
        <v>-10300000000</v>
      </c>
      <c r="E54" s="876">
        <v>83700000000</v>
      </c>
      <c r="F54" s="876">
        <v>3600000000</v>
      </c>
      <c r="G54" s="876">
        <v>52000000000</v>
      </c>
      <c r="H54" s="876">
        <v>132000000000</v>
      </c>
      <c r="I54" s="876">
        <v>136000000000</v>
      </c>
      <c r="J54" s="1641">
        <v>279000000000</v>
      </c>
      <c r="K54" s="876">
        <v>198000000000</v>
      </c>
      <c r="L54" s="876">
        <v>273000000000</v>
      </c>
      <c r="M54" s="876">
        <v>292000000000</v>
      </c>
      <c r="N54" s="876">
        <v>334000000000</v>
      </c>
      <c r="O54" s="876">
        <v>455000000000</v>
      </c>
      <c r="P54" s="876">
        <v>420000000000</v>
      </c>
      <c r="Q54" s="876">
        <f>Q55+Q67</f>
        <v>358000000000</v>
      </c>
      <c r="R54" s="876">
        <v>400000000000</v>
      </c>
      <c r="S54" s="876">
        <v>396000000000</v>
      </c>
      <c r="T54" s="876">
        <f>T55+T67</f>
        <v>374000000000</v>
      </c>
      <c r="U54" s="876">
        <f t="shared" ref="U54:AB54" si="5">U55+U67</f>
        <v>369000000000</v>
      </c>
      <c r="V54" s="876">
        <f t="shared" si="5"/>
        <v>362000000000</v>
      </c>
      <c r="W54" s="876">
        <f t="shared" si="5"/>
        <v>476000000000</v>
      </c>
      <c r="X54" s="876">
        <f t="shared" si="5"/>
        <v>431000000000</v>
      </c>
      <c r="Y54" s="876">
        <f t="shared" si="5"/>
        <v>472000000000</v>
      </c>
      <c r="Z54" s="876">
        <f t="shared" si="5"/>
        <v>524000000000</v>
      </c>
      <c r="AA54" s="876">
        <f t="shared" si="5"/>
        <v>574000000000</v>
      </c>
      <c r="AB54" s="876">
        <f t="shared" si="5"/>
        <v>618000000000</v>
      </c>
    </row>
    <row r="55" spans="1:28">
      <c r="A55" s="534" t="s">
        <v>117</v>
      </c>
      <c r="B55" s="380" t="s">
        <v>5621</v>
      </c>
      <c r="C55" s="865" t="s">
        <v>119</v>
      </c>
      <c r="D55" s="565">
        <v>17100000000.000002</v>
      </c>
      <c r="E55" s="565">
        <v>54900000000</v>
      </c>
      <c r="F55" s="565">
        <v>68400000000.000008</v>
      </c>
      <c r="G55" s="565">
        <v>69000000000</v>
      </c>
      <c r="H55" s="565">
        <v>142000000000</v>
      </c>
      <c r="I55" s="565">
        <v>161000000000</v>
      </c>
      <c r="J55" s="567">
        <v>121000000000</v>
      </c>
      <c r="K55" s="565">
        <v>131000000000</v>
      </c>
      <c r="L55" s="565">
        <v>225000000000</v>
      </c>
      <c r="M55" s="565">
        <v>224000000000</v>
      </c>
      <c r="N55" s="565">
        <v>173000000000</v>
      </c>
      <c r="O55" s="565">
        <v>422000000000</v>
      </c>
      <c r="P55" s="565">
        <v>436000000000</v>
      </c>
      <c r="Q55" s="561">
        <f>Q56+Q60+Q61+Q62+Q66</f>
        <v>310000000000</v>
      </c>
      <c r="R55" s="565">
        <v>204000000000</v>
      </c>
      <c r="S55" s="565">
        <v>368000000000</v>
      </c>
      <c r="T55" s="565">
        <f>T89+T82</f>
        <v>587000000000</v>
      </c>
      <c r="U55" s="565">
        <f t="shared" ref="U55:AB55" si="6">U89+U82</f>
        <v>473000000000</v>
      </c>
      <c r="V55" s="565">
        <f>V89+V82</f>
        <v>720000000000</v>
      </c>
      <c r="W55" s="565">
        <f t="shared" si="6"/>
        <v>927000000000</v>
      </c>
      <c r="X55" s="565">
        <f t="shared" si="6"/>
        <v>309000000000</v>
      </c>
      <c r="Y55" s="565">
        <f t="shared" si="6"/>
        <v>473000000000</v>
      </c>
      <c r="Z55" s="565">
        <f t="shared" si="6"/>
        <v>483000000000</v>
      </c>
      <c r="AA55" s="565">
        <f t="shared" si="6"/>
        <v>522000000000</v>
      </c>
      <c r="AB55" s="565">
        <f t="shared" si="6"/>
        <v>524000000000</v>
      </c>
    </row>
    <row r="56" spans="1:28">
      <c r="A56" s="566" t="s">
        <v>1104</v>
      </c>
      <c r="B56" s="2045" t="s">
        <v>1104</v>
      </c>
      <c r="C56" s="380" t="s">
        <v>264</v>
      </c>
      <c r="D56" s="565">
        <f t="shared" ref="D56:M56" si="7">D57</f>
        <v>78100000000</v>
      </c>
      <c r="E56" s="565">
        <f t="shared" si="7"/>
        <v>103300000000</v>
      </c>
      <c r="F56" s="565">
        <f t="shared" si="7"/>
        <v>112700000000</v>
      </c>
      <c r="G56" s="565">
        <f t="shared" si="7"/>
        <v>91000000000</v>
      </c>
      <c r="H56" s="565">
        <f t="shared" si="7"/>
        <v>157000000000</v>
      </c>
      <c r="I56" s="565">
        <f t="shared" si="7"/>
        <v>154000000000</v>
      </c>
      <c r="J56" s="565">
        <f t="shared" si="7"/>
        <v>146000000000</v>
      </c>
      <c r="K56" s="565">
        <f t="shared" si="7"/>
        <v>156000000000</v>
      </c>
      <c r="L56" s="565">
        <f t="shared" si="7"/>
        <v>262000000000</v>
      </c>
      <c r="M56" s="565">
        <f t="shared" si="7"/>
        <v>163000000000</v>
      </c>
      <c r="N56" s="565">
        <f>N57</f>
        <v>190000000000</v>
      </c>
      <c r="O56" s="565">
        <f>O57-O60</f>
        <v>176000000000</v>
      </c>
      <c r="P56" s="565">
        <f>P57-P60</f>
        <v>323000000000</v>
      </c>
      <c r="Q56" s="561">
        <f>Q57</f>
        <v>254000000000</v>
      </c>
      <c r="R56" s="565">
        <f>R57-R60</f>
        <v>220000000000</v>
      </c>
      <c r="S56" s="565">
        <f>S57-S60</f>
        <v>237000000000</v>
      </c>
      <c r="T56" s="565"/>
      <c r="U56" s="565"/>
      <c r="V56" s="565"/>
      <c r="W56" s="565"/>
      <c r="X56" s="565"/>
      <c r="Y56" s="565"/>
      <c r="Z56" s="866"/>
      <c r="AA56" s="866"/>
      <c r="AB56" s="897"/>
    </row>
    <row r="57" spans="1:28">
      <c r="A57" s="566"/>
      <c r="B57" s="566" t="s">
        <v>1104</v>
      </c>
      <c r="C57" s="380"/>
      <c r="D57" s="565">
        <v>78100000000</v>
      </c>
      <c r="E57" s="565">
        <v>103300000000</v>
      </c>
      <c r="F57" s="565">
        <v>112700000000</v>
      </c>
      <c r="G57" s="565">
        <v>91000000000</v>
      </c>
      <c r="H57" s="565">
        <v>157000000000</v>
      </c>
      <c r="I57" s="565">
        <v>154000000000</v>
      </c>
      <c r="J57" s="567">
        <v>146000000000</v>
      </c>
      <c r="K57" s="565">
        <v>156000000000</v>
      </c>
      <c r="L57" s="565">
        <v>262000000000</v>
      </c>
      <c r="M57" s="565">
        <v>163000000000</v>
      </c>
      <c r="N57" s="565">
        <v>190000000000</v>
      </c>
      <c r="O57" s="565">
        <v>360000000000</v>
      </c>
      <c r="P57" s="565">
        <v>501000000000</v>
      </c>
      <c r="Q57" s="565">
        <v>254000000000</v>
      </c>
      <c r="R57" s="565">
        <v>214000000000</v>
      </c>
      <c r="S57" s="565">
        <v>258000000000</v>
      </c>
      <c r="T57" s="565"/>
      <c r="U57" s="565"/>
      <c r="V57" s="565"/>
      <c r="W57" s="565"/>
      <c r="X57" s="565"/>
      <c r="Y57" s="565"/>
      <c r="Z57" s="866"/>
      <c r="AA57" s="866"/>
      <c r="AB57" s="897"/>
    </row>
    <row r="58" spans="1:28">
      <c r="A58" s="566" t="s">
        <v>1258</v>
      </c>
      <c r="B58" s="566" t="s">
        <v>5622</v>
      </c>
      <c r="C58" s="865" t="s">
        <v>499</v>
      </c>
      <c r="D58" s="565">
        <v>37100000000</v>
      </c>
      <c r="E58" s="565">
        <v>60600000000</v>
      </c>
      <c r="F58" s="565">
        <v>42200000000</v>
      </c>
      <c r="G58" s="565">
        <v>0</v>
      </c>
      <c r="H58" s="565">
        <v>13000000000</v>
      </c>
      <c r="I58" s="565">
        <v>21000000000</v>
      </c>
      <c r="J58" s="567">
        <v>39000000000</v>
      </c>
      <c r="K58" s="565">
        <v>19000000000</v>
      </c>
      <c r="L58" s="565">
        <v>70000000000</v>
      </c>
      <c r="M58" s="565">
        <v>55000000000</v>
      </c>
      <c r="N58" s="565">
        <v>30000000000</v>
      </c>
      <c r="O58" s="565">
        <v>40000000000</v>
      </c>
      <c r="P58" s="565">
        <v>118000000000</v>
      </c>
      <c r="Q58" s="565">
        <v>37000000000</v>
      </c>
      <c r="R58" s="565">
        <v>53000000000</v>
      </c>
      <c r="S58" s="565">
        <v>53000000000</v>
      </c>
      <c r="T58" s="565"/>
      <c r="U58" s="565"/>
      <c r="V58" s="565"/>
      <c r="W58" s="565"/>
      <c r="X58" s="565"/>
      <c r="Y58" s="565"/>
      <c r="Z58" s="866"/>
      <c r="AA58" s="866"/>
      <c r="AB58" s="897"/>
    </row>
    <row r="59" spans="1:28">
      <c r="A59" s="435" t="s">
        <v>1253</v>
      </c>
      <c r="B59" s="566" t="s">
        <v>4290</v>
      </c>
      <c r="C59" s="865" t="s">
        <v>499</v>
      </c>
      <c r="D59" s="565">
        <v>41000000000</v>
      </c>
      <c r="E59" s="565">
        <v>42700000000</v>
      </c>
      <c r="F59" s="565">
        <v>70500000000</v>
      </c>
      <c r="G59" s="565">
        <v>91000000000</v>
      </c>
      <c r="H59" s="565">
        <v>144000000000</v>
      </c>
      <c r="I59" s="565">
        <v>133000000000</v>
      </c>
      <c r="J59" s="567">
        <v>107000000000</v>
      </c>
      <c r="K59" s="565">
        <v>138000000000</v>
      </c>
      <c r="L59" s="565">
        <v>192000000000</v>
      </c>
      <c r="M59" s="565">
        <v>107000000000</v>
      </c>
      <c r="N59" s="565">
        <v>160000000000</v>
      </c>
      <c r="O59" s="565">
        <v>135000000000</v>
      </c>
      <c r="P59" s="565">
        <v>205000000000</v>
      </c>
      <c r="Q59" s="565">
        <v>217000000000</v>
      </c>
      <c r="R59" s="565">
        <v>167000000000</v>
      </c>
      <c r="S59" s="565">
        <v>184000000000</v>
      </c>
      <c r="T59" s="565"/>
      <c r="U59" s="565"/>
      <c r="V59" s="565"/>
      <c r="W59" s="565"/>
      <c r="X59" s="565"/>
      <c r="Y59" s="565"/>
      <c r="Z59" s="866"/>
      <c r="AA59" s="866"/>
      <c r="AB59" s="897"/>
    </row>
    <row r="60" spans="1:28">
      <c r="A60" s="566" t="s">
        <v>5623</v>
      </c>
      <c r="B60" s="566" t="s">
        <v>5624</v>
      </c>
      <c r="C60" s="380" t="s">
        <v>264</v>
      </c>
      <c r="D60" s="567"/>
      <c r="E60" s="567"/>
      <c r="F60" s="567"/>
      <c r="G60" s="565">
        <v>8000000000</v>
      </c>
      <c r="H60" s="565">
        <v>3000000000</v>
      </c>
      <c r="I60" s="565">
        <v>17000000000</v>
      </c>
      <c r="J60" s="567">
        <v>-8000000000</v>
      </c>
      <c r="K60" s="565">
        <v>8000000000</v>
      </c>
      <c r="L60" s="567">
        <v>-9000000000</v>
      </c>
      <c r="M60" s="565">
        <v>4000000000</v>
      </c>
      <c r="N60" s="565">
        <v>18000000000</v>
      </c>
      <c r="O60" s="565">
        <v>184000000000</v>
      </c>
      <c r="P60" s="565">
        <v>178000000000</v>
      </c>
      <c r="Q60" s="565">
        <v>17000000000</v>
      </c>
      <c r="R60" s="565">
        <v>-6000000000</v>
      </c>
      <c r="S60" s="565">
        <v>21000000000</v>
      </c>
      <c r="T60" s="565"/>
      <c r="U60" s="565"/>
      <c r="V60" s="565"/>
      <c r="W60" s="565"/>
      <c r="X60" s="565"/>
      <c r="Y60" s="565"/>
      <c r="Z60" s="866"/>
      <c r="AA60" s="866"/>
      <c r="AB60" s="897"/>
    </row>
    <row r="61" spans="1:28">
      <c r="A61" s="435" t="s">
        <v>5625</v>
      </c>
      <c r="B61" s="566" t="s">
        <v>5312</v>
      </c>
      <c r="C61" s="380" t="s">
        <v>264</v>
      </c>
      <c r="D61" s="567"/>
      <c r="E61" s="567"/>
      <c r="F61" s="567"/>
      <c r="G61" s="567"/>
      <c r="H61" s="567"/>
      <c r="I61" s="567"/>
      <c r="J61" s="567">
        <v>0</v>
      </c>
      <c r="K61" s="565">
        <v>0</v>
      </c>
      <c r="L61" s="565">
        <v>0</v>
      </c>
      <c r="M61" s="565">
        <v>88000000000</v>
      </c>
      <c r="N61" s="565">
        <v>0</v>
      </c>
      <c r="O61" s="565">
        <v>224000000000</v>
      </c>
      <c r="P61" s="565">
        <v>0</v>
      </c>
      <c r="Q61" s="565">
        <v>130000000000</v>
      </c>
      <c r="R61" s="565">
        <v>53000000000</v>
      </c>
      <c r="S61" s="565">
        <v>200000000000</v>
      </c>
      <c r="T61" s="565"/>
      <c r="U61" s="565"/>
      <c r="V61" s="565"/>
      <c r="W61" s="565"/>
      <c r="X61" s="565"/>
      <c r="Y61" s="565"/>
      <c r="Z61" s="866"/>
      <c r="AA61" s="866"/>
      <c r="AB61" s="897"/>
    </row>
    <row r="62" spans="1:28">
      <c r="A62" s="566" t="s">
        <v>5626</v>
      </c>
      <c r="B62" s="566" t="s">
        <v>5627</v>
      </c>
      <c r="C62" s="380" t="s">
        <v>264</v>
      </c>
      <c r="D62" s="565">
        <v>4200000000</v>
      </c>
      <c r="E62" s="565">
        <v>15800000000</v>
      </c>
      <c r="F62" s="565">
        <v>36700000000</v>
      </c>
      <c r="G62" s="565">
        <v>44000000000</v>
      </c>
      <c r="H62" s="565">
        <v>109000000000</v>
      </c>
      <c r="I62" s="565">
        <v>113000000000</v>
      </c>
      <c r="J62" s="567">
        <v>41000000000</v>
      </c>
      <c r="K62" s="565">
        <v>21000000000</v>
      </c>
      <c r="L62" s="567">
        <v>16000000000</v>
      </c>
      <c r="M62" s="565">
        <v>20000000000</v>
      </c>
      <c r="N62" s="565">
        <v>19000000000</v>
      </c>
      <c r="O62" s="565"/>
      <c r="P62" s="565"/>
      <c r="Q62" s="565"/>
      <c r="R62" s="565"/>
      <c r="S62" s="565"/>
      <c r="T62" s="565"/>
      <c r="U62" s="565"/>
      <c r="V62" s="565"/>
      <c r="W62" s="565"/>
      <c r="X62" s="565"/>
      <c r="Y62" s="565"/>
      <c r="Z62" s="866"/>
      <c r="AA62" s="866"/>
      <c r="AB62" s="897"/>
    </row>
    <row r="63" spans="1:28">
      <c r="A63" s="534" t="s">
        <v>76</v>
      </c>
      <c r="B63" s="1156" t="s">
        <v>5628</v>
      </c>
      <c r="C63" s="380"/>
      <c r="D63" s="567"/>
      <c r="E63" s="567"/>
      <c r="F63" s="567"/>
      <c r="G63" s="567"/>
      <c r="H63" s="567"/>
      <c r="I63" s="567"/>
      <c r="J63" s="567"/>
      <c r="K63" s="567"/>
      <c r="L63" s="567"/>
      <c r="M63" s="567"/>
      <c r="N63" s="567"/>
      <c r="O63" s="565">
        <v>224000000000</v>
      </c>
      <c r="P63" s="565">
        <v>0</v>
      </c>
      <c r="Q63" s="565">
        <v>106000000000</v>
      </c>
      <c r="R63" s="565">
        <v>0</v>
      </c>
      <c r="S63" s="565">
        <v>150000000000</v>
      </c>
      <c r="T63" s="565"/>
      <c r="U63" s="565"/>
      <c r="V63" s="565"/>
      <c r="W63" s="565"/>
      <c r="X63" s="565"/>
      <c r="Y63" s="565"/>
      <c r="Z63" s="866"/>
      <c r="AA63" s="866"/>
      <c r="AB63" s="897"/>
    </row>
    <row r="64" spans="1:28">
      <c r="A64" s="534" t="s">
        <v>76</v>
      </c>
      <c r="B64" s="1156" t="s">
        <v>5629</v>
      </c>
      <c r="C64" s="380"/>
      <c r="D64" s="567"/>
      <c r="E64" s="567"/>
      <c r="F64" s="567"/>
      <c r="G64" s="567"/>
      <c r="H64" s="567"/>
      <c r="I64" s="567"/>
      <c r="J64" s="567"/>
      <c r="K64" s="567"/>
      <c r="L64" s="567"/>
      <c r="M64" s="567"/>
      <c r="N64" s="567"/>
      <c r="O64" s="565">
        <v>0</v>
      </c>
      <c r="P64" s="565">
        <v>0</v>
      </c>
      <c r="Q64" s="565">
        <v>0</v>
      </c>
      <c r="R64" s="565">
        <v>0</v>
      </c>
      <c r="S64" s="565">
        <v>0</v>
      </c>
      <c r="T64" s="565"/>
      <c r="U64" s="565"/>
      <c r="V64" s="565"/>
      <c r="W64" s="565"/>
      <c r="X64" s="565"/>
      <c r="Y64" s="565"/>
      <c r="Z64" s="866"/>
      <c r="AA64" s="866"/>
      <c r="AB64" s="897"/>
    </row>
    <row r="65" spans="1:28">
      <c r="A65" s="534" t="s">
        <v>76</v>
      </c>
      <c r="B65" s="1156" t="s">
        <v>5630</v>
      </c>
      <c r="C65" s="380"/>
      <c r="D65" s="567"/>
      <c r="E65" s="567"/>
      <c r="F65" s="567"/>
      <c r="G65" s="567"/>
      <c r="H65" s="567"/>
      <c r="I65" s="567"/>
      <c r="J65" s="567"/>
      <c r="K65" s="567"/>
      <c r="L65" s="567"/>
      <c r="M65" s="567"/>
      <c r="N65" s="567"/>
      <c r="O65" s="565">
        <v>0</v>
      </c>
      <c r="P65" s="565">
        <v>0</v>
      </c>
      <c r="Q65" s="565">
        <v>24000000000</v>
      </c>
      <c r="R65" s="565">
        <v>53000000000</v>
      </c>
      <c r="S65" s="565">
        <v>50000000000</v>
      </c>
      <c r="T65" s="565"/>
      <c r="U65" s="565"/>
      <c r="V65" s="565"/>
      <c r="W65" s="565"/>
      <c r="X65" s="565"/>
      <c r="Y65" s="565"/>
      <c r="Z65" s="866"/>
      <c r="AA65" s="866"/>
      <c r="AB65" s="897"/>
    </row>
    <row r="66" spans="1:28">
      <c r="A66" s="435" t="s">
        <v>258</v>
      </c>
      <c r="B66" s="566" t="s">
        <v>5631</v>
      </c>
      <c r="C66" s="380" t="s">
        <v>264</v>
      </c>
      <c r="D66" s="565">
        <v>-65200000000</v>
      </c>
      <c r="E66" s="565">
        <v>-64200000000</v>
      </c>
      <c r="F66" s="565">
        <v>-81000000000</v>
      </c>
      <c r="G66" s="565">
        <v>-74000000000</v>
      </c>
      <c r="H66" s="565">
        <v>-127000000000</v>
      </c>
      <c r="I66" s="565">
        <v>-122000000000</v>
      </c>
      <c r="J66" s="567">
        <v>-58000000000</v>
      </c>
      <c r="K66" s="567">
        <v>-54000000000</v>
      </c>
      <c r="L66" s="567">
        <v>-44000000000</v>
      </c>
      <c r="M66" s="565">
        <v>-50000000000</v>
      </c>
      <c r="N66" s="565">
        <v>-53000000000</v>
      </c>
      <c r="O66" s="565">
        <v>-162000000000</v>
      </c>
      <c r="P66" s="565">
        <v>-65000000000</v>
      </c>
      <c r="Q66" s="565">
        <v>-91000000000</v>
      </c>
      <c r="R66" s="565">
        <v>-63000000000</v>
      </c>
      <c r="S66" s="565">
        <v>-91000000000</v>
      </c>
      <c r="T66" s="565"/>
      <c r="U66" s="565"/>
      <c r="V66" s="565"/>
      <c r="W66" s="565"/>
      <c r="X66" s="565"/>
      <c r="Y66" s="565"/>
      <c r="Z66" s="866"/>
      <c r="AA66" s="866"/>
      <c r="AB66" s="897"/>
    </row>
    <row r="67" spans="1:28">
      <c r="A67" s="534" t="s">
        <v>120</v>
      </c>
      <c r="B67" s="380" t="s">
        <v>977</v>
      </c>
      <c r="C67" s="865" t="s">
        <v>119</v>
      </c>
      <c r="D67" s="565">
        <v>-21100000000</v>
      </c>
      <c r="E67" s="565">
        <v>17400000000</v>
      </c>
      <c r="F67" s="565">
        <v>-70700000000</v>
      </c>
      <c r="G67" s="565">
        <v>-12000000000</v>
      </c>
      <c r="H67" s="565">
        <v>-8000000000</v>
      </c>
      <c r="I67" s="565">
        <v>-28000000000</v>
      </c>
      <c r="J67" s="567">
        <v>158000000000</v>
      </c>
      <c r="K67" s="565">
        <v>58000000000</v>
      </c>
      <c r="L67" s="565">
        <v>124000000000</v>
      </c>
      <c r="M67" s="565">
        <v>157000000000</v>
      </c>
      <c r="N67" s="565">
        <v>172000000000</v>
      </c>
      <c r="O67" s="565">
        <v>12000000000</v>
      </c>
      <c r="P67" s="565">
        <v>-13000000000</v>
      </c>
      <c r="Q67" s="565">
        <v>48000000000</v>
      </c>
      <c r="R67" s="565">
        <v>181000000000</v>
      </c>
      <c r="S67" s="565">
        <v>28000000000</v>
      </c>
      <c r="T67" s="565">
        <f>T75+T84</f>
        <v>-213000000000</v>
      </c>
      <c r="U67" s="565">
        <f t="shared" ref="U67:AB67" si="8">U75+U84</f>
        <v>-104000000000</v>
      </c>
      <c r="V67" s="565">
        <f t="shared" si="8"/>
        <v>-358000000000</v>
      </c>
      <c r="W67" s="565">
        <f t="shared" si="8"/>
        <v>-451000000000</v>
      </c>
      <c r="X67" s="565">
        <f t="shared" si="8"/>
        <v>122000000000</v>
      </c>
      <c r="Y67" s="565">
        <f t="shared" si="8"/>
        <v>-1000000000</v>
      </c>
      <c r="Z67" s="565">
        <f t="shared" si="8"/>
        <v>41000000000</v>
      </c>
      <c r="AA67" s="565">
        <f t="shared" si="8"/>
        <v>52000000000</v>
      </c>
      <c r="AB67" s="565">
        <f t="shared" si="8"/>
        <v>94000000000</v>
      </c>
    </row>
    <row r="68" spans="1:28">
      <c r="B68" s="566" t="s">
        <v>4298</v>
      </c>
      <c r="C68" s="380" t="s">
        <v>124</v>
      </c>
      <c r="D68" s="565">
        <v>-28300000000</v>
      </c>
      <c r="E68" s="565">
        <v>21800000000</v>
      </c>
      <c r="F68" s="565">
        <v>-75400000000</v>
      </c>
      <c r="G68" s="565">
        <v>-14000000000</v>
      </c>
      <c r="H68" s="565">
        <v>-49000000000</v>
      </c>
      <c r="I68" s="565">
        <v>-45000000000</v>
      </c>
      <c r="J68" s="567">
        <v>128000000000</v>
      </c>
      <c r="K68" s="565">
        <v>98000000000</v>
      </c>
      <c r="L68" s="565">
        <v>-46000000000</v>
      </c>
      <c r="M68" s="565">
        <v>116000000000</v>
      </c>
      <c r="N68" s="565">
        <v>172000000000</v>
      </c>
      <c r="O68" s="565">
        <v>12000000000</v>
      </c>
      <c r="P68" s="565">
        <v>-195000000000</v>
      </c>
      <c r="Q68" s="565">
        <v>38000000000</v>
      </c>
      <c r="R68" s="565">
        <v>163000000000</v>
      </c>
      <c r="S68" s="565">
        <v>26000000000</v>
      </c>
      <c r="U68" s="565"/>
      <c r="V68" s="565"/>
      <c r="W68" s="565"/>
      <c r="X68" s="565"/>
      <c r="Y68" s="565"/>
      <c r="Z68" s="866"/>
      <c r="AA68" s="866"/>
      <c r="AB68" s="897"/>
    </row>
    <row r="69" spans="1:28">
      <c r="B69" s="1156" t="s">
        <v>5632</v>
      </c>
      <c r="C69" s="380"/>
      <c r="D69" s="567"/>
      <c r="E69" s="567"/>
      <c r="F69" s="567"/>
      <c r="G69" s="565">
        <v>15000000000</v>
      </c>
      <c r="H69" s="565">
        <v>19000000000</v>
      </c>
      <c r="I69" s="565">
        <v>-6000000000</v>
      </c>
      <c r="J69" s="567">
        <v>23000000000</v>
      </c>
      <c r="K69" s="565">
        <v>136000000000</v>
      </c>
      <c r="L69" s="565">
        <v>-14000000000</v>
      </c>
      <c r="M69" s="565">
        <v>52000000000</v>
      </c>
      <c r="N69" s="565">
        <v>83000000000</v>
      </c>
      <c r="O69" s="565">
        <v>64000000000</v>
      </c>
      <c r="P69" s="565">
        <v>25000000000</v>
      </c>
      <c r="Q69" s="565">
        <v>52000000000</v>
      </c>
      <c r="R69" s="565">
        <v>11000000000</v>
      </c>
      <c r="S69" s="565">
        <v>50000000000</v>
      </c>
      <c r="U69" s="565"/>
      <c r="V69" s="565"/>
      <c r="W69" s="565"/>
      <c r="X69" s="565"/>
      <c r="Y69" s="565"/>
      <c r="Z69" s="866"/>
      <c r="AA69" s="866"/>
      <c r="AB69" s="897"/>
    </row>
    <row r="70" spans="1:28">
      <c r="B70" s="566" t="s">
        <v>5633</v>
      </c>
      <c r="C70" s="380" t="s">
        <v>124</v>
      </c>
      <c r="D70" s="565">
        <v>7200000000</v>
      </c>
      <c r="E70" s="565">
        <v>-4400000000</v>
      </c>
      <c r="F70" s="565">
        <v>4700000000</v>
      </c>
      <c r="G70" s="565">
        <v>2000000000</v>
      </c>
      <c r="H70" s="565">
        <v>41000000000</v>
      </c>
      <c r="I70" s="565">
        <v>17000000000</v>
      </c>
      <c r="J70" s="567">
        <v>30000000000</v>
      </c>
      <c r="K70" s="565">
        <v>-40000000000</v>
      </c>
      <c r="L70" s="565">
        <v>169000000000</v>
      </c>
      <c r="M70" s="565">
        <v>41000000000</v>
      </c>
      <c r="N70" s="565">
        <v>0</v>
      </c>
      <c r="O70" s="565">
        <v>0</v>
      </c>
      <c r="P70" s="565">
        <v>183000000000</v>
      </c>
      <c r="Q70" s="565">
        <v>10000000000</v>
      </c>
      <c r="R70" s="565">
        <v>18000000000</v>
      </c>
      <c r="S70" s="565">
        <v>2000000000</v>
      </c>
      <c r="U70" s="565"/>
      <c r="V70" s="565"/>
      <c r="W70" s="565"/>
      <c r="X70" s="565"/>
      <c r="Y70" s="565"/>
      <c r="Z70" s="866"/>
      <c r="AA70" s="866"/>
      <c r="AB70" s="897"/>
    </row>
    <row r="71" spans="1:28">
      <c r="B71" s="380" t="s">
        <v>5634</v>
      </c>
      <c r="C71" s="380"/>
      <c r="D71" s="565"/>
      <c r="E71" s="567"/>
      <c r="F71" s="567"/>
      <c r="G71" s="567"/>
      <c r="H71" s="567"/>
      <c r="I71" s="567"/>
      <c r="J71" s="567">
        <v>0</v>
      </c>
      <c r="K71" s="565">
        <v>0</v>
      </c>
      <c r="L71" s="565">
        <v>-84000000000</v>
      </c>
      <c r="M71" s="565">
        <v>-95000000000</v>
      </c>
      <c r="N71" s="565">
        <v>-13000000000</v>
      </c>
      <c r="O71" s="565">
        <v>21000000000</v>
      </c>
      <c r="P71" s="565">
        <v>-3000000000</v>
      </c>
      <c r="Q71" s="565">
        <v>0</v>
      </c>
      <c r="R71" s="565">
        <v>15000000000</v>
      </c>
      <c r="S71" s="565">
        <v>0</v>
      </c>
      <c r="U71" s="565"/>
      <c r="V71" s="565"/>
      <c r="W71" s="565"/>
      <c r="X71" s="565"/>
      <c r="Y71" s="565"/>
      <c r="Z71" s="866"/>
      <c r="AA71" s="866"/>
      <c r="AB71" s="897"/>
    </row>
    <row r="72" spans="1:28">
      <c r="A72" s="380"/>
      <c r="B72" s="380" t="s">
        <v>5635</v>
      </c>
      <c r="C72" s="865" t="s">
        <v>119</v>
      </c>
      <c r="D72" s="565">
        <v>-6300000000</v>
      </c>
      <c r="E72" s="565">
        <v>11400000000</v>
      </c>
      <c r="F72" s="565">
        <v>5900000000</v>
      </c>
      <c r="G72" s="561">
        <v>-5000000000</v>
      </c>
      <c r="H72" s="565">
        <v>-2000000000</v>
      </c>
      <c r="I72" s="565">
        <v>3000000000</v>
      </c>
      <c r="J72" s="567">
        <v>-1000000000</v>
      </c>
      <c r="K72" s="565">
        <v>9000000000</v>
      </c>
      <c r="L72" s="565">
        <v>9000000000</v>
      </c>
      <c r="M72" s="565">
        <v>6000000000</v>
      </c>
      <c r="N72" s="565">
        <v>1000000000</v>
      </c>
      <c r="O72" s="565">
        <v>0</v>
      </c>
      <c r="P72" s="565">
        <v>0</v>
      </c>
      <c r="Q72" s="565">
        <v>0</v>
      </c>
      <c r="R72" s="565">
        <v>0</v>
      </c>
      <c r="S72" s="565">
        <v>0</v>
      </c>
      <c r="T72" s="565"/>
      <c r="U72" s="565"/>
      <c r="V72" s="565"/>
      <c r="W72" s="565"/>
      <c r="X72" s="565"/>
      <c r="Y72" s="565"/>
      <c r="Z72" s="866"/>
      <c r="AA72" s="866"/>
      <c r="AB72" s="897"/>
    </row>
    <row r="73" spans="1:28">
      <c r="A73" s="380"/>
      <c r="B73" s="380" t="s">
        <v>5636</v>
      </c>
      <c r="C73" s="865" t="s">
        <v>119</v>
      </c>
      <c r="D73" s="565"/>
      <c r="E73" s="565"/>
      <c r="F73" s="565"/>
      <c r="G73" s="565"/>
      <c r="H73" s="565"/>
      <c r="I73" s="565"/>
      <c r="J73" s="567"/>
      <c r="K73" s="565"/>
      <c r="L73" s="565">
        <v>-85000000000</v>
      </c>
      <c r="M73" s="565">
        <v>-95000000000</v>
      </c>
      <c r="N73" s="565">
        <v>-12000000000</v>
      </c>
      <c r="O73" s="565">
        <v>21000000000</v>
      </c>
      <c r="P73" s="565">
        <v>-3000000000</v>
      </c>
      <c r="Q73" s="565">
        <v>0</v>
      </c>
      <c r="R73" s="565">
        <v>15000000000</v>
      </c>
      <c r="S73" s="565">
        <v>0</v>
      </c>
      <c r="U73" s="866"/>
      <c r="V73" s="565"/>
      <c r="W73" s="565"/>
      <c r="X73" s="565"/>
      <c r="Y73" s="565"/>
      <c r="Z73" s="866"/>
      <c r="AA73" s="866"/>
      <c r="AB73" s="897"/>
    </row>
    <row r="74" spans="1:28">
      <c r="A74" s="380"/>
      <c r="B74" s="2037" t="s">
        <v>688</v>
      </c>
      <c r="C74" s="865"/>
      <c r="D74" s="565"/>
      <c r="E74" s="565"/>
      <c r="F74" s="565"/>
      <c r="G74" s="565"/>
      <c r="H74" s="565"/>
      <c r="I74" s="565"/>
      <c r="J74" s="567"/>
      <c r="K74" s="565"/>
      <c r="L74" s="565"/>
      <c r="M74" s="565"/>
      <c r="N74" s="565"/>
      <c r="O74" s="565"/>
      <c r="P74" s="565"/>
      <c r="Q74" s="565"/>
      <c r="R74" s="565"/>
      <c r="S74" s="565"/>
      <c r="T74" s="2036">
        <v>-108000000000</v>
      </c>
      <c r="U74" s="866">
        <v>58000000000</v>
      </c>
      <c r="V74" s="565">
        <v>-24000000000</v>
      </c>
      <c r="W74" s="565">
        <v>-113000000000</v>
      </c>
      <c r="X74" s="565">
        <v>113000000000</v>
      </c>
      <c r="Y74" s="565">
        <v>-10000000000</v>
      </c>
      <c r="Z74" s="565">
        <v>-10000000000</v>
      </c>
      <c r="AA74" s="565">
        <v>-10000000000</v>
      </c>
      <c r="AB74" s="897">
        <v>-10000000000</v>
      </c>
    </row>
    <row r="75" spans="1:28">
      <c r="A75" s="1149" t="s">
        <v>5637</v>
      </c>
      <c r="B75" s="1149" t="s">
        <v>209</v>
      </c>
      <c r="C75" s="380" t="s">
        <v>124</v>
      </c>
      <c r="D75" s="565"/>
      <c r="E75" s="565"/>
      <c r="F75" s="565"/>
      <c r="G75" s="565"/>
      <c r="H75" s="565"/>
      <c r="I75" s="565"/>
      <c r="J75" s="567"/>
      <c r="K75" s="565"/>
      <c r="L75" s="565"/>
      <c r="M75" s="565"/>
      <c r="N75" s="565"/>
      <c r="O75" s="565"/>
      <c r="P75" s="565"/>
      <c r="Q75" s="565"/>
      <c r="R75" s="565"/>
      <c r="S75" s="565"/>
      <c r="T75" s="2036">
        <v>-112000000000</v>
      </c>
      <c r="U75" s="866">
        <v>58000000000</v>
      </c>
      <c r="V75" s="565">
        <v>-24000000000</v>
      </c>
      <c r="W75" s="565">
        <v>-113000000000</v>
      </c>
      <c r="X75" s="565">
        <v>113000000000</v>
      </c>
      <c r="Y75" s="565">
        <v>-10000000000</v>
      </c>
      <c r="Z75" s="565">
        <v>-10000000000</v>
      </c>
      <c r="AA75" s="565">
        <v>-10000000000</v>
      </c>
      <c r="AB75" s="897">
        <v>-10000000000</v>
      </c>
    </row>
    <row r="76" spans="1:28">
      <c r="A76" s="1149" t="s">
        <v>2781</v>
      </c>
      <c r="B76" s="1149" t="s">
        <v>2781</v>
      </c>
      <c r="C76" s="380" t="s">
        <v>5638</v>
      </c>
      <c r="D76" s="565"/>
      <c r="E76" s="565"/>
      <c r="F76" s="565"/>
      <c r="G76" s="565"/>
      <c r="H76" s="565"/>
      <c r="I76" s="565"/>
      <c r="J76" s="567"/>
      <c r="K76" s="565"/>
      <c r="L76" s="565"/>
      <c r="M76" s="565"/>
      <c r="N76" s="565"/>
      <c r="O76" s="565"/>
      <c r="P76" s="565"/>
      <c r="Q76" s="565"/>
      <c r="R76" s="565"/>
      <c r="S76" s="565"/>
      <c r="T76" s="2036">
        <v>-96000000000</v>
      </c>
      <c r="U76" s="866">
        <v>89000000000</v>
      </c>
      <c r="V76" s="565">
        <v>-24000000000</v>
      </c>
      <c r="W76" s="565">
        <v>-113000000000</v>
      </c>
      <c r="X76" s="565">
        <v>113000000000</v>
      </c>
      <c r="Y76" s="565">
        <v>-10000000000</v>
      </c>
      <c r="Z76" s="565">
        <v>-10000000000</v>
      </c>
      <c r="AA76" s="565">
        <v>-10000000000</v>
      </c>
      <c r="AB76" s="866">
        <v>-10000000000</v>
      </c>
    </row>
    <row r="77" spans="1:28">
      <c r="A77" s="1149" t="s">
        <v>5639</v>
      </c>
      <c r="B77" s="1149" t="s">
        <v>5639</v>
      </c>
      <c r="C77" s="380" t="s">
        <v>5638</v>
      </c>
      <c r="D77" s="565"/>
      <c r="E77" s="565"/>
      <c r="F77" s="565"/>
      <c r="G77" s="565"/>
      <c r="H77" s="565"/>
      <c r="I77" s="565"/>
      <c r="J77" s="567"/>
      <c r="K77" s="565"/>
      <c r="L77" s="565"/>
      <c r="M77" s="565"/>
      <c r="N77" s="565"/>
      <c r="O77" s="565"/>
      <c r="P77" s="565"/>
      <c r="Q77" s="565"/>
      <c r="R77" s="565"/>
      <c r="S77" s="565"/>
      <c r="T77" s="571">
        <f t="shared" ref="T77" si="9">T79+T86</f>
        <v>11000000000</v>
      </c>
      <c r="U77" s="571">
        <v>0</v>
      </c>
      <c r="V77" s="571">
        <v>0</v>
      </c>
      <c r="W77" s="571">
        <v>0</v>
      </c>
      <c r="X77" s="571">
        <v>0</v>
      </c>
      <c r="Y77" s="571">
        <v>0</v>
      </c>
      <c r="Z77" s="571">
        <v>0</v>
      </c>
      <c r="AA77" s="571">
        <v>0</v>
      </c>
      <c r="AB77" s="897">
        <v>0</v>
      </c>
    </row>
    <row r="78" spans="1:28">
      <c r="A78" s="1149" t="s">
        <v>444</v>
      </c>
      <c r="B78" s="1149" t="s">
        <v>444</v>
      </c>
      <c r="C78" s="380" t="s">
        <v>5638</v>
      </c>
      <c r="D78" s="565"/>
      <c r="E78" s="565"/>
      <c r="F78" s="565"/>
      <c r="G78" s="565"/>
      <c r="H78" s="565"/>
      <c r="I78" s="565"/>
      <c r="J78" s="567"/>
      <c r="K78" s="565"/>
      <c r="L78" s="565"/>
      <c r="M78" s="565"/>
      <c r="N78" s="565"/>
      <c r="O78" s="565"/>
      <c r="P78" s="565"/>
      <c r="Q78" s="565"/>
      <c r="R78" s="565"/>
      <c r="S78" s="565"/>
      <c r="T78" s="571">
        <f t="shared" ref="T78" si="10">T80+T87</f>
        <v>46000000000</v>
      </c>
      <c r="U78" s="571">
        <v>0</v>
      </c>
      <c r="V78" s="571">
        <v>0</v>
      </c>
      <c r="W78" s="571">
        <v>0</v>
      </c>
      <c r="X78" s="571">
        <v>0</v>
      </c>
      <c r="Y78" s="571">
        <v>0</v>
      </c>
      <c r="Z78" s="571">
        <v>0</v>
      </c>
      <c r="AA78" s="571">
        <v>0</v>
      </c>
      <c r="AB78" s="897">
        <v>0</v>
      </c>
    </row>
    <row r="79" spans="1:28">
      <c r="A79" s="1149" t="s">
        <v>5640</v>
      </c>
      <c r="B79" s="1149" t="s">
        <v>5640</v>
      </c>
      <c r="C79" s="380" t="s">
        <v>5638</v>
      </c>
      <c r="D79" s="565"/>
      <c r="E79" s="565"/>
      <c r="F79" s="565"/>
      <c r="G79" s="565"/>
      <c r="H79" s="565"/>
      <c r="I79" s="565"/>
      <c r="J79" s="567"/>
      <c r="K79" s="565"/>
      <c r="L79" s="565"/>
      <c r="M79" s="565"/>
      <c r="N79" s="565"/>
      <c r="O79" s="565"/>
      <c r="P79" s="565"/>
      <c r="Q79" s="565"/>
      <c r="R79" s="565"/>
      <c r="S79" s="565"/>
      <c r="T79" s="2036">
        <v>-13000000000</v>
      </c>
      <c r="U79" s="565">
        <v>-31000000000</v>
      </c>
      <c r="V79" s="565">
        <v>0</v>
      </c>
      <c r="W79" s="565">
        <v>0</v>
      </c>
      <c r="X79" s="565">
        <v>0</v>
      </c>
      <c r="Y79" s="565">
        <v>0</v>
      </c>
      <c r="Z79" s="565">
        <v>0</v>
      </c>
      <c r="AA79" s="565">
        <v>0</v>
      </c>
      <c r="AB79" s="897">
        <v>0</v>
      </c>
    </row>
    <row r="80" spans="1:28">
      <c r="A80" s="380"/>
      <c r="B80" s="1149" t="s">
        <v>444</v>
      </c>
      <c r="C80" s="380"/>
      <c r="D80" s="565"/>
      <c r="E80" s="565"/>
      <c r="F80" s="565"/>
      <c r="G80" s="565"/>
      <c r="H80" s="565"/>
      <c r="I80" s="565"/>
      <c r="J80" s="567"/>
      <c r="K80" s="565"/>
      <c r="L80" s="565"/>
      <c r="M80" s="565"/>
      <c r="N80" s="565"/>
      <c r="O80" s="565"/>
      <c r="P80" s="565"/>
      <c r="Q80" s="565"/>
      <c r="R80" s="565"/>
      <c r="S80" s="565"/>
      <c r="T80" s="2036">
        <v>0</v>
      </c>
      <c r="U80" s="565"/>
      <c r="V80" s="565"/>
      <c r="W80" s="565"/>
      <c r="X80" s="565"/>
      <c r="Y80" s="565"/>
      <c r="Z80" s="565"/>
      <c r="AA80" s="565"/>
      <c r="AB80" s="897"/>
    </row>
    <row r="81" spans="1:28">
      <c r="A81" s="1149"/>
      <c r="B81" s="1149" t="s">
        <v>3142</v>
      </c>
      <c r="C81" s="380"/>
      <c r="D81" s="565"/>
      <c r="E81" s="565"/>
      <c r="F81" s="565"/>
      <c r="G81" s="565"/>
      <c r="H81" s="565"/>
      <c r="I81" s="565"/>
      <c r="J81" s="567"/>
      <c r="K81" s="565"/>
      <c r="L81" s="565"/>
      <c r="M81" s="565"/>
      <c r="N81" s="565"/>
      <c r="O81" s="565"/>
      <c r="P81" s="565"/>
      <c r="Q81" s="565"/>
      <c r="R81" s="565"/>
      <c r="S81" s="565"/>
      <c r="T81" s="571">
        <f>T82+T88</f>
        <v>-162000000000</v>
      </c>
      <c r="U81" s="571"/>
      <c r="V81" s="571"/>
      <c r="W81" s="571"/>
      <c r="X81" s="571"/>
      <c r="Y81" s="571"/>
      <c r="Z81" s="571"/>
      <c r="AA81" s="571"/>
      <c r="AB81" s="897"/>
    </row>
    <row r="82" spans="1:28">
      <c r="A82" s="1149" t="s">
        <v>5641</v>
      </c>
      <c r="B82" s="1149" t="s">
        <v>212</v>
      </c>
      <c r="C82" s="380" t="s">
        <v>264</v>
      </c>
      <c r="D82" s="565"/>
      <c r="E82" s="565"/>
      <c r="F82" s="565"/>
      <c r="G82" s="565"/>
      <c r="H82" s="565"/>
      <c r="I82" s="565"/>
      <c r="J82" s="567"/>
      <c r="K82" s="565"/>
      <c r="L82" s="565"/>
      <c r="M82" s="565"/>
      <c r="N82" s="565"/>
      <c r="O82" s="565"/>
      <c r="P82" s="565"/>
      <c r="Q82" s="565"/>
      <c r="R82" s="565"/>
      <c r="S82" s="565"/>
      <c r="T82" s="2036">
        <v>-3000000000</v>
      </c>
      <c r="U82" s="565">
        <v>0</v>
      </c>
      <c r="V82" s="565">
        <v>0</v>
      </c>
      <c r="W82" s="565">
        <v>0</v>
      </c>
      <c r="X82" s="565">
        <v>0</v>
      </c>
      <c r="Y82" s="565">
        <v>0</v>
      </c>
      <c r="Z82" s="565">
        <v>0</v>
      </c>
      <c r="AA82" s="565">
        <v>0</v>
      </c>
      <c r="AB82" s="897">
        <v>0</v>
      </c>
    </row>
    <row r="83" spans="1:28">
      <c r="A83" s="380"/>
      <c r="B83" s="2037" t="s">
        <v>689</v>
      </c>
      <c r="C83" s="865"/>
      <c r="D83" s="565"/>
      <c r="E83" s="565"/>
      <c r="F83" s="565"/>
      <c r="G83" s="565"/>
      <c r="H83" s="565"/>
      <c r="I83" s="565"/>
      <c r="J83" s="567"/>
      <c r="K83" s="565"/>
      <c r="L83" s="565"/>
      <c r="M83" s="565"/>
      <c r="N83" s="565"/>
      <c r="O83" s="565"/>
      <c r="P83" s="565"/>
      <c r="Q83" s="565"/>
      <c r="R83" s="565"/>
      <c r="S83" s="565"/>
      <c r="T83" s="2036">
        <v>489000000000</v>
      </c>
      <c r="U83" s="1167">
        <v>311000000000</v>
      </c>
      <c r="V83" s="1167">
        <v>386000000000</v>
      </c>
      <c r="W83" s="125">
        <v>589000000000</v>
      </c>
      <c r="X83" s="125">
        <v>317000000000</v>
      </c>
      <c r="Y83" s="125">
        <v>482000000000</v>
      </c>
      <c r="Z83" s="125">
        <v>534000000000</v>
      </c>
      <c r="AA83" s="125">
        <v>583000000000</v>
      </c>
      <c r="AB83" s="125">
        <v>628000000000</v>
      </c>
    </row>
    <row r="84" spans="1:28">
      <c r="A84" s="380" t="s">
        <v>5642</v>
      </c>
      <c r="B84" s="380" t="s">
        <v>209</v>
      </c>
      <c r="C84" s="380" t="s">
        <v>124</v>
      </c>
      <c r="D84" s="565"/>
      <c r="E84" s="565"/>
      <c r="F84" s="565"/>
      <c r="G84" s="565"/>
      <c r="H84" s="565"/>
      <c r="I84" s="565"/>
      <c r="J84" s="567"/>
      <c r="K84" s="565"/>
      <c r="L84" s="565"/>
      <c r="M84" s="565"/>
      <c r="N84" s="565"/>
      <c r="O84" s="565"/>
      <c r="P84" s="565"/>
      <c r="Q84" s="565"/>
      <c r="R84" s="565"/>
      <c r="S84" s="565"/>
      <c r="T84" s="2036">
        <v>-101000000000</v>
      </c>
      <c r="U84" s="1167">
        <v>-162000000000</v>
      </c>
      <c r="V84" s="1167">
        <v>-334000000000</v>
      </c>
      <c r="W84" s="1167">
        <v>-338000000000</v>
      </c>
      <c r="X84" s="1167">
        <v>9000000000</v>
      </c>
      <c r="Y84" s="1167">
        <v>9000000000</v>
      </c>
      <c r="Z84" s="1167">
        <v>51000000000</v>
      </c>
      <c r="AA84" s="567">
        <v>62000000000</v>
      </c>
      <c r="AB84" s="571">
        <v>104000000000</v>
      </c>
    </row>
    <row r="85" spans="1:28">
      <c r="A85" s="380" t="s">
        <v>7024</v>
      </c>
      <c r="B85" s="380" t="s">
        <v>7024</v>
      </c>
      <c r="C85" s="380" t="s">
        <v>5643</v>
      </c>
      <c r="D85" s="565"/>
      <c r="E85" s="565"/>
      <c r="F85" s="565"/>
      <c r="G85" s="565"/>
      <c r="H85" s="565"/>
      <c r="I85" s="565"/>
      <c r="J85" s="567"/>
      <c r="K85" s="565"/>
      <c r="L85" s="565"/>
      <c r="M85" s="565"/>
      <c r="N85" s="565"/>
      <c r="O85" s="565"/>
      <c r="P85" s="565"/>
      <c r="Q85" s="565"/>
      <c r="R85" s="565"/>
      <c r="S85" s="565"/>
      <c r="T85" s="2036">
        <v>-12000000000</v>
      </c>
      <c r="U85" s="1167">
        <v>-21000000000</v>
      </c>
      <c r="V85" s="1167">
        <v>-20000000000</v>
      </c>
      <c r="W85" s="1167">
        <v>-31000000000</v>
      </c>
      <c r="X85" s="1167">
        <v>-22000000000</v>
      </c>
      <c r="Y85" s="1167">
        <v>-4000000000</v>
      </c>
      <c r="Z85" s="1167">
        <v>0</v>
      </c>
      <c r="AA85" s="1167">
        <v>0</v>
      </c>
      <c r="AB85" s="1167">
        <v>0</v>
      </c>
    </row>
    <row r="86" spans="1:28">
      <c r="A86" s="380" t="s">
        <v>5644</v>
      </c>
      <c r="B86" s="380" t="s">
        <v>5644</v>
      </c>
      <c r="C86" s="380" t="s">
        <v>5643</v>
      </c>
      <c r="D86" s="565"/>
      <c r="E86" s="565"/>
      <c r="F86" s="565"/>
      <c r="G86" s="565"/>
      <c r="H86" s="565"/>
      <c r="I86" s="565"/>
      <c r="J86" s="567"/>
      <c r="K86" s="565"/>
      <c r="L86" s="565"/>
      <c r="M86" s="565"/>
      <c r="N86" s="565"/>
      <c r="O86" s="565"/>
      <c r="P86" s="565"/>
      <c r="Q86" s="565"/>
      <c r="R86" s="565"/>
      <c r="S86" s="565"/>
      <c r="T86" s="2036">
        <v>24000000000</v>
      </c>
      <c r="U86" s="1167">
        <v>125000000000</v>
      </c>
      <c r="V86" s="1167">
        <v>-88000000000</v>
      </c>
      <c r="W86" s="1167">
        <v>-183000000000</v>
      </c>
      <c r="X86" s="1167">
        <v>79000000000</v>
      </c>
      <c r="Y86" s="1167">
        <v>63000000000</v>
      </c>
      <c r="Z86" s="1167">
        <v>89000000000</v>
      </c>
      <c r="AA86" s="1167">
        <v>87000000000</v>
      </c>
      <c r="AB86" s="897">
        <v>129000000000</v>
      </c>
    </row>
    <row r="87" spans="1:28">
      <c r="A87" s="380" t="s">
        <v>444</v>
      </c>
      <c r="B87" s="380" t="s">
        <v>444</v>
      </c>
      <c r="C87" s="380" t="s">
        <v>5643</v>
      </c>
      <c r="D87" s="565"/>
      <c r="E87" s="565"/>
      <c r="F87" s="565"/>
      <c r="G87" s="565"/>
      <c r="H87" s="565"/>
      <c r="I87" s="565"/>
      <c r="J87" s="567"/>
      <c r="K87" s="565"/>
      <c r="L87" s="565"/>
      <c r="M87" s="565"/>
      <c r="N87" s="565"/>
      <c r="O87" s="565"/>
      <c r="P87" s="565"/>
      <c r="Q87" s="565"/>
      <c r="R87" s="565"/>
      <c r="S87" s="565"/>
      <c r="T87" s="2036">
        <v>46000000000</v>
      </c>
      <c r="U87" s="1167">
        <v>-50000000000</v>
      </c>
      <c r="V87" s="1167">
        <v>-55000000000</v>
      </c>
      <c r="W87" s="1167">
        <v>-48000000000</v>
      </c>
      <c r="X87" s="1167">
        <v>-49000000000</v>
      </c>
      <c r="Y87" s="1167">
        <v>-50000000000</v>
      </c>
      <c r="Z87" s="1167">
        <v>-38000000000</v>
      </c>
      <c r="AA87" s="1167">
        <v>-25000000000</v>
      </c>
      <c r="AB87" s="897">
        <v>-25000000000</v>
      </c>
    </row>
    <row r="88" spans="1:28">
      <c r="A88" s="380" t="s">
        <v>5645</v>
      </c>
      <c r="B88" s="380" t="s">
        <v>5645</v>
      </c>
      <c r="C88" s="380" t="s">
        <v>5643</v>
      </c>
      <c r="D88" s="565"/>
      <c r="E88" s="565"/>
      <c r="F88" s="565"/>
      <c r="G88" s="565"/>
      <c r="H88" s="565"/>
      <c r="I88" s="565"/>
      <c r="J88" s="567"/>
      <c r="K88" s="565"/>
      <c r="L88" s="565"/>
      <c r="M88" s="565"/>
      <c r="N88" s="565"/>
      <c r="O88" s="565"/>
      <c r="P88" s="565"/>
      <c r="Q88" s="565"/>
      <c r="R88" s="565"/>
      <c r="S88" s="565"/>
      <c r="T88" s="2036">
        <v>-159000000000</v>
      </c>
      <c r="U88" s="1167">
        <v>-216000000000</v>
      </c>
      <c r="V88" s="1167">
        <v>-172000000000</v>
      </c>
      <c r="W88" s="1167">
        <v>-75000000000</v>
      </c>
      <c r="X88" s="1167">
        <v>0</v>
      </c>
      <c r="Y88" s="1167">
        <v>0</v>
      </c>
      <c r="Z88" s="1167">
        <v>0</v>
      </c>
      <c r="AA88" s="1167">
        <v>0</v>
      </c>
      <c r="AB88" s="897">
        <v>0</v>
      </c>
    </row>
    <row r="89" spans="1:28">
      <c r="A89" s="380" t="s">
        <v>5646</v>
      </c>
      <c r="B89" s="380" t="s">
        <v>212</v>
      </c>
      <c r="C89" s="380" t="s">
        <v>264</v>
      </c>
      <c r="D89" s="565"/>
      <c r="E89" s="565"/>
      <c r="F89" s="565"/>
      <c r="G89" s="565"/>
      <c r="H89" s="565"/>
      <c r="I89" s="565"/>
      <c r="J89" s="567"/>
      <c r="K89" s="565"/>
      <c r="L89" s="565"/>
      <c r="M89" s="565"/>
      <c r="N89" s="565"/>
      <c r="O89" s="565"/>
      <c r="P89" s="565"/>
      <c r="Q89" s="565"/>
      <c r="R89" s="565"/>
      <c r="S89" s="565"/>
      <c r="T89" s="2036">
        <v>590000000000</v>
      </c>
      <c r="U89" s="1167">
        <v>473000000000</v>
      </c>
      <c r="V89" s="1167">
        <v>720000000000</v>
      </c>
      <c r="W89" s="1167">
        <v>927000000000</v>
      </c>
      <c r="X89" s="1167">
        <v>309000000000</v>
      </c>
      <c r="Y89" s="1167">
        <v>473000000000</v>
      </c>
      <c r="Z89" s="1167">
        <v>483000000000</v>
      </c>
      <c r="AA89" s="1167">
        <v>522000000000</v>
      </c>
      <c r="AB89" s="897">
        <v>524000000000</v>
      </c>
    </row>
    <row r="90" spans="1:28">
      <c r="A90" s="380" t="s">
        <v>5644</v>
      </c>
      <c r="B90" s="380" t="s">
        <v>5644</v>
      </c>
      <c r="C90" s="380" t="s">
        <v>5647</v>
      </c>
      <c r="D90" s="565"/>
      <c r="E90" s="565"/>
      <c r="F90" s="565"/>
      <c r="G90" s="565"/>
      <c r="H90" s="565"/>
      <c r="I90" s="565"/>
      <c r="J90" s="567"/>
      <c r="K90" s="565"/>
      <c r="L90" s="565"/>
      <c r="M90" s="565"/>
      <c r="N90" s="565"/>
      <c r="O90" s="565"/>
      <c r="P90" s="565"/>
      <c r="Q90" s="565"/>
      <c r="R90" s="565"/>
      <c r="S90" s="565"/>
      <c r="T90" s="2036">
        <v>338000000000</v>
      </c>
      <c r="U90" s="1167">
        <v>312000000000</v>
      </c>
      <c r="V90" s="1167">
        <v>461000000000</v>
      </c>
      <c r="W90" s="1167">
        <v>1001000000000</v>
      </c>
      <c r="X90" s="1167">
        <v>17000000000</v>
      </c>
      <c r="Y90" s="1167">
        <v>162000000000</v>
      </c>
      <c r="Z90" s="1167">
        <v>356000000000</v>
      </c>
      <c r="AA90" s="1167">
        <v>227000000000</v>
      </c>
      <c r="AB90" s="1167">
        <v>203000000000</v>
      </c>
    </row>
    <row r="91" spans="1:28">
      <c r="A91" s="566"/>
      <c r="B91" s="566" t="s">
        <v>5648</v>
      </c>
      <c r="C91" s="865"/>
      <c r="D91" s="565"/>
      <c r="E91" s="565"/>
      <c r="F91" s="565"/>
      <c r="G91" s="565"/>
      <c r="H91" s="565"/>
      <c r="I91" s="565"/>
      <c r="J91" s="567"/>
      <c r="K91" s="565"/>
      <c r="L91" s="565"/>
      <c r="M91" s="565"/>
      <c r="N91" s="565"/>
      <c r="O91" s="565"/>
      <c r="P91" s="565"/>
      <c r="Q91" s="565"/>
      <c r="R91" s="565"/>
      <c r="S91" s="565"/>
      <c r="T91" s="2036">
        <v>88000000000</v>
      </c>
      <c r="U91" s="1167">
        <v>312000000000</v>
      </c>
      <c r="V91" s="1167">
        <v>-181000000000</v>
      </c>
      <c r="W91" s="1167">
        <v>-184000000000</v>
      </c>
      <c r="X91" s="1167">
        <v>17000000000</v>
      </c>
      <c r="Y91" s="1167">
        <v>162000000000</v>
      </c>
      <c r="Z91" s="1167">
        <v>225000000000</v>
      </c>
      <c r="AA91" s="1167">
        <v>227000000000</v>
      </c>
      <c r="AB91" s="897">
        <v>203000000000</v>
      </c>
    </row>
    <row r="92" spans="1:28">
      <c r="A92" s="566"/>
      <c r="B92" s="566" t="s">
        <v>3306</v>
      </c>
      <c r="C92" s="865"/>
      <c r="D92" s="565"/>
      <c r="E92" s="565"/>
      <c r="F92" s="565"/>
      <c r="G92" s="565"/>
      <c r="H92" s="565"/>
      <c r="I92" s="565"/>
      <c r="J92" s="567"/>
      <c r="K92" s="565"/>
      <c r="L92" s="565"/>
      <c r="M92" s="565"/>
      <c r="N92" s="565"/>
      <c r="O92" s="565"/>
      <c r="P92" s="565"/>
      <c r="Q92" s="565"/>
      <c r="R92" s="565"/>
      <c r="S92" s="565"/>
      <c r="T92" s="2036">
        <v>250000000000</v>
      </c>
      <c r="U92" s="1167">
        <v>0</v>
      </c>
      <c r="V92" s="1167">
        <v>641000000000</v>
      </c>
      <c r="W92" s="1167">
        <v>1185000000000</v>
      </c>
      <c r="X92" s="1167">
        <v>0</v>
      </c>
      <c r="Y92" s="1167">
        <v>0</v>
      </c>
      <c r="Z92" s="1167">
        <v>131000000000</v>
      </c>
      <c r="AA92" s="1167">
        <v>0</v>
      </c>
      <c r="AB92" s="1167">
        <v>0</v>
      </c>
    </row>
    <row r="93" spans="1:28">
      <c r="A93" s="380" t="s">
        <v>444</v>
      </c>
      <c r="B93" s="380" t="s">
        <v>444</v>
      </c>
      <c r="C93" s="380" t="s">
        <v>5647</v>
      </c>
      <c r="D93" s="565"/>
      <c r="E93" s="565"/>
      <c r="F93" s="565"/>
      <c r="G93" s="565"/>
      <c r="H93" s="565"/>
      <c r="I93" s="565"/>
      <c r="J93" s="567"/>
      <c r="K93" s="565"/>
      <c r="L93" s="565"/>
      <c r="M93" s="565"/>
      <c r="N93" s="565"/>
      <c r="O93" s="565"/>
      <c r="P93" s="565"/>
      <c r="Q93" s="565"/>
      <c r="R93" s="565"/>
      <c r="S93" s="565"/>
      <c r="T93" s="2036">
        <v>98000000000</v>
      </c>
      <c r="U93" s="1167">
        <v>162000000000</v>
      </c>
      <c r="V93" s="1167">
        <v>259000000000</v>
      </c>
      <c r="W93" s="1167">
        <v>-74000000000</v>
      </c>
      <c r="X93" s="1167">
        <v>291000000000</v>
      </c>
      <c r="Y93" s="1167">
        <v>311000000000</v>
      </c>
      <c r="Z93" s="1167">
        <v>127000000000</v>
      </c>
      <c r="AA93" s="1167">
        <v>295000000000</v>
      </c>
      <c r="AB93" s="897">
        <v>321000000000</v>
      </c>
    </row>
    <row r="94" spans="1:28">
      <c r="A94" s="566"/>
      <c r="B94" s="566" t="s">
        <v>5622</v>
      </c>
      <c r="C94" s="865"/>
      <c r="D94" s="565"/>
      <c r="E94" s="565"/>
      <c r="F94" s="565"/>
      <c r="G94" s="565"/>
      <c r="H94" s="565"/>
      <c r="I94" s="565"/>
      <c r="J94" s="567"/>
      <c r="K94" s="565"/>
      <c r="L94" s="565"/>
      <c r="M94" s="565"/>
      <c r="N94" s="565"/>
      <c r="O94" s="565"/>
      <c r="P94" s="565"/>
      <c r="Q94" s="565"/>
      <c r="R94" s="565"/>
      <c r="S94" s="565"/>
      <c r="T94" s="2036">
        <v>54000000000</v>
      </c>
      <c r="U94" s="1167">
        <v>73000000000</v>
      </c>
      <c r="V94" s="1167">
        <v>80000000000</v>
      </c>
      <c r="W94" s="1167">
        <v>63000000000</v>
      </c>
      <c r="X94" s="1167">
        <v>67000000000</v>
      </c>
      <c r="Y94" s="1167">
        <v>72000000000</v>
      </c>
      <c r="Z94" s="1167">
        <v>72000000000</v>
      </c>
      <c r="AA94" s="1167">
        <v>72000000000</v>
      </c>
      <c r="AB94" s="897">
        <v>72000000000</v>
      </c>
    </row>
    <row r="95" spans="1:28">
      <c r="A95" s="566"/>
      <c r="B95" s="566" t="s">
        <v>4290</v>
      </c>
      <c r="C95" s="865"/>
      <c r="D95" s="565"/>
      <c r="E95" s="565"/>
      <c r="F95" s="565"/>
      <c r="G95" s="565"/>
      <c r="H95" s="565"/>
      <c r="I95" s="565"/>
      <c r="J95" s="567"/>
      <c r="K95" s="565"/>
      <c r="L95" s="565"/>
      <c r="M95" s="565"/>
      <c r="N95" s="565"/>
      <c r="O95" s="565"/>
      <c r="P95" s="565"/>
      <c r="Q95" s="565"/>
      <c r="R95" s="565"/>
      <c r="S95" s="565"/>
      <c r="T95" s="2036">
        <v>54000000000</v>
      </c>
      <c r="U95" s="1167">
        <v>220000000000</v>
      </c>
      <c r="V95" s="1167">
        <v>241000000000</v>
      </c>
      <c r="W95" s="1167">
        <v>280000000000</v>
      </c>
      <c r="X95" s="1167">
        <v>294000000000</v>
      </c>
      <c r="Y95" s="1167">
        <v>309000000000</v>
      </c>
      <c r="Z95" s="1167">
        <v>324000000000</v>
      </c>
      <c r="AA95" s="1167">
        <v>340000000000</v>
      </c>
      <c r="AB95" s="897">
        <v>357000000000</v>
      </c>
    </row>
    <row r="96" spans="1:28">
      <c r="A96" s="566"/>
      <c r="B96" s="566" t="s">
        <v>5312</v>
      </c>
      <c r="C96" s="865"/>
      <c r="D96" s="565"/>
      <c r="E96" s="565"/>
      <c r="F96" s="565"/>
      <c r="G96" s="565"/>
      <c r="H96" s="565"/>
      <c r="I96" s="565"/>
      <c r="J96" s="567"/>
      <c r="K96" s="565"/>
      <c r="L96" s="565"/>
      <c r="M96" s="565"/>
      <c r="N96" s="565"/>
      <c r="O96" s="565"/>
      <c r="P96" s="565"/>
      <c r="Q96" s="565"/>
      <c r="R96" s="565"/>
      <c r="S96" s="565"/>
      <c r="T96" s="2036">
        <v>98000000000</v>
      </c>
      <c r="U96" s="1167">
        <v>15000000000</v>
      </c>
      <c r="V96" s="1167">
        <v>88000000000</v>
      </c>
      <c r="W96" s="1167">
        <v>0</v>
      </c>
      <c r="X96" s="1167">
        <v>60000000000</v>
      </c>
      <c r="Y96" s="1167">
        <v>60000000000</v>
      </c>
      <c r="Z96" s="1167">
        <v>60000000000</v>
      </c>
      <c r="AA96" s="1167">
        <v>60000000000</v>
      </c>
      <c r="AB96" s="897">
        <v>60000000000</v>
      </c>
    </row>
    <row r="97" spans="1:28">
      <c r="A97" s="566"/>
      <c r="B97" s="566" t="s">
        <v>50</v>
      </c>
      <c r="C97" s="865"/>
      <c r="D97" s="565"/>
      <c r="E97" s="565"/>
      <c r="F97" s="565"/>
      <c r="G97" s="565"/>
      <c r="H97" s="565"/>
      <c r="I97" s="565"/>
      <c r="J97" s="567"/>
      <c r="K97" s="565"/>
      <c r="L97" s="565"/>
      <c r="M97" s="565"/>
      <c r="N97" s="565"/>
      <c r="O97" s="565"/>
      <c r="P97" s="565"/>
      <c r="Q97" s="565"/>
      <c r="R97" s="565"/>
      <c r="S97" s="565"/>
      <c r="T97" s="2036">
        <v>-108000000000</v>
      </c>
      <c r="U97" s="1167">
        <v>-147000000000</v>
      </c>
      <c r="V97" s="1167">
        <v>-150000000000</v>
      </c>
      <c r="W97" s="1167">
        <v>-417000000000</v>
      </c>
      <c r="X97" s="1167">
        <v>-129000000000</v>
      </c>
      <c r="Y97" s="1167">
        <v>-129000000000</v>
      </c>
      <c r="Z97" s="1167">
        <v>-329000000000</v>
      </c>
      <c r="AA97" s="1167">
        <v>-177000000000</v>
      </c>
      <c r="AB97" s="897">
        <v>-168000000000</v>
      </c>
    </row>
    <row r="98" spans="1:28">
      <c r="A98" s="380" t="s">
        <v>5645</v>
      </c>
      <c r="B98" s="380" t="s">
        <v>5645</v>
      </c>
      <c r="C98" s="380" t="s">
        <v>5647</v>
      </c>
      <c r="D98" s="565"/>
      <c r="E98" s="565"/>
      <c r="F98" s="565"/>
      <c r="G98" s="565"/>
      <c r="H98" s="565"/>
      <c r="I98" s="565"/>
      <c r="J98" s="567"/>
      <c r="K98" s="565"/>
      <c r="L98" s="565"/>
      <c r="M98" s="565"/>
      <c r="N98" s="565"/>
      <c r="O98" s="565"/>
      <c r="P98" s="565"/>
      <c r="Q98" s="565"/>
      <c r="R98" s="565"/>
      <c r="S98" s="565"/>
      <c r="T98" s="2036">
        <v>153000000000</v>
      </c>
      <c r="U98" s="1167">
        <v>0</v>
      </c>
      <c r="V98" s="1167">
        <v>0</v>
      </c>
      <c r="W98" s="1167">
        <v>0</v>
      </c>
      <c r="X98" s="1167">
        <v>0</v>
      </c>
      <c r="Y98" s="1167">
        <v>0</v>
      </c>
      <c r="Z98" s="1167">
        <v>0</v>
      </c>
      <c r="AA98" s="1167">
        <v>0</v>
      </c>
      <c r="AB98" s="897">
        <v>0</v>
      </c>
    </row>
    <row r="99" spans="1:28">
      <c r="A99" s="380"/>
      <c r="B99" s="2038" t="s">
        <v>5649</v>
      </c>
      <c r="C99" s="865"/>
      <c r="D99" s="565"/>
      <c r="E99" s="565"/>
      <c r="F99" s="565"/>
      <c r="G99" s="565"/>
      <c r="H99" s="565"/>
      <c r="I99" s="565"/>
      <c r="J99" s="567"/>
      <c r="K99" s="565"/>
      <c r="L99" s="565"/>
      <c r="M99" s="565"/>
      <c r="N99" s="565"/>
      <c r="O99" s="565"/>
      <c r="P99" s="565"/>
      <c r="Q99" s="565"/>
      <c r="R99" s="565"/>
      <c r="S99" s="565"/>
      <c r="T99" s="2036">
        <v>0</v>
      </c>
      <c r="U99" s="1167">
        <v>0</v>
      </c>
      <c r="V99" s="1167">
        <v>0</v>
      </c>
      <c r="W99" s="1167">
        <v>0</v>
      </c>
      <c r="X99" s="1167">
        <v>0</v>
      </c>
      <c r="Y99" s="1167">
        <v>0</v>
      </c>
      <c r="Z99" s="1167">
        <v>0</v>
      </c>
      <c r="AA99" s="1167">
        <v>0</v>
      </c>
      <c r="AB99" s="897">
        <v>0</v>
      </c>
    </row>
    <row r="100" spans="1:28">
      <c r="A100" s="380"/>
      <c r="B100" s="380"/>
      <c r="C100" s="865"/>
      <c r="D100" s="565"/>
      <c r="E100" s="565"/>
      <c r="F100" s="565"/>
      <c r="G100" s="565"/>
      <c r="H100" s="565"/>
      <c r="I100" s="565"/>
      <c r="J100" s="567"/>
      <c r="K100" s="565"/>
      <c r="L100" s="565"/>
      <c r="M100" s="565"/>
      <c r="N100" s="565"/>
      <c r="O100" s="565"/>
      <c r="P100" s="565"/>
      <c r="Q100" s="565"/>
      <c r="R100" s="565"/>
      <c r="S100" s="565"/>
      <c r="V100" s="565"/>
      <c r="W100" s="565"/>
      <c r="X100" s="565"/>
      <c r="Y100" s="565"/>
      <c r="AB100" s="897"/>
    </row>
    <row r="101" spans="1:28">
      <c r="A101" s="380"/>
      <c r="B101" s="380"/>
      <c r="C101" s="865"/>
      <c r="D101" s="565"/>
      <c r="E101" s="565"/>
      <c r="F101" s="565"/>
      <c r="G101" s="565"/>
      <c r="H101" s="565"/>
      <c r="I101" s="565"/>
      <c r="J101" s="567"/>
      <c r="K101" s="565"/>
      <c r="L101" s="565"/>
      <c r="M101" s="565"/>
      <c r="N101" s="565"/>
      <c r="O101" s="565"/>
      <c r="P101" s="565"/>
      <c r="Q101" s="565"/>
      <c r="R101" s="565"/>
      <c r="S101" s="565"/>
      <c r="V101" s="565"/>
      <c r="W101" s="565"/>
      <c r="X101" s="565"/>
      <c r="Y101" s="565"/>
      <c r="AB101" s="897"/>
    </row>
    <row r="102" spans="1:28">
      <c r="A102" s="380"/>
      <c r="B102" s="380"/>
      <c r="C102" s="865"/>
      <c r="D102" s="565"/>
      <c r="E102" s="565"/>
      <c r="F102" s="565"/>
      <c r="G102" s="565"/>
      <c r="H102" s="565"/>
      <c r="I102" s="565"/>
      <c r="J102" s="567"/>
      <c r="K102" s="565"/>
      <c r="L102" s="565"/>
      <c r="M102" s="565"/>
      <c r="N102" s="565"/>
      <c r="O102" s="565"/>
      <c r="P102" s="565"/>
      <c r="Q102" s="565"/>
      <c r="R102" s="565"/>
      <c r="S102" s="565"/>
      <c r="V102" s="565"/>
      <c r="W102" s="565"/>
      <c r="X102" s="565"/>
      <c r="Y102" s="565"/>
      <c r="AB102" s="897"/>
    </row>
    <row r="103" spans="1:28">
      <c r="A103" s="380"/>
      <c r="B103" s="380"/>
      <c r="C103" s="865"/>
      <c r="D103" s="565"/>
      <c r="E103" s="565"/>
      <c r="F103" s="565"/>
      <c r="G103" s="565"/>
      <c r="H103" s="565"/>
      <c r="I103" s="565"/>
      <c r="J103" s="567"/>
      <c r="K103" s="565"/>
      <c r="L103" s="565"/>
      <c r="M103" s="565"/>
      <c r="N103" s="565"/>
      <c r="O103" s="565"/>
      <c r="P103" s="565"/>
      <c r="Q103" s="565"/>
      <c r="R103" s="565"/>
      <c r="S103" s="565"/>
      <c r="V103" s="565"/>
      <c r="W103" s="565"/>
      <c r="X103" s="565"/>
      <c r="Y103" s="565"/>
      <c r="AB103" s="897"/>
    </row>
    <row r="104" spans="1:28">
      <c r="AB104" s="897"/>
    </row>
    <row r="105" spans="1:28">
      <c r="D105" s="867" t="s">
        <v>139</v>
      </c>
      <c r="E105" s="867" t="s">
        <v>139</v>
      </c>
      <c r="F105" s="867" t="s">
        <v>139</v>
      </c>
      <c r="G105" s="867" t="s">
        <v>139</v>
      </c>
      <c r="H105" s="867" t="s">
        <v>139</v>
      </c>
      <c r="I105" s="867" t="s">
        <v>139</v>
      </c>
      <c r="J105" s="867" t="s">
        <v>139</v>
      </c>
      <c r="K105" s="867" t="s">
        <v>139</v>
      </c>
      <c r="L105" s="867" t="s">
        <v>139</v>
      </c>
      <c r="M105" s="867" t="s">
        <v>139</v>
      </c>
      <c r="N105" s="867" t="s">
        <v>139</v>
      </c>
      <c r="O105" s="867" t="s">
        <v>139</v>
      </c>
      <c r="P105" s="867" t="s">
        <v>139</v>
      </c>
      <c r="Q105" s="867" t="s">
        <v>139</v>
      </c>
      <c r="R105" s="867" t="s">
        <v>139</v>
      </c>
      <c r="S105" s="867" t="s">
        <v>139</v>
      </c>
      <c r="T105" s="867" t="s">
        <v>139</v>
      </c>
      <c r="U105" s="867" t="s">
        <v>139</v>
      </c>
      <c r="V105" s="867" t="s">
        <v>139</v>
      </c>
      <c r="W105" s="867" t="s">
        <v>139</v>
      </c>
      <c r="X105" s="867" t="s">
        <v>139</v>
      </c>
      <c r="Y105" s="867" t="s">
        <v>139</v>
      </c>
      <c r="Z105" s="867" t="s">
        <v>139</v>
      </c>
      <c r="AA105" s="867" t="s">
        <v>139</v>
      </c>
      <c r="AB105" s="867" t="s">
        <v>139</v>
      </c>
    </row>
    <row r="106" spans="1:28">
      <c r="AB106" s="897"/>
    </row>
    <row r="107" spans="1:28">
      <c r="B107" s="534" t="s">
        <v>875</v>
      </c>
      <c r="D107" s="575">
        <f t="shared" ref="D107:R107" si="11">D6-D7-D19</f>
        <v>0</v>
      </c>
      <c r="E107" s="575">
        <f t="shared" si="11"/>
        <v>0</v>
      </c>
      <c r="F107" s="575">
        <f t="shared" si="11"/>
        <v>0</v>
      </c>
      <c r="G107" s="575">
        <f t="shared" si="11"/>
        <v>0</v>
      </c>
      <c r="H107" s="575">
        <f t="shared" si="11"/>
        <v>0</v>
      </c>
      <c r="I107" s="575">
        <f t="shared" si="11"/>
        <v>0</v>
      </c>
      <c r="J107" s="575">
        <f t="shared" si="11"/>
        <v>0</v>
      </c>
      <c r="K107" s="575">
        <f t="shared" si="11"/>
        <v>0</v>
      </c>
      <c r="L107" s="575">
        <f t="shared" si="11"/>
        <v>0</v>
      </c>
      <c r="M107" s="575">
        <f t="shared" si="11"/>
        <v>0</v>
      </c>
      <c r="N107" s="575">
        <f t="shared" si="11"/>
        <v>0</v>
      </c>
      <c r="O107" s="575">
        <f t="shared" si="11"/>
        <v>0</v>
      </c>
      <c r="P107" s="575">
        <f t="shared" si="11"/>
        <v>0</v>
      </c>
      <c r="Q107" s="575">
        <f t="shared" si="11"/>
        <v>0</v>
      </c>
      <c r="R107" s="575">
        <f t="shared" si="11"/>
        <v>0</v>
      </c>
      <c r="S107" s="575">
        <f>R6-R7-R19</f>
        <v>0</v>
      </c>
      <c r="T107" s="575">
        <f>S6-S7-S19</f>
        <v>0</v>
      </c>
      <c r="U107" s="575">
        <f>R6-R7-R19</f>
        <v>0</v>
      </c>
      <c r="V107" s="575">
        <f t="shared" ref="V107:AB107" si="12">V6-V7-V19</f>
        <v>1000000000</v>
      </c>
      <c r="W107" s="575">
        <f t="shared" si="12"/>
        <v>0</v>
      </c>
      <c r="X107" s="575">
        <f t="shared" si="12"/>
        <v>0</v>
      </c>
      <c r="Y107" s="575">
        <f t="shared" si="12"/>
        <v>-1000000000</v>
      </c>
      <c r="Z107" s="575">
        <f t="shared" si="12"/>
        <v>1000000000</v>
      </c>
      <c r="AA107" s="575">
        <f t="shared" si="12"/>
        <v>0</v>
      </c>
      <c r="AB107" s="575">
        <f t="shared" si="12"/>
        <v>1000000000</v>
      </c>
    </row>
    <row r="108" spans="1:28">
      <c r="B108" s="534" t="s">
        <v>141</v>
      </c>
      <c r="D108" s="575">
        <f t="shared" ref="D108:AB108" si="13">D7-D8-D16</f>
        <v>6.103515625E-5</v>
      </c>
      <c r="E108" s="575">
        <f t="shared" si="13"/>
        <v>0</v>
      </c>
      <c r="F108" s="575">
        <f t="shared" si="13"/>
        <v>0</v>
      </c>
      <c r="G108" s="575">
        <f t="shared" si="13"/>
        <v>0</v>
      </c>
      <c r="H108" s="575">
        <f t="shared" si="13"/>
        <v>0</v>
      </c>
      <c r="I108" s="575">
        <f t="shared" si="13"/>
        <v>0</v>
      </c>
      <c r="J108" s="575">
        <f t="shared" si="13"/>
        <v>0</v>
      </c>
      <c r="K108" s="575">
        <f t="shared" si="13"/>
        <v>0</v>
      </c>
      <c r="L108" s="575">
        <f t="shared" si="13"/>
        <v>0</v>
      </c>
      <c r="M108" s="575">
        <f t="shared" si="13"/>
        <v>0</v>
      </c>
      <c r="N108" s="575">
        <f t="shared" si="13"/>
        <v>-1000000000</v>
      </c>
      <c r="O108" s="575">
        <f t="shared" si="13"/>
        <v>0</v>
      </c>
      <c r="P108" s="575">
        <f t="shared" si="13"/>
        <v>0</v>
      </c>
      <c r="Q108" s="575">
        <f t="shared" si="13"/>
        <v>1000000000</v>
      </c>
      <c r="R108" s="575">
        <f t="shared" si="13"/>
        <v>0</v>
      </c>
      <c r="S108" s="575">
        <f t="shared" si="13"/>
        <v>0</v>
      </c>
      <c r="T108" s="575">
        <f t="shared" si="13"/>
        <v>0</v>
      </c>
      <c r="U108" s="575">
        <f t="shared" si="13"/>
        <v>0</v>
      </c>
      <c r="V108" s="575">
        <f t="shared" si="13"/>
        <v>0</v>
      </c>
      <c r="W108" s="575">
        <f t="shared" si="13"/>
        <v>0</v>
      </c>
      <c r="X108" s="575">
        <f t="shared" si="13"/>
        <v>0</v>
      </c>
      <c r="Y108" s="575">
        <f t="shared" si="13"/>
        <v>0</v>
      </c>
      <c r="Z108" s="575">
        <f t="shared" si="13"/>
        <v>0</v>
      </c>
      <c r="AA108" s="575">
        <f t="shared" si="13"/>
        <v>0</v>
      </c>
      <c r="AB108" s="575">
        <f t="shared" si="13"/>
        <v>0</v>
      </c>
    </row>
    <row r="109" spans="1:28">
      <c r="B109" s="534" t="s">
        <v>5650</v>
      </c>
      <c r="D109" s="574">
        <f t="shared" ref="D109:AB109" si="14">D8-D9-D12-D14-D15-D10-D11-D13</f>
        <v>537299999999.99994</v>
      </c>
      <c r="E109" s="574">
        <f t="shared" si="14"/>
        <v>576800000000</v>
      </c>
      <c r="F109" s="574">
        <f t="shared" si="14"/>
        <v>629200000000</v>
      </c>
      <c r="G109" s="575">
        <f t="shared" si="14"/>
        <v>0</v>
      </c>
      <c r="H109" s="575">
        <f t="shared" si="14"/>
        <v>0</v>
      </c>
      <c r="I109" s="575">
        <f t="shared" si="14"/>
        <v>0</v>
      </c>
      <c r="J109" s="575">
        <f t="shared" si="14"/>
        <v>0</v>
      </c>
      <c r="K109" s="575">
        <f t="shared" si="14"/>
        <v>0</v>
      </c>
      <c r="L109" s="575">
        <f t="shared" si="14"/>
        <v>0</v>
      </c>
      <c r="M109" s="575">
        <f t="shared" si="14"/>
        <v>0</v>
      </c>
      <c r="N109" s="575">
        <f t="shared" si="14"/>
        <v>0</v>
      </c>
      <c r="O109" s="575">
        <f t="shared" si="14"/>
        <v>0</v>
      </c>
      <c r="P109" s="575">
        <f t="shared" si="14"/>
        <v>0</v>
      </c>
      <c r="Q109" s="575">
        <f t="shared" si="14"/>
        <v>-1000000000</v>
      </c>
      <c r="R109" s="575">
        <f t="shared" si="14"/>
        <v>-1000000000</v>
      </c>
      <c r="S109" s="575">
        <f t="shared" si="14"/>
        <v>-1000000000</v>
      </c>
      <c r="T109" s="575">
        <f t="shared" si="14"/>
        <v>0</v>
      </c>
      <c r="U109" s="575">
        <f t="shared" si="14"/>
        <v>0</v>
      </c>
      <c r="V109" s="575">
        <f t="shared" si="14"/>
        <v>0</v>
      </c>
      <c r="W109" s="575">
        <f t="shared" si="14"/>
        <v>1000000000</v>
      </c>
      <c r="X109" s="575">
        <f t="shared" si="14"/>
        <v>0</v>
      </c>
      <c r="Y109" s="575">
        <f t="shared" si="14"/>
        <v>0</v>
      </c>
      <c r="Z109" s="575">
        <f t="shared" si="14"/>
        <v>-1000000000</v>
      </c>
      <c r="AA109" s="575">
        <f t="shared" si="14"/>
        <v>0</v>
      </c>
      <c r="AB109" s="575">
        <f t="shared" si="14"/>
        <v>0</v>
      </c>
    </row>
    <row r="110" spans="1:28">
      <c r="B110" s="534" t="s">
        <v>1362</v>
      </c>
      <c r="D110" s="571">
        <f t="shared" ref="D110:R110" si="15">D19-D20-D21</f>
        <v>0</v>
      </c>
      <c r="E110" s="571">
        <f t="shared" si="15"/>
        <v>0</v>
      </c>
      <c r="F110" s="571">
        <f t="shared" si="15"/>
        <v>0</v>
      </c>
      <c r="G110" s="571">
        <f t="shared" si="15"/>
        <v>0</v>
      </c>
      <c r="H110" s="571">
        <f t="shared" si="15"/>
        <v>-1000000000</v>
      </c>
      <c r="I110" s="571">
        <f t="shared" si="15"/>
        <v>1000000000</v>
      </c>
      <c r="J110" s="571">
        <f t="shared" si="15"/>
        <v>0</v>
      </c>
      <c r="K110" s="571">
        <f t="shared" si="15"/>
        <v>-1000000000</v>
      </c>
      <c r="L110" s="571">
        <f t="shared" si="15"/>
        <v>1000000000</v>
      </c>
      <c r="M110" s="571">
        <f t="shared" si="15"/>
        <v>0</v>
      </c>
      <c r="N110" s="571">
        <f t="shared" si="15"/>
        <v>0</v>
      </c>
      <c r="O110" s="571">
        <f t="shared" si="15"/>
        <v>0</v>
      </c>
      <c r="P110" s="571">
        <f t="shared" si="15"/>
        <v>0</v>
      </c>
      <c r="Q110" s="571">
        <f t="shared" si="15"/>
        <v>0</v>
      </c>
      <c r="R110" s="571">
        <f t="shared" si="15"/>
        <v>0</v>
      </c>
      <c r="S110" s="571">
        <f>R19-R20-R21</f>
        <v>0</v>
      </c>
      <c r="T110" s="571">
        <f>R19-R20-R21</f>
        <v>0</v>
      </c>
      <c r="U110" s="897">
        <f>R19-R20-R21</f>
        <v>0</v>
      </c>
      <c r="V110" s="897">
        <f>V19-V20-V21</f>
        <v>0</v>
      </c>
      <c r="W110" s="897">
        <f>W19-W20-W21</f>
        <v>0</v>
      </c>
    </row>
    <row r="111" spans="1:28">
      <c r="B111" s="534" t="s">
        <v>1639</v>
      </c>
      <c r="D111" s="575">
        <f t="shared" ref="D111:AB111" si="16">D23-D24-D40-D47-D48</f>
        <v>0</v>
      </c>
      <c r="E111" s="575">
        <f t="shared" si="16"/>
        <v>0</v>
      </c>
      <c r="F111" s="575">
        <f t="shared" si="16"/>
        <v>0</v>
      </c>
      <c r="G111" s="575">
        <f t="shared" si="16"/>
        <v>0</v>
      </c>
      <c r="H111" s="575">
        <f t="shared" si="16"/>
        <v>0</v>
      </c>
      <c r="I111" s="575">
        <f t="shared" si="16"/>
        <v>0</v>
      </c>
      <c r="J111" s="575">
        <f t="shared" si="16"/>
        <v>0</v>
      </c>
      <c r="K111" s="575">
        <f t="shared" si="16"/>
        <v>0</v>
      </c>
      <c r="L111" s="575">
        <f t="shared" si="16"/>
        <v>0</v>
      </c>
      <c r="M111" s="575">
        <f t="shared" si="16"/>
        <v>0</v>
      </c>
      <c r="N111" s="575">
        <f t="shared" si="16"/>
        <v>0</v>
      </c>
      <c r="O111" s="575">
        <f t="shared" si="16"/>
        <v>0</v>
      </c>
      <c r="P111" s="575">
        <f t="shared" si="16"/>
        <v>0</v>
      </c>
      <c r="Q111" s="575">
        <f t="shared" si="16"/>
        <v>0</v>
      </c>
      <c r="R111" s="575">
        <f t="shared" si="16"/>
        <v>0</v>
      </c>
      <c r="S111" s="575">
        <f t="shared" si="16"/>
        <v>0</v>
      </c>
      <c r="T111" s="575">
        <f t="shared" si="16"/>
        <v>0</v>
      </c>
      <c r="U111" s="897">
        <f t="shared" si="16"/>
        <v>0</v>
      </c>
      <c r="V111" s="575">
        <f t="shared" si="16"/>
        <v>0</v>
      </c>
      <c r="W111" s="575">
        <f t="shared" si="16"/>
        <v>0</v>
      </c>
      <c r="X111" s="575">
        <f t="shared" si="16"/>
        <v>0</v>
      </c>
      <c r="Y111" s="575">
        <f t="shared" si="16"/>
        <v>0</v>
      </c>
      <c r="Z111" s="575">
        <f t="shared" si="16"/>
        <v>0</v>
      </c>
      <c r="AA111" s="575">
        <f t="shared" si="16"/>
        <v>0</v>
      </c>
      <c r="AB111" s="575">
        <f t="shared" si="16"/>
        <v>0</v>
      </c>
    </row>
    <row r="112" spans="1:28">
      <c r="B112" s="534" t="s">
        <v>361</v>
      </c>
      <c r="D112" s="571">
        <f t="shared" ref="D112:R112" si="17">D24-D25-D26-D29-D30-D36-D37</f>
        <v>0</v>
      </c>
      <c r="E112" s="571">
        <f t="shared" si="17"/>
        <v>0</v>
      </c>
      <c r="F112" s="571">
        <f t="shared" si="17"/>
        <v>0</v>
      </c>
      <c r="G112" s="571">
        <f t="shared" si="17"/>
        <v>0</v>
      </c>
      <c r="H112" s="571">
        <f t="shared" si="17"/>
        <v>-1000000000</v>
      </c>
      <c r="I112" s="571">
        <f t="shared" si="17"/>
        <v>0</v>
      </c>
      <c r="J112" s="571">
        <f t="shared" si="17"/>
        <v>0</v>
      </c>
      <c r="K112" s="571">
        <f t="shared" si="17"/>
        <v>1000000000</v>
      </c>
      <c r="L112" s="571">
        <f t="shared" si="17"/>
        <v>-1000000000</v>
      </c>
      <c r="M112" s="571">
        <f t="shared" si="17"/>
        <v>1000000000</v>
      </c>
      <c r="N112" s="571">
        <f t="shared" si="17"/>
        <v>0</v>
      </c>
      <c r="O112" s="571">
        <f t="shared" si="17"/>
        <v>-1000000000</v>
      </c>
      <c r="P112" s="571">
        <f t="shared" si="17"/>
        <v>-1000000000</v>
      </c>
      <c r="Q112" s="571">
        <f t="shared" si="17"/>
        <v>-1000000000</v>
      </c>
      <c r="R112" s="571">
        <f t="shared" si="17"/>
        <v>0</v>
      </c>
      <c r="S112" s="571">
        <f>R24-R25-R26-R29-R30-R36-R37-R39</f>
        <v>0</v>
      </c>
      <c r="T112" s="571">
        <f>R24-R25-R26-R29-R30-R36-R37-R39</f>
        <v>0</v>
      </c>
      <c r="U112" s="897">
        <f>R24-R25-R26-R29-R30-R36-R37-R39</f>
        <v>0</v>
      </c>
      <c r="V112" s="897">
        <f t="shared" ref="V112:AB112" si="18">V24-V25-V26-V29-V30-V36-V37-V39</f>
        <v>239000000000</v>
      </c>
      <c r="W112" s="897">
        <f t="shared" si="18"/>
        <v>384000000000</v>
      </c>
      <c r="X112" s="897">
        <f t="shared" si="18"/>
        <v>418000000000</v>
      </c>
      <c r="Y112" s="897">
        <f t="shared" si="18"/>
        <v>420000000000</v>
      </c>
      <c r="Z112" s="897">
        <f t="shared" si="18"/>
        <v>410000000000</v>
      </c>
      <c r="AA112" s="897">
        <f t="shared" si="18"/>
        <v>474000000000</v>
      </c>
      <c r="AB112" s="897">
        <f t="shared" si="18"/>
        <v>518000000000</v>
      </c>
    </row>
    <row r="113" spans="2:28">
      <c r="B113" s="534" t="s">
        <v>936</v>
      </c>
      <c r="D113" s="571">
        <f t="shared" ref="D113:R113" si="19">D26-D27-D28</f>
        <v>0</v>
      </c>
      <c r="E113" s="571">
        <f t="shared" si="19"/>
        <v>0</v>
      </c>
      <c r="F113" s="571">
        <f t="shared" si="19"/>
        <v>0</v>
      </c>
      <c r="G113" s="571">
        <f t="shared" si="19"/>
        <v>0</v>
      </c>
      <c r="H113" s="571">
        <f t="shared" si="19"/>
        <v>0</v>
      </c>
      <c r="I113" s="571">
        <f t="shared" si="19"/>
        <v>0</v>
      </c>
      <c r="J113" s="571">
        <f t="shared" si="19"/>
        <v>0</v>
      </c>
      <c r="K113" s="571">
        <f t="shared" si="19"/>
        <v>0</v>
      </c>
      <c r="L113" s="571">
        <f t="shared" si="19"/>
        <v>0</v>
      </c>
      <c r="M113" s="571">
        <f t="shared" si="19"/>
        <v>0</v>
      </c>
      <c r="N113" s="571">
        <f t="shared" si="19"/>
        <v>0</v>
      </c>
      <c r="O113" s="571">
        <f t="shared" si="19"/>
        <v>0</v>
      </c>
      <c r="P113" s="571">
        <f t="shared" si="19"/>
        <v>0</v>
      </c>
      <c r="Q113" s="571">
        <f t="shared" si="19"/>
        <v>0</v>
      </c>
      <c r="R113" s="571">
        <f t="shared" si="19"/>
        <v>0</v>
      </c>
      <c r="S113" s="571">
        <f>R26-R27-R28</f>
        <v>0</v>
      </c>
      <c r="T113" s="571">
        <f>R26-R27-R28</f>
        <v>0</v>
      </c>
      <c r="U113" s="897">
        <f>R26-R27-R28</f>
        <v>0</v>
      </c>
      <c r="V113" s="897">
        <f t="shared" ref="V113:AB113" si="20">V26-V27-V28</f>
        <v>0</v>
      </c>
      <c r="W113" s="571">
        <f t="shared" si="20"/>
        <v>0</v>
      </c>
      <c r="X113" s="897">
        <f t="shared" si="20"/>
        <v>1000000000</v>
      </c>
      <c r="Y113" s="897">
        <f t="shared" si="20"/>
        <v>0</v>
      </c>
      <c r="Z113" s="897">
        <f t="shared" si="20"/>
        <v>0</v>
      </c>
      <c r="AA113" s="897">
        <f t="shared" si="20"/>
        <v>0</v>
      </c>
      <c r="AB113" s="571">
        <f t="shared" si="20"/>
        <v>-1000000000</v>
      </c>
    </row>
    <row r="114" spans="2:28">
      <c r="B114" s="534" t="s">
        <v>5651</v>
      </c>
      <c r="D114" s="571"/>
      <c r="E114" s="571"/>
      <c r="F114" s="571"/>
      <c r="G114" s="571"/>
      <c r="H114" s="571"/>
      <c r="I114" s="571"/>
      <c r="J114" s="571"/>
      <c r="K114" s="571"/>
      <c r="L114" s="571"/>
      <c r="M114" s="571"/>
      <c r="N114" s="571"/>
      <c r="O114" s="571"/>
      <c r="P114" s="571"/>
      <c r="Q114" s="571"/>
      <c r="R114" s="571"/>
      <c r="S114" s="571"/>
      <c r="T114" s="571" t="e">
        <f>T30-#REF!-#REF!-#REF!</f>
        <v>#REF!</v>
      </c>
      <c r="U114" s="897" t="e">
        <f>U30-#REF!-#REF!-#REF!</f>
        <v>#REF!</v>
      </c>
      <c r="V114" s="897" t="e">
        <f>V30-#REF!-#REF!-#REF!</f>
        <v>#REF!</v>
      </c>
      <c r="W114" s="897" t="e">
        <f>W30-#REF!-#REF!-#REF!</f>
        <v>#REF!</v>
      </c>
      <c r="X114" s="897" t="e">
        <f>X30-#REF!-#REF!-#REF!</f>
        <v>#REF!</v>
      </c>
      <c r="Y114" s="897" t="e">
        <f>Y30-#REF!-#REF!-#REF!</f>
        <v>#REF!</v>
      </c>
      <c r="Z114" s="897" t="e">
        <f>Z30-#REF!-#REF!-#REF!</f>
        <v>#REF!</v>
      </c>
      <c r="AA114" s="897" t="e">
        <f>AA30-#REF!-#REF!-#REF!</f>
        <v>#REF!</v>
      </c>
      <c r="AB114" s="897" t="e">
        <f>AB30-#REF!-#REF!-#REF!</f>
        <v>#REF!</v>
      </c>
    </row>
    <row r="115" spans="2:28">
      <c r="B115" s="534" t="s">
        <v>2742</v>
      </c>
      <c r="D115" s="571" t="e">
        <f>#REF!-#REF!-#REF!-#REF!-#REF!-#REF!</f>
        <v>#REF!</v>
      </c>
      <c r="E115" s="571" t="e">
        <f>#REF!-#REF!-#REF!-#REF!-#REF!-#REF!</f>
        <v>#REF!</v>
      </c>
      <c r="F115" s="571" t="e">
        <f>#REF!-#REF!-#REF!-#REF!-#REF!-#REF!</f>
        <v>#REF!</v>
      </c>
      <c r="G115" s="571" t="e">
        <f>#REF!-#REF!-#REF!-#REF!-#REF!-#REF!</f>
        <v>#REF!</v>
      </c>
      <c r="H115" s="571" t="e">
        <f>#REF!-#REF!-#REF!-#REF!-#REF!-#REF!</f>
        <v>#REF!</v>
      </c>
      <c r="I115" s="571" t="e">
        <f>#REF!-#REF!-#REF!-#REF!-#REF!-#REF!</f>
        <v>#REF!</v>
      </c>
      <c r="J115" s="571" t="e">
        <f>#REF!-#REF!-#REF!-#REF!-#REF!-#REF!</f>
        <v>#REF!</v>
      </c>
      <c r="K115" s="571" t="e">
        <f>#REF!-#REF!-#REF!-#REF!-#REF!-#REF!</f>
        <v>#REF!</v>
      </c>
      <c r="L115" s="571" t="e">
        <f>#REF!-#REF!-#REF!-#REF!-#REF!-#REF!</f>
        <v>#REF!</v>
      </c>
      <c r="M115" s="571" t="e">
        <f>#REF!-#REF!-#REF!-#REF!-#REF!-#REF!</f>
        <v>#REF!</v>
      </c>
      <c r="N115" s="571" t="e">
        <f>#REF!-#REF!-#REF!-#REF!-#REF!-#REF!</f>
        <v>#REF!</v>
      </c>
      <c r="O115" s="571" t="e">
        <f>#REF!-#REF!-#REF!-#REF!-#REF!-#REF!</f>
        <v>#REF!</v>
      </c>
      <c r="P115" s="571" t="e">
        <f>#REF!-#REF!-#REF!-#REF!-#REF!-#REF!</f>
        <v>#REF!</v>
      </c>
      <c r="Q115" s="571" t="e">
        <f>#REF!-#REF!-#REF!-#REF!-#REF!-#REF!</f>
        <v>#REF!</v>
      </c>
      <c r="R115" s="571" t="e">
        <f>#REF!-#REF!-#REF!-#REF!-#REF!-#REF!</f>
        <v>#REF!</v>
      </c>
      <c r="S115" s="571" t="e">
        <f>#REF!-#REF!-#REF!-#REF!-#REF!-#REF!</f>
        <v>#REF!</v>
      </c>
      <c r="T115" s="571" t="e">
        <f>#REF!-#REF!-#REF!-#REF!-#REF!-#REF!</f>
        <v>#REF!</v>
      </c>
      <c r="U115" s="1957" t="e">
        <f>#REF!-#REF!-#REF!-#REF!-#REF!-#REF!</f>
        <v>#REF!</v>
      </c>
      <c r="V115" s="897" t="e">
        <f>#REF!-#REF!-#REF!-#REF!-#REF!-#REF!</f>
        <v>#REF!</v>
      </c>
      <c r="W115" s="1957" t="e">
        <f>#REF!-#REF!-#REF!-#REF!-#REF!-#REF!</f>
        <v>#REF!</v>
      </c>
      <c r="X115" s="1957" t="e">
        <f>#REF!-#REF!-#REF!-#REF!-#REF!-#REF!</f>
        <v>#REF!</v>
      </c>
      <c r="Y115" s="1957" t="e">
        <f>#REF!-#REF!-#REF!-#REF!-#REF!-#REF!</f>
        <v>#REF!</v>
      </c>
      <c r="Z115" s="1957" t="e">
        <f>#REF!-#REF!-#REF!-#REF!-#REF!-#REF!</f>
        <v>#REF!</v>
      </c>
      <c r="AA115" s="1957" t="e">
        <f>#REF!-#REF!-#REF!-#REF!-#REF!-#REF!</f>
        <v>#REF!</v>
      </c>
      <c r="AB115" s="1957" t="e">
        <f>#REF!-#REF!-#REF!-#REF!-#REF!-#REF!</f>
        <v>#REF!</v>
      </c>
    </row>
    <row r="116" spans="2:28">
      <c r="B116" s="534" t="s">
        <v>1623</v>
      </c>
      <c r="D116" s="571">
        <f t="shared" ref="D116:AB116" si="21">D40-D41-D44-D45</f>
        <v>0</v>
      </c>
      <c r="E116" s="571">
        <f t="shared" si="21"/>
        <v>0</v>
      </c>
      <c r="F116" s="571">
        <f t="shared" si="21"/>
        <v>0</v>
      </c>
      <c r="G116" s="571">
        <f t="shared" si="21"/>
        <v>1000000000</v>
      </c>
      <c r="H116" s="571">
        <f t="shared" si="21"/>
        <v>0</v>
      </c>
      <c r="I116" s="571">
        <f t="shared" si="21"/>
        <v>0</v>
      </c>
      <c r="J116" s="571">
        <f t="shared" si="21"/>
        <v>0</v>
      </c>
      <c r="K116" s="571">
        <f t="shared" si="21"/>
        <v>0</v>
      </c>
      <c r="L116" s="571">
        <f t="shared" si="21"/>
        <v>0</v>
      </c>
      <c r="M116" s="571">
        <f t="shared" si="21"/>
        <v>1000000000</v>
      </c>
      <c r="N116" s="571">
        <f t="shared" si="21"/>
        <v>0</v>
      </c>
      <c r="O116" s="571">
        <f t="shared" si="21"/>
        <v>-1000000000</v>
      </c>
      <c r="P116" s="571">
        <f t="shared" si="21"/>
        <v>0</v>
      </c>
      <c r="Q116" s="571">
        <f t="shared" si="21"/>
        <v>0</v>
      </c>
      <c r="R116" s="571">
        <f t="shared" si="21"/>
        <v>0</v>
      </c>
      <c r="S116" s="571">
        <f t="shared" si="21"/>
        <v>0</v>
      </c>
      <c r="T116" s="576">
        <f>T40-T41-T44-T45</f>
        <v>858000000000</v>
      </c>
      <c r="U116" s="1957">
        <f t="shared" si="21"/>
        <v>1091000000000</v>
      </c>
      <c r="V116" s="1957">
        <f t="shared" si="21"/>
        <v>1059000000000</v>
      </c>
      <c r="W116" s="1957">
        <f t="shared" si="21"/>
        <v>1188000000000</v>
      </c>
      <c r="X116" s="1957">
        <f t="shared" si="21"/>
        <v>1270000000000</v>
      </c>
      <c r="Y116" s="1957">
        <f t="shared" si="21"/>
        <v>1400000000000</v>
      </c>
      <c r="Z116" s="1957">
        <f t="shared" si="21"/>
        <v>1575000000000</v>
      </c>
      <c r="AA116" s="1957">
        <f t="shared" si="21"/>
        <v>1715000000000</v>
      </c>
      <c r="AB116" s="1957">
        <f t="shared" si="21"/>
        <v>1863000000000</v>
      </c>
    </row>
    <row r="117" spans="2:28">
      <c r="B117" s="534" t="s">
        <v>5652</v>
      </c>
      <c r="D117" s="571">
        <f t="shared" ref="D117:AB117" si="22">D41-D42-D43</f>
        <v>0</v>
      </c>
      <c r="E117" s="571">
        <f t="shared" si="22"/>
        <v>0</v>
      </c>
      <c r="F117" s="571">
        <f t="shared" si="22"/>
        <v>0</v>
      </c>
      <c r="G117" s="571">
        <f t="shared" si="22"/>
        <v>0</v>
      </c>
      <c r="H117" s="571">
        <f t="shared" si="22"/>
        <v>-1000000000</v>
      </c>
      <c r="I117" s="571">
        <f t="shared" si="22"/>
        <v>0</v>
      </c>
      <c r="J117" s="571">
        <f t="shared" si="22"/>
        <v>0</v>
      </c>
      <c r="K117" s="571">
        <f t="shared" si="22"/>
        <v>1000000000</v>
      </c>
      <c r="L117" s="571">
        <f t="shared" si="22"/>
        <v>0</v>
      </c>
      <c r="M117" s="571">
        <f t="shared" si="22"/>
        <v>0</v>
      </c>
      <c r="N117" s="571">
        <f t="shared" si="22"/>
        <v>0</v>
      </c>
      <c r="O117" s="576">
        <f t="shared" si="22"/>
        <v>475000000000</v>
      </c>
      <c r="P117" s="576">
        <f t="shared" si="22"/>
        <v>492000000000</v>
      </c>
      <c r="Q117" s="576">
        <f t="shared" si="22"/>
        <v>0</v>
      </c>
      <c r="R117" s="576">
        <f t="shared" si="22"/>
        <v>477000000000</v>
      </c>
      <c r="S117" s="576">
        <f t="shared" si="22"/>
        <v>577000000000</v>
      </c>
      <c r="T117" s="576">
        <f t="shared" si="22"/>
        <v>0</v>
      </c>
      <c r="U117" s="897">
        <f t="shared" si="22"/>
        <v>0</v>
      </c>
      <c r="V117" s="1956">
        <f t="shared" si="22"/>
        <v>0</v>
      </c>
      <c r="W117" s="897">
        <f t="shared" si="22"/>
        <v>0</v>
      </c>
      <c r="X117" s="1956">
        <f t="shared" si="22"/>
        <v>0</v>
      </c>
      <c r="Y117" s="1956">
        <f t="shared" si="22"/>
        <v>0</v>
      </c>
      <c r="Z117" s="1956">
        <f t="shared" si="22"/>
        <v>0</v>
      </c>
      <c r="AA117" s="1956">
        <f t="shared" si="22"/>
        <v>0</v>
      </c>
      <c r="AB117" s="1956">
        <f t="shared" si="22"/>
        <v>0</v>
      </c>
    </row>
    <row r="118" spans="2:28">
      <c r="B118" s="534" t="s">
        <v>457</v>
      </c>
      <c r="D118" s="571">
        <f t="shared" ref="D118:R118" si="23">D54-D55-D67-D72-D73</f>
        <v>0</v>
      </c>
      <c r="E118" s="571">
        <f t="shared" si="23"/>
        <v>0</v>
      </c>
      <c r="F118" s="571">
        <f t="shared" si="23"/>
        <v>-7.62939453125E-6</v>
      </c>
      <c r="G118" s="571">
        <f t="shared" si="23"/>
        <v>0</v>
      </c>
      <c r="H118" s="571">
        <f t="shared" si="23"/>
        <v>0</v>
      </c>
      <c r="I118" s="571">
        <f t="shared" si="23"/>
        <v>0</v>
      </c>
      <c r="J118" s="571">
        <f t="shared" si="23"/>
        <v>1000000000</v>
      </c>
      <c r="K118" s="571">
        <f t="shared" si="23"/>
        <v>0</v>
      </c>
      <c r="L118" s="571">
        <f t="shared" si="23"/>
        <v>0</v>
      </c>
      <c r="M118" s="571">
        <f t="shared" si="23"/>
        <v>0</v>
      </c>
      <c r="N118" s="571">
        <f t="shared" si="23"/>
        <v>0</v>
      </c>
      <c r="O118" s="571">
        <f t="shared" si="23"/>
        <v>0</v>
      </c>
      <c r="P118" s="571">
        <f t="shared" si="23"/>
        <v>0</v>
      </c>
      <c r="Q118" s="571">
        <f t="shared" si="23"/>
        <v>0</v>
      </c>
      <c r="R118" s="571">
        <f t="shared" si="23"/>
        <v>0</v>
      </c>
      <c r="S118" s="571">
        <f>R54-R55-R67-R72-R73</f>
        <v>0</v>
      </c>
      <c r="T118" s="571">
        <f>R54-R55-R67-R72-R73</f>
        <v>0</v>
      </c>
      <c r="U118" s="897">
        <f>S54-S55-S67-S72-S73</f>
        <v>0</v>
      </c>
      <c r="V118" s="1957">
        <f t="shared" ref="V118:AB118" si="24">V54-V55-V67-V72-V73</f>
        <v>0</v>
      </c>
      <c r="W118" s="1957">
        <f t="shared" si="24"/>
        <v>0</v>
      </c>
      <c r="X118" s="1957">
        <f t="shared" si="24"/>
        <v>0</v>
      </c>
      <c r="Y118" s="1957">
        <f t="shared" si="24"/>
        <v>0</v>
      </c>
      <c r="Z118" s="1957">
        <f t="shared" si="24"/>
        <v>0</v>
      </c>
      <c r="AA118" s="1957">
        <f t="shared" si="24"/>
        <v>0</v>
      </c>
      <c r="AB118" s="1957">
        <f t="shared" si="24"/>
        <v>0</v>
      </c>
    </row>
    <row r="119" spans="2:28">
      <c r="B119" s="534" t="s">
        <v>528</v>
      </c>
      <c r="D119" s="571">
        <f>D55-D57-D60-D61-D62-D66</f>
        <v>0</v>
      </c>
      <c r="E119" s="571">
        <f t="shared" ref="E119:L119" si="25">E55-E57-E60-E61-E62-E66</f>
        <v>0</v>
      </c>
      <c r="F119" s="571">
        <f t="shared" si="25"/>
        <v>0</v>
      </c>
      <c r="G119" s="571">
        <f t="shared" si="25"/>
        <v>0</v>
      </c>
      <c r="H119" s="571">
        <f t="shared" si="25"/>
        <v>0</v>
      </c>
      <c r="I119" s="571">
        <f t="shared" si="25"/>
        <v>-1000000000</v>
      </c>
      <c r="J119" s="571">
        <f t="shared" si="25"/>
        <v>0</v>
      </c>
      <c r="K119" s="571">
        <f t="shared" si="25"/>
        <v>0</v>
      </c>
      <c r="L119" s="571">
        <f t="shared" si="25"/>
        <v>0</v>
      </c>
      <c r="M119" s="571">
        <f t="shared" ref="M119:R119" si="26">M55-M56-M60-M61-M62-M66</f>
        <v>-1000000000</v>
      </c>
      <c r="N119" s="571">
        <f t="shared" si="26"/>
        <v>-1000000000</v>
      </c>
      <c r="O119" s="571">
        <f t="shared" si="26"/>
        <v>0</v>
      </c>
      <c r="P119" s="571">
        <f t="shared" si="26"/>
        <v>0</v>
      </c>
      <c r="Q119" s="571">
        <f t="shared" si="26"/>
        <v>0</v>
      </c>
      <c r="R119" s="571">
        <f t="shared" si="26"/>
        <v>0</v>
      </c>
      <c r="S119" s="571">
        <f t="shared" ref="S119:AA119" si="27">S55-S56-S60-S61-S62-S66</f>
        <v>1000000000</v>
      </c>
      <c r="T119" s="576">
        <f t="shared" si="27"/>
        <v>587000000000</v>
      </c>
      <c r="U119" s="897">
        <f t="shared" si="27"/>
        <v>473000000000</v>
      </c>
      <c r="V119" s="897">
        <f t="shared" si="27"/>
        <v>720000000000</v>
      </c>
      <c r="W119" s="897">
        <f t="shared" si="27"/>
        <v>927000000000</v>
      </c>
      <c r="X119" s="897">
        <f t="shared" si="27"/>
        <v>309000000000</v>
      </c>
      <c r="Y119" s="897">
        <f t="shared" si="27"/>
        <v>473000000000</v>
      </c>
      <c r="Z119" s="897">
        <f t="shared" si="27"/>
        <v>483000000000</v>
      </c>
      <c r="AA119" s="897">
        <f t="shared" si="27"/>
        <v>522000000000</v>
      </c>
      <c r="AB119" s="897">
        <f t="shared" ref="AB119" si="28">AB55-AB56-AB60-AB61-AB62-AB66</f>
        <v>524000000000</v>
      </c>
    </row>
    <row r="120" spans="2:28">
      <c r="B120" s="534" t="s">
        <v>1962</v>
      </c>
      <c r="D120" s="571">
        <f>D56-D58-D59</f>
        <v>0</v>
      </c>
      <c r="E120" s="571">
        <f t="shared" ref="E120:Y120" si="29">E56-E58-E59</f>
        <v>0</v>
      </c>
      <c r="F120" s="571">
        <f t="shared" si="29"/>
        <v>0</v>
      </c>
      <c r="G120" s="571">
        <f t="shared" si="29"/>
        <v>0</v>
      </c>
      <c r="H120" s="571">
        <f t="shared" si="29"/>
        <v>0</v>
      </c>
      <c r="I120" s="571">
        <f t="shared" si="29"/>
        <v>0</v>
      </c>
      <c r="J120" s="571">
        <f t="shared" si="29"/>
        <v>0</v>
      </c>
      <c r="K120" s="571">
        <f t="shared" si="29"/>
        <v>-1000000000</v>
      </c>
      <c r="L120" s="571">
        <f t="shared" si="29"/>
        <v>0</v>
      </c>
      <c r="M120" s="571">
        <f t="shared" si="29"/>
        <v>1000000000</v>
      </c>
      <c r="N120" s="571">
        <f t="shared" si="29"/>
        <v>0</v>
      </c>
      <c r="O120" s="571">
        <f t="shared" si="29"/>
        <v>1000000000</v>
      </c>
      <c r="P120" s="571">
        <f t="shared" si="29"/>
        <v>0</v>
      </c>
      <c r="Q120" s="571">
        <f t="shared" si="29"/>
        <v>0</v>
      </c>
      <c r="R120" s="571">
        <f t="shared" si="29"/>
        <v>0</v>
      </c>
      <c r="S120" s="571">
        <f t="shared" si="29"/>
        <v>0</v>
      </c>
      <c r="T120" s="571">
        <f>T56-T58-T59</f>
        <v>0</v>
      </c>
      <c r="U120" s="897">
        <f>U56-U58-U59</f>
        <v>0</v>
      </c>
      <c r="V120" s="897">
        <f t="shared" si="29"/>
        <v>0</v>
      </c>
      <c r="W120" s="897">
        <f t="shared" si="29"/>
        <v>0</v>
      </c>
      <c r="X120" s="897">
        <f t="shared" si="29"/>
        <v>0</v>
      </c>
      <c r="Y120" s="897">
        <f t="shared" si="29"/>
        <v>0</v>
      </c>
      <c r="Z120" s="897">
        <f>Z56-Z58-Z59</f>
        <v>0</v>
      </c>
      <c r="AA120" s="897">
        <f>AA56-AA58-AA59</f>
        <v>0</v>
      </c>
      <c r="AB120" s="897">
        <f>AB56-AB58-AB59</f>
        <v>0</v>
      </c>
    </row>
    <row r="121" spans="2:28">
      <c r="B121" s="534" t="s">
        <v>297</v>
      </c>
      <c r="D121" s="571">
        <f t="shared" ref="D121:R121" si="30">D67-D68-D70</f>
        <v>0</v>
      </c>
      <c r="E121" s="571">
        <f t="shared" si="30"/>
        <v>0</v>
      </c>
      <c r="F121" s="571">
        <f t="shared" si="30"/>
        <v>0</v>
      </c>
      <c r="G121" s="571">
        <f t="shared" si="30"/>
        <v>0</v>
      </c>
      <c r="H121" s="571">
        <f t="shared" si="30"/>
        <v>0</v>
      </c>
      <c r="I121" s="571">
        <f t="shared" si="30"/>
        <v>0</v>
      </c>
      <c r="J121" s="571">
        <f t="shared" si="30"/>
        <v>0</v>
      </c>
      <c r="K121" s="571">
        <f t="shared" si="30"/>
        <v>0</v>
      </c>
      <c r="L121" s="571">
        <f t="shared" si="30"/>
        <v>1000000000</v>
      </c>
      <c r="M121" s="571">
        <f t="shared" si="30"/>
        <v>0</v>
      </c>
      <c r="N121" s="571">
        <f t="shared" si="30"/>
        <v>0</v>
      </c>
      <c r="O121" s="571">
        <f t="shared" si="30"/>
        <v>0</v>
      </c>
      <c r="P121" s="571">
        <f t="shared" si="30"/>
        <v>-1000000000</v>
      </c>
      <c r="Q121" s="571">
        <f t="shared" si="30"/>
        <v>0</v>
      </c>
      <c r="R121" s="571">
        <f t="shared" si="30"/>
        <v>0</v>
      </c>
      <c r="S121" s="571">
        <f>R67-R68-R70</f>
        <v>0</v>
      </c>
      <c r="T121" s="571">
        <f>R67-R68-R70</f>
        <v>0</v>
      </c>
      <c r="U121" s="897">
        <f>S67-S68-S70</f>
        <v>0</v>
      </c>
      <c r="V121" s="897">
        <f t="shared" ref="V121:AA121" si="31">V67-V68-V70</f>
        <v>-358000000000</v>
      </c>
      <c r="W121" s="897">
        <f t="shared" si="31"/>
        <v>-451000000000</v>
      </c>
      <c r="X121" s="897">
        <f t="shared" si="31"/>
        <v>122000000000</v>
      </c>
      <c r="Y121" s="897">
        <f t="shared" si="31"/>
        <v>-1000000000</v>
      </c>
      <c r="Z121" s="897">
        <f t="shared" si="31"/>
        <v>41000000000</v>
      </c>
      <c r="AA121" s="897">
        <f t="shared" si="31"/>
        <v>52000000000</v>
      </c>
      <c r="AB121" s="897">
        <f t="shared" ref="AB121" si="32">AB67-AB68-AB70</f>
        <v>94000000000</v>
      </c>
    </row>
    <row r="122" spans="2:28">
      <c r="B122" s="534" t="s">
        <v>5653</v>
      </c>
      <c r="D122" s="571">
        <f t="shared" ref="D122:Y122" si="33">D90-D91-D92</f>
        <v>0</v>
      </c>
      <c r="E122" s="571">
        <f t="shared" si="33"/>
        <v>0</v>
      </c>
      <c r="F122" s="571">
        <f t="shared" si="33"/>
        <v>0</v>
      </c>
      <c r="G122" s="571">
        <f t="shared" si="33"/>
        <v>0</v>
      </c>
      <c r="H122" s="571">
        <f t="shared" si="33"/>
        <v>0</v>
      </c>
      <c r="I122" s="571">
        <f t="shared" si="33"/>
        <v>0</v>
      </c>
      <c r="J122" s="571">
        <f t="shared" si="33"/>
        <v>0</v>
      </c>
      <c r="K122" s="571">
        <f t="shared" si="33"/>
        <v>0</v>
      </c>
      <c r="L122" s="571">
        <f t="shared" si="33"/>
        <v>0</v>
      </c>
      <c r="M122" s="571">
        <f t="shared" si="33"/>
        <v>0</v>
      </c>
      <c r="N122" s="571">
        <f t="shared" si="33"/>
        <v>0</v>
      </c>
      <c r="O122" s="571">
        <f t="shared" si="33"/>
        <v>0</v>
      </c>
      <c r="P122" s="571">
        <f t="shared" si="33"/>
        <v>0</v>
      </c>
      <c r="Q122" s="571">
        <f t="shared" si="33"/>
        <v>0</v>
      </c>
      <c r="R122" s="571">
        <f t="shared" si="33"/>
        <v>0</v>
      </c>
      <c r="S122" s="571">
        <f t="shared" si="33"/>
        <v>0</v>
      </c>
      <c r="T122" s="571">
        <f t="shared" si="33"/>
        <v>0</v>
      </c>
      <c r="U122" s="897">
        <f>U90-U91-U92</f>
        <v>0</v>
      </c>
      <c r="V122" s="897">
        <f t="shared" si="33"/>
        <v>1000000000</v>
      </c>
      <c r="W122" s="897">
        <f t="shared" si="33"/>
        <v>0</v>
      </c>
      <c r="X122" s="897">
        <f t="shared" si="33"/>
        <v>0</v>
      </c>
      <c r="Y122" s="897">
        <f t="shared" si="33"/>
        <v>0</v>
      </c>
      <c r="Z122" s="897">
        <f>Z90-Z91-Z92</f>
        <v>0</v>
      </c>
      <c r="AA122" s="897">
        <f>AA90-AA91-AA92</f>
        <v>0</v>
      </c>
      <c r="AB122" s="897">
        <f>AB90-AB91-AB92</f>
        <v>0</v>
      </c>
    </row>
    <row r="123" spans="2:28">
      <c r="B123" s="534" t="s">
        <v>5654</v>
      </c>
      <c r="D123" s="576">
        <f t="shared" ref="D123:S123" si="34">D55-D90-D98-D93</f>
        <v>17100000000.000002</v>
      </c>
      <c r="E123" s="576">
        <f t="shared" si="34"/>
        <v>54900000000</v>
      </c>
      <c r="F123" s="576">
        <f t="shared" si="34"/>
        <v>68400000000.000008</v>
      </c>
      <c r="G123" s="576">
        <f t="shared" si="34"/>
        <v>69000000000</v>
      </c>
      <c r="H123" s="576">
        <f t="shared" si="34"/>
        <v>142000000000</v>
      </c>
      <c r="I123" s="576">
        <f t="shared" si="34"/>
        <v>161000000000</v>
      </c>
      <c r="J123" s="576">
        <f t="shared" si="34"/>
        <v>121000000000</v>
      </c>
      <c r="K123" s="576">
        <f t="shared" si="34"/>
        <v>131000000000</v>
      </c>
      <c r="L123" s="576">
        <f t="shared" si="34"/>
        <v>225000000000</v>
      </c>
      <c r="M123" s="576">
        <f t="shared" si="34"/>
        <v>224000000000</v>
      </c>
      <c r="N123" s="576">
        <f t="shared" si="34"/>
        <v>173000000000</v>
      </c>
      <c r="O123" s="576">
        <f t="shared" si="34"/>
        <v>422000000000</v>
      </c>
      <c r="P123" s="576">
        <f t="shared" si="34"/>
        <v>436000000000</v>
      </c>
      <c r="Q123" s="576">
        <f t="shared" si="34"/>
        <v>310000000000</v>
      </c>
      <c r="R123" s="576">
        <f t="shared" si="34"/>
        <v>204000000000</v>
      </c>
      <c r="S123" s="576">
        <f t="shared" si="34"/>
        <v>368000000000</v>
      </c>
      <c r="T123" s="576">
        <f t="shared" ref="T123:Z123" si="35">T55-T90-T98-T93</f>
        <v>-2000000000</v>
      </c>
      <c r="U123" s="897">
        <f t="shared" si="35"/>
        <v>-1000000000</v>
      </c>
      <c r="V123" s="897">
        <f t="shared" si="35"/>
        <v>0</v>
      </c>
      <c r="W123" s="897">
        <f t="shared" si="35"/>
        <v>0</v>
      </c>
      <c r="X123" s="897">
        <f t="shared" si="35"/>
        <v>1000000000</v>
      </c>
      <c r="Y123" s="897">
        <f t="shared" si="35"/>
        <v>0</v>
      </c>
      <c r="Z123" s="897">
        <f t="shared" si="35"/>
        <v>0</v>
      </c>
      <c r="AA123" s="897">
        <f t="shared" ref="AA123:AB123" si="36">AA55-AA90-AA98-AA93</f>
        <v>0</v>
      </c>
      <c r="AB123" s="897">
        <f t="shared" si="36"/>
        <v>0</v>
      </c>
    </row>
    <row r="124" spans="2:28">
      <c r="B124" s="534" t="s">
        <v>529</v>
      </c>
      <c r="D124" s="571">
        <f t="shared" ref="D124:Y124" si="37">D93-D94-D95-D96-D97</f>
        <v>0</v>
      </c>
      <c r="E124" s="571">
        <f t="shared" si="37"/>
        <v>0</v>
      </c>
      <c r="F124" s="571">
        <f t="shared" si="37"/>
        <v>0</v>
      </c>
      <c r="G124" s="571">
        <f t="shared" si="37"/>
        <v>0</v>
      </c>
      <c r="H124" s="571">
        <f t="shared" si="37"/>
        <v>0</v>
      </c>
      <c r="I124" s="571">
        <f t="shared" si="37"/>
        <v>0</v>
      </c>
      <c r="J124" s="571">
        <f t="shared" si="37"/>
        <v>0</v>
      </c>
      <c r="K124" s="571">
        <f t="shared" si="37"/>
        <v>0</v>
      </c>
      <c r="L124" s="571">
        <f t="shared" si="37"/>
        <v>0</v>
      </c>
      <c r="M124" s="571">
        <f t="shared" si="37"/>
        <v>0</v>
      </c>
      <c r="N124" s="571">
        <f t="shared" si="37"/>
        <v>0</v>
      </c>
      <c r="O124" s="571">
        <f t="shared" si="37"/>
        <v>0</v>
      </c>
      <c r="P124" s="571">
        <f t="shared" si="37"/>
        <v>0</v>
      </c>
      <c r="Q124" s="571">
        <f t="shared" si="37"/>
        <v>0</v>
      </c>
      <c r="R124" s="571">
        <f t="shared" si="37"/>
        <v>0</v>
      </c>
      <c r="S124" s="571">
        <f t="shared" si="37"/>
        <v>0</v>
      </c>
      <c r="T124" s="571">
        <f t="shared" si="37"/>
        <v>0</v>
      </c>
      <c r="U124" s="897">
        <f t="shared" si="37"/>
        <v>1000000000</v>
      </c>
      <c r="V124" s="897">
        <f t="shared" si="37"/>
        <v>0</v>
      </c>
      <c r="W124" s="897">
        <f t="shared" si="37"/>
        <v>0</v>
      </c>
      <c r="X124" s="897">
        <f t="shared" si="37"/>
        <v>-1000000000</v>
      </c>
      <c r="Y124" s="897">
        <f t="shared" si="37"/>
        <v>-1000000000</v>
      </c>
      <c r="Z124" s="897">
        <f>Z93-Z94-Z95-Z96-Z97</f>
        <v>0</v>
      </c>
      <c r="AA124" s="897">
        <f>AA93-AA94-AA95-AA96-AA97</f>
        <v>0</v>
      </c>
      <c r="AB124" s="897">
        <f>AB93-AB94-AB95-AB96-AB97</f>
        <v>0</v>
      </c>
    </row>
    <row r="125" spans="2:28">
      <c r="B125" s="534" t="s">
        <v>362</v>
      </c>
      <c r="D125" s="576">
        <f t="shared" ref="D125:S125" si="38">D67-D77-D78-D81-D85-D76</f>
        <v>-21100000000</v>
      </c>
      <c r="E125" s="576">
        <f t="shared" si="38"/>
        <v>17400000000</v>
      </c>
      <c r="F125" s="576">
        <f t="shared" si="38"/>
        <v>-70700000000</v>
      </c>
      <c r="G125" s="576">
        <f t="shared" si="38"/>
        <v>-12000000000</v>
      </c>
      <c r="H125" s="576">
        <f t="shared" si="38"/>
        <v>-8000000000</v>
      </c>
      <c r="I125" s="576">
        <f t="shared" si="38"/>
        <v>-28000000000</v>
      </c>
      <c r="J125" s="576">
        <f t="shared" si="38"/>
        <v>158000000000</v>
      </c>
      <c r="K125" s="576">
        <f t="shared" si="38"/>
        <v>58000000000</v>
      </c>
      <c r="L125" s="576">
        <f t="shared" si="38"/>
        <v>124000000000</v>
      </c>
      <c r="M125" s="576">
        <f t="shared" si="38"/>
        <v>157000000000</v>
      </c>
      <c r="N125" s="576">
        <f t="shared" si="38"/>
        <v>172000000000</v>
      </c>
      <c r="O125" s="576">
        <f t="shared" si="38"/>
        <v>12000000000</v>
      </c>
      <c r="P125" s="576">
        <f t="shared" si="38"/>
        <v>-13000000000</v>
      </c>
      <c r="Q125" s="576">
        <f t="shared" si="38"/>
        <v>48000000000</v>
      </c>
      <c r="R125" s="576">
        <f t="shared" si="38"/>
        <v>181000000000</v>
      </c>
      <c r="S125" s="576">
        <f t="shared" si="38"/>
        <v>28000000000</v>
      </c>
      <c r="T125" s="571">
        <f>T67-T76-T77-T78-T81-T85</f>
        <v>0</v>
      </c>
      <c r="U125" s="897">
        <f t="shared" ref="U125:AA125" si="39">U67-U76-U77-U78-U81-U85</f>
        <v>-172000000000</v>
      </c>
      <c r="V125" s="897">
        <f t="shared" si="39"/>
        <v>-314000000000</v>
      </c>
      <c r="W125" s="897">
        <f t="shared" si="39"/>
        <v>-307000000000</v>
      </c>
      <c r="X125" s="897">
        <f t="shared" si="39"/>
        <v>31000000000</v>
      </c>
      <c r="Y125" s="897">
        <f t="shared" si="39"/>
        <v>13000000000</v>
      </c>
      <c r="Z125" s="897">
        <f t="shared" si="39"/>
        <v>51000000000</v>
      </c>
      <c r="AA125" s="897">
        <f t="shared" si="39"/>
        <v>62000000000</v>
      </c>
      <c r="AB125" s="897">
        <f t="shared" ref="AB125" si="40">AB67-AB76-AB77-AB78-AB81-AB85</f>
        <v>104000000000</v>
      </c>
    </row>
    <row r="126" spans="2:28" ht="16.5" thickBot="1">
      <c r="D126" s="571"/>
      <c r="AB126" s="897"/>
    </row>
    <row r="127" spans="2:28" ht="16.5" thickBot="1">
      <c r="B127" s="534" t="s">
        <v>3935</v>
      </c>
      <c r="D127" s="2039">
        <v>3331768000000</v>
      </c>
      <c r="E127" s="2040">
        <v>3575470000000</v>
      </c>
      <c r="F127" s="2040">
        <v>3717639000000</v>
      </c>
      <c r="G127" s="2040">
        <v>3986425000000</v>
      </c>
      <c r="H127" s="2040">
        <v>4242837000000.0005</v>
      </c>
      <c r="I127" s="2040">
        <v>4592673000000</v>
      </c>
      <c r="J127" s="2040">
        <v>4893546000000</v>
      </c>
      <c r="K127" s="2040">
        <v>5408296000000</v>
      </c>
      <c r="L127" s="2040">
        <v>5994436000000</v>
      </c>
      <c r="M127" s="2040">
        <v>6050080000000</v>
      </c>
      <c r="N127" s="2040">
        <v>6395315000000</v>
      </c>
      <c r="O127" s="2040">
        <v>6774546000000</v>
      </c>
      <c r="P127" s="2041">
        <v>7164558000000</v>
      </c>
      <c r="Q127" s="2041">
        <v>7307651000000</v>
      </c>
      <c r="R127" s="2041">
        <v>7307651000000</v>
      </c>
      <c r="S127" s="2041">
        <v>7690843000000</v>
      </c>
      <c r="T127" s="2036">
        <v>7583000000000</v>
      </c>
      <c r="U127" s="2036">
        <v>10509000000000</v>
      </c>
      <c r="V127" s="2036">
        <v>11252000000000</v>
      </c>
      <c r="W127" s="862">
        <v>12265000000000</v>
      </c>
      <c r="X127" s="2036">
        <v>13407000000000</v>
      </c>
      <c r="Y127" s="2036">
        <v>14576000000000</v>
      </c>
      <c r="Z127" s="2036">
        <v>15860000000000</v>
      </c>
      <c r="AA127" s="2036">
        <v>17298000000000</v>
      </c>
      <c r="AB127" s="897">
        <v>18880000000000</v>
      </c>
    </row>
    <row r="128" spans="2:28">
      <c r="B128" s="534" t="s">
        <v>363</v>
      </c>
      <c r="D128" s="2042">
        <f t="shared" ref="D128:R128" si="41">(D6/D127)*100</f>
        <v>18.79782745977511</v>
      </c>
      <c r="E128" s="2042">
        <f t="shared" si="41"/>
        <v>18.582172413696661</v>
      </c>
      <c r="F128" s="2042">
        <f t="shared" si="41"/>
        <v>19.547352499798933</v>
      </c>
      <c r="G128" s="2042">
        <f t="shared" si="41"/>
        <v>20.017935869858331</v>
      </c>
      <c r="H128" s="2042">
        <f t="shared" si="41"/>
        <v>20.62299353003662</v>
      </c>
      <c r="I128" s="2042">
        <f t="shared" si="41"/>
        <v>20.815764588508696</v>
      </c>
      <c r="J128" s="2042">
        <f t="shared" si="41"/>
        <v>21.170742034508311</v>
      </c>
      <c r="K128" s="2042">
        <f t="shared" si="41"/>
        <v>23.611873314626269</v>
      </c>
      <c r="L128" s="2042">
        <f t="shared" si="41"/>
        <v>21.570002582394739</v>
      </c>
      <c r="M128" s="2042">
        <f t="shared" si="41"/>
        <v>21.569962711236876</v>
      </c>
      <c r="N128" s="2042">
        <f t="shared" si="41"/>
        <v>21.85975202159706</v>
      </c>
      <c r="O128" s="2042">
        <f t="shared" si="41"/>
        <v>22.525494697356841</v>
      </c>
      <c r="P128" s="2042">
        <f t="shared" si="41"/>
        <v>23.309183902203038</v>
      </c>
      <c r="Q128" s="2042">
        <f t="shared" si="41"/>
        <v>24.809613923817654</v>
      </c>
      <c r="R128" s="2042">
        <f t="shared" si="41"/>
        <v>22.7022335905204</v>
      </c>
      <c r="S128" s="2042">
        <f>(R6/S127)*100</f>
        <v>21.57110735455138</v>
      </c>
      <c r="T128" s="2042">
        <f>(S6/T127)*100</f>
        <v>24.937359883950943</v>
      </c>
      <c r="U128" s="2042">
        <f>(T6/U127)*100</f>
        <v>17.860881149490911</v>
      </c>
      <c r="V128" s="2042">
        <f t="shared" ref="V128:AA128" si="42">(V6/V127)*100</f>
        <v>21.125133309633842</v>
      </c>
      <c r="W128" s="2042">
        <f t="shared" si="42"/>
        <v>21.182225845902977</v>
      </c>
      <c r="X128" s="2042">
        <f t="shared" si="42"/>
        <v>21.190422913403445</v>
      </c>
      <c r="Y128" s="2042">
        <f t="shared" si="42"/>
        <v>21.418770581778265</v>
      </c>
      <c r="Z128" s="2042">
        <f t="shared" si="42"/>
        <v>21.456494325346785</v>
      </c>
      <c r="AA128" s="2042">
        <f t="shared" si="42"/>
        <v>21.557405480402359</v>
      </c>
    </row>
    <row r="129" spans="2:27">
      <c r="B129" s="534" t="s">
        <v>152</v>
      </c>
      <c r="D129" s="2042">
        <f t="shared" ref="D129:AA129" si="43">(D23/D127)*100</f>
        <v>18.293590670178716</v>
      </c>
      <c r="E129" s="2042">
        <f t="shared" si="43"/>
        <v>20.945498074379032</v>
      </c>
      <c r="F129" s="2042">
        <f t="shared" si="43"/>
        <v>20.284379413923727</v>
      </c>
      <c r="G129" s="2042">
        <f t="shared" si="43"/>
        <v>21.798980289357004</v>
      </c>
      <c r="H129" s="2042">
        <f t="shared" si="43"/>
        <v>23.262736701881309</v>
      </c>
      <c r="I129" s="2042">
        <f t="shared" si="43"/>
        <v>24.03828881350795</v>
      </c>
      <c r="J129" s="2042">
        <f t="shared" si="43"/>
        <v>27.199090393755366</v>
      </c>
      <c r="K129" s="2042">
        <f t="shared" si="43"/>
        <v>27.568757331329497</v>
      </c>
      <c r="L129" s="2042">
        <f t="shared" si="43"/>
        <v>26.341093640836267</v>
      </c>
      <c r="M129" s="2042">
        <f t="shared" si="43"/>
        <v>26.561632242879433</v>
      </c>
      <c r="N129" s="2042">
        <f t="shared" si="43"/>
        <v>27.066688661934556</v>
      </c>
      <c r="O129" s="2042">
        <f t="shared" si="43"/>
        <v>29.212289650110872</v>
      </c>
      <c r="P129" s="2042">
        <f t="shared" si="43"/>
        <v>29.171373865631349</v>
      </c>
      <c r="Q129" s="2042">
        <f t="shared" si="43"/>
        <v>29.968590454032356</v>
      </c>
      <c r="R129" s="2042">
        <f t="shared" si="43"/>
        <v>28.244370181334606</v>
      </c>
      <c r="S129" s="2042">
        <f t="shared" si="43"/>
        <v>31.049912213784626</v>
      </c>
      <c r="T129" s="2042">
        <f t="shared" si="43"/>
        <v>29.777133060793879</v>
      </c>
      <c r="U129" s="2042">
        <f t="shared" si="43"/>
        <v>25.730326386906459</v>
      </c>
      <c r="V129" s="2042">
        <f t="shared" si="43"/>
        <v>24.333451830785638</v>
      </c>
      <c r="W129" s="2042">
        <f t="shared" si="43"/>
        <v>25.063187933143087</v>
      </c>
      <c r="X129" s="2042">
        <f t="shared" si="43"/>
        <v>24.397702692623259</v>
      </c>
      <c r="Y129" s="2042">
        <f t="shared" si="43"/>
        <v>24.663830954994513</v>
      </c>
      <c r="Z129" s="2042">
        <f t="shared" si="43"/>
        <v>24.760403530895335</v>
      </c>
      <c r="AA129" s="2042">
        <f t="shared" si="43"/>
        <v>24.8641461440629</v>
      </c>
    </row>
    <row r="132" spans="2:27">
      <c r="B132" s="534" t="s">
        <v>153</v>
      </c>
      <c r="D132" s="534" t="b">
        <f t="shared" ref="D132:AA132" si="44">IF(D48&lt;0, (D48/D22)*100)</f>
        <v>0</v>
      </c>
      <c r="E132" s="534" t="b">
        <f t="shared" si="44"/>
        <v>0</v>
      </c>
      <c r="F132" s="534" t="b">
        <f t="shared" si="44"/>
        <v>0</v>
      </c>
      <c r="G132" s="534" t="b">
        <f t="shared" si="44"/>
        <v>0</v>
      </c>
      <c r="H132" s="534" t="b">
        <f t="shared" si="44"/>
        <v>0</v>
      </c>
      <c r="I132" s="534" t="b">
        <f t="shared" si="44"/>
        <v>0</v>
      </c>
      <c r="J132" s="534" t="b">
        <f t="shared" si="44"/>
        <v>0</v>
      </c>
      <c r="K132" s="534" t="b">
        <f t="shared" si="44"/>
        <v>0</v>
      </c>
      <c r="L132" s="534" t="b">
        <f t="shared" si="44"/>
        <v>0</v>
      </c>
      <c r="M132" s="534" t="b">
        <f t="shared" si="44"/>
        <v>0</v>
      </c>
      <c r="N132" s="534" t="b">
        <f t="shared" si="44"/>
        <v>0</v>
      </c>
      <c r="O132" s="534" t="b">
        <f t="shared" si="44"/>
        <v>0</v>
      </c>
      <c r="P132" s="534" t="b">
        <f t="shared" si="44"/>
        <v>0</v>
      </c>
      <c r="Q132" s="534" t="b">
        <f t="shared" si="44"/>
        <v>0</v>
      </c>
      <c r="R132" s="534" t="b">
        <f t="shared" si="44"/>
        <v>0</v>
      </c>
      <c r="S132" s="534" t="b">
        <f t="shared" si="44"/>
        <v>0</v>
      </c>
      <c r="T132" s="534" t="b">
        <f t="shared" si="44"/>
        <v>0</v>
      </c>
      <c r="U132" s="534" t="b">
        <f t="shared" si="44"/>
        <v>0</v>
      </c>
      <c r="V132" s="534" t="b">
        <f t="shared" si="44"/>
        <v>0</v>
      </c>
      <c r="W132" s="534" t="b">
        <f t="shared" si="44"/>
        <v>0</v>
      </c>
      <c r="X132" s="534" t="b">
        <f t="shared" si="44"/>
        <v>0</v>
      </c>
      <c r="Y132" s="534" t="b">
        <f t="shared" si="44"/>
        <v>0</v>
      </c>
      <c r="Z132" s="534" t="b">
        <f t="shared" si="44"/>
        <v>0</v>
      </c>
      <c r="AA132" s="534" t="b">
        <f t="shared" si="44"/>
        <v>0</v>
      </c>
    </row>
    <row r="137" spans="2:27">
      <c r="T137" s="2036"/>
      <c r="U137" s="2036"/>
      <c r="V137" s="2036"/>
      <c r="W137" s="862"/>
      <c r="X137" s="2036"/>
      <c r="Y137" s="2036"/>
      <c r="Z137" s="2036"/>
      <c r="AA137" s="2036"/>
    </row>
    <row r="139" spans="2:27">
      <c r="T139" s="2043"/>
      <c r="U139" s="2044"/>
      <c r="V139" s="2044"/>
      <c r="W139" s="862"/>
      <c r="X139" s="2044"/>
      <c r="Y139" s="2044"/>
      <c r="Z139" s="2044"/>
      <c r="AA139" s="2044"/>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Q6" activePane="bottomRight" state="frozen"/>
      <selection pane="topRight" activeCell="D1" sqref="D1"/>
      <selection pane="bottomLeft" activeCell="A6" sqref="A6"/>
      <selection pane="bottomRight" activeCell="U15" sqref="U15"/>
    </sheetView>
  </sheetViews>
  <sheetFormatPr defaultRowHeight="15"/>
  <cols>
    <col min="1" max="1" width="29.28515625" style="1570" customWidth="1"/>
    <col min="2" max="2" width="47.42578125" style="1570" bestFit="1" customWidth="1"/>
    <col min="3" max="3" width="24.85546875" style="1570"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0" width="21.5703125" bestFit="1" customWidth="1"/>
    <col min="21" max="22" width="23.140625" bestFit="1" customWidth="1"/>
    <col min="23" max="23" width="22.85546875" bestFit="1" customWidth="1"/>
    <col min="24" max="24" width="23.140625" bestFit="1" customWidth="1"/>
    <col min="25" max="26" width="22.140625" bestFit="1" customWidth="1"/>
  </cols>
  <sheetData>
    <row r="1" spans="1:26">
      <c r="A1" s="2054" t="s">
        <v>5655</v>
      </c>
      <c r="B1" s="1566" t="s">
        <v>5656</v>
      </c>
      <c r="C1" s="1566"/>
      <c r="D1" s="27"/>
      <c r="E1" s="27"/>
      <c r="F1" s="27"/>
      <c r="G1" s="27"/>
      <c r="H1" s="27"/>
      <c r="I1" s="27"/>
      <c r="J1" s="27"/>
      <c r="K1" s="27"/>
      <c r="L1" s="27"/>
      <c r="M1" s="27"/>
      <c r="N1" s="27"/>
      <c r="O1" s="28"/>
      <c r="P1" s="28"/>
      <c r="Q1" s="28"/>
      <c r="R1" s="29"/>
      <c r="S1" s="28"/>
      <c r="T1" s="28"/>
      <c r="U1" s="28"/>
      <c r="V1" s="28"/>
      <c r="W1" s="28"/>
      <c r="X1" s="2"/>
    </row>
    <row r="2" spans="1:26">
      <c r="B2" s="1571" t="s">
        <v>5657</v>
      </c>
      <c r="C2" s="1571"/>
      <c r="D2" s="28"/>
      <c r="E2" s="28"/>
      <c r="F2" s="28"/>
      <c r="G2" s="28"/>
      <c r="H2" s="28"/>
      <c r="I2" s="28"/>
      <c r="J2" s="28"/>
      <c r="K2" s="28"/>
      <c r="L2" s="28"/>
      <c r="M2" s="28"/>
      <c r="N2" s="28"/>
      <c r="O2" s="28"/>
      <c r="P2" s="28"/>
      <c r="Q2" s="28"/>
      <c r="R2" s="31"/>
      <c r="S2" s="32"/>
      <c r="T2" s="33"/>
      <c r="U2" s="28"/>
      <c r="V2" s="28"/>
      <c r="W2" s="28"/>
      <c r="X2" s="2"/>
    </row>
    <row r="3" spans="1:26">
      <c r="B3" s="1575" t="s">
        <v>3</v>
      </c>
      <c r="C3" s="1575"/>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575" t="s">
        <v>4</v>
      </c>
      <c r="C4" s="1575"/>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570" t="s">
        <v>157</v>
      </c>
      <c r="B5" s="1575" t="s">
        <v>29</v>
      </c>
      <c r="C5" s="1575"/>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848" customFormat="1">
      <c r="A6" s="2004" t="s">
        <v>33</v>
      </c>
      <c r="B6" s="2004" t="s">
        <v>2301</v>
      </c>
      <c r="C6" s="2004" t="s">
        <v>35</v>
      </c>
      <c r="D6" s="1158"/>
      <c r="E6" s="1158"/>
      <c r="F6" s="1158"/>
      <c r="G6" s="2048">
        <v>474900000000</v>
      </c>
      <c r="H6" s="2048">
        <v>592700000000</v>
      </c>
      <c r="I6" s="1159">
        <v>725000000000</v>
      </c>
      <c r="J6" s="2048">
        <v>867000000000</v>
      </c>
      <c r="K6" s="2048">
        <v>1001000000000</v>
      </c>
      <c r="L6" s="2048">
        <v>1142000000000</v>
      </c>
      <c r="M6" s="1556">
        <v>1146000000000</v>
      </c>
      <c r="N6" s="1556">
        <v>1225000000000</v>
      </c>
      <c r="O6" s="1556">
        <v>1303000000000</v>
      </c>
      <c r="P6" s="1556">
        <v>1411000000000</v>
      </c>
      <c r="Q6" s="1556">
        <v>1468000000000</v>
      </c>
      <c r="R6" s="1556">
        <v>1552000000000</v>
      </c>
      <c r="S6" s="1556">
        <v>1632000000000</v>
      </c>
      <c r="T6" s="1556">
        <v>1779000000000</v>
      </c>
      <c r="U6" s="1556">
        <f>U7+U19</f>
        <v>1895000000000</v>
      </c>
      <c r="V6" s="1556">
        <v>1945000000000</v>
      </c>
      <c r="W6" s="1556">
        <v>2073000000000</v>
      </c>
      <c r="X6" s="1556">
        <v>2205000000000</v>
      </c>
      <c r="Y6" s="1348">
        <v>2352000000000</v>
      </c>
      <c r="Z6" s="1348">
        <v>2513000000000</v>
      </c>
    </row>
    <row r="7" spans="1:26">
      <c r="A7" s="1577" t="s">
        <v>36</v>
      </c>
      <c r="B7" s="2050" t="s">
        <v>159</v>
      </c>
      <c r="C7" s="2051"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U9+U17+U18</f>
        <v>1887000000000</v>
      </c>
      <c r="V7" s="210">
        <f t="shared" si="0"/>
        <v>1929000000000</v>
      </c>
      <c r="W7" s="210">
        <f t="shared" si="0"/>
        <v>2061000000000</v>
      </c>
      <c r="X7" s="210">
        <f t="shared" si="0"/>
        <v>2194000000000</v>
      </c>
      <c r="Y7" s="269">
        <f t="shared" si="0"/>
        <v>2341000000000</v>
      </c>
      <c r="Z7" s="269">
        <f t="shared" si="0"/>
        <v>2498000000000</v>
      </c>
    </row>
    <row r="8" spans="1:26">
      <c r="B8" s="1577" t="s">
        <v>834</v>
      </c>
      <c r="C8" s="1577"/>
      <c r="D8" s="28"/>
      <c r="E8" s="28"/>
      <c r="F8" s="28"/>
      <c r="G8" s="210">
        <v>470100000000</v>
      </c>
      <c r="H8" s="210">
        <v>586600000000</v>
      </c>
      <c r="I8" s="298"/>
      <c r="J8" s="315"/>
      <c r="K8" s="315"/>
      <c r="L8" s="315"/>
      <c r="M8" s="210"/>
      <c r="N8" s="210"/>
      <c r="O8" s="210"/>
      <c r="P8" s="210"/>
      <c r="Q8" s="210"/>
      <c r="R8" s="210"/>
      <c r="S8" s="210"/>
      <c r="T8" s="210"/>
      <c r="U8" s="210"/>
      <c r="V8" s="210"/>
      <c r="W8" s="210"/>
      <c r="X8" s="210"/>
      <c r="Y8" s="267"/>
      <c r="Z8" s="267"/>
    </row>
    <row r="9" spans="1:26">
      <c r="A9" s="1577" t="s">
        <v>371</v>
      </c>
      <c r="B9" s="1577" t="s">
        <v>371</v>
      </c>
      <c r="C9" s="1577"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f>U10+U11+U12+U13+U14+U15+U16</f>
        <v>1649000000000</v>
      </c>
      <c r="V9" s="210">
        <v>1705000000000</v>
      </c>
      <c r="W9" s="210">
        <v>1823000000000</v>
      </c>
      <c r="X9" s="210">
        <v>1937000000000</v>
      </c>
      <c r="Y9" s="267">
        <v>2073000000000</v>
      </c>
      <c r="Z9" s="267">
        <v>2211000000000</v>
      </c>
    </row>
    <row r="10" spans="1:26">
      <c r="A10" s="1580" t="s">
        <v>170</v>
      </c>
      <c r="B10" s="1580" t="s">
        <v>5658</v>
      </c>
      <c r="C10" s="1577" t="s">
        <v>5659</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7">
        <v>207000000000</v>
      </c>
      <c r="Z10" s="267">
        <v>220000000000</v>
      </c>
    </row>
    <row r="11" spans="1:26">
      <c r="A11" s="1580" t="s">
        <v>635</v>
      </c>
      <c r="B11" s="1580" t="s">
        <v>5660</v>
      </c>
      <c r="C11" s="1577" t="s">
        <v>5659</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7">
        <v>651000000000</v>
      </c>
      <c r="Z11" s="267">
        <v>696000000000</v>
      </c>
    </row>
    <row r="12" spans="1:26">
      <c r="A12" s="1580" t="s">
        <v>2666</v>
      </c>
      <c r="B12" s="1580" t="s">
        <v>5661</v>
      </c>
      <c r="C12" s="1577" t="s">
        <v>5659</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7">
        <v>114000000000</v>
      </c>
      <c r="Z12" s="267">
        <v>117000000000</v>
      </c>
    </row>
    <row r="13" spans="1:26">
      <c r="A13" s="1580" t="s">
        <v>5662</v>
      </c>
      <c r="B13" s="1580" t="s">
        <v>5663</v>
      </c>
      <c r="C13" s="1577" t="s">
        <v>5659</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7">
        <v>615000000000</v>
      </c>
      <c r="Z13" s="267">
        <v>660000000000</v>
      </c>
    </row>
    <row r="14" spans="1:26">
      <c r="A14" s="1580" t="s">
        <v>553</v>
      </c>
      <c r="B14" s="1580" t="s">
        <v>553</v>
      </c>
      <c r="C14" s="1577" t="s">
        <v>5659</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7">
        <v>343000000000</v>
      </c>
      <c r="Z14" s="267">
        <v>367000000000</v>
      </c>
    </row>
    <row r="15" spans="1:26">
      <c r="A15" s="1580" t="s">
        <v>643</v>
      </c>
      <c r="B15" s="1580" t="s">
        <v>3850</v>
      </c>
      <c r="C15" s="1577" t="s">
        <v>5659</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7">
        <v>55000000000</v>
      </c>
      <c r="Z15" s="267">
        <v>60000000000</v>
      </c>
    </row>
    <row r="16" spans="1:26">
      <c r="A16" s="1580" t="s">
        <v>49</v>
      </c>
      <c r="B16" s="1580" t="s">
        <v>5664</v>
      </c>
      <c r="C16" s="1577" t="s">
        <v>5659</v>
      </c>
      <c r="D16" s="28"/>
      <c r="E16" s="28"/>
      <c r="F16" s="28"/>
      <c r="G16" s="298"/>
      <c r="H16" s="298"/>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7">
        <v>88000000000</v>
      </c>
      <c r="Z16" s="267">
        <v>92000000000</v>
      </c>
    </row>
    <row r="17" spans="1:26">
      <c r="A17" s="1577" t="s">
        <v>188</v>
      </c>
      <c r="B17" s="1577" t="s">
        <v>3855</v>
      </c>
      <c r="C17" s="1577"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7">
        <v>269000000000</v>
      </c>
      <c r="Z17" s="267">
        <v>288000000000</v>
      </c>
    </row>
    <row r="18" spans="1:26">
      <c r="A18" s="1577" t="s">
        <v>468</v>
      </c>
      <c r="B18" s="1577" t="s">
        <v>5665</v>
      </c>
      <c r="C18" s="1577"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7">
        <v>0</v>
      </c>
      <c r="Z18" s="267">
        <v>0</v>
      </c>
    </row>
    <row r="19" spans="1:26">
      <c r="A19" s="1577" t="s">
        <v>53</v>
      </c>
      <c r="B19" s="1577" t="s">
        <v>53</v>
      </c>
      <c r="C19" s="1578" t="s">
        <v>38</v>
      </c>
      <c r="D19" s="28"/>
      <c r="E19" s="28"/>
      <c r="F19" s="28"/>
      <c r="G19" s="298">
        <v>0</v>
      </c>
      <c r="H19" s="298">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7">
        <v>11000000000</v>
      </c>
      <c r="Z19" s="267">
        <v>15000000000</v>
      </c>
    </row>
    <row r="20" spans="1:26" s="848" customFormat="1">
      <c r="A20" s="2004" t="s">
        <v>71</v>
      </c>
      <c r="B20" s="2004" t="s">
        <v>535</v>
      </c>
      <c r="C20" s="2004" t="s">
        <v>35</v>
      </c>
      <c r="D20" s="1158"/>
      <c r="E20" s="1158"/>
      <c r="F20" s="1158"/>
      <c r="G20" s="2048">
        <v>511900000000</v>
      </c>
      <c r="H20" s="2048">
        <v>593000000000</v>
      </c>
      <c r="I20" s="1159">
        <v>711000000000</v>
      </c>
      <c r="J20" s="2048">
        <v>898000000000</v>
      </c>
      <c r="K20" s="2048">
        <v>1045000000000</v>
      </c>
      <c r="L20" s="2048">
        <v>1211000000000</v>
      </c>
      <c r="M20" s="1556">
        <v>1272000000000</v>
      </c>
      <c r="N20" s="1556">
        <v>1366000000000</v>
      </c>
      <c r="O20" s="1556">
        <v>1467000000000</v>
      </c>
      <c r="P20" s="1556">
        <v>1669000000000</v>
      </c>
      <c r="Q20" s="1556">
        <v>1686000000000</v>
      </c>
      <c r="R20" s="1556">
        <v>1810000000000</v>
      </c>
      <c r="S20" s="1556">
        <v>1780000000000</v>
      </c>
      <c r="T20" s="1556">
        <v>1833000000000</v>
      </c>
      <c r="U20" s="1556">
        <v>1882000000000</v>
      </c>
      <c r="V20" s="1556">
        <v>1976000000000</v>
      </c>
      <c r="W20" s="1556">
        <v>2100000000000</v>
      </c>
      <c r="X20" s="1556">
        <v>2233000000000</v>
      </c>
      <c r="Y20" s="1348">
        <v>2381000000000</v>
      </c>
      <c r="Z20" s="1348">
        <v>2546000000000</v>
      </c>
    </row>
    <row r="21" spans="1:26">
      <c r="A21" s="1584" t="s">
        <v>476</v>
      </c>
      <c r="B21" s="1577" t="s">
        <v>5434</v>
      </c>
      <c r="C21" s="1577"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7">
        <v>2132000000000</v>
      </c>
      <c r="Z21" s="267">
        <v>2280000000000</v>
      </c>
    </row>
    <row r="22" spans="1:26">
      <c r="A22" s="1580" t="s">
        <v>2402</v>
      </c>
      <c r="B22" s="1580" t="s">
        <v>5666</v>
      </c>
      <c r="C22" s="1577"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7">
        <v>463000000000</v>
      </c>
      <c r="Z22" s="267">
        <v>494000000000</v>
      </c>
    </row>
    <row r="23" spans="1:26">
      <c r="A23" s="1580" t="s">
        <v>83</v>
      </c>
      <c r="B23" s="1580" t="s">
        <v>5667</v>
      </c>
      <c r="C23" s="1577"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7">
        <v>476000000000</v>
      </c>
      <c r="Z23" s="267">
        <v>510000000000</v>
      </c>
    </row>
    <row r="24" spans="1:26">
      <c r="A24" s="1580" t="s">
        <v>91</v>
      </c>
      <c r="B24" s="1580" t="s">
        <v>91</v>
      </c>
      <c r="C24" s="1577"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7">
        <v>145000000000</v>
      </c>
      <c r="Z24" s="267">
        <v>153000000000</v>
      </c>
    </row>
    <row r="25" spans="1:26">
      <c r="A25" s="1580" t="s">
        <v>1996</v>
      </c>
      <c r="B25" s="1580" t="s">
        <v>5668</v>
      </c>
      <c r="C25" s="1577" t="s">
        <v>81</v>
      </c>
      <c r="D25" s="28"/>
      <c r="E25" s="28"/>
      <c r="F25" s="28"/>
      <c r="G25" s="210">
        <v>257200000000</v>
      </c>
      <c r="H25" s="210">
        <v>290500000000</v>
      </c>
      <c r="I25" s="895">
        <f>I26+I28+I29</f>
        <v>339000000000</v>
      </c>
      <c r="J25" s="895">
        <f t="shared" ref="J25:Z25" si="1">J26+J28+J29</f>
        <v>416000000000</v>
      </c>
      <c r="K25" s="895">
        <f t="shared" si="1"/>
        <v>474000000000</v>
      </c>
      <c r="L25" s="895">
        <f t="shared" si="1"/>
        <v>571000000000</v>
      </c>
      <c r="M25" s="895">
        <f t="shared" si="1"/>
        <v>618000000000</v>
      </c>
      <c r="N25" s="895">
        <f t="shared" si="1"/>
        <v>655000000000</v>
      </c>
      <c r="O25" s="895">
        <f t="shared" si="1"/>
        <v>689000000000</v>
      </c>
      <c r="P25" s="895">
        <f t="shared" si="1"/>
        <v>793000000000</v>
      </c>
      <c r="Q25" s="895">
        <f t="shared" si="1"/>
        <v>817000000000</v>
      </c>
      <c r="R25" s="895">
        <f t="shared" si="1"/>
        <v>855000000000</v>
      </c>
      <c r="S25" s="895">
        <f t="shared" si="1"/>
        <v>843000000000</v>
      </c>
      <c r="T25" s="895">
        <f t="shared" si="1"/>
        <v>827000000000</v>
      </c>
      <c r="U25" s="895">
        <f t="shared" si="1"/>
        <v>833000000000</v>
      </c>
      <c r="V25" s="895">
        <f t="shared" si="1"/>
        <v>860000000000</v>
      </c>
      <c r="W25" s="895">
        <f t="shared" si="1"/>
        <v>914000000000</v>
      </c>
      <c r="X25" s="895">
        <f t="shared" si="1"/>
        <v>981000000000</v>
      </c>
      <c r="Y25" s="895">
        <f t="shared" si="1"/>
        <v>1048000000000</v>
      </c>
      <c r="Z25" s="895">
        <f t="shared" si="1"/>
        <v>1123000000000</v>
      </c>
    </row>
    <row r="26" spans="1:26">
      <c r="A26" s="1582" t="s">
        <v>215</v>
      </c>
      <c r="B26" s="1582" t="s">
        <v>215</v>
      </c>
      <c r="C26" s="1577" t="s">
        <v>218</v>
      </c>
      <c r="D26" s="28"/>
      <c r="E26" s="28"/>
      <c r="F26" s="28"/>
      <c r="G26" s="298"/>
      <c r="H26" s="298"/>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7">
        <v>144000000000</v>
      </c>
      <c r="Z26" s="267">
        <v>154000000000</v>
      </c>
    </row>
    <row r="27" spans="1:26">
      <c r="A27" s="1582" t="s">
        <v>389</v>
      </c>
      <c r="B27" s="1582" t="s">
        <v>389</v>
      </c>
      <c r="C27" s="1577"/>
      <c r="D27" s="28"/>
      <c r="E27" s="28"/>
      <c r="F27" s="28"/>
      <c r="G27" s="298"/>
      <c r="H27" s="298"/>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7">
        <v>904000000000</v>
      </c>
      <c r="Z27" s="267">
        <v>969000000000</v>
      </c>
    </row>
    <row r="28" spans="1:26">
      <c r="A28" s="1582" t="s">
        <v>7207</v>
      </c>
      <c r="B28" s="1582" t="s">
        <v>5669</v>
      </c>
      <c r="C28" s="1577" t="s">
        <v>218</v>
      </c>
      <c r="D28" s="28"/>
      <c r="E28" s="28"/>
      <c r="F28" s="28"/>
      <c r="G28" s="298"/>
      <c r="H28" s="298"/>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7">
        <v>631000000000</v>
      </c>
      <c r="Z28" s="267">
        <v>676000000000</v>
      </c>
    </row>
    <row r="29" spans="1:26">
      <c r="A29" s="1582" t="s">
        <v>5072</v>
      </c>
      <c r="B29" s="1582" t="s">
        <v>5670</v>
      </c>
      <c r="C29" s="1577" t="s">
        <v>218</v>
      </c>
      <c r="D29" s="28"/>
      <c r="E29" s="28"/>
      <c r="F29" s="28"/>
      <c r="G29" s="298"/>
      <c r="H29" s="298"/>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7">
        <v>273000000000</v>
      </c>
      <c r="Z29" s="267">
        <v>293000000000</v>
      </c>
    </row>
    <row r="30" spans="1:26">
      <c r="A30" s="1577" t="s">
        <v>237</v>
      </c>
      <c r="B30" s="1577" t="s">
        <v>5442</v>
      </c>
      <c r="C30" s="1577"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7">
        <v>225000000000</v>
      </c>
      <c r="Z30" s="267">
        <v>241000000000</v>
      </c>
    </row>
    <row r="31" spans="1:26">
      <c r="A31" s="1580" t="s">
        <v>5671</v>
      </c>
      <c r="B31" s="1580" t="s">
        <v>5672</v>
      </c>
      <c r="C31" s="1577" t="s">
        <v>5673</v>
      </c>
      <c r="D31" s="28"/>
      <c r="E31" s="28"/>
      <c r="F31" s="28"/>
      <c r="G31" s="298"/>
      <c r="H31" s="298"/>
      <c r="I31" s="125">
        <v>0</v>
      </c>
      <c r="J31" s="210">
        <v>9000000000</v>
      </c>
      <c r="K31" s="210">
        <v>39000000000</v>
      </c>
      <c r="L31" s="210">
        <v>15000000000</v>
      </c>
      <c r="M31" s="210"/>
      <c r="N31" s="210"/>
      <c r="O31" s="210"/>
      <c r="P31" s="210"/>
      <c r="Q31" s="210"/>
      <c r="R31" s="210"/>
      <c r="S31" s="210"/>
      <c r="T31" s="210"/>
      <c r="U31" s="210"/>
      <c r="V31" s="210"/>
      <c r="W31" s="210"/>
      <c r="X31" s="210"/>
      <c r="Y31" s="267"/>
      <c r="Z31" s="267"/>
    </row>
    <row r="32" spans="1:26">
      <c r="A32" s="1580" t="s">
        <v>50</v>
      </c>
      <c r="B32" s="1580" t="s">
        <v>50</v>
      </c>
      <c r="C32" s="1577" t="s">
        <v>5673</v>
      </c>
      <c r="D32" s="28"/>
      <c r="E32" s="28"/>
      <c r="F32" s="28"/>
      <c r="G32" s="298"/>
      <c r="H32" s="298"/>
      <c r="I32" s="125">
        <v>45000000000</v>
      </c>
      <c r="J32" s="210">
        <v>71000000000</v>
      </c>
      <c r="K32" s="210">
        <v>70000000000</v>
      </c>
      <c r="L32" s="210">
        <v>89000000000</v>
      </c>
      <c r="M32" s="210"/>
      <c r="N32" s="210"/>
      <c r="O32" s="210"/>
      <c r="P32" s="210"/>
      <c r="Q32" s="210"/>
      <c r="R32" s="210"/>
      <c r="S32" s="210"/>
      <c r="T32" s="210"/>
      <c r="U32" s="210"/>
      <c r="V32" s="210"/>
      <c r="W32" s="210"/>
      <c r="X32" s="210"/>
      <c r="Y32" s="267"/>
      <c r="Z32" s="267"/>
    </row>
    <row r="33" spans="1:26">
      <c r="A33" s="1577" t="s">
        <v>612</v>
      </c>
      <c r="B33" s="1577" t="s">
        <v>5674</v>
      </c>
      <c r="C33" s="1577"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7">
        <v>8000000000</v>
      </c>
      <c r="Z33" s="267">
        <v>8000000000</v>
      </c>
    </row>
    <row r="34" spans="1:26">
      <c r="A34" s="1577" t="s">
        <v>5675</v>
      </c>
      <c r="B34" s="1577" t="s">
        <v>5676</v>
      </c>
      <c r="C34" s="1577" t="s">
        <v>201</v>
      </c>
      <c r="D34" s="28"/>
      <c r="E34" s="28"/>
      <c r="F34" s="28"/>
      <c r="G34" s="298"/>
      <c r="H34" s="298"/>
      <c r="I34" s="298"/>
      <c r="J34" s="298"/>
      <c r="K34" s="298"/>
      <c r="L34" s="298"/>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7">
        <v>17000000000</v>
      </c>
      <c r="Z34" s="267">
        <v>17000000000</v>
      </c>
    </row>
    <row r="35" spans="1:26">
      <c r="A35" s="1570" t="s">
        <v>76</v>
      </c>
      <c r="B35" s="1577" t="s">
        <v>5677</v>
      </c>
      <c r="C35" s="1577"/>
      <c r="D35" s="28"/>
      <c r="E35" s="28"/>
      <c r="F35" s="28"/>
      <c r="G35" s="298"/>
      <c r="H35" s="298"/>
      <c r="I35" s="298"/>
      <c r="J35" s="298"/>
      <c r="K35" s="298"/>
      <c r="L35" s="298"/>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7">
        <v>-29000000000</v>
      </c>
      <c r="Z35" s="267">
        <v>-33000000000</v>
      </c>
    </row>
    <row r="36" spans="1:26" s="848" customFormat="1">
      <c r="A36" s="2004" t="s">
        <v>115</v>
      </c>
      <c r="B36" s="2004" t="s">
        <v>115</v>
      </c>
      <c r="C36" s="2004" t="s">
        <v>35</v>
      </c>
      <c r="D36" s="1158"/>
      <c r="E36" s="1158"/>
      <c r="F36" s="1158"/>
      <c r="G36" s="1159">
        <v>50900000000</v>
      </c>
      <c r="H36" s="1159">
        <v>9100000000</v>
      </c>
      <c r="I36" s="1159">
        <v>-14000000000</v>
      </c>
      <c r="J36" s="2048">
        <v>-31000000000</v>
      </c>
      <c r="K36" s="2048">
        <v>-44000000000</v>
      </c>
      <c r="L36" s="2048">
        <v>-69000000000</v>
      </c>
      <c r="M36" s="1556">
        <v>125000000000</v>
      </c>
      <c r="N36" s="1556">
        <v>141000000000</v>
      </c>
      <c r="O36" s="1556">
        <v>164000000000</v>
      </c>
      <c r="P36" s="1556">
        <v>259000000000</v>
      </c>
      <c r="Q36" s="1556">
        <v>218000000000</v>
      </c>
      <c r="R36" s="1556">
        <v>258000000000</v>
      </c>
      <c r="S36" s="1556">
        <v>149000000000</v>
      </c>
      <c r="T36" s="1556">
        <v>54000000000</v>
      </c>
      <c r="U36" s="1556">
        <v>-11000000000</v>
      </c>
      <c r="V36" s="1556">
        <v>31000000000</v>
      </c>
      <c r="W36" s="1556">
        <v>27000000000</v>
      </c>
      <c r="X36" s="1556">
        <v>28000000000</v>
      </c>
      <c r="Y36" s="1348">
        <v>29000000000</v>
      </c>
      <c r="Z36" s="1348">
        <v>33000000000</v>
      </c>
    </row>
    <row r="37" spans="1:26">
      <c r="A37" s="1577" t="s">
        <v>1096</v>
      </c>
      <c r="B37" s="1577" t="s">
        <v>5678</v>
      </c>
      <c r="C37" s="1577"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7">
        <v>0</v>
      </c>
      <c r="Z37" s="267">
        <v>0</v>
      </c>
    </row>
    <row r="38" spans="1:26">
      <c r="A38" s="1577" t="s">
        <v>5679</v>
      </c>
      <c r="B38" s="1577" t="s">
        <v>5680</v>
      </c>
      <c r="C38" s="1577" t="s">
        <v>252</v>
      </c>
      <c r="D38" s="28"/>
      <c r="E38" s="28"/>
      <c r="F38" s="28"/>
      <c r="G38" s="298"/>
      <c r="H38" s="298"/>
      <c r="I38" s="298"/>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7">
        <v>0</v>
      </c>
      <c r="Z38" s="267">
        <v>0</v>
      </c>
    </row>
    <row r="39" spans="1:26">
      <c r="A39" s="1577" t="s">
        <v>2299</v>
      </c>
      <c r="B39" s="1577" t="s">
        <v>209</v>
      </c>
      <c r="C39" s="1577"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7">
        <v>14000000000</v>
      </c>
      <c r="Z39" s="267">
        <v>76000000000</v>
      </c>
    </row>
    <row r="40" spans="1:26">
      <c r="A40" s="1580" t="s">
        <v>4426</v>
      </c>
      <c r="B40" s="1580" t="s">
        <v>4426</v>
      </c>
      <c r="C40" s="1575"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7">
        <v>7000000000</v>
      </c>
      <c r="Z40" s="267">
        <v>50000000000</v>
      </c>
    </row>
    <row r="41" spans="1:26">
      <c r="B41" s="1582" t="s">
        <v>5681</v>
      </c>
      <c r="C41" s="1577"/>
      <c r="D41" s="28"/>
      <c r="E41" s="28"/>
      <c r="F41" s="28"/>
      <c r="G41" s="298"/>
      <c r="H41" s="298"/>
      <c r="I41" s="298"/>
      <c r="J41" s="298"/>
      <c r="K41" s="298"/>
      <c r="L41" s="298"/>
      <c r="M41" s="210">
        <v>-56000000000</v>
      </c>
      <c r="N41" s="210">
        <v>15000000000</v>
      </c>
      <c r="O41" s="210">
        <v>-50000000000</v>
      </c>
      <c r="P41" s="210"/>
      <c r="Q41" s="210"/>
      <c r="R41" s="210"/>
      <c r="S41" s="210"/>
      <c r="T41" s="210"/>
      <c r="U41" s="210"/>
      <c r="V41" s="210"/>
      <c r="W41" s="210"/>
      <c r="X41" s="210"/>
      <c r="Y41" s="267"/>
      <c r="Z41" s="267"/>
    </row>
    <row r="42" spans="1:26">
      <c r="B42" s="1582" t="s">
        <v>5682</v>
      </c>
      <c r="C42" s="1577"/>
      <c r="D42" s="28"/>
      <c r="E42" s="28"/>
      <c r="F42" s="28"/>
      <c r="G42" s="298"/>
      <c r="H42" s="298"/>
      <c r="I42" s="298"/>
      <c r="J42" s="298"/>
      <c r="K42" s="298"/>
      <c r="L42" s="298"/>
      <c r="M42" s="210">
        <v>0</v>
      </c>
      <c r="N42" s="210">
        <v>72000000000</v>
      </c>
      <c r="O42" s="210">
        <v>14000000000</v>
      </c>
      <c r="P42" s="210"/>
      <c r="Q42" s="210"/>
      <c r="R42" s="210"/>
      <c r="S42" s="210"/>
      <c r="T42" s="210"/>
      <c r="U42" s="210"/>
      <c r="V42" s="210"/>
      <c r="W42" s="210"/>
      <c r="X42" s="210"/>
      <c r="Y42" s="267"/>
      <c r="Z42" s="267"/>
    </row>
    <row r="43" spans="1:26">
      <c r="B43" s="1582" t="s">
        <v>5683</v>
      </c>
      <c r="C43" s="1577"/>
      <c r="D43" s="28"/>
      <c r="E43" s="28"/>
      <c r="F43" s="28"/>
      <c r="G43" s="298"/>
      <c r="H43" s="298"/>
      <c r="I43" s="298"/>
      <c r="J43" s="298"/>
      <c r="K43" s="298"/>
      <c r="L43" s="298"/>
      <c r="M43" s="210">
        <v>87000000000</v>
      </c>
      <c r="N43" s="210">
        <v>58000000000</v>
      </c>
      <c r="O43" s="210">
        <v>6000000000</v>
      </c>
      <c r="P43" s="210"/>
      <c r="Q43" s="210"/>
      <c r="R43" s="210"/>
      <c r="S43" s="210"/>
      <c r="T43" s="210"/>
      <c r="U43" s="210"/>
      <c r="V43" s="210"/>
      <c r="W43" s="210"/>
      <c r="X43" s="210"/>
      <c r="Y43" s="267"/>
      <c r="Z43" s="267"/>
    </row>
    <row r="44" spans="1:26">
      <c r="B44" s="1582" t="s">
        <v>5684</v>
      </c>
      <c r="C44" s="1577"/>
      <c r="D44" s="28"/>
      <c r="E44" s="28"/>
      <c r="F44" s="28"/>
      <c r="G44" s="298"/>
      <c r="H44" s="298"/>
      <c r="I44" s="298"/>
      <c r="J44" s="298"/>
      <c r="K44" s="298"/>
      <c r="L44" s="298"/>
      <c r="M44" s="298"/>
      <c r="N44" s="298"/>
      <c r="O44" s="298"/>
      <c r="P44" s="210">
        <v>-30000000000</v>
      </c>
      <c r="Q44" s="210">
        <v>-100000000000</v>
      </c>
      <c r="R44" s="210">
        <v>-56000000000</v>
      </c>
      <c r="S44" s="210">
        <v>32000000000</v>
      </c>
      <c r="T44" s="210">
        <v>35000000000</v>
      </c>
      <c r="U44" s="210">
        <v>-18000000000</v>
      </c>
      <c r="V44" s="210">
        <v>-1000000000</v>
      </c>
      <c r="W44" s="210">
        <v>7000000000</v>
      </c>
      <c r="X44" s="210">
        <v>11000000000</v>
      </c>
      <c r="Y44" s="267">
        <v>-4000000000</v>
      </c>
      <c r="Z44" s="267">
        <v>1000000000</v>
      </c>
    </row>
    <row r="45" spans="1:26">
      <c r="B45" s="1582" t="s">
        <v>5683</v>
      </c>
      <c r="C45" s="1577"/>
      <c r="D45" s="28"/>
      <c r="E45" s="28"/>
      <c r="F45" s="28"/>
      <c r="G45" s="298"/>
      <c r="H45" s="298"/>
      <c r="I45" s="298"/>
      <c r="J45" s="298"/>
      <c r="K45" s="298"/>
      <c r="L45" s="298"/>
      <c r="M45" s="298"/>
      <c r="N45" s="298"/>
      <c r="O45" s="298"/>
      <c r="P45" s="210">
        <v>98000000000</v>
      </c>
      <c r="Q45" s="210">
        <v>56000000000</v>
      </c>
      <c r="R45" s="210">
        <v>117000000000</v>
      </c>
      <c r="S45" s="210">
        <v>93000000000</v>
      </c>
      <c r="T45" s="210">
        <v>99000000000</v>
      </c>
      <c r="U45" s="210">
        <v>34000000000</v>
      </c>
      <c r="V45" s="210">
        <v>37000000000</v>
      </c>
      <c r="W45" s="210">
        <v>8000000000</v>
      </c>
      <c r="X45" s="210">
        <v>27000000000</v>
      </c>
      <c r="Y45" s="267">
        <v>37000000000</v>
      </c>
      <c r="Z45" s="267">
        <v>76000000000</v>
      </c>
    </row>
    <row r="46" spans="1:26">
      <c r="B46" s="1580" t="s">
        <v>5685</v>
      </c>
      <c r="C46" s="1577"/>
      <c r="D46" s="28"/>
      <c r="E46" s="28"/>
      <c r="F46" s="28"/>
      <c r="G46" s="298"/>
      <c r="H46" s="298"/>
      <c r="I46" s="298"/>
      <c r="J46" s="298"/>
      <c r="K46" s="298"/>
      <c r="L46" s="298"/>
      <c r="M46" s="298"/>
      <c r="N46" s="298"/>
      <c r="O46" s="298"/>
      <c r="P46" s="210">
        <v>63000000000</v>
      </c>
      <c r="Q46" s="210">
        <v>76000000000</v>
      </c>
      <c r="R46" s="210">
        <v>22000000000</v>
      </c>
      <c r="S46" s="210">
        <v>39000000000</v>
      </c>
      <c r="T46" s="210">
        <v>14000000000</v>
      </c>
      <c r="U46" s="210">
        <v>-5000000000</v>
      </c>
      <c r="V46" s="210">
        <v>-14000000000</v>
      </c>
      <c r="W46" s="210">
        <v>-24000000000</v>
      </c>
      <c r="X46" s="210">
        <v>-26000000000</v>
      </c>
      <c r="Y46" s="267">
        <v>-26000000000</v>
      </c>
      <c r="Z46" s="267">
        <v>-26000000000</v>
      </c>
    </row>
    <row r="47" spans="1:26">
      <c r="A47" s="1580" t="s">
        <v>5686</v>
      </c>
      <c r="B47" s="1580" t="s">
        <v>5687</v>
      </c>
      <c r="C47" s="1575"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7">
        <v>7000000000</v>
      </c>
      <c r="Z47" s="267">
        <v>25000000000</v>
      </c>
    </row>
    <row r="48" spans="1:26">
      <c r="B48" s="1582" t="s">
        <v>5688</v>
      </c>
      <c r="C48" s="1577"/>
      <c r="D48" s="28"/>
      <c r="E48" s="28"/>
      <c r="F48" s="28"/>
      <c r="G48" s="298"/>
      <c r="H48" s="298"/>
      <c r="I48" s="298"/>
      <c r="J48" s="298"/>
      <c r="K48" s="298"/>
      <c r="L48" s="298"/>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7">
        <v>7000000000</v>
      </c>
      <c r="Z48" s="267">
        <v>25000000000</v>
      </c>
    </row>
    <row r="49" spans="1:26">
      <c r="B49" s="1582" t="s">
        <v>5689</v>
      </c>
      <c r="C49" s="1577"/>
      <c r="D49" s="28"/>
      <c r="E49" s="28"/>
      <c r="F49" s="28"/>
      <c r="G49" s="298"/>
      <c r="H49" s="298"/>
      <c r="I49" s="298"/>
      <c r="J49" s="298"/>
      <c r="K49" s="298"/>
      <c r="L49" s="298"/>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7">
        <v>0</v>
      </c>
      <c r="Z49" s="267">
        <v>0</v>
      </c>
    </row>
    <row r="50" spans="1:26">
      <c r="A50" s="1577" t="s">
        <v>117</v>
      </c>
      <c r="B50" s="1577" t="s">
        <v>280</v>
      </c>
      <c r="C50" s="1577"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7">
        <v>15000000000</v>
      </c>
      <c r="Z50" s="267">
        <v>-43000000000</v>
      </c>
    </row>
    <row r="51" spans="1:26">
      <c r="A51" s="1577" t="s">
        <v>1220</v>
      </c>
      <c r="B51" s="1577" t="s">
        <v>1220</v>
      </c>
      <c r="C51" s="1575" t="s">
        <v>264</v>
      </c>
      <c r="D51" s="28"/>
      <c r="E51" s="28"/>
      <c r="F51" s="28"/>
      <c r="G51" s="298"/>
      <c r="H51" s="298"/>
      <c r="I51" s="298"/>
      <c r="J51" s="298"/>
      <c r="K51" s="298"/>
      <c r="L51" s="298"/>
      <c r="M51" s="210">
        <v>42000000000</v>
      </c>
      <c r="N51" s="210">
        <v>39000000000</v>
      </c>
      <c r="O51" s="210">
        <v>17000000000</v>
      </c>
      <c r="P51" s="210">
        <v>0</v>
      </c>
      <c r="Q51" s="210">
        <v>0</v>
      </c>
      <c r="R51" s="210">
        <v>0</v>
      </c>
      <c r="S51" s="210">
        <v>17000000000</v>
      </c>
      <c r="T51" s="210">
        <v>0</v>
      </c>
      <c r="U51" s="210">
        <v>24000000000</v>
      </c>
      <c r="V51" s="210">
        <v>0</v>
      </c>
      <c r="W51" s="210">
        <v>0</v>
      </c>
      <c r="X51" s="210">
        <v>0</v>
      </c>
      <c r="Y51" s="267">
        <v>0</v>
      </c>
      <c r="Z51" s="267">
        <v>0</v>
      </c>
    </row>
    <row r="52" spans="1:26">
      <c r="A52" s="1577" t="s">
        <v>1219</v>
      </c>
      <c r="B52" s="1577" t="s">
        <v>1219</v>
      </c>
      <c r="C52" s="1575" t="s">
        <v>264</v>
      </c>
      <c r="D52" s="28"/>
      <c r="E52" s="28"/>
      <c r="F52" s="28"/>
      <c r="G52" s="298"/>
      <c r="H52" s="298"/>
      <c r="I52" s="298"/>
      <c r="J52" s="298"/>
      <c r="K52" s="298"/>
      <c r="L52" s="298"/>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7">
        <v>63000000000</v>
      </c>
      <c r="Z52" s="267">
        <v>84000000000</v>
      </c>
    </row>
    <row r="53" spans="1:26">
      <c r="A53" s="1577" t="s">
        <v>5690</v>
      </c>
      <c r="B53" s="1577" t="s">
        <v>5690</v>
      </c>
      <c r="C53" s="1575" t="s">
        <v>264</v>
      </c>
      <c r="D53" s="28"/>
      <c r="E53" s="28"/>
      <c r="F53" s="28"/>
      <c r="G53" s="298"/>
      <c r="H53" s="298"/>
      <c r="I53" s="298"/>
      <c r="J53" s="298"/>
      <c r="K53" s="298"/>
      <c r="L53" s="298"/>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7">
        <v>259000000000</v>
      </c>
      <c r="Z53" s="267">
        <v>122000000000</v>
      </c>
    </row>
    <row r="54" spans="1:26">
      <c r="A54" s="1577" t="s">
        <v>258</v>
      </c>
      <c r="B54" s="1577" t="s">
        <v>258</v>
      </c>
      <c r="C54" s="1575" t="s">
        <v>264</v>
      </c>
      <c r="D54" s="28"/>
      <c r="E54" s="28"/>
      <c r="F54" s="28"/>
      <c r="G54" s="298"/>
      <c r="H54" s="298"/>
      <c r="I54" s="298"/>
      <c r="J54" s="298"/>
      <c r="K54" s="298"/>
      <c r="L54" s="298"/>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7">
        <v>-307000000000</v>
      </c>
      <c r="Z54" s="267">
        <v>-249000000000</v>
      </c>
    </row>
    <row r="55" spans="1:26">
      <c r="A55" s="1577" t="s">
        <v>910</v>
      </c>
      <c r="B55" s="1577" t="s">
        <v>910</v>
      </c>
      <c r="C55" s="1577" t="s">
        <v>252</v>
      </c>
      <c r="D55" s="28"/>
      <c r="E55" s="28"/>
      <c r="F55" s="28"/>
      <c r="G55" s="125">
        <v>17800000000</v>
      </c>
      <c r="H55" s="125">
        <v>9600000000</v>
      </c>
      <c r="I55" s="298"/>
      <c r="J55" s="298"/>
      <c r="K55" s="298"/>
      <c r="L55" s="298"/>
      <c r="M55" s="298"/>
      <c r="N55" s="298"/>
      <c r="O55" s="298"/>
      <c r="P55" s="298"/>
      <c r="Q55" s="298"/>
      <c r="R55" s="298"/>
      <c r="S55" s="298"/>
      <c r="T55" s="298"/>
      <c r="U55" s="298"/>
      <c r="V55" s="298"/>
      <c r="W55" s="298"/>
      <c r="X55" s="298"/>
      <c r="Y55" s="267"/>
      <c r="Z55" s="267"/>
    </row>
    <row r="56" spans="1:26">
      <c r="A56" s="1577" t="s">
        <v>5691</v>
      </c>
      <c r="B56" s="1577" t="s">
        <v>5691</v>
      </c>
      <c r="C56" s="1577" t="s">
        <v>252</v>
      </c>
      <c r="D56" s="28"/>
      <c r="E56" s="28"/>
      <c r="F56" s="28"/>
      <c r="G56" s="125">
        <f>G36-G37-G38-G50-G55-G39</f>
        <v>100000000</v>
      </c>
      <c r="H56" s="125">
        <f>H36-H37-H38-H50-H55-H39</f>
        <v>100000000</v>
      </c>
      <c r="I56" s="298"/>
      <c r="J56" s="125">
        <f>J36-J37-J38-J50-J55-J39</f>
        <v>-62000000000</v>
      </c>
      <c r="K56" s="125">
        <f>K36-K37-K38-K50-K55-K39</f>
        <v>-88000000000</v>
      </c>
      <c r="L56" s="125">
        <f>L36-L37-L38-L50-L55-L39</f>
        <v>-138000000000</v>
      </c>
      <c r="M56" s="298"/>
      <c r="N56" s="298"/>
      <c r="O56" s="298"/>
      <c r="P56" s="298"/>
      <c r="Q56" s="298"/>
      <c r="R56" s="298"/>
      <c r="S56" s="298"/>
      <c r="T56" s="298"/>
      <c r="U56" s="298"/>
      <c r="V56" s="298"/>
      <c r="W56" s="298"/>
      <c r="X56" s="298"/>
      <c r="Y56" s="267"/>
      <c r="Z56" s="267"/>
    </row>
    <row r="57" spans="1:26">
      <c r="B57" s="1577"/>
      <c r="C57" s="1577"/>
      <c r="D57" s="28"/>
      <c r="E57" s="28"/>
      <c r="F57" s="28"/>
      <c r="G57" s="28"/>
      <c r="H57" s="28"/>
      <c r="I57" s="28"/>
      <c r="J57" s="28"/>
      <c r="K57" s="28"/>
      <c r="L57" s="28"/>
      <c r="M57" s="28"/>
      <c r="N57" s="28"/>
      <c r="O57" s="28"/>
      <c r="P57" s="28"/>
      <c r="Q57" s="28"/>
      <c r="R57" s="28"/>
      <c r="S57" s="28"/>
      <c r="T57" s="28"/>
      <c r="U57" s="28"/>
      <c r="V57" s="28"/>
      <c r="W57" s="28"/>
      <c r="X57" s="28"/>
      <c r="Y57" s="267"/>
      <c r="Z57" s="267"/>
    </row>
    <row r="58" spans="1:26">
      <c r="B58" s="1577"/>
      <c r="C58" s="1577"/>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577"/>
      <c r="C59" s="1577"/>
      <c r="D59" s="28"/>
      <c r="E59" s="269"/>
      <c r="F59" s="28"/>
      <c r="G59" s="28"/>
      <c r="H59" s="28"/>
      <c r="I59" s="28"/>
      <c r="J59" s="28"/>
      <c r="K59" s="28"/>
      <c r="L59" s="28"/>
      <c r="M59" s="28"/>
      <c r="N59" s="28"/>
      <c r="O59" s="28"/>
      <c r="P59" s="28"/>
      <c r="Q59" s="28"/>
      <c r="R59" s="28"/>
      <c r="S59" s="28"/>
      <c r="T59" s="28"/>
      <c r="U59" s="28"/>
      <c r="V59" s="28"/>
      <c r="W59" s="28"/>
      <c r="X59" s="28"/>
      <c r="Y59" s="267"/>
      <c r="Z59" s="267"/>
    </row>
    <row r="60" spans="1:26">
      <c r="B60" s="1577"/>
      <c r="C60" s="1577"/>
      <c r="D60" s="28"/>
      <c r="E60" s="269"/>
      <c r="F60" s="28"/>
      <c r="G60" s="28"/>
      <c r="H60" s="28"/>
      <c r="I60" s="28"/>
      <c r="J60" s="28"/>
      <c r="K60" s="28"/>
      <c r="L60" s="28"/>
      <c r="M60" s="28"/>
      <c r="N60" s="28"/>
      <c r="O60" s="28"/>
      <c r="P60" s="28"/>
      <c r="Q60" s="28"/>
      <c r="R60" s="28"/>
      <c r="S60" s="28"/>
      <c r="T60" s="28"/>
      <c r="U60" s="28"/>
      <c r="V60" s="28"/>
      <c r="W60" s="28"/>
      <c r="X60" s="28"/>
      <c r="Y60" s="267"/>
      <c r="Z60" s="267"/>
    </row>
    <row r="61" spans="1:26">
      <c r="B61" s="1577" t="s">
        <v>449</v>
      </c>
      <c r="C61" s="1577"/>
      <c r="D61" s="28"/>
      <c r="E61" s="269"/>
      <c r="F61" s="28"/>
      <c r="G61" s="298">
        <f>G6-G7-G19</f>
        <v>0</v>
      </c>
      <c r="H61" s="298">
        <f t="shared" ref="H61:W61" si="2">H6-H7-H19</f>
        <v>0</v>
      </c>
      <c r="I61" s="298">
        <f t="shared" si="2"/>
        <v>0</v>
      </c>
      <c r="J61" s="298">
        <f t="shared" si="2"/>
        <v>0</v>
      </c>
      <c r="K61" s="298">
        <f t="shared" si="2"/>
        <v>0</v>
      </c>
      <c r="L61" s="298">
        <f>L6-L7-L19</f>
        <v>0</v>
      </c>
      <c r="M61" s="298">
        <f t="shared" si="2"/>
        <v>0</v>
      </c>
      <c r="N61" s="298">
        <f t="shared" si="2"/>
        <v>0</v>
      </c>
      <c r="O61" s="298">
        <f t="shared" si="2"/>
        <v>0</v>
      </c>
      <c r="P61" s="298">
        <f t="shared" si="2"/>
        <v>0</v>
      </c>
      <c r="Q61" s="298">
        <f t="shared" si="2"/>
        <v>0</v>
      </c>
      <c r="R61" s="298">
        <f t="shared" si="2"/>
        <v>0</v>
      </c>
      <c r="S61" s="298">
        <f t="shared" si="2"/>
        <v>0</v>
      </c>
      <c r="T61" s="298">
        <f t="shared" si="2"/>
        <v>0</v>
      </c>
      <c r="U61" s="298">
        <f t="shared" si="2"/>
        <v>0</v>
      </c>
      <c r="V61" s="298">
        <f t="shared" si="2"/>
        <v>0</v>
      </c>
      <c r="W61" s="298">
        <f t="shared" si="2"/>
        <v>0</v>
      </c>
      <c r="X61" s="298">
        <f>X6-X7-X19</f>
        <v>0</v>
      </c>
      <c r="Y61" s="269">
        <f t="shared" ref="Y61:Z61" si="3">Y6-Y7-Y19</f>
        <v>0</v>
      </c>
      <c r="Z61" s="269">
        <f t="shared" si="3"/>
        <v>0</v>
      </c>
    </row>
    <row r="62" spans="1:26">
      <c r="B62" s="1577" t="s">
        <v>141</v>
      </c>
      <c r="C62" s="1577"/>
      <c r="D62" s="28"/>
      <c r="E62" s="269"/>
      <c r="F62" s="28"/>
      <c r="G62" s="298">
        <f>G7-G9-G17-G18</f>
        <v>0</v>
      </c>
      <c r="H62" s="298">
        <f t="shared" ref="H62:X62" si="4">H7-H9-H17-H18</f>
        <v>0</v>
      </c>
      <c r="I62" s="298">
        <f t="shared" si="4"/>
        <v>1000000000</v>
      </c>
      <c r="J62" s="298">
        <f t="shared" si="4"/>
        <v>0</v>
      </c>
      <c r="K62" s="298">
        <f t="shared" si="4"/>
        <v>-1000000000</v>
      </c>
      <c r="L62" s="298">
        <f>L7-L9-L17-L18</f>
        <v>1000000000</v>
      </c>
      <c r="M62" s="298">
        <f t="shared" si="4"/>
        <v>0</v>
      </c>
      <c r="N62" s="298">
        <f t="shared" si="4"/>
        <v>1000000000</v>
      </c>
      <c r="O62" s="298">
        <f t="shared" si="4"/>
        <v>0</v>
      </c>
      <c r="P62" s="298">
        <f t="shared" si="4"/>
        <v>1000000000</v>
      </c>
      <c r="Q62" s="298">
        <f t="shared" si="4"/>
        <v>1000000000</v>
      </c>
      <c r="R62" s="298">
        <f t="shared" si="4"/>
        <v>0</v>
      </c>
      <c r="S62" s="298">
        <f t="shared" si="4"/>
        <v>1000000000</v>
      </c>
      <c r="T62" s="298">
        <f t="shared" si="4"/>
        <v>1000000000</v>
      </c>
      <c r="U62" s="298">
        <f t="shared" si="4"/>
        <v>0</v>
      </c>
      <c r="V62" s="298">
        <f t="shared" si="4"/>
        <v>0</v>
      </c>
      <c r="W62" s="298">
        <f>W7-W9-W17-W18</f>
        <v>-1000000000</v>
      </c>
      <c r="X62" s="298">
        <f t="shared" si="4"/>
        <v>1000000000</v>
      </c>
      <c r="Y62" s="269">
        <f t="shared" ref="Y62:Z62" si="5">Y7-Y9-Y17-Y18</f>
        <v>-1000000000</v>
      </c>
      <c r="Z62" s="269">
        <f t="shared" si="5"/>
        <v>-1000000000</v>
      </c>
    </row>
    <row r="63" spans="1:26">
      <c r="B63" s="1577" t="s">
        <v>451</v>
      </c>
      <c r="C63" s="1577"/>
      <c r="D63" s="28"/>
      <c r="E63" s="269"/>
      <c r="F63" s="28"/>
      <c r="G63" s="298">
        <f t="shared" ref="G63:W63" si="6">G9-G10-G11-G12-G13-G14-G15-G16</f>
        <v>100000000</v>
      </c>
      <c r="H63" s="298">
        <f t="shared" si="6"/>
        <v>3.814697265625E-6</v>
      </c>
      <c r="I63" s="298">
        <f t="shared" si="6"/>
        <v>1000000000</v>
      </c>
      <c r="J63" s="298">
        <f t="shared" si="6"/>
        <v>1000000000</v>
      </c>
      <c r="K63" s="298">
        <f t="shared" si="6"/>
        <v>0</v>
      </c>
      <c r="L63" s="298">
        <f>L9-L10-L11-L12-L13-L14-L15-L16</f>
        <v>-1000000000</v>
      </c>
      <c r="M63" s="298">
        <f t="shared" si="6"/>
        <v>0</v>
      </c>
      <c r="N63" s="298">
        <f t="shared" si="6"/>
        <v>0</v>
      </c>
      <c r="O63" s="298">
        <f t="shared" si="6"/>
        <v>-1000000000</v>
      </c>
      <c r="P63" s="298">
        <f t="shared" si="6"/>
        <v>0</v>
      </c>
      <c r="Q63" s="298">
        <f t="shared" si="6"/>
        <v>-1000000000</v>
      </c>
      <c r="R63" s="298">
        <f t="shared" si="6"/>
        <v>1000000000</v>
      </c>
      <c r="S63" s="298">
        <f t="shared" si="6"/>
        <v>-1000000000</v>
      </c>
      <c r="T63" s="298">
        <f t="shared" si="6"/>
        <v>0</v>
      </c>
      <c r="U63" s="298">
        <f t="shared" si="6"/>
        <v>0</v>
      </c>
      <c r="V63" s="298">
        <f t="shared" si="6"/>
        <v>0</v>
      </c>
      <c r="W63" s="298">
        <f t="shared" si="6"/>
        <v>1000000000</v>
      </c>
      <c r="X63" s="298">
        <f>X9-X10-X11-X12-X13-X14-X15-X16</f>
        <v>0</v>
      </c>
      <c r="Y63" s="269">
        <f t="shared" ref="Y63:Z63" si="7">Y9-Y10-Y11-Y12-Y13-Y14-Y15-Y16</f>
        <v>0</v>
      </c>
      <c r="Z63" s="269">
        <f t="shared" si="7"/>
        <v>-1000000000</v>
      </c>
    </row>
    <row r="64" spans="1:26">
      <c r="B64" s="1577" t="s">
        <v>71</v>
      </c>
      <c r="C64" s="1577"/>
      <c r="D64" s="28"/>
      <c r="E64" s="269"/>
      <c r="F64" s="28"/>
      <c r="G64" s="298">
        <f t="shared" ref="G64:W64" si="8">G20-G21-G30-G33-G34</f>
        <v>100000000</v>
      </c>
      <c r="H64" s="298">
        <f t="shared" si="8"/>
        <v>0</v>
      </c>
      <c r="I64" s="298">
        <f t="shared" si="8"/>
        <v>1000000000</v>
      </c>
      <c r="J64" s="298">
        <f t="shared" si="8"/>
        <v>0</v>
      </c>
      <c r="K64" s="298">
        <f t="shared" si="8"/>
        <v>0</v>
      </c>
      <c r="L64" s="298">
        <f>L20-L21-L30-L33-L34</f>
        <v>0</v>
      </c>
      <c r="M64" s="298">
        <f t="shared" si="8"/>
        <v>1000000000</v>
      </c>
      <c r="N64" s="298">
        <f t="shared" si="8"/>
        <v>0</v>
      </c>
      <c r="O64" s="298">
        <f t="shared" si="8"/>
        <v>0</v>
      </c>
      <c r="P64" s="298">
        <f t="shared" si="8"/>
        <v>0</v>
      </c>
      <c r="Q64" s="298">
        <f t="shared" si="8"/>
        <v>-1000000000</v>
      </c>
      <c r="R64" s="298">
        <f t="shared" si="8"/>
        <v>-1000000000</v>
      </c>
      <c r="S64" s="298">
        <f t="shared" si="8"/>
        <v>-1000000000</v>
      </c>
      <c r="T64" s="298">
        <f t="shared" si="8"/>
        <v>1000000000</v>
      </c>
      <c r="U64" s="298">
        <f t="shared" si="8"/>
        <v>1000000000</v>
      </c>
      <c r="V64" s="298">
        <f t="shared" si="8"/>
        <v>1000000000</v>
      </c>
      <c r="W64" s="298">
        <f t="shared" si="8"/>
        <v>0</v>
      </c>
      <c r="X64" s="298">
        <f>X20-X21-X30-X33-X34</f>
        <v>1000000000</v>
      </c>
      <c r="Y64" s="269">
        <f t="shared" ref="Y64:Z64" si="9">Y20-Y21-Y30-Y33-Y34</f>
        <v>-1000000000</v>
      </c>
      <c r="Z64" s="269">
        <f t="shared" si="9"/>
        <v>0</v>
      </c>
    </row>
    <row r="65" spans="2:26">
      <c r="B65" s="1577" t="s">
        <v>2742</v>
      </c>
      <c r="C65" s="1577"/>
      <c r="D65" s="28"/>
      <c r="E65" s="269"/>
      <c r="F65" s="28"/>
      <c r="G65" s="409">
        <f>G25-G26-G27-G28-G29</f>
        <v>257200000000</v>
      </c>
      <c r="H65" s="409">
        <f t="shared" ref="H65:X65" si="10">H25-H26-H27-H28-H29</f>
        <v>290500000000</v>
      </c>
      <c r="I65" s="298">
        <f t="shared" si="10"/>
        <v>-284000000000</v>
      </c>
      <c r="J65" s="298">
        <f t="shared" si="10"/>
        <v>-361000000000</v>
      </c>
      <c r="K65" s="298">
        <f t="shared" si="10"/>
        <v>-409000000000</v>
      </c>
      <c r="L65" s="298">
        <f>L25-L26-L27-L28-L29</f>
        <v>-493000000000</v>
      </c>
      <c r="M65" s="298">
        <f t="shared" si="10"/>
        <v>-556000000000</v>
      </c>
      <c r="N65" s="298">
        <f t="shared" si="10"/>
        <v>-577000000000</v>
      </c>
      <c r="O65" s="298">
        <f t="shared" si="10"/>
        <v>-609000000000</v>
      </c>
      <c r="P65" s="298">
        <f t="shared" si="10"/>
        <v>-647000000000</v>
      </c>
      <c r="Q65" s="298">
        <f t="shared" si="10"/>
        <v>-687000000000</v>
      </c>
      <c r="R65" s="298">
        <f t="shared" si="10"/>
        <v>-697000000000</v>
      </c>
      <c r="S65" s="298">
        <f t="shared" si="10"/>
        <v>-710000000000</v>
      </c>
      <c r="T65" s="298">
        <f t="shared" si="10"/>
        <v>-714000000000</v>
      </c>
      <c r="U65" s="298">
        <f t="shared" si="10"/>
        <v>-722000000000</v>
      </c>
      <c r="V65" s="298">
        <f t="shared" si="10"/>
        <v>-746000000000</v>
      </c>
      <c r="W65" s="298">
        <f t="shared" si="10"/>
        <v>-794000000000</v>
      </c>
      <c r="X65" s="298">
        <f t="shared" si="10"/>
        <v>-848000000000</v>
      </c>
      <c r="Y65" s="269">
        <f t="shared" ref="Y65:Z65" si="11">Y25-Y26-Y27-Y28-Y29</f>
        <v>-904000000000</v>
      </c>
      <c r="Z65" s="269">
        <f t="shared" si="11"/>
        <v>-969000000000</v>
      </c>
    </row>
    <row r="66" spans="2:26">
      <c r="B66" s="1577" t="s">
        <v>1623</v>
      </c>
      <c r="C66" s="1577"/>
      <c r="D66" s="28"/>
      <c r="E66" s="269"/>
      <c r="F66" s="28"/>
      <c r="G66" s="409">
        <f>G30-G31-G32</f>
        <v>27900000000</v>
      </c>
      <c r="H66" s="409">
        <f t="shared" ref="H66:X66" si="12">H30-H31-H32</f>
        <v>36100000000</v>
      </c>
      <c r="I66" s="298">
        <f t="shared" si="12"/>
        <v>0</v>
      </c>
      <c r="J66" s="298">
        <f t="shared" si="12"/>
        <v>0</v>
      </c>
      <c r="K66" s="298">
        <f t="shared" si="12"/>
        <v>1000000000</v>
      </c>
      <c r="L66" s="298">
        <f t="shared" si="12"/>
        <v>-1000000000</v>
      </c>
      <c r="M66" s="409">
        <f>M30-M31-M32</f>
        <v>93000000000</v>
      </c>
      <c r="N66" s="409">
        <f t="shared" si="12"/>
        <v>105000000000</v>
      </c>
      <c r="O66" s="409">
        <f t="shared" si="12"/>
        <v>114000000000</v>
      </c>
      <c r="P66" s="409">
        <f t="shared" si="12"/>
        <v>119000000000</v>
      </c>
      <c r="Q66" s="409">
        <f t="shared" si="12"/>
        <v>83000000000</v>
      </c>
      <c r="R66" s="409">
        <f t="shared" si="12"/>
        <v>97000000000</v>
      </c>
      <c r="S66" s="409">
        <f t="shared" si="12"/>
        <v>115000000000</v>
      </c>
      <c r="T66" s="409">
        <f t="shared" si="12"/>
        <v>139000000000</v>
      </c>
      <c r="U66" s="409">
        <f t="shared" si="12"/>
        <v>140000000000</v>
      </c>
      <c r="V66" s="409">
        <f t="shared" si="12"/>
        <v>171000000000</v>
      </c>
      <c r="W66" s="409">
        <f t="shared" si="12"/>
        <v>194000000000</v>
      </c>
      <c r="X66" s="409">
        <f t="shared" si="12"/>
        <v>203000000000</v>
      </c>
      <c r="Y66" s="2047">
        <f t="shared" ref="Y66:Z66" si="13">Y30-Y31-Y32</f>
        <v>225000000000</v>
      </c>
      <c r="Z66" s="2047">
        <f t="shared" si="13"/>
        <v>241000000000</v>
      </c>
    </row>
    <row r="67" spans="2:26">
      <c r="B67" s="1577" t="s">
        <v>457</v>
      </c>
      <c r="C67" s="1577"/>
      <c r="D67" s="28"/>
      <c r="E67" s="269"/>
      <c r="F67" s="28"/>
      <c r="G67" s="298">
        <f>G36-G37-G39-G50-G55-G56-G38</f>
        <v>0</v>
      </c>
      <c r="H67" s="298">
        <f t="shared" ref="H67:X67" si="14">H36-H37-H39-H50-H55-H56-H38</f>
        <v>0</v>
      </c>
      <c r="I67" s="298">
        <f t="shared" si="14"/>
        <v>-1000000000</v>
      </c>
      <c r="J67" s="298">
        <f t="shared" si="14"/>
        <v>0</v>
      </c>
      <c r="K67" s="298">
        <f t="shared" si="14"/>
        <v>0</v>
      </c>
      <c r="L67" s="298">
        <f>L36-L37-L39-L50-L55-L56-L38</f>
        <v>0</v>
      </c>
      <c r="M67" s="298">
        <f t="shared" si="14"/>
        <v>0</v>
      </c>
      <c r="N67" s="298">
        <f t="shared" si="14"/>
        <v>-1000000000</v>
      </c>
      <c r="O67" s="298">
        <f t="shared" si="14"/>
        <v>0</v>
      </c>
      <c r="P67" s="298">
        <f t="shared" si="14"/>
        <v>0</v>
      </c>
      <c r="Q67" s="298">
        <f t="shared" si="14"/>
        <v>-1000000000</v>
      </c>
      <c r="R67" s="298">
        <f t="shared" si="14"/>
        <v>0</v>
      </c>
      <c r="S67" s="298">
        <f t="shared" si="14"/>
        <v>0</v>
      </c>
      <c r="T67" s="298">
        <f t="shared" si="14"/>
        <v>0</v>
      </c>
      <c r="U67" s="298">
        <f t="shared" si="14"/>
        <v>0</v>
      </c>
      <c r="V67" s="298">
        <f t="shared" si="14"/>
        <v>0</v>
      </c>
      <c r="W67" s="298">
        <f t="shared" si="14"/>
        <v>1000000000</v>
      </c>
      <c r="X67" s="298">
        <f t="shared" si="14"/>
        <v>0</v>
      </c>
      <c r="Y67" s="269">
        <f t="shared" ref="Y67:Z67" si="15">Y36-Y37-Y39-Y50-Y55-Y56-Y38</f>
        <v>0</v>
      </c>
      <c r="Z67" s="269">
        <f t="shared" si="15"/>
        <v>0</v>
      </c>
    </row>
    <row r="68" spans="2:26">
      <c r="B68" s="1577" t="s">
        <v>362</v>
      </c>
      <c r="C68" s="1577"/>
      <c r="D68" s="28"/>
      <c r="E68" s="269"/>
      <c r="F68" s="28"/>
      <c r="G68" s="298">
        <f>G39-G40-G47</f>
        <v>0</v>
      </c>
      <c r="H68" s="298">
        <f t="shared" ref="H68:X68" si="16">H39-H40-H47</f>
        <v>0</v>
      </c>
      <c r="I68" s="298">
        <f t="shared" si="16"/>
        <v>0</v>
      </c>
      <c r="J68" s="298">
        <f t="shared" si="16"/>
        <v>10000000000</v>
      </c>
      <c r="K68" s="298">
        <f t="shared" si="16"/>
        <v>0</v>
      </c>
      <c r="L68" s="298">
        <f>L39-L40-L47</f>
        <v>0</v>
      </c>
      <c r="M68" s="298">
        <f>M39-M40-M47</f>
        <v>0</v>
      </c>
      <c r="N68" s="298">
        <f t="shared" si="16"/>
        <v>0</v>
      </c>
      <c r="O68" s="298">
        <f t="shared" si="16"/>
        <v>-1000000000</v>
      </c>
      <c r="P68" s="298">
        <f t="shared" si="16"/>
        <v>0</v>
      </c>
      <c r="Q68" s="298">
        <f>Q39-Q40-Q47</f>
        <v>1000000000</v>
      </c>
      <c r="R68" s="298">
        <f t="shared" si="16"/>
        <v>0</v>
      </c>
      <c r="S68" s="298">
        <f t="shared" si="16"/>
        <v>0</v>
      </c>
      <c r="T68" s="298">
        <f t="shared" si="16"/>
        <v>0</v>
      </c>
      <c r="U68" s="298">
        <f t="shared" si="16"/>
        <v>0</v>
      </c>
      <c r="V68" s="298">
        <f t="shared" si="16"/>
        <v>0</v>
      </c>
      <c r="W68" s="298">
        <f>W39-W40-W47</f>
        <v>0</v>
      </c>
      <c r="X68" s="298">
        <f t="shared" si="16"/>
        <v>0</v>
      </c>
      <c r="Y68" s="269">
        <f t="shared" ref="Y68:Z68" si="17">Y39-Y40-Y47</f>
        <v>0</v>
      </c>
      <c r="Z68" s="269">
        <f t="shared" si="17"/>
        <v>1000000000</v>
      </c>
    </row>
    <row r="69" spans="2:26">
      <c r="B69" s="1577" t="s">
        <v>1363</v>
      </c>
      <c r="C69" s="1577"/>
      <c r="D69" s="28"/>
      <c r="E69" s="269"/>
      <c r="F69" s="28"/>
      <c r="G69" s="409">
        <f>G50-G51-G52-G53-G54</f>
        <v>12900000000</v>
      </c>
      <c r="H69" s="409">
        <f t="shared" ref="H69:X69" si="18">H50-H51-H52-H53-H54</f>
        <v>12300000000</v>
      </c>
      <c r="I69" s="409">
        <f t="shared" si="18"/>
        <v>13000000000</v>
      </c>
      <c r="J69" s="409">
        <f t="shared" si="18"/>
        <v>11000000000</v>
      </c>
      <c r="K69" s="409">
        <f t="shared" si="18"/>
        <v>17000000000</v>
      </c>
      <c r="L69" s="409">
        <f>L50-L51-L52-L53-L54</f>
        <v>-23000000000</v>
      </c>
      <c r="M69" s="298">
        <f t="shared" si="18"/>
        <v>0</v>
      </c>
      <c r="N69" s="298">
        <f t="shared" si="18"/>
        <v>0</v>
      </c>
      <c r="O69" s="298">
        <f t="shared" si="18"/>
        <v>0</v>
      </c>
      <c r="P69" s="298">
        <f t="shared" si="18"/>
        <v>-1000000000</v>
      </c>
      <c r="Q69" s="298">
        <f t="shared" si="18"/>
        <v>0</v>
      </c>
      <c r="R69" s="298">
        <f t="shared" si="18"/>
        <v>-1000000000</v>
      </c>
      <c r="S69" s="298">
        <f t="shared" si="18"/>
        <v>0</v>
      </c>
      <c r="T69" s="298">
        <f t="shared" si="18"/>
        <v>0</v>
      </c>
      <c r="U69" s="298">
        <f t="shared" si="18"/>
        <v>0</v>
      </c>
      <c r="V69" s="298">
        <f t="shared" si="18"/>
        <v>0</v>
      </c>
      <c r="W69" s="298">
        <f t="shared" si="18"/>
        <v>-1000000000</v>
      </c>
      <c r="X69" s="298">
        <f t="shared" si="18"/>
        <v>0</v>
      </c>
      <c r="Y69" s="269">
        <f t="shared" ref="Y69:Z69" si="19">Y50-Y51-Y52-Y53-Y54</f>
        <v>0</v>
      </c>
      <c r="Z69" s="269">
        <f t="shared" si="19"/>
        <v>0</v>
      </c>
    </row>
    <row r="70" spans="2:26">
      <c r="B70" s="1577"/>
      <c r="C70" s="1577"/>
      <c r="D70" s="28"/>
      <c r="E70" s="28"/>
      <c r="F70" s="28"/>
      <c r="G70" s="28"/>
      <c r="H70" s="28"/>
      <c r="I70" s="28"/>
      <c r="J70" s="28"/>
      <c r="K70" s="28"/>
      <c r="L70" s="28"/>
      <c r="M70" s="28"/>
      <c r="N70" s="28"/>
      <c r="O70" s="28"/>
      <c r="P70" s="28"/>
      <c r="Q70" s="28"/>
      <c r="R70" s="28"/>
      <c r="S70" s="28"/>
      <c r="T70" s="28"/>
      <c r="U70" s="28"/>
      <c r="V70" s="28"/>
      <c r="W70" s="28"/>
      <c r="X70" s="28"/>
      <c r="Y70" s="267"/>
      <c r="Z70" s="267"/>
    </row>
    <row r="71" spans="2:26">
      <c r="B71" s="1577" t="s">
        <v>543</v>
      </c>
      <c r="C71" s="1577"/>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7"/>
      <c r="Z71" s="267"/>
    </row>
    <row r="72" spans="2:26">
      <c r="B72" s="1570" t="s">
        <v>151</v>
      </c>
      <c r="G72" s="364">
        <f>(G6/G71)*100</f>
        <v>38.921125098347758</v>
      </c>
      <c r="H72" s="364">
        <f t="shared" ref="H72:X72" si="20">(H6/H71)*100</f>
        <v>40.835083309908448</v>
      </c>
      <c r="I72" s="364">
        <f t="shared" si="20"/>
        <v>41.396140509349536</v>
      </c>
      <c r="J72" s="364">
        <f t="shared" si="20"/>
        <v>42.185716412725206</v>
      </c>
      <c r="K72" s="364">
        <f t="shared" si="20"/>
        <v>42.504116657452492</v>
      </c>
      <c r="L72" s="364">
        <f t="shared" si="20"/>
        <v>41.604232993905455</v>
      </c>
      <c r="M72" s="364">
        <f t="shared" si="20"/>
        <v>39.790851506861493</v>
      </c>
      <c r="N72" s="364">
        <f t="shared" si="20"/>
        <v>39.938576100104001</v>
      </c>
      <c r="O72" s="364">
        <f t="shared" si="20"/>
        <v>38.238471306326545</v>
      </c>
      <c r="P72" s="364">
        <f t="shared" si="20"/>
        <v>39.366827407570263</v>
      </c>
      <c r="Q72" s="364">
        <f t="shared" si="20"/>
        <v>37.870159526757149</v>
      </c>
      <c r="R72" s="364">
        <f t="shared" si="20"/>
        <v>40.020381513884388</v>
      </c>
      <c r="S72" s="364">
        <f t="shared" si="20"/>
        <v>41.143434533913208</v>
      </c>
      <c r="T72" s="364">
        <f t="shared" si="20"/>
        <v>42.446269917715327</v>
      </c>
      <c r="U72" s="364">
        <f t="shared" si="20"/>
        <v>42.581628645054828</v>
      </c>
      <c r="V72" s="364">
        <f t="shared" si="20"/>
        <v>40.603079947151279</v>
      </c>
      <c r="W72" s="364">
        <f t="shared" si="20"/>
        <v>40.203597378329818</v>
      </c>
      <c r="X72" s="364">
        <f t="shared" si="20"/>
        <v>39.537350244441235</v>
      </c>
    </row>
    <row r="73" spans="2:26">
      <c r="B73" s="1570" t="s">
        <v>1132</v>
      </c>
      <c r="G73" s="364">
        <f>(G20/G71)*100</f>
        <v>41.953514293207448</v>
      </c>
      <c r="H73" s="364">
        <f t="shared" ref="H73:X73" si="21">(H20/H71)*100</f>
        <v>40.855752324575185</v>
      </c>
      <c r="I73" s="364">
        <f t="shared" si="21"/>
        <v>40.596766761582778</v>
      </c>
      <c r="J73" s="364">
        <f t="shared" si="21"/>
        <v>43.694086895763817</v>
      </c>
      <c r="K73" s="364">
        <f t="shared" si="21"/>
        <v>44.372429477560289</v>
      </c>
      <c r="L73" s="364">
        <f t="shared" si="21"/>
        <v>44.117973866566992</v>
      </c>
      <c r="M73" s="364">
        <f t="shared" si="21"/>
        <v>44.165761881961444</v>
      </c>
      <c r="N73" s="364">
        <f t="shared" si="21"/>
        <v>44.535587716524141</v>
      </c>
      <c r="O73" s="364">
        <f t="shared" si="21"/>
        <v>43.051295016409085</v>
      </c>
      <c r="P73" s="364">
        <f t="shared" si="21"/>
        <v>46.565014134113937</v>
      </c>
      <c r="Q73" s="364">
        <f t="shared" si="21"/>
        <v>43.493929810703378</v>
      </c>
      <c r="R73" s="364">
        <f t="shared" si="21"/>
        <v>46.673254214001773</v>
      </c>
      <c r="S73" s="364">
        <f t="shared" si="21"/>
        <v>44.874579332331805</v>
      </c>
      <c r="T73" s="364">
        <f t="shared" si="21"/>
        <v>43.734689577949517</v>
      </c>
      <c r="U73" s="364">
        <f t="shared" si="21"/>
        <v>42.28951193139482</v>
      </c>
      <c r="V73" s="364">
        <f t="shared" si="21"/>
        <v>41.250224151964488</v>
      </c>
      <c r="W73" s="364">
        <f t="shared" si="21"/>
        <v>40.727233234198074</v>
      </c>
      <c r="X73" s="364">
        <f t="shared" si="21"/>
        <v>40.039411834846838</v>
      </c>
    </row>
  </sheetData>
  <pageMargins left="0.7" right="0.7" top="0.75" bottom="0.75" header="0.3" footer="0.3"/>
  <pageSetup paperSize="9" orientation="portrait"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8"/>
  <sheetViews>
    <sheetView zoomScale="70" zoomScaleNormal="70" workbookViewId="0">
      <pane xSplit="3" ySplit="5" topLeftCell="J6" activePane="bottomRight" state="frozen"/>
      <selection pane="topRight" activeCell="D1" sqref="D1"/>
      <selection pane="bottomLeft" activeCell="A6" sqref="A6"/>
      <selection pane="bottomRight" activeCell="K24" sqref="K24"/>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19" width="16.7109375" bestFit="1" customWidth="1"/>
    <col min="20" max="20" width="16.28515625" bestFit="1" customWidth="1"/>
    <col min="21" max="21" width="15.42578125" customWidth="1"/>
    <col min="22" max="22" width="12.42578125" bestFit="1" customWidth="1"/>
  </cols>
  <sheetData>
    <row r="1" spans="1:24">
      <c r="A1" s="369" t="s">
        <v>5692</v>
      </c>
      <c r="B1" s="82" t="s">
        <v>5693</v>
      </c>
      <c r="C1" s="82"/>
      <c r="D1" s="27"/>
      <c r="E1" s="27"/>
      <c r="F1" s="27"/>
      <c r="G1" s="27"/>
      <c r="H1" s="27"/>
      <c r="I1" s="27"/>
      <c r="J1" s="27"/>
      <c r="K1" s="27"/>
      <c r="L1" s="27"/>
      <c r="M1" s="27"/>
      <c r="N1" s="27"/>
      <c r="O1" s="28"/>
      <c r="P1" s="28"/>
      <c r="Q1" s="28"/>
      <c r="R1" s="29"/>
      <c r="S1" s="28"/>
      <c r="T1" s="28"/>
      <c r="U1" s="28"/>
      <c r="V1" s="28"/>
      <c r="W1" s="28"/>
      <c r="X1" s="2"/>
    </row>
    <row r="2" spans="1:24">
      <c r="B2" s="30" t="s">
        <v>5694</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30</v>
      </c>
      <c r="U5" s="28" t="s">
        <v>30</v>
      </c>
      <c r="V5" s="28" t="s">
        <v>32</v>
      </c>
      <c r="W5" s="28" t="s">
        <v>32</v>
      </c>
      <c r="X5" s="2" t="s">
        <v>32</v>
      </c>
    </row>
    <row r="6" spans="1:24" s="371" customFormat="1" ht="16.5">
      <c r="A6" s="392" t="s">
        <v>33</v>
      </c>
      <c r="B6" s="392" t="s">
        <v>1138</v>
      </c>
      <c r="C6" s="55" t="s">
        <v>35</v>
      </c>
      <c r="K6" s="373">
        <v>2214000000</v>
      </c>
      <c r="L6" s="178">
        <v>3190000000</v>
      </c>
      <c r="M6" s="210">
        <v>4262000000</v>
      </c>
      <c r="N6" s="142">
        <v>4108000000</v>
      </c>
      <c r="O6" s="210">
        <v>5014000000</v>
      </c>
      <c r="P6" s="400">
        <v>6024000000</v>
      </c>
      <c r="Q6" s="400">
        <v>6111000000</v>
      </c>
      <c r="R6" s="400">
        <v>6358000000</v>
      </c>
      <c r="S6" s="400">
        <f>S7+S22</f>
        <v>6276000000</v>
      </c>
      <c r="T6" s="400">
        <f t="shared" ref="T6:U6" si="0">T7+T22</f>
        <v>7207000000</v>
      </c>
      <c r="U6" s="400">
        <f t="shared" si="0"/>
        <v>7448000000</v>
      </c>
    </row>
    <row r="7" spans="1:24" ht="16.5">
      <c r="A7" s="90" t="s">
        <v>36</v>
      </c>
      <c r="B7" s="90" t="s">
        <v>1139</v>
      </c>
      <c r="C7" s="345" t="s">
        <v>38</v>
      </c>
      <c r="D7" s="28"/>
      <c r="E7" s="28"/>
      <c r="F7" s="28"/>
      <c r="G7" s="28"/>
      <c r="H7" s="28"/>
      <c r="I7" s="28"/>
      <c r="J7" s="28"/>
      <c r="K7" s="125">
        <v>2197000000</v>
      </c>
      <c r="L7" s="178">
        <v>2868000000</v>
      </c>
      <c r="M7" s="210">
        <v>3793000000</v>
      </c>
      <c r="N7" s="142">
        <v>4008000000</v>
      </c>
      <c r="O7" s="210">
        <v>4695000000</v>
      </c>
      <c r="P7" s="210">
        <v>5322000000</v>
      </c>
      <c r="Q7" s="210">
        <v>5420000000</v>
      </c>
      <c r="R7" s="210">
        <v>5788000000</v>
      </c>
      <c r="S7" s="210">
        <f>S8+S18</f>
        <v>6132000000</v>
      </c>
      <c r="T7" s="210">
        <f t="shared" ref="T7:U7" si="1">T8+T18</f>
        <v>6967000000</v>
      </c>
      <c r="U7" s="210">
        <f t="shared" si="1"/>
        <v>7275000000</v>
      </c>
      <c r="V7" s="28"/>
      <c r="W7" s="28"/>
      <c r="X7" s="2"/>
    </row>
    <row r="8" spans="1:24" ht="16.5">
      <c r="A8" s="152" t="s">
        <v>1372</v>
      </c>
      <c r="B8" s="152" t="s">
        <v>1372</v>
      </c>
      <c r="C8" s="58" t="s">
        <v>41</v>
      </c>
      <c r="D8" s="28"/>
      <c r="E8" s="28"/>
      <c r="F8" s="28"/>
      <c r="G8" s="28"/>
      <c r="H8" s="28"/>
      <c r="I8" s="28"/>
      <c r="J8" s="28"/>
      <c r="K8" s="125">
        <v>1896000000</v>
      </c>
      <c r="L8" s="178">
        <v>2456000000</v>
      </c>
      <c r="M8" s="210">
        <v>3318000000</v>
      </c>
      <c r="N8" s="142">
        <v>3533000000</v>
      </c>
      <c r="O8" s="210">
        <v>4165000000</v>
      </c>
      <c r="P8" s="210">
        <v>4600000000</v>
      </c>
      <c r="Q8" s="210">
        <v>4676000000</v>
      </c>
      <c r="R8" s="210">
        <v>5162000000</v>
      </c>
      <c r="S8" s="210">
        <f>S9+S11+S12+S13+S14+S15+S16+S17</f>
        <v>5557000000</v>
      </c>
      <c r="T8" s="210">
        <f t="shared" ref="T8:U8" si="2">T9+T11+T12+T13+T14+T15+T16+T17</f>
        <v>6190000000</v>
      </c>
      <c r="U8" s="210">
        <f t="shared" si="2"/>
        <v>6601000000</v>
      </c>
      <c r="V8" s="28"/>
      <c r="W8" s="28"/>
      <c r="X8" s="2"/>
    </row>
    <row r="9" spans="1:24" ht="16.5">
      <c r="A9" s="100" t="s">
        <v>170</v>
      </c>
      <c r="B9" s="100" t="s">
        <v>5408</v>
      </c>
      <c r="C9" s="27" t="s">
        <v>44</v>
      </c>
      <c r="D9" s="28"/>
      <c r="E9" s="28"/>
      <c r="F9" s="28"/>
      <c r="G9" s="28"/>
      <c r="H9" s="28"/>
      <c r="I9" s="28"/>
      <c r="J9" s="28"/>
      <c r="K9" s="298"/>
      <c r="L9" s="178"/>
      <c r="M9" s="210"/>
      <c r="N9" s="142">
        <v>195000000</v>
      </c>
      <c r="O9" s="210">
        <v>612000000</v>
      </c>
      <c r="P9" s="210">
        <v>702000000</v>
      </c>
      <c r="Q9" s="210">
        <v>754000000</v>
      </c>
      <c r="R9" s="210">
        <v>893000000</v>
      </c>
      <c r="S9" s="210">
        <v>948000000</v>
      </c>
      <c r="T9" s="210">
        <v>939000000</v>
      </c>
      <c r="U9" s="210">
        <v>900000000</v>
      </c>
      <c r="V9" s="28"/>
      <c r="W9" s="28"/>
      <c r="X9" s="28"/>
    </row>
    <row r="10" spans="1:24" ht="16.5">
      <c r="A10" s="100" t="s">
        <v>5695</v>
      </c>
      <c r="B10" s="100" t="s">
        <v>5696</v>
      </c>
      <c r="C10" s="27" t="s">
        <v>44</v>
      </c>
      <c r="D10" s="28"/>
      <c r="E10" s="28"/>
      <c r="F10" s="28"/>
      <c r="G10" s="28"/>
      <c r="H10" s="28"/>
      <c r="I10" s="28"/>
      <c r="J10" s="28"/>
      <c r="K10" s="125">
        <v>301000000</v>
      </c>
      <c r="L10" s="178">
        <v>295000000</v>
      </c>
      <c r="M10" s="210">
        <v>384000000</v>
      </c>
      <c r="N10" s="142">
        <v>220000000</v>
      </c>
      <c r="O10" s="210"/>
      <c r="P10" s="210"/>
      <c r="Q10" s="210"/>
      <c r="R10" s="210"/>
      <c r="S10" s="210"/>
      <c r="T10" s="210"/>
      <c r="U10" s="210"/>
      <c r="V10" s="28"/>
      <c r="W10" s="28"/>
      <c r="X10" s="2"/>
    </row>
    <row r="11" spans="1:24" ht="16.5">
      <c r="A11" s="100" t="s">
        <v>5697</v>
      </c>
      <c r="B11" s="100" t="s">
        <v>5698</v>
      </c>
      <c r="C11" s="27" t="s">
        <v>44</v>
      </c>
      <c r="D11" s="28"/>
      <c r="E11" s="28"/>
      <c r="F11" s="28"/>
      <c r="G11" s="28"/>
      <c r="H11" s="28"/>
      <c r="I11" s="28"/>
      <c r="J11" s="28"/>
      <c r="K11" s="125">
        <v>265000000</v>
      </c>
      <c r="L11" s="178">
        <v>410000000</v>
      </c>
      <c r="M11" s="210">
        <v>437000000</v>
      </c>
      <c r="N11" s="142">
        <v>356000000</v>
      </c>
      <c r="O11" s="210">
        <v>421000000</v>
      </c>
      <c r="P11" s="210">
        <v>401000000</v>
      </c>
      <c r="Q11" s="210">
        <v>411000000</v>
      </c>
      <c r="R11" s="210">
        <v>353000000</v>
      </c>
      <c r="S11" s="210">
        <v>326000000</v>
      </c>
      <c r="T11" s="210">
        <v>359000000</v>
      </c>
      <c r="U11" s="210">
        <v>285000000</v>
      </c>
      <c r="V11" s="28"/>
      <c r="W11" s="28"/>
      <c r="X11" s="28"/>
    </row>
    <row r="12" spans="1:24" ht="16.5">
      <c r="A12" s="41" t="s">
        <v>165</v>
      </c>
      <c r="B12" s="41" t="s">
        <v>5699</v>
      </c>
      <c r="C12" s="27" t="s">
        <v>44</v>
      </c>
      <c r="D12" s="28"/>
      <c r="E12" s="28"/>
      <c r="F12" s="28"/>
      <c r="G12" s="28"/>
      <c r="H12" s="28"/>
      <c r="I12" s="28"/>
      <c r="J12" s="28"/>
      <c r="K12" s="298"/>
      <c r="L12" s="178"/>
      <c r="M12" s="210"/>
      <c r="N12" s="142">
        <v>580000000</v>
      </c>
      <c r="O12" s="210">
        <v>727000000</v>
      </c>
      <c r="P12" s="210">
        <v>726000000</v>
      </c>
      <c r="Q12" s="210">
        <v>652000000</v>
      </c>
      <c r="R12" s="210">
        <v>843000000</v>
      </c>
      <c r="S12" s="210">
        <v>962000000</v>
      </c>
      <c r="T12" s="210">
        <v>1144000000</v>
      </c>
      <c r="U12" s="210">
        <v>1312000000</v>
      </c>
      <c r="V12" s="28"/>
      <c r="W12" s="28"/>
      <c r="X12" s="28"/>
    </row>
    <row r="13" spans="1:24" ht="16.5">
      <c r="A13" s="41" t="s">
        <v>5700</v>
      </c>
      <c r="B13" s="41" t="s">
        <v>5701</v>
      </c>
      <c r="C13" s="27" t="s">
        <v>44</v>
      </c>
      <c r="D13" s="28"/>
      <c r="E13" s="28"/>
      <c r="F13" s="28"/>
      <c r="G13" s="28"/>
      <c r="H13" s="28"/>
      <c r="I13" s="28"/>
      <c r="J13" s="28"/>
      <c r="K13" s="125">
        <v>800000000</v>
      </c>
      <c r="L13" s="178">
        <v>951000000</v>
      </c>
      <c r="M13" s="210">
        <v>1349000000</v>
      </c>
      <c r="N13" s="142">
        <v>1047000000</v>
      </c>
      <c r="O13" s="210">
        <v>1208000000</v>
      </c>
      <c r="P13" s="210">
        <v>1465000000</v>
      </c>
      <c r="Q13" s="210">
        <v>1623000000</v>
      </c>
      <c r="R13" s="210">
        <v>1770000000</v>
      </c>
      <c r="S13" s="210">
        <v>1803000000</v>
      </c>
      <c r="T13" s="210">
        <v>1996000000</v>
      </c>
      <c r="U13" s="210">
        <v>2151000000</v>
      </c>
      <c r="V13" s="28"/>
      <c r="W13" s="28"/>
      <c r="X13" s="28"/>
    </row>
    <row r="14" spans="1:24" ht="16.5">
      <c r="A14" s="41" t="s">
        <v>5702</v>
      </c>
      <c r="B14" s="41" t="s">
        <v>5703</v>
      </c>
      <c r="C14" s="27" t="s">
        <v>44</v>
      </c>
      <c r="D14" s="28"/>
      <c r="E14" s="28"/>
      <c r="F14" s="28"/>
      <c r="G14" s="28"/>
      <c r="H14" s="28"/>
      <c r="I14" s="28"/>
      <c r="J14" s="28"/>
      <c r="K14" s="125">
        <v>360000000</v>
      </c>
      <c r="L14" s="178">
        <v>524000000</v>
      </c>
      <c r="M14" s="210">
        <v>802000000</v>
      </c>
      <c r="N14" s="142">
        <v>790000000</v>
      </c>
      <c r="O14" s="210">
        <v>893000000</v>
      </c>
      <c r="P14" s="210">
        <v>816000000</v>
      </c>
      <c r="Q14" s="210">
        <v>816000000</v>
      </c>
      <c r="R14" s="210">
        <v>770000000</v>
      </c>
      <c r="S14" s="210">
        <v>757000000</v>
      </c>
      <c r="T14" s="210">
        <v>1039000000</v>
      </c>
      <c r="U14" s="210">
        <v>1364000000</v>
      </c>
      <c r="V14" s="28"/>
      <c r="W14" s="28"/>
      <c r="X14" s="28"/>
    </row>
    <row r="15" spans="1:24">
      <c r="A15" s="41" t="s">
        <v>5704</v>
      </c>
      <c r="B15" s="41" t="s">
        <v>5704</v>
      </c>
      <c r="C15" s="27" t="s">
        <v>44</v>
      </c>
      <c r="D15" s="28"/>
      <c r="E15" s="28"/>
      <c r="F15" s="28"/>
      <c r="G15" s="28"/>
      <c r="H15" s="28"/>
      <c r="I15" s="28"/>
      <c r="J15" s="28"/>
      <c r="K15" s="298"/>
      <c r="L15" s="298"/>
      <c r="M15" s="298"/>
      <c r="N15" s="298"/>
      <c r="O15" s="298"/>
      <c r="P15" s="210"/>
      <c r="Q15" s="210">
        <v>44000000</v>
      </c>
      <c r="R15" s="210">
        <v>76000000</v>
      </c>
      <c r="S15" s="210">
        <v>79000000</v>
      </c>
      <c r="T15" s="210">
        <v>87000000</v>
      </c>
      <c r="U15" s="210">
        <v>95000000</v>
      </c>
      <c r="V15" s="28"/>
      <c r="W15" s="28"/>
      <c r="X15" s="28"/>
    </row>
    <row r="16" spans="1:24">
      <c r="A16" s="41" t="s">
        <v>5705</v>
      </c>
      <c r="B16" s="41" t="s">
        <v>5705</v>
      </c>
      <c r="C16" s="27" t="s">
        <v>44</v>
      </c>
      <c r="D16" s="28"/>
      <c r="E16" s="28"/>
      <c r="F16" s="28"/>
      <c r="G16" s="28"/>
      <c r="H16" s="28"/>
      <c r="I16" s="28"/>
      <c r="J16" s="28"/>
      <c r="K16" s="298"/>
      <c r="L16" s="298"/>
      <c r="M16" s="298"/>
      <c r="N16" s="298"/>
      <c r="O16" s="298"/>
      <c r="P16" s="210"/>
      <c r="Q16" s="210">
        <v>22000000</v>
      </c>
      <c r="R16" s="210">
        <v>50000000</v>
      </c>
      <c r="S16" s="210">
        <v>45000000</v>
      </c>
      <c r="T16" s="210">
        <v>45000000</v>
      </c>
      <c r="U16" s="210">
        <v>60000000</v>
      </c>
      <c r="V16" s="28"/>
      <c r="W16" s="28"/>
      <c r="X16" s="28"/>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210">
        <v>491000000</v>
      </c>
      <c r="Q17" s="210">
        <v>354000000</v>
      </c>
      <c r="R17" s="210">
        <v>407000000</v>
      </c>
      <c r="S17" s="210">
        <v>637000000</v>
      </c>
      <c r="T17" s="210">
        <v>581000000</v>
      </c>
      <c r="U17" s="210">
        <v>434000000</v>
      </c>
      <c r="V17" s="28"/>
      <c r="W17" s="28"/>
      <c r="X17" s="28"/>
    </row>
    <row r="18" spans="1:24" ht="16.5">
      <c r="A18" s="152" t="s">
        <v>2621</v>
      </c>
      <c r="B18" s="152" t="s">
        <v>2621</v>
      </c>
      <c r="C18" s="58" t="s">
        <v>41</v>
      </c>
      <c r="D18" s="28"/>
      <c r="E18" s="28"/>
      <c r="F18" s="28"/>
      <c r="G18" s="28"/>
      <c r="H18" s="28"/>
      <c r="I18" s="28"/>
      <c r="J18" s="28"/>
      <c r="K18" s="125">
        <v>301000000</v>
      </c>
      <c r="L18" s="125">
        <v>412000000</v>
      </c>
      <c r="M18" s="210">
        <v>474000000</v>
      </c>
      <c r="N18" s="142">
        <v>474000000</v>
      </c>
      <c r="O18" s="210">
        <v>530000000</v>
      </c>
      <c r="P18" s="210">
        <v>722000000</v>
      </c>
      <c r="Q18" s="210">
        <v>744000000</v>
      </c>
      <c r="R18" s="210">
        <v>626000000</v>
      </c>
      <c r="S18" s="210">
        <f>S19+S20+S21</f>
        <v>575000000</v>
      </c>
      <c r="T18" s="210">
        <f t="shared" ref="T18:U18" si="3">T19+T20+T21</f>
        <v>777000000</v>
      </c>
      <c r="U18" s="210">
        <f t="shared" si="3"/>
        <v>674000000</v>
      </c>
      <c r="V18" s="28"/>
      <c r="W18" s="28"/>
      <c r="X18" s="2"/>
    </row>
    <row r="19" spans="1:24" ht="16.5">
      <c r="A19" s="100" t="s">
        <v>1153</v>
      </c>
      <c r="B19" s="100" t="s">
        <v>1154</v>
      </c>
      <c r="C19" s="58" t="s">
        <v>1802</v>
      </c>
      <c r="D19" s="28"/>
      <c r="E19" s="28"/>
      <c r="F19" s="28"/>
      <c r="G19" s="28"/>
      <c r="H19" s="28"/>
      <c r="I19" s="28"/>
      <c r="J19" s="28"/>
      <c r="K19" s="125">
        <v>176000000</v>
      </c>
      <c r="L19" s="125">
        <v>145000000</v>
      </c>
      <c r="M19" s="210">
        <v>182000000</v>
      </c>
      <c r="N19" s="142">
        <v>191000000</v>
      </c>
      <c r="O19" s="210">
        <v>306000000</v>
      </c>
      <c r="P19" s="210">
        <v>398000000</v>
      </c>
      <c r="Q19" s="210">
        <v>297000000</v>
      </c>
      <c r="R19" s="210">
        <v>337000000</v>
      </c>
      <c r="S19" s="210">
        <v>322000000</v>
      </c>
      <c r="T19" s="210">
        <v>403000000</v>
      </c>
      <c r="U19" s="210">
        <v>349000000</v>
      </c>
      <c r="V19" s="28"/>
      <c r="W19" s="28"/>
      <c r="X19" s="28"/>
    </row>
    <row r="20" spans="1:24" ht="16.5">
      <c r="A20" s="100" t="s">
        <v>5706</v>
      </c>
      <c r="B20" s="100" t="s">
        <v>5707</v>
      </c>
      <c r="C20" s="58" t="s">
        <v>1802</v>
      </c>
      <c r="D20" s="28"/>
      <c r="E20" s="28"/>
      <c r="F20" s="28"/>
      <c r="G20" s="28"/>
      <c r="H20" s="28"/>
      <c r="I20" s="28"/>
      <c r="J20" s="28"/>
      <c r="K20" s="125">
        <v>95000000</v>
      </c>
      <c r="L20" s="125">
        <v>64000000</v>
      </c>
      <c r="M20" s="210">
        <v>148000000</v>
      </c>
      <c r="N20" s="142">
        <v>206000000</v>
      </c>
      <c r="O20" s="210">
        <v>161000000</v>
      </c>
      <c r="P20" s="210">
        <v>266000000</v>
      </c>
      <c r="Q20" s="210">
        <v>402000000</v>
      </c>
      <c r="R20" s="210">
        <v>213000000</v>
      </c>
      <c r="S20" s="210">
        <v>228000000</v>
      </c>
      <c r="T20" s="210">
        <v>330000000</v>
      </c>
      <c r="U20" s="210">
        <v>280000000</v>
      </c>
      <c r="V20" s="28"/>
      <c r="W20" s="28"/>
      <c r="X20" s="28"/>
    </row>
    <row r="21" spans="1:24" ht="16.5">
      <c r="A21" s="138" t="s">
        <v>50</v>
      </c>
      <c r="B21" s="138" t="s">
        <v>50</v>
      </c>
      <c r="C21" s="58" t="s">
        <v>1802</v>
      </c>
      <c r="D21" s="28"/>
      <c r="E21" s="28"/>
      <c r="F21" s="28"/>
      <c r="G21" s="28"/>
      <c r="H21" s="28"/>
      <c r="I21" s="28"/>
      <c r="J21" s="28"/>
      <c r="K21" s="125">
        <v>30000000</v>
      </c>
      <c r="L21" s="125">
        <v>203000000</v>
      </c>
      <c r="M21" s="210">
        <v>144000000</v>
      </c>
      <c r="N21" s="142">
        <v>77000000</v>
      </c>
      <c r="O21" s="210">
        <v>63000000</v>
      </c>
      <c r="P21" s="210">
        <v>58000000</v>
      </c>
      <c r="Q21" s="210">
        <v>46000000</v>
      </c>
      <c r="R21" s="210">
        <v>76000000</v>
      </c>
      <c r="S21" s="210">
        <v>25000000</v>
      </c>
      <c r="T21">
        <v>44000000</v>
      </c>
      <c r="U21" s="210">
        <v>45000000</v>
      </c>
      <c r="V21" s="28"/>
      <c r="W21" s="28"/>
      <c r="X21" s="28"/>
    </row>
    <row r="22" spans="1:24" s="9" customFormat="1" ht="16.5">
      <c r="A22" s="18" t="s">
        <v>53</v>
      </c>
      <c r="B22" s="18" t="s">
        <v>5708</v>
      </c>
      <c r="C22" s="345" t="s">
        <v>38</v>
      </c>
      <c r="D22" s="36"/>
      <c r="E22" s="36"/>
      <c r="F22" s="36"/>
      <c r="G22" s="36"/>
      <c r="H22" s="36"/>
      <c r="I22" s="36"/>
      <c r="J22" s="36"/>
      <c r="K22" s="295">
        <v>17000000</v>
      </c>
      <c r="L22" s="295">
        <v>321000000</v>
      </c>
      <c r="M22" s="296">
        <v>470000000</v>
      </c>
      <c r="N22" s="304">
        <v>101000000</v>
      </c>
      <c r="O22" s="296">
        <v>319000000</v>
      </c>
      <c r="P22" s="304">
        <v>702000000</v>
      </c>
      <c r="Q22" s="304">
        <v>691000000</v>
      </c>
      <c r="R22" s="304">
        <v>570000000</v>
      </c>
      <c r="S22" s="304">
        <v>144000000</v>
      </c>
      <c r="T22" s="304">
        <v>240000000</v>
      </c>
      <c r="U22" s="168">
        <v>173000000</v>
      </c>
      <c r="V22" s="28"/>
      <c r="W22" s="28"/>
      <c r="X22" s="28"/>
    </row>
    <row r="23" spans="1:24" s="9" customFormat="1" ht="16.5">
      <c r="A23" s="18"/>
      <c r="B23" s="18" t="s">
        <v>1914</v>
      </c>
      <c r="C23" s="55"/>
      <c r="D23" s="36"/>
      <c r="E23" s="36"/>
      <c r="F23" s="36"/>
      <c r="G23" s="36"/>
      <c r="H23" s="36"/>
      <c r="I23" s="36"/>
      <c r="J23" s="36"/>
      <c r="K23" s="295">
        <v>2810000000</v>
      </c>
      <c r="L23" s="295">
        <v>3483000000</v>
      </c>
      <c r="M23" s="296">
        <v>3666000000</v>
      </c>
      <c r="N23" s="304">
        <v>3815000000</v>
      </c>
      <c r="O23" s="296">
        <v>4689000000</v>
      </c>
      <c r="P23" s="304">
        <v>5682000000</v>
      </c>
      <c r="Q23" s="304">
        <v>6111000000</v>
      </c>
      <c r="R23" s="304">
        <v>5966000000</v>
      </c>
      <c r="S23" s="304"/>
      <c r="T23" s="304"/>
      <c r="U23" s="168"/>
      <c r="V23" s="36"/>
      <c r="W23" s="36"/>
      <c r="X23" s="169"/>
    </row>
    <row r="24" spans="1:24" s="9" customFormat="1" ht="16.5">
      <c r="A24" s="18" t="s">
        <v>71</v>
      </c>
      <c r="B24" s="128" t="s">
        <v>1914</v>
      </c>
      <c r="C24" s="55" t="s">
        <v>35</v>
      </c>
      <c r="D24" s="36"/>
      <c r="E24" s="36"/>
      <c r="F24" s="36"/>
      <c r="G24" s="36"/>
      <c r="H24" s="36"/>
      <c r="I24" s="36"/>
      <c r="J24" s="36"/>
      <c r="K24" s="295">
        <f t="shared" ref="K24:R24" si="4">K25+K37+K40+K41</f>
        <v>2873000000</v>
      </c>
      <c r="L24" s="295">
        <f>L25+L37+L40+L41</f>
        <v>3482000000</v>
      </c>
      <c r="M24" s="295">
        <f t="shared" si="4"/>
        <v>3939000000</v>
      </c>
      <c r="N24" s="295">
        <f t="shared" si="4"/>
        <v>4204000000</v>
      </c>
      <c r="O24" s="295">
        <f t="shared" si="4"/>
        <v>4690000000</v>
      </c>
      <c r="P24" s="295">
        <f t="shared" si="4"/>
        <v>5689000000</v>
      </c>
      <c r="Q24" s="295">
        <f t="shared" si="4"/>
        <v>6110000000</v>
      </c>
      <c r="R24" s="295">
        <f t="shared" si="4"/>
        <v>5968000000</v>
      </c>
      <c r="S24" s="295">
        <f>S25+S37+S40+S41</f>
        <v>6059000000</v>
      </c>
      <c r="T24" s="295">
        <f t="shared" ref="T24:U24" si="5">T25+T37+T40+T41</f>
        <v>7277000000</v>
      </c>
      <c r="U24" s="295">
        <f t="shared" si="5"/>
        <v>7457000000</v>
      </c>
      <c r="V24" s="36"/>
      <c r="W24" s="36"/>
      <c r="X24" s="169"/>
    </row>
    <row r="25" spans="1:24" ht="16.5">
      <c r="A25" s="90" t="s">
        <v>73</v>
      </c>
      <c r="B25" s="90" t="s">
        <v>332</v>
      </c>
      <c r="C25" s="58" t="s">
        <v>201</v>
      </c>
      <c r="D25" s="28"/>
      <c r="E25" s="28"/>
      <c r="F25" s="28"/>
      <c r="G25" s="28"/>
      <c r="H25" s="28"/>
      <c r="I25" s="28"/>
      <c r="J25" s="28"/>
      <c r="K25" s="210">
        <f t="shared" ref="K25:R25" si="6">K27+K28+K29+K33+K34</f>
        <v>2497000000</v>
      </c>
      <c r="L25" s="210">
        <f t="shared" si="6"/>
        <v>2503000000</v>
      </c>
      <c r="M25" s="210">
        <f t="shared" si="6"/>
        <v>3328000000</v>
      </c>
      <c r="N25" s="210">
        <f t="shared" si="6"/>
        <v>3195000000</v>
      </c>
      <c r="O25" s="210">
        <f t="shared" si="6"/>
        <v>3620000000</v>
      </c>
      <c r="P25" s="210">
        <f t="shared" si="6"/>
        <v>3993000000</v>
      </c>
      <c r="Q25" s="210">
        <f t="shared" si="6"/>
        <v>4534000000</v>
      </c>
      <c r="R25" s="210">
        <f t="shared" si="6"/>
        <v>4786000000</v>
      </c>
      <c r="S25" s="210">
        <f>S27+S28+S29+S33+S34</f>
        <v>5132000000</v>
      </c>
      <c r="T25" s="210">
        <f t="shared" ref="T25:U25" si="7">T27+T28+T29+T33+T34</f>
        <v>6295000000</v>
      </c>
      <c r="U25" s="210">
        <f t="shared" si="7"/>
        <v>6689000000</v>
      </c>
      <c r="V25" s="210"/>
      <c r="W25" s="210"/>
      <c r="X25" s="210"/>
    </row>
    <row r="26" spans="1:24" ht="16.5">
      <c r="A26" t="s">
        <v>76</v>
      </c>
      <c r="B26" s="90" t="s">
        <v>5709</v>
      </c>
      <c r="D26" s="28"/>
      <c r="E26" s="28"/>
      <c r="F26" s="28"/>
      <c r="G26" s="28"/>
      <c r="H26" s="28"/>
      <c r="I26" s="28"/>
      <c r="J26" s="28"/>
      <c r="K26" s="125">
        <v>2041000000</v>
      </c>
      <c r="L26" s="125">
        <v>1875000000</v>
      </c>
      <c r="M26" s="210">
        <v>2284000000</v>
      </c>
      <c r="N26" s="210">
        <v>2482000000</v>
      </c>
      <c r="O26" s="210">
        <v>3236000000</v>
      </c>
      <c r="P26" s="210">
        <v>3452000000</v>
      </c>
      <c r="Q26" s="210">
        <v>3746000000</v>
      </c>
      <c r="R26" s="210">
        <v>4384000000</v>
      </c>
      <c r="S26" s="210"/>
      <c r="T26" s="210"/>
      <c r="U26" s="210"/>
      <c r="V26" s="210"/>
      <c r="W26" s="210"/>
      <c r="X26" s="210"/>
    </row>
    <row r="27" spans="1:24" ht="16.5">
      <c r="A27" s="99" t="s">
        <v>79</v>
      </c>
      <c r="B27" s="99" t="s">
        <v>80</v>
      </c>
      <c r="C27" s="58" t="s">
        <v>204</v>
      </c>
      <c r="D27" s="28"/>
      <c r="E27" s="28"/>
      <c r="F27" s="28"/>
      <c r="G27" s="28"/>
      <c r="H27" s="28"/>
      <c r="I27" s="28"/>
      <c r="J27" s="28"/>
      <c r="K27" s="125">
        <v>700000000</v>
      </c>
      <c r="L27" s="125">
        <v>688000000</v>
      </c>
      <c r="M27" s="210">
        <v>766000000</v>
      </c>
      <c r="N27" s="210">
        <v>693000000</v>
      </c>
      <c r="O27" s="210">
        <v>891000000</v>
      </c>
      <c r="P27" s="210">
        <v>998000000</v>
      </c>
      <c r="Q27" s="210">
        <v>1129000000</v>
      </c>
      <c r="R27" s="210">
        <v>1280000000</v>
      </c>
      <c r="S27" s="210">
        <v>1753000000</v>
      </c>
      <c r="T27" s="210">
        <v>2002000000</v>
      </c>
      <c r="U27" s="210">
        <v>2075000000</v>
      </c>
      <c r="V27" s="210"/>
      <c r="W27" s="210"/>
      <c r="X27" s="210"/>
    </row>
    <row r="28" spans="1:24" ht="16.5">
      <c r="A28" s="99" t="s">
        <v>83</v>
      </c>
      <c r="B28" s="99" t="s">
        <v>48</v>
      </c>
      <c r="C28" s="58" t="s">
        <v>204</v>
      </c>
      <c r="D28" s="28"/>
      <c r="E28" s="28"/>
      <c r="F28" s="28"/>
      <c r="G28" s="28"/>
      <c r="H28" s="28"/>
      <c r="I28" s="28"/>
      <c r="J28" s="28"/>
      <c r="K28" s="125">
        <v>500000000</v>
      </c>
      <c r="L28" s="125">
        <v>489000000</v>
      </c>
      <c r="M28" s="210">
        <v>715000000</v>
      </c>
      <c r="N28" s="210">
        <v>843000000</v>
      </c>
      <c r="O28" s="210">
        <v>999000000</v>
      </c>
      <c r="P28" s="210">
        <v>1134000000</v>
      </c>
      <c r="Q28" s="210">
        <v>1218000000</v>
      </c>
      <c r="R28" s="210">
        <v>1493000000</v>
      </c>
      <c r="S28" s="210">
        <v>2126000000</v>
      </c>
      <c r="T28" s="210">
        <v>2489000000</v>
      </c>
      <c r="U28" s="210">
        <v>2562000000</v>
      </c>
      <c r="V28" s="210"/>
      <c r="W28" s="210"/>
      <c r="X28" s="210"/>
    </row>
    <row r="29" spans="1:24" ht="16.5">
      <c r="A29" s="152" t="s">
        <v>389</v>
      </c>
      <c r="B29" s="152" t="s">
        <v>389</v>
      </c>
      <c r="C29" s="58" t="s">
        <v>204</v>
      </c>
      <c r="D29" s="28"/>
      <c r="E29" s="28"/>
      <c r="F29" s="28"/>
      <c r="G29" s="28"/>
      <c r="H29" s="28"/>
      <c r="I29" s="28"/>
      <c r="J29" s="28"/>
      <c r="K29" s="210">
        <f t="shared" ref="K29:R29" si="8">K30+K31+K32</f>
        <v>834000000</v>
      </c>
      <c r="L29" s="210">
        <f t="shared" si="8"/>
        <v>691000000</v>
      </c>
      <c r="M29" s="210">
        <f t="shared" si="8"/>
        <v>783000000</v>
      </c>
      <c r="N29" s="210">
        <f t="shared" si="8"/>
        <v>935000000</v>
      </c>
      <c r="O29" s="210">
        <f t="shared" si="8"/>
        <v>1331000000</v>
      </c>
      <c r="P29" s="210">
        <f t="shared" si="8"/>
        <v>1298000000</v>
      </c>
      <c r="Q29" s="210">
        <f t="shared" si="8"/>
        <v>1366000000</v>
      </c>
      <c r="R29" s="210">
        <f t="shared" si="8"/>
        <v>1584000000</v>
      </c>
      <c r="S29" s="210">
        <f>S30+S31+S32</f>
        <v>660000000</v>
      </c>
      <c r="T29" s="210">
        <f>T30+T31+T32</f>
        <v>1063000000</v>
      </c>
      <c r="U29" s="210">
        <f>U30+U31+U32</f>
        <v>1380000000</v>
      </c>
      <c r="V29" s="210"/>
      <c r="W29" s="210"/>
      <c r="X29" s="210"/>
    </row>
    <row r="30" spans="1:24" ht="16.5">
      <c r="A30" s="100" t="s">
        <v>5710</v>
      </c>
      <c r="B30" s="100" t="s">
        <v>5711</v>
      </c>
      <c r="C30" s="27" t="s">
        <v>486</v>
      </c>
      <c r="D30" s="28"/>
      <c r="E30" s="28"/>
      <c r="F30" s="28"/>
      <c r="G30" s="28"/>
      <c r="H30" s="28"/>
      <c r="I30" s="28"/>
      <c r="J30" s="28"/>
      <c r="K30" s="125">
        <v>167000000</v>
      </c>
      <c r="L30" s="125">
        <v>192000000</v>
      </c>
      <c r="M30" s="210">
        <v>290000000</v>
      </c>
      <c r="N30" s="210">
        <v>233000000</v>
      </c>
      <c r="O30" s="210">
        <v>266000000</v>
      </c>
      <c r="P30" s="210">
        <v>290000000</v>
      </c>
      <c r="Q30" s="210">
        <v>307000000</v>
      </c>
      <c r="R30" s="210">
        <v>349000000</v>
      </c>
      <c r="S30" s="210">
        <v>79000000</v>
      </c>
      <c r="T30" s="210">
        <v>130000000</v>
      </c>
      <c r="U30" s="210">
        <v>114000000</v>
      </c>
      <c r="V30" s="210"/>
      <c r="W30" s="210"/>
      <c r="X30" s="210"/>
    </row>
    <row r="31" spans="1:24" ht="16.5">
      <c r="A31" s="100" t="s">
        <v>5712</v>
      </c>
      <c r="B31" s="100" t="s">
        <v>5713</v>
      </c>
      <c r="C31" s="27" t="s">
        <v>486</v>
      </c>
      <c r="D31" s="28"/>
      <c r="E31" s="28"/>
      <c r="F31" s="28"/>
      <c r="G31" s="28"/>
      <c r="H31" s="28"/>
      <c r="I31" s="28"/>
      <c r="J31" s="28"/>
      <c r="K31" s="125">
        <v>376000000</v>
      </c>
      <c r="L31" s="125">
        <v>220000000</v>
      </c>
      <c r="M31" s="210">
        <v>180000000</v>
      </c>
      <c r="N31" s="210">
        <v>349000000</v>
      </c>
      <c r="O31" s="210">
        <v>727000000</v>
      </c>
      <c r="P31" s="210">
        <v>660000000</v>
      </c>
      <c r="Q31" s="210">
        <v>663000000</v>
      </c>
      <c r="R31" s="210">
        <v>799000000</v>
      </c>
      <c r="S31" s="210">
        <v>123000000</v>
      </c>
      <c r="T31" s="210">
        <v>80000000</v>
      </c>
      <c r="U31" s="210">
        <v>97000000</v>
      </c>
      <c r="V31" s="210"/>
      <c r="W31" s="210"/>
      <c r="X31" s="210"/>
    </row>
    <row r="32" spans="1:24" ht="16.5">
      <c r="A32" s="100" t="s">
        <v>5714</v>
      </c>
      <c r="B32" s="100" t="s">
        <v>5715</v>
      </c>
      <c r="C32" s="27" t="s">
        <v>486</v>
      </c>
      <c r="D32" s="28"/>
      <c r="E32" s="28"/>
      <c r="F32" s="28"/>
      <c r="G32" s="28"/>
      <c r="H32" s="28"/>
      <c r="I32" s="28"/>
      <c r="J32" s="28"/>
      <c r="K32" s="125">
        <v>291000000</v>
      </c>
      <c r="L32" s="125">
        <v>279000000</v>
      </c>
      <c r="M32" s="210">
        <v>313000000</v>
      </c>
      <c r="N32" s="210">
        <v>353000000</v>
      </c>
      <c r="O32" s="210">
        <v>338000000</v>
      </c>
      <c r="P32" s="210">
        <v>348000000</v>
      </c>
      <c r="Q32" s="210">
        <v>396000000</v>
      </c>
      <c r="R32" s="210">
        <v>436000000</v>
      </c>
      <c r="S32" s="210">
        <v>458000000</v>
      </c>
      <c r="T32" s="210">
        <v>853000000</v>
      </c>
      <c r="U32" s="210">
        <v>1169000000</v>
      </c>
      <c r="V32" s="210"/>
      <c r="W32" s="210"/>
      <c r="X32" s="210"/>
    </row>
    <row r="33" spans="1:24" ht="16.5">
      <c r="A33" s="152" t="s">
        <v>50</v>
      </c>
      <c r="B33" s="152" t="s">
        <v>50</v>
      </c>
      <c r="C33" s="58" t="s">
        <v>204</v>
      </c>
      <c r="D33" s="28"/>
      <c r="E33" s="28"/>
      <c r="F33" s="28"/>
      <c r="G33" s="28"/>
      <c r="H33" s="28"/>
      <c r="I33" s="28"/>
      <c r="J33" s="28"/>
      <c r="K33" s="125">
        <v>8000000</v>
      </c>
      <c r="L33" s="125">
        <v>6000000</v>
      </c>
      <c r="M33" s="210">
        <v>20000000</v>
      </c>
      <c r="N33" s="210">
        <v>12000000</v>
      </c>
      <c r="O33" s="210">
        <v>15000000</v>
      </c>
      <c r="P33" s="210">
        <v>23000000</v>
      </c>
      <c r="Q33" s="210">
        <v>31000000</v>
      </c>
      <c r="R33" s="210">
        <v>28000000</v>
      </c>
      <c r="S33" s="210">
        <v>29000000</v>
      </c>
      <c r="T33" s="210">
        <v>27000000</v>
      </c>
      <c r="U33" s="210">
        <v>41000000</v>
      </c>
      <c r="V33" s="210"/>
      <c r="W33" s="210"/>
      <c r="X33" s="210"/>
    </row>
    <row r="34" spans="1:24" ht="16.5">
      <c r="A34" s="90" t="s">
        <v>1594</v>
      </c>
      <c r="B34" s="90" t="s">
        <v>5716</v>
      </c>
      <c r="C34" s="58" t="s">
        <v>204</v>
      </c>
      <c r="D34" s="28"/>
      <c r="E34" s="28"/>
      <c r="F34" s="28"/>
      <c r="G34" s="28"/>
      <c r="H34" s="28"/>
      <c r="I34" s="28"/>
      <c r="J34" s="28"/>
      <c r="K34" s="210">
        <f t="shared" ref="K34" si="9">K35+K36</f>
        <v>455000000</v>
      </c>
      <c r="L34" s="210">
        <f t="shared" ref="L34" si="10">L35+L36</f>
        <v>629000000</v>
      </c>
      <c r="M34" s="210">
        <f t="shared" ref="M34" si="11">M35+M36</f>
        <v>1044000000</v>
      </c>
      <c r="N34" s="210">
        <f t="shared" ref="N34" si="12">N35+N36</f>
        <v>712000000</v>
      </c>
      <c r="O34" s="210">
        <f t="shared" ref="O34" si="13">O35+O36</f>
        <v>384000000</v>
      </c>
      <c r="P34" s="210">
        <f t="shared" ref="P34" si="14">P35+P36</f>
        <v>540000000</v>
      </c>
      <c r="Q34" s="210">
        <f t="shared" ref="Q34" si="15">Q35+Q36</f>
        <v>790000000</v>
      </c>
      <c r="R34" s="210">
        <f t="shared" ref="R34" si="16">R35+R36</f>
        <v>401000000</v>
      </c>
      <c r="S34" s="210">
        <f t="shared" ref="S34" si="17">S35+S36</f>
        <v>564000000</v>
      </c>
      <c r="T34" s="210">
        <f t="shared" ref="T34:U34" si="18">T35+T36</f>
        <v>714000000</v>
      </c>
      <c r="U34" s="210">
        <f t="shared" si="18"/>
        <v>631000000</v>
      </c>
      <c r="V34" s="210"/>
      <c r="W34" s="210"/>
      <c r="X34" s="210"/>
    </row>
    <row r="35" spans="1:24" ht="16.5">
      <c r="A35" s="99" t="s">
        <v>5717</v>
      </c>
      <c r="B35" s="99" t="s">
        <v>5718</v>
      </c>
      <c r="C35" s="58" t="s">
        <v>211</v>
      </c>
      <c r="D35" s="28"/>
      <c r="E35" s="28"/>
      <c r="F35" s="28"/>
      <c r="G35" s="28"/>
      <c r="H35" s="28"/>
      <c r="I35" s="28"/>
      <c r="J35" s="28"/>
      <c r="K35" s="125">
        <v>219000000</v>
      </c>
      <c r="L35" s="125">
        <v>344000000</v>
      </c>
      <c r="M35" s="210">
        <v>428000000</v>
      </c>
      <c r="N35" s="210">
        <v>402000000</v>
      </c>
      <c r="O35" s="210">
        <v>137000000</v>
      </c>
      <c r="P35" s="210">
        <v>174000000</v>
      </c>
      <c r="Q35" s="210">
        <v>189000000</v>
      </c>
      <c r="R35" s="210">
        <v>179000000</v>
      </c>
      <c r="S35" s="210">
        <v>181000000</v>
      </c>
      <c r="T35" s="210">
        <v>190000000</v>
      </c>
      <c r="U35" s="210">
        <v>218000000</v>
      </c>
      <c r="V35" s="210"/>
      <c r="W35" s="210"/>
      <c r="X35" s="210"/>
    </row>
    <row r="36" spans="1:24" ht="16.5">
      <c r="A36" s="99" t="s">
        <v>5719</v>
      </c>
      <c r="B36" s="99" t="s">
        <v>5720</v>
      </c>
      <c r="C36" s="58" t="s">
        <v>211</v>
      </c>
      <c r="D36" s="28"/>
      <c r="E36" s="28"/>
      <c r="F36" s="28"/>
      <c r="G36" s="28"/>
      <c r="H36" s="28"/>
      <c r="I36" s="28"/>
      <c r="J36" s="28"/>
      <c r="K36" s="125">
        <v>236000000</v>
      </c>
      <c r="L36" s="125">
        <v>285000000</v>
      </c>
      <c r="M36" s="210">
        <v>616000000</v>
      </c>
      <c r="N36" s="210">
        <v>310000000</v>
      </c>
      <c r="O36" s="210">
        <v>247000000</v>
      </c>
      <c r="P36" s="210">
        <v>366000000</v>
      </c>
      <c r="Q36" s="210">
        <v>601000000</v>
      </c>
      <c r="R36" s="210">
        <v>222000000</v>
      </c>
      <c r="S36" s="210">
        <v>383000000</v>
      </c>
      <c r="T36" s="210">
        <v>524000000</v>
      </c>
      <c r="U36" s="210">
        <v>413000000</v>
      </c>
      <c r="V36" s="210"/>
      <c r="W36" s="210"/>
      <c r="X36" s="210"/>
    </row>
    <row r="37" spans="1:24" ht="16.5">
      <c r="A37" s="90" t="s">
        <v>237</v>
      </c>
      <c r="B37" s="90" t="s">
        <v>342</v>
      </c>
      <c r="C37" s="58" t="s">
        <v>201</v>
      </c>
      <c r="D37" s="28"/>
      <c r="E37" s="28"/>
      <c r="F37" s="28"/>
      <c r="G37" s="28"/>
      <c r="H37" s="28"/>
      <c r="I37" s="28"/>
      <c r="J37" s="28"/>
      <c r="K37" s="125">
        <v>376000000</v>
      </c>
      <c r="L37" s="125">
        <v>183000000</v>
      </c>
      <c r="M37" s="210">
        <v>608000000</v>
      </c>
      <c r="N37" s="210">
        <v>1009000000</v>
      </c>
      <c r="O37" s="210">
        <f t="shared" ref="O37" si="19">O38+O39</f>
        <v>1061000000</v>
      </c>
      <c r="P37" s="210">
        <f t="shared" ref="P37" si="20">P38+P39</f>
        <v>1613000000</v>
      </c>
      <c r="Q37" s="210">
        <f t="shared" ref="Q37" si="21">Q38+Q39</f>
        <v>1508000000</v>
      </c>
      <c r="R37" s="210">
        <f t="shared" ref="R37" si="22">R38+R39</f>
        <v>1014000000</v>
      </c>
      <c r="S37" s="210">
        <f t="shared" ref="S37" si="23">S38+S39</f>
        <v>801000000</v>
      </c>
      <c r="T37" s="210">
        <f t="shared" ref="T37" si="24">T38+T39</f>
        <v>909000000</v>
      </c>
      <c r="U37" s="210">
        <f t="shared" ref="U37" si="25">U38+U39</f>
        <v>747000000</v>
      </c>
      <c r="V37" s="210"/>
      <c r="W37" s="210"/>
      <c r="X37" s="210"/>
    </row>
    <row r="38" spans="1:24" ht="16.5">
      <c r="A38" s="99" t="s">
        <v>239</v>
      </c>
      <c r="B38" s="99" t="s">
        <v>1231</v>
      </c>
      <c r="C38" s="58" t="s">
        <v>241</v>
      </c>
      <c r="D38" s="28"/>
      <c r="E38" s="28"/>
      <c r="F38" s="28"/>
      <c r="G38" s="28"/>
      <c r="H38" s="28"/>
      <c r="I38" s="28"/>
      <c r="J38" s="28"/>
      <c r="K38" s="298"/>
      <c r="L38" s="298"/>
      <c r="M38" s="210"/>
      <c r="N38" s="210"/>
      <c r="O38" s="210">
        <v>743000000</v>
      </c>
      <c r="P38" s="210">
        <v>872000000</v>
      </c>
      <c r="Q38" s="210">
        <v>770000000</v>
      </c>
      <c r="R38" s="210">
        <v>620000000</v>
      </c>
      <c r="S38" s="210">
        <v>651000000</v>
      </c>
      <c r="T38" s="210">
        <v>644000000</v>
      </c>
      <c r="U38" s="210">
        <v>564000000</v>
      </c>
      <c r="V38" s="210"/>
      <c r="W38" s="210"/>
      <c r="X38" s="210"/>
    </row>
    <row r="39" spans="1:24" ht="16.5">
      <c r="A39" s="99" t="s">
        <v>242</v>
      </c>
      <c r="B39" s="99" t="s">
        <v>396</v>
      </c>
      <c r="C39" s="58" t="s">
        <v>241</v>
      </c>
      <c r="D39" s="28"/>
      <c r="E39" s="28"/>
      <c r="F39" s="28"/>
      <c r="G39" s="28"/>
      <c r="H39" s="28"/>
      <c r="I39" s="28"/>
      <c r="J39" s="28"/>
      <c r="K39" s="298"/>
      <c r="L39" s="298"/>
      <c r="M39" s="210"/>
      <c r="N39" s="210"/>
      <c r="O39" s="210">
        <v>318000000</v>
      </c>
      <c r="P39" s="210">
        <v>741000000</v>
      </c>
      <c r="Q39" s="210">
        <v>738000000</v>
      </c>
      <c r="R39" s="210">
        <v>394000000</v>
      </c>
      <c r="S39" s="210">
        <v>150000000</v>
      </c>
      <c r="T39" s="210">
        <v>265000000</v>
      </c>
      <c r="U39" s="210">
        <v>183000000</v>
      </c>
      <c r="V39" s="210"/>
      <c r="W39" s="210"/>
      <c r="X39" s="210"/>
    </row>
    <row r="40" spans="1:24" ht="16.5">
      <c r="A40" s="90" t="s">
        <v>1159</v>
      </c>
      <c r="B40" s="90" t="s">
        <v>1159</v>
      </c>
      <c r="C40" s="58" t="s">
        <v>201</v>
      </c>
      <c r="D40" s="28"/>
      <c r="E40" s="28"/>
      <c r="F40" s="28"/>
      <c r="G40" s="28"/>
      <c r="H40" s="28"/>
      <c r="I40" s="28"/>
      <c r="J40" s="28"/>
      <c r="K40" s="395">
        <v>0</v>
      </c>
      <c r="L40" s="125">
        <v>796000000</v>
      </c>
      <c r="M40" s="2721">
        <v>0</v>
      </c>
      <c r="N40" s="395">
        <v>0</v>
      </c>
      <c r="O40" s="210">
        <v>9000000</v>
      </c>
      <c r="P40" s="2629">
        <v>0</v>
      </c>
      <c r="Q40" s="142">
        <v>6000000</v>
      </c>
      <c r="R40" s="142">
        <v>123000000</v>
      </c>
      <c r="S40" s="142">
        <v>77000000</v>
      </c>
      <c r="T40" s="142">
        <v>35000000</v>
      </c>
      <c r="U40" s="298">
        <v>0</v>
      </c>
      <c r="V40" s="28"/>
      <c r="W40" s="28"/>
      <c r="X40" s="28"/>
    </row>
    <row r="41" spans="1:24" ht="16.5">
      <c r="A41" s="139" t="s">
        <v>3276</v>
      </c>
      <c r="B41" s="139" t="s">
        <v>3276</v>
      </c>
      <c r="C41" s="58" t="s">
        <v>201</v>
      </c>
      <c r="D41" s="28"/>
      <c r="E41" s="28"/>
      <c r="F41" s="28"/>
      <c r="G41" s="28"/>
      <c r="H41" s="28"/>
      <c r="I41" s="28"/>
      <c r="J41" s="28"/>
      <c r="K41" s="298"/>
      <c r="L41" s="298"/>
      <c r="M41" s="210">
        <v>3000000</v>
      </c>
      <c r="N41" s="125">
        <v>0</v>
      </c>
      <c r="O41" s="210">
        <v>0</v>
      </c>
      <c r="P41" s="142">
        <v>83000000</v>
      </c>
      <c r="Q41" s="142">
        <v>62000000</v>
      </c>
      <c r="R41" s="142">
        <v>45000000</v>
      </c>
      <c r="S41" s="142">
        <v>49000000</v>
      </c>
      <c r="T41" s="142">
        <v>38000000</v>
      </c>
      <c r="U41" s="298">
        <v>21000000</v>
      </c>
      <c r="V41" s="28"/>
      <c r="W41" s="28"/>
      <c r="X41" s="28"/>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c r="T42" s="142"/>
      <c r="U42" s="298"/>
      <c r="V42" s="28"/>
      <c r="W42" s="28"/>
      <c r="X42" s="28"/>
    </row>
    <row r="43" spans="1:24" ht="16.5">
      <c r="A43" t="s">
        <v>76</v>
      </c>
      <c r="B43" t="s">
        <v>5721</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c r="T43" s="142"/>
      <c r="U43" s="298"/>
      <c r="V43" s="28"/>
      <c r="W43" s="28"/>
      <c r="X43" s="2"/>
    </row>
    <row r="44" spans="1:24" ht="16.5">
      <c r="A44" t="s">
        <v>76</v>
      </c>
      <c r="B44" s="90" t="s">
        <v>1936</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c r="T44" s="142"/>
      <c r="U44" s="298"/>
      <c r="V44" s="28"/>
      <c r="W44" s="28"/>
      <c r="X44" s="2"/>
    </row>
    <row r="45" spans="1:24" ht="16.5">
      <c r="A45" t="s">
        <v>76</v>
      </c>
      <c r="B45" s="90" t="s">
        <v>5722</v>
      </c>
      <c r="C45" s="90"/>
      <c r="D45" s="28"/>
      <c r="E45" s="28"/>
      <c r="F45" s="28"/>
      <c r="G45" s="28"/>
      <c r="H45" s="28"/>
      <c r="I45" s="28"/>
      <c r="J45" s="28"/>
      <c r="K45" s="125">
        <v>4000000</v>
      </c>
      <c r="L45" s="125">
        <v>167000000</v>
      </c>
      <c r="M45" s="210">
        <v>323000000</v>
      </c>
      <c r="N45" s="142">
        <v>90000000</v>
      </c>
      <c r="O45" s="210"/>
      <c r="P45" s="142"/>
      <c r="Q45" s="142"/>
      <c r="R45" s="142"/>
      <c r="S45" s="142"/>
      <c r="T45" s="142"/>
      <c r="U45" s="298"/>
      <c r="V45" s="28"/>
      <c r="W45" s="28"/>
      <c r="X45" s="2"/>
    </row>
    <row r="46" spans="1:24" ht="16.5">
      <c r="A46" t="s">
        <v>76</v>
      </c>
      <c r="B46" s="139" t="s">
        <v>2679</v>
      </c>
      <c r="C46" s="90"/>
      <c r="D46" s="28"/>
      <c r="E46" s="28"/>
      <c r="F46" s="28"/>
      <c r="G46" s="28"/>
      <c r="H46" s="28"/>
      <c r="I46" s="28"/>
      <c r="J46" s="28"/>
      <c r="K46" s="125">
        <v>56000000</v>
      </c>
      <c r="L46" s="125">
        <v>-136000000</v>
      </c>
      <c r="M46" s="210">
        <v>-224000000</v>
      </c>
      <c r="N46" s="142">
        <v>-92000000</v>
      </c>
      <c r="O46" s="210"/>
      <c r="P46" s="142"/>
      <c r="Q46" s="142"/>
      <c r="R46" s="142"/>
      <c r="S46" s="142"/>
      <c r="T46" s="142"/>
      <c r="U46" s="298"/>
      <c r="V46" s="28"/>
      <c r="W46" s="28"/>
      <c r="X46" s="2"/>
    </row>
    <row r="47" spans="1:24" ht="16.5">
      <c r="A47" t="s">
        <v>76</v>
      </c>
      <c r="B47" s="90" t="s">
        <v>5723</v>
      </c>
      <c r="C47" s="90"/>
      <c r="D47" s="28"/>
      <c r="E47" s="28"/>
      <c r="F47" s="28"/>
      <c r="G47" s="28"/>
      <c r="H47" s="28"/>
      <c r="I47" s="28"/>
      <c r="J47" s="28"/>
      <c r="K47" s="298"/>
      <c r="L47" s="298"/>
      <c r="M47" s="298"/>
      <c r="N47" s="142">
        <v>0</v>
      </c>
      <c r="O47" s="210">
        <v>-217000000</v>
      </c>
      <c r="P47" s="142">
        <v>0</v>
      </c>
      <c r="Q47" s="142">
        <v>51000000</v>
      </c>
      <c r="R47" s="142">
        <v>0</v>
      </c>
      <c r="S47" s="142"/>
      <c r="T47" s="142"/>
      <c r="U47" s="298"/>
      <c r="V47" s="28"/>
      <c r="W47" s="28"/>
      <c r="X47" s="2"/>
    </row>
    <row r="48" spans="1:24" ht="16.5">
      <c r="A48" t="s">
        <v>76</v>
      </c>
      <c r="B48" s="90" t="s">
        <v>5724</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c r="T48" s="142"/>
      <c r="U48" s="298"/>
      <c r="V48" s="28"/>
      <c r="W48" s="28"/>
      <c r="X48" s="2"/>
    </row>
    <row r="49" spans="1:24" s="9" customFormat="1" ht="16.5">
      <c r="A49" s="148" t="s">
        <v>115</v>
      </c>
      <c r="B49" s="148" t="s">
        <v>115</v>
      </c>
      <c r="C49" s="18" t="s">
        <v>35</v>
      </c>
      <c r="D49" s="36"/>
      <c r="E49" s="36"/>
      <c r="F49" s="36"/>
      <c r="G49" s="36"/>
      <c r="H49" s="36"/>
      <c r="I49" s="36"/>
      <c r="J49" s="36"/>
      <c r="K49" s="319">
        <f>K50+K58+K64+K66</f>
        <v>535000000</v>
      </c>
      <c r="L49" s="295">
        <v>262000000</v>
      </c>
      <c r="M49" s="296">
        <v>-694000000</v>
      </c>
      <c r="N49" s="296">
        <v>-291000000</v>
      </c>
      <c r="O49" s="296">
        <v>-124000000</v>
      </c>
      <c r="P49" s="296">
        <v>-343000000</v>
      </c>
      <c r="Q49" s="296">
        <f>Q50+Q58+Q64+Q66</f>
        <v>-50000000</v>
      </c>
      <c r="R49" s="296">
        <v>-392000000</v>
      </c>
      <c r="S49" s="296">
        <f>S50+S58+S64+S65+S66</f>
        <v>-170000000</v>
      </c>
      <c r="T49" s="296">
        <f t="shared" ref="T49:U49" si="26">T50+T58+T64+T65+T66</f>
        <v>274000000</v>
      </c>
      <c r="U49" s="296">
        <f t="shared" si="26"/>
        <v>7000000</v>
      </c>
      <c r="V49" s="36"/>
      <c r="W49" s="36"/>
      <c r="X49" s="169"/>
    </row>
    <row r="50" spans="1:24" ht="16.5">
      <c r="A50" s="58" t="s">
        <v>117</v>
      </c>
      <c r="B50" s="90" t="s">
        <v>1252</v>
      </c>
      <c r="C50" s="58" t="s">
        <v>252</v>
      </c>
      <c r="D50" s="28"/>
      <c r="E50" s="28"/>
      <c r="F50" s="28"/>
      <c r="G50" s="28"/>
      <c r="H50" s="28"/>
      <c r="I50" s="28"/>
      <c r="J50" s="28"/>
      <c r="K50" s="319">
        <f>K51+K54+K56+K57+K55</f>
        <v>407000000</v>
      </c>
      <c r="L50" s="125">
        <v>233000000</v>
      </c>
      <c r="M50" s="210">
        <v>-53000000</v>
      </c>
      <c r="N50" s="142">
        <v>236000000</v>
      </c>
      <c r="O50" s="210">
        <v>2000000</v>
      </c>
      <c r="P50" s="142">
        <v>53000000</v>
      </c>
      <c r="Q50" s="319">
        <f>Q51+Q54+Q56+Q57+Q55</f>
        <v>112000000</v>
      </c>
      <c r="R50" s="142">
        <v>123000000</v>
      </c>
      <c r="S50" s="142">
        <f>S51+S54</f>
        <v>-84000000</v>
      </c>
      <c r="T50" s="142">
        <f t="shared" ref="T50:U50" si="27">T51+T54</f>
        <v>-304000000</v>
      </c>
      <c r="U50" s="142">
        <f t="shared" si="27"/>
        <v>-407000000</v>
      </c>
      <c r="V50" s="28"/>
      <c r="W50" s="28"/>
      <c r="X50" s="2"/>
    </row>
    <row r="51" spans="1:24" ht="16.5">
      <c r="A51" s="152" t="s">
        <v>415</v>
      </c>
      <c r="B51" s="152" t="s">
        <v>415</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210">
        <v>378000000</v>
      </c>
      <c r="S51" s="210">
        <f>S52+S53</f>
        <v>102000000</v>
      </c>
      <c r="T51" s="210">
        <f t="shared" ref="T51:U51" si="28">T52+T53</f>
        <v>287000000</v>
      </c>
      <c r="U51" s="210">
        <f t="shared" si="28"/>
        <v>11000000</v>
      </c>
      <c r="V51" s="28"/>
      <c r="W51" s="28"/>
      <c r="X51" s="2"/>
    </row>
    <row r="52" spans="1:24" ht="16.5">
      <c r="A52" s="100" t="s">
        <v>1253</v>
      </c>
      <c r="B52" s="100" t="s">
        <v>1254</v>
      </c>
      <c r="C52" s="27" t="s">
        <v>499</v>
      </c>
      <c r="D52" s="28"/>
      <c r="E52" s="28"/>
      <c r="F52" s="28"/>
      <c r="G52" s="28"/>
      <c r="H52" s="28"/>
      <c r="I52" s="28"/>
      <c r="J52" s="28"/>
      <c r="K52" s="125">
        <v>859000000</v>
      </c>
      <c r="L52" s="125">
        <v>672000000</v>
      </c>
      <c r="M52" s="210">
        <v>137000000</v>
      </c>
      <c r="N52" s="142">
        <v>247000000</v>
      </c>
      <c r="O52" s="210">
        <v>83000000</v>
      </c>
      <c r="P52" s="142">
        <v>79000000</v>
      </c>
      <c r="Q52" s="142">
        <v>152000000</v>
      </c>
      <c r="R52" s="210">
        <v>164000000</v>
      </c>
      <c r="S52" s="210">
        <v>6000000</v>
      </c>
      <c r="T52" s="210">
        <v>25000000</v>
      </c>
      <c r="U52" s="210">
        <v>11000000</v>
      </c>
      <c r="V52" s="28"/>
      <c r="W52" s="28"/>
      <c r="X52" s="28"/>
    </row>
    <row r="53" spans="1:24" ht="16.5">
      <c r="A53" s="100" t="s">
        <v>5725</v>
      </c>
      <c r="B53" s="100" t="s">
        <v>5726</v>
      </c>
      <c r="C53" s="27" t="s">
        <v>499</v>
      </c>
      <c r="D53" s="28"/>
      <c r="E53" s="28"/>
      <c r="F53" s="28"/>
      <c r="G53" s="28"/>
      <c r="H53" s="28"/>
      <c r="I53" s="28"/>
      <c r="J53" s="28"/>
      <c r="K53" s="125">
        <v>0</v>
      </c>
      <c r="L53" s="125">
        <v>0</v>
      </c>
      <c r="M53" s="210">
        <v>121000000</v>
      </c>
      <c r="N53" s="142">
        <v>337000000</v>
      </c>
      <c r="O53" s="210">
        <v>0</v>
      </c>
      <c r="P53" s="142">
        <v>89000000</v>
      </c>
      <c r="Q53" s="142">
        <v>125000000</v>
      </c>
      <c r="R53" s="210">
        <v>214000000</v>
      </c>
      <c r="S53" s="210">
        <v>96000000</v>
      </c>
      <c r="T53" s="210">
        <v>262000000</v>
      </c>
      <c r="U53" s="210">
        <v>0</v>
      </c>
      <c r="V53" s="28"/>
      <c r="W53" s="28"/>
      <c r="X53" s="28"/>
    </row>
    <row r="54" spans="1:24" ht="16.5">
      <c r="A54" s="99" t="s">
        <v>5727</v>
      </c>
      <c r="B54" s="99" t="s">
        <v>5728</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210">
        <v>-254000000</v>
      </c>
      <c r="S54" s="210">
        <v>-186000000</v>
      </c>
      <c r="T54" s="210">
        <v>-591000000</v>
      </c>
      <c r="U54" s="210">
        <v>-418000000</v>
      </c>
      <c r="V54" s="28"/>
      <c r="W54" s="28"/>
      <c r="X54" s="28"/>
    </row>
    <row r="55" spans="1:24" ht="16.5">
      <c r="A55" s="99" t="s">
        <v>5729</v>
      </c>
      <c r="B55" s="99" t="s">
        <v>5730</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210">
        <v>0</v>
      </c>
      <c r="S55" s="210"/>
      <c r="T55" s="210"/>
      <c r="U55" s="210"/>
      <c r="V55" s="28"/>
      <c r="W55" s="28"/>
      <c r="X55" s="2"/>
    </row>
    <row r="56" spans="1:24" ht="16.5">
      <c r="A56" s="99" t="s">
        <v>5731</v>
      </c>
      <c r="B56" s="99" t="s">
        <v>5732</v>
      </c>
      <c r="C56" s="58" t="s">
        <v>264</v>
      </c>
      <c r="D56" s="28"/>
      <c r="E56" s="28"/>
      <c r="F56" s="28"/>
      <c r="G56" s="28"/>
      <c r="H56" s="28"/>
      <c r="I56" s="28"/>
      <c r="J56" s="28"/>
      <c r="K56" s="125">
        <v>0</v>
      </c>
      <c r="L56" s="125">
        <v>0</v>
      </c>
      <c r="M56" s="210">
        <v>1945000000</v>
      </c>
      <c r="N56" s="142">
        <v>3017000000</v>
      </c>
      <c r="O56" s="210"/>
      <c r="P56" s="142"/>
      <c r="Q56" s="142"/>
      <c r="R56" s="210"/>
      <c r="S56" s="210"/>
      <c r="T56" s="210"/>
      <c r="U56" s="210"/>
      <c r="V56" s="28"/>
      <c r="W56" s="28"/>
      <c r="X56" s="2"/>
    </row>
    <row r="57" spans="1:24" ht="16.5">
      <c r="A57" s="99" t="s">
        <v>5733</v>
      </c>
      <c r="B57" s="99" t="s">
        <v>5734</v>
      </c>
      <c r="C57" s="58" t="s">
        <v>264</v>
      </c>
      <c r="D57" s="28"/>
      <c r="E57" s="28"/>
      <c r="F57" s="28"/>
      <c r="G57" s="28"/>
      <c r="H57" s="28"/>
      <c r="I57" s="28"/>
      <c r="J57" s="28"/>
      <c r="K57" s="125">
        <v>0</v>
      </c>
      <c r="L57" s="125">
        <v>0</v>
      </c>
      <c r="M57" s="210">
        <v>57000000</v>
      </c>
      <c r="N57" s="142">
        <v>0</v>
      </c>
      <c r="O57" s="210"/>
      <c r="P57" s="142"/>
      <c r="Q57" s="142"/>
      <c r="R57" s="210"/>
      <c r="S57" s="210"/>
      <c r="T57" s="210"/>
      <c r="U57" s="210"/>
      <c r="V57" s="28"/>
      <c r="W57" s="28"/>
      <c r="X57" s="2"/>
    </row>
    <row r="58" spans="1:24" ht="16.5">
      <c r="A58" t="s">
        <v>120</v>
      </c>
      <c r="B58" s="90" t="s">
        <v>5735</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210">
        <v>-500000000</v>
      </c>
      <c r="S58" s="210">
        <f>S59+S63</f>
        <v>130000000</v>
      </c>
      <c r="T58" s="210">
        <f t="shared" ref="T58:U58" si="29">T59+T63</f>
        <v>579000000</v>
      </c>
      <c r="U58" s="210">
        <f t="shared" si="29"/>
        <v>316000000</v>
      </c>
      <c r="V58" s="28"/>
      <c r="W58" s="28"/>
      <c r="X58" s="2"/>
    </row>
    <row r="59" spans="1:24" ht="16.5">
      <c r="A59" s="99" t="s">
        <v>1265</v>
      </c>
      <c r="B59" s="99" t="s">
        <v>5108</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210">
        <v>-500000000</v>
      </c>
      <c r="S59" s="210">
        <v>-172000000</v>
      </c>
      <c r="T59" s="210">
        <v>389000000</v>
      </c>
      <c r="U59" s="210">
        <v>419000000</v>
      </c>
      <c r="V59" s="28"/>
      <c r="W59" s="28"/>
      <c r="X59" s="28"/>
    </row>
    <row r="60" spans="1:24" ht="16.5">
      <c r="A60" t="s">
        <v>76</v>
      </c>
      <c r="B60" s="138" t="s">
        <v>5736</v>
      </c>
      <c r="C60" s="90"/>
      <c r="D60" s="28"/>
      <c r="E60" s="28"/>
      <c r="F60" s="28"/>
      <c r="G60" s="28"/>
      <c r="H60" s="28"/>
      <c r="I60" s="28"/>
      <c r="J60" s="28"/>
      <c r="K60" s="125">
        <v>28000000</v>
      </c>
      <c r="L60" s="125">
        <v>-3000000</v>
      </c>
      <c r="M60" s="210">
        <v>-376000000</v>
      </c>
      <c r="N60" s="142">
        <v>-131000000</v>
      </c>
      <c r="O60" s="210">
        <v>45000000</v>
      </c>
      <c r="P60" s="142">
        <v>-1194000000</v>
      </c>
      <c r="Q60" s="142">
        <v>-56000000</v>
      </c>
      <c r="R60" s="210">
        <v>-1042000000</v>
      </c>
      <c r="S60" s="210"/>
      <c r="T60" s="210"/>
      <c r="U60" s="210"/>
      <c r="V60" s="28"/>
      <c r="W60" s="28"/>
      <c r="X60" s="2"/>
    </row>
    <row r="61" spans="1:24" ht="16.5">
      <c r="A61" t="s">
        <v>76</v>
      </c>
      <c r="B61" s="138" t="s">
        <v>5737</v>
      </c>
      <c r="C61" s="90"/>
      <c r="D61" s="28"/>
      <c r="E61" s="28"/>
      <c r="F61" s="28"/>
      <c r="G61" s="28"/>
      <c r="H61" s="28"/>
      <c r="I61" s="28"/>
      <c r="J61" s="28"/>
      <c r="K61" s="298"/>
      <c r="L61" s="298"/>
      <c r="M61" s="210">
        <v>0</v>
      </c>
      <c r="N61" s="142">
        <v>188000000</v>
      </c>
      <c r="O61" s="210"/>
      <c r="P61" s="142"/>
      <c r="Q61" s="142"/>
      <c r="R61" s="210"/>
      <c r="S61" s="210"/>
      <c r="T61" s="210"/>
      <c r="U61" s="210"/>
      <c r="V61" s="28"/>
      <c r="W61" s="28"/>
      <c r="X61" s="2"/>
    </row>
    <row r="62" spans="1:24" ht="16.5">
      <c r="A62" t="s">
        <v>76</v>
      </c>
      <c r="B62" s="100" t="s">
        <v>1267</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210">
        <v>542000000</v>
      </c>
      <c r="S62" s="210"/>
      <c r="T62" s="210"/>
      <c r="U62" s="210"/>
      <c r="V62" s="28"/>
      <c r="W62" s="28"/>
      <c r="X62" s="2"/>
    </row>
    <row r="63" spans="1:24" ht="16.5">
      <c r="A63" s="99" t="s">
        <v>919</v>
      </c>
      <c r="B63" s="99" t="s">
        <v>1270</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210">
        <v>0</v>
      </c>
      <c r="S63" s="210">
        <v>302000000</v>
      </c>
      <c r="T63" s="210">
        <v>190000000</v>
      </c>
      <c r="U63" s="210">
        <v>-103000000</v>
      </c>
      <c r="V63" s="28"/>
      <c r="W63" s="28"/>
      <c r="X63" s="28"/>
    </row>
    <row r="64" spans="1:24" ht="16.5">
      <c r="A64" s="90" t="s">
        <v>5738</v>
      </c>
      <c r="B64" s="90" t="s">
        <v>5739</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210">
        <v>76000000</v>
      </c>
      <c r="S64" s="210">
        <v>46000000</v>
      </c>
      <c r="T64" s="210">
        <v>76000000</v>
      </c>
      <c r="U64" s="210">
        <v>82000000</v>
      </c>
      <c r="V64" s="28"/>
      <c r="W64" s="28"/>
      <c r="X64" s="28"/>
    </row>
    <row r="65" spans="1:24" ht="16.5">
      <c r="A65" s="90" t="s">
        <v>7220</v>
      </c>
      <c r="B65" s="90" t="s">
        <v>7220</v>
      </c>
      <c r="C65" s="58" t="s">
        <v>252</v>
      </c>
      <c r="D65" s="28"/>
      <c r="E65" s="28"/>
      <c r="F65" s="28"/>
      <c r="G65" s="28"/>
      <c r="H65" s="28"/>
      <c r="I65" s="28"/>
      <c r="J65" s="28"/>
      <c r="K65" s="125"/>
      <c r="L65" s="125"/>
      <c r="M65" s="210"/>
      <c r="N65" s="142"/>
      <c r="O65" s="210"/>
      <c r="P65" s="142"/>
      <c r="Q65" s="142"/>
      <c r="R65" s="210"/>
      <c r="S65" s="210">
        <v>-176000000</v>
      </c>
      <c r="T65" s="210"/>
      <c r="U65" s="210"/>
      <c r="V65" s="28"/>
      <c r="W65" s="28"/>
      <c r="X65" s="28"/>
    </row>
    <row r="66" spans="1:24" ht="16.5">
      <c r="A66" s="90" t="s">
        <v>2259</v>
      </c>
      <c r="B66" s="90" t="s">
        <v>5118</v>
      </c>
      <c r="C66" s="58" t="s">
        <v>252</v>
      </c>
      <c r="D66" s="28"/>
      <c r="E66" s="28"/>
      <c r="F66" s="28"/>
      <c r="G66" s="28"/>
      <c r="H66" s="28"/>
      <c r="I66" s="28"/>
      <c r="J66" s="28"/>
      <c r="K66" s="125">
        <v>14000000</v>
      </c>
      <c r="L66" s="125">
        <v>-120000000</v>
      </c>
      <c r="M66" s="210">
        <v>-88000000</v>
      </c>
      <c r="N66" s="142">
        <v>18000000</v>
      </c>
      <c r="O66" s="210">
        <v>-47000000</v>
      </c>
      <c r="P66" s="142">
        <v>14000000</v>
      </c>
      <c r="Q66" s="142">
        <v>-89000000</v>
      </c>
      <c r="R66" s="210">
        <v>-92000000</v>
      </c>
      <c r="S66" s="210">
        <v>-86000000</v>
      </c>
      <c r="T66" s="210">
        <v>-77000000</v>
      </c>
      <c r="U66" s="210">
        <v>16000000</v>
      </c>
      <c r="V66" s="28"/>
      <c r="W66" s="28"/>
      <c r="X66" s="28"/>
    </row>
    <row r="67" spans="1:24" ht="16.5">
      <c r="B67" t="s">
        <v>5740</v>
      </c>
      <c r="C67" s="90"/>
      <c r="D67" s="28"/>
      <c r="E67" s="28"/>
      <c r="F67" s="28"/>
      <c r="G67" s="28"/>
      <c r="H67" s="28"/>
      <c r="I67" s="28"/>
      <c r="J67" s="28"/>
      <c r="K67" s="125">
        <v>0</v>
      </c>
      <c r="L67" s="125">
        <v>0</v>
      </c>
      <c r="M67" s="210">
        <v>0</v>
      </c>
      <c r="N67" s="142">
        <v>0</v>
      </c>
      <c r="O67" s="210">
        <v>0</v>
      </c>
      <c r="P67" s="142">
        <v>0</v>
      </c>
      <c r="Q67" s="142">
        <v>0</v>
      </c>
      <c r="R67" s="210">
        <v>0</v>
      </c>
      <c r="S67" s="210"/>
      <c r="T67" s="210"/>
      <c r="U67" s="210"/>
      <c r="V67" s="28"/>
      <c r="W67" s="28"/>
      <c r="X67" s="2"/>
    </row>
    <row r="68" spans="1:24">
      <c r="C68" s="90"/>
      <c r="D68" s="28"/>
      <c r="E68" s="28"/>
      <c r="F68" s="28"/>
      <c r="G68" s="28"/>
      <c r="H68" s="28"/>
      <c r="I68" s="28"/>
      <c r="J68" s="28"/>
      <c r="K68" s="28"/>
      <c r="L68" s="28"/>
      <c r="M68" s="28"/>
      <c r="N68" s="28"/>
      <c r="O68" s="28"/>
      <c r="P68" s="28"/>
      <c r="Q68" s="28"/>
      <c r="R68" s="28"/>
      <c r="S68" s="28"/>
      <c r="T68" s="28"/>
      <c r="U68" s="28"/>
      <c r="V68" s="28"/>
      <c r="W68" s="28"/>
      <c r="X68" s="2"/>
    </row>
    <row r="69" spans="1:24">
      <c r="C69" s="90"/>
      <c r="D69" s="28"/>
      <c r="E69" s="28"/>
      <c r="F69" s="28"/>
      <c r="G69" s="28"/>
      <c r="H69" s="28"/>
      <c r="I69" s="28"/>
      <c r="J69" s="28"/>
      <c r="K69" t="s">
        <v>139</v>
      </c>
      <c r="L69" t="s">
        <v>139</v>
      </c>
      <c r="M69" t="s">
        <v>139</v>
      </c>
      <c r="N69" t="s">
        <v>139</v>
      </c>
      <c r="O69" t="s">
        <v>139</v>
      </c>
      <c r="P69" t="s">
        <v>139</v>
      </c>
      <c r="Q69" t="s">
        <v>139</v>
      </c>
      <c r="R69" t="s">
        <v>139</v>
      </c>
      <c r="S69" t="s">
        <v>139</v>
      </c>
      <c r="T69" t="s">
        <v>139</v>
      </c>
      <c r="U69" t="s">
        <v>139</v>
      </c>
      <c r="V69" s="28"/>
      <c r="W69" s="28"/>
      <c r="X69" s="2"/>
    </row>
    <row r="71" spans="1:24">
      <c r="B71" t="s">
        <v>1828</v>
      </c>
      <c r="K71" s="21">
        <f>K6-K7-K22</f>
        <v>0</v>
      </c>
      <c r="L71" s="21">
        <f t="shared" ref="L71:T71" si="30">L6-L7-L22</f>
        <v>1000000</v>
      </c>
      <c r="M71" s="21">
        <f t="shared" si="30"/>
        <v>-1000000</v>
      </c>
      <c r="N71" s="21">
        <f t="shared" si="30"/>
        <v>-1000000</v>
      </c>
      <c r="O71" s="21">
        <f t="shared" si="30"/>
        <v>0</v>
      </c>
      <c r="P71" s="21">
        <f t="shared" si="30"/>
        <v>0</v>
      </c>
      <c r="Q71" s="21">
        <f t="shared" si="30"/>
        <v>0</v>
      </c>
      <c r="R71" s="21">
        <f t="shared" si="30"/>
        <v>0</v>
      </c>
      <c r="S71" s="21">
        <f t="shared" si="30"/>
        <v>0</v>
      </c>
      <c r="T71" s="21">
        <f t="shared" si="30"/>
        <v>0</v>
      </c>
      <c r="U71" s="21">
        <f t="shared" ref="U71" si="31">U6-U7-U22</f>
        <v>0</v>
      </c>
    </row>
    <row r="72" spans="1:24">
      <c r="B72" t="s">
        <v>141</v>
      </c>
      <c r="K72" s="21">
        <f>K7-K8-K18</f>
        <v>0</v>
      </c>
      <c r="L72" s="21">
        <f t="shared" ref="L72:T72" si="32">L7-L8-L18</f>
        <v>0</v>
      </c>
      <c r="M72" s="21">
        <f t="shared" si="32"/>
        <v>1000000</v>
      </c>
      <c r="N72" s="21">
        <f t="shared" si="32"/>
        <v>1000000</v>
      </c>
      <c r="O72" s="21">
        <f t="shared" si="32"/>
        <v>0</v>
      </c>
      <c r="P72" s="21">
        <f t="shared" si="32"/>
        <v>0</v>
      </c>
      <c r="Q72" s="21">
        <f t="shared" si="32"/>
        <v>0</v>
      </c>
      <c r="R72" s="21">
        <f t="shared" si="32"/>
        <v>0</v>
      </c>
      <c r="S72" s="21">
        <f t="shared" si="32"/>
        <v>0</v>
      </c>
      <c r="T72" s="21">
        <f t="shared" si="32"/>
        <v>0</v>
      </c>
      <c r="U72" s="21">
        <f t="shared" ref="U72" si="33">U7-U8-U18</f>
        <v>0</v>
      </c>
    </row>
    <row r="73" spans="1:24">
      <c r="B73" t="s">
        <v>142</v>
      </c>
      <c r="K73" s="21">
        <f>K8-K9-K10-K11-K12-K13-K14-K15-K17-K16</f>
        <v>0</v>
      </c>
      <c r="L73" s="21">
        <f t="shared" ref="L73:T73" si="34">L8-L9-L10-L11-L12-L13-L14-L15-L17-L16</f>
        <v>-1000000</v>
      </c>
      <c r="M73" s="21">
        <f t="shared" si="34"/>
        <v>0</v>
      </c>
      <c r="N73" s="21">
        <f t="shared" si="34"/>
        <v>-1000000</v>
      </c>
      <c r="O73" s="21">
        <f t="shared" si="34"/>
        <v>0</v>
      </c>
      <c r="P73" s="21">
        <f t="shared" si="34"/>
        <v>-1000000</v>
      </c>
      <c r="Q73" s="21">
        <f t="shared" si="34"/>
        <v>0</v>
      </c>
      <c r="R73" s="21">
        <f t="shared" si="34"/>
        <v>0</v>
      </c>
      <c r="S73" s="192">
        <f>S8-S9-S10-S11-S12-S13-S14-S15-S17-S16</f>
        <v>0</v>
      </c>
      <c r="T73" s="21">
        <f t="shared" si="34"/>
        <v>0</v>
      </c>
      <c r="U73" s="21">
        <f t="shared" ref="U73" si="35">U8-U9-U10-U11-U12-U13-U14-U15-U17-U16</f>
        <v>0</v>
      </c>
    </row>
    <row r="74" spans="1:24">
      <c r="B74" t="s">
        <v>5741</v>
      </c>
      <c r="K74" s="21">
        <f>K18-K19-K20-K21</f>
        <v>0</v>
      </c>
      <c r="L74" s="21">
        <f t="shared" ref="L74:T74" si="36">L18-L19-L20-L21</f>
        <v>0</v>
      </c>
      <c r="M74" s="21">
        <f t="shared" si="36"/>
        <v>0</v>
      </c>
      <c r="N74" s="21">
        <f t="shared" si="36"/>
        <v>0</v>
      </c>
      <c r="O74" s="21">
        <f t="shared" si="36"/>
        <v>0</v>
      </c>
      <c r="P74" s="21">
        <f t="shared" si="36"/>
        <v>0</v>
      </c>
      <c r="Q74" s="21">
        <f t="shared" si="36"/>
        <v>-1000000</v>
      </c>
      <c r="R74" s="21">
        <f t="shared" si="36"/>
        <v>0</v>
      </c>
      <c r="S74" s="21">
        <f t="shared" si="36"/>
        <v>0</v>
      </c>
      <c r="T74" s="21">
        <f t="shared" si="36"/>
        <v>0</v>
      </c>
      <c r="U74" s="21">
        <f t="shared" ref="U74" si="37">U18-U19-U20-U21</f>
        <v>0</v>
      </c>
    </row>
    <row r="75" spans="1:24">
      <c r="B75" t="s">
        <v>619</v>
      </c>
      <c r="K75" s="21">
        <f>K24-K25-K41-K37</f>
        <v>0</v>
      </c>
      <c r="L75" s="21">
        <f t="shared" ref="L75:T75" si="38">L24-L25-L41-L37</f>
        <v>796000000</v>
      </c>
      <c r="M75" s="21">
        <f t="shared" si="38"/>
        <v>0</v>
      </c>
      <c r="N75" s="21">
        <f t="shared" si="38"/>
        <v>0</v>
      </c>
      <c r="O75" s="21">
        <f t="shared" si="38"/>
        <v>9000000</v>
      </c>
      <c r="P75" s="21">
        <f t="shared" si="38"/>
        <v>0</v>
      </c>
      <c r="Q75" s="21">
        <f t="shared" si="38"/>
        <v>6000000</v>
      </c>
      <c r="R75" s="21">
        <f t="shared" si="38"/>
        <v>123000000</v>
      </c>
      <c r="S75" s="21">
        <f t="shared" si="38"/>
        <v>77000000</v>
      </c>
      <c r="T75" s="21">
        <f t="shared" si="38"/>
        <v>35000000</v>
      </c>
      <c r="U75" s="21">
        <f t="shared" ref="U75" si="39">U24-U25-U41-U37</f>
        <v>0</v>
      </c>
    </row>
    <row r="76" spans="1:24">
      <c r="B76" t="s">
        <v>2221</v>
      </c>
      <c r="K76" s="21">
        <f>K25-K27-K28-K29-K33-K34</f>
        <v>0</v>
      </c>
      <c r="L76" s="21">
        <f t="shared" ref="L76:T76" si="40">L25-L27-L28-L29-L33-L34</f>
        <v>0</v>
      </c>
      <c r="M76" s="21">
        <f t="shared" si="40"/>
        <v>0</v>
      </c>
      <c r="N76" s="21">
        <f t="shared" si="40"/>
        <v>0</v>
      </c>
      <c r="O76" s="21">
        <f>O25-O27-O28-O29-O33-O34</f>
        <v>0</v>
      </c>
      <c r="P76" s="21">
        <f t="shared" si="40"/>
        <v>0</v>
      </c>
      <c r="Q76" s="21">
        <f>Q25-Q27-Q28-Q29-Q33-Q34</f>
        <v>0</v>
      </c>
      <c r="R76" s="21">
        <f t="shared" si="40"/>
        <v>0</v>
      </c>
      <c r="S76" s="21">
        <f t="shared" si="40"/>
        <v>0</v>
      </c>
      <c r="T76" s="21">
        <f t="shared" si="40"/>
        <v>0</v>
      </c>
      <c r="U76" s="21">
        <f t="shared" ref="U76" si="41">U25-U27-U28-U29-U33-U34</f>
        <v>0</v>
      </c>
    </row>
    <row r="77" spans="1:24">
      <c r="B77" t="s">
        <v>721</v>
      </c>
      <c r="K77" s="21">
        <f>K29-K30-K31-K32</f>
        <v>0</v>
      </c>
      <c r="L77" s="21">
        <f t="shared" ref="L77:T77" si="42">L29-L30-L31-L32</f>
        <v>0</v>
      </c>
      <c r="M77" s="21">
        <f t="shared" si="42"/>
        <v>0</v>
      </c>
      <c r="N77" s="21">
        <f t="shared" si="42"/>
        <v>0</v>
      </c>
      <c r="O77" s="21">
        <f t="shared" si="42"/>
        <v>0</v>
      </c>
      <c r="P77" s="21">
        <f t="shared" si="42"/>
        <v>0</v>
      </c>
      <c r="Q77" s="21">
        <f t="shared" si="42"/>
        <v>0</v>
      </c>
      <c r="R77" s="21">
        <f t="shared" si="42"/>
        <v>0</v>
      </c>
      <c r="S77" s="21">
        <f t="shared" si="42"/>
        <v>0</v>
      </c>
      <c r="T77" s="21">
        <f t="shared" si="42"/>
        <v>0</v>
      </c>
      <c r="U77" s="21">
        <f t="shared" ref="U77" si="43">U29-U30-U31-U32</f>
        <v>0</v>
      </c>
    </row>
    <row r="78" spans="1:24">
      <c r="B78" t="s">
        <v>291</v>
      </c>
      <c r="K78" s="21">
        <f>K34-K35-K36</f>
        <v>0</v>
      </c>
      <c r="L78" s="21">
        <f t="shared" ref="L78:T78" si="44">L34-L35-L36</f>
        <v>0</v>
      </c>
      <c r="M78" s="21">
        <f t="shared" si="44"/>
        <v>0</v>
      </c>
      <c r="N78" s="21">
        <f t="shared" si="44"/>
        <v>0</v>
      </c>
      <c r="O78" s="21">
        <f t="shared" si="44"/>
        <v>0</v>
      </c>
      <c r="P78" s="21">
        <f t="shared" si="44"/>
        <v>0</v>
      </c>
      <c r="Q78" s="21">
        <f t="shared" si="44"/>
        <v>0</v>
      </c>
      <c r="R78" s="21">
        <f t="shared" si="44"/>
        <v>0</v>
      </c>
      <c r="S78" s="21">
        <f t="shared" si="44"/>
        <v>0</v>
      </c>
      <c r="T78" s="21">
        <f t="shared" si="44"/>
        <v>0</v>
      </c>
      <c r="U78" s="21">
        <f t="shared" ref="U78" si="45">U34-U35-U36</f>
        <v>0</v>
      </c>
    </row>
    <row r="79" spans="1:24">
      <c r="B79" t="s">
        <v>876</v>
      </c>
      <c r="K79" s="131">
        <f>K37-K38-K39</f>
        <v>376000000</v>
      </c>
      <c r="L79" s="131">
        <f>L37-L38-L39</f>
        <v>183000000</v>
      </c>
      <c r="M79" s="131">
        <f t="shared" ref="M79:T79" si="46">M37-M38-M39</f>
        <v>608000000</v>
      </c>
      <c r="N79" s="131">
        <f>N37-N38-N39</f>
        <v>1009000000</v>
      </c>
      <c r="O79" s="21">
        <f t="shared" si="46"/>
        <v>0</v>
      </c>
      <c r="P79" s="21">
        <f t="shared" si="46"/>
        <v>0</v>
      </c>
      <c r="Q79" s="21">
        <f t="shared" si="46"/>
        <v>0</v>
      </c>
      <c r="R79" s="21">
        <f t="shared" si="46"/>
        <v>0</v>
      </c>
      <c r="S79" s="21">
        <f t="shared" si="46"/>
        <v>0</v>
      </c>
      <c r="T79" s="21">
        <f t="shared" si="46"/>
        <v>0</v>
      </c>
      <c r="U79" s="21">
        <f t="shared" ref="U79" si="47">U37-U38-U39</f>
        <v>0</v>
      </c>
    </row>
    <row r="80" spans="1:24">
      <c r="B80" t="s">
        <v>457</v>
      </c>
      <c r="K80" s="192">
        <f>K49-K50-K58-K64-K66</f>
        <v>0</v>
      </c>
      <c r="L80" s="21">
        <f t="shared" ref="L80:T80" si="48">L49-L50-L58-L64-L66</f>
        <v>0</v>
      </c>
      <c r="M80" s="21">
        <f t="shared" si="48"/>
        <v>-1000000</v>
      </c>
      <c r="N80" s="21">
        <f>N49-N50-N58-N64-N66</f>
        <v>0</v>
      </c>
      <c r="O80" s="21">
        <f t="shared" si="48"/>
        <v>-1000000</v>
      </c>
      <c r="P80" s="21">
        <f>P49-P50-P58-P64-P66</f>
        <v>-1000000</v>
      </c>
      <c r="Q80" s="192">
        <f>Q49-Q50-Q58-Q64-Q66</f>
        <v>0</v>
      </c>
      <c r="R80" s="21">
        <f>R49-R50-R58-R64-R66</f>
        <v>1000000</v>
      </c>
      <c r="S80" s="21">
        <f t="shared" si="48"/>
        <v>-176000000</v>
      </c>
      <c r="T80" s="21">
        <f t="shared" si="48"/>
        <v>0</v>
      </c>
      <c r="U80" s="21">
        <f t="shared" ref="U80" si="49">U49-U50-U58-U64-U66</f>
        <v>0</v>
      </c>
    </row>
    <row r="81" spans="2:24">
      <c r="B81" t="s">
        <v>5654</v>
      </c>
      <c r="K81" s="192">
        <f>K50-K51-K54-K55-K56-K57</f>
        <v>0</v>
      </c>
      <c r="L81" s="21">
        <f t="shared" ref="L81:T81" si="50">L50-L51-L54-L55-L56-L57</f>
        <v>0</v>
      </c>
      <c r="M81" s="21">
        <f t="shared" si="50"/>
        <v>0</v>
      </c>
      <c r="N81" s="21">
        <f t="shared" si="50"/>
        <v>0</v>
      </c>
      <c r="O81" s="21">
        <f t="shared" si="50"/>
        <v>1000000</v>
      </c>
      <c r="P81" s="21">
        <f t="shared" si="50"/>
        <v>0</v>
      </c>
      <c r="Q81" s="21">
        <f t="shared" si="50"/>
        <v>0</v>
      </c>
      <c r="R81" s="21">
        <f t="shared" si="50"/>
        <v>-1000000</v>
      </c>
      <c r="S81" s="21">
        <f t="shared" si="50"/>
        <v>0</v>
      </c>
      <c r="T81" s="21">
        <f t="shared" si="50"/>
        <v>0</v>
      </c>
      <c r="U81" s="21">
        <f t="shared" ref="U81" si="51">U50-U51-U54-U55-U56-U57</f>
        <v>0</v>
      </c>
    </row>
    <row r="82" spans="2:24">
      <c r="B82" t="s">
        <v>5742</v>
      </c>
      <c r="K82" s="21">
        <f>K51-K52-K53</f>
        <v>0</v>
      </c>
      <c r="L82" s="21">
        <f t="shared" ref="L82:T82" si="52">L51-L52-L53</f>
        <v>0</v>
      </c>
      <c r="M82" s="21">
        <f t="shared" si="52"/>
        <v>0</v>
      </c>
      <c r="N82" s="21">
        <f t="shared" si="52"/>
        <v>0</v>
      </c>
      <c r="O82" s="21">
        <f t="shared" si="52"/>
        <v>0</v>
      </c>
      <c r="P82" s="21">
        <f t="shared" si="52"/>
        <v>0</v>
      </c>
      <c r="Q82" s="21">
        <f t="shared" si="52"/>
        <v>0</v>
      </c>
      <c r="R82" s="21">
        <f t="shared" si="52"/>
        <v>0</v>
      </c>
      <c r="S82" s="21">
        <f t="shared" si="52"/>
        <v>0</v>
      </c>
      <c r="T82" s="21">
        <f t="shared" si="52"/>
        <v>0</v>
      </c>
      <c r="U82" s="21">
        <f t="shared" ref="U82" si="53">U51-U52-U53</f>
        <v>0</v>
      </c>
    </row>
    <row r="83" spans="2:24">
      <c r="B83" t="s">
        <v>297</v>
      </c>
      <c r="K83" s="21">
        <f>K58-K59-K63</f>
        <v>-1000000</v>
      </c>
      <c r="L83" s="21">
        <f t="shared" ref="L83:T83" si="54">L58-L59-L63</f>
        <v>0</v>
      </c>
      <c r="M83" s="21">
        <f t="shared" si="54"/>
        <v>0</v>
      </c>
      <c r="N83" s="21">
        <f t="shared" si="54"/>
        <v>0</v>
      </c>
      <c r="O83" s="21">
        <f t="shared" si="54"/>
        <v>0</v>
      </c>
      <c r="P83" s="21">
        <f t="shared" si="54"/>
        <v>1000000</v>
      </c>
      <c r="Q83" s="21">
        <f t="shared" si="54"/>
        <v>0</v>
      </c>
      <c r="R83" s="21">
        <f t="shared" si="54"/>
        <v>0</v>
      </c>
      <c r="S83" s="21">
        <f t="shared" si="54"/>
        <v>0</v>
      </c>
      <c r="T83" s="21">
        <f t="shared" si="54"/>
        <v>0</v>
      </c>
      <c r="U83" s="21">
        <f t="shared" ref="U83" si="55">U58-U59-U63</f>
        <v>0</v>
      </c>
    </row>
    <row r="84" spans="2:24" ht="15.75" thickBot="1">
      <c r="J84" s="21"/>
    </row>
    <row r="85" spans="2:24" ht="15.75" thickBot="1">
      <c r="B85" t="s">
        <v>1040</v>
      </c>
      <c r="K85" s="47">
        <v>6926000000</v>
      </c>
      <c r="L85" s="48">
        <v>9147000000</v>
      </c>
      <c r="M85" s="48">
        <v>11533000000</v>
      </c>
      <c r="N85" s="48">
        <v>11705000000</v>
      </c>
      <c r="O85" s="48">
        <v>13196000000</v>
      </c>
      <c r="P85" s="48">
        <v>15544000000</v>
      </c>
      <c r="Q85" s="50">
        <v>17015000000</v>
      </c>
      <c r="R85" s="50">
        <v>18102000000</v>
      </c>
      <c r="S85" s="50">
        <v>19212000000</v>
      </c>
      <c r="T85" s="50">
        <v>20408000000</v>
      </c>
      <c r="U85" s="50">
        <v>20408000001</v>
      </c>
      <c r="V85" s="50"/>
      <c r="W85" s="50"/>
      <c r="X85" s="144"/>
    </row>
    <row r="86" spans="2:24">
      <c r="B86" t="s">
        <v>151</v>
      </c>
      <c r="K86">
        <f>(K6/K85)*100</f>
        <v>31.966503032053133</v>
      </c>
      <c r="L86">
        <f t="shared" ref="L86:T86" si="56">(L6/L85)*100</f>
        <v>34.874822346124411</v>
      </c>
      <c r="M86">
        <f t="shared" si="56"/>
        <v>36.954825283967743</v>
      </c>
      <c r="N86">
        <f t="shared" si="56"/>
        <v>35.096112772319522</v>
      </c>
      <c r="O86">
        <f t="shared" si="56"/>
        <v>37.996362534101245</v>
      </c>
      <c r="P86">
        <f t="shared" si="56"/>
        <v>38.754503345342258</v>
      </c>
      <c r="Q86">
        <f t="shared" si="56"/>
        <v>35.915368792242141</v>
      </c>
      <c r="R86">
        <f t="shared" si="56"/>
        <v>35.123190807645564</v>
      </c>
      <c r="S86">
        <f t="shared" si="56"/>
        <v>32.667083073079326</v>
      </c>
      <c r="T86">
        <f t="shared" si="56"/>
        <v>35.314582516660131</v>
      </c>
      <c r="U86">
        <f t="shared" ref="U86" si="57">(U6/U85)*100</f>
        <v>36.495491962147419</v>
      </c>
    </row>
    <row r="87" spans="2:24">
      <c r="B87" t="s">
        <v>152</v>
      </c>
      <c r="K87">
        <f>(K23/K85)*100</f>
        <v>40.571758590817211</v>
      </c>
      <c r="L87">
        <f t="shared" ref="L87:T87" si="58">(L23/L85)*100</f>
        <v>38.078058379796651</v>
      </c>
      <c r="M87">
        <f t="shared" si="58"/>
        <v>31.7870458683777</v>
      </c>
      <c r="N87">
        <f t="shared" si="58"/>
        <v>32.592909013242206</v>
      </c>
      <c r="O87">
        <f t="shared" si="58"/>
        <v>35.533494998484386</v>
      </c>
      <c r="P87">
        <f t="shared" si="58"/>
        <v>36.554297478126607</v>
      </c>
      <c r="Q87">
        <f t="shared" si="58"/>
        <v>35.915368792242141</v>
      </c>
      <c r="R87">
        <f t="shared" si="58"/>
        <v>32.957684233786324</v>
      </c>
      <c r="S87">
        <f t="shared" si="58"/>
        <v>0</v>
      </c>
      <c r="T87">
        <f t="shared" si="58"/>
        <v>0</v>
      </c>
      <c r="U87">
        <f t="shared" ref="U87" si="59">(U23/U85)*100</f>
        <v>0</v>
      </c>
    </row>
    <row r="88" spans="2:24">
      <c r="B88" s="401" t="s">
        <v>3474</v>
      </c>
      <c r="K88" s="312" t="b">
        <f>IF(K40&lt;0, (K40/K23)*100)</f>
        <v>0</v>
      </c>
      <c r="L88" t="b">
        <f t="shared" ref="L88:T88" si="60">IF(L40&lt;0, (L40/L23)*100)</f>
        <v>0</v>
      </c>
      <c r="M88" s="401" t="b">
        <f>IF(M40&lt;0, (M40/M23)*100)</f>
        <v>0</v>
      </c>
      <c r="N88" s="401" t="b">
        <f>IF(N40&lt;0, (N40/N23)*100)</f>
        <v>0</v>
      </c>
      <c r="O88" t="b">
        <f t="shared" si="60"/>
        <v>0</v>
      </c>
      <c r="P88" t="b">
        <f t="shared" si="60"/>
        <v>0</v>
      </c>
      <c r="Q88" t="b">
        <f>IF(Q40&lt;0, (Q40/Q23)*100)</f>
        <v>0</v>
      </c>
      <c r="R88" t="b">
        <f t="shared" si="60"/>
        <v>0</v>
      </c>
      <c r="S88" t="b">
        <f t="shared" si="60"/>
        <v>0</v>
      </c>
      <c r="T88" t="b">
        <f t="shared" si="60"/>
        <v>0</v>
      </c>
      <c r="U88" t="b">
        <f t="shared" ref="U88" si="61">IF(U40&lt;0, (U40/U23)*100)</f>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N36" activePane="bottomRight" state="frozen"/>
      <selection pane="topRight" activeCell="D1" sqref="D1"/>
      <selection pane="bottomLeft" activeCell="A6" sqref="A6"/>
      <selection pane="bottomRight" activeCell="L47" sqref="L47:Q47"/>
    </sheetView>
  </sheetViews>
  <sheetFormatPr defaultRowHeight="15"/>
  <cols>
    <col min="1" max="1" width="26.28515625" style="1027" customWidth="1"/>
    <col min="2" max="2" width="54" style="1027" customWidth="1"/>
    <col min="3" max="3" width="22.42578125" style="1027" bestFit="1" customWidth="1"/>
    <col min="4" max="13" width="24.140625" style="1027" bestFit="1" customWidth="1"/>
    <col min="14" max="19" width="25.5703125" style="1027" bestFit="1" customWidth="1"/>
    <col min="20" max="21" width="21.7109375" style="1027" bestFit="1" customWidth="1"/>
    <col min="22" max="22" width="21.42578125" style="1027" bestFit="1" customWidth="1"/>
    <col min="23" max="23" width="21.7109375" style="1027" bestFit="1" customWidth="1"/>
    <col min="24" max="24" width="20.42578125" style="1027" customWidth="1"/>
    <col min="25" max="25" width="21.28515625" style="1027" bestFit="1" customWidth="1"/>
    <col min="26" max="26" width="16.85546875" customWidth="1"/>
  </cols>
  <sheetData>
    <row r="1" spans="1:50">
      <c r="A1" s="924" t="s">
        <v>5743</v>
      </c>
      <c r="B1" s="964" t="s">
        <v>5744</v>
      </c>
      <c r="C1" s="964"/>
      <c r="D1" s="1024"/>
      <c r="E1" s="1024"/>
      <c r="F1" s="1024"/>
      <c r="G1" s="1024"/>
      <c r="H1" s="1024"/>
      <c r="I1" s="1024"/>
      <c r="J1" s="1024"/>
      <c r="K1" s="1024"/>
      <c r="L1" s="1024"/>
      <c r="M1" s="1024"/>
      <c r="N1" s="1024"/>
      <c r="O1" s="1025"/>
      <c r="P1" s="1025"/>
      <c r="Q1" s="1025"/>
      <c r="R1" s="1026"/>
      <c r="S1" s="1025"/>
      <c r="T1" s="1025"/>
      <c r="U1" s="1025"/>
      <c r="V1" s="1025"/>
      <c r="W1" s="1025"/>
    </row>
    <row r="2" spans="1:50">
      <c r="B2" s="1028" t="s">
        <v>5745</v>
      </c>
      <c r="C2" s="1028"/>
      <c r="D2" s="1025"/>
      <c r="E2" s="1025"/>
      <c r="F2" s="1025"/>
      <c r="G2" s="1025"/>
      <c r="H2" s="1025"/>
      <c r="I2" s="1025"/>
      <c r="J2" s="1025"/>
      <c r="K2" s="1025"/>
      <c r="L2" s="1025"/>
      <c r="M2" s="1025"/>
      <c r="N2" s="1025"/>
      <c r="O2" s="1025"/>
      <c r="P2" s="1025"/>
      <c r="Q2" s="1025"/>
      <c r="R2" s="1029"/>
      <c r="S2" s="1030"/>
      <c r="T2" s="1031"/>
      <c r="U2" s="1025"/>
      <c r="V2" s="1025"/>
      <c r="W2" s="1025"/>
    </row>
    <row r="3" spans="1:50">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row>
    <row r="4" spans="1:50">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3185</v>
      </c>
    </row>
    <row r="5" spans="1:50">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31</v>
      </c>
      <c r="S5" s="1025" t="s">
        <v>30</v>
      </c>
      <c r="T5" s="1025" t="s">
        <v>4808</v>
      </c>
      <c r="U5" s="1025" t="s">
        <v>32</v>
      </c>
      <c r="V5" s="1025" t="s">
        <v>32</v>
      </c>
      <c r="W5" s="1025" t="s">
        <v>32</v>
      </c>
      <c r="X5" s="1025" t="s">
        <v>32</v>
      </c>
      <c r="Y5" s="1040" t="s">
        <v>32</v>
      </c>
    </row>
    <row r="6" spans="1:50" s="848" customFormat="1">
      <c r="A6" s="1096" t="s">
        <v>33</v>
      </c>
      <c r="B6" s="1096" t="s">
        <v>2747</v>
      </c>
      <c r="C6" s="1096" t="s">
        <v>35</v>
      </c>
      <c r="D6" s="1097">
        <f>D8+D21</f>
        <v>267431000000</v>
      </c>
      <c r="E6" s="1097">
        <f t="shared" ref="E6:N6" si="0">E8+E21</f>
        <v>312737000000</v>
      </c>
      <c r="F6" s="1097">
        <f t="shared" si="0"/>
        <v>411295000000</v>
      </c>
      <c r="G6" s="1097">
        <f t="shared" si="0"/>
        <v>482529000000</v>
      </c>
      <c r="H6" s="1097">
        <f t="shared" si="0"/>
        <v>646147000000</v>
      </c>
      <c r="I6" s="1097">
        <f t="shared" si="0"/>
        <v>807656000000</v>
      </c>
      <c r="J6" s="1097">
        <f t="shared" si="0"/>
        <v>1409612000000</v>
      </c>
      <c r="K6" s="1097">
        <f t="shared" si="0"/>
        <v>2186123000000</v>
      </c>
      <c r="L6" s="1097">
        <f t="shared" si="0"/>
        <v>935000000000</v>
      </c>
      <c r="M6" s="1097">
        <f t="shared" si="0"/>
        <v>1249000000000</v>
      </c>
      <c r="N6" s="1097">
        <f t="shared" si="0"/>
        <v>1562000000000</v>
      </c>
      <c r="O6" s="1098">
        <f>O8+O21</f>
        <v>2169000000000</v>
      </c>
      <c r="P6" s="1098">
        <f t="shared" ref="P6" si="1">P8+P21</f>
        <v>2508000000000</v>
      </c>
      <c r="Q6" s="1098">
        <v>2828000000000</v>
      </c>
      <c r="R6" s="1098">
        <v>3185000000000</v>
      </c>
      <c r="S6" s="1098">
        <v>3495000000000</v>
      </c>
      <c r="T6" s="1098">
        <v>3615000000000</v>
      </c>
      <c r="U6" s="1098">
        <v>4553000000000</v>
      </c>
      <c r="V6" s="1098">
        <v>5436000000000</v>
      </c>
      <c r="W6" s="1098">
        <v>6547000000000</v>
      </c>
      <c r="X6" s="1098">
        <v>7814000000000</v>
      </c>
      <c r="Y6" s="1098">
        <v>9111000000000</v>
      </c>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ht="16.5">
      <c r="A7" s="1034" t="s">
        <v>76</v>
      </c>
      <c r="B7" s="1034" t="s">
        <v>2747</v>
      </c>
      <c r="D7" s="1036">
        <f>D9+D21</f>
        <v>258282000000</v>
      </c>
      <c r="E7" s="1036">
        <f t="shared" ref="E7:K7" si="2">E9+E21</f>
        <v>302692000000</v>
      </c>
      <c r="F7" s="1036">
        <f t="shared" si="2"/>
        <v>400027000000</v>
      </c>
      <c r="G7" s="1036">
        <f t="shared" si="2"/>
        <v>467000000000</v>
      </c>
      <c r="H7" s="1036">
        <f t="shared" si="2"/>
        <v>616342000000</v>
      </c>
      <c r="I7" s="1036">
        <f t="shared" si="2"/>
        <v>767851000000</v>
      </c>
      <c r="J7" s="1036">
        <f t="shared" si="2"/>
        <v>1351172000000</v>
      </c>
      <c r="K7" s="1036">
        <f t="shared" si="2"/>
        <v>2129337000000</v>
      </c>
      <c r="L7" s="1099">
        <v>934000000000</v>
      </c>
      <c r="M7" s="1099">
        <v>1250000000000</v>
      </c>
      <c r="N7" s="1099">
        <v>1561000000000</v>
      </c>
      <c r="O7" s="1100">
        <v>2171000000000</v>
      </c>
      <c r="P7" s="1100">
        <v>2506000000000</v>
      </c>
      <c r="Q7" s="1100"/>
      <c r="R7" s="1100"/>
      <c r="S7" s="1100"/>
      <c r="T7" s="1100"/>
      <c r="U7" s="1100"/>
      <c r="V7" s="1100"/>
      <c r="W7" s="1033"/>
      <c r="X7" s="1033"/>
      <c r="Y7" s="1033"/>
      <c r="Z7" s="14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034" t="s">
        <v>36</v>
      </c>
      <c r="B8" s="1034" t="s">
        <v>824</v>
      </c>
      <c r="C8" s="1035" t="s">
        <v>38</v>
      </c>
      <c r="D8" s="1036">
        <f>D10+D20</f>
        <v>161324000000</v>
      </c>
      <c r="E8" s="1036">
        <f t="shared" ref="E8:P8" si="3">E10+E20</f>
        <v>217714000000</v>
      </c>
      <c r="F8" s="1036">
        <f t="shared" si="3"/>
        <v>249959000000</v>
      </c>
      <c r="G8" s="1036">
        <f t="shared" si="3"/>
        <v>303186000000</v>
      </c>
      <c r="H8" s="1036">
        <f t="shared" si="3"/>
        <v>386771000000</v>
      </c>
      <c r="I8" s="1036">
        <f t="shared" si="3"/>
        <v>455786000000</v>
      </c>
      <c r="J8" s="1036">
        <f t="shared" si="3"/>
        <v>554084000000</v>
      </c>
      <c r="K8" s="1036">
        <f t="shared" si="3"/>
        <v>593650000000</v>
      </c>
      <c r="L8" s="1036">
        <f t="shared" si="3"/>
        <v>670000000000</v>
      </c>
      <c r="M8" s="1036">
        <f t="shared" si="3"/>
        <v>749000000000</v>
      </c>
      <c r="N8" s="1036">
        <f t="shared" si="3"/>
        <v>1018000000000</v>
      </c>
      <c r="O8" s="1042">
        <f t="shared" si="3"/>
        <v>1460000000000</v>
      </c>
      <c r="P8" s="1042">
        <f t="shared" si="3"/>
        <v>1875000000000</v>
      </c>
      <c r="Q8" s="1042">
        <v>2280000000000</v>
      </c>
      <c r="R8" s="1042">
        <v>2226000000000</v>
      </c>
      <c r="S8" s="1042">
        <v>2330000000000</v>
      </c>
      <c r="T8" s="1042">
        <v>2889000000000</v>
      </c>
      <c r="U8" s="1042">
        <v>3754000000000</v>
      </c>
      <c r="V8" s="1042">
        <v>4707000000000</v>
      </c>
      <c r="W8" s="1033">
        <v>5775000000000</v>
      </c>
      <c r="X8" s="1033">
        <v>6976000000000</v>
      </c>
      <c r="Y8" s="1033">
        <v>8162000000000</v>
      </c>
      <c r="Z8" s="142"/>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27" t="s">
        <v>76</v>
      </c>
      <c r="B9" s="1034" t="s">
        <v>36</v>
      </c>
      <c r="D9" s="1099">
        <v>152175000000</v>
      </c>
      <c r="E9" s="1099">
        <v>207669000000</v>
      </c>
      <c r="F9" s="1099">
        <v>238691000000</v>
      </c>
      <c r="G9" s="1099">
        <v>287657000000</v>
      </c>
      <c r="H9" s="1099">
        <v>356966000000</v>
      </c>
      <c r="I9" s="1099">
        <v>415981000000</v>
      </c>
      <c r="J9" s="1099">
        <v>495644000000</v>
      </c>
      <c r="K9" s="1099">
        <v>536864000000</v>
      </c>
      <c r="L9" s="1099">
        <v>670000000000</v>
      </c>
      <c r="M9" s="1099">
        <v>749000000000</v>
      </c>
      <c r="N9" s="1099">
        <v>1017000000000</v>
      </c>
      <c r="O9" s="1100">
        <v>1462000000000</v>
      </c>
      <c r="P9" s="1100">
        <v>1874000000000</v>
      </c>
      <c r="Q9" s="1100"/>
      <c r="R9" s="1100"/>
      <c r="S9" s="1100"/>
      <c r="T9" s="1100"/>
      <c r="U9" s="1100"/>
      <c r="V9" s="1100"/>
      <c r="W9" s="1033"/>
      <c r="X9" s="1033"/>
      <c r="Y9" s="1033"/>
      <c r="Z9" s="142"/>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ht="16.5">
      <c r="A10" s="1037" t="s">
        <v>39</v>
      </c>
      <c r="B10" s="1037" t="s">
        <v>2792</v>
      </c>
      <c r="C10" s="1035" t="s">
        <v>41</v>
      </c>
      <c r="D10" s="1101">
        <f>D12+D13+D14+D15+D16+D17+D18+D19</f>
        <v>144315000000</v>
      </c>
      <c r="E10" s="1101">
        <f t="shared" ref="E10:N10" si="4">E12+E13+E14+E15+E16+E17+E18+E19</f>
        <v>202621000000</v>
      </c>
      <c r="F10" s="1101">
        <f t="shared" si="4"/>
        <v>234738000000</v>
      </c>
      <c r="G10" s="1101">
        <f t="shared" si="4"/>
        <v>283489000000</v>
      </c>
      <c r="H10" s="1101">
        <f t="shared" si="4"/>
        <v>349074000000</v>
      </c>
      <c r="I10" s="1101">
        <f t="shared" si="4"/>
        <v>390226000000</v>
      </c>
      <c r="J10" s="1101">
        <f t="shared" si="4"/>
        <v>475181000000</v>
      </c>
      <c r="K10" s="1101">
        <f t="shared" si="4"/>
        <v>511323000000</v>
      </c>
      <c r="L10" s="1099">
        <f t="shared" si="4"/>
        <v>590000000000</v>
      </c>
      <c r="M10" s="1099">
        <f t="shared" si="4"/>
        <v>660000000000</v>
      </c>
      <c r="N10" s="1099">
        <f t="shared" si="4"/>
        <v>926000000000</v>
      </c>
      <c r="O10" s="1102">
        <f>O12+O13+O14+O15+O16+O17+O18+O19</f>
        <v>1380000000000</v>
      </c>
      <c r="P10" s="1102">
        <f t="shared" ref="P10" si="5">P12+P13+P14+P15+P16+P17+P18+P19</f>
        <v>1769000000000</v>
      </c>
      <c r="Q10" s="1102">
        <v>2111000000000</v>
      </c>
      <c r="R10" s="1102">
        <v>2081000000000</v>
      </c>
      <c r="S10" s="1102">
        <v>2167000000000</v>
      </c>
      <c r="T10" s="1102">
        <v>2716000000000</v>
      </c>
      <c r="U10" s="1102">
        <v>3473000000000</v>
      </c>
      <c r="V10" s="1102">
        <v>4388000000000</v>
      </c>
      <c r="W10" s="1102">
        <v>5385000000000</v>
      </c>
      <c r="X10" s="1102">
        <v>6537000000000</v>
      </c>
      <c r="Y10" s="1102">
        <v>7669000000000</v>
      </c>
      <c r="Z10" s="142"/>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ht="16.5">
      <c r="A11" s="1027" t="s">
        <v>76</v>
      </c>
      <c r="B11" s="1037" t="s">
        <v>2792</v>
      </c>
      <c r="D11" s="1099">
        <v>135166000000</v>
      </c>
      <c r="E11" s="1099">
        <v>192576000000</v>
      </c>
      <c r="F11" s="1099">
        <v>223470000000</v>
      </c>
      <c r="G11" s="1099">
        <v>267960000000</v>
      </c>
      <c r="H11" s="1099">
        <v>319269000000</v>
      </c>
      <c r="I11" s="1099">
        <v>350421000000</v>
      </c>
      <c r="J11" s="1099">
        <v>416742000000</v>
      </c>
      <c r="K11" s="1099">
        <v>454537000000</v>
      </c>
      <c r="L11" s="1099">
        <v>589000000000</v>
      </c>
      <c r="M11" s="1099">
        <v>660000000000</v>
      </c>
      <c r="N11" s="1099">
        <v>925000000000</v>
      </c>
      <c r="O11" s="1100">
        <v>1383000000000</v>
      </c>
      <c r="P11" s="1100">
        <v>1767000000000</v>
      </c>
      <c r="Q11" s="1100"/>
      <c r="R11" s="1100"/>
      <c r="S11" s="1100"/>
      <c r="T11" s="1100"/>
      <c r="U11" s="1100"/>
      <c r="V11" s="1100"/>
      <c r="W11" s="1033"/>
      <c r="X11" s="1033"/>
      <c r="Y11" s="1033"/>
      <c r="Z11" s="142"/>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ht="16.5">
      <c r="A12" s="1039" t="s">
        <v>170</v>
      </c>
      <c r="B12" s="1039" t="s">
        <v>5746</v>
      </c>
      <c r="C12" s="1027" t="s">
        <v>44</v>
      </c>
      <c r="D12" s="1099">
        <v>23314000000</v>
      </c>
      <c r="E12" s="1099">
        <v>33703000000</v>
      </c>
      <c r="F12" s="1099">
        <v>32525000000</v>
      </c>
      <c r="G12" s="1099">
        <v>34468000000</v>
      </c>
      <c r="H12" s="1099">
        <v>46341000000</v>
      </c>
      <c r="I12" s="1099">
        <v>48458000000</v>
      </c>
      <c r="J12" s="1099">
        <v>57749000000</v>
      </c>
      <c r="K12" s="1099">
        <v>74075000000</v>
      </c>
      <c r="L12" s="1099">
        <v>110000000000</v>
      </c>
      <c r="M12" s="1099">
        <v>183000000000</v>
      </c>
      <c r="N12" s="1099">
        <v>204000000000</v>
      </c>
      <c r="O12" s="1100">
        <v>393000000000</v>
      </c>
      <c r="P12" s="1100">
        <v>571000000000</v>
      </c>
      <c r="Q12" s="1100">
        <v>657000000000</v>
      </c>
      <c r="R12" s="1100">
        <v>618000000000</v>
      </c>
      <c r="S12" s="1100">
        <v>650000000000</v>
      </c>
      <c r="T12" s="1100">
        <v>936000000000</v>
      </c>
      <c r="U12" s="1100">
        <v>889000000000</v>
      </c>
      <c r="V12" s="1100">
        <v>1069000000000</v>
      </c>
      <c r="W12" s="1033">
        <v>1287000000000</v>
      </c>
      <c r="X12" s="1033">
        <v>1581000000000</v>
      </c>
      <c r="Y12" s="1033">
        <v>1923000000000</v>
      </c>
      <c r="Z12" s="142"/>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ht="16.5">
      <c r="A13" s="1039" t="s">
        <v>1504</v>
      </c>
      <c r="B13" s="1039" t="s">
        <v>5747</v>
      </c>
      <c r="C13" s="1027" t="s">
        <v>44</v>
      </c>
      <c r="D13" s="1099">
        <v>15929000000</v>
      </c>
      <c r="E13" s="1099">
        <v>19994000000</v>
      </c>
      <c r="F13" s="1099">
        <v>29117000000</v>
      </c>
      <c r="G13" s="1099">
        <v>38578000000</v>
      </c>
      <c r="H13" s="1099">
        <v>47622000000</v>
      </c>
      <c r="I13" s="1099">
        <v>61696000000</v>
      </c>
      <c r="J13" s="1099">
        <v>64656000000</v>
      </c>
      <c r="K13" s="1099">
        <v>51366000000</v>
      </c>
      <c r="L13" s="1099">
        <v>62000000000</v>
      </c>
      <c r="M13" s="1103">
        <v>0</v>
      </c>
      <c r="N13" s="1099">
        <v>88000000000</v>
      </c>
      <c r="O13" s="1100">
        <v>73000000000</v>
      </c>
      <c r="P13" s="1100">
        <v>203000000000</v>
      </c>
      <c r="Q13" s="1100">
        <v>267000000000</v>
      </c>
      <c r="R13" s="1100">
        <v>270000000000</v>
      </c>
      <c r="S13" s="1100">
        <v>245000000000</v>
      </c>
      <c r="T13" s="1100">
        <v>324000000000</v>
      </c>
      <c r="U13" s="1100">
        <v>379000000000</v>
      </c>
      <c r="V13" s="1100">
        <v>504000000000</v>
      </c>
      <c r="W13" s="1033">
        <v>657000000000</v>
      </c>
      <c r="X13" s="1033">
        <v>854000000000</v>
      </c>
      <c r="Y13" s="1033">
        <v>984000000000</v>
      </c>
      <c r="Z13" s="142"/>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ht="16.5">
      <c r="A14" s="1027" t="s">
        <v>47</v>
      </c>
      <c r="B14" s="1039" t="s">
        <v>5748</v>
      </c>
      <c r="C14" s="1027" t="s">
        <v>44</v>
      </c>
      <c r="D14" s="1099">
        <v>27908000000</v>
      </c>
      <c r="E14" s="1099">
        <v>43751000000</v>
      </c>
      <c r="F14" s="1099">
        <v>51154000000</v>
      </c>
      <c r="G14" s="1099">
        <v>63742000000</v>
      </c>
      <c r="H14" s="1099">
        <v>85257000000</v>
      </c>
      <c r="I14" s="1099">
        <v>103501000000</v>
      </c>
      <c r="J14" s="1099">
        <v>139280000000</v>
      </c>
      <c r="K14" s="1099">
        <v>113378000000</v>
      </c>
      <c r="L14" s="1099">
        <v>0</v>
      </c>
      <c r="M14" s="1099">
        <v>0</v>
      </c>
      <c r="N14" s="1099">
        <v>246000000000</v>
      </c>
      <c r="O14" s="1100">
        <v>351000000000</v>
      </c>
      <c r="P14" s="1100">
        <v>419000000000</v>
      </c>
      <c r="Q14" s="1100">
        <v>440000000000</v>
      </c>
      <c r="R14" s="1100">
        <v>459000000000</v>
      </c>
      <c r="S14" s="1100">
        <v>593000000000</v>
      </c>
      <c r="T14" s="1100">
        <v>666000000000</v>
      </c>
      <c r="U14" s="1100">
        <v>849000000000</v>
      </c>
      <c r="V14" s="1100">
        <v>1160000000000</v>
      </c>
      <c r="W14" s="1033">
        <v>1499000000000</v>
      </c>
      <c r="X14" s="1033">
        <v>1804000000000</v>
      </c>
      <c r="Y14" s="1033">
        <v>2139000000000</v>
      </c>
      <c r="Z14" s="142"/>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1039" t="s">
        <v>5749</v>
      </c>
      <c r="B15" s="1039" t="s">
        <v>5750</v>
      </c>
      <c r="C15" s="1027" t="s">
        <v>44</v>
      </c>
      <c r="D15" s="1103">
        <v>0</v>
      </c>
      <c r="E15" s="1103">
        <v>0</v>
      </c>
      <c r="F15" s="1103">
        <v>0</v>
      </c>
      <c r="G15" s="1103">
        <v>0</v>
      </c>
      <c r="H15" s="1103">
        <v>0</v>
      </c>
      <c r="I15" s="1103">
        <v>0</v>
      </c>
      <c r="J15" s="1103">
        <v>0</v>
      </c>
      <c r="K15" s="1103">
        <v>0</v>
      </c>
      <c r="L15" s="1099">
        <f>(123+14)*1000000000</f>
        <v>137000000000</v>
      </c>
      <c r="M15" s="1099">
        <v>141000000000</v>
      </c>
      <c r="N15" s="1099">
        <v>0</v>
      </c>
      <c r="O15" s="1102">
        <v>0</v>
      </c>
      <c r="P15" s="1102">
        <v>0</v>
      </c>
      <c r="Q15" s="1102"/>
      <c r="R15" s="1102"/>
      <c r="S15" s="1102"/>
      <c r="T15" s="1042"/>
      <c r="U15" s="1042"/>
      <c r="V15" s="1042"/>
      <c r="W15" s="1033"/>
      <c r="X15" s="1033"/>
      <c r="Y15" s="1033"/>
      <c r="Z15" s="142"/>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ht="16.5">
      <c r="A16" s="1041" t="s">
        <v>553</v>
      </c>
      <c r="B16" s="1039" t="s">
        <v>553</v>
      </c>
      <c r="C16" s="1027" t="s">
        <v>44</v>
      </c>
      <c r="D16" s="1103">
        <v>0</v>
      </c>
      <c r="E16" s="1103">
        <v>0</v>
      </c>
      <c r="F16" s="1103">
        <v>0</v>
      </c>
      <c r="G16" s="1103">
        <v>0</v>
      </c>
      <c r="H16" s="1103">
        <v>0</v>
      </c>
      <c r="I16" s="1103">
        <v>0</v>
      </c>
      <c r="J16" s="1103">
        <v>0</v>
      </c>
      <c r="K16" s="1103">
        <v>0</v>
      </c>
      <c r="L16" s="1099">
        <v>70000000000</v>
      </c>
      <c r="M16" s="1099">
        <v>107000000000</v>
      </c>
      <c r="N16" s="1099">
        <v>143000000000</v>
      </c>
      <c r="O16" s="1100">
        <v>55000000000</v>
      </c>
      <c r="P16" s="1100">
        <v>99000000000</v>
      </c>
      <c r="Q16" s="1100">
        <v>221000000000</v>
      </c>
      <c r="R16" s="1100">
        <v>222000000000</v>
      </c>
      <c r="S16" s="1100">
        <v>216000000000</v>
      </c>
      <c r="T16" s="1100">
        <v>184000000000</v>
      </c>
      <c r="U16" s="1100">
        <v>496000000000</v>
      </c>
      <c r="V16" s="1100">
        <v>416000000000</v>
      </c>
      <c r="W16" s="1033">
        <v>446000000000</v>
      </c>
      <c r="X16" s="1033">
        <v>481000000000</v>
      </c>
      <c r="Y16" s="1033">
        <v>521000000000</v>
      </c>
      <c r="Z16" s="142"/>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ht="16.5">
      <c r="A17" s="1039" t="s">
        <v>1584</v>
      </c>
      <c r="B17" s="1039" t="s">
        <v>5751</v>
      </c>
      <c r="C17" s="1027" t="s">
        <v>44</v>
      </c>
      <c r="D17" s="1099">
        <v>75917000000</v>
      </c>
      <c r="E17" s="1099">
        <v>104475000000</v>
      </c>
      <c r="F17" s="1099">
        <v>120703000000</v>
      </c>
      <c r="G17" s="1099">
        <v>144166000000</v>
      </c>
      <c r="H17" s="1099">
        <v>166137000000</v>
      </c>
      <c r="I17" s="1099">
        <v>172283000000</v>
      </c>
      <c r="J17" s="1099">
        <v>197994000000</v>
      </c>
      <c r="K17" s="1099">
        <v>251772000000</v>
      </c>
      <c r="L17" s="1099">
        <v>161000000000</v>
      </c>
      <c r="M17" s="1099">
        <v>170000000000</v>
      </c>
      <c r="N17" s="1099">
        <v>190000000000</v>
      </c>
      <c r="O17" s="1100">
        <v>282000000000</v>
      </c>
      <c r="P17" s="1100">
        <v>237000000000</v>
      </c>
      <c r="Q17" s="1100">
        <v>269000000000</v>
      </c>
      <c r="R17" s="1100">
        <v>285000000000</v>
      </c>
      <c r="S17" s="1100">
        <v>329000000000</v>
      </c>
      <c r="T17" s="1100">
        <v>382000000000</v>
      </c>
      <c r="U17" s="1100">
        <v>514000000000</v>
      </c>
      <c r="V17" s="1100">
        <v>729000000000</v>
      </c>
      <c r="W17" s="1033">
        <v>882000000000</v>
      </c>
      <c r="X17" s="1033">
        <v>1074000000000</v>
      </c>
      <c r="Y17" s="1033">
        <v>1235000000000</v>
      </c>
      <c r="Z17" s="142"/>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ht="16.5">
      <c r="A18" s="1039" t="s">
        <v>5753</v>
      </c>
      <c r="B18" s="1039" t="s">
        <v>5754</v>
      </c>
      <c r="C18" s="1027" t="s">
        <v>44</v>
      </c>
      <c r="D18" s="1103">
        <v>0</v>
      </c>
      <c r="E18" s="1103">
        <v>0</v>
      </c>
      <c r="F18" s="1103">
        <v>0</v>
      </c>
      <c r="G18" s="1103">
        <v>0</v>
      </c>
      <c r="H18" s="1103">
        <v>0</v>
      </c>
      <c r="I18" s="1103">
        <v>0</v>
      </c>
      <c r="J18" s="1103">
        <v>0</v>
      </c>
      <c r="K18" s="1103">
        <v>0</v>
      </c>
      <c r="L18" s="1099">
        <v>19000000000</v>
      </c>
      <c r="M18" s="1099">
        <v>20000000000</v>
      </c>
      <c r="N18" s="1099">
        <v>24000000000</v>
      </c>
      <c r="O18" s="1100">
        <v>202000000000</v>
      </c>
      <c r="P18" s="1100">
        <v>222000000000</v>
      </c>
      <c r="Q18" s="1100">
        <v>235000000000</v>
      </c>
      <c r="R18" s="1100">
        <v>187000000000</v>
      </c>
      <c r="S18" s="1100">
        <v>87000000000</v>
      </c>
      <c r="T18" s="1100">
        <v>156000000000</v>
      </c>
      <c r="U18" s="1100">
        <v>256000000000</v>
      </c>
      <c r="V18" s="1100">
        <v>400000000000</v>
      </c>
      <c r="W18" s="1033">
        <v>469000000000</v>
      </c>
      <c r="X18" s="1033">
        <v>554000000000</v>
      </c>
      <c r="Y18" s="1033">
        <v>635000000000</v>
      </c>
      <c r="Z18" s="142"/>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ht="16.5">
      <c r="A19" s="1039" t="s">
        <v>49</v>
      </c>
      <c r="B19" s="1039" t="s">
        <v>5755</v>
      </c>
      <c r="C19" s="1027" t="s">
        <v>44</v>
      </c>
      <c r="D19" s="1099">
        <v>1247000000</v>
      </c>
      <c r="E19" s="1099">
        <v>698000000</v>
      </c>
      <c r="F19" s="1099">
        <v>1239000000</v>
      </c>
      <c r="G19" s="1099">
        <v>2535000000</v>
      </c>
      <c r="H19" s="1099">
        <v>3717000000</v>
      </c>
      <c r="I19" s="1099">
        <v>4288000000</v>
      </c>
      <c r="J19" s="1099">
        <v>15502000000</v>
      </c>
      <c r="K19" s="1099">
        <v>20732000000</v>
      </c>
      <c r="L19" s="1099">
        <v>31000000000</v>
      </c>
      <c r="M19" s="1099">
        <v>39000000000</v>
      </c>
      <c r="N19" s="1099">
        <v>31000000000</v>
      </c>
      <c r="O19" s="1100">
        <v>24000000000</v>
      </c>
      <c r="P19" s="1100">
        <v>18000000000</v>
      </c>
      <c r="Q19" s="1100">
        <v>23000000000</v>
      </c>
      <c r="R19" s="1100">
        <v>40000000000</v>
      </c>
      <c r="S19" s="1100">
        <v>47000000000</v>
      </c>
      <c r="T19" s="1100">
        <v>68000000000</v>
      </c>
      <c r="U19" s="1100">
        <v>89000000000</v>
      </c>
      <c r="V19" s="1100">
        <v>110000000000</v>
      </c>
      <c r="W19" s="1033">
        <v>145000000000</v>
      </c>
      <c r="X19" s="1033">
        <v>190000000000</v>
      </c>
      <c r="Y19" s="1033">
        <v>233000000000</v>
      </c>
      <c r="Z19" s="142"/>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41" t="s">
        <v>51</v>
      </c>
      <c r="B20" s="1037" t="s">
        <v>376</v>
      </c>
      <c r="C20" s="1035" t="s">
        <v>41</v>
      </c>
      <c r="D20" s="1099">
        <v>17009000000</v>
      </c>
      <c r="E20" s="1099">
        <v>15093000000</v>
      </c>
      <c r="F20" s="1099">
        <v>15221000000</v>
      </c>
      <c r="G20" s="1099">
        <v>19697000000</v>
      </c>
      <c r="H20" s="1099">
        <v>37697000000</v>
      </c>
      <c r="I20" s="1099">
        <v>65560000000</v>
      </c>
      <c r="J20" s="1099">
        <v>78903000000</v>
      </c>
      <c r="K20" s="1099">
        <v>82327000000</v>
      </c>
      <c r="L20" s="1099">
        <v>80000000000</v>
      </c>
      <c r="M20" s="1099">
        <v>89000000000</v>
      </c>
      <c r="N20" s="1099">
        <v>92000000000</v>
      </c>
      <c r="O20" s="1100">
        <v>80000000000</v>
      </c>
      <c r="P20" s="1100">
        <v>106000000000</v>
      </c>
      <c r="Q20" s="1100">
        <v>169000000000</v>
      </c>
      <c r="R20" s="1100">
        <v>146000000000</v>
      </c>
      <c r="S20" s="1100">
        <v>163000000000</v>
      </c>
      <c r="T20" s="1100">
        <v>173000000000</v>
      </c>
      <c r="U20" s="1100">
        <v>281000000000</v>
      </c>
      <c r="V20" s="1100">
        <v>320000000000</v>
      </c>
      <c r="W20" s="1033">
        <v>391000000000</v>
      </c>
      <c r="X20" s="1033">
        <v>439000000000</v>
      </c>
      <c r="Y20" s="1033">
        <v>493000000000</v>
      </c>
      <c r="Z20" s="142"/>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15" customFormat="1" ht="16.5">
      <c r="A21" s="1073" t="s">
        <v>53</v>
      </c>
      <c r="B21" s="1073" t="s">
        <v>53</v>
      </c>
      <c r="C21" s="1104" t="s">
        <v>38</v>
      </c>
      <c r="D21" s="1105">
        <v>106107000000</v>
      </c>
      <c r="E21" s="1105">
        <v>95023000000</v>
      </c>
      <c r="F21" s="1105">
        <v>161336000000</v>
      </c>
      <c r="G21" s="1105">
        <v>179343000000</v>
      </c>
      <c r="H21" s="1105">
        <v>259376000000</v>
      </c>
      <c r="I21" s="1105">
        <v>351870000000</v>
      </c>
      <c r="J21" s="1105">
        <v>855528000000</v>
      </c>
      <c r="K21" s="1105">
        <v>1592473000000</v>
      </c>
      <c r="L21" s="1105">
        <v>265000000000</v>
      </c>
      <c r="M21" s="1105">
        <v>500000000000</v>
      </c>
      <c r="N21" s="1105">
        <v>544000000000</v>
      </c>
      <c r="O21" s="1106">
        <v>709000000000</v>
      </c>
      <c r="P21" s="1106">
        <v>633000000000</v>
      </c>
      <c r="Q21" s="1106">
        <v>548000000000</v>
      </c>
      <c r="R21" s="1106">
        <v>959000000000</v>
      </c>
      <c r="S21" s="1106">
        <v>1165000000000</v>
      </c>
      <c r="T21" s="1106">
        <v>727000000000</v>
      </c>
      <c r="U21" s="1106">
        <v>800000000000</v>
      </c>
      <c r="V21" s="1106">
        <v>728000000000</v>
      </c>
      <c r="W21" s="1074">
        <v>772000000000</v>
      </c>
      <c r="X21" s="1074">
        <v>838000000000</v>
      </c>
      <c r="Y21" s="1074">
        <v>948000000000</v>
      </c>
      <c r="Z21" s="343"/>
      <c r="AA21" s="628"/>
      <c r="AB21" s="628"/>
      <c r="AC21" s="628"/>
      <c r="AD21" s="628"/>
      <c r="AE21" s="628"/>
      <c r="AF21" s="628"/>
      <c r="AG21" s="628"/>
      <c r="AH21" s="628"/>
      <c r="AI21" s="628"/>
      <c r="AJ21" s="628"/>
      <c r="AK21" s="628"/>
      <c r="AL21" s="628"/>
      <c r="AM21" s="628"/>
      <c r="AN21" s="628"/>
      <c r="AO21" s="628"/>
      <c r="AP21" s="628"/>
      <c r="AQ21" s="628"/>
      <c r="AR21" s="628"/>
      <c r="AS21" s="628"/>
      <c r="AT21" s="628"/>
      <c r="AU21" s="628"/>
      <c r="AV21" s="628"/>
      <c r="AW21" s="628"/>
      <c r="AX21" s="628"/>
    </row>
    <row r="22" spans="1:50" ht="16.5">
      <c r="A22" s="1041" t="s">
        <v>886</v>
      </c>
      <c r="B22" s="1037" t="s">
        <v>3037</v>
      </c>
      <c r="C22" s="1107" t="s">
        <v>57</v>
      </c>
      <c r="D22" s="1103"/>
      <c r="E22" s="1103"/>
      <c r="F22" s="1103"/>
      <c r="G22" s="1103"/>
      <c r="H22" s="1103"/>
      <c r="I22" s="1103"/>
      <c r="J22" s="1103"/>
      <c r="K22" s="1103"/>
      <c r="L22" s="1099">
        <v>115000000000</v>
      </c>
      <c r="M22" s="1099">
        <v>290000000000</v>
      </c>
      <c r="N22" s="1099">
        <v>244000000000</v>
      </c>
      <c r="O22" s="1100">
        <v>220000000000</v>
      </c>
      <c r="P22" s="1100">
        <v>204000000000</v>
      </c>
      <c r="Q22" s="1100">
        <v>170000000000</v>
      </c>
      <c r="R22" s="1100">
        <v>656000000000</v>
      </c>
      <c r="S22" s="1100">
        <v>645000000000</v>
      </c>
      <c r="T22" s="1100">
        <v>193000000000</v>
      </c>
      <c r="U22" s="1100">
        <v>348000000000</v>
      </c>
      <c r="V22" s="1100">
        <v>391000000000</v>
      </c>
      <c r="W22" s="1033">
        <v>402000000000</v>
      </c>
      <c r="X22" s="1033">
        <v>487000000000</v>
      </c>
      <c r="Y22" s="1033">
        <v>554000000000</v>
      </c>
      <c r="Z22" s="142"/>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s="1034" t="s">
        <v>50</v>
      </c>
      <c r="B23" s="1034" t="s">
        <v>50</v>
      </c>
      <c r="C23" s="1107" t="s">
        <v>57</v>
      </c>
      <c r="D23" s="1103"/>
      <c r="E23" s="1103"/>
      <c r="F23" s="1103"/>
      <c r="G23" s="1103"/>
      <c r="H23" s="1103"/>
      <c r="I23" s="1103"/>
      <c r="J23" s="1103"/>
      <c r="K23" s="1103"/>
      <c r="L23" s="1100">
        <f t="shared" ref="L23:N23" si="6">L21-L22-L24</f>
        <v>29000000000</v>
      </c>
      <c r="M23" s="1100">
        <f t="shared" si="6"/>
        <v>24000000000</v>
      </c>
      <c r="N23" s="1100">
        <f t="shared" si="6"/>
        <v>23000000000</v>
      </c>
      <c r="O23" s="1100">
        <f>O21-O22-O24</f>
        <v>61000000000</v>
      </c>
      <c r="P23" s="1100">
        <f>P21-P22-P24</f>
        <v>127000000000</v>
      </c>
      <c r="Q23" s="1100"/>
      <c r="R23" s="1100"/>
      <c r="S23" s="1100"/>
      <c r="T23" s="1100"/>
      <c r="U23" s="1100"/>
      <c r="V23" s="1100"/>
      <c r="W23" s="1033"/>
      <c r="X23" s="1033"/>
      <c r="Y23" s="1033"/>
      <c r="Z23" s="142"/>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1041" t="s">
        <v>564</v>
      </c>
      <c r="B24" s="1037" t="s">
        <v>3038</v>
      </c>
      <c r="C24" s="1107" t="s">
        <v>57</v>
      </c>
      <c r="D24" s="1103"/>
      <c r="E24" s="1103"/>
      <c r="F24" s="1103"/>
      <c r="G24" s="1103"/>
      <c r="H24" s="1103"/>
      <c r="I24" s="1103"/>
      <c r="J24" s="1103"/>
      <c r="K24" s="1099"/>
      <c r="L24" s="1099">
        <v>121000000000</v>
      </c>
      <c r="M24" s="1099">
        <v>186000000000</v>
      </c>
      <c r="N24" s="1099">
        <v>277000000000</v>
      </c>
      <c r="O24" s="1100">
        <v>428000000000</v>
      </c>
      <c r="P24" s="1100">
        <v>302000000000</v>
      </c>
      <c r="Q24" s="1100">
        <v>378000000000</v>
      </c>
      <c r="R24" s="1100">
        <v>303000000000</v>
      </c>
      <c r="S24" s="1100">
        <v>519000000000</v>
      </c>
      <c r="T24" s="1100">
        <v>534000000000</v>
      </c>
      <c r="U24" s="1100">
        <v>452000000000</v>
      </c>
      <c r="V24" s="1100">
        <v>338000000000</v>
      </c>
      <c r="W24" s="1033">
        <v>370000000000</v>
      </c>
      <c r="X24" s="1033">
        <v>351000000000</v>
      </c>
      <c r="Y24" s="1033">
        <v>394000000000</v>
      </c>
      <c r="Z24" s="142"/>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ht="16.5">
      <c r="A25" s="1041"/>
      <c r="B25" s="1037" t="s">
        <v>5756</v>
      </c>
      <c r="C25" s="1107"/>
      <c r="D25" s="1103"/>
      <c r="E25" s="1103"/>
      <c r="F25" s="1103"/>
      <c r="G25" s="1103"/>
      <c r="H25" s="1103"/>
      <c r="I25" s="1103"/>
      <c r="J25" s="1103"/>
      <c r="K25" s="1099"/>
      <c r="L25" s="1099"/>
      <c r="M25" s="1099"/>
      <c r="N25" s="1099"/>
      <c r="O25" s="1100"/>
      <c r="P25" s="1100"/>
      <c r="Q25" s="1100">
        <v>0</v>
      </c>
      <c r="R25" s="1100">
        <v>30000000000</v>
      </c>
      <c r="S25" s="1100">
        <v>11000000000</v>
      </c>
      <c r="T25" s="1100">
        <v>9000000000</v>
      </c>
      <c r="U25" s="1100">
        <v>83000000000</v>
      </c>
      <c r="V25" s="1100">
        <v>-29000000000</v>
      </c>
      <c r="W25" s="1033">
        <v>0</v>
      </c>
      <c r="X25" s="1033">
        <v>0</v>
      </c>
      <c r="Y25" s="1033">
        <v>0</v>
      </c>
      <c r="Z25" s="142"/>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s="848" customFormat="1" ht="16.5">
      <c r="A26" s="1108" t="s">
        <v>71</v>
      </c>
      <c r="B26" s="1108" t="s">
        <v>72</v>
      </c>
      <c r="C26" s="1096" t="s">
        <v>35</v>
      </c>
      <c r="D26" s="1109">
        <f>D28+D37+D38+D42+D41</f>
        <v>382343000000</v>
      </c>
      <c r="E26" s="1109">
        <f t="shared" ref="E26:Y26" si="7">E28+E37+E38+E42+E41</f>
        <v>442760000000</v>
      </c>
      <c r="F26" s="1109">
        <f t="shared" si="7"/>
        <v>562268000000</v>
      </c>
      <c r="G26" s="1109">
        <f t="shared" si="7"/>
        <v>597999000000</v>
      </c>
      <c r="H26" s="1109">
        <f t="shared" si="7"/>
        <v>688092000000</v>
      </c>
      <c r="I26" s="1109">
        <f t="shared" si="7"/>
        <v>863828000000</v>
      </c>
      <c r="J26" s="1109">
        <f t="shared" si="7"/>
        <v>957510000000</v>
      </c>
      <c r="K26" s="1109">
        <f t="shared" si="7"/>
        <v>876588000000</v>
      </c>
      <c r="L26" s="1109">
        <f t="shared" si="7"/>
        <v>1207000000000</v>
      </c>
      <c r="M26" s="1109">
        <f t="shared" si="7"/>
        <v>1452000000000</v>
      </c>
      <c r="N26" s="1109">
        <f t="shared" si="7"/>
        <v>2073000000000</v>
      </c>
      <c r="O26" s="1110">
        <f t="shared" si="7"/>
        <v>2752000000000</v>
      </c>
      <c r="P26" s="1110">
        <f t="shared" si="7"/>
        <v>3358000000000</v>
      </c>
      <c r="Q26" s="1110">
        <f>Q28+Q37+Q38+Q42+Q41</f>
        <v>3337000000000</v>
      </c>
      <c r="R26" s="1110">
        <f t="shared" si="7"/>
        <v>4057000000000</v>
      </c>
      <c r="S26" s="1110">
        <f t="shared" si="7"/>
        <v>4476000000000</v>
      </c>
      <c r="T26" s="1110">
        <f>T28+T37+T38+T42+T41</f>
        <v>5671000000000</v>
      </c>
      <c r="U26" s="1110">
        <f t="shared" si="7"/>
        <v>6280000000000</v>
      </c>
      <c r="V26" s="1110">
        <f t="shared" si="7"/>
        <v>7254000000000</v>
      </c>
      <c r="W26" s="1110">
        <f t="shared" si="7"/>
        <v>8392000000000</v>
      </c>
      <c r="X26" s="1110">
        <f t="shared" si="7"/>
        <v>9922000000000</v>
      </c>
      <c r="Y26" s="1110">
        <f t="shared" si="7"/>
        <v>11496000000000</v>
      </c>
      <c r="Z26" s="1094"/>
      <c r="AA26" s="916"/>
      <c r="AB26" s="916"/>
      <c r="AC26" s="916"/>
      <c r="AD26" s="916"/>
      <c r="AE26" s="916"/>
      <c r="AF26" s="916"/>
      <c r="AG26" s="916"/>
      <c r="AH26" s="916"/>
      <c r="AI26" s="916"/>
      <c r="AJ26" s="916"/>
      <c r="AK26" s="916"/>
      <c r="AL26" s="916"/>
      <c r="AM26" s="916"/>
      <c r="AN26" s="916"/>
      <c r="AO26" s="916"/>
      <c r="AP26" s="916"/>
      <c r="AQ26" s="916"/>
      <c r="AR26" s="916"/>
      <c r="AS26" s="916"/>
      <c r="AT26" s="916"/>
      <c r="AU26" s="916"/>
      <c r="AV26" s="916"/>
      <c r="AW26" s="916"/>
      <c r="AX26" s="916"/>
    </row>
    <row r="27" spans="1:50" ht="16.5">
      <c r="A27" s="996" t="s">
        <v>76</v>
      </c>
      <c r="B27" s="1034" t="s">
        <v>5757</v>
      </c>
      <c r="D27" s="1099">
        <v>382344000000</v>
      </c>
      <c r="E27" s="1099">
        <v>442760000000</v>
      </c>
      <c r="F27" s="1099">
        <v>562252000000</v>
      </c>
      <c r="G27" s="1099">
        <v>597999000000</v>
      </c>
      <c r="H27" s="1099">
        <v>688092000000</v>
      </c>
      <c r="I27" s="1099">
        <v>863828000000</v>
      </c>
      <c r="J27" s="1099">
        <v>957510000000</v>
      </c>
      <c r="K27" s="1099">
        <v>876588000000</v>
      </c>
      <c r="L27" s="1099">
        <v>1207000000000</v>
      </c>
      <c r="M27" s="1099">
        <v>1452000000000</v>
      </c>
      <c r="N27" s="1099">
        <v>2074000000000</v>
      </c>
      <c r="O27" s="1100">
        <v>2752000000000</v>
      </c>
      <c r="P27" s="1100">
        <v>3358000000000</v>
      </c>
      <c r="Q27" s="1100">
        <v>3169000000000</v>
      </c>
      <c r="R27" s="1100">
        <v>4016000000000</v>
      </c>
      <c r="S27" s="1100">
        <v>4476000000000</v>
      </c>
      <c r="T27" s="1100">
        <v>5519000000000</v>
      </c>
      <c r="U27" s="1100">
        <v>6280000000000</v>
      </c>
      <c r="V27" s="1100">
        <v>7254000000000</v>
      </c>
      <c r="W27" s="1033">
        <v>8393000000000</v>
      </c>
      <c r="X27" s="1033">
        <v>9922000000000</v>
      </c>
      <c r="Y27" s="1033">
        <v>11496000000000</v>
      </c>
      <c r="Z27" s="142"/>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ht="16.5">
      <c r="A28" s="1040" t="s">
        <v>73</v>
      </c>
      <c r="B28" s="1034" t="s">
        <v>5758</v>
      </c>
      <c r="C28" s="1035" t="s">
        <v>75</v>
      </c>
      <c r="D28" s="1099">
        <v>301831000000</v>
      </c>
      <c r="E28" s="1099">
        <v>371132000000</v>
      </c>
      <c r="F28" s="1099">
        <f>F29+F30+F31+F36+F33</f>
        <v>474827000000</v>
      </c>
      <c r="G28" s="1099">
        <v>485368000000</v>
      </c>
      <c r="H28" s="1099">
        <v>555046000000</v>
      </c>
      <c r="I28" s="1099">
        <v>656253000000</v>
      </c>
      <c r="J28" s="1099">
        <v>741254000000</v>
      </c>
      <c r="K28" s="1099">
        <v>699899000000</v>
      </c>
      <c r="L28" s="1099">
        <v>848000000000</v>
      </c>
      <c r="M28" s="1099">
        <v>1000000000000</v>
      </c>
      <c r="N28" s="1099">
        <v>1286000000000</v>
      </c>
      <c r="O28" s="1100">
        <v>1603000000000</v>
      </c>
      <c r="P28" s="1100">
        <v>2095000000000</v>
      </c>
      <c r="Q28" s="1100">
        <v>2185000000000</v>
      </c>
      <c r="R28" s="1100">
        <f>R29+R30+R31+R32+R33</f>
        <v>2714000000000</v>
      </c>
      <c r="S28" s="1100">
        <v>2803000000000</v>
      </c>
      <c r="T28" s="1100">
        <v>3553000000000</v>
      </c>
      <c r="U28" s="1100">
        <v>4145000000000</v>
      </c>
      <c r="V28" s="1100">
        <v>4854000000000</v>
      </c>
      <c r="W28" s="1033">
        <v>5453000000000</v>
      </c>
      <c r="X28" s="1033">
        <v>6373000000000</v>
      </c>
      <c r="Y28" s="1033">
        <v>7241000000000</v>
      </c>
      <c r="Z28" s="142"/>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ht="16.5">
      <c r="A29" s="1041" t="s">
        <v>79</v>
      </c>
      <c r="B29" s="1037" t="s">
        <v>2801</v>
      </c>
      <c r="C29" s="1035" t="s">
        <v>81</v>
      </c>
      <c r="D29" s="1099">
        <v>89495000000</v>
      </c>
      <c r="E29" s="1099">
        <v>110981000000</v>
      </c>
      <c r="F29" s="1099">
        <v>126492000000</v>
      </c>
      <c r="G29" s="1099">
        <v>152003000000</v>
      </c>
      <c r="H29" s="1099">
        <v>178751000000</v>
      </c>
      <c r="I29" s="1099">
        <v>229440000000</v>
      </c>
      <c r="J29" s="1099">
        <v>271531000000</v>
      </c>
      <c r="K29" s="1099">
        <v>296509000000</v>
      </c>
      <c r="L29" s="1099">
        <v>334000000000</v>
      </c>
      <c r="M29" s="1099">
        <v>402000000000</v>
      </c>
      <c r="N29" s="1099">
        <v>536000000000</v>
      </c>
      <c r="O29" s="1100">
        <v>681000000000</v>
      </c>
      <c r="P29" s="1100">
        <v>936000000000</v>
      </c>
      <c r="Q29" s="1100">
        <v>1060000000000</v>
      </c>
      <c r="R29" s="1100">
        <v>1446000000000</v>
      </c>
      <c r="S29" s="1100">
        <v>1587000000000</v>
      </c>
      <c r="T29" s="1100">
        <v>1818000000000</v>
      </c>
      <c r="U29" s="1100">
        <v>1825000000000</v>
      </c>
      <c r="V29" s="1100">
        <v>1976000000000</v>
      </c>
      <c r="W29" s="1033">
        <v>2277000000000</v>
      </c>
      <c r="X29" s="1033">
        <v>2630000000000</v>
      </c>
      <c r="Y29" s="1033">
        <v>3030000000000</v>
      </c>
      <c r="Z29" s="142"/>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1041" t="s">
        <v>83</v>
      </c>
      <c r="B30" s="1037" t="s">
        <v>2807</v>
      </c>
      <c r="C30" s="1035" t="s">
        <v>81</v>
      </c>
      <c r="D30" s="1099">
        <v>116904000000</v>
      </c>
      <c r="E30" s="1099">
        <v>164327000000</v>
      </c>
      <c r="F30" s="1099">
        <v>212728000000</v>
      </c>
      <c r="G30" s="1099">
        <v>222088000000</v>
      </c>
      <c r="H30" s="1099">
        <v>191172000000</v>
      </c>
      <c r="I30" s="1099">
        <v>202468000000</v>
      </c>
      <c r="J30" s="1099">
        <v>205484000000</v>
      </c>
      <c r="K30" s="1099">
        <v>157273000000</v>
      </c>
      <c r="L30" s="1099">
        <v>285000000000</v>
      </c>
      <c r="M30" s="1099">
        <v>350000000000</v>
      </c>
      <c r="N30" s="1099">
        <v>426000000000</v>
      </c>
      <c r="O30" s="1100">
        <v>396000000000</v>
      </c>
      <c r="P30" s="1100">
        <v>464000000000</v>
      </c>
      <c r="Q30" s="1100">
        <v>520000000000</v>
      </c>
      <c r="R30" s="1100">
        <v>681000000000</v>
      </c>
      <c r="S30" s="1100">
        <v>700000000000</v>
      </c>
      <c r="T30" s="1100">
        <v>1139000000000</v>
      </c>
      <c r="U30" s="1100">
        <v>1046000000000</v>
      </c>
      <c r="V30" s="1100">
        <v>1262000000000</v>
      </c>
      <c r="W30" s="1033">
        <v>1398000000000</v>
      </c>
      <c r="X30" s="1033">
        <v>1629000000000</v>
      </c>
      <c r="Y30" s="1033">
        <v>1770000000000</v>
      </c>
      <c r="Z30" s="142"/>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ht="16.5">
      <c r="A31" s="1041" t="s">
        <v>85</v>
      </c>
      <c r="B31" s="1037" t="s">
        <v>5759</v>
      </c>
      <c r="C31" s="1035" t="s">
        <v>81</v>
      </c>
      <c r="D31" s="1099">
        <v>11518000000</v>
      </c>
      <c r="E31" s="1099">
        <v>14801000000</v>
      </c>
      <c r="F31" s="1099">
        <v>30809000000</v>
      </c>
      <c r="G31" s="1099">
        <v>27506000000</v>
      </c>
      <c r="H31" s="1099">
        <v>55559000000</v>
      </c>
      <c r="I31" s="1099">
        <v>63233000000</v>
      </c>
      <c r="J31" s="1099">
        <v>102230000000</v>
      </c>
      <c r="K31" s="1099">
        <v>95023000000</v>
      </c>
      <c r="L31" s="1099">
        <v>109000000000</v>
      </c>
      <c r="M31" s="1099">
        <v>145000000000</v>
      </c>
      <c r="N31" s="1099">
        <v>165000000000</v>
      </c>
      <c r="O31" s="1100">
        <v>275000000000</v>
      </c>
      <c r="P31" s="1100">
        <v>406000000000</v>
      </c>
      <c r="Q31" s="1100">
        <v>304000000000</v>
      </c>
      <c r="R31" s="1100">
        <v>313000000000</v>
      </c>
      <c r="S31" s="1100">
        <v>342000000000</v>
      </c>
      <c r="T31" s="1100">
        <v>395000000000</v>
      </c>
      <c r="U31" s="1100">
        <v>678000000000</v>
      </c>
      <c r="V31" s="1100">
        <v>658000000000</v>
      </c>
      <c r="W31" s="1033">
        <v>669000000000</v>
      </c>
      <c r="X31" s="1033">
        <v>803000000000</v>
      </c>
      <c r="Y31" s="1033">
        <v>913000000000</v>
      </c>
      <c r="Z31" s="142"/>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ht="16.5">
      <c r="A32" s="1037" t="s">
        <v>5760</v>
      </c>
      <c r="B32" s="1037" t="s">
        <v>5760</v>
      </c>
      <c r="C32" s="1035" t="s">
        <v>81</v>
      </c>
      <c r="D32" s="1099"/>
      <c r="E32" s="1099"/>
      <c r="F32" s="1099"/>
      <c r="G32" s="1099"/>
      <c r="H32" s="1099"/>
      <c r="I32" s="1099"/>
      <c r="J32" s="1099"/>
      <c r="K32" s="1099"/>
      <c r="L32" s="1099"/>
      <c r="M32" s="1099"/>
      <c r="N32" s="1099"/>
      <c r="O32" s="1100"/>
      <c r="P32" s="1100">
        <v>0</v>
      </c>
      <c r="Q32" s="1100">
        <v>0</v>
      </c>
      <c r="R32" s="1100">
        <v>52000000000</v>
      </c>
      <c r="S32" s="1100">
        <v>0</v>
      </c>
      <c r="T32" s="1100">
        <v>0</v>
      </c>
      <c r="U32" s="1100">
        <v>0</v>
      </c>
      <c r="V32" s="1100">
        <v>0</v>
      </c>
      <c r="W32" s="1033">
        <v>0</v>
      </c>
      <c r="X32" s="1033">
        <v>0</v>
      </c>
      <c r="Y32" s="1033">
        <v>0</v>
      </c>
      <c r="Z32" s="142"/>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s="1041" t="s">
        <v>90</v>
      </c>
      <c r="B33" s="1037" t="s">
        <v>91</v>
      </c>
      <c r="C33" s="1035" t="s">
        <v>81</v>
      </c>
      <c r="D33" s="1099">
        <v>83915000000</v>
      </c>
      <c r="E33" s="1099">
        <v>72796000000</v>
      </c>
      <c r="F33" s="1099">
        <v>104798000000</v>
      </c>
      <c r="G33" s="1099">
        <v>83771000000</v>
      </c>
      <c r="H33" s="1099">
        <v>129564000000</v>
      </c>
      <c r="I33" s="1099">
        <v>125588000000</v>
      </c>
      <c r="J33" s="1099">
        <v>162009000000</v>
      </c>
      <c r="K33" s="1099">
        <v>112144000000</v>
      </c>
      <c r="L33" s="1099">
        <v>120000000000</v>
      </c>
      <c r="M33" s="1099">
        <v>103000000000</v>
      </c>
      <c r="N33" s="1099">
        <v>159000000000</v>
      </c>
      <c r="O33" s="1100">
        <v>250000000000</v>
      </c>
      <c r="P33" s="1100">
        <v>288000000000</v>
      </c>
      <c r="Q33" s="1100">
        <v>301000000000</v>
      </c>
      <c r="R33" s="1100">
        <v>222000000000</v>
      </c>
      <c r="S33" s="1100">
        <v>175000000000</v>
      </c>
      <c r="T33" s="1100">
        <v>202000000000</v>
      </c>
      <c r="U33" s="1100">
        <v>596000000000</v>
      </c>
      <c r="V33" s="1100">
        <v>959000000000</v>
      </c>
      <c r="W33" s="1033">
        <v>1110000000000</v>
      </c>
      <c r="X33" s="1033">
        <v>1311000000000</v>
      </c>
      <c r="Y33" s="1033">
        <v>1527000000000</v>
      </c>
      <c r="Z33" s="142"/>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s="1039" t="s">
        <v>209</v>
      </c>
      <c r="B34" s="1039" t="s">
        <v>209</v>
      </c>
      <c r="C34" s="1035" t="s">
        <v>211</v>
      </c>
      <c r="D34" s="1099">
        <v>50459000000</v>
      </c>
      <c r="E34" s="1099">
        <v>44263000000</v>
      </c>
      <c r="F34" s="1099">
        <v>51020000000</v>
      </c>
      <c r="G34" s="1099">
        <v>64316000000</v>
      </c>
      <c r="H34" s="1099">
        <v>103708000000</v>
      </c>
      <c r="I34" s="1099">
        <v>94658000000</v>
      </c>
      <c r="J34" s="1099">
        <v>89084000000</v>
      </c>
      <c r="K34" s="1099">
        <v>96258000000</v>
      </c>
      <c r="L34" s="1099">
        <v>109000000000</v>
      </c>
      <c r="M34" s="1099">
        <v>89000000000</v>
      </c>
      <c r="N34" s="1099">
        <v>142000000000</v>
      </c>
      <c r="O34" s="1100">
        <v>226000000000</v>
      </c>
      <c r="P34" s="1100">
        <v>253000000000</v>
      </c>
      <c r="Q34" s="1100">
        <v>266000000000</v>
      </c>
      <c r="R34" s="1100">
        <v>182000000000</v>
      </c>
      <c r="S34" s="1100">
        <v>135000000000</v>
      </c>
      <c r="T34" s="1100">
        <v>141000000000</v>
      </c>
      <c r="U34" s="1100">
        <v>520000000000</v>
      </c>
      <c r="V34" s="1100">
        <v>833000000000</v>
      </c>
      <c r="W34" s="1033">
        <v>938000000000</v>
      </c>
      <c r="X34" s="1033">
        <v>1056000000000</v>
      </c>
      <c r="Y34" s="1033">
        <v>1188000000000</v>
      </c>
      <c r="Z34" s="142"/>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1039" t="s">
        <v>212</v>
      </c>
      <c r="B35" s="1039" t="s">
        <v>212</v>
      </c>
      <c r="C35" s="1035" t="s">
        <v>211</v>
      </c>
      <c r="D35" s="1099">
        <v>33456000000</v>
      </c>
      <c r="E35" s="1099">
        <v>28533000000</v>
      </c>
      <c r="F35" s="1099">
        <v>53778000000</v>
      </c>
      <c r="G35" s="1099">
        <v>19455000000</v>
      </c>
      <c r="H35" s="1099">
        <v>25855000000</v>
      </c>
      <c r="I35" s="1099">
        <v>30931000000</v>
      </c>
      <c r="J35" s="1099">
        <v>72925000000</v>
      </c>
      <c r="K35" s="1099">
        <v>15886000000</v>
      </c>
      <c r="L35" s="1099">
        <v>12000000000</v>
      </c>
      <c r="M35" s="1099">
        <v>14000000000</v>
      </c>
      <c r="N35" s="1099">
        <v>17000000000</v>
      </c>
      <c r="O35" s="1100">
        <v>24000000000</v>
      </c>
      <c r="P35" s="1100">
        <v>35000000000</v>
      </c>
      <c r="Q35" s="1100">
        <v>35000000000</v>
      </c>
      <c r="R35" s="1100">
        <v>40000000000</v>
      </c>
      <c r="S35" s="1100">
        <v>40000000000</v>
      </c>
      <c r="T35" s="1100">
        <v>61000000000</v>
      </c>
      <c r="U35" s="1100">
        <v>76000000000</v>
      </c>
      <c r="V35" s="1100">
        <v>126000000000</v>
      </c>
      <c r="W35" s="1033">
        <v>172000000000</v>
      </c>
      <c r="X35" s="1033">
        <v>255000000000</v>
      </c>
      <c r="Y35" s="1033">
        <v>339000000000</v>
      </c>
      <c r="Z35" s="142"/>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1037" t="s">
        <v>3792</v>
      </c>
      <c r="B36" s="1037" t="s">
        <v>1862</v>
      </c>
      <c r="C36" s="1035" t="s">
        <v>81</v>
      </c>
      <c r="D36" s="1099"/>
      <c r="E36" s="1101">
        <f>E28-E29-E30-E31-E33</f>
        <v>8227000000</v>
      </c>
      <c r="F36" s="1101"/>
      <c r="G36" s="1101">
        <f>G28-G29-G30-G31-G33</f>
        <v>0</v>
      </c>
      <c r="H36" s="1101">
        <f>H28-H29-H30-H31-H33</f>
        <v>0</v>
      </c>
      <c r="I36" s="1101">
        <f>I28-I29-I30-I31-I33</f>
        <v>35524000000</v>
      </c>
      <c r="J36" s="1101">
        <f>J28-J29-J30-J31-J33</f>
        <v>0</v>
      </c>
      <c r="K36" s="1101">
        <f>K28-K29-K30-K31-K33</f>
        <v>38950000000</v>
      </c>
      <c r="L36" s="1099"/>
      <c r="M36" s="1099"/>
      <c r="N36" s="1099"/>
      <c r="O36" s="1102"/>
      <c r="P36" s="1102"/>
      <c r="Q36" s="1102"/>
      <c r="R36" s="1100"/>
      <c r="S36" s="1100"/>
      <c r="T36" s="1042"/>
      <c r="U36" s="1042"/>
      <c r="V36" s="1042"/>
      <c r="W36" s="1033"/>
      <c r="X36" s="1033"/>
      <c r="Y36" s="1033"/>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ht="16.5">
      <c r="A37" s="1034" t="s">
        <v>5761</v>
      </c>
      <c r="B37" s="1034" t="s">
        <v>5762</v>
      </c>
      <c r="C37" s="1035" t="s">
        <v>75</v>
      </c>
      <c r="D37" s="1099">
        <v>80512000000</v>
      </c>
      <c r="E37" s="1099">
        <v>71628000000</v>
      </c>
      <c r="F37" s="1099">
        <v>87441000000</v>
      </c>
      <c r="G37" s="1099">
        <v>112631000000</v>
      </c>
      <c r="H37" s="1099">
        <v>133046000000</v>
      </c>
      <c r="I37" s="1099">
        <v>207575000000</v>
      </c>
      <c r="J37" s="1099">
        <v>216256000000</v>
      </c>
      <c r="K37" s="1099">
        <v>176689000000</v>
      </c>
      <c r="L37" s="1099">
        <v>0</v>
      </c>
      <c r="M37" s="1099">
        <v>0</v>
      </c>
      <c r="N37" s="1099">
        <v>0</v>
      </c>
      <c r="O37" s="1102">
        <v>0</v>
      </c>
      <c r="P37" s="1102">
        <v>0</v>
      </c>
      <c r="Q37" s="1102"/>
      <c r="R37" s="1100"/>
      <c r="S37" s="1102"/>
      <c r="T37" s="1042"/>
      <c r="U37" s="1042"/>
      <c r="V37" s="1042"/>
      <c r="W37" s="1033"/>
      <c r="X37" s="1033"/>
      <c r="Y37" s="1033"/>
      <c r="Z37" s="142"/>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ht="16.5">
      <c r="A38" s="1034" t="s">
        <v>237</v>
      </c>
      <c r="B38" s="1034" t="s">
        <v>5763</v>
      </c>
      <c r="C38" s="1035" t="s">
        <v>75</v>
      </c>
      <c r="D38" s="1103"/>
      <c r="E38" s="1103"/>
      <c r="F38" s="1103"/>
      <c r="G38" s="1103"/>
      <c r="H38" s="1103"/>
      <c r="I38" s="1103"/>
      <c r="J38" s="1103"/>
      <c r="K38" s="1103"/>
      <c r="L38" s="1099">
        <v>359000000000</v>
      </c>
      <c r="M38" s="1099">
        <v>452000000000</v>
      </c>
      <c r="N38" s="1099">
        <v>787000000000</v>
      </c>
      <c r="O38" s="1100">
        <v>1149000000000</v>
      </c>
      <c r="P38" s="1100">
        <v>1263000000000</v>
      </c>
      <c r="Q38" s="1100">
        <v>1147000000000</v>
      </c>
      <c r="R38" s="1100">
        <v>1205000000000</v>
      </c>
      <c r="S38" s="1100">
        <v>1616000000000</v>
      </c>
      <c r="T38" s="1100">
        <v>2039000000000</v>
      </c>
      <c r="U38" s="1100">
        <v>2080000000000</v>
      </c>
      <c r="V38" s="1100">
        <v>2375000000000</v>
      </c>
      <c r="W38" s="1033">
        <v>2914000000000</v>
      </c>
      <c r="X38" s="1033">
        <v>3524000000000</v>
      </c>
      <c r="Y38" s="1033">
        <v>4230000000000</v>
      </c>
      <c r="Z38" s="142"/>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ht="16.5">
      <c r="A39" s="1037" t="s">
        <v>2265</v>
      </c>
      <c r="B39" s="1037" t="s">
        <v>5764</v>
      </c>
      <c r="C39" s="1027" t="s">
        <v>241</v>
      </c>
      <c r="D39" s="1103"/>
      <c r="E39" s="1103"/>
      <c r="F39" s="1103"/>
      <c r="G39" s="1103"/>
      <c r="H39" s="1103"/>
      <c r="I39" s="1103"/>
      <c r="J39" s="1103"/>
      <c r="K39" s="1103"/>
      <c r="L39" s="1099">
        <v>284000000000</v>
      </c>
      <c r="M39" s="1099">
        <v>345000000000</v>
      </c>
      <c r="N39" s="1099">
        <v>432000000000</v>
      </c>
      <c r="O39" s="1100">
        <v>787000000000</v>
      </c>
      <c r="P39" s="1100">
        <v>799000000000</v>
      </c>
      <c r="Q39" s="1100">
        <v>730000000000</v>
      </c>
      <c r="R39" s="1100">
        <v>635000000000</v>
      </c>
      <c r="S39" s="1100">
        <v>963000000000</v>
      </c>
      <c r="T39" s="1100">
        <v>1034000000000</v>
      </c>
      <c r="U39" s="1100">
        <v>1217000000000</v>
      </c>
      <c r="V39" s="1100">
        <v>1341000000000</v>
      </c>
      <c r="W39" s="1033">
        <v>1519000000000</v>
      </c>
      <c r="X39" s="1033">
        <v>1756000000000</v>
      </c>
      <c r="Y39" s="1033">
        <v>1968000000000</v>
      </c>
      <c r="Z39" s="142"/>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ht="16.5">
      <c r="A40" s="1037" t="s">
        <v>517</v>
      </c>
      <c r="B40" s="1037" t="s">
        <v>5765</v>
      </c>
      <c r="C40" s="1027" t="s">
        <v>241</v>
      </c>
      <c r="D40" s="1103"/>
      <c r="E40" s="1103"/>
      <c r="F40" s="1103"/>
      <c r="G40" s="1103"/>
      <c r="H40" s="1103"/>
      <c r="I40" s="1103"/>
      <c r="J40" s="1103"/>
      <c r="K40" s="1103"/>
      <c r="L40" s="1099">
        <v>75000000000</v>
      </c>
      <c r="M40" s="1099">
        <v>107000000000</v>
      </c>
      <c r="N40" s="1099">
        <v>355000000000</v>
      </c>
      <c r="O40" s="1100">
        <v>362000000000</v>
      </c>
      <c r="P40" s="1100">
        <v>464000000000</v>
      </c>
      <c r="Q40" s="1100">
        <v>417000000000</v>
      </c>
      <c r="R40" s="1100">
        <v>570000000000</v>
      </c>
      <c r="S40" s="1100">
        <v>653000000000</v>
      </c>
      <c r="T40" s="1100">
        <v>1005000000000</v>
      </c>
      <c r="U40" s="1100">
        <v>863000000000</v>
      </c>
      <c r="V40" s="1100">
        <v>1034000000000</v>
      </c>
      <c r="W40" s="1033">
        <v>1395000000000</v>
      </c>
      <c r="X40" s="1033">
        <v>1767000000000</v>
      </c>
      <c r="Y40" s="1033">
        <v>2262000000000</v>
      </c>
      <c r="Z40" s="142"/>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ht="16.5">
      <c r="B41" s="1073" t="s">
        <v>5766</v>
      </c>
      <c r="C41" s="1035"/>
      <c r="D41" s="1103"/>
      <c r="E41" s="1103"/>
      <c r="F41" s="1103"/>
      <c r="G41" s="1103"/>
      <c r="H41" s="1103"/>
      <c r="I41" s="1103"/>
      <c r="J41" s="1103"/>
      <c r="K41" s="1103"/>
      <c r="L41" s="1099">
        <v>0</v>
      </c>
      <c r="M41" s="1099">
        <v>0</v>
      </c>
      <c r="N41" s="1099">
        <v>0</v>
      </c>
      <c r="O41" s="1100">
        <v>0</v>
      </c>
      <c r="P41" s="1100">
        <v>0</v>
      </c>
      <c r="Q41" s="1100">
        <v>0</v>
      </c>
      <c r="R41" s="1100">
        <v>0</v>
      </c>
      <c r="S41" s="1100">
        <v>0</v>
      </c>
      <c r="T41" s="1100">
        <v>0</v>
      </c>
      <c r="U41" s="1100">
        <v>0</v>
      </c>
      <c r="V41" s="1100">
        <v>0</v>
      </c>
      <c r="W41" s="1033">
        <v>0</v>
      </c>
      <c r="X41" s="1033">
        <v>0</v>
      </c>
      <c r="Y41" s="1033">
        <v>0</v>
      </c>
      <c r="Z41" s="142"/>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ht="16.5">
      <c r="A42" s="1041" t="s">
        <v>398</v>
      </c>
      <c r="B42" s="1037" t="s">
        <v>5767</v>
      </c>
      <c r="C42" s="1035" t="s">
        <v>75</v>
      </c>
      <c r="D42" s="1103"/>
      <c r="E42" s="1103"/>
      <c r="F42" s="1103"/>
      <c r="G42" s="1103"/>
      <c r="H42" s="1103"/>
      <c r="I42" s="1103"/>
      <c r="J42" s="1103"/>
      <c r="K42" s="1103"/>
      <c r="L42" s="1103">
        <v>0</v>
      </c>
      <c r="M42" s="1103">
        <v>0</v>
      </c>
      <c r="N42" s="1099">
        <v>0</v>
      </c>
      <c r="O42" s="1100">
        <v>0</v>
      </c>
      <c r="P42" s="1100">
        <v>0</v>
      </c>
      <c r="Q42" s="1100">
        <v>5000000000</v>
      </c>
      <c r="R42" s="1100">
        <v>138000000000</v>
      </c>
      <c r="S42" s="1100">
        <v>57000000000</v>
      </c>
      <c r="T42" s="1100">
        <v>79000000000</v>
      </c>
      <c r="U42" s="1100">
        <v>55000000000</v>
      </c>
      <c r="V42" s="1100">
        <v>25000000000</v>
      </c>
      <c r="W42" s="1033">
        <v>25000000000</v>
      </c>
      <c r="X42" s="1033">
        <v>25000000000</v>
      </c>
      <c r="Y42" s="1033">
        <v>25000000000</v>
      </c>
      <c r="Z42" s="142"/>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6.5">
      <c r="A43" s="1041"/>
      <c r="B43" s="1034" t="s">
        <v>5768</v>
      </c>
      <c r="C43" s="1035"/>
      <c r="D43" s="1103"/>
      <c r="E43" s="1103"/>
      <c r="F43" s="1103"/>
      <c r="G43" s="1103"/>
      <c r="H43" s="1103"/>
      <c r="I43" s="1103"/>
      <c r="J43" s="1103"/>
      <c r="K43" s="1103"/>
      <c r="L43" s="1103"/>
      <c r="M43" s="1103"/>
      <c r="N43" s="1099"/>
      <c r="O43" s="1100"/>
      <c r="P43" s="1100"/>
      <c r="Q43" s="1100"/>
      <c r="R43" s="1100"/>
      <c r="S43" s="1100">
        <v>0</v>
      </c>
      <c r="T43" s="1100">
        <v>46000000000</v>
      </c>
      <c r="U43" s="1100">
        <v>0</v>
      </c>
      <c r="V43" s="1100">
        <v>0</v>
      </c>
      <c r="W43" s="1033">
        <v>0</v>
      </c>
      <c r="X43" s="1033">
        <v>0</v>
      </c>
      <c r="Y43" s="1033">
        <v>0</v>
      </c>
      <c r="Z43" s="142"/>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ht="16.5">
      <c r="A44" s="1027" t="s">
        <v>76</v>
      </c>
      <c r="B44" s="1034" t="s">
        <v>5769</v>
      </c>
      <c r="C44" s="1034"/>
      <c r="D44" s="1103">
        <v>0</v>
      </c>
      <c r="E44" s="1103">
        <v>0</v>
      </c>
      <c r="F44" s="1103">
        <v>0</v>
      </c>
      <c r="G44" s="1103">
        <v>0</v>
      </c>
      <c r="H44" s="1103">
        <v>0</v>
      </c>
      <c r="I44" s="1103">
        <v>0</v>
      </c>
      <c r="J44" s="1103">
        <v>0</v>
      </c>
      <c r="K44" s="1103">
        <v>0</v>
      </c>
      <c r="L44" s="1103">
        <v>0</v>
      </c>
      <c r="M44" s="1099">
        <v>-343000000000</v>
      </c>
      <c r="N44" s="1099">
        <v>-607000000000</v>
      </c>
      <c r="O44" s="1100">
        <v>-479000000000</v>
      </c>
      <c r="P44" s="1100">
        <v>-586000000000</v>
      </c>
      <c r="Q44" s="1100">
        <v>-125000000000</v>
      </c>
      <c r="R44" s="1100">
        <v>-1114000000000</v>
      </c>
      <c r="S44" s="1100">
        <v>-1143000000000</v>
      </c>
      <c r="T44" s="1100">
        <v>-1582000000000</v>
      </c>
      <c r="U44" s="1100">
        <v>-1149000000000</v>
      </c>
      <c r="V44" s="1100">
        <v>-1080000000000</v>
      </c>
      <c r="W44" s="1033">
        <v>-926000000000</v>
      </c>
      <c r="X44" s="1033">
        <v>-935000000000</v>
      </c>
      <c r="Y44" s="1033">
        <v>-1026000000000</v>
      </c>
      <c r="Z44" s="142"/>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ht="16.5">
      <c r="A45" s="1027" t="s">
        <v>76</v>
      </c>
      <c r="B45" s="1034" t="s">
        <v>5770</v>
      </c>
      <c r="C45" s="1034"/>
      <c r="D45" s="1099">
        <v>-80752000000</v>
      </c>
      <c r="E45" s="1099">
        <v>-673267000000</v>
      </c>
      <c r="F45" s="1099">
        <v>-165811000000</v>
      </c>
      <c r="G45" s="1099">
        <v>-144538000000</v>
      </c>
      <c r="H45" s="1099">
        <v>-104204000000</v>
      </c>
      <c r="I45" s="1099">
        <v>-101959000000</v>
      </c>
      <c r="J45" s="1099">
        <v>393149000000</v>
      </c>
      <c r="K45" s="1099">
        <v>1291740000000</v>
      </c>
      <c r="L45" s="1099">
        <v>-273000000000</v>
      </c>
      <c r="M45" s="1099">
        <v>-202000000000</v>
      </c>
      <c r="N45" s="1099">
        <v>-513000000000</v>
      </c>
      <c r="O45" s="1100">
        <v>-581000000000</v>
      </c>
      <c r="P45" s="1100">
        <v>-852000000000</v>
      </c>
      <c r="Q45" s="1100">
        <v>-342000000000</v>
      </c>
      <c r="R45" s="1100">
        <v>-830000000000</v>
      </c>
      <c r="S45" s="1100">
        <v>-982000000000</v>
      </c>
      <c r="T45" s="1100">
        <v>-1950000000000</v>
      </c>
      <c r="U45" s="1100">
        <v>-1727000000000</v>
      </c>
      <c r="V45" s="1100">
        <v>-1818000000000</v>
      </c>
      <c r="W45" s="1033">
        <v>-1846000000000</v>
      </c>
      <c r="X45" s="1033">
        <v>-2109000000000</v>
      </c>
      <c r="Y45" s="1033">
        <v>-2385000000000</v>
      </c>
      <c r="Z45" s="142"/>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ht="16.5">
      <c r="A46" s="1027" t="s">
        <v>76</v>
      </c>
      <c r="B46" s="1034" t="s">
        <v>5771</v>
      </c>
      <c r="C46" s="1034"/>
      <c r="D46" s="1103">
        <v>0</v>
      </c>
      <c r="E46" s="1103">
        <v>0</v>
      </c>
      <c r="F46" s="1103">
        <v>0</v>
      </c>
      <c r="G46" s="1103">
        <v>0</v>
      </c>
      <c r="H46" s="1103">
        <v>0</v>
      </c>
      <c r="I46" s="1103">
        <v>0</v>
      </c>
      <c r="J46" s="1103">
        <v>0</v>
      </c>
      <c r="K46" s="1103">
        <v>0</v>
      </c>
      <c r="L46" s="1099">
        <v>-538000000000</v>
      </c>
      <c r="M46" s="1099">
        <v>-703000000000</v>
      </c>
      <c r="N46" s="1099">
        <v>-1057000000000</v>
      </c>
      <c r="O46" s="1100">
        <v>-1290000000000</v>
      </c>
      <c r="P46" s="1100">
        <v>-1484000000000</v>
      </c>
      <c r="Q46" s="1100">
        <v>-889000000000</v>
      </c>
      <c r="R46" s="1100">
        <v>-1789000000000</v>
      </c>
      <c r="S46" s="1100">
        <v>-2146000000000</v>
      </c>
      <c r="T46" s="1100">
        <v>-2677000000000</v>
      </c>
      <c r="U46" s="1100">
        <v>-2526000000000</v>
      </c>
      <c r="V46" s="1100">
        <v>-2547000000000</v>
      </c>
      <c r="W46" s="1033">
        <v>-2617000000000</v>
      </c>
      <c r="X46" s="1033">
        <v>-2947000000000</v>
      </c>
      <c r="Y46" s="1033">
        <v>-3333000000000</v>
      </c>
      <c r="Z46" s="142"/>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s="848" customFormat="1" ht="16.5">
      <c r="A47" s="1096" t="s">
        <v>115</v>
      </c>
      <c r="B47" s="1096" t="s">
        <v>115</v>
      </c>
      <c r="C47" s="1096" t="s">
        <v>35</v>
      </c>
      <c r="D47" s="1111">
        <v>80752000000</v>
      </c>
      <c r="E47" s="1111">
        <v>673267000000</v>
      </c>
      <c r="F47" s="1111">
        <v>165811000000</v>
      </c>
      <c r="G47" s="1111">
        <v>144538000000</v>
      </c>
      <c r="H47" s="1111">
        <v>104204000000</v>
      </c>
      <c r="I47" s="1111">
        <v>101959000000</v>
      </c>
      <c r="J47" s="1111">
        <v>-393149000000</v>
      </c>
      <c r="K47" s="1111">
        <v>-1291740000000</v>
      </c>
      <c r="L47" s="1111">
        <f>L48+L55</f>
        <v>301000000000</v>
      </c>
      <c r="M47" s="1111">
        <f t="shared" ref="M47:O47" si="8">M48+M55</f>
        <v>202000000000</v>
      </c>
      <c r="N47" s="1111">
        <f t="shared" si="8"/>
        <v>519000000000</v>
      </c>
      <c r="O47" s="1111">
        <f t="shared" si="8"/>
        <v>579000000000</v>
      </c>
      <c r="P47" s="1111">
        <f>P48+P55</f>
        <v>862000000000</v>
      </c>
      <c r="Q47" s="1111">
        <f>Q48+Q55</f>
        <v>341000000000</v>
      </c>
      <c r="R47" s="1112">
        <f>R48+R55</f>
        <v>786000000000</v>
      </c>
      <c r="S47" s="1112">
        <f t="shared" ref="S47:Y47" si="9">S48+S55</f>
        <v>982000000000</v>
      </c>
      <c r="T47" s="1112">
        <f t="shared" si="9"/>
        <v>1950000000000</v>
      </c>
      <c r="U47" s="1112">
        <f t="shared" si="9"/>
        <v>1727000000000</v>
      </c>
      <c r="V47" s="1112">
        <f t="shared" si="9"/>
        <v>1818000000000</v>
      </c>
      <c r="W47" s="1112">
        <f t="shared" si="9"/>
        <v>1846000000000</v>
      </c>
      <c r="X47" s="1112">
        <f t="shared" si="9"/>
        <v>2109000000000</v>
      </c>
      <c r="Y47" s="1112">
        <f t="shared" si="9"/>
        <v>2385000000000</v>
      </c>
      <c r="Z47" s="1094"/>
      <c r="AA47" s="916"/>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c r="AX47" s="916"/>
    </row>
    <row r="48" spans="1:50" ht="16.5">
      <c r="A48" s="1041" t="s">
        <v>117</v>
      </c>
      <c r="B48" s="1034" t="s">
        <v>5772</v>
      </c>
      <c r="C48" s="1035" t="s">
        <v>119</v>
      </c>
      <c r="D48" s="1099">
        <v>81610000000</v>
      </c>
      <c r="E48" s="1099">
        <v>624766000000</v>
      </c>
      <c r="F48" s="1099">
        <v>143734000000</v>
      </c>
      <c r="G48" s="1099">
        <v>56133000000</v>
      </c>
      <c r="H48" s="1099">
        <v>122171000000</v>
      </c>
      <c r="I48" s="1099">
        <v>62397000000</v>
      </c>
      <c r="J48" s="1099">
        <v>28472000000</v>
      </c>
      <c r="K48" s="1099">
        <v>-1333845000000</v>
      </c>
      <c r="L48" s="1099">
        <v>143000000000</v>
      </c>
      <c r="M48" s="1099">
        <v>155000000000</v>
      </c>
      <c r="N48" s="1099">
        <v>162000000000</v>
      </c>
      <c r="O48" s="1100">
        <v>305000000000</v>
      </c>
      <c r="P48" s="1100">
        <v>523000000000</v>
      </c>
      <c r="Q48" s="1100">
        <v>294000000000</v>
      </c>
      <c r="R48" s="1100">
        <v>264000000000</v>
      </c>
      <c r="S48" s="1100">
        <v>338000000000</v>
      </c>
      <c r="T48" s="1100">
        <v>398000000000</v>
      </c>
      <c r="U48" s="1100">
        <v>920000000000</v>
      </c>
      <c r="V48" s="1100">
        <v>908000000000</v>
      </c>
      <c r="W48" s="1033">
        <v>1086000000000</v>
      </c>
      <c r="X48" s="1033">
        <v>1232000000000</v>
      </c>
      <c r="Y48" s="1033">
        <v>1375000000000</v>
      </c>
      <c r="Z48" s="142"/>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ht="16.5">
      <c r="A49" s="1027" t="s">
        <v>444</v>
      </c>
      <c r="B49" s="1037" t="s">
        <v>2546</v>
      </c>
      <c r="C49" s="1034" t="s">
        <v>264</v>
      </c>
      <c r="D49" s="1099">
        <v>123584000000</v>
      </c>
      <c r="E49" s="1099">
        <v>95370000000</v>
      </c>
      <c r="F49" s="1099">
        <v>141605000000</v>
      </c>
      <c r="G49" s="1099">
        <v>93627000000</v>
      </c>
      <c r="H49" s="1099">
        <v>150971000000</v>
      </c>
      <c r="I49" s="1099">
        <v>105136000000</v>
      </c>
      <c r="J49" s="1099">
        <v>47884000000</v>
      </c>
      <c r="K49" s="1099">
        <v>61750000000</v>
      </c>
      <c r="L49" s="1099">
        <v>163000000000</v>
      </c>
      <c r="M49" s="1099">
        <v>198000000000</v>
      </c>
      <c r="N49" s="1099">
        <v>222000000000</v>
      </c>
      <c r="O49" s="1100">
        <v>359000000000</v>
      </c>
      <c r="P49" s="1100">
        <v>601000000000</v>
      </c>
      <c r="Q49" s="1100">
        <v>380000000000</v>
      </c>
      <c r="R49" s="1100">
        <v>362000000000</v>
      </c>
      <c r="S49" s="1100">
        <v>455000000000</v>
      </c>
      <c r="T49" s="1100">
        <v>522000000000</v>
      </c>
      <c r="U49" s="1100">
        <v>1166000000000</v>
      </c>
      <c r="V49" s="1100">
        <v>1183000000000</v>
      </c>
      <c r="W49" s="1033">
        <v>1390000000000</v>
      </c>
      <c r="X49" s="1033">
        <v>1589000000000</v>
      </c>
      <c r="Y49" s="1033">
        <v>1784000000000</v>
      </c>
      <c r="Z49" s="142"/>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ht="16.5">
      <c r="A50" s="1039" t="s">
        <v>1427</v>
      </c>
      <c r="B50" s="1039" t="s">
        <v>1427</v>
      </c>
      <c r="C50" s="1027" t="s">
        <v>499</v>
      </c>
      <c r="D50" s="1103"/>
      <c r="E50" s="1103"/>
      <c r="F50" s="1103"/>
      <c r="G50" s="1103"/>
      <c r="H50" s="1103"/>
      <c r="I50" s="1103"/>
      <c r="J50" s="1103"/>
      <c r="K50" s="1103"/>
      <c r="L50" s="1099">
        <v>163000000000</v>
      </c>
      <c r="M50" s="1099">
        <v>160000000000</v>
      </c>
      <c r="N50" s="1099">
        <v>155000000000</v>
      </c>
      <c r="O50" s="1100">
        <v>359000000000</v>
      </c>
      <c r="P50" s="1100">
        <v>497000000000</v>
      </c>
      <c r="Q50" s="1100">
        <v>352000000000</v>
      </c>
      <c r="R50" s="1100">
        <v>362000000000</v>
      </c>
      <c r="S50" s="1100">
        <v>455000000000</v>
      </c>
      <c r="T50" s="1100">
        <v>508000000000</v>
      </c>
      <c r="U50" s="1100">
        <v>848000000000</v>
      </c>
      <c r="V50" s="1100">
        <v>974000000000</v>
      </c>
      <c r="W50" s="1033">
        <v>1150000000000</v>
      </c>
      <c r="X50" s="1033">
        <v>1405000000000</v>
      </c>
      <c r="Y50" s="1033">
        <v>1575000000000</v>
      </c>
      <c r="Z50" s="142"/>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ht="16.5">
      <c r="A51" s="1039" t="s">
        <v>2679</v>
      </c>
      <c r="B51" s="1039" t="s">
        <v>2679</v>
      </c>
      <c r="C51" s="1027" t="s">
        <v>499</v>
      </c>
      <c r="D51" s="1103"/>
      <c r="E51" s="1103"/>
      <c r="F51" s="1103"/>
      <c r="G51" s="1103"/>
      <c r="H51" s="1103"/>
      <c r="I51" s="1103"/>
      <c r="J51" s="1103"/>
      <c r="K51" s="1103"/>
      <c r="L51" s="1099">
        <v>0</v>
      </c>
      <c r="M51" s="1099">
        <v>39000000000</v>
      </c>
      <c r="N51" s="1099">
        <v>67000000000</v>
      </c>
      <c r="O51" s="1100">
        <v>0</v>
      </c>
      <c r="P51" s="1100">
        <v>104000000000</v>
      </c>
      <c r="Q51" s="1100">
        <v>28000000000</v>
      </c>
      <c r="R51" s="1100">
        <v>0</v>
      </c>
      <c r="S51" s="1100">
        <v>0</v>
      </c>
      <c r="T51" s="1100">
        <v>14000000000</v>
      </c>
      <c r="U51" s="1100">
        <v>317000000000</v>
      </c>
      <c r="V51" s="1100">
        <v>209000000000</v>
      </c>
      <c r="W51" s="1033">
        <v>240000000000</v>
      </c>
      <c r="X51" s="1033">
        <v>184000000000</v>
      </c>
      <c r="Y51" s="1033">
        <v>210000000000</v>
      </c>
      <c r="Z51" s="142"/>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ht="16.5">
      <c r="A52" s="1037" t="s">
        <v>258</v>
      </c>
      <c r="B52" s="1037" t="s">
        <v>258</v>
      </c>
      <c r="C52" s="1034" t="s">
        <v>264</v>
      </c>
      <c r="D52" s="1099">
        <v>-41974000000</v>
      </c>
      <c r="E52" s="1099">
        <v>-425769000000</v>
      </c>
      <c r="F52" s="1099">
        <v>-48284000000</v>
      </c>
      <c r="G52" s="1099">
        <v>-37494000000</v>
      </c>
      <c r="H52" s="1099">
        <v>-53893000000</v>
      </c>
      <c r="I52" s="1099">
        <v>-138188000000</v>
      </c>
      <c r="J52" s="1099">
        <v>-119198000000</v>
      </c>
      <c r="K52" s="1114">
        <v>-1395595000000</v>
      </c>
      <c r="L52" s="1099">
        <v>-20000000000</v>
      </c>
      <c r="M52" s="1099">
        <v>-43000000000</v>
      </c>
      <c r="N52" s="1099">
        <v>-61000000000</v>
      </c>
      <c r="O52" s="1100">
        <v>-54000000000</v>
      </c>
      <c r="P52" s="1100">
        <v>-77000000000</v>
      </c>
      <c r="Q52" s="1100">
        <v>-86000000000</v>
      </c>
      <c r="R52" s="1100">
        <v>-98000000000</v>
      </c>
      <c r="S52" s="1100">
        <v>-117000000000</v>
      </c>
      <c r="T52" s="1100">
        <v>-124000000000</v>
      </c>
      <c r="U52" s="1100">
        <v>-246000000000</v>
      </c>
      <c r="V52" s="1100">
        <v>-275000000000</v>
      </c>
      <c r="W52" s="1033">
        <v>-304000000000</v>
      </c>
      <c r="X52" s="1033">
        <v>-357000000000</v>
      </c>
      <c r="Y52" s="1033">
        <v>-409000000000</v>
      </c>
      <c r="Z52" s="142"/>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ht="16.5">
      <c r="A53" s="1027" t="s">
        <v>502</v>
      </c>
      <c r="B53" s="1037" t="s">
        <v>5773</v>
      </c>
      <c r="C53" s="1034" t="s">
        <v>264</v>
      </c>
      <c r="D53" s="1099">
        <v>0</v>
      </c>
      <c r="E53" s="1099">
        <v>567911000000</v>
      </c>
      <c r="F53" s="1099">
        <v>50413000000</v>
      </c>
      <c r="G53" s="1099">
        <v>0</v>
      </c>
      <c r="H53" s="1099">
        <v>25093000000</v>
      </c>
      <c r="I53" s="1099">
        <v>95450000000</v>
      </c>
      <c r="J53" s="1099">
        <v>99786000000</v>
      </c>
      <c r="K53" s="1099">
        <v>0</v>
      </c>
      <c r="L53" s="1099">
        <v>0</v>
      </c>
      <c r="M53" s="1099">
        <v>0</v>
      </c>
      <c r="N53" s="1099">
        <v>0</v>
      </c>
      <c r="O53" s="1102">
        <v>0</v>
      </c>
      <c r="P53" s="1102">
        <v>0</v>
      </c>
      <c r="Q53" s="1102"/>
      <c r="R53" s="1102"/>
      <c r="S53" s="1102"/>
      <c r="T53" s="1042"/>
      <c r="U53" s="1042"/>
      <c r="V53" s="1042"/>
      <c r="W53" s="1033"/>
      <c r="X53" s="1033"/>
      <c r="Y53" s="1033"/>
      <c r="Z53" s="142"/>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ht="16.5">
      <c r="A54" s="1037" t="s">
        <v>3315</v>
      </c>
      <c r="B54" s="1037" t="s">
        <v>3315</v>
      </c>
      <c r="C54" s="1034" t="s">
        <v>264</v>
      </c>
      <c r="D54" s="1099"/>
      <c r="E54" s="1099">
        <v>387254000000</v>
      </c>
      <c r="F54" s="1099"/>
      <c r="G54" s="1099"/>
      <c r="H54" s="1099"/>
      <c r="I54" s="1099"/>
      <c r="J54" s="1099"/>
      <c r="K54" s="1099"/>
      <c r="L54" s="1099"/>
      <c r="M54" s="1099"/>
      <c r="N54" s="1099"/>
      <c r="O54" s="1102"/>
      <c r="P54" s="1102"/>
      <c r="Q54" s="1102"/>
      <c r="R54" s="1102"/>
      <c r="S54" s="1102"/>
      <c r="T54" s="1042"/>
      <c r="U54" s="1042"/>
      <c r="V54" s="1042"/>
      <c r="W54" s="1033"/>
      <c r="X54" s="1033"/>
      <c r="Y54" s="1033"/>
      <c r="Z54" s="142"/>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ht="16.5">
      <c r="A55" s="1041" t="s">
        <v>120</v>
      </c>
      <c r="B55" s="1034" t="s">
        <v>5774</v>
      </c>
      <c r="C55" s="1035" t="s">
        <v>119</v>
      </c>
      <c r="D55" s="1099">
        <v>-858000000</v>
      </c>
      <c r="E55" s="1099">
        <v>48501000000</v>
      </c>
      <c r="F55" s="1099">
        <v>22077000000</v>
      </c>
      <c r="G55" s="1099">
        <v>88405000000</v>
      </c>
      <c r="H55" s="1099">
        <v>-17967000000</v>
      </c>
      <c r="I55" s="1099">
        <v>39562000000</v>
      </c>
      <c r="J55" s="1099">
        <v>-421621000000</v>
      </c>
      <c r="K55" s="1099">
        <v>42105000000</v>
      </c>
      <c r="L55" s="1099">
        <v>158000000000</v>
      </c>
      <c r="M55" s="1099">
        <v>47000000000</v>
      </c>
      <c r="N55" s="1099">
        <v>357000000000</v>
      </c>
      <c r="O55" s="1100">
        <v>274000000000</v>
      </c>
      <c r="P55" s="1100">
        <v>339000000000</v>
      </c>
      <c r="Q55" s="1100">
        <v>47000000000</v>
      </c>
      <c r="R55" s="1100">
        <v>522000000000</v>
      </c>
      <c r="S55" s="1100">
        <v>644000000000</v>
      </c>
      <c r="T55" s="1100">
        <v>1552000000000</v>
      </c>
      <c r="U55" s="1100">
        <v>807000000000</v>
      </c>
      <c r="V55" s="1100">
        <v>910000000000</v>
      </c>
      <c r="W55" s="1033">
        <v>760000000000</v>
      </c>
      <c r="X55" s="1033">
        <v>877000000000</v>
      </c>
      <c r="Y55" s="1033">
        <v>1010000000000</v>
      </c>
      <c r="Z55" s="142"/>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1:50" ht="16.5">
      <c r="A56" s="1041" t="s">
        <v>122</v>
      </c>
      <c r="B56" s="1037" t="s">
        <v>349</v>
      </c>
      <c r="C56" s="1034" t="s">
        <v>124</v>
      </c>
      <c r="D56" s="1099">
        <v>-26321000000</v>
      </c>
      <c r="E56" s="1099">
        <v>42844000000</v>
      </c>
      <c r="F56" s="1099">
        <v>-5603000000</v>
      </c>
      <c r="G56" s="1099">
        <v>56622000000</v>
      </c>
      <c r="H56" s="1099">
        <v>-51477000000</v>
      </c>
      <c r="I56" s="1099">
        <v>-16369000000</v>
      </c>
      <c r="J56" s="1099">
        <v>-446453000000</v>
      </c>
      <c r="K56" s="1099">
        <v>28030000000</v>
      </c>
      <c r="L56" s="1099">
        <v>218000000000</v>
      </c>
      <c r="M56" s="1099">
        <v>109000000000</v>
      </c>
      <c r="N56" s="1099">
        <v>413000000000</v>
      </c>
      <c r="O56" s="1100">
        <v>67000000000</v>
      </c>
      <c r="P56" s="1100">
        <v>222000000000</v>
      </c>
      <c r="Q56" s="1100">
        <v>300000000000</v>
      </c>
      <c r="R56" s="1100">
        <v>636000000000</v>
      </c>
      <c r="S56" s="1100">
        <v>651000000000</v>
      </c>
      <c r="T56" s="1100">
        <v>993000000000</v>
      </c>
      <c r="U56" s="1100">
        <v>1174000000000</v>
      </c>
      <c r="V56" s="1100">
        <v>819000000000</v>
      </c>
      <c r="W56" s="1033">
        <v>661000000000</v>
      </c>
      <c r="X56" s="1033">
        <v>770000000000</v>
      </c>
      <c r="Y56" s="1033">
        <v>895000000000</v>
      </c>
      <c r="Z56" s="142"/>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ht="16.5">
      <c r="A57" s="1027" t="s">
        <v>76</v>
      </c>
      <c r="B57" s="1039" t="s">
        <v>5775</v>
      </c>
      <c r="D57" s="1103">
        <v>0</v>
      </c>
      <c r="E57" s="1103">
        <v>0</v>
      </c>
      <c r="F57" s="1103">
        <v>0</v>
      </c>
      <c r="G57" s="1103">
        <v>0</v>
      </c>
      <c r="H57" s="1103">
        <v>0</v>
      </c>
      <c r="I57" s="1103">
        <v>0</v>
      </c>
      <c r="J57" s="1103">
        <v>0</v>
      </c>
      <c r="K57" s="1103">
        <v>0</v>
      </c>
      <c r="L57" s="1099">
        <v>120000000000</v>
      </c>
      <c r="M57" s="1099">
        <v>163000000000</v>
      </c>
      <c r="N57" s="1099">
        <v>298000000000</v>
      </c>
      <c r="O57" s="1100">
        <v>10000000000</v>
      </c>
      <c r="P57" s="1100">
        <v>-94000000000</v>
      </c>
      <c r="Q57" s="1100">
        <v>-60000000000</v>
      </c>
      <c r="R57" s="1100">
        <v>219000000000</v>
      </c>
      <c r="S57" s="1100">
        <v>289000000000</v>
      </c>
      <c r="T57" s="1100">
        <v>675000000000</v>
      </c>
      <c r="U57" s="1100">
        <v>409000000000</v>
      </c>
      <c r="V57" s="1100">
        <v>292000000000</v>
      </c>
      <c r="W57" s="1033">
        <v>49000000000</v>
      </c>
      <c r="X57" s="1033">
        <v>53000000000</v>
      </c>
      <c r="Y57" s="1033">
        <v>60000000000</v>
      </c>
      <c r="Z57" s="142"/>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ht="16.5">
      <c r="A58" s="1027" t="s">
        <v>76</v>
      </c>
      <c r="B58" s="1039" t="s">
        <v>5777</v>
      </c>
      <c r="D58" s="1103">
        <v>0</v>
      </c>
      <c r="E58" s="1103">
        <v>0</v>
      </c>
      <c r="F58" s="1103">
        <v>0</v>
      </c>
      <c r="G58" s="1103">
        <v>0</v>
      </c>
      <c r="H58" s="1103">
        <v>0</v>
      </c>
      <c r="I58" s="1103">
        <v>0</v>
      </c>
      <c r="J58" s="1103">
        <v>0</v>
      </c>
      <c r="K58" s="1103">
        <v>0</v>
      </c>
      <c r="L58" s="1103">
        <v>0</v>
      </c>
      <c r="M58" s="1103">
        <v>0</v>
      </c>
      <c r="N58" s="1099" t="s">
        <v>78</v>
      </c>
      <c r="O58" s="1100" t="s">
        <v>78</v>
      </c>
      <c r="P58" s="1100" t="s">
        <v>78</v>
      </c>
      <c r="Q58" s="1100">
        <v>-47000000000</v>
      </c>
      <c r="R58" s="1100">
        <v>37000000000</v>
      </c>
      <c r="S58" s="1100">
        <v>24000000000</v>
      </c>
      <c r="T58" s="1100">
        <v>168000000000</v>
      </c>
      <c r="U58" s="1100">
        <v>-88000000000</v>
      </c>
      <c r="V58" s="1100">
        <v>42000000000</v>
      </c>
      <c r="W58" s="1033">
        <v>49000000000</v>
      </c>
      <c r="X58" s="1033">
        <v>53000000000</v>
      </c>
      <c r="Y58" s="1033">
        <v>60000000000</v>
      </c>
      <c r="Z58" s="142"/>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ht="16.5">
      <c r="A59" s="1027" t="s">
        <v>76</v>
      </c>
      <c r="B59" s="1039" t="s">
        <v>1162</v>
      </c>
      <c r="D59" s="1103">
        <v>0</v>
      </c>
      <c r="E59" s="1103">
        <v>0</v>
      </c>
      <c r="F59" s="1103">
        <v>0</v>
      </c>
      <c r="G59" s="1103">
        <v>0</v>
      </c>
      <c r="H59" s="1103">
        <v>0</v>
      </c>
      <c r="I59" s="1103">
        <v>0</v>
      </c>
      <c r="J59" s="1103">
        <v>0</v>
      </c>
      <c r="K59" s="1103">
        <v>0</v>
      </c>
      <c r="L59" s="1103">
        <v>0</v>
      </c>
      <c r="M59" s="1103">
        <v>0</v>
      </c>
      <c r="N59" s="1099" t="s">
        <v>78</v>
      </c>
      <c r="O59" s="1100"/>
      <c r="P59" s="1100"/>
      <c r="Q59" s="1100"/>
      <c r="R59" s="1100"/>
      <c r="S59" s="1100"/>
      <c r="T59" s="1100"/>
      <c r="U59" s="1100"/>
      <c r="V59" s="1100"/>
      <c r="W59" s="1033"/>
      <c r="X59" s="1033"/>
      <c r="Y59" s="1033"/>
      <c r="Z59" s="142"/>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ht="16.5">
      <c r="A60" s="1027" t="s">
        <v>76</v>
      </c>
      <c r="B60" s="1039" t="s">
        <v>1873</v>
      </c>
      <c r="D60" s="1103">
        <v>0</v>
      </c>
      <c r="E60" s="1103">
        <v>0</v>
      </c>
      <c r="F60" s="1103">
        <v>0</v>
      </c>
      <c r="G60" s="1103">
        <v>0</v>
      </c>
      <c r="H60" s="1103">
        <v>0</v>
      </c>
      <c r="I60" s="1103">
        <v>0</v>
      </c>
      <c r="J60" s="1103">
        <v>0</v>
      </c>
      <c r="K60" s="1103">
        <v>0</v>
      </c>
      <c r="L60" s="1103">
        <v>0</v>
      </c>
      <c r="M60" s="1103">
        <v>0</v>
      </c>
      <c r="N60" s="1099" t="s">
        <v>78</v>
      </c>
      <c r="O60" s="1100"/>
      <c r="P60" s="1100"/>
      <c r="Q60" s="1100"/>
      <c r="R60" s="1100"/>
      <c r="S60" s="1100"/>
      <c r="T60" s="1100"/>
      <c r="U60" s="1100"/>
      <c r="V60" s="1100"/>
      <c r="W60" s="1033"/>
      <c r="X60" s="1033"/>
      <c r="Y60" s="1033"/>
      <c r="Z60" s="142"/>
    </row>
    <row r="61" spans="1:50" ht="16.5">
      <c r="B61" s="1039" t="s">
        <v>5778</v>
      </c>
      <c r="D61" s="1103"/>
      <c r="E61" s="1103"/>
      <c r="F61" s="1103"/>
      <c r="G61" s="1103"/>
      <c r="H61" s="1103"/>
      <c r="I61" s="1103"/>
      <c r="J61" s="1103"/>
      <c r="K61" s="1103"/>
      <c r="L61" s="1103"/>
      <c r="M61" s="1103"/>
      <c r="N61" s="1099"/>
      <c r="O61" s="1100"/>
      <c r="P61" s="1100"/>
      <c r="Q61" s="1100"/>
      <c r="R61" s="1100"/>
      <c r="S61" s="1100"/>
      <c r="T61" s="1100"/>
      <c r="U61" s="1100"/>
      <c r="V61" s="1100"/>
      <c r="W61" s="1033"/>
      <c r="X61" s="1033"/>
      <c r="Y61" s="1033"/>
      <c r="Z61" s="142"/>
    </row>
    <row r="62" spans="1:50" ht="16.5">
      <c r="B62" s="1039" t="s">
        <v>5779</v>
      </c>
      <c r="D62" s="1103"/>
      <c r="E62" s="1103"/>
      <c r="F62" s="1103"/>
      <c r="G62" s="1103"/>
      <c r="H62" s="1103"/>
      <c r="I62" s="1103"/>
      <c r="J62" s="1103"/>
      <c r="K62" s="1103"/>
      <c r="L62" s="1103"/>
      <c r="M62" s="1103"/>
      <c r="N62" s="1099"/>
      <c r="O62" s="1100"/>
      <c r="P62" s="1100"/>
      <c r="Q62" s="1100">
        <v>0</v>
      </c>
      <c r="R62" s="1100">
        <v>0</v>
      </c>
      <c r="S62" s="1100">
        <v>-31000000000</v>
      </c>
      <c r="T62" s="1100">
        <v>223000000000</v>
      </c>
      <c r="U62" s="1100">
        <v>260000000000</v>
      </c>
      <c r="V62" s="1100">
        <v>0</v>
      </c>
      <c r="W62" s="1033">
        <v>0</v>
      </c>
      <c r="X62" s="1033">
        <v>0</v>
      </c>
      <c r="Y62" s="1033">
        <v>0</v>
      </c>
      <c r="Z62" s="142"/>
    </row>
    <row r="63" spans="1:50" ht="16.5">
      <c r="B63" s="1039" t="s">
        <v>5780</v>
      </c>
      <c r="D63" s="1103"/>
      <c r="E63" s="1103"/>
      <c r="F63" s="1103"/>
      <c r="G63" s="1103"/>
      <c r="H63" s="1103"/>
      <c r="I63" s="1103"/>
      <c r="J63" s="1103"/>
      <c r="K63" s="1103"/>
      <c r="L63" s="1103"/>
      <c r="M63" s="1103"/>
      <c r="N63" s="1099"/>
      <c r="O63" s="1100"/>
      <c r="P63" s="1100"/>
      <c r="Q63" s="1100">
        <v>359000000000</v>
      </c>
      <c r="R63" s="1100">
        <v>417000000000</v>
      </c>
      <c r="S63" s="1100">
        <v>362000000000</v>
      </c>
      <c r="T63" s="1100">
        <v>318000000000</v>
      </c>
      <c r="U63" s="1100">
        <v>765000000000</v>
      </c>
      <c r="V63" s="1100">
        <v>527000000000</v>
      </c>
      <c r="W63" s="1033">
        <v>612000000000</v>
      </c>
      <c r="X63" s="1033">
        <v>717000000000</v>
      </c>
      <c r="Y63" s="1033">
        <v>835000000000</v>
      </c>
      <c r="Z63" s="142"/>
    </row>
    <row r="64" spans="1:50" ht="16.5">
      <c r="A64" s="1027" t="s">
        <v>76</v>
      </c>
      <c r="B64" s="1115" t="s">
        <v>3077</v>
      </c>
      <c r="D64" s="1103">
        <v>0</v>
      </c>
      <c r="E64" s="1103">
        <v>0</v>
      </c>
      <c r="F64" s="1103">
        <v>0</v>
      </c>
      <c r="G64" s="1103">
        <v>0</v>
      </c>
      <c r="H64" s="1103">
        <v>0</v>
      </c>
      <c r="I64" s="1103">
        <v>0</v>
      </c>
      <c r="J64" s="1103">
        <v>0</v>
      </c>
      <c r="K64" s="1103">
        <v>0</v>
      </c>
      <c r="L64" s="1099">
        <v>98000000000</v>
      </c>
      <c r="M64" s="1099">
        <v>-54000000000</v>
      </c>
      <c r="N64" s="1099">
        <v>116000000000</v>
      </c>
      <c r="O64" s="1100">
        <v>57000000000</v>
      </c>
      <c r="P64" s="1100">
        <v>316000000000</v>
      </c>
      <c r="Q64" s="1100">
        <v>0</v>
      </c>
      <c r="R64" s="1100">
        <v>182000000000</v>
      </c>
      <c r="S64" s="1100">
        <v>295000000000</v>
      </c>
      <c r="T64" s="1100">
        <v>284000000000</v>
      </c>
      <c r="U64" s="1100">
        <v>236000000000</v>
      </c>
      <c r="V64" s="1100">
        <v>250000000000</v>
      </c>
      <c r="W64" s="1033">
        <v>0</v>
      </c>
      <c r="X64" s="1033"/>
      <c r="Y64" s="1033"/>
      <c r="Z64" s="142"/>
    </row>
    <row r="65" spans="1:26" ht="16.5">
      <c r="A65" s="1041" t="s">
        <v>428</v>
      </c>
      <c r="B65" s="1115" t="s">
        <v>350</v>
      </c>
      <c r="C65" s="1034" t="s">
        <v>124</v>
      </c>
      <c r="D65" s="1103">
        <f>D66+D68+D70</f>
        <v>25463000000</v>
      </c>
      <c r="E65" s="1103">
        <f t="shared" ref="E65:K65" si="10">E66+E68+E70</f>
        <v>5657000000</v>
      </c>
      <c r="F65" s="1103">
        <f t="shared" si="10"/>
        <v>27680000000</v>
      </c>
      <c r="G65" s="1103">
        <f t="shared" si="10"/>
        <v>31783000000</v>
      </c>
      <c r="H65" s="1103">
        <f t="shared" si="10"/>
        <v>33510000000</v>
      </c>
      <c r="I65" s="1103">
        <f t="shared" si="10"/>
        <v>55931000000</v>
      </c>
      <c r="J65" s="1103">
        <f t="shared" si="10"/>
        <v>24832000000</v>
      </c>
      <c r="K65" s="1103">
        <f t="shared" si="10"/>
        <v>14075000000</v>
      </c>
      <c r="L65" s="1099">
        <v>-60000000000</v>
      </c>
      <c r="M65" s="1099">
        <v>-62000000000</v>
      </c>
      <c r="N65" s="1099">
        <v>-56000000000</v>
      </c>
      <c r="O65" s="1100">
        <v>208000000000</v>
      </c>
      <c r="P65" s="1100">
        <v>117000000000</v>
      </c>
      <c r="Q65" s="1100">
        <v>-253000000000</v>
      </c>
      <c r="R65" s="1100">
        <v>-114000000000</v>
      </c>
      <c r="S65" s="1100">
        <v>-7000000000</v>
      </c>
      <c r="T65" s="1100">
        <v>558000000000</v>
      </c>
      <c r="U65" s="1100">
        <v>-367000000000</v>
      </c>
      <c r="V65" s="1100">
        <v>91000000000</v>
      </c>
      <c r="W65" s="1033">
        <v>99000000000</v>
      </c>
      <c r="X65" s="1033">
        <v>107000000000</v>
      </c>
      <c r="Y65" s="1033">
        <v>115000000000</v>
      </c>
      <c r="Z65" s="142"/>
    </row>
    <row r="66" spans="1:26" ht="16.5">
      <c r="A66" s="1041" t="s">
        <v>76</v>
      </c>
      <c r="B66" s="1037" t="s">
        <v>5781</v>
      </c>
      <c r="C66" s="1034"/>
      <c r="D66" s="1099">
        <v>27289000000</v>
      </c>
      <c r="E66" s="1099">
        <v>8947000000</v>
      </c>
      <c r="F66" s="1099">
        <v>24203000000</v>
      </c>
      <c r="G66" s="1099">
        <v>44030000000</v>
      </c>
      <c r="H66" s="1099">
        <v>49528000000</v>
      </c>
      <c r="I66" s="1099">
        <v>59106000000</v>
      </c>
      <c r="J66" s="1099">
        <v>6116000000</v>
      </c>
      <c r="K66" s="1099">
        <v>11292000000</v>
      </c>
      <c r="L66" s="1099">
        <v>-60000000000</v>
      </c>
      <c r="M66" s="1099">
        <v>-62000000000</v>
      </c>
      <c r="N66" s="1099">
        <v>-56000000000</v>
      </c>
      <c r="O66" s="1100">
        <v>208000000000</v>
      </c>
      <c r="P66" s="1100">
        <v>117000000000</v>
      </c>
      <c r="Q66" s="1100"/>
      <c r="R66" s="1100"/>
      <c r="S66" s="1100"/>
      <c r="T66" s="1100"/>
      <c r="U66" s="1100"/>
      <c r="V66" s="1100"/>
      <c r="W66" s="1033"/>
      <c r="X66" s="1033"/>
      <c r="Y66" s="1033"/>
      <c r="Z66" s="142"/>
    </row>
    <row r="67" spans="1:26" ht="16.5">
      <c r="B67" s="1039" t="s">
        <v>5782</v>
      </c>
      <c r="D67" s="1103">
        <v>0</v>
      </c>
      <c r="E67" s="1103">
        <v>0</v>
      </c>
      <c r="F67" s="1103">
        <v>0</v>
      </c>
      <c r="G67" s="1103">
        <v>0</v>
      </c>
      <c r="H67" s="1103">
        <v>0</v>
      </c>
      <c r="I67" s="1103">
        <v>0</v>
      </c>
      <c r="J67" s="1103">
        <v>0</v>
      </c>
      <c r="K67" s="1103">
        <v>0</v>
      </c>
      <c r="L67" s="1099">
        <v>-34000000000</v>
      </c>
      <c r="M67" s="1099">
        <v>-25000000000</v>
      </c>
      <c r="N67" s="1099">
        <v>30000000000</v>
      </c>
      <c r="O67" s="1100">
        <v>54000000000</v>
      </c>
      <c r="P67" s="1100">
        <v>125000000000</v>
      </c>
      <c r="Q67" s="1100">
        <v>-68000000000</v>
      </c>
      <c r="R67" s="1100">
        <v>-68000000000</v>
      </c>
      <c r="S67" s="1100">
        <v>19000000000</v>
      </c>
      <c r="T67" s="1100">
        <v>138000000000</v>
      </c>
      <c r="U67" s="1100">
        <v>113000000000</v>
      </c>
      <c r="V67" s="1100">
        <v>124000000000</v>
      </c>
      <c r="W67" s="1033">
        <v>137000000000</v>
      </c>
      <c r="X67" s="1033">
        <v>150000000000</v>
      </c>
      <c r="Y67" s="1033">
        <v>165000000000</v>
      </c>
      <c r="Z67" s="142"/>
    </row>
    <row r="68" spans="1:26" ht="16.5">
      <c r="B68" s="1039" t="s">
        <v>5783</v>
      </c>
      <c r="D68" s="1099">
        <v>22000000</v>
      </c>
      <c r="E68" s="1099">
        <v>2060000000</v>
      </c>
      <c r="F68" s="1099">
        <v>472000000</v>
      </c>
      <c r="G68" s="1099">
        <v>270000000</v>
      </c>
      <c r="H68" s="1099">
        <v>52000000</v>
      </c>
      <c r="I68" s="1099">
        <v>0</v>
      </c>
      <c r="J68" s="1099">
        <v>3030000000</v>
      </c>
      <c r="K68" s="1099">
        <v>5157000000</v>
      </c>
      <c r="L68" s="1099">
        <v>4000000000</v>
      </c>
      <c r="M68" s="1099">
        <v>10000000000</v>
      </c>
      <c r="N68" s="1099">
        <v>0</v>
      </c>
      <c r="O68" s="1100">
        <v>34000000000</v>
      </c>
      <c r="P68" s="1100">
        <v>9000000000</v>
      </c>
      <c r="Q68" s="1100">
        <v>13000000000</v>
      </c>
      <c r="R68" s="1100">
        <v>13000000000</v>
      </c>
      <c r="S68" s="1100">
        <v>0</v>
      </c>
      <c r="T68" s="1100">
        <v>0</v>
      </c>
      <c r="U68" s="1100">
        <v>0</v>
      </c>
      <c r="V68" s="1100">
        <v>0</v>
      </c>
      <c r="W68" s="1033">
        <v>0</v>
      </c>
      <c r="X68" s="1033">
        <v>0</v>
      </c>
      <c r="Y68" s="1033">
        <v>0</v>
      </c>
      <c r="Z68" s="142"/>
    </row>
    <row r="69" spans="1:26" ht="16.5">
      <c r="B69" s="1039" t="s">
        <v>5784</v>
      </c>
      <c r="D69" s="1103">
        <v>0</v>
      </c>
      <c r="E69" s="1103">
        <v>0</v>
      </c>
      <c r="F69" s="1103">
        <v>0</v>
      </c>
      <c r="G69" s="1103">
        <v>0</v>
      </c>
      <c r="H69" s="1103">
        <v>0</v>
      </c>
      <c r="I69" s="1103">
        <v>0</v>
      </c>
      <c r="J69" s="1103">
        <v>0</v>
      </c>
      <c r="K69" s="1103">
        <v>0</v>
      </c>
      <c r="L69" s="1099">
        <v>-46000000000</v>
      </c>
      <c r="M69" s="1099">
        <v>-59000000000</v>
      </c>
      <c r="N69" s="1099">
        <v>-94000000000</v>
      </c>
      <c r="O69" s="1100">
        <v>-47000000000</v>
      </c>
      <c r="P69" s="1100">
        <v>-84000000000</v>
      </c>
      <c r="Q69" s="1100">
        <v>14000000000</v>
      </c>
      <c r="R69" s="1100">
        <v>-48000000000</v>
      </c>
      <c r="S69" s="1100">
        <v>-39000000000</v>
      </c>
      <c r="T69" s="1100">
        <v>-40000000000</v>
      </c>
      <c r="U69" s="1100">
        <v>-20000000000</v>
      </c>
      <c r="V69" s="1100">
        <v>-33000000000</v>
      </c>
      <c r="W69" s="1033">
        <v>-38000000000</v>
      </c>
      <c r="X69" s="1033">
        <v>-44000000000</v>
      </c>
      <c r="Y69" s="1033">
        <v>-50000000000</v>
      </c>
      <c r="Z69" s="142"/>
    </row>
    <row r="70" spans="1:26" ht="16.5">
      <c r="B70" s="1039" t="s">
        <v>5785</v>
      </c>
      <c r="C70" s="1034"/>
      <c r="D70" s="1099">
        <v>-1848000000</v>
      </c>
      <c r="E70" s="1099">
        <v>-5350000000</v>
      </c>
      <c r="F70" s="1099">
        <v>3005000000</v>
      </c>
      <c r="G70" s="1099">
        <v>-12517000000</v>
      </c>
      <c r="H70" s="1099">
        <v>-16070000000</v>
      </c>
      <c r="I70" s="1099">
        <v>-3175000000</v>
      </c>
      <c r="J70" s="1099">
        <v>15686000000</v>
      </c>
      <c r="K70" s="1099">
        <v>-2374000000</v>
      </c>
      <c r="L70" s="1099">
        <v>16000000000</v>
      </c>
      <c r="M70" s="1099">
        <v>12000000000</v>
      </c>
      <c r="N70" s="1099">
        <v>8000000000</v>
      </c>
      <c r="O70" s="1100">
        <v>167000000000</v>
      </c>
      <c r="P70" s="1100">
        <v>68000000000</v>
      </c>
      <c r="Q70" s="1100">
        <v>-211000000000</v>
      </c>
      <c r="R70" s="1100">
        <v>-11000000000</v>
      </c>
      <c r="S70" s="1100">
        <v>13000000000</v>
      </c>
      <c r="T70" s="1100">
        <v>460000000000</v>
      </c>
      <c r="U70" s="1100">
        <v>-460000000000</v>
      </c>
      <c r="V70" s="1100">
        <v>0</v>
      </c>
      <c r="W70" s="1033">
        <v>0</v>
      </c>
      <c r="X70" s="1033">
        <v>0</v>
      </c>
      <c r="Y70" s="1033">
        <v>0</v>
      </c>
      <c r="Z70" s="142"/>
    </row>
    <row r="71" spans="1:26" ht="16.5">
      <c r="B71" s="1039" t="s">
        <v>5786</v>
      </c>
      <c r="D71" s="1103">
        <v>0</v>
      </c>
      <c r="E71" s="1103">
        <v>0</v>
      </c>
      <c r="F71" s="1103">
        <v>0</v>
      </c>
      <c r="G71" s="1103">
        <v>0</v>
      </c>
      <c r="H71" s="1103">
        <v>0</v>
      </c>
      <c r="I71" s="1103">
        <v>0</v>
      </c>
      <c r="J71" s="1103">
        <v>0</v>
      </c>
      <c r="K71" s="1103">
        <v>0</v>
      </c>
      <c r="L71" s="1103">
        <v>0</v>
      </c>
      <c r="M71" s="1099">
        <v>0</v>
      </c>
      <c r="N71" s="1099">
        <v>0</v>
      </c>
      <c r="O71" s="1100">
        <v>183000000000</v>
      </c>
      <c r="P71" s="1100">
        <v>251000000000</v>
      </c>
      <c r="Q71" s="1100">
        <v>30000000000</v>
      </c>
      <c r="R71" s="1100">
        <v>0</v>
      </c>
      <c r="S71" s="1100">
        <v>0</v>
      </c>
      <c r="T71" s="1100">
        <v>460000000000</v>
      </c>
      <c r="U71" s="1100">
        <v>512000000000</v>
      </c>
      <c r="V71" s="1100">
        <v>0</v>
      </c>
      <c r="W71" s="1033">
        <v>0</v>
      </c>
      <c r="X71" s="1033">
        <v>0</v>
      </c>
      <c r="Y71" s="1033">
        <v>0</v>
      </c>
      <c r="Z71" s="142"/>
    </row>
    <row r="72" spans="1:26" ht="16.5">
      <c r="B72" s="1039" t="s">
        <v>5787</v>
      </c>
      <c r="D72" s="1103">
        <v>0</v>
      </c>
      <c r="E72" s="1103">
        <v>0</v>
      </c>
      <c r="F72" s="1103">
        <v>0</v>
      </c>
      <c r="G72" s="1103">
        <v>0</v>
      </c>
      <c r="H72" s="1103">
        <v>0</v>
      </c>
      <c r="I72" s="1103">
        <v>0</v>
      </c>
      <c r="J72" s="1103">
        <v>0</v>
      </c>
      <c r="K72" s="1103">
        <v>0</v>
      </c>
      <c r="L72" s="1103">
        <v>0</v>
      </c>
      <c r="M72" s="1099">
        <v>0</v>
      </c>
      <c r="N72" s="1099">
        <v>0</v>
      </c>
      <c r="O72" s="1100" t="s">
        <v>78</v>
      </c>
      <c r="P72" s="1100">
        <v>-183000000000</v>
      </c>
      <c r="Q72" s="1100">
        <v>-241000000000</v>
      </c>
      <c r="R72" s="1100">
        <v>-11000000000</v>
      </c>
      <c r="S72" s="1100">
        <v>0</v>
      </c>
      <c r="T72" s="1100">
        <v>0</v>
      </c>
      <c r="U72" s="1100">
        <v>-972000000000</v>
      </c>
      <c r="V72" s="1100">
        <v>0</v>
      </c>
      <c r="W72" s="1033">
        <v>0</v>
      </c>
      <c r="X72" s="1033">
        <v>0</v>
      </c>
      <c r="Y72" s="1033">
        <v>0</v>
      </c>
      <c r="Z72" s="142"/>
    </row>
    <row r="73" spans="1:26" ht="16.5">
      <c r="B73" s="1034" t="s">
        <v>5788</v>
      </c>
      <c r="D73" s="1103">
        <v>0</v>
      </c>
      <c r="E73" s="1103">
        <v>0</v>
      </c>
      <c r="F73" s="1103">
        <v>0</v>
      </c>
      <c r="G73" s="1103">
        <v>0</v>
      </c>
      <c r="H73" s="1103">
        <v>0</v>
      </c>
      <c r="I73" s="1103">
        <v>0</v>
      </c>
      <c r="J73" s="1103">
        <v>0</v>
      </c>
      <c r="K73" s="1103">
        <v>0</v>
      </c>
      <c r="L73" s="1099">
        <v>-28000000000</v>
      </c>
      <c r="M73" s="1099">
        <v>1000000000</v>
      </c>
      <c r="N73" s="1099">
        <v>-6000000000</v>
      </c>
      <c r="O73" s="1100">
        <v>2000000000</v>
      </c>
      <c r="P73" s="1100">
        <v>-11000000000</v>
      </c>
      <c r="Q73" s="1100"/>
      <c r="R73" s="1100"/>
      <c r="S73" s="1100"/>
      <c r="T73" s="1100"/>
      <c r="U73" s="1100"/>
      <c r="V73" s="1100"/>
      <c r="W73" s="1033"/>
      <c r="X73" s="1033"/>
      <c r="Y73" s="1033"/>
      <c r="Z73" s="142"/>
    </row>
    <row r="74" spans="1:26" ht="16.5">
      <c r="B74" s="1034" t="s">
        <v>5789</v>
      </c>
      <c r="D74" s="1103">
        <v>0</v>
      </c>
      <c r="E74" s="1103">
        <v>0</v>
      </c>
      <c r="F74" s="1103">
        <v>0</v>
      </c>
      <c r="G74" s="1103">
        <v>0</v>
      </c>
      <c r="H74" s="1103">
        <v>0</v>
      </c>
      <c r="I74" s="1103">
        <v>0</v>
      </c>
      <c r="J74" s="1103">
        <v>0</v>
      </c>
      <c r="K74" s="1103">
        <v>0</v>
      </c>
      <c r="L74" s="1103">
        <v>0</v>
      </c>
      <c r="M74" s="1103">
        <v>0</v>
      </c>
      <c r="N74" s="1103">
        <v>0</v>
      </c>
      <c r="O74" s="1100"/>
      <c r="P74" s="1100"/>
      <c r="Q74" s="1100">
        <v>0</v>
      </c>
      <c r="R74" s="1100">
        <v>0</v>
      </c>
      <c r="S74" s="1100">
        <v>0</v>
      </c>
      <c r="T74" s="1100">
        <v>0</v>
      </c>
      <c r="U74" s="1100">
        <v>0</v>
      </c>
      <c r="V74" s="1100">
        <v>0</v>
      </c>
      <c r="W74" s="1033">
        <v>0</v>
      </c>
      <c r="X74" s="1033">
        <v>0</v>
      </c>
      <c r="Y74" s="1033">
        <v>0</v>
      </c>
      <c r="Z74" s="142"/>
    </row>
    <row r="75" spans="1:26" ht="16.5">
      <c r="B75" s="1034" t="s">
        <v>5790</v>
      </c>
      <c r="D75" s="1103">
        <v>0</v>
      </c>
      <c r="E75" s="1103">
        <v>0</v>
      </c>
      <c r="F75" s="1103">
        <v>0</v>
      </c>
      <c r="G75" s="1103">
        <v>0</v>
      </c>
      <c r="H75" s="1103">
        <v>0</v>
      </c>
      <c r="I75" s="1103">
        <v>0</v>
      </c>
      <c r="J75" s="1103">
        <v>0</v>
      </c>
      <c r="K75" s="1103">
        <v>0</v>
      </c>
      <c r="L75" s="1103">
        <v>0</v>
      </c>
      <c r="M75" s="1103">
        <v>0</v>
      </c>
      <c r="N75" s="1103">
        <v>0</v>
      </c>
      <c r="O75" s="1100"/>
      <c r="P75" s="1100"/>
      <c r="Q75" s="1100"/>
      <c r="R75" s="1100"/>
      <c r="S75" s="1100"/>
      <c r="T75" s="1100"/>
      <c r="U75" s="1100"/>
      <c r="V75" s="1100"/>
      <c r="W75" s="1033"/>
      <c r="X75" s="1033"/>
      <c r="Y75" s="1033"/>
      <c r="Z75" s="142"/>
    </row>
    <row r="76" spans="1:26" ht="16.5">
      <c r="B76" s="1034" t="s">
        <v>5791</v>
      </c>
      <c r="D76" s="1103">
        <v>0</v>
      </c>
      <c r="E76" s="1103">
        <v>0</v>
      </c>
      <c r="F76" s="1103">
        <v>0</v>
      </c>
      <c r="G76" s="1103">
        <v>0</v>
      </c>
      <c r="H76" s="1103">
        <v>0</v>
      </c>
      <c r="I76" s="1103">
        <v>0</v>
      </c>
      <c r="J76" s="1103">
        <v>0</v>
      </c>
      <c r="K76" s="1103">
        <v>0</v>
      </c>
      <c r="L76" s="1103">
        <v>0</v>
      </c>
      <c r="M76" s="1103">
        <v>0</v>
      </c>
      <c r="N76" s="1103">
        <v>0</v>
      </c>
      <c r="O76" s="1100"/>
      <c r="P76" s="1100"/>
      <c r="Q76" s="1100"/>
      <c r="R76" s="1116"/>
      <c r="S76" s="1100">
        <v>0</v>
      </c>
      <c r="T76" s="1100">
        <v>0</v>
      </c>
      <c r="U76" s="1100">
        <v>0</v>
      </c>
      <c r="V76" s="1100">
        <v>0</v>
      </c>
      <c r="W76" s="1033">
        <v>0</v>
      </c>
      <c r="X76" s="1033">
        <v>0</v>
      </c>
      <c r="Y76" s="1033">
        <v>0</v>
      </c>
      <c r="Z76" s="142"/>
    </row>
    <row r="77" spans="1:26" ht="16.5">
      <c r="B77" s="1034" t="s">
        <v>5792</v>
      </c>
      <c r="O77" s="1034"/>
      <c r="P77" s="1034"/>
      <c r="Q77" s="1034"/>
      <c r="R77" s="1116"/>
      <c r="S77" s="1075">
        <v>0</v>
      </c>
      <c r="T77" s="1075">
        <v>0</v>
      </c>
      <c r="U77" s="1075">
        <v>0</v>
      </c>
      <c r="V77" s="1075">
        <v>0</v>
      </c>
      <c r="W77" s="1033">
        <v>0</v>
      </c>
      <c r="X77" s="1033">
        <v>0</v>
      </c>
      <c r="Y77" s="1033">
        <v>0</v>
      </c>
      <c r="Z77" s="142"/>
    </row>
    <row r="78" spans="1:26" ht="16.5">
      <c r="B78" s="1034" t="s">
        <v>5793</v>
      </c>
      <c r="O78" s="1034"/>
      <c r="P78" s="1034"/>
      <c r="Q78" s="1034"/>
      <c r="R78" s="1116"/>
      <c r="S78" s="1075"/>
      <c r="T78" s="1075"/>
      <c r="U78" s="1075"/>
      <c r="V78" s="1075"/>
      <c r="W78" s="1033"/>
      <c r="X78" s="1033"/>
      <c r="Y78" s="1033"/>
      <c r="Z78" s="142"/>
    </row>
    <row r="79" spans="1:26" ht="16.5">
      <c r="B79" s="1034" t="s">
        <v>5794</v>
      </c>
      <c r="O79" s="1034"/>
      <c r="P79" s="1034"/>
      <c r="Q79" s="1034">
        <v>883000000000</v>
      </c>
      <c r="R79" s="1116">
        <v>1236000000000</v>
      </c>
      <c r="S79" s="1075">
        <v>1253000000000</v>
      </c>
      <c r="T79" s="1075">
        <v>1248000000000</v>
      </c>
      <c r="U79" s="1075">
        <v>1889000000000</v>
      </c>
      <c r="V79" s="1075">
        <v>2088000000000</v>
      </c>
      <c r="W79" s="1033">
        <v>2482000000000</v>
      </c>
      <c r="X79" s="1033">
        <v>3023000000000</v>
      </c>
      <c r="Y79" s="1033">
        <v>3594000000000</v>
      </c>
      <c r="Z79" s="142"/>
    </row>
    <row r="80" spans="1:26" ht="16.5">
      <c r="B80" s="1034" t="s">
        <v>5795</v>
      </c>
      <c r="O80" s="1034"/>
      <c r="P80" s="1034"/>
      <c r="Q80" s="1034">
        <v>-276000000000</v>
      </c>
      <c r="R80" s="1116">
        <v>-795000000000</v>
      </c>
      <c r="S80" s="1075">
        <v>-276000000000</v>
      </c>
      <c r="T80" s="1075">
        <v>-1904000000000</v>
      </c>
      <c r="U80" s="1075">
        <v>-1386000000000</v>
      </c>
      <c r="V80" s="1075">
        <v>-1259000000000</v>
      </c>
      <c r="W80" s="1033">
        <v>-1204000000000</v>
      </c>
      <c r="X80" s="1033">
        <v>-1351000000000</v>
      </c>
      <c r="Y80" s="1033">
        <v>-1493000000000</v>
      </c>
      <c r="Z80" s="142"/>
    </row>
    <row r="81" spans="1:26" ht="16.5">
      <c r="B81" s="1034" t="s">
        <v>5796</v>
      </c>
      <c r="O81" s="1034"/>
      <c r="P81" s="1034"/>
      <c r="Q81" s="1034">
        <v>1961000000000</v>
      </c>
      <c r="R81" s="1116">
        <v>2347000000000</v>
      </c>
      <c r="S81" s="1075">
        <v>2722000000000</v>
      </c>
      <c r="T81" s="1075">
        <v>3486000000000</v>
      </c>
      <c r="U81" s="1075">
        <v>4364000000000</v>
      </c>
      <c r="V81" s="1075">
        <v>5016000000000</v>
      </c>
      <c r="W81" s="1033">
        <v>5764000000000</v>
      </c>
      <c r="X81" s="1033">
        <v>6632000000000</v>
      </c>
      <c r="Y81" s="1033">
        <v>7632000000000</v>
      </c>
      <c r="Z81" s="142"/>
    </row>
    <row r="82" spans="1:26" ht="16.5">
      <c r="B82" s="1034" t="s">
        <v>5797</v>
      </c>
      <c r="O82" s="1034"/>
      <c r="P82" s="1034"/>
      <c r="Q82" s="1034">
        <v>231000000000</v>
      </c>
      <c r="R82" s="1116">
        <v>568000000000</v>
      </c>
      <c r="S82" s="1075">
        <v>375000000000</v>
      </c>
      <c r="T82" s="1075">
        <v>1268000000000</v>
      </c>
      <c r="U82" s="1075">
        <v>571000000000</v>
      </c>
      <c r="V82" s="1075">
        <v>660000000000</v>
      </c>
      <c r="W82" s="1033">
        <v>760000000000</v>
      </c>
      <c r="X82" s="1033">
        <v>877000000000</v>
      </c>
      <c r="Y82" s="1033">
        <v>1010000000000</v>
      </c>
      <c r="Z82" s="142"/>
    </row>
    <row r="83" spans="1:26">
      <c r="O83" s="1034"/>
      <c r="P83" s="1034"/>
      <c r="Q83" s="1034"/>
      <c r="R83" s="1034"/>
      <c r="S83" s="1075"/>
      <c r="T83" s="1075"/>
      <c r="U83" s="1075"/>
      <c r="V83" s="1075"/>
    </row>
    <row r="84" spans="1:26">
      <c r="D84" s="1027" t="s">
        <v>139</v>
      </c>
      <c r="E84" s="1027" t="s">
        <v>139</v>
      </c>
      <c r="F84" s="1027" t="s">
        <v>139</v>
      </c>
      <c r="G84" s="1027" t="s">
        <v>139</v>
      </c>
      <c r="H84" s="1027" t="s">
        <v>139</v>
      </c>
      <c r="I84" s="1027" t="s">
        <v>139</v>
      </c>
      <c r="J84" s="1027" t="s">
        <v>139</v>
      </c>
      <c r="K84" s="1027" t="s">
        <v>139</v>
      </c>
      <c r="L84" s="1027" t="s">
        <v>139</v>
      </c>
      <c r="M84" s="1027" t="s">
        <v>139</v>
      </c>
      <c r="N84" s="1027" t="s">
        <v>139</v>
      </c>
      <c r="O84" s="1027" t="s">
        <v>139</v>
      </c>
      <c r="P84" s="1027" t="s">
        <v>139</v>
      </c>
      <c r="Q84" s="1027" t="s">
        <v>139</v>
      </c>
      <c r="R84" s="1027" t="s">
        <v>139</v>
      </c>
      <c r="S84" s="1027" t="s">
        <v>139</v>
      </c>
      <c r="T84" s="1027" t="s">
        <v>139</v>
      </c>
      <c r="U84" s="1027" t="s">
        <v>139</v>
      </c>
      <c r="V84" s="1027" t="s">
        <v>139</v>
      </c>
      <c r="W84" s="1027" t="s">
        <v>139</v>
      </c>
      <c r="X84" s="1027" t="s">
        <v>139</v>
      </c>
      <c r="Y84" s="1027" t="s">
        <v>139</v>
      </c>
    </row>
    <row r="86" spans="1:26" ht="15.75" thickBot="1">
      <c r="B86" s="1123"/>
      <c r="C86" s="1123"/>
    </row>
    <row r="87" spans="1:26">
      <c r="A87" s="1121"/>
      <c r="B87" s="1027" t="s">
        <v>875</v>
      </c>
      <c r="D87" s="1045">
        <f t="shared" ref="D87:Y87" si="11">D6-D8-D21</f>
        <v>0</v>
      </c>
      <c r="E87" s="1045">
        <f t="shared" si="11"/>
        <v>0</v>
      </c>
      <c r="F87" s="1045">
        <f t="shared" si="11"/>
        <v>0</v>
      </c>
      <c r="G87" s="1045">
        <f t="shared" si="11"/>
        <v>0</v>
      </c>
      <c r="H87" s="1045">
        <f t="shared" si="11"/>
        <v>0</v>
      </c>
      <c r="I87" s="1045">
        <f t="shared" si="11"/>
        <v>0</v>
      </c>
      <c r="J87" s="1045">
        <f t="shared" si="11"/>
        <v>0</v>
      </c>
      <c r="K87" s="1045">
        <f t="shared" si="11"/>
        <v>0</v>
      </c>
      <c r="L87" s="1045">
        <f t="shared" si="11"/>
        <v>0</v>
      </c>
      <c r="M87" s="1045">
        <f t="shared" si="11"/>
        <v>0</v>
      </c>
      <c r="N87" s="1045">
        <f t="shared" si="11"/>
        <v>0</v>
      </c>
      <c r="O87" s="1045">
        <f t="shared" si="11"/>
        <v>0</v>
      </c>
      <c r="P87" s="1045">
        <f t="shared" si="11"/>
        <v>0</v>
      </c>
      <c r="Q87" s="1045">
        <f t="shared" si="11"/>
        <v>0</v>
      </c>
      <c r="R87" s="1045">
        <f t="shared" si="11"/>
        <v>0</v>
      </c>
      <c r="S87" s="1045">
        <f t="shared" si="11"/>
        <v>0</v>
      </c>
      <c r="T87" s="1045">
        <f t="shared" si="11"/>
        <v>-1000000000</v>
      </c>
      <c r="U87" s="1045">
        <f t="shared" si="11"/>
        <v>-1000000000</v>
      </c>
      <c r="V87" s="1045">
        <f t="shared" si="11"/>
        <v>1000000000</v>
      </c>
      <c r="W87" s="1045">
        <f t="shared" si="11"/>
        <v>0</v>
      </c>
      <c r="X87" s="1045">
        <f t="shared" si="11"/>
        <v>0</v>
      </c>
      <c r="Y87" s="1045">
        <f t="shared" si="11"/>
        <v>1000000000</v>
      </c>
    </row>
    <row r="88" spans="1:26">
      <c r="A88" s="1121"/>
      <c r="B88" s="1027" t="s">
        <v>616</v>
      </c>
      <c r="D88" s="1045">
        <f t="shared" ref="D88:Y88" si="12">D8-D10-D20</f>
        <v>0</v>
      </c>
      <c r="E88" s="1045">
        <f t="shared" si="12"/>
        <v>0</v>
      </c>
      <c r="F88" s="1045">
        <f t="shared" si="12"/>
        <v>0</v>
      </c>
      <c r="G88" s="1045">
        <f t="shared" si="12"/>
        <v>0</v>
      </c>
      <c r="H88" s="1045">
        <f t="shared" si="12"/>
        <v>0</v>
      </c>
      <c r="I88" s="1045">
        <f t="shared" si="12"/>
        <v>0</v>
      </c>
      <c r="J88" s="1045">
        <f t="shared" si="12"/>
        <v>0</v>
      </c>
      <c r="K88" s="1045">
        <f t="shared" si="12"/>
        <v>0</v>
      </c>
      <c r="L88" s="1045">
        <f t="shared" si="12"/>
        <v>0</v>
      </c>
      <c r="M88" s="1045">
        <f t="shared" si="12"/>
        <v>0</v>
      </c>
      <c r="N88" s="1045">
        <f t="shared" si="12"/>
        <v>0</v>
      </c>
      <c r="O88" s="1045">
        <f t="shared" si="12"/>
        <v>0</v>
      </c>
      <c r="P88" s="1045">
        <f t="shared" si="12"/>
        <v>0</v>
      </c>
      <c r="Q88" s="1045">
        <f t="shared" si="12"/>
        <v>0</v>
      </c>
      <c r="R88" s="1045">
        <f t="shared" si="12"/>
        <v>-1000000000</v>
      </c>
      <c r="S88" s="1045">
        <f t="shared" si="12"/>
        <v>0</v>
      </c>
      <c r="T88" s="1045">
        <f t="shared" si="12"/>
        <v>0</v>
      </c>
      <c r="U88" s="1045">
        <f t="shared" si="12"/>
        <v>0</v>
      </c>
      <c r="V88" s="1045">
        <f t="shared" si="12"/>
        <v>-1000000000</v>
      </c>
      <c r="W88" s="1045">
        <f t="shared" si="12"/>
        <v>-1000000000</v>
      </c>
      <c r="X88" s="1045">
        <f t="shared" si="12"/>
        <v>0</v>
      </c>
      <c r="Y88" s="1045">
        <f t="shared" si="12"/>
        <v>0</v>
      </c>
    </row>
    <row r="89" spans="1:26">
      <c r="A89" s="1121"/>
      <c r="B89" s="1027" t="s">
        <v>142</v>
      </c>
      <c r="D89" s="1045">
        <f t="shared" ref="D89:Y89" si="13">D10-D12-D13-D14-D16-D17-D18-D19-D15</f>
        <v>0</v>
      </c>
      <c r="E89" s="1045">
        <f t="shared" si="13"/>
        <v>0</v>
      </c>
      <c r="F89" s="1045">
        <f t="shared" si="13"/>
        <v>0</v>
      </c>
      <c r="G89" s="1045">
        <f t="shared" si="13"/>
        <v>0</v>
      </c>
      <c r="H89" s="1045">
        <f t="shared" si="13"/>
        <v>0</v>
      </c>
      <c r="I89" s="1045">
        <f t="shared" si="13"/>
        <v>0</v>
      </c>
      <c r="J89" s="1045">
        <f t="shared" si="13"/>
        <v>0</v>
      </c>
      <c r="K89" s="1045">
        <f t="shared" si="13"/>
        <v>0</v>
      </c>
      <c r="L89" s="1045">
        <f t="shared" si="13"/>
        <v>0</v>
      </c>
      <c r="M89" s="1045">
        <f t="shared" si="13"/>
        <v>0</v>
      </c>
      <c r="N89" s="1045">
        <f t="shared" si="13"/>
        <v>0</v>
      </c>
      <c r="O89" s="1045">
        <f t="shared" si="13"/>
        <v>0</v>
      </c>
      <c r="P89" s="1045">
        <f t="shared" si="13"/>
        <v>0</v>
      </c>
      <c r="Q89" s="1045">
        <f t="shared" si="13"/>
        <v>-1000000000</v>
      </c>
      <c r="R89" s="1045">
        <f t="shared" si="13"/>
        <v>0</v>
      </c>
      <c r="S89" s="1045">
        <f t="shared" si="13"/>
        <v>0</v>
      </c>
      <c r="T89" s="1045">
        <f t="shared" si="13"/>
        <v>0</v>
      </c>
      <c r="U89" s="1045">
        <f t="shared" si="13"/>
        <v>1000000000</v>
      </c>
      <c r="V89" s="1045">
        <f t="shared" si="13"/>
        <v>0</v>
      </c>
      <c r="W89" s="1045">
        <f t="shared" si="13"/>
        <v>0</v>
      </c>
      <c r="X89" s="1045">
        <f t="shared" si="13"/>
        <v>-1000000000</v>
      </c>
      <c r="Y89" s="1045">
        <f t="shared" si="13"/>
        <v>-1000000000</v>
      </c>
    </row>
    <row r="90" spans="1:26">
      <c r="A90" s="1121"/>
      <c r="B90" s="1027" t="s">
        <v>143</v>
      </c>
      <c r="D90" s="1117" t="e">
        <f>D21-D22-D24-#REF!</f>
        <v>#REF!</v>
      </c>
      <c r="E90" s="1117" t="e">
        <f>E21-E22-E24-#REF!</f>
        <v>#REF!</v>
      </c>
      <c r="F90" s="1117" t="e">
        <f>F21-F22-F24-#REF!</f>
        <v>#REF!</v>
      </c>
      <c r="G90" s="1117" t="e">
        <f>G21-G22-G24-#REF!</f>
        <v>#REF!</v>
      </c>
      <c r="H90" s="1117" t="e">
        <f>H21-H22-H24-#REF!</f>
        <v>#REF!</v>
      </c>
      <c r="I90" s="1117" t="e">
        <f>I21-I22-I24-#REF!</f>
        <v>#REF!</v>
      </c>
      <c r="J90" s="1117" t="e">
        <f>J21-J22-J24-#REF!</f>
        <v>#REF!</v>
      </c>
      <c r="K90" s="1117" t="e">
        <f>K21-K22-K24-#REF!</f>
        <v>#REF!</v>
      </c>
      <c r="L90" s="1118" t="e">
        <f>L21-L22-L24-#REF!</f>
        <v>#REF!</v>
      </c>
      <c r="M90" s="1118" t="e">
        <f>M21-M22-M24-#REF!</f>
        <v>#REF!</v>
      </c>
      <c r="N90" s="1118" t="e">
        <f>N21-N22-N24-#REF!</f>
        <v>#REF!</v>
      </c>
      <c r="O90" s="1118" t="e">
        <f>O21-O22-O24-#REF!</f>
        <v>#REF!</v>
      </c>
      <c r="P90" s="1118" t="e">
        <f>P21-P22-P24-#REF!</f>
        <v>#REF!</v>
      </c>
      <c r="Q90" s="1118" t="e">
        <f>Q21-Q22-Q24-#REF!</f>
        <v>#REF!</v>
      </c>
      <c r="R90" s="1124" t="e">
        <f>R21-R22-R24-#REF!</f>
        <v>#REF!</v>
      </c>
      <c r="S90" s="1118" t="e">
        <f>S21-S22-S24-#REF!</f>
        <v>#REF!</v>
      </c>
      <c r="T90" s="1118" t="e">
        <f>T21-T22-T24-#REF!</f>
        <v>#REF!</v>
      </c>
      <c r="U90" s="1118" t="e">
        <f>U21-U22-U24-#REF!</f>
        <v>#REF!</v>
      </c>
      <c r="V90" s="1118" t="e">
        <f>V21-V22-V24-#REF!</f>
        <v>#REF!</v>
      </c>
      <c r="W90" s="1118" t="e">
        <f>W21-W22-W24-#REF!</f>
        <v>#REF!</v>
      </c>
      <c r="X90" s="1118" t="e">
        <f>X21-X22-X24-#REF!</f>
        <v>#REF!</v>
      </c>
      <c r="Y90" s="1118" t="e">
        <f>Y21-Y22-Y24-#REF!</f>
        <v>#REF!</v>
      </c>
    </row>
    <row r="91" spans="1:26">
      <c r="A91" s="1121"/>
      <c r="B91" s="1027" t="s">
        <v>619</v>
      </c>
      <c r="D91" s="1045">
        <f>D26-D28-D37-D38-D41-D42</f>
        <v>0</v>
      </c>
      <c r="E91" s="1045">
        <f t="shared" ref="E91:S91" si="14">E26-E28-E37-E38-E41-E42</f>
        <v>0</v>
      </c>
      <c r="F91" s="1045">
        <f t="shared" si="14"/>
        <v>0</v>
      </c>
      <c r="G91" s="1045">
        <f t="shared" si="14"/>
        <v>0</v>
      </c>
      <c r="H91" s="1045">
        <f>H26-H28-H37-H38-H41-H42</f>
        <v>0</v>
      </c>
      <c r="I91" s="1045">
        <f t="shared" si="14"/>
        <v>0</v>
      </c>
      <c r="J91" s="1045">
        <f t="shared" si="14"/>
        <v>0</v>
      </c>
      <c r="K91" s="1045">
        <f t="shared" si="14"/>
        <v>0</v>
      </c>
      <c r="L91" s="1045">
        <f t="shared" si="14"/>
        <v>0</v>
      </c>
      <c r="M91" s="1045">
        <f t="shared" si="14"/>
        <v>0</v>
      </c>
      <c r="N91" s="1045">
        <f t="shared" si="14"/>
        <v>0</v>
      </c>
      <c r="O91" s="1045">
        <f t="shared" si="14"/>
        <v>0</v>
      </c>
      <c r="P91" s="1045">
        <f t="shared" si="14"/>
        <v>0</v>
      </c>
      <c r="Q91" s="1045">
        <f t="shared" si="14"/>
        <v>0</v>
      </c>
      <c r="R91" s="1045">
        <f t="shared" si="14"/>
        <v>0</v>
      </c>
      <c r="S91" s="1045">
        <f t="shared" si="14"/>
        <v>0</v>
      </c>
      <c r="T91" s="1045">
        <f>T26-T28-T37-T38-T41-T42</f>
        <v>0</v>
      </c>
      <c r="U91" s="1045">
        <f>U26-U28-U37-U38-U41-U42</f>
        <v>0</v>
      </c>
      <c r="V91" s="1045">
        <f>V26-V28-V37-V38-V41-V42</f>
        <v>0</v>
      </c>
      <c r="W91" s="1045">
        <f t="shared" ref="W91:Y91" si="15">W26-W28-W37-W38-W41-W42</f>
        <v>0</v>
      </c>
      <c r="X91" s="1045">
        <f t="shared" si="15"/>
        <v>0</v>
      </c>
      <c r="Y91" s="1045">
        <f t="shared" si="15"/>
        <v>0</v>
      </c>
    </row>
    <row r="92" spans="1:26">
      <c r="A92" s="1121"/>
      <c r="B92" s="1027" t="s">
        <v>361</v>
      </c>
      <c r="D92" s="1045">
        <f>D28-D29-D30-D31-D33</f>
        <v>-1000000</v>
      </c>
      <c r="E92" s="1045">
        <f>E28-E29-E30-E31-E33-E36</f>
        <v>0</v>
      </c>
      <c r="F92" s="1045">
        <f>F28-F29-F30-F31-F33-F36</f>
        <v>0</v>
      </c>
      <c r="G92" s="1045">
        <f t="shared" ref="G92:S92" si="16">G28-G29-G30-G31-G33-G36</f>
        <v>0</v>
      </c>
      <c r="H92" s="1045">
        <f t="shared" si="16"/>
        <v>0</v>
      </c>
      <c r="I92" s="1045">
        <f t="shared" si="16"/>
        <v>0</v>
      </c>
      <c r="J92" s="1045">
        <f t="shared" si="16"/>
        <v>0</v>
      </c>
      <c r="K92" s="1045">
        <f>K28-K29-K30-K31-K33-K36</f>
        <v>0</v>
      </c>
      <c r="L92" s="1045">
        <f t="shared" si="16"/>
        <v>0</v>
      </c>
      <c r="M92" s="1045">
        <f t="shared" si="16"/>
        <v>0</v>
      </c>
      <c r="N92" s="1045">
        <f t="shared" si="16"/>
        <v>0</v>
      </c>
      <c r="O92" s="1045">
        <f t="shared" si="16"/>
        <v>1000000000</v>
      </c>
      <c r="P92" s="1045">
        <f t="shared" si="16"/>
        <v>1000000000</v>
      </c>
      <c r="Q92" s="1045">
        <f t="shared" si="16"/>
        <v>0</v>
      </c>
      <c r="R92" s="1045">
        <f t="shared" si="16"/>
        <v>52000000000</v>
      </c>
      <c r="S92" s="1045">
        <f t="shared" si="16"/>
        <v>-1000000000</v>
      </c>
      <c r="T92" s="1045">
        <f>T28-T29-T30-T31-T33-T36</f>
        <v>-1000000000</v>
      </c>
      <c r="U92" s="1045">
        <f>U28-U29-U30-U31-U33-U36</f>
        <v>0</v>
      </c>
      <c r="V92" s="1045">
        <f>V28-V29-V30-V31-V33-V36</f>
        <v>-1000000000</v>
      </c>
      <c r="W92" s="1045">
        <f t="shared" ref="W92:Y92" si="17">W28-W29-W30-W31-W33-W36</f>
        <v>-1000000000</v>
      </c>
      <c r="X92" s="1045">
        <f t="shared" si="17"/>
        <v>0</v>
      </c>
      <c r="Y92" s="1045">
        <f t="shared" si="17"/>
        <v>1000000000</v>
      </c>
    </row>
    <row r="93" spans="1:26">
      <c r="A93" s="1121"/>
      <c r="B93" s="1027" t="s">
        <v>291</v>
      </c>
      <c r="D93" s="1045">
        <f>D33-D34-D35</f>
        <v>0</v>
      </c>
      <c r="E93" s="1045">
        <f t="shared" ref="E93:S93" si="18">E33-E34-E35</f>
        <v>0</v>
      </c>
      <c r="F93" s="1045">
        <f t="shared" si="18"/>
        <v>0</v>
      </c>
      <c r="G93" s="1045">
        <f t="shared" si="18"/>
        <v>0</v>
      </c>
      <c r="H93" s="1045">
        <f t="shared" si="18"/>
        <v>1000000</v>
      </c>
      <c r="I93" s="1045">
        <f t="shared" si="18"/>
        <v>-1000000</v>
      </c>
      <c r="J93" s="1045">
        <f t="shared" si="18"/>
        <v>0</v>
      </c>
      <c r="K93" s="1045">
        <f t="shared" si="18"/>
        <v>0</v>
      </c>
      <c r="L93" s="1045">
        <f t="shared" si="18"/>
        <v>-1000000000</v>
      </c>
      <c r="M93" s="1045">
        <f t="shared" si="18"/>
        <v>0</v>
      </c>
      <c r="N93" s="1045">
        <f t="shared" si="18"/>
        <v>0</v>
      </c>
      <c r="O93" s="1045">
        <f t="shared" si="18"/>
        <v>0</v>
      </c>
      <c r="P93" s="1045">
        <f t="shared" si="18"/>
        <v>0</v>
      </c>
      <c r="Q93" s="1045">
        <f t="shared" si="18"/>
        <v>0</v>
      </c>
      <c r="R93" s="1045">
        <f t="shared" si="18"/>
        <v>0</v>
      </c>
      <c r="S93" s="1045">
        <f t="shared" si="18"/>
        <v>0</v>
      </c>
      <c r="T93" s="1045">
        <f>T33-T34-T35</f>
        <v>0</v>
      </c>
      <c r="U93" s="1045">
        <f>U33-U34-U35</f>
        <v>0</v>
      </c>
      <c r="V93" s="1045">
        <f>V33-V34-V35</f>
        <v>0</v>
      </c>
      <c r="W93" s="1045">
        <f t="shared" ref="W93:Y93" si="19">W33-W34-W35</f>
        <v>0</v>
      </c>
      <c r="X93" s="1045">
        <f t="shared" si="19"/>
        <v>0</v>
      </c>
      <c r="Y93" s="1045">
        <f t="shared" si="19"/>
        <v>0</v>
      </c>
    </row>
    <row r="94" spans="1:26">
      <c r="A94" s="1121"/>
      <c r="B94" s="1027" t="s">
        <v>3024</v>
      </c>
      <c r="D94" s="1045">
        <f t="shared" ref="D94:M94" si="20">D38-D39-D40</f>
        <v>0</v>
      </c>
      <c r="E94" s="1045">
        <f t="shared" si="20"/>
        <v>0</v>
      </c>
      <c r="F94" s="1045">
        <f t="shared" si="20"/>
        <v>0</v>
      </c>
      <c r="G94" s="1045">
        <f t="shared" si="20"/>
        <v>0</v>
      </c>
      <c r="H94" s="1045">
        <f t="shared" si="20"/>
        <v>0</v>
      </c>
      <c r="I94" s="1045">
        <f t="shared" si="20"/>
        <v>0</v>
      </c>
      <c r="J94" s="1045">
        <f t="shared" si="20"/>
        <v>0</v>
      </c>
      <c r="K94" s="1045">
        <f t="shared" si="20"/>
        <v>0</v>
      </c>
      <c r="L94" s="1045">
        <f t="shared" si="20"/>
        <v>0</v>
      </c>
      <c r="M94" s="1045">
        <f t="shared" si="20"/>
        <v>0</v>
      </c>
      <c r="N94" s="1045">
        <f t="shared" ref="N94:S94" si="21">N38-N39-N40</f>
        <v>0</v>
      </c>
      <c r="O94" s="1045">
        <f t="shared" si="21"/>
        <v>0</v>
      </c>
      <c r="P94" s="1045">
        <f t="shared" si="21"/>
        <v>0</v>
      </c>
      <c r="Q94" s="1045">
        <f t="shared" si="21"/>
        <v>0</v>
      </c>
      <c r="R94" s="1045">
        <f t="shared" si="21"/>
        <v>0</v>
      </c>
      <c r="S94" s="1045">
        <f t="shared" si="21"/>
        <v>0</v>
      </c>
      <c r="T94" s="1045">
        <f>T38-T39-T40</f>
        <v>0</v>
      </c>
      <c r="U94" s="1045">
        <f>U38-U39-U40</f>
        <v>0</v>
      </c>
      <c r="V94" s="1045">
        <f>V38-V39-V40</f>
        <v>0</v>
      </c>
      <c r="W94" s="1045">
        <f t="shared" ref="W94:Y94" si="22">W38-W39-W40</f>
        <v>0</v>
      </c>
      <c r="X94" s="1045">
        <f t="shared" si="22"/>
        <v>1000000000</v>
      </c>
      <c r="Y94" s="1045">
        <f t="shared" si="22"/>
        <v>0</v>
      </c>
    </row>
    <row r="95" spans="1:26">
      <c r="A95" s="1121"/>
      <c r="B95" s="1027" t="s">
        <v>527</v>
      </c>
      <c r="D95" s="1045">
        <f t="shared" ref="D95:M95" si="23">D47-D48-D55-D73</f>
        <v>0</v>
      </c>
      <c r="E95" s="1045">
        <f t="shared" si="23"/>
        <v>0</v>
      </c>
      <c r="F95" s="1045">
        <f t="shared" si="23"/>
        <v>0</v>
      </c>
      <c r="G95" s="1045">
        <f t="shared" si="23"/>
        <v>0</v>
      </c>
      <c r="H95" s="1045">
        <f t="shared" si="23"/>
        <v>0</v>
      </c>
      <c r="I95" s="1045">
        <f t="shared" si="23"/>
        <v>0</v>
      </c>
      <c r="J95" s="1045">
        <f t="shared" si="23"/>
        <v>0</v>
      </c>
      <c r="K95" s="1045">
        <f t="shared" si="23"/>
        <v>0</v>
      </c>
      <c r="L95" s="1045">
        <f>L47-L48-L55-L73</f>
        <v>28000000000</v>
      </c>
      <c r="M95" s="1045">
        <f t="shared" si="23"/>
        <v>-1000000000</v>
      </c>
      <c r="N95" s="1045">
        <f t="shared" ref="N95:S95" si="24">N47-N48-N55-N73</f>
        <v>6000000000</v>
      </c>
      <c r="O95" s="1045">
        <f t="shared" si="24"/>
        <v>-2000000000</v>
      </c>
      <c r="P95" s="1045">
        <f t="shared" si="24"/>
        <v>11000000000</v>
      </c>
      <c r="Q95" s="1045">
        <f t="shared" si="24"/>
        <v>0</v>
      </c>
      <c r="R95" s="1045">
        <f>R47-R48-R55-R73</f>
        <v>0</v>
      </c>
      <c r="S95" s="1045">
        <f t="shared" si="24"/>
        <v>0</v>
      </c>
      <c r="T95" s="1045">
        <f>T47-T48-T55-T73</f>
        <v>0</v>
      </c>
      <c r="U95" s="1045">
        <f>U47-U48-U55-U73</f>
        <v>0</v>
      </c>
      <c r="V95" s="1045">
        <f>V47-V48-V55-V73</f>
        <v>0</v>
      </c>
      <c r="W95" s="1045">
        <f t="shared" ref="W95:Y95" si="25">W47-W48-W55-W73</f>
        <v>0</v>
      </c>
      <c r="X95" s="1045">
        <f t="shared" si="25"/>
        <v>0</v>
      </c>
      <c r="Y95" s="1045">
        <f t="shared" si="25"/>
        <v>0</v>
      </c>
    </row>
    <row r="96" spans="1:26">
      <c r="A96" s="1121"/>
      <c r="B96" s="1027" t="s">
        <v>5130</v>
      </c>
      <c r="D96" s="1118">
        <f>D48-D49-D52-D53-D54</f>
        <v>0</v>
      </c>
      <c r="E96" s="1118">
        <f>E48-E49-E52-E53-E54</f>
        <v>0</v>
      </c>
      <c r="F96" s="1118">
        <f t="shared" ref="F96:S96" si="26">F48-F49-F52-F53-F54</f>
        <v>0</v>
      </c>
      <c r="G96" s="1118">
        <f t="shared" si="26"/>
        <v>0</v>
      </c>
      <c r="H96" s="1118">
        <f t="shared" si="26"/>
        <v>0</v>
      </c>
      <c r="I96" s="1118">
        <f t="shared" si="26"/>
        <v>-1000000</v>
      </c>
      <c r="J96" s="1118">
        <f t="shared" si="26"/>
        <v>0</v>
      </c>
      <c r="K96" s="1118">
        <f t="shared" si="26"/>
        <v>0</v>
      </c>
      <c r="L96" s="1118">
        <f t="shared" si="26"/>
        <v>0</v>
      </c>
      <c r="M96" s="1118">
        <f t="shared" si="26"/>
        <v>0</v>
      </c>
      <c r="N96" s="1118">
        <f t="shared" si="26"/>
        <v>1000000000</v>
      </c>
      <c r="O96" s="1118">
        <f t="shared" si="26"/>
        <v>0</v>
      </c>
      <c r="P96" s="1118">
        <f t="shared" si="26"/>
        <v>-1000000000</v>
      </c>
      <c r="Q96" s="1118">
        <f t="shared" si="26"/>
        <v>0</v>
      </c>
      <c r="R96" s="1118">
        <f t="shared" si="26"/>
        <v>0</v>
      </c>
      <c r="S96" s="1118">
        <f t="shared" si="26"/>
        <v>0</v>
      </c>
      <c r="T96" s="1118">
        <f>T48-T49-T52-T53-T54</f>
        <v>0</v>
      </c>
      <c r="U96" s="1118">
        <f>U48-U49-U52-U53-U54</f>
        <v>0</v>
      </c>
      <c r="V96" s="1118">
        <f>V48-V49-V52-V53-V54</f>
        <v>0</v>
      </c>
      <c r="W96" s="1118">
        <f t="shared" ref="W96:Y96" si="27">W48-W49-W52-W53-W54</f>
        <v>0</v>
      </c>
      <c r="X96" s="1118">
        <f t="shared" si="27"/>
        <v>0</v>
      </c>
      <c r="Y96" s="1118">
        <f t="shared" si="27"/>
        <v>0</v>
      </c>
    </row>
    <row r="97" spans="1:25">
      <c r="A97" s="1121"/>
      <c r="B97" s="1027" t="s">
        <v>3095</v>
      </c>
      <c r="D97" s="1117">
        <f>D49-D50-D51</f>
        <v>123584000000</v>
      </c>
      <c r="E97" s="1117">
        <f t="shared" ref="E97:S97" si="28">E49-E50-E51</f>
        <v>95370000000</v>
      </c>
      <c r="F97" s="1117">
        <f t="shared" si="28"/>
        <v>141605000000</v>
      </c>
      <c r="G97" s="1117">
        <f t="shared" si="28"/>
        <v>93627000000</v>
      </c>
      <c r="H97" s="1117">
        <f t="shared" si="28"/>
        <v>150971000000</v>
      </c>
      <c r="I97" s="1117">
        <f t="shared" si="28"/>
        <v>105136000000</v>
      </c>
      <c r="J97" s="1117">
        <f t="shared" si="28"/>
        <v>47884000000</v>
      </c>
      <c r="K97" s="1117">
        <f t="shared" si="28"/>
        <v>61750000000</v>
      </c>
      <c r="L97" s="1118">
        <f t="shared" si="28"/>
        <v>0</v>
      </c>
      <c r="M97" s="1118">
        <f t="shared" si="28"/>
        <v>-1000000000</v>
      </c>
      <c r="N97" s="1118">
        <f t="shared" si="28"/>
        <v>0</v>
      </c>
      <c r="O97" s="1118">
        <f t="shared" si="28"/>
        <v>0</v>
      </c>
      <c r="P97" s="1118">
        <f t="shared" si="28"/>
        <v>0</v>
      </c>
      <c r="Q97" s="1118">
        <f t="shared" si="28"/>
        <v>0</v>
      </c>
      <c r="R97" s="1118">
        <f t="shared" si="28"/>
        <v>0</v>
      </c>
      <c r="S97" s="1118">
        <f t="shared" si="28"/>
        <v>0</v>
      </c>
      <c r="T97" s="1118">
        <f>T49-T50-T51</f>
        <v>0</v>
      </c>
      <c r="U97" s="1118">
        <f>U49-U50-U51</f>
        <v>1000000000</v>
      </c>
      <c r="V97" s="1118">
        <f>V49-V50-V51</f>
        <v>0</v>
      </c>
      <c r="W97" s="1118">
        <f t="shared" ref="W97:Y97" si="29">W49-W50-W51</f>
        <v>0</v>
      </c>
      <c r="X97" s="1118">
        <f t="shared" si="29"/>
        <v>0</v>
      </c>
      <c r="Y97" s="1118">
        <f t="shared" si="29"/>
        <v>-1000000000</v>
      </c>
    </row>
    <row r="98" spans="1:25" ht="15.75" thickBot="1">
      <c r="A98" s="1121"/>
      <c r="B98" s="1122" t="s">
        <v>149</v>
      </c>
      <c r="C98" s="1123"/>
      <c r="D98" s="1118">
        <f t="shared" ref="D98:S98" si="30">D55-D56-D65</f>
        <v>0</v>
      </c>
      <c r="E98" s="1118">
        <f t="shared" si="30"/>
        <v>0</v>
      </c>
      <c r="F98" s="1118">
        <f t="shared" si="30"/>
        <v>0</v>
      </c>
      <c r="G98" s="1118">
        <f t="shared" si="30"/>
        <v>0</v>
      </c>
      <c r="H98" s="1118">
        <f t="shared" si="30"/>
        <v>0</v>
      </c>
      <c r="I98" s="1118">
        <f t="shared" si="30"/>
        <v>0</v>
      </c>
      <c r="J98" s="1118">
        <f t="shared" si="30"/>
        <v>0</v>
      </c>
      <c r="K98" s="1118">
        <f t="shared" si="30"/>
        <v>0</v>
      </c>
      <c r="L98" s="1118">
        <f t="shared" si="30"/>
        <v>0</v>
      </c>
      <c r="M98" s="1118">
        <f t="shared" si="30"/>
        <v>0</v>
      </c>
      <c r="N98" s="1118">
        <f t="shared" si="30"/>
        <v>0</v>
      </c>
      <c r="O98" s="1118">
        <f t="shared" si="30"/>
        <v>-1000000000</v>
      </c>
      <c r="P98" s="1118">
        <f t="shared" si="30"/>
        <v>0</v>
      </c>
      <c r="Q98" s="1118">
        <f t="shared" si="30"/>
        <v>0</v>
      </c>
      <c r="R98" s="1118">
        <f t="shared" si="30"/>
        <v>0</v>
      </c>
      <c r="S98" s="1118">
        <f t="shared" si="30"/>
        <v>0</v>
      </c>
      <c r="T98" s="1118">
        <f>T55-T56-T65</f>
        <v>1000000000</v>
      </c>
      <c r="U98" s="1118">
        <f>U55-U56-U65</f>
        <v>0</v>
      </c>
      <c r="V98" s="1118">
        <f>V55-V56-V65</f>
        <v>0</v>
      </c>
      <c r="W98" s="1118">
        <f t="shared" ref="W98:Y98" si="31">W55-W56-W65</f>
        <v>0</v>
      </c>
      <c r="X98" s="1118">
        <f t="shared" si="31"/>
        <v>0</v>
      </c>
      <c r="Y98" s="1118">
        <f t="shared" si="31"/>
        <v>0</v>
      </c>
    </row>
    <row r="100" spans="1:25">
      <c r="D100" s="1042"/>
      <c r="E100" s="1119"/>
      <c r="F100" s="1119"/>
      <c r="G100" s="1119"/>
      <c r="H100" s="1119"/>
      <c r="I100" s="1119"/>
      <c r="J100" s="1119"/>
      <c r="K100" s="1119"/>
    </row>
    <row r="101" spans="1:25">
      <c r="B101" s="1027" t="s">
        <v>724</v>
      </c>
      <c r="D101" s="1044">
        <v>1941012000000</v>
      </c>
      <c r="E101" s="1044">
        <v>2165832000000</v>
      </c>
      <c r="F101" s="1044">
        <v>2630762000000</v>
      </c>
      <c r="G101" s="1044">
        <v>3253744000000</v>
      </c>
      <c r="H101" s="1044">
        <v>3912932000000</v>
      </c>
      <c r="I101" s="1044">
        <v>4769248000000</v>
      </c>
      <c r="J101" s="1044">
        <v>5590394000000</v>
      </c>
      <c r="K101" s="1044">
        <v>6441866000000</v>
      </c>
      <c r="L101" s="1044">
        <v>7470545000000</v>
      </c>
      <c r="M101" s="1044">
        <v>8308294000000</v>
      </c>
      <c r="N101" s="1044">
        <v>10256145000000</v>
      </c>
      <c r="O101" s="1044">
        <v>12754888000000</v>
      </c>
      <c r="P101" s="1044">
        <v>16452576000000</v>
      </c>
      <c r="Q101" s="1044">
        <v>21355821000000</v>
      </c>
      <c r="R101" s="1044">
        <v>22690000000000</v>
      </c>
      <c r="S101" s="1044">
        <v>23057000000000</v>
      </c>
      <c r="T101" s="1044">
        <v>26690000000000</v>
      </c>
      <c r="U101" s="1044">
        <v>30640000000000</v>
      </c>
      <c r="V101" s="1044">
        <v>35120000000000</v>
      </c>
      <c r="W101" s="1044">
        <v>40291000000000</v>
      </c>
      <c r="X101" s="1027">
        <v>46527000000000</v>
      </c>
      <c r="Y101" s="1027">
        <v>53454000000000</v>
      </c>
    </row>
    <row r="102" spans="1:25">
      <c r="B102" s="1027" t="s">
        <v>151</v>
      </c>
      <c r="D102" s="1120">
        <f>(D26/D101)*100</f>
        <v>19.698126544297512</v>
      </c>
      <c r="E102" s="1120">
        <f t="shared" ref="E102:R102" si="32">(E26/E101)*100</f>
        <v>20.442952177269522</v>
      </c>
      <c r="F102" s="1120">
        <f t="shared" si="32"/>
        <v>21.372818977923508</v>
      </c>
      <c r="G102" s="1120">
        <f t="shared" si="32"/>
        <v>18.37879685679021</v>
      </c>
      <c r="H102" s="1120">
        <f t="shared" si="32"/>
        <v>17.585074312561527</v>
      </c>
      <c r="I102" s="1120">
        <f t="shared" si="32"/>
        <v>18.112457142090324</v>
      </c>
      <c r="J102" s="1120">
        <f t="shared" si="32"/>
        <v>17.127773105079893</v>
      </c>
      <c r="K102" s="1120">
        <f t="shared" si="32"/>
        <v>13.607672062722198</v>
      </c>
      <c r="L102" s="1120">
        <f t="shared" si="32"/>
        <v>16.15678641919699</v>
      </c>
      <c r="M102" s="1120">
        <f t="shared" si="32"/>
        <v>17.476512025212397</v>
      </c>
      <c r="N102" s="1120">
        <f t="shared" si="32"/>
        <v>20.212272739903735</v>
      </c>
      <c r="O102" s="1120">
        <f t="shared" si="32"/>
        <v>21.576042063246657</v>
      </c>
      <c r="P102" s="1120">
        <f t="shared" si="32"/>
        <v>20.410177713204302</v>
      </c>
      <c r="Q102" s="1120">
        <f t="shared" si="32"/>
        <v>15.625716285971865</v>
      </c>
      <c r="R102" s="1120">
        <f t="shared" si="32"/>
        <v>17.880123402379901</v>
      </c>
      <c r="S102" s="1120">
        <f t="shared" ref="S102:Y102" si="33">(S26/S101)*100</f>
        <v>19.412759682525916</v>
      </c>
      <c r="T102" s="1120">
        <f t="shared" si="33"/>
        <v>21.247658298988384</v>
      </c>
      <c r="U102" s="1120">
        <f t="shared" si="33"/>
        <v>20.496083550913838</v>
      </c>
      <c r="V102" s="1120">
        <f t="shared" si="33"/>
        <v>20.654897494305239</v>
      </c>
      <c r="W102" s="1120">
        <f t="shared" si="33"/>
        <v>20.828472859943908</v>
      </c>
      <c r="X102" s="1120">
        <f t="shared" si="33"/>
        <v>21.325252004212608</v>
      </c>
      <c r="Y102" s="1120">
        <f t="shared" si="33"/>
        <v>21.506341901447971</v>
      </c>
    </row>
    <row r="103" spans="1:25">
      <c r="B103" s="1027" t="s">
        <v>152</v>
      </c>
      <c r="D103" s="1120">
        <f>(D26/D101)*100</f>
        <v>19.698126544297512</v>
      </c>
      <c r="E103" s="1120">
        <f t="shared" ref="E103:R103" si="34">(E26/E101)*100</f>
        <v>20.442952177269522</v>
      </c>
      <c r="F103" s="1120">
        <f t="shared" si="34"/>
        <v>21.372818977923508</v>
      </c>
      <c r="G103" s="1120">
        <f t="shared" si="34"/>
        <v>18.37879685679021</v>
      </c>
      <c r="H103" s="1120">
        <f t="shared" si="34"/>
        <v>17.585074312561527</v>
      </c>
      <c r="I103" s="1120">
        <f t="shared" si="34"/>
        <v>18.112457142090324</v>
      </c>
      <c r="J103" s="1120">
        <f t="shared" si="34"/>
        <v>17.127773105079893</v>
      </c>
      <c r="K103" s="1120">
        <f t="shared" si="34"/>
        <v>13.607672062722198</v>
      </c>
      <c r="L103" s="1120">
        <f t="shared" si="34"/>
        <v>16.15678641919699</v>
      </c>
      <c r="M103" s="1120">
        <f t="shared" si="34"/>
        <v>17.476512025212397</v>
      </c>
      <c r="N103" s="1120">
        <f t="shared" si="34"/>
        <v>20.212272739903735</v>
      </c>
      <c r="O103" s="1120">
        <f t="shared" si="34"/>
        <v>21.576042063246657</v>
      </c>
      <c r="P103" s="1120">
        <f t="shared" si="34"/>
        <v>20.410177713204302</v>
      </c>
      <c r="Q103" s="1120">
        <f t="shared" si="34"/>
        <v>15.625716285971865</v>
      </c>
      <c r="R103" s="1120">
        <f t="shared" si="34"/>
        <v>17.880123402379901</v>
      </c>
      <c r="S103" s="1120">
        <f t="shared" ref="S103:Y103" si="35">(S26/S101)*100</f>
        <v>19.412759682525916</v>
      </c>
      <c r="T103" s="1120">
        <f t="shared" si="35"/>
        <v>21.247658298988384</v>
      </c>
      <c r="U103" s="1120">
        <f t="shared" si="35"/>
        <v>20.496083550913838</v>
      </c>
      <c r="V103" s="1120">
        <f t="shared" si="35"/>
        <v>20.654897494305239</v>
      </c>
      <c r="W103" s="1120">
        <f t="shared" si="35"/>
        <v>20.828472859943908</v>
      </c>
      <c r="X103" s="1120">
        <f t="shared" si="35"/>
        <v>21.325252004212608</v>
      </c>
      <c r="Y103" s="1120">
        <f t="shared" si="35"/>
        <v>21.506341901447971</v>
      </c>
    </row>
    <row r="106" spans="1:25" ht="13.5" customHeight="1">
      <c r="B106" s="1027" t="s">
        <v>153</v>
      </c>
      <c r="D106" s="1027" t="b">
        <f>IF(D41&lt;0, (D41/D26)*100)</f>
        <v>0</v>
      </c>
      <c r="E106" s="1027" t="b">
        <f t="shared" ref="E106:V106" si="36">IF(E41&lt;0, (E41/E26)*100)</f>
        <v>0</v>
      </c>
      <c r="F106" s="1027" t="b">
        <f t="shared" si="36"/>
        <v>0</v>
      </c>
      <c r="G106" s="1027" t="b">
        <f t="shared" si="36"/>
        <v>0</v>
      </c>
      <c r="H106" s="1027" t="b">
        <f t="shared" si="36"/>
        <v>0</v>
      </c>
      <c r="I106" s="1027" t="b">
        <f t="shared" si="36"/>
        <v>0</v>
      </c>
      <c r="J106" s="1027" t="b">
        <f t="shared" si="36"/>
        <v>0</v>
      </c>
      <c r="K106" s="1027" t="b">
        <f t="shared" si="36"/>
        <v>0</v>
      </c>
      <c r="L106" s="1027" t="b">
        <f t="shared" si="36"/>
        <v>0</v>
      </c>
      <c r="M106" s="1027" t="b">
        <f t="shared" si="36"/>
        <v>0</v>
      </c>
      <c r="N106" s="1027" t="b">
        <f t="shared" si="36"/>
        <v>0</v>
      </c>
      <c r="O106" s="1027" t="b">
        <f t="shared" si="36"/>
        <v>0</v>
      </c>
      <c r="P106" s="1027" t="b">
        <f t="shared" si="36"/>
        <v>0</v>
      </c>
      <c r="Q106" s="1027" t="b">
        <f t="shared" si="36"/>
        <v>0</v>
      </c>
      <c r="R106" s="1027" t="b">
        <f t="shared" si="36"/>
        <v>0</v>
      </c>
      <c r="S106" s="1027" t="b">
        <f t="shared" si="36"/>
        <v>0</v>
      </c>
      <c r="T106" s="1027" t="b">
        <f>IF(T41&lt;0, (T41/T26)*100)</f>
        <v>0</v>
      </c>
      <c r="U106" s="1027" t="b">
        <f t="shared" si="36"/>
        <v>0</v>
      </c>
      <c r="V106" s="1027" t="b">
        <f t="shared" si="36"/>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3"/>
  <sheetViews>
    <sheetView zoomScale="80" zoomScaleNormal="80" workbookViewId="0">
      <pane xSplit="3" ySplit="5" topLeftCell="R9" activePane="bottomRight" state="frozen"/>
      <selection pane="topRight" activeCell="D1" sqref="D1"/>
      <selection pane="bottomLeft" activeCell="A6" sqref="A6"/>
      <selection pane="bottomRight" activeCell="U15" sqref="U15"/>
    </sheetView>
  </sheetViews>
  <sheetFormatPr defaultRowHeight="15"/>
  <cols>
    <col min="1" max="1" width="30.42578125" style="1570" bestFit="1" customWidth="1"/>
    <col min="2" max="2" width="41.7109375" style="1570" bestFit="1" customWidth="1"/>
    <col min="3" max="3" width="22.42578125" style="1570" customWidth="1"/>
    <col min="4" max="4" width="14.7109375" style="1570" bestFit="1" customWidth="1"/>
    <col min="5" max="5" width="15.28515625" style="1570" bestFit="1" customWidth="1"/>
    <col min="6" max="8" width="16.85546875" style="1570" bestFit="1" customWidth="1"/>
    <col min="9" max="11" width="18.7109375" style="1570" bestFit="1" customWidth="1"/>
    <col min="12" max="12" width="16" style="1570" bestFit="1" customWidth="1"/>
    <col min="13" max="17" width="18.42578125" style="1570" bestFit="1" customWidth="1"/>
    <col min="18" max="20" width="15.28515625" style="1570" bestFit="1" customWidth="1"/>
    <col min="21" max="24" width="16.28515625" style="1570" bestFit="1" customWidth="1"/>
    <col min="25" max="26" width="16.28515625" bestFit="1" customWidth="1"/>
  </cols>
  <sheetData>
    <row r="1" spans="1:26">
      <c r="A1" s="1565" t="s">
        <v>5798</v>
      </c>
      <c r="B1" s="1566" t="s">
        <v>5799</v>
      </c>
      <c r="C1" s="1566"/>
      <c r="D1" s="1567"/>
      <c r="E1" s="1567"/>
      <c r="F1" s="1567"/>
      <c r="G1" s="1567"/>
      <c r="H1" s="1567"/>
      <c r="I1" s="1567"/>
      <c r="J1" s="1567"/>
      <c r="K1" s="1567"/>
      <c r="L1" s="1567"/>
      <c r="M1" s="1567"/>
      <c r="N1" s="1567"/>
      <c r="O1" s="1568"/>
      <c r="P1" s="1568"/>
      <c r="Q1" s="1568"/>
      <c r="R1" s="1569"/>
      <c r="S1" s="1568"/>
      <c r="T1" s="1568"/>
      <c r="U1" s="1568"/>
      <c r="V1" s="1568"/>
      <c r="W1" s="1568"/>
    </row>
    <row r="2" spans="1:26">
      <c r="B2" s="1571" t="s">
        <v>5800</v>
      </c>
      <c r="C2" s="1571"/>
      <c r="D2" s="1568"/>
      <c r="E2" s="1568"/>
      <c r="F2" s="1568"/>
      <c r="G2" s="1568"/>
      <c r="H2" s="1568"/>
      <c r="I2" s="1568"/>
      <c r="J2" s="1568"/>
      <c r="K2" s="1568"/>
      <c r="L2" s="1568"/>
      <c r="M2" s="1568"/>
      <c r="N2" s="1568"/>
      <c r="O2" s="1568"/>
      <c r="P2" s="1568"/>
      <c r="Q2" s="1568"/>
      <c r="R2" s="1572"/>
      <c r="S2" s="1573"/>
      <c r="T2" s="1574"/>
      <c r="U2" s="1568"/>
      <c r="V2" s="1568"/>
      <c r="W2" s="1568"/>
    </row>
    <row r="3" spans="1:26">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row>
    <row r="4" spans="1:26">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68" t="s">
        <v>26</v>
      </c>
      <c r="Z4" s="1568" t="s">
        <v>27</v>
      </c>
    </row>
    <row r="5" spans="1:26">
      <c r="A5" s="1570"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row>
    <row r="6" spans="1:26" s="848" customFormat="1">
      <c r="A6" s="2004" t="s">
        <v>33</v>
      </c>
      <c r="B6" s="2004" t="s">
        <v>5801</v>
      </c>
      <c r="C6" s="2004" t="s">
        <v>35</v>
      </c>
      <c r="D6" s="2055">
        <v>336300000</v>
      </c>
      <c r="E6" s="2055">
        <v>340300000</v>
      </c>
      <c r="F6" s="2056">
        <v>287600000</v>
      </c>
      <c r="G6" s="2056">
        <v>673500000</v>
      </c>
      <c r="H6" s="2056">
        <v>941000000</v>
      </c>
      <c r="I6" s="2056">
        <v>1461000000</v>
      </c>
      <c r="J6" s="2056">
        <v>1645000000</v>
      </c>
      <c r="K6" s="2056">
        <v>2078000000</v>
      </c>
      <c r="L6" s="2056">
        <v>2193000000</v>
      </c>
      <c r="M6" s="2056">
        <v>2659000000</v>
      </c>
      <c r="N6" s="2056">
        <v>3442000000</v>
      </c>
      <c r="O6" s="2056">
        <v>4000000000</v>
      </c>
      <c r="P6" s="2007">
        <v>4105000000</v>
      </c>
      <c r="Q6" s="2007">
        <v>4204000000</v>
      </c>
      <c r="R6" s="2007">
        <v>4089000000</v>
      </c>
      <c r="S6" s="2007">
        <v>4381000000</v>
      </c>
      <c r="T6" s="2007">
        <v>4037000000</v>
      </c>
      <c r="U6" s="2007">
        <v>4237000000</v>
      </c>
      <c r="V6" s="2007">
        <v>4610000000</v>
      </c>
      <c r="W6" s="2007">
        <v>4854000000</v>
      </c>
      <c r="X6" s="2007">
        <v>5113000000</v>
      </c>
      <c r="Y6" s="2010">
        <v>5417000000</v>
      </c>
      <c r="Z6" s="2010">
        <v>5764000000</v>
      </c>
    </row>
    <row r="7" spans="1:26">
      <c r="A7" s="1577" t="s">
        <v>36</v>
      </c>
      <c r="B7" s="1577" t="s">
        <v>5420</v>
      </c>
      <c r="C7" s="1578" t="s">
        <v>38</v>
      </c>
      <c r="D7" s="2057">
        <v>279300000</v>
      </c>
      <c r="E7" s="2057">
        <v>220900000</v>
      </c>
      <c r="F7" s="1581">
        <v>247200000</v>
      </c>
      <c r="G7" s="1581">
        <v>364000000</v>
      </c>
      <c r="H7" s="1581">
        <v>514000000</v>
      </c>
      <c r="I7" s="1581">
        <v>654000000</v>
      </c>
      <c r="J7" s="1581">
        <v>819000000</v>
      </c>
      <c r="K7" s="1581">
        <v>1111000000</v>
      </c>
      <c r="L7" s="1581">
        <v>1366000000</v>
      </c>
      <c r="M7" s="1581">
        <v>1467000000</v>
      </c>
      <c r="N7" s="1581">
        <v>1757000000</v>
      </c>
      <c r="O7" s="1581">
        <v>2199000000</v>
      </c>
      <c r="P7" s="1579">
        <v>2535000000</v>
      </c>
      <c r="Q7" s="1579">
        <v>2763000000</v>
      </c>
      <c r="R7" s="1579">
        <v>2835000000</v>
      </c>
      <c r="S7" s="1579">
        <v>3206000000</v>
      </c>
      <c r="T7" s="1579">
        <v>3108000000</v>
      </c>
      <c r="U7" s="1579">
        <v>3257000000</v>
      </c>
      <c r="V7" s="1579">
        <v>3433000000</v>
      </c>
      <c r="W7" s="1579">
        <v>3634000000</v>
      </c>
      <c r="X7" s="1579">
        <v>3841000000</v>
      </c>
      <c r="Y7" s="1841">
        <v>4067000000</v>
      </c>
      <c r="Z7" s="1841">
        <v>4330000000</v>
      </c>
    </row>
    <row r="8" spans="1:26">
      <c r="A8" s="1580" t="s">
        <v>39</v>
      </c>
      <c r="C8" s="1578" t="s">
        <v>41</v>
      </c>
      <c r="D8" s="1581">
        <v>256700000</v>
      </c>
      <c r="E8" s="1581">
        <v>202600000</v>
      </c>
      <c r="F8" s="1581">
        <v>237100000</v>
      </c>
      <c r="G8" s="1581">
        <v>332700000</v>
      </c>
      <c r="H8" s="1581">
        <v>462000000</v>
      </c>
      <c r="I8" s="1581">
        <v>556000000</v>
      </c>
      <c r="J8" s="1581">
        <v>679000000</v>
      </c>
      <c r="K8" s="1581">
        <v>931000000</v>
      </c>
      <c r="L8" s="1581">
        <v>1199000000</v>
      </c>
      <c r="M8" s="1581">
        <v>1272000000</v>
      </c>
      <c r="N8" s="1581">
        <v>1589000000</v>
      </c>
      <c r="O8" s="1581">
        <v>1989000000</v>
      </c>
      <c r="P8" s="1579">
        <v>2254000000</v>
      </c>
      <c r="Q8" s="1579">
        <v>2469000000</v>
      </c>
      <c r="R8" s="1579">
        <v>2487000000</v>
      </c>
      <c r="S8" s="1579">
        <v>2621000000</v>
      </c>
      <c r="T8" s="1579">
        <v>2578000000</v>
      </c>
      <c r="U8" s="1579">
        <v>2700000000</v>
      </c>
      <c r="V8" s="1579">
        <v>2838000000</v>
      </c>
      <c r="W8" s="1579">
        <v>3001000000</v>
      </c>
      <c r="X8" s="1579">
        <v>3169000000</v>
      </c>
      <c r="Y8" s="1841">
        <v>3350000000</v>
      </c>
      <c r="Z8" s="1841">
        <v>3564000000</v>
      </c>
    </row>
    <row r="9" spans="1:26">
      <c r="A9" s="1576" t="s">
        <v>317</v>
      </c>
      <c r="B9" s="1582" t="s">
        <v>5802</v>
      </c>
      <c r="C9" s="1570" t="s">
        <v>44</v>
      </c>
      <c r="D9" s="1581">
        <v>96300000</v>
      </c>
      <c r="E9" s="1581">
        <v>73600000</v>
      </c>
      <c r="F9" s="1581">
        <v>73200000</v>
      </c>
      <c r="G9" s="1581">
        <v>96100000</v>
      </c>
      <c r="H9" s="1581">
        <v>148000000</v>
      </c>
      <c r="I9" s="1581">
        <v>184000000</v>
      </c>
      <c r="J9" s="1581">
        <v>221000000</v>
      </c>
      <c r="K9" s="1581">
        <v>297000000</v>
      </c>
      <c r="L9" s="1581">
        <v>442000000</v>
      </c>
      <c r="M9" s="1581">
        <v>540000000</v>
      </c>
      <c r="N9" s="1581">
        <v>638000000</v>
      </c>
      <c r="O9" s="1581">
        <v>669000000</v>
      </c>
      <c r="P9" s="1579">
        <v>785000000</v>
      </c>
      <c r="Q9" s="1579">
        <v>936000000</v>
      </c>
      <c r="R9" s="1579">
        <v>863000000</v>
      </c>
      <c r="S9" s="1579">
        <v>991000000</v>
      </c>
      <c r="T9" s="1579">
        <v>947000000</v>
      </c>
      <c r="U9" s="1579">
        <v>998000000</v>
      </c>
      <c r="V9" s="1579">
        <v>1048000000</v>
      </c>
      <c r="W9" s="1579">
        <v>1110000000</v>
      </c>
      <c r="X9" s="1579">
        <v>1175000000</v>
      </c>
      <c r="Y9" s="1841">
        <v>1247000000</v>
      </c>
      <c r="Z9" s="1841">
        <v>1325000000</v>
      </c>
    </row>
    <row r="10" spans="1:26">
      <c r="A10" s="1576" t="s">
        <v>47</v>
      </c>
      <c r="B10" s="1582" t="s">
        <v>5667</v>
      </c>
      <c r="C10" s="1570" t="s">
        <v>44</v>
      </c>
      <c r="D10" s="1581">
        <v>66900000.000000007</v>
      </c>
      <c r="E10" s="1581">
        <v>63300000</v>
      </c>
      <c r="F10" s="1581">
        <v>70100000</v>
      </c>
      <c r="G10" s="1581">
        <v>112000000</v>
      </c>
      <c r="H10" s="1581">
        <v>164000000</v>
      </c>
      <c r="I10" s="1581">
        <v>200000000</v>
      </c>
      <c r="J10" s="1581">
        <v>237000000</v>
      </c>
      <c r="K10" s="1581">
        <v>341000000</v>
      </c>
      <c r="L10" s="1581">
        <v>425000000</v>
      </c>
      <c r="M10" s="1581">
        <v>423000000</v>
      </c>
      <c r="N10" s="1581">
        <v>569000000</v>
      </c>
      <c r="O10" s="1581">
        <v>752000000</v>
      </c>
      <c r="P10" s="1579">
        <v>824000000</v>
      </c>
      <c r="Q10" s="1579">
        <v>879000000</v>
      </c>
      <c r="R10" s="1579">
        <v>907000000</v>
      </c>
      <c r="S10" s="1579">
        <v>855000000</v>
      </c>
      <c r="T10" s="1579">
        <v>833000000</v>
      </c>
      <c r="U10" s="1579">
        <v>875000000</v>
      </c>
      <c r="V10" s="1579">
        <v>932000000</v>
      </c>
      <c r="W10" s="1579">
        <v>985000000</v>
      </c>
      <c r="X10" s="1579">
        <v>1044000000</v>
      </c>
      <c r="Y10" s="1841">
        <v>1109000000</v>
      </c>
      <c r="Z10" s="1841">
        <v>1180000000</v>
      </c>
    </row>
    <row r="11" spans="1:26">
      <c r="A11" s="1576" t="s">
        <v>45</v>
      </c>
      <c r="B11" s="1582" t="s">
        <v>5803</v>
      </c>
      <c r="C11" s="1570" t="s">
        <v>44</v>
      </c>
      <c r="D11" s="1581">
        <v>93500000</v>
      </c>
      <c r="E11" s="1581">
        <v>65700000</v>
      </c>
      <c r="F11" s="1581">
        <v>93800000</v>
      </c>
      <c r="G11" s="1581">
        <v>124600000</v>
      </c>
      <c r="H11" s="1581">
        <v>150000000</v>
      </c>
      <c r="I11" s="1581">
        <v>173000000</v>
      </c>
      <c r="J11" s="1581">
        <v>221000000</v>
      </c>
      <c r="K11" s="1581">
        <v>292000000</v>
      </c>
      <c r="L11" s="1581">
        <v>332000000</v>
      </c>
      <c r="M11" s="1581">
        <v>309000000</v>
      </c>
      <c r="N11" s="1581">
        <v>382000000</v>
      </c>
      <c r="O11" s="1581">
        <v>568000000</v>
      </c>
      <c r="P11" s="1579">
        <v>645000000</v>
      </c>
      <c r="Q11" s="1579">
        <v>655000000</v>
      </c>
      <c r="R11" s="1579">
        <v>717000000</v>
      </c>
      <c r="S11" s="1579">
        <v>776000000</v>
      </c>
      <c r="T11" s="1579">
        <v>798000000</v>
      </c>
      <c r="U11" s="1579">
        <v>827000000</v>
      </c>
      <c r="V11" s="1579">
        <v>858000000</v>
      </c>
      <c r="W11" s="1579">
        <v>906000000</v>
      </c>
      <c r="X11" s="1579">
        <v>951000000</v>
      </c>
      <c r="Y11" s="1841">
        <v>995000000</v>
      </c>
      <c r="Z11" s="1841">
        <v>1060000000</v>
      </c>
    </row>
    <row r="12" spans="1:26">
      <c r="A12" s="1580" t="s">
        <v>560</v>
      </c>
      <c r="B12" s="1580" t="s">
        <v>5804</v>
      </c>
      <c r="C12" s="1578" t="s">
        <v>41</v>
      </c>
      <c r="D12" s="1581">
        <v>22600000</v>
      </c>
      <c r="E12" s="1581">
        <v>18300000</v>
      </c>
      <c r="F12" s="1581">
        <v>10100000</v>
      </c>
      <c r="G12" s="1581">
        <v>31300000</v>
      </c>
      <c r="H12" s="1581">
        <v>52000000</v>
      </c>
      <c r="I12" s="1581">
        <v>98000000</v>
      </c>
      <c r="J12" s="1581">
        <v>140000000</v>
      </c>
      <c r="K12" s="1581">
        <v>180000000</v>
      </c>
      <c r="L12" s="1581">
        <v>167000000</v>
      </c>
      <c r="M12" s="1581">
        <v>196000000</v>
      </c>
      <c r="N12" s="1581">
        <v>168000000</v>
      </c>
      <c r="O12" s="1581">
        <v>210000000</v>
      </c>
      <c r="P12" s="1579">
        <v>281000000</v>
      </c>
      <c r="Q12" s="1579">
        <v>294000000</v>
      </c>
      <c r="R12" s="1579">
        <v>348000000</v>
      </c>
      <c r="S12" s="1579">
        <v>585000000</v>
      </c>
      <c r="T12" s="1579">
        <v>530000000</v>
      </c>
      <c r="U12" s="1579">
        <v>557000000</v>
      </c>
      <c r="V12" s="1579">
        <v>595000000</v>
      </c>
      <c r="W12" s="1579">
        <v>632000000</v>
      </c>
      <c r="X12" s="1579">
        <v>672000000</v>
      </c>
      <c r="Y12" s="1841">
        <v>717000000</v>
      </c>
      <c r="Z12" s="1841">
        <v>765000000</v>
      </c>
    </row>
    <row r="13" spans="1:26" s="848" customFormat="1">
      <c r="A13" s="2004" t="s">
        <v>53</v>
      </c>
      <c r="B13" s="2004" t="s">
        <v>53</v>
      </c>
      <c r="C13" s="2001" t="s">
        <v>38</v>
      </c>
      <c r="D13" s="2055">
        <v>57000000</v>
      </c>
      <c r="E13" s="2055">
        <v>119400000</v>
      </c>
      <c r="F13" s="2056">
        <v>40400000</v>
      </c>
      <c r="G13" s="2056">
        <v>309500000</v>
      </c>
      <c r="H13" s="2056">
        <v>427000000</v>
      </c>
      <c r="I13" s="2056">
        <v>807000000</v>
      </c>
      <c r="J13" s="2056">
        <v>826000000</v>
      </c>
      <c r="K13" s="2056">
        <v>967000000</v>
      </c>
      <c r="L13" s="2056">
        <v>827000000</v>
      </c>
      <c r="M13" s="2056">
        <v>1192000000</v>
      </c>
      <c r="N13" s="2056">
        <v>1685000000</v>
      </c>
      <c r="O13" s="2056">
        <v>1801000000</v>
      </c>
      <c r="P13" s="2007">
        <v>1570000000</v>
      </c>
      <c r="Q13" s="2007">
        <v>1441000000</v>
      </c>
      <c r="R13" s="2007">
        <v>1255000000</v>
      </c>
      <c r="S13" s="2007">
        <v>1175000000</v>
      </c>
      <c r="T13" s="2007">
        <v>930000000</v>
      </c>
      <c r="U13" s="2007">
        <v>980000000</v>
      </c>
      <c r="V13" s="2007">
        <v>1177000000</v>
      </c>
      <c r="W13" s="2007">
        <v>1221000000</v>
      </c>
      <c r="X13" s="2007">
        <v>1272000000</v>
      </c>
      <c r="Y13" s="2010">
        <v>1350000000</v>
      </c>
      <c r="Z13" s="2010">
        <v>1435000000</v>
      </c>
    </row>
    <row r="14" spans="1:26">
      <c r="A14" s="1576" t="s">
        <v>5805</v>
      </c>
      <c r="B14" s="1580" t="s">
        <v>5806</v>
      </c>
      <c r="C14" s="1583" t="s">
        <v>57</v>
      </c>
      <c r="D14" s="1581">
        <v>46900000</v>
      </c>
      <c r="E14" s="1581">
        <v>115700000</v>
      </c>
      <c r="F14" s="1581">
        <v>33299999.999999996</v>
      </c>
      <c r="G14" s="1581">
        <v>243700000</v>
      </c>
      <c r="H14" s="1581">
        <v>340000000</v>
      </c>
      <c r="I14" s="1581">
        <v>767000000</v>
      </c>
      <c r="J14" s="1581">
        <v>751000000</v>
      </c>
      <c r="K14" s="1581">
        <v>939000000</v>
      </c>
      <c r="L14" s="1581">
        <v>717000000</v>
      </c>
      <c r="M14" s="1581">
        <v>1054000000</v>
      </c>
      <c r="N14" s="1581">
        <v>1289000000</v>
      </c>
      <c r="O14" s="1581">
        <v>1553000000</v>
      </c>
      <c r="P14" s="1579">
        <v>1246000000</v>
      </c>
      <c r="Q14" s="1579">
        <v>1145000000</v>
      </c>
      <c r="R14" s="1579">
        <v>521000000</v>
      </c>
      <c r="S14" s="1579">
        <v>434000000</v>
      </c>
      <c r="T14" s="1579">
        <v>389000000</v>
      </c>
      <c r="U14" s="1579">
        <v>412000000</v>
      </c>
      <c r="V14" s="1579">
        <v>576000000</v>
      </c>
      <c r="W14" s="1579">
        <v>582000000</v>
      </c>
      <c r="X14" s="1579">
        <v>596000000</v>
      </c>
      <c r="Y14" s="1841">
        <v>632000000</v>
      </c>
      <c r="Z14" s="1841">
        <v>672000000</v>
      </c>
    </row>
    <row r="15" spans="1:26">
      <c r="A15" s="1576" t="s">
        <v>4030</v>
      </c>
      <c r="B15" s="1580" t="s">
        <v>5807</v>
      </c>
      <c r="C15" s="1583" t="s">
        <v>57</v>
      </c>
      <c r="D15" s="1581">
        <v>10000000</v>
      </c>
      <c r="E15" s="1581">
        <v>3700000</v>
      </c>
      <c r="F15" s="1581">
        <v>7100000</v>
      </c>
      <c r="G15" s="1581">
        <v>65800000</v>
      </c>
      <c r="H15" s="1581">
        <v>87000000</v>
      </c>
      <c r="I15" s="1581">
        <v>40000000</v>
      </c>
      <c r="J15" s="1581">
        <v>74000000</v>
      </c>
      <c r="K15" s="1581">
        <v>29000000</v>
      </c>
      <c r="L15" s="1581">
        <v>109000000</v>
      </c>
      <c r="M15" s="1581">
        <v>138000000</v>
      </c>
      <c r="N15" s="1581">
        <v>396000000</v>
      </c>
      <c r="O15" s="1581">
        <v>248000000</v>
      </c>
      <c r="P15" s="1579">
        <v>323000000</v>
      </c>
      <c r="Q15" s="1579">
        <v>296000000</v>
      </c>
      <c r="R15" s="1579">
        <v>734000000</v>
      </c>
      <c r="S15" s="1579">
        <v>742000000</v>
      </c>
      <c r="T15" s="1579">
        <v>541000000</v>
      </c>
      <c r="U15" s="1579">
        <v>568000000</v>
      </c>
      <c r="V15" s="1579">
        <v>601000000</v>
      </c>
      <c r="W15" s="1579">
        <v>639000000</v>
      </c>
      <c r="X15" s="1579">
        <v>676000000</v>
      </c>
      <c r="Y15" s="1841">
        <v>717000000</v>
      </c>
      <c r="Z15" s="1841">
        <v>762000000</v>
      </c>
    </row>
    <row r="16" spans="1:26" s="848" customFormat="1">
      <c r="A16" s="2058" t="s">
        <v>71</v>
      </c>
      <c r="B16" s="2004" t="s">
        <v>535</v>
      </c>
      <c r="C16" s="2004" t="s">
        <v>35</v>
      </c>
      <c r="D16" s="2055">
        <v>454700000</v>
      </c>
      <c r="E16" s="2055">
        <v>523900000</v>
      </c>
      <c r="F16" s="2056">
        <v>424800000</v>
      </c>
      <c r="G16" s="2056">
        <v>642400000</v>
      </c>
      <c r="H16" s="2056">
        <v>776000000</v>
      </c>
      <c r="I16" s="2056">
        <v>1378000000</v>
      </c>
      <c r="J16" s="2056">
        <v>1585000000</v>
      </c>
      <c r="K16" s="2056">
        <v>2059000000</v>
      </c>
      <c r="L16" s="2056">
        <v>2201000000</v>
      </c>
      <c r="M16" s="2056">
        <f>M17+M25+M31</f>
        <v>2607000000</v>
      </c>
      <c r="N16" s="2056">
        <v>3099000000</v>
      </c>
      <c r="O16" s="2056">
        <v>3400000000</v>
      </c>
      <c r="P16" s="2007">
        <v>3819000000</v>
      </c>
      <c r="Q16" s="2007">
        <v>3863000000</v>
      </c>
      <c r="R16" s="2007">
        <f>R17+R25+R31</f>
        <v>3908000000</v>
      </c>
      <c r="S16" s="2007">
        <f t="shared" ref="S16:U16" si="0">S17+S25+S31</f>
        <v>4382000000</v>
      </c>
      <c r="T16" s="2007">
        <f t="shared" si="0"/>
        <v>4420000000</v>
      </c>
      <c r="U16" s="2007">
        <f t="shared" si="0"/>
        <v>4998000000</v>
      </c>
      <c r="V16" s="2007">
        <f t="shared" ref="V16" si="1">V17+V25+V31</f>
        <v>5231000000</v>
      </c>
      <c r="W16" s="2007">
        <f t="shared" ref="W16:X16" si="2">W17+W25+W31</f>
        <v>5301000000</v>
      </c>
      <c r="X16" s="2007">
        <f t="shared" si="2"/>
        <v>5542000000</v>
      </c>
      <c r="Y16" s="2007">
        <f t="shared" ref="Y16" si="3">Y17+Y25+Y31</f>
        <v>5832000000</v>
      </c>
      <c r="Z16" s="2007">
        <f t="shared" ref="Z16" si="4">Z17+Z25+Z31</f>
        <v>6190000000</v>
      </c>
    </row>
    <row r="17" spans="1:26">
      <c r="A17" s="1585" t="s">
        <v>73</v>
      </c>
      <c r="B17" s="1577" t="s">
        <v>5808</v>
      </c>
      <c r="C17" s="1578" t="s">
        <v>75</v>
      </c>
      <c r="D17" s="1581">
        <v>385200000</v>
      </c>
      <c r="E17" s="1581">
        <v>395400000</v>
      </c>
      <c r="F17" s="1581">
        <v>376100000</v>
      </c>
      <c r="G17" s="1581">
        <v>375500000</v>
      </c>
      <c r="H17" s="1581">
        <v>434000000</v>
      </c>
      <c r="I17" s="1581">
        <v>564000000</v>
      </c>
      <c r="J17" s="1581">
        <v>764000000</v>
      </c>
      <c r="K17" s="1581">
        <v>946000000</v>
      </c>
      <c r="L17" s="1581">
        <v>1192000000</v>
      </c>
      <c r="M17" s="1581">
        <v>1376000000</v>
      </c>
      <c r="N17" s="1581">
        <v>1548000000</v>
      </c>
      <c r="O17" s="1581">
        <v>1701000000</v>
      </c>
      <c r="P17" s="1579">
        <v>2090000000</v>
      </c>
      <c r="Q17" s="1579">
        <v>2252000000</v>
      </c>
      <c r="R17" s="1579">
        <v>2819000000</v>
      </c>
      <c r="S17" s="1579">
        <v>3076000000</v>
      </c>
      <c r="T17" s="1579">
        <v>2983000000</v>
      </c>
      <c r="U17" s="1579">
        <v>3391000000</v>
      </c>
      <c r="V17" s="1579">
        <f>V18+V20+V21+V24</f>
        <v>3374000000</v>
      </c>
      <c r="W17" s="1579">
        <f>W18+W20+W21+W24</f>
        <v>3583000000</v>
      </c>
      <c r="X17" s="1579">
        <v>3729000000</v>
      </c>
      <c r="Y17" s="1841">
        <v>3972000000</v>
      </c>
      <c r="Z17" s="1841">
        <v>4244000000</v>
      </c>
    </row>
    <row r="18" spans="1:26">
      <c r="A18" s="1576" t="s">
        <v>2626</v>
      </c>
      <c r="B18" s="1580" t="s">
        <v>3863</v>
      </c>
      <c r="C18" s="1578" t="s">
        <v>81</v>
      </c>
      <c r="D18" s="1581">
        <v>199600000</v>
      </c>
      <c r="E18" s="1581">
        <v>187500000</v>
      </c>
      <c r="F18" s="1581">
        <v>177400000</v>
      </c>
      <c r="G18" s="1581">
        <v>160200000</v>
      </c>
      <c r="H18" s="1581">
        <v>173000000</v>
      </c>
      <c r="I18" s="1581">
        <v>233000000</v>
      </c>
      <c r="J18" s="1581">
        <v>250000000</v>
      </c>
      <c r="K18" s="1581">
        <v>359000000</v>
      </c>
      <c r="L18" s="1581">
        <v>453000000</v>
      </c>
      <c r="M18" s="1581">
        <v>511000000</v>
      </c>
      <c r="N18" s="1581">
        <v>588000000</v>
      </c>
      <c r="O18" s="1581">
        <v>623000000</v>
      </c>
      <c r="P18" s="1579">
        <v>695000000</v>
      </c>
      <c r="Q18" s="1579">
        <v>747000000</v>
      </c>
      <c r="R18" s="1579">
        <v>847000000</v>
      </c>
      <c r="S18" s="1579">
        <v>1005000000</v>
      </c>
      <c r="T18" s="1579">
        <v>1009000000</v>
      </c>
      <c r="U18" s="1579">
        <v>1027000000</v>
      </c>
      <c r="V18" s="1579">
        <v>1081000000</v>
      </c>
      <c r="W18" s="1579">
        <v>1143000000</v>
      </c>
      <c r="X18" s="1579">
        <v>1209000000</v>
      </c>
      <c r="Y18" s="1841">
        <v>1283000000</v>
      </c>
      <c r="Z18" s="1841">
        <v>1371000000</v>
      </c>
    </row>
    <row r="19" spans="1:26">
      <c r="A19" s="1576" t="s">
        <v>83</v>
      </c>
      <c r="B19" s="1580" t="s">
        <v>537</v>
      </c>
      <c r="C19" s="1578" t="s">
        <v>81</v>
      </c>
      <c r="D19" s="1581">
        <v>76300000</v>
      </c>
      <c r="E19" s="1581">
        <v>76200000</v>
      </c>
      <c r="F19" s="1581">
        <v>72300000</v>
      </c>
      <c r="G19" s="1581">
        <v>99000000</v>
      </c>
      <c r="H19" s="1581">
        <v>181000000</v>
      </c>
      <c r="I19" s="1581">
        <v>269000000</v>
      </c>
      <c r="J19" s="1581">
        <v>442000000</v>
      </c>
      <c r="K19" s="1581">
        <v>547000000</v>
      </c>
      <c r="L19" s="1581"/>
      <c r="M19" s="1581"/>
      <c r="N19" s="1581"/>
      <c r="O19" s="1581"/>
      <c r="P19" s="1581"/>
      <c r="Q19" s="1581"/>
      <c r="R19" s="1581"/>
      <c r="S19" s="1581"/>
      <c r="T19" s="2059"/>
      <c r="U19" s="1579"/>
      <c r="V19" s="1579"/>
      <c r="W19" s="1579"/>
      <c r="X19" s="1579"/>
      <c r="Y19" s="1841"/>
      <c r="Z19" s="1841"/>
    </row>
    <row r="20" spans="1:26">
      <c r="A20" s="1580" t="s">
        <v>90</v>
      </c>
      <c r="B20" s="1580" t="s">
        <v>3868</v>
      </c>
      <c r="C20" s="1578" t="s">
        <v>81</v>
      </c>
      <c r="D20" s="1581">
        <v>54900000</v>
      </c>
      <c r="E20" s="1581">
        <v>19100000</v>
      </c>
      <c r="F20" s="1581">
        <v>20400000</v>
      </c>
      <c r="G20" s="1581">
        <v>14600000</v>
      </c>
      <c r="H20" s="2057"/>
      <c r="I20" s="2057"/>
      <c r="J20" s="2057"/>
      <c r="K20" s="2057"/>
      <c r="L20" s="1581">
        <v>53000000</v>
      </c>
      <c r="M20" s="1581">
        <v>45000000</v>
      </c>
      <c r="N20" s="1581">
        <v>23000000</v>
      </c>
      <c r="O20" s="1581">
        <v>24000000</v>
      </c>
      <c r="P20" s="1579">
        <v>18000000</v>
      </c>
      <c r="Q20" s="1579">
        <v>15000000</v>
      </c>
      <c r="R20" s="1579">
        <v>11000000</v>
      </c>
      <c r="S20" s="1579">
        <v>40000000</v>
      </c>
      <c r="T20" s="1579">
        <v>9000000</v>
      </c>
      <c r="U20" s="1579">
        <v>15000000</v>
      </c>
      <c r="V20" s="1579">
        <v>22000000</v>
      </c>
      <c r="W20" s="1579">
        <v>31000000</v>
      </c>
      <c r="X20" s="1579">
        <v>33000000</v>
      </c>
      <c r="Y20" s="1841">
        <v>36000000</v>
      </c>
      <c r="Z20" s="1841">
        <v>39000000</v>
      </c>
    </row>
    <row r="21" spans="1:26">
      <c r="A21" s="1576" t="s">
        <v>391</v>
      </c>
      <c r="B21" s="1580" t="s">
        <v>5809</v>
      </c>
      <c r="C21" s="1578" t="s">
        <v>81</v>
      </c>
      <c r="D21" s="1581">
        <f>D17-D18-D19-D20</f>
        <v>54400000</v>
      </c>
      <c r="E21" s="1581">
        <f t="shared" ref="E21:G21" si="5">E17-E18-E19-E20</f>
        <v>112600000</v>
      </c>
      <c r="F21" s="1581">
        <f t="shared" si="5"/>
        <v>106000000</v>
      </c>
      <c r="G21" s="1581">
        <f t="shared" si="5"/>
        <v>101700000</v>
      </c>
      <c r="H21" s="1581">
        <f>H17-H18-H19-H20</f>
        <v>80000000</v>
      </c>
      <c r="I21" s="1581">
        <f>I17-I18-I19-I20</f>
        <v>62000000</v>
      </c>
      <c r="J21" s="1581">
        <f t="shared" ref="J21" si="6">J17-J18-J19-J20</f>
        <v>72000000</v>
      </c>
      <c r="K21" s="1581">
        <f t="shared" ref="K21" si="7">K17-K18-K19-K20</f>
        <v>40000000</v>
      </c>
      <c r="L21" s="1581">
        <v>686000000</v>
      </c>
      <c r="M21" s="1581">
        <v>820000000</v>
      </c>
      <c r="N21" s="1581">
        <v>937000000</v>
      </c>
      <c r="O21" s="1581">
        <v>1054000000</v>
      </c>
      <c r="P21" s="1579">
        <v>1376000000</v>
      </c>
      <c r="Q21" s="1579">
        <v>1490000000</v>
      </c>
      <c r="R21" s="1579">
        <v>1960000000</v>
      </c>
      <c r="S21" s="1579">
        <v>2031000000</v>
      </c>
      <c r="T21" s="1579">
        <v>1966000000</v>
      </c>
      <c r="U21" s="1579">
        <v>2349000000</v>
      </c>
      <c r="V21" s="1579">
        <f>V22+V23</f>
        <v>2201000000</v>
      </c>
      <c r="W21" s="1579">
        <v>2339000000</v>
      </c>
      <c r="X21" s="1579">
        <v>2487000000</v>
      </c>
      <c r="Y21" s="1841">
        <v>2653000000</v>
      </c>
      <c r="Z21" s="1841">
        <v>2834000000</v>
      </c>
    </row>
    <row r="22" spans="1:26">
      <c r="A22" s="2613" t="s">
        <v>5810</v>
      </c>
      <c r="B22" s="2613" t="s">
        <v>5810</v>
      </c>
      <c r="C22" s="2614" t="s">
        <v>3504</v>
      </c>
      <c r="D22" s="1581"/>
      <c r="E22" s="1581"/>
      <c r="F22" s="1581"/>
      <c r="G22" s="1581"/>
      <c r="H22" s="2057"/>
      <c r="I22" s="2057"/>
      <c r="J22" s="2057"/>
      <c r="K22" s="2057"/>
      <c r="L22" s="1581"/>
      <c r="M22" s="1581"/>
      <c r="N22" s="1581"/>
      <c r="O22" s="1581"/>
      <c r="P22" s="1579"/>
      <c r="Q22" s="1579"/>
      <c r="R22" s="1579">
        <v>1226000000</v>
      </c>
      <c r="S22" s="1579">
        <v>1290000000</v>
      </c>
      <c r="T22" s="1579">
        <v>1425000000</v>
      </c>
      <c r="U22" s="1579">
        <v>1781000000</v>
      </c>
      <c r="V22" s="1579">
        <v>1600000000</v>
      </c>
      <c r="W22" s="1579">
        <v>1700000000</v>
      </c>
      <c r="X22" s="1579">
        <v>1811000000</v>
      </c>
      <c r="Y22" s="1841">
        <v>1935000000</v>
      </c>
      <c r="Z22" s="1841">
        <v>2071000000</v>
      </c>
    </row>
    <row r="23" spans="1:26">
      <c r="A23" s="2613" t="s">
        <v>5811</v>
      </c>
      <c r="B23" s="2613" t="s">
        <v>5811</v>
      </c>
      <c r="C23" s="2614" t="s">
        <v>3504</v>
      </c>
      <c r="D23" s="1581"/>
      <c r="E23" s="1581"/>
      <c r="F23" s="1581"/>
      <c r="G23" s="1581"/>
      <c r="H23" s="2057"/>
      <c r="I23" s="2057"/>
      <c r="J23" s="2057"/>
      <c r="K23" s="2057"/>
      <c r="L23" s="1581"/>
      <c r="M23" s="1581"/>
      <c r="N23" s="1581"/>
      <c r="O23" s="1581"/>
      <c r="P23" s="1579"/>
      <c r="Q23" s="1579"/>
      <c r="R23" s="1579">
        <v>734000000</v>
      </c>
      <c r="S23" s="1579">
        <v>742000000</v>
      </c>
      <c r="T23" s="1579">
        <v>541000000</v>
      </c>
      <c r="U23" s="1579">
        <v>568000000</v>
      </c>
      <c r="V23" s="1579">
        <v>601000000</v>
      </c>
      <c r="W23" s="1579">
        <v>639000000</v>
      </c>
      <c r="X23" s="1579">
        <v>676000000</v>
      </c>
      <c r="Y23" s="1841">
        <v>717000000</v>
      </c>
      <c r="Z23" s="1841">
        <v>762000000</v>
      </c>
    </row>
    <row r="24" spans="1:26">
      <c r="A24" s="2613"/>
      <c r="B24" s="2613" t="s">
        <v>7209</v>
      </c>
      <c r="C24" s="1578" t="s">
        <v>81</v>
      </c>
      <c r="D24" s="1581"/>
      <c r="E24" s="1581"/>
      <c r="F24" s="1581"/>
      <c r="G24" s="1581"/>
      <c r="H24" s="2057"/>
      <c r="I24" s="2057"/>
      <c r="J24" s="2057"/>
      <c r="K24" s="2057"/>
      <c r="L24" s="1581"/>
      <c r="M24" s="1581"/>
      <c r="N24" s="1581"/>
      <c r="O24" s="1581"/>
      <c r="P24" s="1579"/>
      <c r="Q24" s="1579"/>
      <c r="R24" s="1579"/>
      <c r="S24" s="1579"/>
      <c r="T24" s="1579"/>
      <c r="U24" s="1579"/>
      <c r="V24" s="1579">
        <v>70000000</v>
      </c>
      <c r="W24" s="1579">
        <v>70000000</v>
      </c>
      <c r="X24" s="1579"/>
      <c r="Y24" s="1841"/>
      <c r="Z24" s="1841"/>
    </row>
    <row r="25" spans="1:26">
      <c r="A25" s="1577" t="s">
        <v>92</v>
      </c>
      <c r="B25" s="1577" t="s">
        <v>5812</v>
      </c>
      <c r="C25" s="1578" t="s">
        <v>75</v>
      </c>
      <c r="D25" s="1581">
        <v>69500000</v>
      </c>
      <c r="E25" s="1581">
        <v>128600000</v>
      </c>
      <c r="F25" s="1581">
        <v>48700000</v>
      </c>
      <c r="G25" s="1581">
        <v>266899999.99999997</v>
      </c>
      <c r="H25" s="1581">
        <v>342000000</v>
      </c>
      <c r="I25" s="1581">
        <v>814000000</v>
      </c>
      <c r="J25" s="1581">
        <v>821000000</v>
      </c>
      <c r="K25" s="1581">
        <v>1113000000</v>
      </c>
      <c r="L25" s="1581">
        <v>921000000</v>
      </c>
      <c r="M25" s="1581">
        <v>1231000000</v>
      </c>
      <c r="N25" s="1581">
        <v>1533000000</v>
      </c>
      <c r="O25" s="1581">
        <v>1695000000</v>
      </c>
      <c r="P25" s="1579">
        <v>1728000000</v>
      </c>
      <c r="Q25" s="1579">
        <v>1608000000</v>
      </c>
      <c r="R25" s="1579">
        <v>1089000000</v>
      </c>
      <c r="S25" s="1579">
        <v>1306000000</v>
      </c>
      <c r="T25" s="1579">
        <v>1437000000</v>
      </c>
      <c r="U25" s="1579">
        <v>1607000000</v>
      </c>
      <c r="V25" s="1579">
        <v>1857000000</v>
      </c>
      <c r="W25" s="1579">
        <v>1718000000</v>
      </c>
      <c r="X25" s="1579">
        <v>1813000000</v>
      </c>
      <c r="Y25" s="1841">
        <v>1860000000</v>
      </c>
      <c r="Z25" s="1841">
        <v>1946000000</v>
      </c>
    </row>
    <row r="26" spans="1:26">
      <c r="A26" s="1576" t="s">
        <v>239</v>
      </c>
      <c r="B26" s="1580" t="s">
        <v>5813</v>
      </c>
      <c r="C26" s="1578" t="s">
        <v>95</v>
      </c>
      <c r="D26" s="2060">
        <f>D25-D30</f>
        <v>22600000</v>
      </c>
      <c r="E26" s="2060">
        <f>E25-E30</f>
        <v>12900000</v>
      </c>
      <c r="F26" s="2060">
        <f>F25-F30</f>
        <v>15400000.000000004</v>
      </c>
      <c r="G26" s="2060">
        <f>G25-G30</f>
        <v>23199999.99999997</v>
      </c>
      <c r="H26" s="1581">
        <v>0</v>
      </c>
      <c r="I26" s="1581">
        <v>2000000</v>
      </c>
      <c r="J26" s="1581">
        <v>14000000</v>
      </c>
      <c r="K26" s="1581">
        <v>67000000</v>
      </c>
      <c r="L26" s="1581">
        <v>204000000</v>
      </c>
      <c r="M26" s="1581">
        <v>178000000</v>
      </c>
      <c r="N26" s="1581">
        <v>243000000</v>
      </c>
      <c r="O26" s="1581">
        <v>342000000</v>
      </c>
      <c r="P26" s="1579">
        <v>577000000</v>
      </c>
      <c r="Q26" s="1579">
        <v>560000000</v>
      </c>
      <c r="R26" s="1579">
        <f>R27</f>
        <v>568000000</v>
      </c>
      <c r="S26" s="1579">
        <f t="shared" ref="S26:Z26" si="8">S27</f>
        <v>872000000</v>
      </c>
      <c r="T26" s="1579">
        <f t="shared" si="8"/>
        <v>944000000</v>
      </c>
      <c r="U26" s="1579">
        <f t="shared" si="8"/>
        <v>1113000000</v>
      </c>
      <c r="V26" s="1579">
        <f t="shared" si="8"/>
        <v>762000000</v>
      </c>
      <c r="W26" s="1579">
        <f t="shared" si="8"/>
        <v>765000000</v>
      </c>
      <c r="X26" s="1579">
        <f t="shared" si="8"/>
        <v>785000000</v>
      </c>
      <c r="Y26" s="1579">
        <f t="shared" si="8"/>
        <v>800000000</v>
      </c>
      <c r="Z26" s="1579">
        <f t="shared" si="8"/>
        <v>833000000</v>
      </c>
    </row>
    <row r="27" spans="1:26">
      <c r="A27" s="2613" t="s">
        <v>209</v>
      </c>
      <c r="B27" s="2613" t="s">
        <v>209</v>
      </c>
      <c r="C27" s="2614"/>
      <c r="D27" s="2060"/>
      <c r="E27" s="2060"/>
      <c r="F27" s="2060"/>
      <c r="G27" s="2060"/>
      <c r="H27" s="1581"/>
      <c r="I27" s="1581"/>
      <c r="J27" s="1581"/>
      <c r="K27" s="1581"/>
      <c r="L27" s="1581"/>
      <c r="M27" s="1581"/>
      <c r="N27" s="1581"/>
      <c r="O27" s="1581"/>
      <c r="P27" s="1579"/>
      <c r="Q27" s="1579"/>
      <c r="R27" s="1579">
        <v>568000000</v>
      </c>
      <c r="S27" s="1579">
        <v>872000000</v>
      </c>
      <c r="T27" s="1579">
        <v>944000000</v>
      </c>
      <c r="U27" s="1579">
        <v>1113000000</v>
      </c>
      <c r="V27" s="1579">
        <v>762000000</v>
      </c>
      <c r="W27" s="1579">
        <v>765000000</v>
      </c>
      <c r="X27" s="1579">
        <v>785000000</v>
      </c>
      <c r="Y27" s="1841">
        <v>800000000</v>
      </c>
      <c r="Z27" s="1841">
        <v>833000000</v>
      </c>
    </row>
    <row r="28" spans="1:26">
      <c r="A28" s="2613" t="s">
        <v>5814</v>
      </c>
      <c r="B28" s="2613" t="s">
        <v>5814</v>
      </c>
      <c r="C28" s="2614"/>
      <c r="D28" s="2060"/>
      <c r="E28" s="2060"/>
      <c r="F28" s="2060"/>
      <c r="G28" s="2060"/>
      <c r="H28" s="1581"/>
      <c r="I28" s="1581"/>
      <c r="J28" s="1581"/>
      <c r="K28" s="1581"/>
      <c r="L28" s="1581"/>
      <c r="M28" s="1581"/>
      <c r="N28" s="1581"/>
      <c r="O28" s="1581"/>
      <c r="P28" s="1579"/>
      <c r="Q28" s="1579"/>
      <c r="R28" s="1579">
        <v>0</v>
      </c>
      <c r="S28" s="1579">
        <v>0</v>
      </c>
      <c r="T28" s="1579">
        <v>104000000</v>
      </c>
      <c r="U28" s="1579">
        <v>82000000</v>
      </c>
      <c r="V28" s="1579">
        <v>519000000</v>
      </c>
      <c r="W28" s="1579">
        <v>371000000</v>
      </c>
      <c r="X28" s="1579">
        <v>432000000</v>
      </c>
      <c r="Y28" s="1841">
        <v>428000000</v>
      </c>
      <c r="Z28" s="1841">
        <v>441000000</v>
      </c>
    </row>
    <row r="29" spans="1:26">
      <c r="A29" s="2613"/>
      <c r="B29" s="2613" t="s">
        <v>5811</v>
      </c>
      <c r="C29" s="2614"/>
      <c r="D29" s="2060"/>
      <c r="E29" s="2060"/>
      <c r="F29" s="2060"/>
      <c r="G29" s="2060"/>
      <c r="H29" s="1581"/>
      <c r="I29" s="1581"/>
      <c r="J29" s="1581"/>
      <c r="K29" s="1581"/>
      <c r="L29" s="1581"/>
      <c r="M29" s="1581"/>
      <c r="N29" s="1581"/>
      <c r="O29" s="1581"/>
      <c r="P29" s="1579"/>
      <c r="Q29" s="1579"/>
      <c r="R29" s="1579">
        <v>521000000</v>
      </c>
      <c r="S29" s="1579">
        <v>434000000</v>
      </c>
      <c r="T29" s="1579">
        <v>389000000</v>
      </c>
      <c r="U29" s="1579">
        <v>412000000</v>
      </c>
      <c r="V29" s="1579">
        <v>576000000</v>
      </c>
      <c r="W29" s="1579">
        <v>582000000</v>
      </c>
      <c r="X29" s="1579">
        <v>596000000</v>
      </c>
      <c r="Y29" s="1841">
        <v>632000000</v>
      </c>
      <c r="Z29" s="1841">
        <v>672000000</v>
      </c>
    </row>
    <row r="30" spans="1:26">
      <c r="A30" s="1584" t="s">
        <v>395</v>
      </c>
      <c r="B30" s="1580" t="s">
        <v>5815</v>
      </c>
      <c r="C30" s="1578" t="s">
        <v>95</v>
      </c>
      <c r="D30" s="1581">
        <v>46900000</v>
      </c>
      <c r="E30" s="1581">
        <v>115700000</v>
      </c>
      <c r="F30" s="1581">
        <v>33299999.999999996</v>
      </c>
      <c r="G30" s="1581">
        <v>243700000</v>
      </c>
      <c r="H30" s="2060">
        <f>H25-H26</f>
        <v>342000000</v>
      </c>
      <c r="I30" s="2060">
        <f>I25-I26</f>
        <v>812000000</v>
      </c>
      <c r="J30" s="2060">
        <f>J25-J26</f>
        <v>807000000</v>
      </c>
      <c r="K30" s="2060">
        <f>K25-K26</f>
        <v>1046000000</v>
      </c>
      <c r="L30" s="2061">
        <f>L25-L26</f>
        <v>717000000</v>
      </c>
      <c r="M30" s="1581">
        <v>1054000000</v>
      </c>
      <c r="N30" s="1581">
        <v>1289000000</v>
      </c>
      <c r="O30" s="1581">
        <v>1354000000</v>
      </c>
      <c r="P30" s="1579">
        <v>1151000000</v>
      </c>
      <c r="Q30" s="1579">
        <v>1047000000</v>
      </c>
      <c r="R30" s="1579">
        <f>R29+R28</f>
        <v>521000000</v>
      </c>
      <c r="S30" s="1579">
        <f t="shared" ref="S30:Z30" si="9">S29+S28</f>
        <v>434000000</v>
      </c>
      <c r="T30" s="1579">
        <f t="shared" si="9"/>
        <v>493000000</v>
      </c>
      <c r="U30" s="1579">
        <f t="shared" si="9"/>
        <v>494000000</v>
      </c>
      <c r="V30" s="1579">
        <f t="shared" si="9"/>
        <v>1095000000</v>
      </c>
      <c r="W30" s="1579">
        <f t="shared" si="9"/>
        <v>953000000</v>
      </c>
      <c r="X30" s="1579">
        <f t="shared" si="9"/>
        <v>1028000000</v>
      </c>
      <c r="Y30" s="1579">
        <f t="shared" si="9"/>
        <v>1060000000</v>
      </c>
      <c r="Z30" s="1579">
        <f t="shared" si="9"/>
        <v>1113000000</v>
      </c>
    </row>
    <row r="31" spans="1:26">
      <c r="A31" s="1576" t="s">
        <v>398</v>
      </c>
      <c r="B31" s="1577" t="s">
        <v>5816</v>
      </c>
      <c r="C31" s="1578" t="s">
        <v>75</v>
      </c>
      <c r="D31" s="2057"/>
      <c r="E31" s="2057"/>
      <c r="F31" s="2057"/>
      <c r="G31" s="2057"/>
      <c r="H31" s="2057"/>
      <c r="I31" s="2057"/>
      <c r="J31" s="2057"/>
      <c r="K31" s="2057"/>
      <c r="L31" s="1581">
        <v>88000000</v>
      </c>
      <c r="M31" s="1581"/>
      <c r="N31" s="1581">
        <v>18000000</v>
      </c>
      <c r="O31" s="1581">
        <v>4000000</v>
      </c>
      <c r="P31" s="1579">
        <v>0</v>
      </c>
      <c r="Q31" s="1579">
        <v>3000000</v>
      </c>
      <c r="R31" s="1579"/>
      <c r="S31" s="1579"/>
      <c r="T31" s="1579"/>
      <c r="U31" s="1579"/>
      <c r="V31" s="1579"/>
      <c r="W31" s="1579"/>
      <c r="X31" s="1579"/>
      <c r="Y31" s="1841"/>
      <c r="Z31" s="1841"/>
    </row>
    <row r="32" spans="1:26">
      <c r="A32" s="1580"/>
      <c r="B32" s="1577" t="s">
        <v>5817</v>
      </c>
      <c r="C32" s="1578"/>
      <c r="D32" s="2057"/>
      <c r="E32" s="2057"/>
      <c r="F32" s="2057"/>
      <c r="G32" s="2057"/>
      <c r="H32" s="2057"/>
      <c r="I32" s="2057"/>
      <c r="J32" s="2057"/>
      <c r="K32" s="2057"/>
      <c r="L32" s="1581"/>
      <c r="M32" s="1581"/>
      <c r="N32" s="1581"/>
      <c r="O32" s="1581"/>
      <c r="P32" s="1579"/>
      <c r="Q32" s="1579"/>
      <c r="R32" s="1579">
        <v>37000000</v>
      </c>
      <c r="S32" s="1579">
        <v>20000000</v>
      </c>
      <c r="T32" s="1579">
        <v>-58000000</v>
      </c>
      <c r="U32" s="1579">
        <v>0</v>
      </c>
      <c r="V32" s="1579">
        <v>0</v>
      </c>
      <c r="W32" s="1579">
        <v>0</v>
      </c>
      <c r="X32" s="1579">
        <v>0</v>
      </c>
      <c r="Y32" s="1841">
        <v>0</v>
      </c>
      <c r="Z32" s="1841">
        <v>0</v>
      </c>
    </row>
    <row r="33" spans="1:26">
      <c r="A33" s="1570" t="s">
        <v>76</v>
      </c>
      <c r="B33" s="1577" t="s">
        <v>5818</v>
      </c>
      <c r="C33" s="1577"/>
      <c r="D33" s="2057"/>
      <c r="E33" s="2057"/>
      <c r="F33" s="2057"/>
      <c r="G33" s="2057"/>
      <c r="H33" s="1581">
        <v>167000000</v>
      </c>
      <c r="I33" s="1581">
        <v>130000000</v>
      </c>
      <c r="J33" s="1581">
        <v>130000000</v>
      </c>
      <c r="K33" s="1581">
        <v>194000000</v>
      </c>
      <c r="L33" s="1581">
        <v>284000000</v>
      </c>
      <c r="M33" s="1581">
        <v>230000000</v>
      </c>
      <c r="N33" s="1581">
        <v>605000000</v>
      </c>
      <c r="O33" s="1581">
        <v>745000000</v>
      </c>
      <c r="P33" s="1579">
        <v>769000000</v>
      </c>
      <c r="Q33" s="1579">
        <v>807000000</v>
      </c>
      <c r="R33" s="1579">
        <v>750000000</v>
      </c>
      <c r="S33" s="1579">
        <v>871000000</v>
      </c>
      <c r="T33" s="1579">
        <v>665000000</v>
      </c>
      <c r="U33" s="1579">
        <v>434000000</v>
      </c>
      <c r="V33" s="1579">
        <v>660000000</v>
      </c>
      <c r="W33" s="1579">
        <v>690000000</v>
      </c>
      <c r="X33" s="1579">
        <v>788000000</v>
      </c>
      <c r="Y33" s="1841">
        <v>813000000</v>
      </c>
      <c r="Z33" s="1841">
        <v>848000000</v>
      </c>
    </row>
    <row r="34" spans="1:26">
      <c r="A34" s="1570" t="s">
        <v>76</v>
      </c>
      <c r="B34" s="1577" t="s">
        <v>5819</v>
      </c>
      <c r="C34" s="1577"/>
      <c r="D34" s="2057"/>
      <c r="E34" s="2057"/>
      <c r="F34" s="2057"/>
      <c r="G34" s="2057"/>
      <c r="H34" s="1581">
        <v>165000000</v>
      </c>
      <c r="I34" s="1581">
        <v>83000000</v>
      </c>
      <c r="J34" s="1581">
        <v>60000000</v>
      </c>
      <c r="K34" s="1581">
        <v>19000000</v>
      </c>
      <c r="L34" s="1581">
        <v>-8000000</v>
      </c>
      <c r="M34" s="1581">
        <v>85000000</v>
      </c>
      <c r="N34" s="1581">
        <v>343000000</v>
      </c>
      <c r="O34" s="1581">
        <v>599000000</v>
      </c>
      <c r="P34" s="1579">
        <v>286000000</v>
      </c>
      <c r="Q34" s="1579">
        <v>341000000</v>
      </c>
      <c r="R34" s="1579">
        <v>144000000</v>
      </c>
      <c r="S34" s="1579">
        <v>-20000000</v>
      </c>
      <c r="T34" s="1579">
        <v>-325000000</v>
      </c>
      <c r="U34" s="1579">
        <v>-761000000</v>
      </c>
      <c r="V34" s="1579">
        <v>-621000000</v>
      </c>
      <c r="W34" s="1579">
        <v>-446000000</v>
      </c>
      <c r="X34" s="1579">
        <v>-429000000</v>
      </c>
      <c r="Y34" s="1841">
        <v>-415000000</v>
      </c>
      <c r="Z34" s="1841">
        <v>-426000000</v>
      </c>
    </row>
    <row r="35" spans="1:26" s="848" customFormat="1">
      <c r="A35" s="2058" t="s">
        <v>115</v>
      </c>
      <c r="B35" s="2004" t="s">
        <v>5820</v>
      </c>
      <c r="C35" s="2004" t="s">
        <v>35</v>
      </c>
      <c r="D35" s="2055">
        <v>78300000</v>
      </c>
      <c r="E35" s="2055">
        <v>174600000</v>
      </c>
      <c r="F35" s="2062">
        <v>168700000</v>
      </c>
      <c r="G35" s="2062">
        <v>24800000</v>
      </c>
      <c r="H35" s="2056">
        <v>-165000000</v>
      </c>
      <c r="I35" s="2056">
        <v>-83000000</v>
      </c>
      <c r="J35" s="2056">
        <v>-60000000</v>
      </c>
      <c r="K35" s="2056">
        <v>-19000000</v>
      </c>
      <c r="L35" s="2056">
        <v>8000000</v>
      </c>
      <c r="M35" s="2056">
        <v>-85000000</v>
      </c>
      <c r="N35" s="2056">
        <v>-343000000</v>
      </c>
      <c r="O35" s="2056">
        <v>-599000000</v>
      </c>
      <c r="P35" s="2007">
        <v>-286000000</v>
      </c>
      <c r="Q35" s="2007">
        <v>-341000000</v>
      </c>
      <c r="R35" s="2007">
        <v>-144000000</v>
      </c>
      <c r="S35" s="2007">
        <v>20000000</v>
      </c>
      <c r="T35" s="2007">
        <v>325000000</v>
      </c>
      <c r="U35" s="2007">
        <v>761000000</v>
      </c>
      <c r="V35" s="2007">
        <v>621000000</v>
      </c>
      <c r="W35" s="2007">
        <v>446000000</v>
      </c>
      <c r="X35" s="2007">
        <v>429000000</v>
      </c>
      <c r="Y35" s="2010">
        <v>415000000</v>
      </c>
      <c r="Z35" s="2010">
        <v>426000000</v>
      </c>
    </row>
    <row r="36" spans="1:26">
      <c r="A36" s="1576" t="s">
        <v>117</v>
      </c>
      <c r="B36" s="1577" t="s">
        <v>5821</v>
      </c>
      <c r="C36" s="1578" t="s">
        <v>119</v>
      </c>
      <c r="D36" s="2057">
        <v>8700000</v>
      </c>
      <c r="E36" s="2057">
        <v>72500000</v>
      </c>
      <c r="F36" s="2063">
        <v>77200000</v>
      </c>
      <c r="G36" s="2063">
        <v>13900000</v>
      </c>
      <c r="H36" s="1581">
        <v>-6000000</v>
      </c>
      <c r="I36" s="1581">
        <v>73000000</v>
      </c>
      <c r="J36" s="1581">
        <v>57000000</v>
      </c>
      <c r="K36" s="1581">
        <v>95000000</v>
      </c>
      <c r="L36" s="1581">
        <v>-75000000</v>
      </c>
      <c r="M36" s="1581">
        <v>-53000000</v>
      </c>
      <c r="N36" s="1581">
        <v>-65000000</v>
      </c>
      <c r="O36" s="1581">
        <v>-49000000</v>
      </c>
      <c r="P36" s="1579">
        <v>-90000000</v>
      </c>
      <c r="Q36" s="1579">
        <v>-50000000</v>
      </c>
      <c r="R36" s="1579">
        <v>-43000000</v>
      </c>
      <c r="S36" s="1579">
        <v>-15000000</v>
      </c>
      <c r="T36" s="1579">
        <v>29000000</v>
      </c>
      <c r="U36" s="1579">
        <v>13000000</v>
      </c>
      <c r="V36" s="1579">
        <v>454000000</v>
      </c>
      <c r="W36" s="1579">
        <v>315000000</v>
      </c>
      <c r="X36" s="1579">
        <v>390000000</v>
      </c>
      <c r="Y36" s="1841">
        <v>386000000</v>
      </c>
      <c r="Z36" s="1841">
        <v>400000000</v>
      </c>
    </row>
    <row r="37" spans="1:26">
      <c r="A37" s="1580" t="s">
        <v>415</v>
      </c>
      <c r="B37" s="1580" t="s">
        <v>415</v>
      </c>
      <c r="C37" s="1577" t="s">
        <v>264</v>
      </c>
      <c r="D37" s="2057">
        <v>22600000</v>
      </c>
      <c r="E37" s="2057">
        <v>88600000</v>
      </c>
      <c r="F37" s="2063">
        <v>82800000</v>
      </c>
      <c r="G37" s="2063">
        <v>23200000</v>
      </c>
      <c r="H37" s="2057"/>
      <c r="I37" s="2057"/>
      <c r="J37" s="2057"/>
      <c r="K37" s="2057"/>
      <c r="L37" s="2057"/>
      <c r="M37" s="1581">
        <v>0</v>
      </c>
      <c r="N37" s="1581">
        <v>0</v>
      </c>
      <c r="O37" s="1581">
        <v>0</v>
      </c>
      <c r="P37" s="1581"/>
      <c r="Q37" s="1581"/>
      <c r="R37" s="1581">
        <v>0</v>
      </c>
      <c r="S37" s="1581">
        <v>0</v>
      </c>
      <c r="T37" s="2059">
        <v>104000000</v>
      </c>
      <c r="U37" s="1579">
        <v>82000000</v>
      </c>
      <c r="V37" s="1579">
        <v>519000000</v>
      </c>
      <c r="W37" s="1579">
        <v>371000000</v>
      </c>
      <c r="X37" s="1579">
        <v>432000000</v>
      </c>
      <c r="Y37" s="1841">
        <v>428000000</v>
      </c>
      <c r="Z37" s="1841">
        <v>441000000</v>
      </c>
    </row>
    <row r="38" spans="1:26">
      <c r="A38" s="1580" t="s">
        <v>258</v>
      </c>
      <c r="B38" s="1580" t="s">
        <v>258</v>
      </c>
      <c r="C38" s="1577" t="s">
        <v>264</v>
      </c>
      <c r="D38" s="2057">
        <v>-13900000</v>
      </c>
      <c r="E38" s="2057">
        <v>-16100000.000000002</v>
      </c>
      <c r="F38" s="2063">
        <v>-5600000</v>
      </c>
      <c r="G38" s="2063">
        <v>-16600000.000000002</v>
      </c>
      <c r="H38" s="2057"/>
      <c r="I38" s="2057"/>
      <c r="J38" s="2057"/>
      <c r="K38" s="2057"/>
      <c r="L38" s="2057"/>
      <c r="M38" s="1581">
        <v>-53000000</v>
      </c>
      <c r="N38" s="1581">
        <v>-65000000</v>
      </c>
      <c r="O38" s="1581">
        <v>-49000000</v>
      </c>
      <c r="P38" s="1581"/>
      <c r="Q38" s="1581"/>
      <c r="R38" s="1581">
        <v>-43000000</v>
      </c>
      <c r="S38" s="1581">
        <v>-16000000</v>
      </c>
      <c r="T38" s="2059">
        <v>-75000000</v>
      </c>
      <c r="U38" s="1579">
        <v>-70000000</v>
      </c>
      <c r="V38" s="1579">
        <v>-64000000</v>
      </c>
      <c r="W38" s="1579">
        <v>-56000000</v>
      </c>
      <c r="X38" s="1579">
        <v>-42000000</v>
      </c>
      <c r="Y38" s="1841">
        <v>-42000000</v>
      </c>
      <c r="Z38" s="1841">
        <v>-42000000</v>
      </c>
    </row>
    <row r="39" spans="1:26">
      <c r="A39" s="1576" t="s">
        <v>1348</v>
      </c>
      <c r="B39" s="1580" t="s">
        <v>5822</v>
      </c>
      <c r="C39" s="1577" t="s">
        <v>264</v>
      </c>
      <c r="D39" s="2057">
        <v>0</v>
      </c>
      <c r="E39" s="2057">
        <v>0</v>
      </c>
      <c r="F39" s="2063">
        <v>0</v>
      </c>
      <c r="G39" s="2063">
        <v>7300000</v>
      </c>
      <c r="H39" s="2057"/>
      <c r="I39" s="2057"/>
      <c r="J39" s="2057"/>
      <c r="K39" s="2057"/>
      <c r="L39" s="2057"/>
      <c r="M39" s="1581">
        <v>0</v>
      </c>
      <c r="N39" s="1581">
        <v>0</v>
      </c>
      <c r="O39" s="1581">
        <v>0</v>
      </c>
      <c r="P39" s="1581"/>
      <c r="Q39" s="1581"/>
      <c r="R39" s="1581"/>
      <c r="S39" s="1581"/>
      <c r="T39" s="2059"/>
      <c r="U39" s="1579"/>
      <c r="V39" s="1579"/>
      <c r="W39" s="1579"/>
      <c r="X39" s="1579"/>
      <c r="Y39" s="1841"/>
      <c r="Z39" s="1841"/>
    </row>
    <row r="40" spans="1:26" ht="30.75" customHeight="1">
      <c r="A40" s="1576" t="s">
        <v>120</v>
      </c>
      <c r="B40" s="1577" t="s">
        <v>5823</v>
      </c>
      <c r="C40" s="1578" t="s">
        <v>119</v>
      </c>
      <c r="D40" s="2057">
        <f>D41+D46+D47</f>
        <v>63600000</v>
      </c>
      <c r="E40" s="2057">
        <f t="shared" ref="E40:O40" si="10">E41+E46+E47</f>
        <v>-20500000</v>
      </c>
      <c r="F40" s="2057">
        <f t="shared" si="10"/>
        <v>-45200000</v>
      </c>
      <c r="G40" s="2057">
        <f t="shared" si="10"/>
        <v>-159400000</v>
      </c>
      <c r="H40" s="2057">
        <f t="shared" si="10"/>
        <v>-157000000</v>
      </c>
      <c r="I40" s="2057">
        <f t="shared" si="10"/>
        <v>-45000000</v>
      </c>
      <c r="J40" s="2057">
        <f t="shared" si="10"/>
        <v>-25000000</v>
      </c>
      <c r="K40" s="2057">
        <f t="shared" si="10"/>
        <v>-57000000</v>
      </c>
      <c r="L40" s="2057">
        <f t="shared" si="10"/>
        <v>84000000</v>
      </c>
      <c r="M40" s="2057">
        <f t="shared" si="10"/>
        <v>-77000000</v>
      </c>
      <c r="N40" s="2057">
        <f t="shared" si="10"/>
        <v>-280000000</v>
      </c>
      <c r="O40" s="2057">
        <f t="shared" si="10"/>
        <v>-561000000</v>
      </c>
      <c r="P40" s="1579">
        <v>-196000000</v>
      </c>
      <c r="Q40" s="1579">
        <v>-290000000</v>
      </c>
      <c r="R40" s="1579">
        <v>-102000000</v>
      </c>
      <c r="S40" s="1579">
        <v>36000000</v>
      </c>
      <c r="T40" s="1579">
        <v>296000000</v>
      </c>
      <c r="U40" s="1579">
        <v>749000000</v>
      </c>
      <c r="V40" s="1579">
        <v>167000000</v>
      </c>
      <c r="W40" s="1579">
        <v>131000000</v>
      </c>
      <c r="X40" s="1579">
        <v>39000000</v>
      </c>
      <c r="Y40" s="1841">
        <v>30000000</v>
      </c>
      <c r="Z40" s="1841">
        <v>26000000</v>
      </c>
    </row>
    <row r="41" spans="1:26">
      <c r="A41" s="1576" t="s">
        <v>122</v>
      </c>
      <c r="B41" s="1580" t="s">
        <v>5824</v>
      </c>
      <c r="C41" s="1577" t="s">
        <v>124</v>
      </c>
      <c r="D41" s="2057">
        <v>79900000</v>
      </c>
      <c r="E41" s="2057">
        <v>-47700000</v>
      </c>
      <c r="F41" s="2063">
        <v>-16100000.000000002</v>
      </c>
      <c r="G41" s="2063">
        <v>-156800000</v>
      </c>
      <c r="H41" s="1581">
        <v>-157000000</v>
      </c>
      <c r="I41" s="1581">
        <v>-45000000</v>
      </c>
      <c r="J41" s="1581">
        <v>-35000000</v>
      </c>
      <c r="K41" s="1581">
        <v>-42000000</v>
      </c>
      <c r="L41" s="1581">
        <v>92000000</v>
      </c>
      <c r="M41" s="1581">
        <v>-64000000</v>
      </c>
      <c r="N41" s="1581">
        <v>-282000000</v>
      </c>
      <c r="O41" s="1581">
        <v>-558000000</v>
      </c>
      <c r="P41" s="1579">
        <v>-177000000</v>
      </c>
      <c r="Q41" s="1579">
        <v>-285000000</v>
      </c>
      <c r="R41" s="1579">
        <v>-98000000</v>
      </c>
      <c r="S41" s="1579">
        <v>74000000</v>
      </c>
      <c r="T41" s="1579">
        <v>304000000</v>
      </c>
      <c r="U41" s="1579">
        <v>449000000</v>
      </c>
      <c r="V41" s="1579">
        <v>67000000</v>
      </c>
      <c r="W41" s="1579">
        <v>131000000</v>
      </c>
      <c r="X41" s="1579">
        <v>39000000</v>
      </c>
      <c r="Y41" s="1841">
        <v>30000000</v>
      </c>
      <c r="Z41" s="1841">
        <v>26000000</v>
      </c>
    </row>
    <row r="42" spans="1:26">
      <c r="A42" s="1570" t="s">
        <v>76</v>
      </c>
      <c r="B42" s="1582" t="s">
        <v>3877</v>
      </c>
      <c r="C42" s="1577"/>
      <c r="D42" s="2057">
        <v>65099999.999999993</v>
      </c>
      <c r="E42" s="2057">
        <v>42300000</v>
      </c>
      <c r="F42" s="2063">
        <v>37300000</v>
      </c>
      <c r="G42" s="2063">
        <v>-66000000</v>
      </c>
      <c r="H42" s="2057"/>
      <c r="I42" s="2057"/>
      <c r="J42" s="2057"/>
      <c r="K42" s="2057"/>
      <c r="L42" s="1581">
        <v>96000000</v>
      </c>
      <c r="M42" s="1581">
        <v>-25000000</v>
      </c>
      <c r="N42" s="1581">
        <v>-284000000</v>
      </c>
      <c r="O42" s="1581">
        <v>-477000000</v>
      </c>
      <c r="P42" s="1581"/>
      <c r="Q42" s="1581"/>
      <c r="R42" s="1581"/>
      <c r="S42" s="1581"/>
      <c r="T42" s="2059"/>
      <c r="U42" s="1579"/>
      <c r="V42" s="1579"/>
      <c r="W42" s="1579"/>
      <c r="X42" s="1579"/>
      <c r="Y42" s="1841"/>
      <c r="Z42" s="1841"/>
    </row>
    <row r="43" spans="1:26">
      <c r="A43" s="1570" t="s">
        <v>76</v>
      </c>
      <c r="B43" s="1582" t="s">
        <v>5825</v>
      </c>
      <c r="C43" s="1577"/>
      <c r="D43" s="2057"/>
      <c r="E43" s="2057"/>
      <c r="F43" s="2057"/>
      <c r="G43" s="2057"/>
      <c r="H43" s="2057"/>
      <c r="I43" s="2057"/>
      <c r="J43" s="2057"/>
      <c r="K43" s="2057"/>
      <c r="L43" s="2057"/>
      <c r="M43" s="1581" t="s">
        <v>78</v>
      </c>
      <c r="N43" s="1581" t="s">
        <v>78</v>
      </c>
      <c r="O43" s="1581">
        <v>-463000000</v>
      </c>
      <c r="P43" s="1581"/>
      <c r="Q43" s="1581"/>
      <c r="R43" s="1581">
        <v>-272000000</v>
      </c>
      <c r="S43" s="1581">
        <v>186000000</v>
      </c>
      <c r="T43" s="2059">
        <v>282000000</v>
      </c>
      <c r="U43" s="1579">
        <v>449000000</v>
      </c>
      <c r="V43" s="1579">
        <v>67000000</v>
      </c>
      <c r="W43" s="1579">
        <v>131000000</v>
      </c>
      <c r="X43" s="1579">
        <v>39000000</v>
      </c>
      <c r="Y43" s="1841">
        <v>30000000</v>
      </c>
      <c r="Z43" s="1841">
        <v>26000000</v>
      </c>
    </row>
    <row r="44" spans="1:26">
      <c r="A44" s="1570" t="s">
        <v>76</v>
      </c>
      <c r="B44" s="1582" t="s">
        <v>5826</v>
      </c>
      <c r="C44" s="1577"/>
      <c r="D44" s="2057"/>
      <c r="E44" s="2057"/>
      <c r="F44" s="2057"/>
      <c r="G44" s="2057"/>
      <c r="H44" s="2057"/>
      <c r="I44" s="2057"/>
      <c r="J44" s="2057"/>
      <c r="K44" s="2057"/>
      <c r="L44" s="2057"/>
      <c r="M44" s="1581" t="s">
        <v>78</v>
      </c>
      <c r="N44" s="1581" t="s">
        <v>78</v>
      </c>
      <c r="O44" s="1581">
        <v>0</v>
      </c>
      <c r="P44" s="1581"/>
      <c r="Q44" s="1581"/>
      <c r="R44" s="1581">
        <v>-32000000</v>
      </c>
      <c r="S44" s="1581">
        <v>-131000000</v>
      </c>
      <c r="T44" s="2059">
        <v>0</v>
      </c>
      <c r="U44" s="1579">
        <v>300000000</v>
      </c>
      <c r="V44" s="1579">
        <v>100000000</v>
      </c>
      <c r="W44" s="1579">
        <v>0</v>
      </c>
      <c r="X44" s="1579">
        <v>0</v>
      </c>
      <c r="Y44" s="1841">
        <v>0</v>
      </c>
      <c r="Z44" s="1841">
        <v>0</v>
      </c>
    </row>
    <row r="45" spans="1:26">
      <c r="A45" s="1570" t="s">
        <v>76</v>
      </c>
      <c r="B45" s="1582" t="s">
        <v>3878</v>
      </c>
      <c r="C45" s="1577"/>
      <c r="D45" s="2057"/>
      <c r="E45" s="2057">
        <v>-90000000</v>
      </c>
      <c r="F45" s="2063">
        <v>-53300000</v>
      </c>
      <c r="G45" s="2063">
        <v>-90900000</v>
      </c>
      <c r="H45" s="2057"/>
      <c r="I45" s="2057"/>
      <c r="J45" s="2057"/>
      <c r="K45" s="2057"/>
      <c r="L45" s="1581">
        <v>-4000000</v>
      </c>
      <c r="M45" s="1581">
        <v>-39000000</v>
      </c>
      <c r="N45" s="1581">
        <v>2000000</v>
      </c>
      <c r="O45" s="1581">
        <v>-81000000</v>
      </c>
      <c r="P45" s="1581"/>
      <c r="Q45" s="1581"/>
      <c r="R45" s="1581"/>
      <c r="S45" s="1581"/>
      <c r="T45" s="2059"/>
      <c r="U45" s="1579"/>
      <c r="V45" s="1579"/>
      <c r="W45" s="1579"/>
      <c r="X45" s="1579"/>
      <c r="Y45" s="1841"/>
      <c r="Z45" s="1841"/>
    </row>
    <row r="46" spans="1:26">
      <c r="A46" s="1576" t="s">
        <v>428</v>
      </c>
      <c r="B46" s="1580" t="s">
        <v>350</v>
      </c>
      <c r="C46" s="1577" t="s">
        <v>124</v>
      </c>
      <c r="D46" s="2057">
        <v>-16300000</v>
      </c>
      <c r="E46" s="2057">
        <v>27200000</v>
      </c>
      <c r="F46" s="2063">
        <v>-29100000</v>
      </c>
      <c r="G46" s="2063">
        <v>-2600000</v>
      </c>
      <c r="H46" s="1581">
        <v>0</v>
      </c>
      <c r="I46" s="1581">
        <v>0</v>
      </c>
      <c r="J46" s="1581">
        <v>2000000</v>
      </c>
      <c r="K46" s="1581">
        <v>-15000000</v>
      </c>
      <c r="L46" s="1581">
        <v>-8000000</v>
      </c>
      <c r="M46" s="1581">
        <v>-13000000</v>
      </c>
      <c r="N46" s="1581">
        <v>2000000</v>
      </c>
      <c r="O46" s="1581">
        <v>-3000000</v>
      </c>
      <c r="P46" s="1579">
        <v>-19000000</v>
      </c>
      <c r="Q46" s="1579">
        <v>-5000000</v>
      </c>
      <c r="R46" s="1579">
        <v>-4000000</v>
      </c>
      <c r="S46" s="1579">
        <v>-38000000</v>
      </c>
      <c r="T46" s="1579">
        <v>-8000000</v>
      </c>
      <c r="U46" s="1579">
        <v>300000000</v>
      </c>
      <c r="V46" s="1579">
        <v>100000000</v>
      </c>
      <c r="W46" s="1579">
        <v>0</v>
      </c>
      <c r="X46" s="1579">
        <v>0</v>
      </c>
      <c r="Y46" s="1841">
        <v>0</v>
      </c>
      <c r="Z46" s="1841">
        <v>0</v>
      </c>
    </row>
    <row r="47" spans="1:26">
      <c r="A47" s="1577" t="s">
        <v>253</v>
      </c>
      <c r="B47" s="1577" t="s">
        <v>4306</v>
      </c>
      <c r="C47" s="1577" t="s">
        <v>124</v>
      </c>
      <c r="D47" s="2057">
        <v>0</v>
      </c>
      <c r="E47" s="2057">
        <v>0</v>
      </c>
      <c r="F47" s="2063">
        <v>0</v>
      </c>
      <c r="G47" s="2063">
        <v>0</v>
      </c>
      <c r="H47" s="1581">
        <v>0</v>
      </c>
      <c r="I47" s="1581">
        <v>0</v>
      </c>
      <c r="J47" s="1581">
        <v>8000000</v>
      </c>
      <c r="K47" s="1581">
        <v>0</v>
      </c>
      <c r="L47" s="1581"/>
      <c r="M47" s="1581"/>
      <c r="N47" s="1581"/>
      <c r="O47" s="1581"/>
      <c r="P47" s="1581"/>
      <c r="Q47" s="1581"/>
      <c r="R47" s="1581"/>
      <c r="S47" s="1581"/>
      <c r="T47" s="2059"/>
      <c r="U47" s="1579"/>
      <c r="V47" s="1579"/>
      <c r="W47" s="1579"/>
      <c r="X47" s="1579"/>
      <c r="Y47" s="267"/>
      <c r="Z47" s="267"/>
    </row>
    <row r="48" spans="1:26">
      <c r="A48" s="1577" t="s">
        <v>5827</v>
      </c>
      <c r="B48" s="1577" t="s">
        <v>5828</v>
      </c>
      <c r="C48" s="1578" t="s">
        <v>119</v>
      </c>
      <c r="D48" s="2057">
        <v>24200000</v>
      </c>
      <c r="E48" s="2057">
        <v>54500000</v>
      </c>
      <c r="F48" s="2063">
        <v>56200000</v>
      </c>
      <c r="G48" s="2063">
        <v>70500000</v>
      </c>
      <c r="H48" s="1581">
        <v>-101000000</v>
      </c>
      <c r="I48" s="1581">
        <v>-75000000</v>
      </c>
      <c r="J48" s="1581">
        <v>-14000000</v>
      </c>
      <c r="K48" s="1581">
        <v>-14000000</v>
      </c>
      <c r="L48" s="1581"/>
      <c r="M48" s="1581"/>
      <c r="N48" s="1581"/>
      <c r="O48" s="1581"/>
      <c r="P48" s="1581"/>
      <c r="Q48" s="1581"/>
      <c r="R48" s="1581"/>
      <c r="S48" s="1581"/>
      <c r="U48" s="1579"/>
      <c r="V48" s="1579"/>
      <c r="W48" s="1579"/>
      <c r="X48" s="1579"/>
      <c r="Y48" s="267"/>
      <c r="Z48" s="267"/>
    </row>
    <row r="49" spans="1:26">
      <c r="A49" s="1577" t="s">
        <v>5829</v>
      </c>
      <c r="B49" s="1577" t="s">
        <v>5830</v>
      </c>
      <c r="C49" s="1578" t="s">
        <v>119</v>
      </c>
      <c r="D49" s="2057">
        <v>-18200000</v>
      </c>
      <c r="E49" s="2057">
        <v>68100000</v>
      </c>
      <c r="F49" s="2063">
        <v>80500000</v>
      </c>
      <c r="G49" s="2063">
        <v>99800000</v>
      </c>
      <c r="H49" s="1581">
        <v>-196100000</v>
      </c>
      <c r="I49" s="1581">
        <v>8000000</v>
      </c>
      <c r="J49" s="1581">
        <v>-1000000</v>
      </c>
      <c r="K49" s="1581">
        <v>0</v>
      </c>
      <c r="L49" s="1581"/>
      <c r="M49" s="1581"/>
      <c r="N49" s="1581"/>
      <c r="O49" s="1581"/>
      <c r="P49" s="1581"/>
      <c r="Q49" s="1581"/>
      <c r="R49" s="1581"/>
      <c r="S49" s="1581"/>
      <c r="U49" s="1579"/>
      <c r="V49" s="1579"/>
      <c r="W49" s="1579"/>
      <c r="X49" s="1579"/>
      <c r="Y49" s="267"/>
      <c r="Z49" s="267"/>
    </row>
    <row r="50" spans="1:26">
      <c r="A50" s="1577" t="s">
        <v>5831</v>
      </c>
      <c r="B50" s="1577" t="s">
        <v>5831</v>
      </c>
      <c r="C50" s="1578" t="s">
        <v>119</v>
      </c>
      <c r="D50" s="2057"/>
      <c r="E50" s="2057"/>
      <c r="F50" s="2057"/>
      <c r="G50" s="2057"/>
      <c r="H50" s="1581">
        <v>252000000</v>
      </c>
      <c r="I50" s="1581"/>
      <c r="J50" s="1581"/>
      <c r="K50" s="1581"/>
      <c r="L50" s="1581"/>
      <c r="M50" s="1581"/>
      <c r="N50" s="1581"/>
      <c r="O50" s="1581"/>
      <c r="P50" s="1581"/>
      <c r="Q50" s="1581"/>
      <c r="R50" s="1581"/>
      <c r="S50" s="1581"/>
      <c r="U50" s="1579"/>
      <c r="V50" s="1579"/>
      <c r="W50" s="1579"/>
      <c r="X50" s="1579"/>
      <c r="Y50" s="267"/>
      <c r="Z50" s="267"/>
    </row>
    <row r="51" spans="1:26">
      <c r="A51" s="1577" t="s">
        <v>3577</v>
      </c>
      <c r="B51" s="1577" t="s">
        <v>3577</v>
      </c>
      <c r="C51" s="1578" t="s">
        <v>119</v>
      </c>
      <c r="D51" s="2060">
        <f t="shared" ref="D51:I51" si="11">D35-D36-D40-D47-D48-D49-D50</f>
        <v>0</v>
      </c>
      <c r="E51" s="2060">
        <f t="shared" si="11"/>
        <v>0</v>
      </c>
      <c r="F51" s="2060">
        <f t="shared" si="11"/>
        <v>0</v>
      </c>
      <c r="G51" s="2060">
        <f t="shared" si="11"/>
        <v>0</v>
      </c>
      <c r="H51" s="2060">
        <f t="shared" si="11"/>
        <v>43100000</v>
      </c>
      <c r="I51" s="2060">
        <f t="shared" si="11"/>
        <v>-44000000</v>
      </c>
      <c r="J51" s="1581">
        <v>-77000000</v>
      </c>
      <c r="K51" s="1581">
        <v>-44000000</v>
      </c>
      <c r="L51" s="1581">
        <v>0</v>
      </c>
      <c r="M51" s="1581">
        <v>45000000</v>
      </c>
      <c r="N51" s="1581">
        <v>1000000</v>
      </c>
      <c r="O51" s="1581">
        <v>10000000</v>
      </c>
      <c r="P51" s="1581">
        <v>0</v>
      </c>
      <c r="Q51" s="1581">
        <v>0</v>
      </c>
      <c r="R51" s="1581"/>
      <c r="S51" s="1581"/>
      <c r="U51" s="1579"/>
      <c r="V51" s="1579"/>
      <c r="W51" s="1579"/>
      <c r="X51" s="1579"/>
      <c r="Y51" s="267"/>
      <c r="Z51" s="267"/>
    </row>
    <row r="52" spans="1:26">
      <c r="A52" s="1570" t="s">
        <v>76</v>
      </c>
      <c r="U52" s="1579"/>
      <c r="V52" s="1579"/>
      <c r="W52" s="1579"/>
      <c r="X52" s="1579"/>
      <c r="Y52" s="267"/>
      <c r="Z52" s="267"/>
    </row>
    <row r="53" spans="1:26">
      <c r="A53" s="1570" t="s">
        <v>76</v>
      </c>
      <c r="D53" s="1570" t="s">
        <v>139</v>
      </c>
      <c r="E53" s="1570" t="s">
        <v>139</v>
      </c>
      <c r="F53" s="1570" t="s">
        <v>139</v>
      </c>
      <c r="G53" s="1570" t="s">
        <v>139</v>
      </c>
      <c r="H53" s="1570" t="s">
        <v>139</v>
      </c>
      <c r="I53" s="1570" t="s">
        <v>139</v>
      </c>
      <c r="J53" s="1570" t="s">
        <v>139</v>
      </c>
      <c r="K53" s="1570" t="s">
        <v>139</v>
      </c>
      <c r="L53" s="1570" t="s">
        <v>139</v>
      </c>
      <c r="M53" s="1570" t="s">
        <v>139</v>
      </c>
      <c r="N53" s="1570" t="s">
        <v>139</v>
      </c>
      <c r="O53" s="1570" t="s">
        <v>139</v>
      </c>
      <c r="P53" s="1570" t="s">
        <v>139</v>
      </c>
      <c r="Q53" s="1570" t="s">
        <v>139</v>
      </c>
      <c r="R53" s="1585" t="s">
        <v>139</v>
      </c>
      <c r="S53" s="1585" t="s">
        <v>139</v>
      </c>
      <c r="T53" s="1585" t="s">
        <v>139</v>
      </c>
      <c r="U53" s="1585" t="s">
        <v>139</v>
      </c>
      <c r="V53" s="1585" t="s">
        <v>139</v>
      </c>
      <c r="W53" s="1585" t="s">
        <v>139</v>
      </c>
      <c r="X53" s="1585" t="s">
        <v>139</v>
      </c>
      <c r="Y53" s="1585" t="s">
        <v>139</v>
      </c>
      <c r="Z53" s="1585" t="s">
        <v>139</v>
      </c>
    </row>
    <row r="54" spans="1:26">
      <c r="V54" s="1579"/>
      <c r="W54" s="1579"/>
      <c r="X54" s="1579"/>
      <c r="Y54" s="267"/>
      <c r="Z54" s="267"/>
    </row>
    <row r="55" spans="1:26">
      <c r="B55" s="1570" t="s">
        <v>875</v>
      </c>
      <c r="D55" s="1588">
        <f>D6-D7-D13</f>
        <v>0</v>
      </c>
      <c r="E55" s="1588">
        <f t="shared" ref="E55:S55" si="12">E6-E7-E13</f>
        <v>0</v>
      </c>
      <c r="F55" s="1588">
        <f t="shared" si="12"/>
        <v>0</v>
      </c>
      <c r="G55" s="1588">
        <f t="shared" si="12"/>
        <v>0</v>
      </c>
      <c r="H55" s="1588">
        <f t="shared" si="12"/>
        <v>0</v>
      </c>
      <c r="I55" s="1588">
        <f t="shared" si="12"/>
        <v>0</v>
      </c>
      <c r="J55" s="1588">
        <f t="shared" si="12"/>
        <v>0</v>
      </c>
      <c r="K55" s="1588">
        <f t="shared" si="12"/>
        <v>0</v>
      </c>
      <c r="L55" s="1588">
        <f t="shared" si="12"/>
        <v>0</v>
      </c>
      <c r="M55" s="1588">
        <f t="shared" si="12"/>
        <v>0</v>
      </c>
      <c r="N55" s="1588">
        <f t="shared" si="12"/>
        <v>0</v>
      </c>
      <c r="O55" s="1588">
        <f t="shared" si="12"/>
        <v>0</v>
      </c>
      <c r="P55" s="1588">
        <f t="shared" si="12"/>
        <v>0</v>
      </c>
      <c r="Q55" s="1588">
        <f t="shared" si="12"/>
        <v>0</v>
      </c>
      <c r="R55" s="1841">
        <f t="shared" si="12"/>
        <v>-1000000</v>
      </c>
      <c r="S55" s="1841">
        <f t="shared" si="12"/>
        <v>0</v>
      </c>
      <c r="T55" s="1841">
        <f>T6-T7-T13</f>
        <v>-1000000</v>
      </c>
      <c r="U55" s="1841">
        <f>U6-U7-U13</f>
        <v>0</v>
      </c>
      <c r="V55" s="1841">
        <f t="shared" ref="V55:Z55" si="13">V6-V7-V13</f>
        <v>0</v>
      </c>
      <c r="W55" s="1841">
        <f t="shared" si="13"/>
        <v>-1000000</v>
      </c>
      <c r="X55" s="1841">
        <f t="shared" si="13"/>
        <v>0</v>
      </c>
      <c r="Y55" s="1841">
        <f t="shared" si="13"/>
        <v>0</v>
      </c>
      <c r="Z55" s="1841">
        <f t="shared" si="13"/>
        <v>-1000000</v>
      </c>
    </row>
    <row r="56" spans="1:26">
      <c r="B56" s="1570" t="s">
        <v>141</v>
      </c>
      <c r="D56" s="1588">
        <f>D7-D8-D12</f>
        <v>0</v>
      </c>
      <c r="E56" s="1588">
        <f t="shared" ref="E56:S56" si="14">E7-E8-E12</f>
        <v>0</v>
      </c>
      <c r="F56" s="1588">
        <f t="shared" si="14"/>
        <v>0</v>
      </c>
      <c r="G56" s="1588">
        <f t="shared" si="14"/>
        <v>0</v>
      </c>
      <c r="H56" s="1588">
        <f t="shared" si="14"/>
        <v>0</v>
      </c>
      <c r="I56" s="1588">
        <f t="shared" si="14"/>
        <v>0</v>
      </c>
      <c r="J56" s="1588">
        <f t="shared" si="14"/>
        <v>0</v>
      </c>
      <c r="K56" s="1588">
        <f t="shared" si="14"/>
        <v>0</v>
      </c>
      <c r="L56" s="1588">
        <f t="shared" si="14"/>
        <v>0</v>
      </c>
      <c r="M56" s="1588">
        <f t="shared" si="14"/>
        <v>-1000000</v>
      </c>
      <c r="N56" s="1588">
        <f>N7-N8-N12</f>
        <v>0</v>
      </c>
      <c r="O56" s="1588">
        <f t="shared" si="14"/>
        <v>0</v>
      </c>
      <c r="P56" s="1588">
        <f t="shared" si="14"/>
        <v>0</v>
      </c>
      <c r="Q56" s="1588">
        <f t="shared" si="14"/>
        <v>0</v>
      </c>
      <c r="R56" s="1841">
        <f t="shared" si="14"/>
        <v>0</v>
      </c>
      <c r="S56" s="1841">
        <f t="shared" si="14"/>
        <v>0</v>
      </c>
      <c r="T56" s="1841">
        <f>T7-T8-T12</f>
        <v>0</v>
      </c>
      <c r="U56" s="1841">
        <f>U7-U8-U12</f>
        <v>0</v>
      </c>
      <c r="V56" s="1841">
        <f t="shared" ref="V56:Z56" si="15">V7-V8-V12</f>
        <v>0</v>
      </c>
      <c r="W56" s="1841">
        <f t="shared" si="15"/>
        <v>1000000</v>
      </c>
      <c r="X56" s="1841">
        <f t="shared" si="15"/>
        <v>0</v>
      </c>
      <c r="Y56" s="1841">
        <f t="shared" si="15"/>
        <v>0</v>
      </c>
      <c r="Z56" s="1841">
        <f t="shared" si="15"/>
        <v>1000000</v>
      </c>
    </row>
    <row r="57" spans="1:26">
      <c r="B57" s="1570" t="s">
        <v>142</v>
      </c>
      <c r="D57" s="1588">
        <f>D8-D9-D10-D11</f>
        <v>0</v>
      </c>
      <c r="E57" s="1588">
        <f t="shared" ref="E57:R57" si="16">E8-E9-E10-E11</f>
        <v>0</v>
      </c>
      <c r="F57" s="1588">
        <f t="shared" si="16"/>
        <v>0</v>
      </c>
      <c r="G57" s="1588">
        <f t="shared" si="16"/>
        <v>0</v>
      </c>
      <c r="H57" s="1588">
        <f t="shared" si="16"/>
        <v>0</v>
      </c>
      <c r="I57" s="1588">
        <f t="shared" si="16"/>
        <v>-1000000</v>
      </c>
      <c r="J57" s="1588">
        <f t="shared" si="16"/>
        <v>0</v>
      </c>
      <c r="K57" s="1588">
        <f t="shared" si="16"/>
        <v>1000000</v>
      </c>
      <c r="L57" s="1588">
        <f t="shared" si="16"/>
        <v>0</v>
      </c>
      <c r="M57" s="1588">
        <f t="shared" si="16"/>
        <v>0</v>
      </c>
      <c r="N57" s="1588">
        <f>N8-N9-N10-N11</f>
        <v>0</v>
      </c>
      <c r="O57" s="1588">
        <f t="shared" si="16"/>
        <v>0</v>
      </c>
      <c r="P57" s="1588">
        <f t="shared" si="16"/>
        <v>0</v>
      </c>
      <c r="Q57" s="1588">
        <f>Q8-Q9-Q10-Q11</f>
        <v>-1000000</v>
      </c>
      <c r="R57" s="1841">
        <f t="shared" si="16"/>
        <v>0</v>
      </c>
      <c r="S57" s="1841">
        <f>S8-S9-S10-S11</f>
        <v>-1000000</v>
      </c>
      <c r="T57" s="1841">
        <f>T8-T9-T10-T11</f>
        <v>0</v>
      </c>
      <c r="U57" s="1841">
        <f>U8-U9-U10-U11</f>
        <v>0</v>
      </c>
      <c r="V57" s="1841">
        <f t="shared" ref="V57:Z57" si="17">V8-V9-V10-V11</f>
        <v>0</v>
      </c>
      <c r="W57" s="1841">
        <f t="shared" si="17"/>
        <v>0</v>
      </c>
      <c r="X57" s="1841">
        <f t="shared" si="17"/>
        <v>-1000000</v>
      </c>
      <c r="Y57" s="1841">
        <f t="shared" si="17"/>
        <v>-1000000</v>
      </c>
      <c r="Z57" s="1841">
        <f t="shared" si="17"/>
        <v>-1000000</v>
      </c>
    </row>
    <row r="58" spans="1:26">
      <c r="B58" s="1570" t="s">
        <v>143</v>
      </c>
      <c r="D58" s="1588">
        <f>D13-D14-D15</f>
        <v>100000</v>
      </c>
      <c r="E58" s="1588">
        <f t="shared" ref="E58:S58" si="18">E13-E14-E15</f>
        <v>0</v>
      </c>
      <c r="F58" s="1588">
        <f t="shared" si="18"/>
        <v>0</v>
      </c>
      <c r="G58" s="1588">
        <f t="shared" si="18"/>
        <v>0</v>
      </c>
      <c r="H58" s="1588">
        <f t="shared" si="18"/>
        <v>0</v>
      </c>
      <c r="I58" s="1588">
        <f t="shared" si="18"/>
        <v>0</v>
      </c>
      <c r="J58" s="1588">
        <f t="shared" si="18"/>
        <v>1000000</v>
      </c>
      <c r="K58" s="1588">
        <f t="shared" si="18"/>
        <v>-1000000</v>
      </c>
      <c r="L58" s="1588">
        <f t="shared" si="18"/>
        <v>1000000</v>
      </c>
      <c r="M58" s="1588">
        <f t="shared" si="18"/>
        <v>0</v>
      </c>
      <c r="N58" s="1588">
        <f>N13-N14-N15</f>
        <v>0</v>
      </c>
      <c r="O58" s="1588">
        <f t="shared" si="18"/>
        <v>0</v>
      </c>
      <c r="P58" s="1588">
        <f t="shared" si="18"/>
        <v>1000000</v>
      </c>
      <c r="Q58" s="1588">
        <f t="shared" si="18"/>
        <v>0</v>
      </c>
      <c r="R58" s="1841">
        <f t="shared" si="18"/>
        <v>0</v>
      </c>
      <c r="S58" s="1841">
        <f t="shared" si="18"/>
        <v>-1000000</v>
      </c>
      <c r="T58" s="1841">
        <f>T13-T14-T15</f>
        <v>0</v>
      </c>
      <c r="U58" s="1841">
        <f>U13-U14-U15</f>
        <v>0</v>
      </c>
      <c r="V58" s="1841">
        <f t="shared" ref="V58:Z58" si="19">V13-V14-V15</f>
        <v>0</v>
      </c>
      <c r="W58" s="1841">
        <f t="shared" si="19"/>
        <v>0</v>
      </c>
      <c r="X58" s="1841">
        <f t="shared" si="19"/>
        <v>0</v>
      </c>
      <c r="Y58" s="1841">
        <f t="shared" si="19"/>
        <v>1000000</v>
      </c>
      <c r="Z58" s="1841">
        <f t="shared" si="19"/>
        <v>1000000</v>
      </c>
    </row>
    <row r="59" spans="1:26">
      <c r="B59" s="1570" t="s">
        <v>145</v>
      </c>
      <c r="D59" s="1588">
        <f>D16-D17-D25-D31</f>
        <v>0</v>
      </c>
      <c r="E59" s="1588">
        <f t="shared" ref="E59:Q59" si="20">E16-E17-E25-E31</f>
        <v>-100000</v>
      </c>
      <c r="F59" s="1588">
        <f t="shared" si="20"/>
        <v>0</v>
      </c>
      <c r="G59" s="1588">
        <f t="shared" si="20"/>
        <v>2.9802322387695313E-8</v>
      </c>
      <c r="H59" s="1588">
        <f t="shared" si="20"/>
        <v>0</v>
      </c>
      <c r="I59" s="1588">
        <f t="shared" si="20"/>
        <v>0</v>
      </c>
      <c r="J59" s="1588">
        <f t="shared" si="20"/>
        <v>0</v>
      </c>
      <c r="K59" s="1588">
        <f t="shared" si="20"/>
        <v>0</v>
      </c>
      <c r="L59" s="1588">
        <f t="shared" si="20"/>
        <v>0</v>
      </c>
      <c r="M59" s="1588">
        <f t="shared" si="20"/>
        <v>0</v>
      </c>
      <c r="N59" s="1588">
        <f>N16-N17-N25-N31</f>
        <v>0</v>
      </c>
      <c r="O59" s="1588">
        <f t="shared" si="20"/>
        <v>0</v>
      </c>
      <c r="P59" s="1588">
        <f>P16-P17-P25-P31</f>
        <v>1000000</v>
      </c>
      <c r="Q59" s="1588">
        <f t="shared" si="20"/>
        <v>0</v>
      </c>
      <c r="R59" s="1841">
        <f>R16-R17-R25-R32</f>
        <v>-37000000</v>
      </c>
      <c r="S59" s="1841">
        <f>S16-S17-S25-S32</f>
        <v>-20000000</v>
      </c>
      <c r="T59" s="1841">
        <f>T16-T17-T25-T31-T32</f>
        <v>58000000</v>
      </c>
      <c r="U59" s="1841">
        <f t="shared" ref="U59:Z59" si="21">U16-U17-U25-U31-U32</f>
        <v>0</v>
      </c>
      <c r="V59" s="1841">
        <f t="shared" si="21"/>
        <v>0</v>
      </c>
      <c r="W59" s="1841">
        <f t="shared" si="21"/>
        <v>0</v>
      </c>
      <c r="X59" s="1841">
        <f t="shared" si="21"/>
        <v>0</v>
      </c>
      <c r="Y59" s="1841">
        <f t="shared" si="21"/>
        <v>0</v>
      </c>
      <c r="Z59" s="1841">
        <f t="shared" si="21"/>
        <v>0</v>
      </c>
    </row>
    <row r="60" spans="1:26">
      <c r="B60" s="1570" t="s">
        <v>1623</v>
      </c>
      <c r="D60" s="1588">
        <f>D25-D26-D30</f>
        <v>0</v>
      </c>
      <c r="E60" s="1588">
        <f t="shared" ref="E60:S60" si="22">E25-E26-E30</f>
        <v>0</v>
      </c>
      <c r="F60" s="1588">
        <f t="shared" si="22"/>
        <v>0</v>
      </c>
      <c r="G60" s="1588">
        <f t="shared" si="22"/>
        <v>0</v>
      </c>
      <c r="H60" s="1588">
        <f t="shared" si="22"/>
        <v>0</v>
      </c>
      <c r="I60" s="1588">
        <f t="shared" si="22"/>
        <v>0</v>
      </c>
      <c r="J60" s="1588">
        <f t="shared" si="22"/>
        <v>0</v>
      </c>
      <c r="K60" s="1588">
        <f t="shared" si="22"/>
        <v>0</v>
      </c>
      <c r="L60" s="1588">
        <f>L25-L26-L30</f>
        <v>0</v>
      </c>
      <c r="M60" s="1588">
        <f t="shared" si="22"/>
        <v>-1000000</v>
      </c>
      <c r="N60" s="1588">
        <f>N25-N26-N30</f>
        <v>1000000</v>
      </c>
      <c r="O60" s="1588">
        <f t="shared" si="22"/>
        <v>-1000000</v>
      </c>
      <c r="P60" s="1588">
        <f t="shared" si="22"/>
        <v>0</v>
      </c>
      <c r="Q60" s="1588">
        <f t="shared" si="22"/>
        <v>1000000</v>
      </c>
      <c r="R60" s="1841">
        <f t="shared" si="22"/>
        <v>0</v>
      </c>
      <c r="S60" s="1841">
        <f t="shared" si="22"/>
        <v>0</v>
      </c>
      <c r="T60" s="1841">
        <f>T25-T26-T30</f>
        <v>0</v>
      </c>
      <c r="U60" s="1841">
        <f>U25-U26-U30</f>
        <v>0</v>
      </c>
      <c r="V60" s="1841">
        <f t="shared" ref="V60:Z60" si="23">V25-V26-V30</f>
        <v>0</v>
      </c>
      <c r="W60" s="1841">
        <f t="shared" si="23"/>
        <v>0</v>
      </c>
      <c r="X60" s="1841">
        <f t="shared" si="23"/>
        <v>0</v>
      </c>
      <c r="Y60" s="1841">
        <f t="shared" si="23"/>
        <v>0</v>
      </c>
      <c r="Z60" s="1841">
        <f t="shared" si="23"/>
        <v>0</v>
      </c>
    </row>
    <row r="61" spans="1:26">
      <c r="B61" s="1570" t="s">
        <v>148</v>
      </c>
      <c r="D61" s="2064">
        <f>D35-D36-D40-D48-D49-D50-D51</f>
        <v>0</v>
      </c>
      <c r="E61" s="2064">
        <f t="shared" ref="E61:S61" si="24">E35-E36-E40-E48-E49-E50-E51</f>
        <v>0</v>
      </c>
      <c r="F61" s="2064">
        <f t="shared" si="24"/>
        <v>0</v>
      </c>
      <c r="G61" s="2064">
        <f t="shared" si="24"/>
        <v>0</v>
      </c>
      <c r="H61" s="2064">
        <f t="shared" si="24"/>
        <v>0</v>
      </c>
      <c r="I61" s="2064">
        <f t="shared" si="24"/>
        <v>0</v>
      </c>
      <c r="J61" s="2064">
        <f t="shared" si="24"/>
        <v>0</v>
      </c>
      <c r="K61" s="2064">
        <f t="shared" si="24"/>
        <v>1000000</v>
      </c>
      <c r="L61" s="2064">
        <f t="shared" si="24"/>
        <v>-1000000</v>
      </c>
      <c r="M61" s="2064">
        <f t="shared" si="24"/>
        <v>0</v>
      </c>
      <c r="N61" s="2064">
        <f>N35-N36-N40-N48-N49-N50-N51</f>
        <v>1000000</v>
      </c>
      <c r="O61" s="2064">
        <f t="shared" si="24"/>
        <v>1000000</v>
      </c>
      <c r="P61" s="2064">
        <f t="shared" si="24"/>
        <v>0</v>
      </c>
      <c r="Q61" s="1841">
        <f t="shared" si="24"/>
        <v>-1000000</v>
      </c>
      <c r="R61" s="1841">
        <f t="shared" si="24"/>
        <v>1000000</v>
      </c>
      <c r="S61" s="1841">
        <f t="shared" si="24"/>
        <v>-1000000</v>
      </c>
      <c r="T61" s="1841">
        <f>T35-T36-T40-T48-T49-T50-T51</f>
        <v>0</v>
      </c>
      <c r="U61" s="1841">
        <f>U35-U36-U40-U48-U49-U50-U51</f>
        <v>-1000000</v>
      </c>
      <c r="V61" s="1841">
        <f t="shared" ref="V61:Z61" si="25">V35-V36-V40-V48-V49-V50-V51</f>
        <v>0</v>
      </c>
      <c r="W61" s="1841">
        <f t="shared" si="25"/>
        <v>0</v>
      </c>
      <c r="X61" s="1841">
        <f t="shared" si="25"/>
        <v>0</v>
      </c>
      <c r="Y61" s="1841">
        <f t="shared" si="25"/>
        <v>-1000000</v>
      </c>
      <c r="Z61" s="1841">
        <f t="shared" si="25"/>
        <v>0</v>
      </c>
    </row>
    <row r="62" spans="1:26">
      <c r="B62" s="1570" t="s">
        <v>1171</v>
      </c>
      <c r="D62" s="2064">
        <f>D36-D37-D38-D39</f>
        <v>0</v>
      </c>
      <c r="E62" s="2064">
        <f t="shared" ref="E62:S62" si="26">E36-E37-E38-E39</f>
        <v>1.862645149230957E-9</v>
      </c>
      <c r="F62" s="2064">
        <f t="shared" si="26"/>
        <v>0</v>
      </c>
      <c r="G62" s="2064">
        <f t="shared" si="26"/>
        <v>0</v>
      </c>
      <c r="H62" s="2065">
        <f t="shared" si="26"/>
        <v>-6000000</v>
      </c>
      <c r="I62" s="2065">
        <f t="shared" si="26"/>
        <v>73000000</v>
      </c>
      <c r="J62" s="2065">
        <f t="shared" si="26"/>
        <v>57000000</v>
      </c>
      <c r="K62" s="2065">
        <f t="shared" si="26"/>
        <v>95000000</v>
      </c>
      <c r="L62" s="2065">
        <f t="shared" si="26"/>
        <v>-75000000</v>
      </c>
      <c r="M62" s="2064">
        <f t="shared" si="26"/>
        <v>0</v>
      </c>
      <c r="N62" s="2064">
        <f>N36-N37-N38-N39</f>
        <v>0</v>
      </c>
      <c r="O62" s="2064">
        <f t="shared" si="26"/>
        <v>0</v>
      </c>
      <c r="P62" s="2068">
        <f>P36-P37-P38-P39</f>
        <v>-90000000</v>
      </c>
      <c r="Q62" s="2069">
        <f t="shared" si="26"/>
        <v>-50000000</v>
      </c>
      <c r="R62" s="2067">
        <f t="shared" si="26"/>
        <v>0</v>
      </c>
      <c r="S62" s="2067">
        <f t="shared" si="26"/>
        <v>1000000</v>
      </c>
      <c r="T62" s="2067">
        <f>T36-T37-T38-T39</f>
        <v>0</v>
      </c>
      <c r="U62" s="2067">
        <f>U36-U37-U38-U39</f>
        <v>1000000</v>
      </c>
      <c r="V62" s="2067">
        <f t="shared" ref="V62:Z62" si="27">V36-V37-V38-V39</f>
        <v>-1000000</v>
      </c>
      <c r="W62" s="2067">
        <f t="shared" si="27"/>
        <v>0</v>
      </c>
      <c r="X62" s="2067">
        <f t="shared" si="27"/>
        <v>0</v>
      </c>
      <c r="Y62" s="2067">
        <f t="shared" si="27"/>
        <v>0</v>
      </c>
      <c r="Z62" s="2067">
        <f t="shared" si="27"/>
        <v>1000000</v>
      </c>
    </row>
    <row r="63" spans="1:26">
      <c r="B63" s="1570" t="s">
        <v>297</v>
      </c>
      <c r="D63" s="2064">
        <f>D40-D41-D46-D47</f>
        <v>0</v>
      </c>
      <c r="E63" s="2064">
        <f t="shared" ref="E63:O63" si="28">E40-E41-E46-E47</f>
        <v>0</v>
      </c>
      <c r="F63" s="2064">
        <f t="shared" si="28"/>
        <v>0</v>
      </c>
      <c r="G63" s="2064">
        <f t="shared" si="28"/>
        <v>0</v>
      </c>
      <c r="H63" s="2064">
        <f t="shared" si="28"/>
        <v>0</v>
      </c>
      <c r="I63" s="2064">
        <f t="shared" si="28"/>
        <v>0</v>
      </c>
      <c r="J63" s="2064">
        <f>J40-J41-J46-J47</f>
        <v>0</v>
      </c>
      <c r="K63" s="2064">
        <f t="shared" si="28"/>
        <v>0</v>
      </c>
      <c r="L63" s="2064">
        <f t="shared" si="28"/>
        <v>0</v>
      </c>
      <c r="M63" s="2064">
        <f t="shared" si="28"/>
        <v>0</v>
      </c>
      <c r="N63" s="2064">
        <f t="shared" si="28"/>
        <v>0</v>
      </c>
      <c r="O63" s="2064">
        <f t="shared" si="28"/>
        <v>0</v>
      </c>
      <c r="P63" s="2067">
        <f t="shared" ref="P63:U63" si="29">P41+P46-P40</f>
        <v>0</v>
      </c>
      <c r="Q63" s="2067">
        <f t="shared" si="29"/>
        <v>0</v>
      </c>
      <c r="R63" s="2067">
        <f t="shared" si="29"/>
        <v>0</v>
      </c>
      <c r="S63" s="2067">
        <f t="shared" si="29"/>
        <v>0</v>
      </c>
      <c r="T63" s="2067">
        <f t="shared" si="29"/>
        <v>0</v>
      </c>
      <c r="U63" s="2067">
        <f t="shared" si="29"/>
        <v>0</v>
      </c>
      <c r="V63" s="2067">
        <f t="shared" ref="V63:Z63" si="30">V41+V46-V40</f>
        <v>0</v>
      </c>
      <c r="W63" s="2067">
        <f t="shared" si="30"/>
        <v>0</v>
      </c>
      <c r="X63" s="2067">
        <f t="shared" si="30"/>
        <v>0</v>
      </c>
      <c r="Y63" s="2067">
        <f t="shared" si="30"/>
        <v>0</v>
      </c>
      <c r="Z63" s="2067">
        <f t="shared" si="30"/>
        <v>0</v>
      </c>
    </row>
    <row r="64" spans="1:26">
      <c r="U64" s="1579"/>
      <c r="V64" s="1579"/>
      <c r="W64" s="1579"/>
      <c r="X64" s="1579"/>
    </row>
    <row r="65" spans="2:26">
      <c r="D65" s="1590"/>
      <c r="U65" s="1579"/>
      <c r="V65" s="1579"/>
      <c r="W65" s="1579"/>
      <c r="X65" s="1579"/>
    </row>
    <row r="66" spans="2:26">
      <c r="B66" s="1570" t="s">
        <v>543</v>
      </c>
      <c r="D66" s="1570">
        <v>1938000000</v>
      </c>
      <c r="E66" s="1570">
        <v>2007000000</v>
      </c>
      <c r="F66" s="1570">
        <v>2184000000</v>
      </c>
      <c r="G66" s="1570">
        <v>2359000000</v>
      </c>
      <c r="H66" s="1570">
        <v>2721000000</v>
      </c>
      <c r="I66" s="1570">
        <v>3234000000</v>
      </c>
      <c r="J66" s="1570">
        <v>3585000000</v>
      </c>
      <c r="K66" s="1570">
        <v>3949000000</v>
      </c>
      <c r="L66" s="1570">
        <v>4713000000</v>
      </c>
      <c r="M66" s="1570">
        <v>4815000000</v>
      </c>
      <c r="N66" s="1570">
        <v>5497000000</v>
      </c>
      <c r="O66" s="1570">
        <v>6637000000</v>
      </c>
      <c r="P66" s="1590">
        <v>7540000000</v>
      </c>
      <c r="Q66" s="1590">
        <v>8109000000</v>
      </c>
      <c r="R66" s="1841">
        <v>8646000000</v>
      </c>
      <c r="S66" s="1841">
        <v>9139000000</v>
      </c>
      <c r="T66" s="1841">
        <v>9798000000</v>
      </c>
      <c r="U66" s="1841">
        <v>10281000000</v>
      </c>
      <c r="V66" s="1592">
        <v>10884000000</v>
      </c>
      <c r="W66" s="1592">
        <v>11564000000</v>
      </c>
      <c r="X66" s="1592">
        <v>12297000000</v>
      </c>
      <c r="Y66" s="1841">
        <v>13117000000</v>
      </c>
      <c r="Z66" s="1841">
        <v>14012000000</v>
      </c>
    </row>
    <row r="67" spans="2:26">
      <c r="B67" s="1570" t="s">
        <v>151</v>
      </c>
      <c r="D67" s="1570">
        <f>(D6/D66)*100</f>
        <v>17.352941176470587</v>
      </c>
      <c r="E67" s="1570">
        <f t="shared" ref="E67:S67" si="31">(E6/E66)*100</f>
        <v>16.955655206776282</v>
      </c>
      <c r="F67" s="1570">
        <f t="shared" si="31"/>
        <v>13.16849816849817</v>
      </c>
      <c r="G67" s="1570">
        <f t="shared" si="31"/>
        <v>28.550233149639677</v>
      </c>
      <c r="H67" s="1570">
        <f t="shared" si="31"/>
        <v>34.582873943403158</v>
      </c>
      <c r="I67" s="1570">
        <f t="shared" si="31"/>
        <v>45.176252319109459</v>
      </c>
      <c r="J67" s="1570">
        <f t="shared" si="31"/>
        <v>45.885634588563455</v>
      </c>
      <c r="K67" s="1970">
        <f t="shared" si="31"/>
        <v>52.620916687769061</v>
      </c>
      <c r="L67" s="1970">
        <f t="shared" si="31"/>
        <v>46.530872056015276</v>
      </c>
      <c r="M67" s="1970">
        <f t="shared" si="31"/>
        <v>55.223260643821391</v>
      </c>
      <c r="N67" s="1970">
        <f t="shared" si="31"/>
        <v>62.615972348553761</v>
      </c>
      <c r="O67" s="1970">
        <f t="shared" si="31"/>
        <v>60.26819346090101</v>
      </c>
      <c r="P67" s="1970">
        <f t="shared" si="31"/>
        <v>54.442970822281168</v>
      </c>
      <c r="Q67" s="1970">
        <f t="shared" si="31"/>
        <v>51.843630533974597</v>
      </c>
      <c r="R67" s="1970">
        <f t="shared" si="31"/>
        <v>47.293546148507978</v>
      </c>
      <c r="S67" s="1970">
        <f t="shared" si="31"/>
        <v>47.937411095305833</v>
      </c>
      <c r="T67" s="1970">
        <f>(T6/T66)*100</f>
        <v>41.202286180853235</v>
      </c>
      <c r="U67" s="1970">
        <f>(U6/U66)*100</f>
        <v>41.211944363388774</v>
      </c>
      <c r="V67" s="1970">
        <f t="shared" ref="V67:Z67" si="32">(V6/V66)*100</f>
        <v>42.355751561925764</v>
      </c>
      <c r="W67" s="1970">
        <f t="shared" si="32"/>
        <v>41.975095122794883</v>
      </c>
      <c r="X67" s="1970">
        <f t="shared" si="32"/>
        <v>41.57924697080589</v>
      </c>
      <c r="Y67" s="1970">
        <f t="shared" si="32"/>
        <v>41.297552794084012</v>
      </c>
      <c r="Z67" s="1970">
        <f t="shared" si="32"/>
        <v>41.136168998001715</v>
      </c>
    </row>
    <row r="68" spans="2:26">
      <c r="B68" s="1570" t="s">
        <v>152</v>
      </c>
      <c r="D68" s="1570">
        <f>(D16/D66)*100</f>
        <v>23.46233230134159</v>
      </c>
      <c r="E68" s="1570">
        <f t="shared" ref="E68:S68" si="33">(E16/E66)*100</f>
        <v>26.10363726955655</v>
      </c>
      <c r="F68" s="1570">
        <f t="shared" si="33"/>
        <v>19.450549450549453</v>
      </c>
      <c r="G68" s="1570">
        <f t="shared" si="33"/>
        <v>27.231877914370493</v>
      </c>
      <c r="H68" s="1570">
        <f t="shared" si="33"/>
        <v>28.518926865123117</v>
      </c>
      <c r="I68" s="1570">
        <f t="shared" si="33"/>
        <v>42.609771181199754</v>
      </c>
      <c r="J68" s="1570">
        <f t="shared" si="33"/>
        <v>44.211994421199442</v>
      </c>
      <c r="K68" s="1970">
        <f t="shared" si="33"/>
        <v>52.139782223347687</v>
      </c>
      <c r="L68" s="1970">
        <f t="shared" si="33"/>
        <v>46.700615319329515</v>
      </c>
      <c r="M68" s="1970">
        <f t="shared" si="33"/>
        <v>54.14330218068536</v>
      </c>
      <c r="N68" s="1970">
        <f t="shared" si="33"/>
        <v>56.376205202837916</v>
      </c>
      <c r="O68" s="1970">
        <f t="shared" si="33"/>
        <v>51.227964441765863</v>
      </c>
      <c r="P68" s="1970">
        <f t="shared" si="33"/>
        <v>50.649867374005311</v>
      </c>
      <c r="Q68" s="1970">
        <f t="shared" si="33"/>
        <v>47.638426439758291</v>
      </c>
      <c r="R68" s="1970">
        <f t="shared" si="33"/>
        <v>45.200092528336803</v>
      </c>
      <c r="S68" s="1970">
        <f t="shared" si="33"/>
        <v>47.948353211511105</v>
      </c>
      <c r="T68" s="1970">
        <f>(T16/T66)*100</f>
        <v>45.111247193304756</v>
      </c>
      <c r="U68" s="1970">
        <f>(U16/U66)*100</f>
        <v>48.613948059527281</v>
      </c>
      <c r="V68" s="1970">
        <f t="shared" ref="V68:Z68" si="34">(V16/V66)*100</f>
        <v>48.061374494671078</v>
      </c>
      <c r="W68" s="1970">
        <f t="shared" si="34"/>
        <v>45.840539605672774</v>
      </c>
      <c r="X68" s="1970">
        <f t="shared" si="34"/>
        <v>45.067902740505815</v>
      </c>
      <c r="Y68" s="1970">
        <f t="shared" si="34"/>
        <v>44.461385987649614</v>
      </c>
      <c r="Z68" s="1970">
        <f t="shared" si="34"/>
        <v>44.176420211247503</v>
      </c>
    </row>
    <row r="73" spans="2:26">
      <c r="P73" s="1590"/>
      <c r="Q73" s="1590"/>
      <c r="R73" s="1590"/>
      <c r="S73" s="1590"/>
      <c r="T73" s="1590"/>
      <c r="U73" s="1590"/>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355" bestFit="1" customWidth="1"/>
    <col min="2" max="2" width="33.140625" style="2355" bestFit="1" customWidth="1"/>
    <col min="3" max="3" width="17.28515625" style="2355" bestFit="1" customWidth="1"/>
    <col min="4" max="4" width="11.28515625" style="2355" bestFit="1" customWidth="1"/>
    <col min="5" max="5" width="11.140625" style="2355" bestFit="1" customWidth="1"/>
    <col min="6" max="11" width="12.7109375" style="2355" bestFit="1" customWidth="1"/>
    <col min="12" max="12" width="11.42578125" style="2355" customWidth="1"/>
    <col min="13" max="16384" width="9.140625" style="454"/>
  </cols>
  <sheetData>
    <row r="1" spans="1:20" ht="13.15" customHeight="1">
      <c r="A1" s="792" t="s">
        <v>5832</v>
      </c>
      <c r="B1" s="2368" t="s">
        <v>5833</v>
      </c>
      <c r="C1" s="2354"/>
      <c r="D1" s="792"/>
      <c r="E1" s="792"/>
      <c r="G1" s="792"/>
      <c r="H1" s="792"/>
      <c r="I1" s="2356"/>
    </row>
    <row r="2" spans="1:20" ht="13.15" customHeight="1">
      <c r="A2" s="792"/>
      <c r="B2" s="2368" t="s">
        <v>5834</v>
      </c>
      <c r="C2" s="2357"/>
      <c r="D2" s="792"/>
      <c r="E2" s="792"/>
      <c r="F2" s="792"/>
      <c r="G2" s="792"/>
      <c r="H2" s="792"/>
      <c r="I2" s="2356"/>
      <c r="L2" s="2571"/>
      <c r="M2" s="2572"/>
      <c r="N2" s="2572"/>
      <c r="O2" s="2572"/>
      <c r="P2" s="2572"/>
      <c r="Q2" s="2572"/>
      <c r="R2" s="2572"/>
      <c r="S2" s="2572"/>
      <c r="T2" s="2572"/>
    </row>
    <row r="3" spans="1:20" ht="13.15" customHeight="1">
      <c r="B3" s="590" t="s">
        <v>3</v>
      </c>
      <c r="C3" s="590"/>
      <c r="D3" s="2358">
        <v>2013</v>
      </c>
      <c r="E3" s="2358">
        <v>2014</v>
      </c>
      <c r="F3" s="2358">
        <v>2015</v>
      </c>
      <c r="G3" s="2358">
        <v>2016</v>
      </c>
      <c r="H3" s="2358">
        <v>2017</v>
      </c>
      <c r="I3" s="2358">
        <v>2018</v>
      </c>
      <c r="J3" s="2358">
        <v>2019</v>
      </c>
      <c r="K3" s="2358">
        <v>2020</v>
      </c>
      <c r="L3" s="2571"/>
      <c r="M3" s="2572"/>
      <c r="N3" s="2572"/>
      <c r="O3" s="2572"/>
      <c r="P3" s="2572"/>
      <c r="Q3" s="2572"/>
      <c r="R3" s="2572"/>
      <c r="S3" s="2572"/>
      <c r="T3" s="2572"/>
    </row>
    <row r="4" spans="1:20" ht="13.15" customHeight="1">
      <c r="B4" s="590" t="s">
        <v>4</v>
      </c>
      <c r="C4" s="590"/>
      <c r="D4" s="583" t="s">
        <v>18</v>
      </c>
      <c r="E4" s="584" t="s">
        <v>19</v>
      </c>
      <c r="F4" s="583" t="s">
        <v>20</v>
      </c>
      <c r="G4" s="583" t="s">
        <v>21</v>
      </c>
      <c r="H4" s="583" t="s">
        <v>22</v>
      </c>
      <c r="I4" s="2356" t="s">
        <v>23</v>
      </c>
      <c r="J4" s="2355" t="s">
        <v>24</v>
      </c>
      <c r="K4" s="2371" t="s">
        <v>25</v>
      </c>
      <c r="L4" s="2571"/>
      <c r="M4" s="2572"/>
      <c r="N4" s="2572"/>
      <c r="O4" s="2572"/>
      <c r="P4" s="2572"/>
      <c r="Q4" s="2572"/>
      <c r="R4" s="2572"/>
      <c r="S4" s="2572"/>
      <c r="T4" s="2572"/>
    </row>
    <row r="5" spans="1:20" ht="13.15" customHeight="1">
      <c r="A5" s="585" t="s">
        <v>28</v>
      </c>
      <c r="B5" s="590" t="s">
        <v>29</v>
      </c>
      <c r="C5" s="590"/>
      <c r="D5" s="2359" t="s">
        <v>30</v>
      </c>
      <c r="E5" s="2359" t="s">
        <v>30</v>
      </c>
      <c r="F5" s="2359" t="s">
        <v>30</v>
      </c>
      <c r="G5" s="2359" t="s">
        <v>369</v>
      </c>
      <c r="H5" s="2359" t="s">
        <v>369</v>
      </c>
      <c r="I5" s="2359" t="s">
        <v>32</v>
      </c>
      <c r="J5" s="2359" t="s">
        <v>32</v>
      </c>
      <c r="K5" s="2371" t="s">
        <v>32</v>
      </c>
      <c r="L5" s="2571"/>
      <c r="M5" s="2572"/>
      <c r="N5" s="2572"/>
      <c r="O5" s="2572"/>
      <c r="P5" s="2572"/>
      <c r="Q5" s="2572"/>
      <c r="R5" s="2572"/>
      <c r="S5" s="2572"/>
      <c r="T5" s="2572"/>
    </row>
    <row r="6" spans="1:20" s="1932" customFormat="1" ht="13.15" customHeight="1">
      <c r="A6" s="793" t="s">
        <v>33</v>
      </c>
      <c r="B6" s="793" t="s">
        <v>5835</v>
      </c>
      <c r="C6" s="793" t="s">
        <v>35</v>
      </c>
      <c r="D6" s="2570">
        <v>110800000</v>
      </c>
      <c r="E6" s="2570">
        <v>151100000</v>
      </c>
      <c r="F6" s="2570">
        <v>141200000</v>
      </c>
      <c r="G6" s="2570">
        <v>171100000</v>
      </c>
      <c r="H6" s="2570">
        <f>H7+H14</f>
        <v>248500000</v>
      </c>
      <c r="I6" s="2570">
        <f t="shared" ref="I6:K6" si="0">I7+I14</f>
        <v>261900000</v>
      </c>
      <c r="J6" s="2570">
        <f t="shared" si="0"/>
        <v>288300000</v>
      </c>
      <c r="K6" s="2570">
        <f t="shared" si="0"/>
        <v>317700000</v>
      </c>
      <c r="L6" s="2573"/>
      <c r="M6" s="2572"/>
      <c r="N6" s="2572"/>
      <c r="O6" s="2572"/>
      <c r="P6" s="2572"/>
      <c r="Q6" s="2572"/>
      <c r="R6" s="2572"/>
      <c r="S6" s="2572"/>
      <c r="T6" s="2572"/>
    </row>
    <row r="7" spans="1:20" ht="13.15" customHeight="1">
      <c r="A7" s="792" t="s">
        <v>36</v>
      </c>
      <c r="B7" s="792" t="s">
        <v>36</v>
      </c>
      <c r="C7" s="792"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571"/>
      <c r="M7" s="2572"/>
      <c r="N7" s="2572"/>
      <c r="O7" s="2572"/>
      <c r="P7" s="2572"/>
      <c r="Q7" s="2572"/>
      <c r="R7" s="2572"/>
      <c r="S7" s="2572"/>
      <c r="T7" s="2572"/>
    </row>
    <row r="8" spans="1:20" ht="13.15" customHeight="1">
      <c r="A8" s="792" t="s">
        <v>5836</v>
      </c>
      <c r="B8" s="792" t="s">
        <v>5226</v>
      </c>
      <c r="C8" s="2363"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571"/>
      <c r="M8" s="2572"/>
      <c r="N8" s="2572"/>
      <c r="O8" s="2572"/>
      <c r="P8" s="2572"/>
      <c r="Q8" s="2572"/>
      <c r="R8" s="2572"/>
      <c r="S8" s="2572"/>
      <c r="T8" s="2572"/>
    </row>
    <row r="9" spans="1:20" ht="13.15" customHeight="1">
      <c r="A9" s="792" t="s">
        <v>5837</v>
      </c>
      <c r="B9" s="792" t="s">
        <v>5838</v>
      </c>
      <c r="C9" s="585" t="s">
        <v>44</v>
      </c>
      <c r="D9" s="21">
        <v>700000</v>
      </c>
      <c r="E9" s="21">
        <v>1100000</v>
      </c>
      <c r="F9" s="21">
        <v>1900000</v>
      </c>
      <c r="G9" s="125">
        <v>2400000</v>
      </c>
      <c r="H9" s="125">
        <v>3400000</v>
      </c>
      <c r="I9" s="125">
        <v>5400000</v>
      </c>
      <c r="J9" s="125">
        <v>6100000</v>
      </c>
      <c r="K9" s="125">
        <v>7000000</v>
      </c>
      <c r="L9" s="2571"/>
      <c r="M9" s="2571"/>
      <c r="N9" s="2571"/>
      <c r="O9" s="2571"/>
      <c r="P9" s="2572"/>
      <c r="Q9" s="2572"/>
      <c r="R9" s="2572"/>
      <c r="S9" s="2572"/>
      <c r="T9" s="2572"/>
    </row>
    <row r="10" spans="1:20" ht="13.15" customHeight="1">
      <c r="A10" s="792" t="s">
        <v>5839</v>
      </c>
      <c r="B10" s="792" t="s">
        <v>5840</v>
      </c>
      <c r="C10" s="585" t="s">
        <v>44</v>
      </c>
      <c r="D10" s="21">
        <v>5600000</v>
      </c>
      <c r="E10" s="21">
        <v>8500000</v>
      </c>
      <c r="F10" s="21">
        <v>9300000</v>
      </c>
      <c r="G10" s="125">
        <v>2900000</v>
      </c>
      <c r="H10" s="125">
        <v>8900000</v>
      </c>
      <c r="I10" s="125">
        <v>18500000</v>
      </c>
      <c r="J10" s="125">
        <v>21100000</v>
      </c>
      <c r="K10" s="125">
        <v>24000000</v>
      </c>
      <c r="L10" s="2571"/>
      <c r="M10" s="2571"/>
      <c r="N10" s="2571"/>
      <c r="O10" s="2571"/>
      <c r="P10" s="2572"/>
      <c r="Q10" s="2572"/>
      <c r="R10" s="2572"/>
      <c r="S10" s="2572"/>
      <c r="T10" s="2572"/>
    </row>
    <row r="11" spans="1:20" ht="13.15" customHeight="1">
      <c r="A11" s="792" t="s">
        <v>5841</v>
      </c>
      <c r="B11" s="792" t="s">
        <v>5842</v>
      </c>
      <c r="C11" s="585" t="s">
        <v>44</v>
      </c>
      <c r="D11" s="21">
        <v>58700000</v>
      </c>
      <c r="E11" s="21">
        <v>64300000</v>
      </c>
      <c r="F11" s="21">
        <v>71100000</v>
      </c>
      <c r="G11" s="125">
        <v>76300000</v>
      </c>
      <c r="H11" s="125">
        <v>92800000</v>
      </c>
      <c r="I11" s="125">
        <v>94000000</v>
      </c>
      <c r="J11" s="125">
        <v>107200000</v>
      </c>
      <c r="K11" s="21">
        <v>122000000</v>
      </c>
      <c r="L11" s="2571"/>
      <c r="M11" s="2571"/>
      <c r="N11" s="2571"/>
      <c r="O11" s="2571"/>
      <c r="P11" s="2572"/>
      <c r="Q11" s="2572"/>
      <c r="R11" s="2572"/>
      <c r="S11" s="2572"/>
      <c r="T11" s="2572"/>
    </row>
    <row r="12" spans="1:20" ht="13.15" customHeight="1">
      <c r="A12" s="2369" t="s">
        <v>1772</v>
      </c>
      <c r="B12" s="2369" t="s">
        <v>1772</v>
      </c>
      <c r="C12" s="2370" t="s">
        <v>44</v>
      </c>
      <c r="D12" s="21"/>
      <c r="E12" s="21"/>
      <c r="F12" s="21"/>
      <c r="G12" s="125">
        <v>7000000</v>
      </c>
      <c r="H12" s="125">
        <v>6900000</v>
      </c>
      <c r="I12" s="125">
        <v>6700000</v>
      </c>
      <c r="J12" s="125">
        <v>7600000</v>
      </c>
      <c r="K12" s="125">
        <v>8700000</v>
      </c>
      <c r="L12" s="2571"/>
      <c r="M12" s="2571"/>
      <c r="N12" s="2571"/>
      <c r="O12" s="2571"/>
      <c r="P12" s="2572"/>
      <c r="Q12" s="2572"/>
      <c r="R12" s="2572"/>
      <c r="S12" s="2572"/>
      <c r="T12" s="2572"/>
    </row>
    <row r="13" spans="1:20" ht="13.15" customHeight="1">
      <c r="A13" s="792" t="s">
        <v>5843</v>
      </c>
      <c r="C13" s="2363" t="s">
        <v>41</v>
      </c>
      <c r="D13" s="21">
        <v>4099999.9999999995</v>
      </c>
      <c r="E13" s="21">
        <v>16300000</v>
      </c>
      <c r="F13" s="21">
        <v>31900000</v>
      </c>
      <c r="G13" s="125">
        <v>24100000</v>
      </c>
      <c r="H13" s="125">
        <v>30600000</v>
      </c>
      <c r="I13" s="125">
        <v>40400000</v>
      </c>
      <c r="J13" s="125">
        <v>46100000</v>
      </c>
      <c r="K13" s="125">
        <v>52500000</v>
      </c>
      <c r="L13" s="2573"/>
      <c r="M13" s="2572"/>
      <c r="N13" s="2572"/>
      <c r="O13" s="2572"/>
      <c r="P13" s="2572"/>
      <c r="Q13" s="2572"/>
      <c r="R13" s="2572"/>
      <c r="S13" s="2572"/>
      <c r="T13" s="2572"/>
    </row>
    <row r="14" spans="1:20" s="1932" customFormat="1" ht="13.15" customHeight="1">
      <c r="A14" s="793" t="s">
        <v>5844</v>
      </c>
      <c r="B14" s="793" t="s">
        <v>5844</v>
      </c>
      <c r="C14" s="2366" t="s">
        <v>38</v>
      </c>
      <c r="D14" s="2570">
        <v>41700000</v>
      </c>
      <c r="E14" s="2570">
        <v>61000000</v>
      </c>
      <c r="F14" s="2570">
        <v>26900000</v>
      </c>
      <c r="G14" s="2570">
        <v>58400000</v>
      </c>
      <c r="H14" s="2570">
        <f>H16+H15</f>
        <v>105900000</v>
      </c>
      <c r="I14" s="2570">
        <f t="shared" ref="I14:K14" si="3">I16+I15</f>
        <v>96900000</v>
      </c>
      <c r="J14" s="2570">
        <f t="shared" si="3"/>
        <v>100200000</v>
      </c>
      <c r="K14" s="2570">
        <f t="shared" si="3"/>
        <v>103500000</v>
      </c>
      <c r="L14" s="2571"/>
      <c r="M14" s="2572"/>
      <c r="N14" s="2572"/>
      <c r="O14" s="2572"/>
      <c r="P14" s="2572"/>
      <c r="Q14" s="2572"/>
      <c r="R14" s="2572"/>
      <c r="S14" s="2572"/>
      <c r="T14" s="2572"/>
    </row>
    <row r="15" spans="1:20" ht="13.15" customHeight="1">
      <c r="A15" s="1871" t="s">
        <v>3305</v>
      </c>
      <c r="B15" s="1871" t="s">
        <v>3305</v>
      </c>
      <c r="C15" s="2367" t="s">
        <v>57</v>
      </c>
      <c r="D15" s="21"/>
      <c r="E15" s="21">
        <v>59000000</v>
      </c>
      <c r="F15" s="21">
        <v>2800000</v>
      </c>
      <c r="G15" s="125">
        <v>31300000</v>
      </c>
      <c r="H15" s="125">
        <v>61800000</v>
      </c>
      <c r="I15" s="125">
        <v>44100000</v>
      </c>
      <c r="J15" s="125">
        <v>45600000</v>
      </c>
      <c r="K15" s="125">
        <v>47100000</v>
      </c>
      <c r="L15" s="2571"/>
      <c r="M15" s="2571"/>
      <c r="N15" s="2571"/>
      <c r="O15" s="2571"/>
      <c r="P15" s="2572"/>
      <c r="Q15" s="2572"/>
      <c r="R15" s="2572"/>
      <c r="S15" s="2572"/>
      <c r="T15" s="2572"/>
    </row>
    <row r="16" spans="1:20" ht="13.15" customHeight="1">
      <c r="A16" s="1871" t="s">
        <v>5845</v>
      </c>
      <c r="B16" s="1871" t="s">
        <v>5845</v>
      </c>
      <c r="C16" s="2367" t="s">
        <v>57</v>
      </c>
      <c r="D16" s="21"/>
      <c r="E16" s="21">
        <v>1900000</v>
      </c>
      <c r="F16" s="21">
        <v>24100000</v>
      </c>
      <c r="G16" s="125">
        <v>27100000</v>
      </c>
      <c r="H16" s="125">
        <v>44100000</v>
      </c>
      <c r="I16" s="125">
        <v>52800000</v>
      </c>
      <c r="J16" s="125">
        <v>54600000</v>
      </c>
      <c r="K16" s="125">
        <v>56400000</v>
      </c>
      <c r="L16" s="2571"/>
      <c r="M16" s="2571"/>
      <c r="N16" s="2571"/>
      <c r="O16" s="2571"/>
      <c r="P16" s="2572"/>
      <c r="Q16" s="2572"/>
      <c r="R16" s="2572"/>
      <c r="S16" s="2572"/>
      <c r="T16" s="2572"/>
    </row>
    <row r="17" spans="1:20" s="1932" customFormat="1" ht="13.15" customHeight="1">
      <c r="A17" s="793" t="s">
        <v>5846</v>
      </c>
      <c r="B17" s="793" t="s">
        <v>5847</v>
      </c>
      <c r="C17" s="793" t="s">
        <v>35</v>
      </c>
      <c r="D17" s="2570">
        <v>117400000</v>
      </c>
      <c r="E17" s="2570">
        <v>151100000</v>
      </c>
      <c r="F17" s="2570">
        <v>135400000</v>
      </c>
      <c r="G17" s="2570">
        <v>171100000</v>
      </c>
      <c r="H17" s="2570">
        <f>H18+H24</f>
        <v>245400000</v>
      </c>
      <c r="I17" s="2570">
        <f t="shared" ref="I17:K17" si="4">I18+I24</f>
        <v>261900000</v>
      </c>
      <c r="J17" s="2570">
        <f t="shared" si="4"/>
        <v>285600000</v>
      </c>
      <c r="K17" s="2570">
        <f t="shared" si="4"/>
        <v>313000000</v>
      </c>
      <c r="L17" s="2574"/>
      <c r="M17" s="2572"/>
      <c r="N17" s="2572"/>
      <c r="O17" s="2572"/>
      <c r="P17" s="2572"/>
      <c r="Q17" s="2572"/>
      <c r="R17" s="2572"/>
      <c r="S17" s="2572"/>
      <c r="T17" s="2572"/>
    </row>
    <row r="18" spans="1:20" ht="13.15" customHeight="1">
      <c r="A18" s="792" t="s">
        <v>73</v>
      </c>
      <c r="B18" s="792" t="s">
        <v>541</v>
      </c>
      <c r="C18" s="2363"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571"/>
      <c r="M18" s="2572"/>
      <c r="N18" s="2572"/>
      <c r="O18" s="2572"/>
      <c r="P18" s="2572"/>
      <c r="Q18" s="2572"/>
      <c r="R18" s="2572"/>
      <c r="S18" s="2572"/>
      <c r="T18" s="2572"/>
    </row>
    <row r="19" spans="1:20" ht="13.15" customHeight="1">
      <c r="A19" s="792" t="s">
        <v>5848</v>
      </c>
      <c r="B19" s="792" t="s">
        <v>5849</v>
      </c>
      <c r="C19" s="2363" t="s">
        <v>81</v>
      </c>
      <c r="D19" s="21">
        <v>50400000</v>
      </c>
      <c r="E19" s="21">
        <v>77200000</v>
      </c>
      <c r="F19" s="21">
        <v>52900000</v>
      </c>
      <c r="G19" s="125">
        <v>55100000</v>
      </c>
      <c r="H19" s="125">
        <v>125400000</v>
      </c>
      <c r="I19" s="125">
        <v>131200000</v>
      </c>
      <c r="J19" s="13">
        <v>140000000</v>
      </c>
      <c r="K19" s="125">
        <v>151400000</v>
      </c>
      <c r="L19" s="2571"/>
      <c r="M19" s="2572"/>
      <c r="N19" s="2572"/>
      <c r="O19" s="2572"/>
      <c r="P19" s="2572"/>
      <c r="Q19" s="2572"/>
      <c r="R19" s="2572"/>
      <c r="S19" s="2572"/>
      <c r="T19" s="2572"/>
    </row>
    <row r="20" spans="1:20" ht="13.15" customHeight="1">
      <c r="A20" s="792" t="s">
        <v>5850</v>
      </c>
      <c r="B20" s="792" t="s">
        <v>538</v>
      </c>
      <c r="C20" s="2363" t="s">
        <v>81</v>
      </c>
      <c r="D20" s="21">
        <v>56000000</v>
      </c>
      <c r="E20" s="21">
        <v>57600000</v>
      </c>
      <c r="F20" s="21">
        <v>53000000</v>
      </c>
      <c r="G20" s="125">
        <v>64400000.000000007</v>
      </c>
      <c r="H20" s="125">
        <v>79000000</v>
      </c>
      <c r="I20" s="125">
        <v>93300000</v>
      </c>
      <c r="J20" s="125">
        <v>99500000</v>
      </c>
      <c r="K20" s="125">
        <v>107700000</v>
      </c>
      <c r="L20" s="2571"/>
      <c r="M20" s="2571"/>
      <c r="N20" s="2571"/>
      <c r="O20" s="2571"/>
      <c r="P20" s="2572"/>
      <c r="Q20" s="2572"/>
      <c r="R20" s="2572"/>
      <c r="S20" s="2572"/>
      <c r="T20" s="2572"/>
    </row>
    <row r="21" spans="1:20" ht="13.15" customHeight="1">
      <c r="A21" s="2364" t="s">
        <v>5851</v>
      </c>
      <c r="B21" s="792" t="s">
        <v>5852</v>
      </c>
      <c r="C21" s="2363" t="s">
        <v>81</v>
      </c>
      <c r="D21" s="21">
        <v>7500000</v>
      </c>
      <c r="E21" s="21">
        <v>10100000</v>
      </c>
      <c r="F21" s="21">
        <v>13800000</v>
      </c>
      <c r="G21" s="125">
        <v>9400000</v>
      </c>
      <c r="H21" s="125">
        <v>22900000</v>
      </c>
      <c r="I21" s="125">
        <v>20600000</v>
      </c>
      <c r="J21" s="125">
        <v>22000000</v>
      </c>
      <c r="K21" s="125">
        <v>23800000</v>
      </c>
      <c r="L21" s="2571"/>
      <c r="M21" s="2571"/>
      <c r="N21" s="2571"/>
      <c r="O21" s="2571"/>
      <c r="P21" s="2572"/>
      <c r="Q21" s="2572"/>
      <c r="R21" s="2572"/>
      <c r="S21" s="2572"/>
      <c r="T21" s="2572"/>
    </row>
    <row r="22" spans="1:20" ht="13.15" customHeight="1">
      <c r="A22" s="792" t="s">
        <v>3276</v>
      </c>
      <c r="B22" s="792" t="s">
        <v>3276</v>
      </c>
      <c r="C22" s="2363" t="s">
        <v>81</v>
      </c>
      <c r="D22" s="21">
        <v>3500000</v>
      </c>
      <c r="E22" s="21">
        <v>3800000</v>
      </c>
      <c r="F22" s="21">
        <v>2600000</v>
      </c>
      <c r="G22" s="125">
        <v>2100000</v>
      </c>
      <c r="H22" s="125">
        <v>4000000</v>
      </c>
      <c r="I22" s="125">
        <v>2500000</v>
      </c>
      <c r="J22" s="125">
        <v>2700000</v>
      </c>
      <c r="K22" s="125">
        <v>2900000</v>
      </c>
      <c r="L22" s="2571"/>
      <c r="M22" s="2571"/>
      <c r="N22" s="2571"/>
      <c r="O22" s="2571"/>
      <c r="P22" s="2572"/>
      <c r="Q22" s="2572"/>
      <c r="R22" s="2572"/>
      <c r="S22" s="2572"/>
      <c r="T22" s="2572"/>
    </row>
    <row r="23" spans="1:20" ht="13.15" customHeight="1">
      <c r="A23" s="792" t="s">
        <v>5853</v>
      </c>
      <c r="B23" s="792" t="s">
        <v>5854</v>
      </c>
      <c r="C23" s="2363" t="s">
        <v>81</v>
      </c>
      <c r="D23" s="21">
        <v>0</v>
      </c>
      <c r="E23" s="21">
        <v>2200000</v>
      </c>
      <c r="F23" s="21">
        <v>10800000</v>
      </c>
      <c r="G23" s="125">
        <v>34100000</v>
      </c>
      <c r="H23" s="125">
        <v>7800000</v>
      </c>
      <c r="I23" s="125">
        <v>3300000</v>
      </c>
      <c r="J23" s="125">
        <v>9700000</v>
      </c>
      <c r="K23" s="125">
        <v>14500000</v>
      </c>
      <c r="L23" s="2571"/>
      <c r="M23" s="2571"/>
      <c r="N23" s="2571"/>
      <c r="O23" s="2571"/>
      <c r="P23" s="2572"/>
      <c r="Q23" s="2572"/>
      <c r="R23" s="2572"/>
      <c r="S23" s="2572"/>
      <c r="T23" s="2572"/>
    </row>
    <row r="24" spans="1:20" ht="13.15" customHeight="1">
      <c r="A24" s="792" t="s">
        <v>237</v>
      </c>
      <c r="B24" s="792" t="s">
        <v>5855</v>
      </c>
      <c r="C24" s="2363" t="s">
        <v>75</v>
      </c>
      <c r="D24" s="21">
        <v>0</v>
      </c>
      <c r="E24" s="21">
        <v>200000</v>
      </c>
      <c r="F24" s="21">
        <v>2300000</v>
      </c>
      <c r="G24" s="125">
        <v>5900000</v>
      </c>
      <c r="H24" s="125">
        <v>6300000</v>
      </c>
      <c r="I24" s="125">
        <v>11000000</v>
      </c>
      <c r="J24" s="125">
        <v>11700000</v>
      </c>
      <c r="K24" s="125">
        <v>12700000</v>
      </c>
      <c r="L24" s="2571"/>
      <c r="M24" s="2571"/>
      <c r="N24" s="2571"/>
      <c r="O24" s="2571"/>
      <c r="P24" s="2572"/>
      <c r="Q24" s="2572"/>
      <c r="R24" s="2572"/>
      <c r="S24" s="2572"/>
      <c r="T24" s="2572"/>
    </row>
    <row r="25" spans="1:20" ht="13.15" customHeight="1">
      <c r="B25" s="792" t="s">
        <v>5856</v>
      </c>
      <c r="C25" s="792"/>
      <c r="D25" s="21">
        <v>-6600000</v>
      </c>
      <c r="E25" s="21">
        <v>0</v>
      </c>
      <c r="F25" s="21">
        <v>5800000</v>
      </c>
      <c r="G25" s="125">
        <f>G6-G17</f>
        <v>0</v>
      </c>
      <c r="H25" s="125">
        <f t="shared" ref="H25:K25" si="6">H6-H17</f>
        <v>3100000</v>
      </c>
      <c r="I25" s="125">
        <f t="shared" si="6"/>
        <v>0</v>
      </c>
      <c r="J25" s="125">
        <f t="shared" si="6"/>
        <v>2700000</v>
      </c>
      <c r="K25" s="125">
        <f t="shared" si="6"/>
        <v>4700000</v>
      </c>
      <c r="L25" s="2575"/>
      <c r="M25" s="2572"/>
      <c r="N25" s="2572"/>
      <c r="O25" s="2572"/>
      <c r="P25" s="2572"/>
      <c r="Q25" s="2572"/>
      <c r="R25" s="2572"/>
      <c r="S25" s="2572"/>
      <c r="T25" s="2572"/>
    </row>
    <row r="26" spans="1:20" s="1932" customFormat="1" ht="13.15" customHeight="1">
      <c r="A26" s="793" t="s">
        <v>115</v>
      </c>
      <c r="B26" s="793" t="s">
        <v>5857</v>
      </c>
      <c r="C26" s="793" t="s">
        <v>35</v>
      </c>
      <c r="D26" s="2570">
        <f t="shared" ref="D26:K26" si="7">D17-D6</f>
        <v>6600000</v>
      </c>
      <c r="E26" s="2570">
        <f t="shared" si="7"/>
        <v>0</v>
      </c>
      <c r="F26" s="2570">
        <f t="shared" si="7"/>
        <v>-5800000</v>
      </c>
      <c r="G26" s="2570">
        <f t="shared" si="7"/>
        <v>0</v>
      </c>
      <c r="H26" s="2570">
        <f t="shared" si="7"/>
        <v>-3100000</v>
      </c>
      <c r="I26" s="2570">
        <f t="shared" si="7"/>
        <v>0</v>
      </c>
      <c r="J26" s="2570">
        <f t="shared" si="7"/>
        <v>-2700000</v>
      </c>
      <c r="K26" s="2570">
        <f t="shared" si="7"/>
        <v>-4700000</v>
      </c>
      <c r="L26" s="2574"/>
      <c r="M26" s="2574"/>
      <c r="N26" s="2572"/>
      <c r="O26" s="2572"/>
      <c r="P26" s="2572"/>
      <c r="Q26" s="2572"/>
      <c r="R26" s="2572"/>
      <c r="S26" s="2572"/>
      <c r="T26" s="2572"/>
    </row>
    <row r="27" spans="1:20" ht="13.15" customHeight="1">
      <c r="A27" s="792" t="s">
        <v>5858</v>
      </c>
      <c r="B27" s="792" t="s">
        <v>5859</v>
      </c>
      <c r="C27" s="2363" t="s">
        <v>119</v>
      </c>
      <c r="D27" s="2360"/>
      <c r="E27" s="2360"/>
      <c r="F27" s="2360"/>
      <c r="G27" s="2360"/>
      <c r="H27" s="2360"/>
      <c r="I27" s="2361"/>
      <c r="J27" s="596"/>
      <c r="K27" s="2362"/>
      <c r="L27" s="2576"/>
      <c r="M27" s="2572"/>
      <c r="N27" s="2572"/>
      <c r="O27" s="2572"/>
      <c r="P27" s="2572"/>
      <c r="Q27" s="2572"/>
      <c r="R27" s="2572"/>
      <c r="S27" s="2572"/>
      <c r="T27" s="2572"/>
    </row>
    <row r="28" spans="1:20" ht="13.15" customHeight="1">
      <c r="A28" s="792" t="s">
        <v>5860</v>
      </c>
      <c r="B28" s="792" t="s">
        <v>5861</v>
      </c>
      <c r="C28" s="2363" t="s">
        <v>119</v>
      </c>
      <c r="D28" s="2360"/>
      <c r="E28" s="2360"/>
      <c r="F28" s="2360"/>
      <c r="G28" s="2360"/>
      <c r="H28" s="2360"/>
      <c r="I28" s="2361"/>
      <c r="J28" s="596"/>
      <c r="K28" s="2362"/>
      <c r="L28" s="2576"/>
      <c r="M28" s="2572"/>
      <c r="N28" s="2572"/>
      <c r="O28" s="2572"/>
      <c r="P28" s="2572"/>
      <c r="Q28" s="2572"/>
      <c r="R28" s="2572"/>
      <c r="S28" s="2572"/>
      <c r="T28" s="2572"/>
    </row>
    <row r="29" spans="1:20" ht="13.15" customHeight="1">
      <c r="L29" s="2571"/>
      <c r="M29" s="2572"/>
      <c r="N29" s="2572"/>
      <c r="O29" s="2572"/>
      <c r="P29" s="2572"/>
      <c r="Q29" s="2572"/>
      <c r="R29" s="2572"/>
      <c r="S29" s="2572"/>
      <c r="T29" s="2572"/>
    </row>
    <row r="30" spans="1:20" ht="13.15" customHeight="1">
      <c r="L30" s="2571"/>
      <c r="M30" s="2572"/>
      <c r="N30" s="2572"/>
      <c r="O30" s="2572"/>
      <c r="P30" s="2572"/>
      <c r="Q30" s="2572"/>
      <c r="R30" s="2572"/>
      <c r="S30" s="2572"/>
      <c r="T30" s="2572"/>
    </row>
    <row r="31" spans="1:20" ht="13.15" customHeight="1">
      <c r="D31" s="2371" t="s">
        <v>139</v>
      </c>
      <c r="E31" s="2371" t="s">
        <v>139</v>
      </c>
      <c r="F31" s="2371" t="s">
        <v>139</v>
      </c>
      <c r="G31" s="2371" t="s">
        <v>139</v>
      </c>
      <c r="H31" s="2371" t="s">
        <v>139</v>
      </c>
      <c r="I31" s="2371" t="s">
        <v>139</v>
      </c>
      <c r="J31" s="2371" t="s">
        <v>139</v>
      </c>
      <c r="K31" s="2371" t="s">
        <v>139</v>
      </c>
      <c r="L31" s="2571"/>
      <c r="M31" s="2572"/>
      <c r="N31" s="2572"/>
      <c r="O31" s="2572"/>
      <c r="P31" s="2572"/>
      <c r="Q31" s="2572"/>
      <c r="R31" s="2572"/>
      <c r="S31" s="2572"/>
      <c r="T31" s="2572"/>
    </row>
    <row r="32" spans="1:20" ht="13.15" customHeight="1">
      <c r="A32" s="792"/>
      <c r="B32" s="792"/>
      <c r="C32" s="792"/>
      <c r="D32" s="792"/>
      <c r="E32" s="792"/>
      <c r="F32" s="792"/>
      <c r="G32" s="792"/>
      <c r="H32" s="792"/>
      <c r="I32" s="2356"/>
      <c r="L32" s="2571"/>
      <c r="M32" s="2572"/>
      <c r="N32" s="2572"/>
      <c r="O32" s="2572"/>
      <c r="P32" s="2572"/>
      <c r="Q32" s="2572"/>
      <c r="R32" s="2572"/>
      <c r="S32" s="2572"/>
      <c r="T32" s="2572"/>
    </row>
    <row r="33" spans="1:20" ht="13.15" customHeight="1">
      <c r="A33" s="792"/>
      <c r="B33" s="585" t="s">
        <v>875</v>
      </c>
      <c r="C33" s="585"/>
      <c r="D33" s="596">
        <f>D6-D7-D14</f>
        <v>-100000</v>
      </c>
      <c r="E33" s="596">
        <f>E6-E7-E14</f>
        <v>0</v>
      </c>
      <c r="F33" s="596">
        <f>F6-F7-F14</f>
        <v>0</v>
      </c>
      <c r="G33" s="596">
        <f>G6-G7-G14</f>
        <v>0</v>
      </c>
      <c r="H33" s="596">
        <f>H6-H7-H14</f>
        <v>0</v>
      </c>
      <c r="I33" s="596">
        <f t="shared" ref="I33:J33" si="8">I6-I7-I14</f>
        <v>0</v>
      </c>
      <c r="J33" s="596">
        <f t="shared" si="8"/>
        <v>0</v>
      </c>
      <c r="K33" s="596">
        <f t="shared" ref="K33" si="9">K6-K7-K14</f>
        <v>0</v>
      </c>
      <c r="L33" s="2571"/>
      <c r="M33" s="2572"/>
      <c r="N33" s="2572"/>
      <c r="O33" s="2572"/>
      <c r="P33" s="2572"/>
      <c r="Q33" s="2572"/>
      <c r="R33" s="2572"/>
      <c r="S33" s="2572"/>
      <c r="T33" s="2572"/>
    </row>
    <row r="34" spans="1:20" ht="13.15" customHeight="1">
      <c r="A34" s="792"/>
      <c r="B34" s="585" t="s">
        <v>141</v>
      </c>
      <c r="C34" s="585"/>
      <c r="D34" s="596">
        <f>D7-D8-D13</f>
        <v>7.9162418842315674E-9</v>
      </c>
      <c r="E34" s="596">
        <f>E7-E8-E13</f>
        <v>0</v>
      </c>
      <c r="F34" s="596">
        <f>F7-F8-F13</f>
        <v>0</v>
      </c>
      <c r="G34" s="596">
        <f>G7-G8-G13</f>
        <v>0</v>
      </c>
      <c r="H34" s="596">
        <f>H7-H8-H13</f>
        <v>0</v>
      </c>
      <c r="I34" s="596">
        <f t="shared" ref="I34:J34" si="10">I7-I8-I13</f>
        <v>0</v>
      </c>
      <c r="J34" s="596">
        <f t="shared" si="10"/>
        <v>0</v>
      </c>
      <c r="K34" s="596">
        <f t="shared" ref="K34" si="11">K7-K8-K13</f>
        <v>0</v>
      </c>
    </row>
    <row r="35" spans="1:20" ht="13.15" customHeight="1">
      <c r="A35" s="792"/>
      <c r="B35" s="585" t="s">
        <v>143</v>
      </c>
      <c r="C35" s="585"/>
      <c r="D35" s="596"/>
      <c r="E35" s="596">
        <f>E14-E15-E16</f>
        <v>100000</v>
      </c>
      <c r="F35" s="596">
        <f t="shared" ref="F35:K35" si="12">F14-F15-F16</f>
        <v>0</v>
      </c>
      <c r="G35" s="596">
        <f t="shared" si="12"/>
        <v>0</v>
      </c>
      <c r="H35" s="596">
        <f t="shared" si="12"/>
        <v>0</v>
      </c>
      <c r="I35" s="596">
        <f t="shared" si="12"/>
        <v>0</v>
      </c>
      <c r="J35" s="596">
        <f t="shared" si="12"/>
        <v>0</v>
      </c>
      <c r="K35" s="596">
        <f t="shared" si="12"/>
        <v>0</v>
      </c>
    </row>
    <row r="36" spans="1:20" ht="13.15" customHeight="1">
      <c r="A36" s="792"/>
      <c r="B36" s="585" t="s">
        <v>142</v>
      </c>
      <c r="C36" s="585"/>
      <c r="D36" s="596">
        <f>D8-D9-D10-D11</f>
        <v>99999.999999992549</v>
      </c>
      <c r="E36" s="596">
        <f>E8-E9-E10-E11</f>
        <v>-100000</v>
      </c>
      <c r="F36" s="596">
        <f>F8-F9-F10-F11</f>
        <v>100000</v>
      </c>
      <c r="G36" s="596">
        <f>G8-G9-G10-G11-G12</f>
        <v>0</v>
      </c>
      <c r="H36" s="596">
        <f t="shared" ref="H36:K36" si="13">H8-H9-H10-H11-H12</f>
        <v>0</v>
      </c>
      <c r="I36" s="596">
        <f t="shared" si="13"/>
        <v>0</v>
      </c>
      <c r="J36" s="596">
        <f t="shared" si="13"/>
        <v>0</v>
      </c>
      <c r="K36" s="596">
        <f t="shared" si="13"/>
        <v>0</v>
      </c>
    </row>
    <row r="37" spans="1:20" ht="13.15" customHeight="1">
      <c r="A37" s="792"/>
      <c r="B37" s="585" t="s">
        <v>143</v>
      </c>
      <c r="C37" s="585"/>
      <c r="D37" s="596">
        <f>D14-D14</f>
        <v>0</v>
      </c>
      <c r="E37" s="596">
        <f>E14-E14</f>
        <v>0</v>
      </c>
      <c r="F37" s="596">
        <f>F14-F14</f>
        <v>0</v>
      </c>
      <c r="G37" s="596">
        <f>G14-G14</f>
        <v>0</v>
      </c>
      <c r="H37" s="596">
        <f>H14-H14</f>
        <v>0</v>
      </c>
      <c r="I37" s="596">
        <f t="shared" ref="I37:J37" si="14">I14-I14</f>
        <v>0</v>
      </c>
      <c r="J37" s="596">
        <f t="shared" si="14"/>
        <v>0</v>
      </c>
      <c r="K37" s="596">
        <f t="shared" ref="K37" si="15">K14-K14</f>
        <v>0</v>
      </c>
    </row>
    <row r="38" spans="1:20" ht="13.15" customHeight="1">
      <c r="A38" s="792"/>
      <c r="B38" s="585" t="s">
        <v>145</v>
      </c>
      <c r="C38" s="585"/>
      <c r="D38" s="596">
        <f>D17-D18-D24</f>
        <v>0</v>
      </c>
      <c r="E38" s="596">
        <f>E17-E18-E24</f>
        <v>0</v>
      </c>
      <c r="F38" s="596">
        <f>F17-F18-F24</f>
        <v>0</v>
      </c>
      <c r="G38" s="596">
        <f>G17-G18-G24</f>
        <v>100000</v>
      </c>
      <c r="H38" s="596">
        <f>H17-H18-H24</f>
        <v>0</v>
      </c>
      <c r="I38" s="596">
        <f t="shared" ref="I38:J38" si="16">I17-I18-I24</f>
        <v>0</v>
      </c>
      <c r="J38" s="596">
        <f t="shared" si="16"/>
        <v>0</v>
      </c>
      <c r="K38" s="596">
        <f t="shared" ref="K38" si="17">K17-K18-K24</f>
        <v>0</v>
      </c>
    </row>
    <row r="39" spans="1:20" ht="13.15" customHeight="1">
      <c r="A39" s="792"/>
      <c r="B39" s="585" t="s">
        <v>1623</v>
      </c>
      <c r="C39" s="585"/>
      <c r="D39" s="596">
        <f>D24-D24</f>
        <v>0</v>
      </c>
      <c r="E39" s="596">
        <f>E24-E24</f>
        <v>0</v>
      </c>
      <c r="F39" s="596">
        <f>F24-F24</f>
        <v>0</v>
      </c>
      <c r="G39" s="596">
        <f>G24-G24</f>
        <v>0</v>
      </c>
      <c r="H39" s="596">
        <f>H24-H24</f>
        <v>0</v>
      </c>
      <c r="I39" s="596">
        <f t="shared" ref="I39:J39" si="18">I24-I24</f>
        <v>0</v>
      </c>
      <c r="J39" s="596">
        <f t="shared" si="18"/>
        <v>0</v>
      </c>
      <c r="K39" s="596">
        <f t="shared" ref="K39" si="19">K24-K24</f>
        <v>0</v>
      </c>
    </row>
    <row r="40" spans="1:20" ht="13.15" customHeight="1">
      <c r="B40" s="585" t="s">
        <v>148</v>
      </c>
      <c r="C40" s="585"/>
      <c r="D40" s="2365">
        <f>D26-D27-D28</f>
        <v>6600000</v>
      </c>
      <c r="E40" s="2365">
        <f>E26-E27-E28</f>
        <v>0</v>
      </c>
      <c r="F40" s="2365">
        <f>F26-F27-F28</f>
        <v>-5800000</v>
      </c>
      <c r="G40" s="2365">
        <f>G26-G27-G28</f>
        <v>0</v>
      </c>
      <c r="H40" s="2365">
        <f>H26-H27-H28</f>
        <v>-3100000</v>
      </c>
      <c r="I40" s="2365">
        <f t="shared" ref="I40:J40" si="20">I26-I27-I28</f>
        <v>0</v>
      </c>
      <c r="J40" s="2365">
        <f t="shared" si="20"/>
        <v>-2700000</v>
      </c>
      <c r="K40" s="2365">
        <f t="shared" ref="K40" si="21">K26-K27-K28</f>
        <v>-4700000</v>
      </c>
    </row>
    <row r="41" spans="1:20" ht="13.15" customHeight="1">
      <c r="B41" s="585" t="s">
        <v>1171</v>
      </c>
      <c r="C41" s="585"/>
      <c r="D41" s="2365"/>
      <c r="E41" s="2365"/>
      <c r="F41" s="2365"/>
      <c r="G41" s="2365"/>
      <c r="H41" s="2365"/>
      <c r="I41" s="585"/>
      <c r="J41" s="585"/>
      <c r="K41" s="585"/>
    </row>
    <row r="42" spans="1:20" ht="13.15" customHeight="1">
      <c r="B42" s="585" t="s">
        <v>297</v>
      </c>
      <c r="C42" s="585"/>
      <c r="D42" s="2365"/>
      <c r="E42" s="2365"/>
      <c r="F42" s="2365"/>
      <c r="G42" s="2365"/>
      <c r="H42" s="2365"/>
      <c r="I42" s="2365"/>
      <c r="J42" s="2365"/>
      <c r="K42" s="2365"/>
    </row>
    <row r="43" spans="1:20" ht="13.15" customHeight="1">
      <c r="B43" s="585"/>
      <c r="C43" s="585"/>
      <c r="D43" s="585"/>
      <c r="E43" s="585"/>
      <c r="F43" s="585"/>
      <c r="G43" s="585"/>
      <c r="H43" s="585"/>
      <c r="I43" s="585"/>
      <c r="J43" s="585"/>
      <c r="K43" s="585"/>
    </row>
    <row r="44" spans="1:20" ht="13.15" customHeight="1">
      <c r="B44" s="585"/>
      <c r="C44" s="585"/>
      <c r="D44" s="595"/>
      <c r="E44" s="585"/>
      <c r="F44" s="585"/>
      <c r="G44" s="585"/>
      <c r="H44" s="585"/>
      <c r="I44" s="585"/>
      <c r="J44" s="585"/>
      <c r="K44" s="585"/>
    </row>
    <row r="45" spans="1:20" ht="13.15" customHeight="1">
      <c r="B45" s="585" t="s">
        <v>543</v>
      </c>
      <c r="C45" s="585"/>
      <c r="D45" s="595">
        <v>5352000000</v>
      </c>
      <c r="E45" s="595">
        <v>5706000000</v>
      </c>
      <c r="F45" s="21">
        <v>6659000000</v>
      </c>
      <c r="G45" s="21">
        <v>6767000000</v>
      </c>
      <c r="H45" s="21">
        <v>7052000000</v>
      </c>
      <c r="I45" s="21">
        <v>7405000000</v>
      </c>
      <c r="J45" s="21">
        <v>7822000000</v>
      </c>
      <c r="K45" s="21">
        <v>8256000000</v>
      </c>
    </row>
    <row r="46" spans="1:20" ht="13.15" customHeight="1">
      <c r="B46" s="585" t="s">
        <v>151</v>
      </c>
      <c r="C46" s="585"/>
      <c r="D46" s="585">
        <f>(D6/D45)*100</f>
        <v>2.0702541106128551</v>
      </c>
      <c r="E46" s="585">
        <f>(E6/E45)*100</f>
        <v>2.6480897301086577</v>
      </c>
      <c r="F46" s="585">
        <f>(F6/F45)*100</f>
        <v>2.1204385042799219</v>
      </c>
      <c r="G46" s="585">
        <f>(G6/G45)*100</f>
        <v>2.5284468745381998</v>
      </c>
      <c r="H46" s="585">
        <f>(H6/H45)*100</f>
        <v>3.5238230289279637</v>
      </c>
      <c r="I46" s="585">
        <f t="shared" ref="I46:K46" si="22">(I6/I45)*100</f>
        <v>3.5367994598244428</v>
      </c>
      <c r="J46" s="585">
        <f t="shared" si="22"/>
        <v>3.6857581181283559</v>
      </c>
      <c r="K46" s="585">
        <f t="shared" si="22"/>
        <v>3.8481104651162794</v>
      </c>
    </row>
    <row r="47" spans="1:20" ht="13.15" customHeight="1">
      <c r="B47" s="585" t="s">
        <v>152</v>
      </c>
      <c r="C47" s="585"/>
      <c r="D47" s="585">
        <f>(D17/D45)*100</f>
        <v>2.1935724962630792</v>
      </c>
      <c r="E47" s="585">
        <f>(E17/E45)*100</f>
        <v>2.6480897301086577</v>
      </c>
      <c r="F47" s="585">
        <f>(F17/F45)*100</f>
        <v>2.0333383390899535</v>
      </c>
      <c r="G47" s="585">
        <f>(G17/G45)*100</f>
        <v>2.5284468745381998</v>
      </c>
      <c r="H47" s="585">
        <f>(H17/H45)*100</f>
        <v>3.479863868406126</v>
      </c>
      <c r="I47" s="585">
        <f t="shared" ref="I47:K47" si="23">(I17/I45)*100</f>
        <v>3.5367994598244428</v>
      </c>
      <c r="J47" s="585">
        <f t="shared" si="23"/>
        <v>3.6512400920480692</v>
      </c>
      <c r="K47" s="585">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M6" activePane="bottomRight" state="frozen"/>
      <selection pane="topRight" activeCell="D1" sqref="D1"/>
      <selection pane="bottomLeft" activeCell="A6" sqref="A6"/>
      <selection pane="bottomRight" activeCell="P56" sqref="P56"/>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10" width="22.42578125" bestFit="1" customWidth="1"/>
    <col min="11" max="11" width="22" bestFit="1" customWidth="1"/>
    <col min="12" max="12" width="22.42578125" bestFit="1" customWidth="1"/>
    <col min="13" max="13" width="18.140625" bestFit="1" customWidth="1"/>
    <col min="14" max="14" width="22.42578125" bestFit="1" customWidth="1"/>
    <col min="15" max="19" width="22.85546875" bestFit="1" customWidth="1"/>
    <col min="20" max="23" width="20.140625" customWidth="1"/>
    <col min="24" max="24" width="19.7109375" customWidth="1"/>
  </cols>
  <sheetData>
    <row r="1" spans="1:25" ht="15.75" customHeight="1">
      <c r="A1" s="369" t="s">
        <v>5862</v>
      </c>
      <c r="B1" s="82" t="s">
        <v>5863</v>
      </c>
      <c r="C1" s="82"/>
      <c r="D1" s="27"/>
      <c r="E1" s="27"/>
      <c r="F1" s="27"/>
      <c r="G1" s="27"/>
      <c r="H1" s="27"/>
      <c r="I1" s="27"/>
      <c r="J1" s="27"/>
      <c r="K1" s="27"/>
      <c r="L1" s="27"/>
      <c r="M1" s="27"/>
      <c r="N1" s="27"/>
      <c r="O1" s="28"/>
      <c r="P1" s="28"/>
      <c r="Q1" s="28"/>
      <c r="R1" s="29"/>
      <c r="S1" s="28"/>
      <c r="T1" s="28"/>
      <c r="U1" s="28"/>
      <c r="V1" s="28"/>
      <c r="W1" s="28"/>
      <c r="X1" s="2"/>
    </row>
    <row r="2" spans="1:25">
      <c r="B2" s="30" t="s">
        <v>7187</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58">
        <f>D7+D21</f>
        <v>205700000000</v>
      </c>
      <c r="E6" s="358">
        <f t="shared" ref="E6:L7" si="0">E7+E21</f>
        <v>223900000000</v>
      </c>
      <c r="F6" s="358">
        <f t="shared" si="0"/>
        <v>239699999999.99997</v>
      </c>
      <c r="G6" s="358">
        <f t="shared" si="0"/>
        <v>270280000000</v>
      </c>
      <c r="H6" s="358">
        <f t="shared" si="0"/>
        <v>296470000000</v>
      </c>
      <c r="I6" s="358">
        <f t="shared" si="0"/>
        <v>359855999999.99994</v>
      </c>
      <c r="J6" s="358">
        <f t="shared" si="0"/>
        <v>421876000000</v>
      </c>
      <c r="K6" s="358">
        <f t="shared" si="0"/>
        <v>503458000000</v>
      </c>
      <c r="L6" s="358">
        <f t="shared" si="0"/>
        <v>631815800000</v>
      </c>
      <c r="M6" s="292">
        <f>M7+M21</f>
        <v>683500000000</v>
      </c>
      <c r="N6" s="292">
        <f t="shared" ref="N6:P6" si="1">N7+N21</f>
        <v>664400000000</v>
      </c>
      <c r="O6" s="292">
        <f t="shared" si="1"/>
        <v>757100000000</v>
      </c>
      <c r="P6" s="292">
        <f t="shared" si="1"/>
        <v>837000000000</v>
      </c>
      <c r="Q6" s="292">
        <f>Q7+Q21</f>
        <v>893600000000</v>
      </c>
      <c r="R6" s="292">
        <f t="shared" ref="R6:X6" si="2">R7+R21</f>
        <v>992100000000</v>
      </c>
      <c r="S6" s="292">
        <f t="shared" si="2"/>
        <v>1083600000000</v>
      </c>
      <c r="T6" s="292">
        <f t="shared" si="2"/>
        <v>1178600000000</v>
      </c>
      <c r="U6" s="292">
        <f t="shared" si="2"/>
        <v>1274500000000</v>
      </c>
      <c r="V6" s="292">
        <f t="shared" si="2"/>
        <v>1376100000000</v>
      </c>
      <c r="W6" s="292">
        <f t="shared" si="2"/>
        <v>1486200000000</v>
      </c>
      <c r="X6" s="292">
        <f t="shared" si="2"/>
        <v>1610700000000</v>
      </c>
    </row>
    <row r="7" spans="1:25" ht="16.5">
      <c r="A7" s="139" t="s">
        <v>36</v>
      </c>
      <c r="B7" s="139" t="s">
        <v>36</v>
      </c>
      <c r="C7" s="345" t="s">
        <v>38</v>
      </c>
      <c r="D7" s="358">
        <f>D8+D22</f>
        <v>205700000000</v>
      </c>
      <c r="E7" s="358">
        <f t="shared" si="0"/>
        <v>223900000000</v>
      </c>
      <c r="F7" s="358">
        <f t="shared" si="0"/>
        <v>239699999999.99997</v>
      </c>
      <c r="G7" s="358">
        <f t="shared" si="0"/>
        <v>270280000000</v>
      </c>
      <c r="H7" s="358">
        <f t="shared" si="0"/>
        <v>296470000000</v>
      </c>
      <c r="I7" s="358">
        <f t="shared" si="0"/>
        <v>359855999999.99994</v>
      </c>
      <c r="J7" s="358">
        <f t="shared" si="0"/>
        <v>421876000000</v>
      </c>
      <c r="K7" s="358">
        <f t="shared" si="0"/>
        <v>503458000000</v>
      </c>
      <c r="L7" s="358">
        <f t="shared" si="0"/>
        <v>631815800000</v>
      </c>
      <c r="M7" s="21">
        <f>M8+M22</f>
        <v>683500000000</v>
      </c>
      <c r="N7" s="21">
        <f t="shared" ref="N7:O7" si="3">N8+N22</f>
        <v>664400000000</v>
      </c>
      <c r="O7" s="21">
        <f t="shared" si="3"/>
        <v>757100000000</v>
      </c>
      <c r="P7" s="21">
        <f>P8+P22</f>
        <v>837000000000</v>
      </c>
      <c r="Q7" s="21">
        <f>Q8+Q22+Q23+Q24</f>
        <v>893600000000</v>
      </c>
      <c r="R7" s="21">
        <f t="shared" ref="R7:X7" si="4">R8+R22+R23+R24</f>
        <v>992100000000</v>
      </c>
      <c r="S7" s="21">
        <f t="shared" si="4"/>
        <v>1083600000000</v>
      </c>
      <c r="T7" s="21">
        <f t="shared" si="4"/>
        <v>1178600000000</v>
      </c>
      <c r="U7" s="21">
        <f t="shared" si="4"/>
        <v>1274500000000</v>
      </c>
      <c r="V7" s="21">
        <f t="shared" si="4"/>
        <v>1376100000000</v>
      </c>
      <c r="W7" s="21">
        <f t="shared" si="4"/>
        <v>1486200000000</v>
      </c>
      <c r="X7" s="21">
        <f t="shared" si="4"/>
        <v>1610700000000</v>
      </c>
    </row>
    <row r="8" spans="1:25" ht="16.5">
      <c r="A8" s="139" t="s">
        <v>371</v>
      </c>
      <c r="B8" s="139" t="s">
        <v>371</v>
      </c>
      <c r="C8" s="58" t="s">
        <v>41</v>
      </c>
      <c r="D8" s="358">
        <f>D9+D13+D16</f>
        <v>200900000000</v>
      </c>
      <c r="E8" s="358">
        <f t="shared" ref="E8:L8" si="5">E9+E13+E16</f>
        <v>220200000000</v>
      </c>
      <c r="F8" s="358">
        <f t="shared" si="5"/>
        <v>235619999999.99997</v>
      </c>
      <c r="G8" s="358">
        <f t="shared" si="5"/>
        <v>265620000000</v>
      </c>
      <c r="H8" s="358">
        <f t="shared" si="5"/>
        <v>290025000000</v>
      </c>
      <c r="I8" s="358">
        <f t="shared" si="5"/>
        <v>354143999999.99994</v>
      </c>
      <c r="J8" s="358">
        <f t="shared" si="5"/>
        <v>413946000000</v>
      </c>
      <c r="K8" s="358">
        <f t="shared" si="5"/>
        <v>492592000000</v>
      </c>
      <c r="L8" s="358">
        <f t="shared" si="5"/>
        <v>618276890000</v>
      </c>
      <c r="M8" s="21">
        <v>625000000000</v>
      </c>
      <c r="N8" s="21">
        <v>604100000000</v>
      </c>
      <c r="O8" s="21">
        <v>692700000000</v>
      </c>
      <c r="P8" s="21">
        <v>756400000000</v>
      </c>
      <c r="Q8" s="21">
        <v>771700000000</v>
      </c>
      <c r="R8" s="21">
        <v>856600000000</v>
      </c>
      <c r="S8" s="21">
        <v>934600000000</v>
      </c>
      <c r="T8" s="21">
        <v>1019000000000</v>
      </c>
      <c r="U8" s="21">
        <v>1104600000000</v>
      </c>
      <c r="V8" s="21">
        <v>1193900000000</v>
      </c>
      <c r="W8" s="21">
        <v>1292100000000</v>
      </c>
      <c r="X8" s="2">
        <v>1402700000000</v>
      </c>
    </row>
    <row r="9" spans="1:25">
      <c r="A9" s="374" t="s">
        <v>3647</v>
      </c>
      <c r="B9" s="374" t="s">
        <v>5864</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5" t="s">
        <v>170</v>
      </c>
      <c r="B10" s="375" t="s">
        <v>5865</v>
      </c>
      <c r="C10" t="s">
        <v>5866</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6" t="s">
        <v>5867</v>
      </c>
      <c r="B11" s="375" t="s">
        <v>5868</v>
      </c>
      <c r="C11" t="s">
        <v>5866</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5" t="s">
        <v>5869</v>
      </c>
      <c r="B12" s="375" t="s">
        <v>5870</v>
      </c>
      <c r="C12" t="s">
        <v>5866</v>
      </c>
      <c r="D12" s="21">
        <f>D9-D10-D11</f>
        <v>6500000000</v>
      </c>
      <c r="E12" s="21">
        <f t="shared" ref="E12:L12" si="6">E9-E10-E11</f>
        <v>6100000000</v>
      </c>
      <c r="F12" s="21">
        <f t="shared" si="6"/>
        <v>7139999999.9999847</v>
      </c>
      <c r="G12" s="21">
        <f t="shared" si="6"/>
        <v>8154999999.9999771</v>
      </c>
      <c r="H12" s="21">
        <f t="shared" si="6"/>
        <v>6444999999.9999924</v>
      </c>
      <c r="I12" s="21">
        <f t="shared" si="6"/>
        <v>5712000000</v>
      </c>
      <c r="J12" s="21">
        <f t="shared" si="6"/>
        <v>3172000000.0000153</v>
      </c>
      <c r="K12" s="21">
        <f t="shared" si="6"/>
        <v>5433000000.0000153</v>
      </c>
      <c r="L12" s="21">
        <f t="shared" si="6"/>
        <v>4512970000</v>
      </c>
      <c r="M12" s="21"/>
      <c r="N12" s="21"/>
      <c r="O12" s="21"/>
      <c r="P12" s="21"/>
      <c r="Q12" s="21"/>
      <c r="R12" s="21"/>
      <c r="S12" s="21"/>
      <c r="T12" s="21"/>
      <c r="U12" s="21"/>
      <c r="V12" s="21"/>
      <c r="W12" s="21"/>
      <c r="X12" s="2"/>
    </row>
    <row r="13" spans="1:25">
      <c r="A13" s="276" t="s">
        <v>992</v>
      </c>
      <c r="B13" s="276" t="s">
        <v>5871</v>
      </c>
      <c r="C13" s="27" t="s">
        <v>44</v>
      </c>
      <c r="D13" s="21">
        <v>72200000000</v>
      </c>
      <c r="E13" s="21">
        <v>79100000000</v>
      </c>
      <c r="F13" s="21">
        <v>84660000000</v>
      </c>
      <c r="G13" s="21">
        <v>95530000000</v>
      </c>
      <c r="H13" s="247">
        <v>109565000000</v>
      </c>
      <c r="I13" s="21">
        <v>131375999999.99997</v>
      </c>
      <c r="J13" s="358">
        <f>J14+J15</f>
        <v>149084000000</v>
      </c>
      <c r="K13" s="358">
        <f>K14+K15</f>
        <v>172045000000</v>
      </c>
      <c r="L13" s="358">
        <f>L14+L15</f>
        <v>207596620000.00003</v>
      </c>
      <c r="M13" s="21"/>
      <c r="N13" s="21"/>
      <c r="O13" s="21"/>
      <c r="P13" s="21"/>
      <c r="Q13" s="21"/>
      <c r="R13" s="21"/>
      <c r="S13" s="21"/>
      <c r="T13" s="21"/>
      <c r="U13" s="21"/>
      <c r="V13" s="21"/>
      <c r="W13" s="21"/>
      <c r="X13" s="2"/>
    </row>
    <row r="14" spans="1:25">
      <c r="A14" s="375" t="s">
        <v>4253</v>
      </c>
      <c r="B14" s="375" t="s">
        <v>5872</v>
      </c>
      <c r="C14" s="27" t="s">
        <v>1049</v>
      </c>
      <c r="D14" s="21">
        <v>48300000000</v>
      </c>
      <c r="E14" s="21">
        <v>54500000000</v>
      </c>
      <c r="F14" s="21">
        <v>59160000000</v>
      </c>
      <c r="G14" s="21">
        <v>68735000000</v>
      </c>
      <c r="H14" s="247">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77" t="s">
        <v>553</v>
      </c>
      <c r="B15" s="377" t="s">
        <v>5873</v>
      </c>
      <c r="C15" s="27" t="s">
        <v>1049</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77" t="s">
        <v>5874</v>
      </c>
      <c r="B16" s="377" t="s">
        <v>5875</v>
      </c>
      <c r="C16" s="27" t="s">
        <v>44</v>
      </c>
      <c r="D16" s="21">
        <f>D18+D19</f>
        <v>12200000000</v>
      </c>
      <c r="E16" s="21">
        <f t="shared" ref="E16:L16" si="7">E18+E19</f>
        <v>15000000000</v>
      </c>
      <c r="F16" s="21">
        <f t="shared" si="7"/>
        <v>8160000000</v>
      </c>
      <c r="G16" s="21">
        <f t="shared" si="7"/>
        <v>9320000000</v>
      </c>
      <c r="H16" s="21">
        <f t="shared" si="7"/>
        <v>9023000000</v>
      </c>
      <c r="I16" s="21">
        <f t="shared" si="7"/>
        <v>27132000000</v>
      </c>
      <c r="J16" s="21">
        <f t="shared" si="7"/>
        <v>34892000000</v>
      </c>
      <c r="K16" s="21">
        <f t="shared" si="7"/>
        <v>39842000000</v>
      </c>
      <c r="L16" s="21">
        <f t="shared" si="7"/>
        <v>49642670000</v>
      </c>
      <c r="M16" s="21"/>
      <c r="N16" s="21"/>
      <c r="O16" s="21"/>
      <c r="P16" s="21"/>
      <c r="Q16" s="21"/>
      <c r="R16" s="21"/>
      <c r="S16" s="21"/>
      <c r="T16" s="21"/>
      <c r="U16" s="21"/>
      <c r="V16" s="21"/>
      <c r="W16" s="21"/>
      <c r="X16" s="2"/>
    </row>
    <row r="17" spans="1:24">
      <c r="A17" t="s">
        <v>76</v>
      </c>
      <c r="B17" s="378" t="s">
        <v>5876</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5" t="s">
        <v>5877</v>
      </c>
      <c r="B18" s="375" t="s">
        <v>5878</v>
      </c>
      <c r="C18" s="27" t="s">
        <v>5879</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6" t="s">
        <v>1050</v>
      </c>
      <c r="B19" s="375" t="s">
        <v>5880</v>
      </c>
      <c r="C19" s="27" t="s">
        <v>5879</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5" t="s">
        <v>5881</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5" t="s">
        <v>38</v>
      </c>
      <c r="D21" s="21">
        <v>0</v>
      </c>
      <c r="E21" s="21">
        <v>0</v>
      </c>
      <c r="F21" s="21">
        <v>0</v>
      </c>
      <c r="G21" s="21">
        <v>0</v>
      </c>
      <c r="H21" s="21">
        <v>0</v>
      </c>
      <c r="I21" s="21">
        <v>0</v>
      </c>
      <c r="J21" s="21">
        <v>0</v>
      </c>
      <c r="K21" s="21">
        <v>0</v>
      </c>
      <c r="L21" s="334">
        <v>0</v>
      </c>
      <c r="M21" s="21">
        <v>0</v>
      </c>
      <c r="N21" s="21">
        <v>0</v>
      </c>
      <c r="O21" s="21">
        <v>0</v>
      </c>
      <c r="P21" s="21">
        <v>0</v>
      </c>
      <c r="Q21" s="21">
        <v>0</v>
      </c>
      <c r="R21" s="21">
        <v>0</v>
      </c>
      <c r="S21" s="21">
        <v>0</v>
      </c>
      <c r="T21" s="21">
        <v>0</v>
      </c>
      <c r="U21" s="21">
        <v>0</v>
      </c>
      <c r="V21" s="21">
        <v>0</v>
      </c>
      <c r="W21" s="21">
        <v>0</v>
      </c>
      <c r="X21" s="21">
        <v>0</v>
      </c>
    </row>
    <row r="22" spans="1:24" ht="16.5">
      <c r="A22" s="90" t="s">
        <v>560</v>
      </c>
      <c r="B22" s="90" t="s">
        <v>378</v>
      </c>
      <c r="C22" s="58" t="s">
        <v>41</v>
      </c>
      <c r="D22" s="21">
        <v>4800000000</v>
      </c>
      <c r="E22" s="21">
        <v>3700000000</v>
      </c>
      <c r="F22" s="334">
        <v>4080000000</v>
      </c>
      <c r="G22" s="334">
        <v>4660000000</v>
      </c>
      <c r="H22" s="21">
        <v>6445000000</v>
      </c>
      <c r="I22" s="21">
        <v>5712000000</v>
      </c>
      <c r="J22" s="21">
        <v>7930000000</v>
      </c>
      <c r="K22" s="21">
        <v>10866000000</v>
      </c>
      <c r="L22" s="21">
        <v>13538910000</v>
      </c>
      <c r="M22" s="21">
        <v>58500000000</v>
      </c>
      <c r="N22" s="21">
        <v>60300000000</v>
      </c>
      <c r="O22" s="21">
        <v>64400000000.000008</v>
      </c>
      <c r="P22" s="21">
        <v>80600000000</v>
      </c>
      <c r="Q22" s="21"/>
      <c r="R22" s="21"/>
      <c r="S22" s="21"/>
      <c r="T22" s="21"/>
      <c r="U22" s="21"/>
      <c r="V22" s="21"/>
      <c r="W22" s="21"/>
      <c r="X22" s="2"/>
    </row>
    <row r="23" spans="1:24" ht="16.5">
      <c r="A23" s="90" t="s">
        <v>5882</v>
      </c>
      <c r="B23" s="90" t="s">
        <v>1911</v>
      </c>
      <c r="C23" s="58" t="s">
        <v>41</v>
      </c>
      <c r="D23" s="21"/>
      <c r="E23" s="21"/>
      <c r="F23" s="334"/>
      <c r="G23" s="334"/>
      <c r="H23" s="21"/>
      <c r="I23" s="21"/>
      <c r="J23" s="21"/>
      <c r="K23" s="21"/>
      <c r="L23" s="21"/>
      <c r="M23" s="21"/>
      <c r="N23" s="21"/>
      <c r="O23" s="21"/>
      <c r="P23" s="21"/>
      <c r="Q23" s="21">
        <v>14500000000</v>
      </c>
      <c r="R23" s="21">
        <v>14800000000</v>
      </c>
      <c r="S23" s="21">
        <v>15600000000</v>
      </c>
      <c r="T23" s="21">
        <v>13900000000</v>
      </c>
      <c r="U23" s="21">
        <v>13900000000</v>
      </c>
      <c r="V23" s="21">
        <v>15600000000</v>
      </c>
      <c r="W23" s="21">
        <v>15800000000</v>
      </c>
      <c r="X23" s="389">
        <v>11200000000</v>
      </c>
    </row>
    <row r="24" spans="1:24" ht="16.5">
      <c r="A24" s="90" t="s">
        <v>5883</v>
      </c>
      <c r="B24" s="90" t="s">
        <v>5884</v>
      </c>
      <c r="C24" s="58" t="s">
        <v>41</v>
      </c>
      <c r="D24" s="21"/>
      <c r="E24" s="21"/>
      <c r="F24" s="334"/>
      <c r="G24" s="334"/>
      <c r="H24" s="21"/>
      <c r="I24" s="21"/>
      <c r="J24" s="21"/>
      <c r="K24" s="21"/>
      <c r="L24" s="21"/>
      <c r="M24" s="21"/>
      <c r="N24" s="21"/>
      <c r="O24" s="21"/>
      <c r="P24" s="21"/>
      <c r="Q24" s="21">
        <v>107400000000</v>
      </c>
      <c r="R24" s="21">
        <v>120700000000</v>
      </c>
      <c r="S24" s="21">
        <v>133400000000</v>
      </c>
      <c r="T24" s="21">
        <v>145700000000</v>
      </c>
      <c r="U24" s="21">
        <v>156000000000</v>
      </c>
      <c r="V24" s="21">
        <v>166600000000</v>
      </c>
      <c r="W24" s="21">
        <v>178300000000</v>
      </c>
      <c r="X24" s="389">
        <v>196800000000</v>
      </c>
    </row>
    <row r="25" spans="1:24" s="9" customFormat="1" ht="16.5">
      <c r="A25" s="9" t="s">
        <v>71</v>
      </c>
      <c r="B25" s="148" t="s">
        <v>535</v>
      </c>
      <c r="C25" s="18" t="s">
        <v>35</v>
      </c>
      <c r="D25" s="292">
        <v>214800000000</v>
      </c>
      <c r="E25" s="292">
        <v>233900000000</v>
      </c>
      <c r="F25" s="292">
        <f>F26+F34</f>
        <v>256020000000</v>
      </c>
      <c r="G25" s="292">
        <v>284260000000</v>
      </c>
      <c r="H25" s="292">
        <v>328695000000</v>
      </c>
      <c r="I25" s="292">
        <v>368424000000</v>
      </c>
      <c r="J25" s="292">
        <v>417118000000</v>
      </c>
      <c r="K25" s="292">
        <v>470860000000</v>
      </c>
      <c r="L25" s="292">
        <v>586686100000</v>
      </c>
      <c r="M25" s="292">
        <f>M26+M34+M35</f>
        <v>708400000000</v>
      </c>
      <c r="N25" s="292">
        <f t="shared" ref="N25:P25" si="8">N26+N34+N35</f>
        <v>823900000000</v>
      </c>
      <c r="O25" s="295">
        <f t="shared" si="8"/>
        <v>877500000000</v>
      </c>
      <c r="P25" s="295">
        <f t="shared" si="8"/>
        <v>954200000000</v>
      </c>
      <c r="Q25" s="292">
        <f>Q26+Q34+Q35+Q36</f>
        <v>1043400000000</v>
      </c>
      <c r="R25" s="292">
        <f t="shared" ref="R25:X25" si="9">R26+R34+R35+R36</f>
        <v>1144000000000</v>
      </c>
      <c r="S25" s="292">
        <f t="shared" si="9"/>
        <v>1233400000000</v>
      </c>
      <c r="T25" s="292">
        <f t="shared" si="9"/>
        <v>1364300000000</v>
      </c>
      <c r="U25" s="292">
        <f t="shared" si="9"/>
        <v>1447200000000</v>
      </c>
      <c r="V25" s="292">
        <f t="shared" si="9"/>
        <v>1567200000000</v>
      </c>
      <c r="W25" s="292">
        <f t="shared" si="9"/>
        <v>1681100000000</v>
      </c>
      <c r="X25" s="292">
        <f t="shared" si="9"/>
        <v>1822700000000</v>
      </c>
    </row>
    <row r="26" spans="1:24" ht="16.5">
      <c r="A26" t="s">
        <v>73</v>
      </c>
      <c r="B26" s="139" t="s">
        <v>382</v>
      </c>
      <c r="C26" s="58" t="s">
        <v>201</v>
      </c>
      <c r="D26" s="21">
        <f>D29+D30+D33</f>
        <v>214800000000</v>
      </c>
      <c r="E26" s="21">
        <f t="shared" ref="E26:L26" si="10">E29+E30+E33</f>
        <v>233900000000</v>
      </c>
      <c r="F26" s="21">
        <f t="shared" si="10"/>
        <v>256020000000</v>
      </c>
      <c r="G26" s="21">
        <f t="shared" si="10"/>
        <v>284260000000</v>
      </c>
      <c r="H26" s="21">
        <f t="shared" si="10"/>
        <v>328695000000</v>
      </c>
      <c r="I26" s="21">
        <f t="shared" si="10"/>
        <v>368424000000</v>
      </c>
      <c r="J26" s="21">
        <f t="shared" si="10"/>
        <v>417118000000</v>
      </c>
      <c r="K26" s="21">
        <f t="shared" si="10"/>
        <v>470860000000</v>
      </c>
      <c r="L26" s="21">
        <f t="shared" si="10"/>
        <v>586686100000</v>
      </c>
      <c r="M26" s="21">
        <f>M27+M28+M29+M30</f>
        <v>647600000000</v>
      </c>
      <c r="N26" s="21">
        <f t="shared" ref="N26:P26" si="11">N27+N28+N29+N30</f>
        <v>733100000000</v>
      </c>
      <c r="O26" s="125">
        <f t="shared" si="11"/>
        <v>800300000000</v>
      </c>
      <c r="P26" s="125">
        <f t="shared" si="11"/>
        <v>890400000000</v>
      </c>
      <c r="Q26" s="21">
        <v>919600000000</v>
      </c>
      <c r="R26" s="21">
        <v>1006500000000</v>
      </c>
      <c r="S26" s="21">
        <v>1082500000000</v>
      </c>
      <c r="T26" s="21">
        <v>1175700000000</v>
      </c>
      <c r="U26" s="21">
        <v>1278500000000</v>
      </c>
      <c r="V26" s="21">
        <v>1382100000000</v>
      </c>
      <c r="W26" s="21">
        <v>1484900000000</v>
      </c>
      <c r="X26" s="389">
        <v>1607800000000</v>
      </c>
    </row>
    <row r="27" spans="1:24" ht="16.5">
      <c r="A27" s="99" t="s">
        <v>5885</v>
      </c>
      <c r="B27" s="90" t="s">
        <v>80</v>
      </c>
      <c r="C27" s="58" t="s">
        <v>204</v>
      </c>
      <c r="D27" s="21"/>
      <c r="E27" s="21"/>
      <c r="F27" s="21"/>
      <c r="G27" s="21"/>
      <c r="H27" s="21"/>
      <c r="I27" s="21"/>
      <c r="J27" s="21"/>
      <c r="K27" s="21"/>
      <c r="L27" s="21"/>
      <c r="M27" s="21">
        <v>233300000000</v>
      </c>
      <c r="N27" s="21">
        <v>274100000000.00003</v>
      </c>
      <c r="O27" s="125">
        <v>309800000000</v>
      </c>
      <c r="P27" s="125">
        <v>345500000000</v>
      </c>
      <c r="Q27" s="21">
        <v>376300000000</v>
      </c>
      <c r="R27" s="21">
        <v>408200000000</v>
      </c>
      <c r="S27" s="21">
        <v>437400000000</v>
      </c>
      <c r="T27" s="21">
        <v>473100000000</v>
      </c>
      <c r="U27" s="21">
        <v>512200000000.00006</v>
      </c>
      <c r="V27" s="21">
        <v>550400000000</v>
      </c>
      <c r="W27" s="21">
        <v>588700000000</v>
      </c>
      <c r="X27" s="389">
        <v>631100000000</v>
      </c>
    </row>
    <row r="28" spans="1:24" ht="16.5">
      <c r="A28" s="99" t="s">
        <v>5886</v>
      </c>
      <c r="B28" s="90" t="s">
        <v>5887</v>
      </c>
      <c r="C28" s="58" t="s">
        <v>204</v>
      </c>
      <c r="D28" s="21"/>
      <c r="E28" s="21"/>
      <c r="F28" s="21"/>
      <c r="G28" s="21"/>
      <c r="H28" s="21"/>
      <c r="I28" s="21"/>
      <c r="J28" s="21"/>
      <c r="K28" s="21"/>
      <c r="L28" s="21"/>
      <c r="M28" s="21">
        <v>117800000000</v>
      </c>
      <c r="N28" s="21">
        <v>138600000000</v>
      </c>
      <c r="O28" s="125">
        <v>144400000000</v>
      </c>
      <c r="P28" s="125">
        <v>161300000000</v>
      </c>
      <c r="Q28" s="21">
        <v>162900000000</v>
      </c>
      <c r="R28" s="21">
        <v>174200000000</v>
      </c>
      <c r="S28" s="21">
        <v>185500000000</v>
      </c>
      <c r="T28" s="21">
        <v>195600000000</v>
      </c>
      <c r="U28" s="21">
        <v>208300000000</v>
      </c>
      <c r="V28" s="21">
        <v>221700000000</v>
      </c>
      <c r="W28" s="21">
        <v>237500000000</v>
      </c>
      <c r="X28" s="389">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58600000000</v>
      </c>
      <c r="N29" s="21">
        <v>57100000000</v>
      </c>
      <c r="O29" s="125">
        <v>66200000000</v>
      </c>
      <c r="P29" s="125">
        <v>76500000000</v>
      </c>
      <c r="Q29" s="21">
        <v>93300000000</v>
      </c>
      <c r="R29" s="21">
        <v>109600000000</v>
      </c>
      <c r="S29" s="21">
        <v>121400000000</v>
      </c>
      <c r="T29" s="21">
        <v>136300000000.00002</v>
      </c>
      <c r="U29" s="21">
        <v>155400000000</v>
      </c>
      <c r="V29" s="21">
        <v>173300000000</v>
      </c>
      <c r="W29" s="21">
        <v>191600000000</v>
      </c>
      <c r="X29" s="389">
        <v>214800000000</v>
      </c>
    </row>
    <row r="30" spans="1:24">
      <c r="A30" s="99" t="s">
        <v>5888</v>
      </c>
      <c r="B30" s="90" t="s">
        <v>5889</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v>237900000000</v>
      </c>
      <c r="N30" s="21">
        <v>263300000000</v>
      </c>
      <c r="O30" s="125">
        <v>279900000000</v>
      </c>
      <c r="P30" s="125">
        <v>307100000000</v>
      </c>
      <c r="Q30" s="21">
        <v>287100000000</v>
      </c>
      <c r="R30" s="21">
        <v>314600000000</v>
      </c>
      <c r="S30" s="21">
        <v>338300000000</v>
      </c>
      <c r="T30" s="21">
        <v>370600000000</v>
      </c>
      <c r="U30" s="21">
        <v>402700000000</v>
      </c>
      <c r="V30" s="21">
        <v>436700000000</v>
      </c>
      <c r="W30" s="21">
        <v>467100000000</v>
      </c>
      <c r="X30" s="389">
        <v>508400000000</v>
      </c>
    </row>
    <row r="31" spans="1:24" ht="16.5">
      <c r="A31" s="100" t="s">
        <v>5890</v>
      </c>
      <c r="B31" s="90" t="s">
        <v>5891</v>
      </c>
      <c r="C31" s="27" t="s">
        <v>5892</v>
      </c>
      <c r="D31" s="21">
        <v>99000000000</v>
      </c>
      <c r="E31" s="21">
        <v>108900000000</v>
      </c>
      <c r="F31" s="21"/>
      <c r="G31" s="21"/>
      <c r="H31" s="21"/>
      <c r="I31" s="21">
        <v>138516000000</v>
      </c>
      <c r="J31" s="21">
        <v>153841999999.99997</v>
      </c>
      <c r="K31" s="21">
        <v>181100000000</v>
      </c>
      <c r="L31" s="21">
        <v>225648500000</v>
      </c>
      <c r="M31" s="21"/>
      <c r="N31" s="21"/>
      <c r="O31" s="21"/>
      <c r="P31" s="21"/>
      <c r="Q31" s="21"/>
      <c r="R31" s="21"/>
      <c r="S31" s="21"/>
      <c r="T31" s="21"/>
      <c r="U31" s="21"/>
      <c r="V31" s="21"/>
      <c r="W31" s="21"/>
      <c r="X31" s="389"/>
    </row>
    <row r="32" spans="1:24" ht="16.5">
      <c r="A32" s="100" t="s">
        <v>4010</v>
      </c>
      <c r="B32" s="90" t="s">
        <v>5893</v>
      </c>
      <c r="C32" s="27" t="s">
        <v>5892</v>
      </c>
      <c r="D32" s="358">
        <f>D30-D31</f>
        <v>4500000000</v>
      </c>
      <c r="E32" s="358">
        <f>E30-E31</f>
        <v>5600000000</v>
      </c>
      <c r="F32" s="21"/>
      <c r="G32" s="21"/>
      <c r="H32" s="21"/>
      <c r="I32" s="21">
        <v>14280000000</v>
      </c>
      <c r="J32" s="21">
        <v>17446000000</v>
      </c>
      <c r="K32" s="21">
        <v>27165000000</v>
      </c>
      <c r="L32" s="21">
        <v>40616730000.000008</v>
      </c>
      <c r="M32" s="21"/>
      <c r="N32" s="21"/>
      <c r="O32" s="21"/>
      <c r="P32" s="21"/>
      <c r="Q32" s="21"/>
      <c r="R32" s="21"/>
      <c r="S32" s="21"/>
      <c r="T32" s="21"/>
      <c r="U32" s="21"/>
      <c r="V32" s="21"/>
      <c r="W32" s="21"/>
      <c r="X32" s="389"/>
    </row>
    <row r="33" spans="1:24" ht="16.5">
      <c r="A33" s="99" t="s">
        <v>847</v>
      </c>
      <c r="B33" s="90" t="s">
        <v>392</v>
      </c>
      <c r="C33" s="58" t="s">
        <v>204</v>
      </c>
      <c r="D33" s="21">
        <v>67000000000</v>
      </c>
      <c r="E33" s="21">
        <v>73100000000</v>
      </c>
      <c r="F33" s="21">
        <v>85680000000</v>
      </c>
      <c r="G33" s="21">
        <v>96695000000</v>
      </c>
      <c r="H33" s="247">
        <v>148235000000</v>
      </c>
      <c r="I33" s="21">
        <v>167076000000</v>
      </c>
      <c r="J33" s="21">
        <v>195078000000</v>
      </c>
      <c r="K33" s="21">
        <v>210076000000</v>
      </c>
      <c r="L33" s="21">
        <v>264008744999.99997</v>
      </c>
      <c r="M33" s="21"/>
      <c r="N33" s="21"/>
      <c r="O33" s="21"/>
      <c r="P33" s="21"/>
      <c r="Q33" s="21"/>
      <c r="R33" s="21"/>
      <c r="S33" s="21"/>
      <c r="T33" s="21"/>
      <c r="U33" s="21"/>
      <c r="V33" s="21"/>
      <c r="W33" s="21"/>
      <c r="X33" s="389"/>
    </row>
    <row r="34" spans="1:24" ht="16.5">
      <c r="A34" s="90" t="s">
        <v>237</v>
      </c>
      <c r="B34" s="90" t="s">
        <v>393</v>
      </c>
      <c r="C34" s="58" t="s">
        <v>201</v>
      </c>
      <c r="D34" s="21"/>
      <c r="E34" s="21"/>
      <c r="F34" s="21"/>
      <c r="G34" s="21"/>
      <c r="H34" s="21"/>
      <c r="I34" s="21"/>
      <c r="J34" s="21"/>
      <c r="K34" s="21"/>
      <c r="L34" s="21"/>
      <c r="M34" s="21">
        <v>49700000000</v>
      </c>
      <c r="N34" s="21">
        <v>57500000000</v>
      </c>
      <c r="O34" s="21">
        <v>55700000000</v>
      </c>
      <c r="P34" s="21">
        <v>62400000000</v>
      </c>
      <c r="Q34" s="21">
        <v>118700000000</v>
      </c>
      <c r="R34" s="21">
        <v>133300000000.00002</v>
      </c>
      <c r="S34" s="21">
        <v>145300000000</v>
      </c>
      <c r="T34" s="21">
        <v>158300000000</v>
      </c>
      <c r="U34" s="21">
        <v>162300000000</v>
      </c>
      <c r="V34" s="21">
        <v>173500000000</v>
      </c>
      <c r="W34" s="21">
        <v>181200000000</v>
      </c>
      <c r="X34" s="389">
        <v>189700000000</v>
      </c>
    </row>
    <row r="35" spans="1:24" ht="16.5">
      <c r="A35" s="90" t="s">
        <v>5894</v>
      </c>
      <c r="B35" s="90" t="s">
        <v>5895</v>
      </c>
      <c r="C35" s="58" t="s">
        <v>201</v>
      </c>
      <c r="D35" s="21"/>
      <c r="E35" s="21"/>
      <c r="F35" s="21"/>
      <c r="G35" s="21"/>
      <c r="H35" s="21"/>
      <c r="I35" s="21"/>
      <c r="J35" s="21"/>
      <c r="K35" s="21"/>
      <c r="L35" s="21"/>
      <c r="M35" s="21">
        <v>11100000000</v>
      </c>
      <c r="N35" s="21">
        <v>33299999999.999996</v>
      </c>
      <c r="O35" s="21">
        <v>21500000000</v>
      </c>
      <c r="P35" s="21">
        <v>1400000000</v>
      </c>
      <c r="Q35" s="21">
        <v>5100000000</v>
      </c>
      <c r="R35" s="21">
        <v>4200000000</v>
      </c>
      <c r="S35" s="21">
        <v>5600000000</v>
      </c>
      <c r="T35" s="21">
        <v>30300000000</v>
      </c>
      <c r="U35" s="21">
        <v>6400000000</v>
      </c>
      <c r="V35" s="21">
        <v>5600000000</v>
      </c>
      <c r="W35" s="21">
        <v>5000000000</v>
      </c>
      <c r="X35" s="389">
        <v>5200000000</v>
      </c>
    </row>
    <row r="36" spans="1:24">
      <c r="A36" s="90" t="s">
        <v>3276</v>
      </c>
      <c r="B36" s="90" t="s">
        <v>3276</v>
      </c>
      <c r="C36" s="58" t="s">
        <v>201</v>
      </c>
      <c r="D36" s="21"/>
      <c r="E36" s="21"/>
      <c r="F36" s="21"/>
      <c r="G36" s="21"/>
      <c r="H36" s="21"/>
      <c r="I36" s="21"/>
      <c r="J36" s="21"/>
      <c r="K36" s="21"/>
      <c r="L36" s="21"/>
      <c r="M36" s="21">
        <v>0</v>
      </c>
      <c r="N36" s="21">
        <v>0</v>
      </c>
      <c r="O36" s="21">
        <v>0</v>
      </c>
      <c r="P36" s="21"/>
      <c r="Q36" s="21">
        <v>0</v>
      </c>
      <c r="R36" s="21">
        <v>0</v>
      </c>
      <c r="S36" s="21">
        <v>0</v>
      </c>
      <c r="T36" s="21">
        <v>0</v>
      </c>
      <c r="U36" s="21">
        <v>0</v>
      </c>
      <c r="V36" s="21">
        <v>6000000000</v>
      </c>
      <c r="W36" s="21">
        <v>10000000000</v>
      </c>
      <c r="X36" s="389">
        <v>20000000000</v>
      </c>
    </row>
    <row r="37" spans="1:24" ht="16.5">
      <c r="A37" t="s">
        <v>76</v>
      </c>
      <c r="B37" s="90" t="s">
        <v>5896</v>
      </c>
      <c r="C37" s="34"/>
      <c r="D37" s="21"/>
      <c r="E37" s="21"/>
      <c r="F37" s="21"/>
      <c r="G37" s="21"/>
      <c r="H37" s="21"/>
      <c r="I37" s="21"/>
      <c r="J37" s="21"/>
      <c r="K37" s="21"/>
      <c r="L37" s="21"/>
      <c r="M37" s="21"/>
      <c r="N37" s="21"/>
      <c r="O37" s="21"/>
      <c r="P37" s="21"/>
      <c r="Q37" s="21"/>
      <c r="R37" s="21"/>
      <c r="S37" s="21"/>
      <c r="T37" s="21"/>
      <c r="U37" s="21"/>
      <c r="V37" s="21"/>
      <c r="W37" s="21"/>
      <c r="X37" s="389"/>
    </row>
    <row r="38" spans="1:24" ht="16.5">
      <c r="A38" t="s">
        <v>76</v>
      </c>
      <c r="B38" s="90" t="s">
        <v>5897</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c r="N38" s="21"/>
      <c r="O38" s="21"/>
      <c r="P38" s="21"/>
      <c r="Q38" s="21"/>
      <c r="R38" s="21"/>
      <c r="S38" s="21"/>
      <c r="T38" s="21"/>
      <c r="U38" s="21"/>
      <c r="V38" s="21"/>
      <c r="W38" s="21"/>
      <c r="X38" s="2"/>
    </row>
    <row r="39" spans="1:24" ht="16.5">
      <c r="A39" t="s">
        <v>76</v>
      </c>
      <c r="B39" s="90" t="s">
        <v>5898</v>
      </c>
      <c r="C39" s="34"/>
      <c r="D39" s="21"/>
      <c r="E39" s="21"/>
      <c r="F39" s="21"/>
      <c r="G39" s="21"/>
      <c r="H39" s="21"/>
      <c r="I39" s="21"/>
      <c r="J39" s="21"/>
      <c r="K39" s="21"/>
      <c r="L39" s="21"/>
      <c r="M39" s="21"/>
      <c r="N39" s="21"/>
      <c r="O39" s="21"/>
      <c r="P39" s="21"/>
      <c r="Q39" s="21"/>
      <c r="R39" s="21"/>
      <c r="S39" s="21"/>
      <c r="T39" s="21"/>
      <c r="U39" s="21"/>
      <c r="V39" s="21"/>
      <c r="W39" s="21"/>
      <c r="X39" s="2"/>
    </row>
    <row r="40" spans="1:24" ht="16.5">
      <c r="A40" t="s">
        <v>76</v>
      </c>
      <c r="B40" s="90" t="s">
        <v>4327</v>
      </c>
      <c r="C40" s="34"/>
      <c r="D40" s="21"/>
      <c r="E40" s="21"/>
      <c r="F40" s="21"/>
      <c r="G40" s="21"/>
      <c r="H40" s="21"/>
      <c r="I40" s="21"/>
      <c r="J40" s="21"/>
      <c r="K40" s="21"/>
      <c r="L40" s="21"/>
      <c r="M40" s="21"/>
      <c r="N40" s="21"/>
      <c r="O40" s="21"/>
      <c r="P40" s="21"/>
      <c r="Q40" s="21"/>
      <c r="R40" s="21"/>
      <c r="S40" s="21"/>
      <c r="T40" s="21"/>
      <c r="U40" s="21"/>
      <c r="V40" s="21"/>
      <c r="W40" s="21"/>
      <c r="X40" s="2"/>
    </row>
    <row r="41" spans="1:24" ht="16.5">
      <c r="B41" t="s">
        <v>1972</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5899</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5900</v>
      </c>
      <c r="C44" s="34"/>
      <c r="D44" s="21"/>
      <c r="E44" s="21"/>
      <c r="F44" s="21"/>
      <c r="G44" s="21"/>
      <c r="H44" s="21"/>
      <c r="I44" s="21"/>
      <c r="J44" s="21"/>
      <c r="K44" s="21"/>
      <c r="L44" s="21"/>
      <c r="M44" s="21"/>
      <c r="N44" s="21"/>
      <c r="O44" s="475"/>
      <c r="P44" s="475"/>
      <c r="Q44" s="21">
        <v>1366000000000</v>
      </c>
      <c r="R44" s="21">
        <v>1585000000000</v>
      </c>
      <c r="S44" s="21"/>
      <c r="T44" s="21"/>
      <c r="U44" s="21"/>
      <c r="V44" s="21"/>
      <c r="W44" s="21"/>
      <c r="X44" s="2"/>
    </row>
    <row r="45" spans="1:24" s="9" customFormat="1" ht="16.5">
      <c r="A45" s="148" t="s">
        <v>115</v>
      </c>
      <c r="B45" s="379" t="s">
        <v>115</v>
      </c>
      <c r="C45" s="18" t="s">
        <v>35</v>
      </c>
      <c r="D45" s="292">
        <v>16200000000</v>
      </c>
      <c r="E45" s="292">
        <v>18400000000</v>
      </c>
      <c r="F45" s="292">
        <v>16320000000</v>
      </c>
      <c r="G45" s="292">
        <v>20970000000.000004</v>
      </c>
      <c r="H45" s="292">
        <v>36092000000</v>
      </c>
      <c r="I45" s="358">
        <f>I46+I47+I48+I49</f>
        <v>31415999999.999992</v>
      </c>
      <c r="J45" s="358">
        <f>J46+J47+J48+J49</f>
        <v>7930000000</v>
      </c>
      <c r="K45" s="292">
        <v>-10866000000</v>
      </c>
      <c r="L45" s="358">
        <f>L46+L47+L48+L49</f>
        <v>-20308365000.000004</v>
      </c>
      <c r="M45" s="292">
        <f>M25-M6</f>
        <v>24900000000</v>
      </c>
      <c r="N45" s="292">
        <f t="shared" ref="N45:P45" si="12">N25-N6</f>
        <v>159500000000</v>
      </c>
      <c r="O45" s="292">
        <f t="shared" si="12"/>
        <v>120400000000</v>
      </c>
      <c r="P45" s="292">
        <f t="shared" si="12"/>
        <v>117200000000</v>
      </c>
      <c r="Q45" s="292">
        <f>Q25-Q6</f>
        <v>149800000000</v>
      </c>
      <c r="R45" s="292">
        <f t="shared" ref="R45:X45" si="13">R25-R6</f>
        <v>151900000000</v>
      </c>
      <c r="S45" s="292">
        <f t="shared" si="13"/>
        <v>149800000000</v>
      </c>
      <c r="T45" s="292">
        <f t="shared" si="13"/>
        <v>185700000000</v>
      </c>
      <c r="U45" s="292">
        <f t="shared" si="13"/>
        <v>172700000000</v>
      </c>
      <c r="V45" s="292">
        <f t="shared" si="13"/>
        <v>191100000000</v>
      </c>
      <c r="W45" s="292">
        <f t="shared" si="13"/>
        <v>194900000000</v>
      </c>
      <c r="X45" s="292">
        <f t="shared" si="13"/>
        <v>212000000000</v>
      </c>
    </row>
    <row r="46" spans="1:24" ht="16.5">
      <c r="A46" t="s">
        <v>120</v>
      </c>
      <c r="B46" s="380" t="s">
        <v>5901</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c r="N46" s="21"/>
      <c r="O46" s="21"/>
      <c r="P46" s="21"/>
      <c r="Q46" s="475"/>
    </row>
    <row r="47" spans="1:24" ht="15.75">
      <c r="A47" s="58" t="s">
        <v>117</v>
      </c>
      <c r="B47" s="380" t="s">
        <v>5902</v>
      </c>
      <c r="C47" s="58" t="s">
        <v>252</v>
      </c>
      <c r="D47" s="21">
        <v>8500000000</v>
      </c>
      <c r="E47" s="21">
        <v>1900000000</v>
      </c>
      <c r="F47" s="21">
        <v>32640000000</v>
      </c>
      <c r="G47" s="21">
        <v>13980000000</v>
      </c>
      <c r="H47" s="21">
        <v>1289000000.0000002</v>
      </c>
      <c r="I47" s="21">
        <v>4284000000</v>
      </c>
      <c r="J47" s="21">
        <v>0</v>
      </c>
      <c r="K47" s="21">
        <v>0</v>
      </c>
      <c r="L47" s="21">
        <v>-4512970000</v>
      </c>
      <c r="M47" s="21"/>
      <c r="N47" s="21"/>
      <c r="O47" s="21"/>
      <c r="P47" s="21"/>
      <c r="Q47" s="21"/>
      <c r="R47" s="21"/>
      <c r="S47" s="21"/>
      <c r="T47" s="28"/>
      <c r="U47" s="28"/>
      <c r="V47" s="28"/>
      <c r="W47" s="28"/>
      <c r="X47" s="2"/>
    </row>
    <row r="48" spans="1:24" ht="15.75">
      <c r="A48" s="380" t="s">
        <v>5903</v>
      </c>
      <c r="B48" s="380" t="s">
        <v>5904</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0" t="s">
        <v>5905</v>
      </c>
      <c r="B49" s="380" t="s">
        <v>5906</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815</v>
      </c>
      <c r="C50" s="34"/>
      <c r="D50" s="21"/>
      <c r="E50" s="21"/>
      <c r="F50" s="21"/>
      <c r="G50" s="21"/>
      <c r="H50" s="21"/>
      <c r="I50" s="21"/>
      <c r="J50" s="21"/>
      <c r="K50" s="21"/>
      <c r="L50" s="21"/>
      <c r="M50" s="21"/>
      <c r="N50" s="21"/>
      <c r="O50" s="21"/>
      <c r="P50" s="21"/>
      <c r="Q50" s="21"/>
      <c r="R50" s="21"/>
      <c r="S50" s="21"/>
      <c r="T50" s="28"/>
      <c r="U50" s="28"/>
      <c r="V50" s="28"/>
      <c r="W50" s="28"/>
      <c r="X50" s="2"/>
    </row>
    <row r="51" spans="1:24" ht="16.5">
      <c r="B51" s="139" t="s">
        <v>209</v>
      </c>
      <c r="C51" s="34"/>
      <c r="D51" s="21"/>
      <c r="E51" s="21"/>
      <c r="F51" s="21"/>
      <c r="G51" s="21"/>
      <c r="H51" s="21"/>
      <c r="I51" s="21"/>
      <c r="J51" s="21"/>
      <c r="K51" s="21"/>
      <c r="L51" s="21"/>
      <c r="M51" s="21"/>
      <c r="N51" s="21"/>
      <c r="O51" s="21"/>
      <c r="P51" s="21"/>
      <c r="Q51" s="21"/>
      <c r="R51" s="21"/>
      <c r="S51" s="21"/>
      <c r="T51" s="28"/>
      <c r="U51" s="28"/>
      <c r="V51" s="28"/>
      <c r="W51" s="28"/>
      <c r="X51" s="2"/>
    </row>
    <row r="52" spans="1:24" ht="16.5">
      <c r="B52" s="90" t="s">
        <v>441</v>
      </c>
      <c r="C52" s="34"/>
      <c r="D52" s="21"/>
      <c r="E52" s="21"/>
      <c r="F52" s="21"/>
      <c r="G52" s="21"/>
      <c r="H52" s="21"/>
      <c r="I52" s="21"/>
      <c r="J52" s="21"/>
      <c r="K52" s="21"/>
      <c r="L52" s="21"/>
      <c r="M52" s="21"/>
      <c r="N52" s="21"/>
      <c r="O52" s="21"/>
      <c r="P52" s="21"/>
      <c r="Q52" s="21"/>
      <c r="R52" s="21"/>
      <c r="S52" s="21"/>
      <c r="T52" s="28"/>
      <c r="U52" s="28"/>
      <c r="V52" s="28"/>
      <c r="W52" s="28"/>
      <c r="X52" s="2"/>
    </row>
    <row r="53" spans="1:24" ht="16.5">
      <c r="B53" s="139" t="s">
        <v>444</v>
      </c>
      <c r="C53" s="34"/>
      <c r="D53" s="21"/>
      <c r="E53" s="21"/>
      <c r="F53" s="21"/>
      <c r="G53" s="21"/>
      <c r="H53" s="21"/>
      <c r="I53" s="21"/>
      <c r="J53" s="21"/>
      <c r="K53" s="21"/>
      <c r="L53" s="21"/>
      <c r="M53" s="21"/>
      <c r="N53" s="21"/>
      <c r="O53" s="21"/>
      <c r="P53" s="21"/>
      <c r="Q53" s="21"/>
      <c r="R53" s="21"/>
      <c r="S53" s="21"/>
      <c r="T53" s="28"/>
      <c r="U53" s="28"/>
      <c r="V53" s="28"/>
      <c r="W53" s="28"/>
      <c r="X53" s="2"/>
    </row>
    <row r="54" spans="1:24" ht="16.5">
      <c r="B54" s="90" t="s">
        <v>821</v>
      </c>
      <c r="C54" s="34"/>
      <c r="D54" s="21"/>
      <c r="E54" s="21"/>
      <c r="F54" s="21"/>
      <c r="G54" s="21"/>
      <c r="H54" s="21"/>
      <c r="I54" s="21"/>
      <c r="J54" s="21"/>
      <c r="K54" s="21"/>
      <c r="L54" s="21"/>
      <c r="M54" s="21"/>
      <c r="N54" s="21"/>
      <c r="O54" s="21"/>
      <c r="P54" s="21"/>
      <c r="Q54" s="21"/>
      <c r="R54" s="21"/>
      <c r="S54" s="21"/>
      <c r="T54" s="28"/>
      <c r="U54" s="28"/>
      <c r="V54" s="28"/>
      <c r="W54" s="28"/>
      <c r="X54" s="2"/>
    </row>
    <row r="55" spans="1:24" ht="16.5">
      <c r="B55" s="139" t="s">
        <v>209</v>
      </c>
      <c r="C55" s="34"/>
      <c r="D55" s="21"/>
      <c r="E55" s="21"/>
      <c r="F55" s="21"/>
      <c r="G55" s="21"/>
      <c r="H55" s="21"/>
      <c r="I55" s="21"/>
      <c r="J55" s="21"/>
      <c r="K55" s="21"/>
      <c r="L55" s="21"/>
      <c r="M55" s="21"/>
      <c r="N55" s="21"/>
      <c r="O55" s="21"/>
      <c r="P55" s="21"/>
      <c r="Q55" s="21"/>
      <c r="R55" s="21"/>
      <c r="S55" s="21"/>
      <c r="T55" s="28"/>
      <c r="U55" s="28"/>
      <c r="V55" s="28"/>
      <c r="W55" s="28"/>
      <c r="X55" s="2"/>
    </row>
    <row r="56" spans="1:24" ht="16.5">
      <c r="B56" s="139" t="s">
        <v>212</v>
      </c>
      <c r="C56" s="34"/>
      <c r="D56" s="21"/>
      <c r="E56" s="21"/>
      <c r="F56" s="21"/>
      <c r="G56" s="21"/>
      <c r="H56" s="21"/>
      <c r="I56" s="21"/>
      <c r="J56" s="21"/>
      <c r="K56" s="21"/>
      <c r="L56" s="21"/>
      <c r="M56" s="21"/>
      <c r="N56" s="21"/>
      <c r="O56" s="21"/>
      <c r="P56" s="21"/>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t="s">
        <v>139</v>
      </c>
    </row>
    <row r="59" spans="1:24" ht="16.5">
      <c r="B59" s="139"/>
      <c r="C59" s="34"/>
    </row>
    <row r="60" spans="1:24" ht="16.5">
      <c r="B60" s="139"/>
      <c r="C60" s="34"/>
      <c r="T60" s="28"/>
      <c r="U60" s="28"/>
      <c r="V60" s="28"/>
      <c r="W60" s="28"/>
      <c r="X60" s="28"/>
    </row>
    <row r="61" spans="1:24">
      <c r="B61" t="s">
        <v>875</v>
      </c>
      <c r="C61" s="34"/>
      <c r="D61" s="21">
        <f t="shared" ref="D61:S61" si="14">D6-D7-D21</f>
        <v>0</v>
      </c>
      <c r="E61">
        <f t="shared" si="14"/>
        <v>0</v>
      </c>
      <c r="F61">
        <f t="shared" si="14"/>
        <v>0</v>
      </c>
      <c r="G61">
        <f t="shared" si="14"/>
        <v>0</v>
      </c>
      <c r="H61">
        <f t="shared" si="14"/>
        <v>0</v>
      </c>
      <c r="I61" s="21">
        <f t="shared" si="14"/>
        <v>0</v>
      </c>
      <c r="J61">
        <f t="shared" si="14"/>
        <v>0</v>
      </c>
      <c r="K61">
        <f t="shared" si="14"/>
        <v>0</v>
      </c>
      <c r="L61">
        <f t="shared" si="14"/>
        <v>0</v>
      </c>
      <c r="M61">
        <f t="shared" si="14"/>
        <v>0</v>
      </c>
      <c r="N61">
        <f t="shared" si="14"/>
        <v>0</v>
      </c>
      <c r="O61">
        <f t="shared" si="14"/>
        <v>0</v>
      </c>
      <c r="P61">
        <f t="shared" si="14"/>
        <v>0</v>
      </c>
      <c r="Q61" s="21">
        <f t="shared" si="14"/>
        <v>0</v>
      </c>
      <c r="R61">
        <f t="shared" si="14"/>
        <v>0</v>
      </c>
      <c r="S61">
        <f t="shared" si="14"/>
        <v>0</v>
      </c>
      <c r="T61">
        <f t="shared" ref="T61:W61" si="15">T6-T7-T21</f>
        <v>0</v>
      </c>
      <c r="U61">
        <f t="shared" si="15"/>
        <v>0</v>
      </c>
      <c r="V61">
        <f t="shared" si="15"/>
        <v>0</v>
      </c>
      <c r="W61">
        <f t="shared" si="15"/>
        <v>0</v>
      </c>
      <c r="X61">
        <f t="shared" ref="X61" si="16">X6-X7-X21</f>
        <v>0</v>
      </c>
    </row>
    <row r="62" spans="1:24">
      <c r="B62" t="s">
        <v>450</v>
      </c>
      <c r="D62" s="21">
        <f t="shared" ref="D62:P62" si="17">D7-D8-D22</f>
        <v>0</v>
      </c>
      <c r="E62">
        <f t="shared" si="17"/>
        <v>0</v>
      </c>
      <c r="F62">
        <f t="shared" si="17"/>
        <v>0</v>
      </c>
      <c r="G62">
        <f t="shared" si="17"/>
        <v>0</v>
      </c>
      <c r="H62">
        <f t="shared" si="17"/>
        <v>0</v>
      </c>
      <c r="I62">
        <f t="shared" si="17"/>
        <v>0</v>
      </c>
      <c r="J62">
        <f t="shared" si="17"/>
        <v>0</v>
      </c>
      <c r="K62">
        <f t="shared" si="17"/>
        <v>0</v>
      </c>
      <c r="L62">
        <f t="shared" si="17"/>
        <v>0</v>
      </c>
      <c r="M62">
        <f t="shared" si="17"/>
        <v>0</v>
      </c>
      <c r="N62">
        <f t="shared" si="17"/>
        <v>0</v>
      </c>
      <c r="O62">
        <f t="shared" si="17"/>
        <v>0</v>
      </c>
      <c r="P62">
        <f t="shared" si="17"/>
        <v>0</v>
      </c>
      <c r="Q62" s="21">
        <f>Q7-Q8-Q22-Q23-Q24</f>
        <v>0</v>
      </c>
      <c r="R62" s="21">
        <f t="shared" ref="R62:W62" si="18">R7-R8-R22-R23-R24</f>
        <v>0</v>
      </c>
      <c r="S62" s="21">
        <f t="shared" si="18"/>
        <v>0</v>
      </c>
      <c r="T62" s="21">
        <f t="shared" si="18"/>
        <v>0</v>
      </c>
      <c r="U62" s="21">
        <f t="shared" si="18"/>
        <v>0</v>
      </c>
      <c r="V62" s="21">
        <f t="shared" si="18"/>
        <v>0</v>
      </c>
      <c r="W62" s="21">
        <f t="shared" si="18"/>
        <v>0</v>
      </c>
      <c r="X62" s="21">
        <f t="shared" ref="X62" si="19">X7-X8-X22-X23-X24</f>
        <v>0</v>
      </c>
    </row>
    <row r="63" spans="1:24">
      <c r="B63" t="s">
        <v>3639</v>
      </c>
      <c r="D63" s="192">
        <f>D8-D9-D13-D16</f>
        <v>0</v>
      </c>
      <c r="E63" s="192">
        <f t="shared" ref="E63:L63" si="20">E8-E9-E13-E16</f>
        <v>0</v>
      </c>
      <c r="F63" s="192">
        <f t="shared" si="20"/>
        <v>0</v>
      </c>
      <c r="G63" s="192">
        <f t="shared" si="20"/>
        <v>0</v>
      </c>
      <c r="H63" s="192">
        <f t="shared" si="20"/>
        <v>0</v>
      </c>
      <c r="I63" s="192">
        <f t="shared" si="20"/>
        <v>0</v>
      </c>
      <c r="J63" s="192">
        <f t="shared" si="20"/>
        <v>0</v>
      </c>
      <c r="K63" s="192">
        <f t="shared" si="20"/>
        <v>0</v>
      </c>
      <c r="L63" s="192">
        <f t="shared" si="20"/>
        <v>0</v>
      </c>
      <c r="M63" s="238">
        <f t="shared" ref="M63:S63" si="21">M8-M9-M13-M17</f>
        <v>625000000000</v>
      </c>
      <c r="N63" s="238">
        <f t="shared" si="21"/>
        <v>604100000000</v>
      </c>
      <c r="O63" s="238">
        <f t="shared" si="21"/>
        <v>692700000000</v>
      </c>
      <c r="P63" s="238">
        <f t="shared" si="21"/>
        <v>756400000000</v>
      </c>
      <c r="Q63" s="131">
        <f t="shared" si="21"/>
        <v>771700000000</v>
      </c>
      <c r="R63" s="238">
        <f t="shared" si="21"/>
        <v>856600000000</v>
      </c>
      <c r="S63" s="238">
        <f t="shared" si="21"/>
        <v>934600000000</v>
      </c>
      <c r="T63" s="238">
        <f t="shared" ref="T63:W63" si="22">T8-T9-T13-T17</f>
        <v>1019000000000</v>
      </c>
      <c r="U63" s="238">
        <f t="shared" si="22"/>
        <v>1104600000000</v>
      </c>
      <c r="V63" s="238">
        <f t="shared" si="22"/>
        <v>1193900000000</v>
      </c>
      <c r="W63" s="238">
        <f t="shared" si="22"/>
        <v>1292100000000</v>
      </c>
      <c r="X63" s="238">
        <f t="shared" ref="X63" si="23">X8-X9-X13-X17</f>
        <v>1402700000000</v>
      </c>
    </row>
    <row r="64" spans="1:24">
      <c r="B64" t="s">
        <v>5907</v>
      </c>
      <c r="D64" s="21">
        <f>D9-D10-D11-D12</f>
        <v>0</v>
      </c>
      <c r="E64" s="21">
        <f t="shared" ref="E64:S64" si="24">E9-E10-E11-E12</f>
        <v>0</v>
      </c>
      <c r="F64" s="21">
        <f t="shared" si="24"/>
        <v>0</v>
      </c>
      <c r="G64" s="21">
        <f t="shared" si="24"/>
        <v>0</v>
      </c>
      <c r="H64" s="21">
        <f t="shared" si="24"/>
        <v>0</v>
      </c>
      <c r="I64" s="21">
        <f t="shared" si="24"/>
        <v>0</v>
      </c>
      <c r="J64" s="21">
        <f t="shared" si="24"/>
        <v>0</v>
      </c>
      <c r="K64" s="21">
        <f t="shared" si="24"/>
        <v>0</v>
      </c>
      <c r="L64" s="21">
        <f t="shared" si="24"/>
        <v>0</v>
      </c>
      <c r="M64" s="21">
        <f t="shared" si="24"/>
        <v>0</v>
      </c>
      <c r="N64" s="21">
        <f t="shared" si="24"/>
        <v>0</v>
      </c>
      <c r="O64" s="21">
        <f t="shared" si="24"/>
        <v>0</v>
      </c>
      <c r="P64" s="21">
        <f t="shared" si="24"/>
        <v>0</v>
      </c>
      <c r="Q64" s="21">
        <f t="shared" si="24"/>
        <v>0</v>
      </c>
      <c r="R64" s="21">
        <f t="shared" si="24"/>
        <v>0</v>
      </c>
      <c r="S64" s="21">
        <f t="shared" si="24"/>
        <v>0</v>
      </c>
      <c r="T64" s="21">
        <f t="shared" ref="T64:W64" si="25">T9-T10-T11-T12</f>
        <v>0</v>
      </c>
      <c r="U64" s="21">
        <f t="shared" si="25"/>
        <v>0</v>
      </c>
      <c r="V64" s="21">
        <f t="shared" si="25"/>
        <v>0</v>
      </c>
      <c r="W64" s="21">
        <f t="shared" si="25"/>
        <v>0</v>
      </c>
      <c r="X64" s="21">
        <f t="shared" ref="X64" si="26">X9-X10-X11-X12</f>
        <v>0</v>
      </c>
    </row>
    <row r="65" spans="2:24">
      <c r="B65" t="s">
        <v>1129</v>
      </c>
      <c r="D65" s="21">
        <f>D13-D14-D15</f>
        <v>0</v>
      </c>
      <c r="E65" s="21">
        <f t="shared" ref="E65:S65" si="27">E13-E14-E15</f>
        <v>0</v>
      </c>
      <c r="F65" s="21">
        <f t="shared" si="27"/>
        <v>0</v>
      </c>
      <c r="G65" s="21">
        <f t="shared" si="27"/>
        <v>0</v>
      </c>
      <c r="H65" s="21">
        <f t="shared" si="27"/>
        <v>0</v>
      </c>
      <c r="I65" s="21">
        <f t="shared" si="27"/>
        <v>0</v>
      </c>
      <c r="J65" s="21">
        <f t="shared" si="27"/>
        <v>0</v>
      </c>
      <c r="K65" s="21">
        <f>K13-K14-K15</f>
        <v>0</v>
      </c>
      <c r="L65" s="192">
        <f t="shared" si="27"/>
        <v>0</v>
      </c>
      <c r="M65" s="21">
        <f t="shared" si="27"/>
        <v>0</v>
      </c>
      <c r="N65" s="21">
        <f t="shared" si="27"/>
        <v>0</v>
      </c>
      <c r="O65" s="21">
        <f t="shared" si="27"/>
        <v>0</v>
      </c>
      <c r="P65" s="21">
        <f t="shared" si="27"/>
        <v>0</v>
      </c>
      <c r="Q65" s="21">
        <f t="shared" si="27"/>
        <v>0</v>
      </c>
      <c r="R65" s="21">
        <f t="shared" si="27"/>
        <v>0</v>
      </c>
      <c r="S65" s="21">
        <f t="shared" si="27"/>
        <v>0</v>
      </c>
      <c r="T65" s="21">
        <f t="shared" ref="T65:W65" si="28">T13-T14-T15</f>
        <v>0</v>
      </c>
      <c r="U65" s="21">
        <f t="shared" si="28"/>
        <v>0</v>
      </c>
      <c r="V65" s="21">
        <f t="shared" si="28"/>
        <v>0</v>
      </c>
      <c r="W65" s="21">
        <f t="shared" si="28"/>
        <v>0</v>
      </c>
      <c r="X65" s="21">
        <f t="shared" ref="X65" si="29">X13-X14-X15</f>
        <v>0</v>
      </c>
    </row>
    <row r="66" spans="2:24">
      <c r="B66" t="s">
        <v>145</v>
      </c>
      <c r="D66" s="21">
        <f t="shared" ref="D66:P66" si="30">D25-D26-D34</f>
        <v>0</v>
      </c>
      <c r="E66" s="21">
        <f t="shared" si="30"/>
        <v>0</v>
      </c>
      <c r="F66" s="21">
        <f t="shared" si="30"/>
        <v>0</v>
      </c>
      <c r="G66" s="21">
        <f t="shared" si="30"/>
        <v>0</v>
      </c>
      <c r="H66" s="21">
        <f t="shared" si="30"/>
        <v>0</v>
      </c>
      <c r="I66" s="21">
        <f t="shared" si="30"/>
        <v>0</v>
      </c>
      <c r="J66" s="21">
        <f t="shared" si="30"/>
        <v>0</v>
      </c>
      <c r="K66" s="21">
        <f t="shared" si="30"/>
        <v>0</v>
      </c>
      <c r="L66" s="21">
        <f t="shared" si="30"/>
        <v>0</v>
      </c>
      <c r="M66" s="21">
        <f t="shared" si="30"/>
        <v>11100000000</v>
      </c>
      <c r="N66" s="21">
        <f t="shared" si="30"/>
        <v>33300000000</v>
      </c>
      <c r="O66" s="21">
        <f t="shared" si="30"/>
        <v>21500000000</v>
      </c>
      <c r="P66" s="21">
        <f t="shared" si="30"/>
        <v>1400000000</v>
      </c>
      <c r="Q66" s="21">
        <f>Q25-Q26-Q34-Q35-Q36</f>
        <v>0</v>
      </c>
      <c r="R66" s="21">
        <f t="shared" ref="R66:W66" si="31">R25-R26-R34-R35-R36</f>
        <v>-1.52587890625E-5</v>
      </c>
      <c r="S66" s="21">
        <f t="shared" si="31"/>
        <v>0</v>
      </c>
      <c r="T66" s="21">
        <f t="shared" si="31"/>
        <v>0</v>
      </c>
      <c r="U66" s="21">
        <f t="shared" si="31"/>
        <v>0</v>
      </c>
      <c r="V66" s="21">
        <f t="shared" si="31"/>
        <v>0</v>
      </c>
      <c r="W66" s="21">
        <f t="shared" si="31"/>
        <v>0</v>
      </c>
      <c r="X66" s="21">
        <f t="shared" ref="X66" si="32">X25-X26-X34-X35-X36</f>
        <v>0</v>
      </c>
    </row>
    <row r="67" spans="2:24">
      <c r="B67" t="s">
        <v>1961</v>
      </c>
      <c r="D67" s="21">
        <f t="shared" ref="D67:S67" si="33">D30-D31-D32</f>
        <v>0</v>
      </c>
      <c r="E67" s="21">
        <f t="shared" si="33"/>
        <v>0</v>
      </c>
      <c r="F67" s="131">
        <f t="shared" si="33"/>
        <v>124439999999.99998</v>
      </c>
      <c r="G67" s="131">
        <f t="shared" si="33"/>
        <v>142130000000</v>
      </c>
      <c r="H67" s="131">
        <f t="shared" si="33"/>
        <v>134056000000.00002</v>
      </c>
      <c r="I67" s="21">
        <f t="shared" si="33"/>
        <v>0</v>
      </c>
      <c r="J67" s="21">
        <f t="shared" si="33"/>
        <v>3.0517578125E-5</v>
      </c>
      <c r="K67" s="21">
        <f t="shared" si="33"/>
        <v>0</v>
      </c>
      <c r="L67" s="21">
        <f t="shared" si="33"/>
        <v>0</v>
      </c>
      <c r="M67" s="21">
        <f t="shared" si="33"/>
        <v>237900000000</v>
      </c>
      <c r="N67" s="21">
        <f t="shared" si="33"/>
        <v>263300000000</v>
      </c>
      <c r="O67" s="21">
        <f t="shared" si="33"/>
        <v>279900000000</v>
      </c>
      <c r="P67" s="21">
        <f t="shared" si="33"/>
        <v>307100000000</v>
      </c>
      <c r="Q67" s="131">
        <f t="shared" si="33"/>
        <v>287100000000</v>
      </c>
      <c r="R67" s="131">
        <f t="shared" si="33"/>
        <v>314600000000</v>
      </c>
      <c r="S67" s="131">
        <f t="shared" si="33"/>
        <v>338300000000</v>
      </c>
      <c r="T67" s="131">
        <f t="shared" ref="T67:W67" si="34">T30-T31-T32</f>
        <v>370600000000</v>
      </c>
      <c r="U67" s="131">
        <f t="shared" si="34"/>
        <v>402700000000</v>
      </c>
      <c r="V67" s="131">
        <f t="shared" si="34"/>
        <v>436700000000</v>
      </c>
      <c r="W67" s="131">
        <f t="shared" si="34"/>
        <v>467100000000</v>
      </c>
      <c r="X67" s="131">
        <f t="shared" ref="X67" si="35">X30-X31-X32</f>
        <v>508400000000</v>
      </c>
    </row>
    <row r="68" spans="2:24">
      <c r="B68" t="s">
        <v>296</v>
      </c>
      <c r="D68" s="21">
        <f t="shared" ref="D68:P68" si="36">D45-D46-D48-D47-D49</f>
        <v>0</v>
      </c>
      <c r="E68" s="21">
        <f t="shared" si="36"/>
        <v>0</v>
      </c>
      <c r="F68" s="21">
        <f t="shared" si="36"/>
        <v>0</v>
      </c>
      <c r="G68" s="21">
        <f t="shared" si="36"/>
        <v>3.814697265625E-6</v>
      </c>
      <c r="H68" s="21">
        <f t="shared" si="36"/>
        <v>0</v>
      </c>
      <c r="I68" s="21">
        <f t="shared" si="36"/>
        <v>0</v>
      </c>
      <c r="J68" s="21">
        <f t="shared" si="36"/>
        <v>0</v>
      </c>
      <c r="K68" s="21">
        <f t="shared" si="36"/>
        <v>0</v>
      </c>
      <c r="L68" s="21">
        <f t="shared" si="36"/>
        <v>0</v>
      </c>
      <c r="M68" s="21">
        <f t="shared" si="36"/>
        <v>24900000000</v>
      </c>
      <c r="N68" s="21">
        <f t="shared" si="36"/>
        <v>159500000000</v>
      </c>
      <c r="O68" s="21">
        <f t="shared" si="36"/>
        <v>120400000000</v>
      </c>
      <c r="P68" s="21">
        <f t="shared" si="36"/>
        <v>117200000000</v>
      </c>
      <c r="Q68" s="131">
        <f t="shared" ref="Q68:W68" si="37">Q45-Q46-Q48-Q47-Q49</f>
        <v>149800000000</v>
      </c>
      <c r="R68" s="131">
        <f t="shared" si="37"/>
        <v>151900000000</v>
      </c>
      <c r="S68" s="131">
        <f t="shared" si="37"/>
        <v>149800000000</v>
      </c>
      <c r="T68" s="131">
        <f t="shared" si="37"/>
        <v>185700000000</v>
      </c>
      <c r="U68" s="131">
        <f t="shared" si="37"/>
        <v>172700000000</v>
      </c>
      <c r="V68" s="131">
        <f t="shared" si="37"/>
        <v>191100000000</v>
      </c>
      <c r="W68" s="131">
        <f t="shared" si="37"/>
        <v>194900000000</v>
      </c>
      <c r="X68" s="131">
        <f t="shared" ref="X68" si="38">X45-X46-X48-X47-X49</f>
        <v>212000000000</v>
      </c>
    </row>
    <row r="70" spans="2:24">
      <c r="D70" s="21"/>
    </row>
    <row r="71" spans="2:24" ht="16.5">
      <c r="B71" t="s">
        <v>2161</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75">
        <v>3323000000000</v>
      </c>
      <c r="R71" s="475">
        <v>3624000000000</v>
      </c>
      <c r="S71" s="475">
        <v>3863000000000</v>
      </c>
      <c r="T71" s="475">
        <v>4087000000000</v>
      </c>
      <c r="U71" s="475">
        <v>4353000000000</v>
      </c>
      <c r="V71" s="475">
        <v>4673000000000</v>
      </c>
      <c r="W71" s="475">
        <v>5036000000000</v>
      </c>
      <c r="X71" s="475">
        <v>5036000000001</v>
      </c>
    </row>
    <row r="72" spans="2:24">
      <c r="B72" t="s">
        <v>151</v>
      </c>
      <c r="D72">
        <f t="shared" ref="D72:P72" si="39">(D6/D71)*100</f>
        <v>15.801562487997112</v>
      </c>
      <c r="E72">
        <f t="shared" si="39"/>
        <v>16.74168897396402</v>
      </c>
      <c r="F72">
        <f t="shared" si="39"/>
        <v>17.288883759845358</v>
      </c>
      <c r="G72">
        <f t="shared" si="39"/>
        <v>18.936188100776281</v>
      </c>
      <c r="H72">
        <f t="shared" si="39"/>
        <v>19.866249422044721</v>
      </c>
      <c r="I72">
        <f t="shared" si="39"/>
        <v>22.905008019960789</v>
      </c>
      <c r="J72">
        <f t="shared" si="39"/>
        <v>25.427696610251218</v>
      </c>
      <c r="K72">
        <f t="shared" si="39"/>
        <v>28.74980727170977</v>
      </c>
      <c r="L72">
        <f t="shared" si="39"/>
        <v>34.818653249494375</v>
      </c>
      <c r="M72">
        <f t="shared" si="39"/>
        <v>38.250601600537244</v>
      </c>
      <c r="N72">
        <f t="shared" si="39"/>
        <v>36.049723007471471</v>
      </c>
      <c r="O72">
        <f t="shared" si="39"/>
        <v>39.652445347607021</v>
      </c>
      <c r="P72">
        <f t="shared" si="39"/>
        <v>42.781787328003922</v>
      </c>
      <c r="Q72">
        <f t="shared" ref="Q72:W72" si="40">(Q6/Q71)*100</f>
        <v>26.891363226000603</v>
      </c>
      <c r="R72">
        <f t="shared" si="40"/>
        <v>27.375827814569536</v>
      </c>
      <c r="S72">
        <f t="shared" si="40"/>
        <v>28.050737768573647</v>
      </c>
      <c r="T72">
        <f t="shared" si="40"/>
        <v>28.837778321507219</v>
      </c>
      <c r="U72">
        <f t="shared" si="40"/>
        <v>29.278658396508156</v>
      </c>
      <c r="V72">
        <f t="shared" si="40"/>
        <v>29.44789214637278</v>
      </c>
      <c r="W72">
        <f t="shared" si="40"/>
        <v>29.511517077045273</v>
      </c>
      <c r="X72">
        <f t="shared" ref="X72" si="41">(X6/X71)*100</f>
        <v>31.98371723589516</v>
      </c>
    </row>
    <row r="73" spans="2:24">
      <c r="B73" t="s">
        <v>152</v>
      </c>
      <c r="D73">
        <f t="shared" ref="D73:P73" si="42">(D25/D71)*100</f>
        <v>16.500610706960522</v>
      </c>
      <c r="E73">
        <f t="shared" si="42"/>
        <v>17.48941961147916</v>
      </c>
      <c r="F73">
        <f t="shared" si="42"/>
        <v>18.465999249877385</v>
      </c>
      <c r="G73">
        <f t="shared" si="42"/>
        <v>19.915646105988845</v>
      </c>
      <c r="H73">
        <f t="shared" si="42"/>
        <v>22.025624359223496</v>
      </c>
      <c r="I73">
        <f t="shared" si="42"/>
        <v>23.450365353769381</v>
      </c>
      <c r="J73">
        <f t="shared" si="42"/>
        <v>25.140918077052891</v>
      </c>
      <c r="K73">
        <f t="shared" si="42"/>
        <v>26.888308959153022</v>
      </c>
      <c r="L73">
        <f t="shared" si="42"/>
        <v>32.331606588816207</v>
      </c>
      <c r="M73">
        <f t="shared" si="42"/>
        <v>39.644076333314679</v>
      </c>
      <c r="N73">
        <f t="shared" si="42"/>
        <v>44.704043928139292</v>
      </c>
      <c r="O73">
        <f t="shared" si="42"/>
        <v>45.958289251783341</v>
      </c>
      <c r="P73">
        <f t="shared" si="42"/>
        <v>48.77225981885465</v>
      </c>
      <c r="Q73">
        <f t="shared" ref="Q73:W73" si="43">(Q25/Q71)*100</f>
        <v>31.399337947637679</v>
      </c>
      <c r="R73">
        <f t="shared" si="43"/>
        <v>31.567328918322296</v>
      </c>
      <c r="S73">
        <f t="shared" si="43"/>
        <v>31.928552938130988</v>
      </c>
      <c r="T73">
        <f t="shared" si="43"/>
        <v>33.381453388793737</v>
      </c>
      <c r="U73">
        <f t="shared" si="43"/>
        <v>33.246037215713301</v>
      </c>
      <c r="V73">
        <f t="shared" si="43"/>
        <v>33.537342178472073</v>
      </c>
      <c r="W73">
        <f t="shared" si="43"/>
        <v>33.381652104845116</v>
      </c>
      <c r="X73">
        <f t="shared" ref="X73" si="44">(X25/X71)*100</f>
        <v>36.193407466235861</v>
      </c>
    </row>
    <row r="74" spans="2:24">
      <c r="B74" t="s">
        <v>1980</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O6" activePane="bottomRight" state="frozen"/>
      <selection pane="topRight" activeCell="D1" sqref="D1"/>
      <selection pane="bottomLeft" activeCell="A6" sqref="A6"/>
      <selection pane="bottomRight" activeCell="Q26" sqref="Q26"/>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3" t="s">
        <v>5908</v>
      </c>
      <c r="B1" s="82" t="s">
        <v>5909</v>
      </c>
      <c r="C1" s="82"/>
      <c r="D1" s="27"/>
      <c r="E1" s="27"/>
      <c r="F1" s="27"/>
      <c r="G1" s="27"/>
      <c r="H1" s="27"/>
      <c r="I1" s="27"/>
      <c r="J1" s="27"/>
      <c r="K1" s="27"/>
      <c r="L1" s="27"/>
      <c r="M1" s="27"/>
      <c r="N1" s="27"/>
      <c r="O1" s="28"/>
      <c r="P1" s="28"/>
      <c r="Q1" s="28"/>
      <c r="R1" s="29"/>
      <c r="S1" s="28"/>
      <c r="T1" s="28"/>
      <c r="U1" s="28"/>
      <c r="V1" s="28"/>
      <c r="W1" s="28"/>
    </row>
    <row r="2" spans="1:44">
      <c r="B2" s="30" t="s">
        <v>5910</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6"/>
      <c r="AA4" s="276"/>
      <c r="AB4" s="530"/>
      <c r="AC4" s="530"/>
      <c r="AD4" s="530"/>
      <c r="AE4" s="530"/>
      <c r="AF4" s="530"/>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577" t="s">
        <v>4808</v>
      </c>
      <c r="U5" s="28" t="s">
        <v>32</v>
      </c>
      <c r="V5" s="28" t="s">
        <v>32</v>
      </c>
      <c r="W5" s="28" t="s">
        <v>32</v>
      </c>
      <c r="X5" s="28" t="s">
        <v>32</v>
      </c>
      <c r="Z5" s="276"/>
      <c r="AA5" s="276"/>
      <c r="AB5" s="636"/>
      <c r="AC5" s="636"/>
      <c r="AD5" s="636"/>
      <c r="AE5" s="636"/>
      <c r="AF5" s="636"/>
    </row>
    <row r="6" spans="1:44" s="9" customFormat="1">
      <c r="A6" s="18" t="s">
        <v>3939</v>
      </c>
      <c r="B6" s="18" t="s">
        <v>3939</v>
      </c>
      <c r="C6" s="274" t="s">
        <v>35</v>
      </c>
      <c r="P6" s="219">
        <v>12000000000</v>
      </c>
      <c r="Q6" s="219">
        <f>Q7+Q13</f>
        <v>4200000000</v>
      </c>
      <c r="R6" s="682">
        <f>R7+R13</f>
        <v>10500000000</v>
      </c>
      <c r="S6" s="682">
        <v>11200000000</v>
      </c>
      <c r="T6" s="682">
        <v>17400000000</v>
      </c>
      <c r="U6" s="682">
        <v>75000000000</v>
      </c>
      <c r="V6" s="682">
        <v>113100000000</v>
      </c>
      <c r="W6" s="683"/>
      <c r="Y6" s="365"/>
      <c r="Z6" s="276"/>
      <c r="AA6" s="276"/>
      <c r="AB6" s="637"/>
      <c r="AC6" s="637"/>
      <c r="AD6" s="637"/>
      <c r="AE6" s="637"/>
      <c r="AF6" s="637"/>
      <c r="AG6" s="365"/>
      <c r="AH6" s="365"/>
      <c r="AI6" s="365"/>
      <c r="AJ6" s="365"/>
      <c r="AK6" s="365"/>
      <c r="AL6" s="365"/>
      <c r="AM6" s="365"/>
      <c r="AN6" s="365"/>
      <c r="AO6" s="365"/>
      <c r="AP6" s="365"/>
      <c r="AQ6" s="365"/>
      <c r="AR6" s="365"/>
    </row>
    <row r="7" spans="1:44">
      <c r="A7" s="90" t="s">
        <v>159</v>
      </c>
      <c r="B7" s="90" t="s">
        <v>983</v>
      </c>
      <c r="C7" s="11" t="s">
        <v>38</v>
      </c>
      <c r="P7" s="106">
        <f>P8+P11+P12</f>
        <v>10500000000</v>
      </c>
      <c r="Q7" s="106">
        <f>Q8+Q11+Q12</f>
        <v>1700000000</v>
      </c>
      <c r="R7" s="680">
        <f t="shared" ref="R7:T7" si="0">R8+R11+R12</f>
        <v>10500000000</v>
      </c>
      <c r="S7" s="680">
        <f t="shared" si="0"/>
        <v>7900000000</v>
      </c>
      <c r="T7" s="680">
        <f t="shared" si="0"/>
        <v>17200000000</v>
      </c>
      <c r="U7" s="680">
        <f t="shared" ref="U7" si="1">U8+U11+U12</f>
        <v>73000000000</v>
      </c>
      <c r="V7" s="680">
        <f t="shared" ref="V7" si="2">V8+V11+V12</f>
        <v>102500000000</v>
      </c>
      <c r="W7" s="680"/>
      <c r="Y7" s="365"/>
      <c r="AG7" s="365"/>
      <c r="AH7" s="365"/>
      <c r="AI7" s="365"/>
      <c r="AJ7" s="365"/>
      <c r="AK7" s="365"/>
      <c r="AL7" s="365"/>
      <c r="AM7" s="365"/>
      <c r="AN7" s="365"/>
      <c r="AO7" s="365"/>
      <c r="AP7" s="365"/>
      <c r="AQ7" s="365"/>
      <c r="AR7" s="365"/>
    </row>
    <row r="8" spans="1:44">
      <c r="A8" s="20" t="s">
        <v>2436</v>
      </c>
      <c r="B8" s="99" t="s">
        <v>5911</v>
      </c>
      <c r="C8" s="58" t="s">
        <v>41</v>
      </c>
      <c r="P8" s="106">
        <v>10000000000</v>
      </c>
      <c r="Q8" s="275">
        <f>Q9+Q10</f>
        <v>800000000</v>
      </c>
      <c r="R8" s="680">
        <v>9500000000</v>
      </c>
      <c r="S8" s="680">
        <v>6500000000</v>
      </c>
      <c r="T8" s="680">
        <v>13200000000</v>
      </c>
      <c r="U8" s="680">
        <v>64300000000</v>
      </c>
      <c r="V8" s="680">
        <v>87000000000</v>
      </c>
      <c r="W8" s="646"/>
      <c r="Y8" s="365"/>
      <c r="Z8" s="276"/>
      <c r="AA8" s="276"/>
      <c r="AB8" s="637"/>
      <c r="AC8" s="637"/>
      <c r="AD8" s="637"/>
      <c r="AE8" s="637"/>
      <c r="AF8" s="637"/>
      <c r="AG8" s="365"/>
      <c r="AH8" s="365"/>
      <c r="AI8" s="365"/>
      <c r="AJ8" s="365"/>
      <c r="AK8" s="365"/>
      <c r="AL8" s="365"/>
      <c r="AM8" s="365"/>
      <c r="AN8" s="365"/>
      <c r="AO8" s="365"/>
      <c r="AP8" s="365"/>
      <c r="AQ8" s="365"/>
      <c r="AR8" s="365"/>
    </row>
    <row r="9" spans="1:44">
      <c r="A9" s="100" t="s">
        <v>5912</v>
      </c>
      <c r="B9" s="100" t="s">
        <v>5913</v>
      </c>
      <c r="C9" t="s">
        <v>1630</v>
      </c>
      <c r="P9" s="106">
        <v>10000000000</v>
      </c>
      <c r="Q9" s="106">
        <v>600000000</v>
      </c>
      <c r="R9" s="680">
        <v>9500000000</v>
      </c>
      <c r="S9" s="680">
        <v>6500000000</v>
      </c>
      <c r="T9" s="680">
        <v>13200000000</v>
      </c>
      <c r="U9" s="680">
        <v>64300000000</v>
      </c>
      <c r="V9" s="680">
        <v>87000000000</v>
      </c>
      <c r="W9" s="646"/>
      <c r="Y9" s="365"/>
      <c r="Z9" s="276"/>
      <c r="AA9" s="276"/>
      <c r="AB9" s="637"/>
      <c r="AC9" s="637"/>
      <c r="AD9" s="637"/>
      <c r="AE9" s="637"/>
      <c r="AF9" s="637"/>
      <c r="AG9" s="365"/>
      <c r="AH9" s="365"/>
      <c r="AI9" s="365"/>
      <c r="AJ9" s="365"/>
      <c r="AK9" s="365"/>
      <c r="AL9" s="365"/>
      <c r="AM9" s="365"/>
      <c r="AN9" s="365"/>
      <c r="AO9" s="365"/>
      <c r="AP9" s="365"/>
      <c r="AQ9" s="365"/>
      <c r="AR9" s="365"/>
    </row>
    <row r="10" spans="1:44">
      <c r="A10" s="86" t="s">
        <v>5033</v>
      </c>
      <c r="B10" s="100" t="s">
        <v>5914</v>
      </c>
      <c r="C10" t="s">
        <v>1630</v>
      </c>
      <c r="P10" s="106">
        <v>0</v>
      </c>
      <c r="Q10" s="106">
        <v>200000000</v>
      </c>
      <c r="R10" s="680">
        <v>0</v>
      </c>
      <c r="S10" s="680">
        <v>0</v>
      </c>
      <c r="T10" s="680">
        <v>0</v>
      </c>
      <c r="U10" s="680">
        <v>0</v>
      </c>
      <c r="V10" s="680">
        <v>0</v>
      </c>
      <c r="W10" s="646"/>
      <c r="Y10" s="365"/>
      <c r="Z10" s="276"/>
      <c r="AA10" s="276"/>
      <c r="AB10" s="637"/>
      <c r="AC10" s="637"/>
      <c r="AD10" s="637"/>
      <c r="AE10" s="637"/>
      <c r="AF10" s="637"/>
      <c r="AG10" s="365"/>
      <c r="AH10" s="365"/>
      <c r="AI10" s="365"/>
      <c r="AJ10" s="365"/>
      <c r="AK10" s="365"/>
      <c r="AL10" s="365"/>
      <c r="AM10" s="365"/>
      <c r="AN10" s="365"/>
      <c r="AO10" s="365"/>
      <c r="AP10" s="365"/>
      <c r="AQ10" s="365"/>
      <c r="AR10" s="365"/>
    </row>
    <row r="11" spans="1:44">
      <c r="A11" s="20" t="s">
        <v>313</v>
      </c>
      <c r="B11" s="99" t="s">
        <v>5915</v>
      </c>
      <c r="C11" s="58" t="s">
        <v>41</v>
      </c>
      <c r="P11" s="106">
        <v>500000000</v>
      </c>
      <c r="Q11" s="106">
        <v>800000000</v>
      </c>
      <c r="R11" s="680">
        <v>800000000</v>
      </c>
      <c r="S11" s="680">
        <v>1200000000</v>
      </c>
      <c r="T11" s="680">
        <v>3700000000</v>
      </c>
      <c r="U11" s="680">
        <v>8000000000</v>
      </c>
      <c r="V11" s="680">
        <v>14300000000</v>
      </c>
      <c r="W11" s="646"/>
      <c r="Y11" s="365"/>
      <c r="Z11" s="276"/>
      <c r="AA11" s="276"/>
      <c r="AB11" s="637"/>
      <c r="AC11" s="637"/>
      <c r="AD11" s="637"/>
      <c r="AE11" s="637"/>
      <c r="AF11" s="637"/>
      <c r="AG11" s="365"/>
      <c r="AH11" s="365"/>
      <c r="AI11" s="365"/>
      <c r="AJ11" s="365"/>
      <c r="AK11" s="365"/>
      <c r="AL11" s="365"/>
      <c r="AM11" s="365"/>
      <c r="AN11" s="365"/>
      <c r="AO11" s="365"/>
      <c r="AP11" s="365"/>
      <c r="AQ11" s="365"/>
      <c r="AR11" s="365"/>
    </row>
    <row r="12" spans="1:44">
      <c r="A12" s="86" t="s">
        <v>377</v>
      </c>
      <c r="B12" s="99" t="s">
        <v>5916</v>
      </c>
      <c r="C12" s="58" t="s">
        <v>41</v>
      </c>
      <c r="P12" s="106">
        <v>0</v>
      </c>
      <c r="Q12" s="106">
        <v>100000000</v>
      </c>
      <c r="R12" s="680">
        <v>200000000</v>
      </c>
      <c r="S12" s="680">
        <v>200000000</v>
      </c>
      <c r="T12" s="680">
        <v>300000000</v>
      </c>
      <c r="U12" s="680">
        <v>700000000</v>
      </c>
      <c r="V12" s="680">
        <v>1200000000</v>
      </c>
      <c r="W12" s="646"/>
      <c r="Y12" s="365"/>
      <c r="Z12" s="276"/>
      <c r="AA12" s="276"/>
      <c r="AB12" s="637"/>
      <c r="AC12" s="637"/>
      <c r="AD12" s="637"/>
      <c r="AE12" s="637"/>
      <c r="AF12" s="637"/>
      <c r="AG12" s="365"/>
      <c r="AH12" s="365"/>
      <c r="AI12" s="365"/>
      <c r="AJ12" s="365"/>
      <c r="AK12" s="365"/>
      <c r="AL12" s="365"/>
      <c r="AM12" s="365"/>
      <c r="AN12" s="365"/>
      <c r="AO12" s="365"/>
      <c r="AP12" s="365"/>
      <c r="AQ12" s="365"/>
      <c r="AR12" s="365"/>
    </row>
    <row r="13" spans="1:44" s="9" customFormat="1">
      <c r="A13" s="170" t="s">
        <v>53</v>
      </c>
      <c r="B13" s="170" t="s">
        <v>53</v>
      </c>
      <c r="C13" s="137" t="s">
        <v>38</v>
      </c>
      <c r="P13" s="219">
        <v>1600000000</v>
      </c>
      <c r="Q13" s="219">
        <v>2500000000</v>
      </c>
      <c r="R13" s="682">
        <v>0</v>
      </c>
      <c r="S13" s="682">
        <v>3200000000</v>
      </c>
      <c r="T13" s="682">
        <v>200000000</v>
      </c>
      <c r="U13" s="682">
        <v>2000000000</v>
      </c>
      <c r="V13" s="682">
        <v>10600000000</v>
      </c>
      <c r="W13" s="683"/>
      <c r="Y13" s="365"/>
      <c r="Z13" s="530"/>
      <c r="AA13" s="276"/>
      <c r="AB13" s="637"/>
      <c r="AC13" s="637"/>
      <c r="AD13" s="637"/>
      <c r="AE13" s="637"/>
      <c r="AF13" s="637"/>
      <c r="AG13" s="365"/>
      <c r="AH13" s="365"/>
      <c r="AI13" s="365"/>
      <c r="AJ13" s="365"/>
      <c r="AK13" s="365"/>
      <c r="AL13" s="365"/>
      <c r="AM13" s="365"/>
      <c r="AN13" s="365"/>
      <c r="AO13" s="365"/>
      <c r="AP13" s="365"/>
      <c r="AQ13" s="365"/>
      <c r="AR13" s="365"/>
    </row>
    <row r="14" spans="1:44">
      <c r="A14" s="99" t="s">
        <v>5917</v>
      </c>
      <c r="B14" s="99" t="s">
        <v>5918</v>
      </c>
      <c r="C14" s="58" t="s">
        <v>5919</v>
      </c>
      <c r="P14" s="106">
        <v>1600000000</v>
      </c>
      <c r="Q14" s="106">
        <v>2500000000</v>
      </c>
      <c r="R14" s="680"/>
      <c r="S14" s="680"/>
      <c r="T14" s="680"/>
      <c r="U14" s="680"/>
      <c r="V14" s="680"/>
      <c r="W14" s="646"/>
      <c r="Y14" s="365"/>
      <c r="AH14" s="365"/>
      <c r="AI14" s="365"/>
      <c r="AJ14" s="365"/>
      <c r="AK14" s="365"/>
      <c r="AL14" s="365"/>
      <c r="AM14" s="365"/>
      <c r="AN14" s="365"/>
      <c r="AO14" s="365"/>
      <c r="AP14" s="365"/>
      <c r="AQ14" s="365"/>
      <c r="AR14" s="365"/>
    </row>
    <row r="15" spans="1:44">
      <c r="A15" s="99" t="s">
        <v>566</v>
      </c>
      <c r="B15" s="99" t="s">
        <v>566</v>
      </c>
      <c r="C15" s="58" t="s">
        <v>5919</v>
      </c>
      <c r="P15" s="106">
        <f>P13-P14</f>
        <v>0</v>
      </c>
      <c r="Q15" s="106">
        <f>Q13-Q14</f>
        <v>0</v>
      </c>
      <c r="R15" s="680"/>
      <c r="S15" s="680"/>
      <c r="T15" s="680"/>
      <c r="U15" s="680"/>
      <c r="V15" s="680"/>
      <c r="W15" s="646"/>
      <c r="Y15" s="365"/>
      <c r="AH15" s="365"/>
      <c r="AI15" s="365"/>
      <c r="AJ15" s="365"/>
      <c r="AK15" s="365"/>
      <c r="AL15" s="365"/>
      <c r="AM15" s="365"/>
      <c r="AN15" s="365"/>
      <c r="AO15" s="365"/>
      <c r="AP15" s="365"/>
      <c r="AQ15" s="365"/>
      <c r="AR15" s="365"/>
    </row>
    <row r="16" spans="1:44" s="9" customFormat="1">
      <c r="A16" s="18" t="s">
        <v>198</v>
      </c>
      <c r="B16" s="18" t="s">
        <v>5920</v>
      </c>
      <c r="C16" s="274" t="s">
        <v>35</v>
      </c>
      <c r="P16" s="219">
        <v>12100000000</v>
      </c>
      <c r="Q16" s="219">
        <v>9300000000</v>
      </c>
      <c r="R16" s="682">
        <f>R17+R35</f>
        <v>11700000000</v>
      </c>
      <c r="S16" s="682">
        <f t="shared" ref="S16:V16" si="3">S17+S35</f>
        <v>14600000000</v>
      </c>
      <c r="T16" s="682">
        <f t="shared" si="3"/>
        <v>23400000000</v>
      </c>
      <c r="U16" s="682">
        <f t="shared" si="3"/>
        <v>79200000000</v>
      </c>
      <c r="V16" s="682">
        <f t="shared" si="3"/>
        <v>129100000000</v>
      </c>
      <c r="W16" s="683"/>
      <c r="Y16" s="365"/>
      <c r="Z16" s="276"/>
      <c r="AA16" s="276"/>
      <c r="AB16" s="637"/>
      <c r="AC16" s="637"/>
      <c r="AD16" s="637"/>
      <c r="AE16" s="637"/>
      <c r="AF16" s="637"/>
      <c r="AG16" s="365"/>
      <c r="AH16" s="365"/>
      <c r="AI16" s="365"/>
      <c r="AJ16" s="365"/>
      <c r="AK16" s="365"/>
      <c r="AL16" s="365"/>
      <c r="AM16" s="365"/>
      <c r="AN16" s="365"/>
      <c r="AO16" s="365"/>
      <c r="AP16" s="365"/>
      <c r="AQ16" s="365"/>
      <c r="AR16" s="365"/>
    </row>
    <row r="17" spans="1:44">
      <c r="A17" s="203" t="s">
        <v>73</v>
      </c>
      <c r="B17" s="90" t="s">
        <v>2119</v>
      </c>
      <c r="C17" s="58" t="s">
        <v>201</v>
      </c>
      <c r="P17" s="106">
        <v>9900000000</v>
      </c>
      <c r="Q17" s="106">
        <v>7900000000</v>
      </c>
      <c r="R17" s="680">
        <f>R18+R19+R20+R21</f>
        <v>10200000000</v>
      </c>
      <c r="S17" s="680">
        <f t="shared" ref="S17:V17" si="4">S18+S19+S20+S21</f>
        <v>13700000000</v>
      </c>
      <c r="T17" s="680">
        <f t="shared" si="4"/>
        <v>20200000000</v>
      </c>
      <c r="U17" s="680">
        <f t="shared" si="4"/>
        <v>73500000000</v>
      </c>
      <c r="V17" s="680">
        <f t="shared" si="4"/>
        <v>113200000000</v>
      </c>
      <c r="W17" s="646"/>
      <c r="Y17" s="365"/>
      <c r="Z17" s="276"/>
      <c r="AA17" s="276"/>
      <c r="AB17" s="637"/>
      <c r="AC17" s="637"/>
      <c r="AD17" s="637"/>
      <c r="AE17" s="637"/>
      <c r="AF17" s="637"/>
      <c r="AG17" s="365"/>
      <c r="AH17" s="365"/>
      <c r="AI17" s="365"/>
      <c r="AJ17" s="365"/>
      <c r="AK17" s="365"/>
      <c r="AL17" s="365"/>
      <c r="AM17" s="365"/>
      <c r="AN17" s="365"/>
      <c r="AO17" s="365"/>
      <c r="AP17" s="365"/>
      <c r="AQ17" s="365"/>
      <c r="AR17" s="365"/>
    </row>
    <row r="18" spans="1:44">
      <c r="A18" s="20" t="s">
        <v>79</v>
      </c>
      <c r="B18" s="103" t="s">
        <v>5921</v>
      </c>
      <c r="C18" s="58" t="s">
        <v>204</v>
      </c>
      <c r="P18" s="106">
        <v>3800000000</v>
      </c>
      <c r="Q18" s="106">
        <v>2900000000</v>
      </c>
      <c r="R18" s="680">
        <v>3600000000</v>
      </c>
      <c r="S18" s="680">
        <v>5000000000</v>
      </c>
      <c r="T18" s="680">
        <v>7500000000</v>
      </c>
      <c r="U18" s="680">
        <v>16100000000.000002</v>
      </c>
      <c r="V18" s="680">
        <v>26500000000</v>
      </c>
      <c r="W18" s="646"/>
      <c r="Y18" s="365"/>
      <c r="Z18" s="530"/>
      <c r="AA18" s="276"/>
      <c r="AB18" s="637"/>
      <c r="AC18" s="637"/>
      <c r="AD18" s="637"/>
      <c r="AE18" s="637"/>
      <c r="AF18" s="637"/>
      <c r="AG18" s="365"/>
      <c r="AH18" s="365"/>
      <c r="AI18" s="365"/>
      <c r="AJ18" s="365"/>
      <c r="AK18" s="365"/>
      <c r="AL18" s="365"/>
      <c r="AM18" s="365"/>
      <c r="AN18" s="365"/>
      <c r="AO18" s="365"/>
      <c r="AP18" s="365"/>
      <c r="AQ18" s="365"/>
      <c r="AR18" s="365"/>
    </row>
    <row r="19" spans="1:44">
      <c r="A19" s="99" t="s">
        <v>5922</v>
      </c>
      <c r="B19" s="99" t="s">
        <v>5923</v>
      </c>
      <c r="C19" s="58" t="s">
        <v>204</v>
      </c>
      <c r="P19" s="106">
        <v>2700000000</v>
      </c>
      <c r="Q19" s="106">
        <v>1500000000</v>
      </c>
      <c r="R19" s="680">
        <v>1900000000</v>
      </c>
      <c r="S19" s="680">
        <v>2800000000</v>
      </c>
      <c r="T19" s="680">
        <v>4200000000</v>
      </c>
      <c r="U19" s="680">
        <v>5600000000</v>
      </c>
      <c r="V19" s="680">
        <v>15500000000</v>
      </c>
      <c r="W19" s="646"/>
      <c r="Y19" s="365"/>
      <c r="Z19" s="276"/>
      <c r="AA19" s="276"/>
      <c r="AB19" s="637"/>
      <c r="AC19" s="637"/>
      <c r="AD19" s="637"/>
      <c r="AE19" s="637"/>
      <c r="AF19" s="637"/>
      <c r="AG19" s="365"/>
      <c r="AH19" s="365"/>
      <c r="AI19" s="365"/>
      <c r="AJ19" s="365"/>
      <c r="AK19" s="365"/>
      <c r="AL19" s="365"/>
      <c r="AM19" s="365"/>
      <c r="AN19" s="365"/>
      <c r="AO19" s="365"/>
      <c r="AP19" s="365"/>
      <c r="AQ19" s="365"/>
      <c r="AR19" s="365"/>
    </row>
    <row r="20" spans="1:44">
      <c r="A20" s="20" t="s">
        <v>90</v>
      </c>
      <c r="B20" s="103" t="s">
        <v>91</v>
      </c>
      <c r="C20" s="58" t="s">
        <v>204</v>
      </c>
      <c r="P20" s="106">
        <v>0</v>
      </c>
      <c r="Q20" s="106">
        <v>0</v>
      </c>
      <c r="R20" s="680">
        <v>300000000</v>
      </c>
      <c r="S20" s="680">
        <v>500000000</v>
      </c>
      <c r="T20" s="680">
        <v>700000000</v>
      </c>
      <c r="U20" s="680">
        <v>300000000</v>
      </c>
      <c r="V20" s="680">
        <v>400000000</v>
      </c>
      <c r="W20" s="646"/>
      <c r="Y20" s="365"/>
      <c r="Z20" s="530"/>
      <c r="AA20" s="276"/>
      <c r="AB20" s="637"/>
      <c r="AC20" s="637"/>
      <c r="AD20" s="637"/>
      <c r="AE20" s="637"/>
      <c r="AF20" s="637"/>
      <c r="AG20" s="365"/>
      <c r="AH20" s="365"/>
      <c r="AI20" s="365"/>
      <c r="AJ20" s="365"/>
      <c r="AK20" s="365"/>
      <c r="AL20" s="365"/>
      <c r="AM20" s="365"/>
      <c r="AN20" s="365"/>
      <c r="AO20" s="365"/>
      <c r="AP20" s="365"/>
      <c r="AQ20" s="365"/>
      <c r="AR20" s="365"/>
    </row>
    <row r="21" spans="1:44">
      <c r="A21" s="99" t="s">
        <v>5924</v>
      </c>
      <c r="B21" s="99" t="s">
        <v>5925</v>
      </c>
      <c r="C21" s="58" t="s">
        <v>204</v>
      </c>
      <c r="P21" s="106">
        <v>3400000000</v>
      </c>
      <c r="Q21" s="106">
        <v>3500000000</v>
      </c>
      <c r="R21" s="680">
        <f>R22+R28+R29+R30+R31+R34</f>
        <v>4400000000</v>
      </c>
      <c r="S21" s="680">
        <f t="shared" ref="S21:V21" si="5">S22+S28+S29+S30+S31+S34</f>
        <v>5400000000</v>
      </c>
      <c r="T21" s="680">
        <f t="shared" si="5"/>
        <v>7800000000</v>
      </c>
      <c r="U21" s="680">
        <f t="shared" si="5"/>
        <v>51500000000</v>
      </c>
      <c r="V21" s="680">
        <f t="shared" si="5"/>
        <v>70800000000</v>
      </c>
      <c r="W21" s="646"/>
      <c r="Y21" s="365"/>
      <c r="Z21" s="276"/>
      <c r="AA21" s="276"/>
      <c r="AB21" s="637"/>
      <c r="AC21" s="637"/>
      <c r="AD21" s="637"/>
      <c r="AE21" s="637"/>
      <c r="AF21" s="637"/>
      <c r="AG21" s="365"/>
      <c r="AH21" s="365"/>
      <c r="AI21" s="365"/>
      <c r="AJ21" s="365"/>
      <c r="AK21" s="365"/>
      <c r="AL21" s="365"/>
      <c r="AM21" s="365"/>
      <c r="AN21" s="365"/>
      <c r="AO21" s="365"/>
      <c r="AP21" s="365"/>
      <c r="AQ21" s="365"/>
      <c r="AR21" s="365"/>
    </row>
    <row r="22" spans="1:44">
      <c r="A22" s="2453" t="s">
        <v>5926</v>
      </c>
      <c r="B22" s="2453" t="s">
        <v>5926</v>
      </c>
      <c r="C22" s="2579" t="s">
        <v>5927</v>
      </c>
      <c r="P22" s="106">
        <v>2300000000</v>
      </c>
      <c r="Q22" s="106">
        <v>1600000000</v>
      </c>
      <c r="R22" s="680">
        <f>R23+R26+R27</f>
        <v>1800000000</v>
      </c>
      <c r="S22" s="680">
        <f>S23+S26+S27</f>
        <v>2600000000</v>
      </c>
      <c r="T22" s="680">
        <f t="shared" ref="T22:V22" si="6">T23+T26+T27</f>
        <v>2100000000</v>
      </c>
      <c r="U22" s="680">
        <f t="shared" si="6"/>
        <v>6500000000</v>
      </c>
      <c r="V22" s="680">
        <f t="shared" si="6"/>
        <v>10200000000</v>
      </c>
      <c r="W22" s="646"/>
      <c r="Y22" s="365"/>
      <c r="Z22" s="276"/>
      <c r="AA22" s="276"/>
      <c r="AB22" s="637"/>
      <c r="AC22" s="637"/>
      <c r="AD22" s="637"/>
      <c r="AE22" s="637"/>
      <c r="AF22" s="637"/>
      <c r="AG22" s="365"/>
      <c r="AH22" s="365"/>
      <c r="AI22" s="365"/>
      <c r="AJ22" s="365"/>
      <c r="AK22" s="365"/>
      <c r="AL22" s="365"/>
      <c r="AM22" s="365"/>
      <c r="AN22" s="365"/>
      <c r="AO22" s="365"/>
      <c r="AP22" s="365"/>
      <c r="AQ22" s="365"/>
      <c r="AR22" s="365"/>
    </row>
    <row r="23" spans="1:44">
      <c r="A23" s="2453" t="s">
        <v>5928</v>
      </c>
      <c r="B23" s="2453" t="s">
        <v>5928</v>
      </c>
      <c r="C23" s="2579" t="s">
        <v>5929</v>
      </c>
      <c r="P23" s="106"/>
      <c r="Q23" s="106"/>
      <c r="R23" s="680">
        <v>1000000000</v>
      </c>
      <c r="S23" s="680">
        <v>1500000000</v>
      </c>
      <c r="T23" s="680">
        <v>1700000000</v>
      </c>
      <c r="U23" s="680">
        <v>4200000000</v>
      </c>
      <c r="V23" s="680">
        <v>7600000000</v>
      </c>
      <c r="W23" s="646"/>
      <c r="Y23" s="365"/>
      <c r="Z23" s="276"/>
      <c r="AA23" s="276"/>
      <c r="AB23" s="637"/>
      <c r="AC23" s="637"/>
      <c r="AD23" s="637"/>
      <c r="AE23" s="637"/>
      <c r="AF23" s="637"/>
      <c r="AG23" s="365"/>
      <c r="AH23" s="365"/>
      <c r="AI23" s="365"/>
      <c r="AJ23" s="365"/>
      <c r="AK23" s="365"/>
      <c r="AL23" s="365"/>
      <c r="AM23" s="365"/>
      <c r="AN23" s="365"/>
      <c r="AO23" s="365"/>
      <c r="AP23" s="365"/>
      <c r="AQ23" s="365"/>
      <c r="AR23" s="365"/>
    </row>
    <row r="24" spans="1:44">
      <c r="A24" s="2453" t="s">
        <v>5930</v>
      </c>
      <c r="B24" s="2453" t="s">
        <v>5930</v>
      </c>
      <c r="C24" s="2579"/>
      <c r="P24" s="106"/>
      <c r="Q24" s="106"/>
      <c r="R24" s="680">
        <v>1000000000</v>
      </c>
      <c r="S24" s="680">
        <v>1500000000</v>
      </c>
      <c r="T24" s="680">
        <v>1700000000</v>
      </c>
      <c r="U24" s="680">
        <v>4200000000</v>
      </c>
      <c r="V24" s="680">
        <v>7600000000</v>
      </c>
      <c r="W24" s="646"/>
      <c r="Y24" s="365"/>
      <c r="AA24" s="276"/>
      <c r="AB24" s="637"/>
      <c r="AC24" s="637"/>
      <c r="AD24" s="637"/>
      <c r="AE24" s="637"/>
      <c r="AF24" s="637"/>
      <c r="AG24" s="365"/>
      <c r="AH24" s="365"/>
      <c r="AI24" s="365"/>
      <c r="AJ24" s="365"/>
      <c r="AK24" s="365"/>
      <c r="AL24" s="365"/>
      <c r="AM24" s="365"/>
      <c r="AN24" s="365"/>
      <c r="AO24" s="365"/>
      <c r="AP24" s="365"/>
      <c r="AQ24" s="365"/>
      <c r="AR24" s="365"/>
    </row>
    <row r="25" spans="1:44">
      <c r="A25" s="2453" t="s">
        <v>5931</v>
      </c>
      <c r="B25" s="2453" t="s">
        <v>5931</v>
      </c>
      <c r="C25" s="2579"/>
      <c r="P25" s="106"/>
      <c r="Q25" s="106"/>
      <c r="R25" s="680">
        <v>0</v>
      </c>
      <c r="S25" s="680">
        <v>0</v>
      </c>
      <c r="T25" s="680">
        <v>0</v>
      </c>
      <c r="U25" s="680">
        <v>0</v>
      </c>
      <c r="V25" s="680">
        <v>0</v>
      </c>
      <c r="W25" s="646"/>
      <c r="Y25" s="365"/>
      <c r="AA25" s="276"/>
      <c r="AB25" s="637"/>
      <c r="AC25" s="637"/>
      <c r="AD25" s="637"/>
      <c r="AE25" s="637"/>
      <c r="AF25" s="637"/>
      <c r="AG25" s="365"/>
      <c r="AH25" s="365"/>
      <c r="AI25" s="365"/>
      <c r="AJ25" s="365"/>
      <c r="AK25" s="365"/>
      <c r="AL25" s="365"/>
      <c r="AM25" s="365"/>
      <c r="AN25" s="365"/>
      <c r="AO25" s="365"/>
      <c r="AP25" s="365"/>
      <c r="AQ25" s="365"/>
      <c r="AR25" s="365"/>
    </row>
    <row r="26" spans="1:44">
      <c r="A26" s="2453" t="s">
        <v>5932</v>
      </c>
      <c r="B26" s="2453" t="s">
        <v>5933</v>
      </c>
      <c r="C26" s="2579" t="s">
        <v>5929</v>
      </c>
      <c r="P26" s="106"/>
      <c r="Q26" s="106"/>
      <c r="R26" s="680">
        <v>100000000</v>
      </c>
      <c r="S26" s="680">
        <v>100000000</v>
      </c>
      <c r="T26" s="680">
        <v>0</v>
      </c>
      <c r="U26" s="680">
        <v>500000000</v>
      </c>
      <c r="V26" s="680">
        <v>500000000</v>
      </c>
      <c r="W26" s="646"/>
      <c r="Y26" s="365"/>
      <c r="Z26" s="276"/>
      <c r="AA26" s="276"/>
      <c r="AB26" s="637"/>
      <c r="AC26" s="637"/>
      <c r="AD26" s="637"/>
      <c r="AE26" s="637"/>
      <c r="AF26" s="637"/>
      <c r="AG26" s="365"/>
      <c r="AH26" s="365"/>
      <c r="AI26" s="365"/>
      <c r="AJ26" s="365"/>
      <c r="AK26" s="365"/>
      <c r="AL26" s="365"/>
      <c r="AM26" s="365"/>
      <c r="AN26" s="365"/>
      <c r="AO26" s="365"/>
      <c r="AP26" s="365"/>
      <c r="AQ26" s="365"/>
      <c r="AR26" s="365"/>
    </row>
    <row r="27" spans="1:44">
      <c r="A27" s="2453" t="s">
        <v>5934</v>
      </c>
      <c r="B27" s="2453" t="s">
        <v>5934</v>
      </c>
      <c r="C27" s="2579" t="s">
        <v>5929</v>
      </c>
      <c r="P27" s="106">
        <v>0</v>
      </c>
      <c r="Q27" s="106"/>
      <c r="R27" s="680">
        <v>700000000</v>
      </c>
      <c r="S27" s="680">
        <v>1000000000</v>
      </c>
      <c r="T27" s="680">
        <v>400000000</v>
      </c>
      <c r="U27" s="680">
        <v>1800000000</v>
      </c>
      <c r="V27" s="680">
        <v>2100000000</v>
      </c>
      <c r="W27" s="646"/>
      <c r="Y27" s="365"/>
      <c r="Z27" s="276"/>
      <c r="AA27" s="276"/>
      <c r="AB27" s="637"/>
      <c r="AC27" s="637"/>
      <c r="AD27" s="637"/>
      <c r="AE27" s="637"/>
      <c r="AF27" s="637"/>
      <c r="AG27" s="365"/>
      <c r="AH27" s="365"/>
      <c r="AI27" s="365"/>
      <c r="AJ27" s="365"/>
      <c r="AK27" s="365"/>
      <c r="AL27" s="365"/>
      <c r="AM27" s="365"/>
      <c r="AN27" s="365"/>
      <c r="AO27" s="365"/>
      <c r="AP27" s="365"/>
      <c r="AQ27" s="365"/>
      <c r="AR27" s="365"/>
    </row>
    <row r="28" spans="1:44">
      <c r="A28" s="2453" t="s">
        <v>5935</v>
      </c>
      <c r="B28" s="2453" t="s">
        <v>5935</v>
      </c>
      <c r="C28" s="2579" t="s">
        <v>5927</v>
      </c>
      <c r="P28" s="106">
        <v>1100000000</v>
      </c>
      <c r="Q28" s="106">
        <v>1800000000</v>
      </c>
      <c r="R28" s="680"/>
      <c r="S28" s="680"/>
      <c r="T28" s="680"/>
      <c r="U28" s="680"/>
      <c r="V28" s="680"/>
      <c r="W28" s="646"/>
      <c r="Y28" s="365"/>
      <c r="AG28" s="365"/>
      <c r="AH28" s="365"/>
      <c r="AI28" s="365"/>
      <c r="AJ28" s="365"/>
      <c r="AK28" s="365"/>
      <c r="AL28" s="365"/>
      <c r="AM28" s="365"/>
      <c r="AN28" s="365"/>
      <c r="AO28" s="365"/>
      <c r="AP28" s="365"/>
      <c r="AQ28" s="365"/>
      <c r="AR28" s="365"/>
    </row>
    <row r="29" spans="1:44">
      <c r="A29" s="2453" t="s">
        <v>5936</v>
      </c>
      <c r="B29" s="2453" t="s">
        <v>5936</v>
      </c>
      <c r="C29" s="2579" t="s">
        <v>5927</v>
      </c>
      <c r="P29" s="106"/>
      <c r="Q29" s="106"/>
      <c r="R29" s="680">
        <v>0</v>
      </c>
      <c r="S29" s="680">
        <v>500000000</v>
      </c>
      <c r="T29" s="680">
        <v>900000000</v>
      </c>
      <c r="U29" s="680">
        <v>1200000000</v>
      </c>
      <c r="V29" s="680">
        <v>0</v>
      </c>
      <c r="W29" s="646"/>
      <c r="Y29" s="365"/>
      <c r="Z29" s="530"/>
      <c r="AA29" s="276"/>
      <c r="AB29" s="637"/>
      <c r="AC29" s="637"/>
      <c r="AD29" s="637"/>
      <c r="AE29" s="637"/>
      <c r="AF29" s="637"/>
      <c r="AG29" s="365"/>
      <c r="AH29" s="365"/>
      <c r="AI29" s="365"/>
      <c r="AJ29" s="365"/>
      <c r="AK29" s="365"/>
      <c r="AL29" s="365"/>
      <c r="AM29" s="365"/>
      <c r="AN29" s="365"/>
      <c r="AO29" s="365"/>
      <c r="AP29" s="365"/>
      <c r="AQ29" s="365"/>
      <c r="AR29" s="365"/>
    </row>
    <row r="30" spans="1:44">
      <c r="A30" s="2453" t="s">
        <v>5937</v>
      </c>
      <c r="B30" s="2453" t="s">
        <v>5937</v>
      </c>
      <c r="C30" s="2579" t="s">
        <v>5927</v>
      </c>
      <c r="P30" s="106"/>
      <c r="Q30" s="106"/>
      <c r="R30" s="680">
        <v>0</v>
      </c>
      <c r="S30" s="680">
        <v>0</v>
      </c>
      <c r="T30" s="680">
        <v>0</v>
      </c>
      <c r="U30" s="680">
        <v>1400000000</v>
      </c>
      <c r="V30" s="680">
        <v>3000000000</v>
      </c>
      <c r="W30" s="646"/>
      <c r="Y30" s="365"/>
      <c r="Z30" s="276"/>
      <c r="AA30" s="276"/>
      <c r="AB30" s="637"/>
      <c r="AC30" s="637"/>
      <c r="AD30" s="637"/>
      <c r="AE30" s="637"/>
      <c r="AF30" s="637"/>
      <c r="AG30" s="365"/>
      <c r="AH30" s="365"/>
      <c r="AI30" s="365"/>
      <c r="AJ30" s="365"/>
      <c r="AK30" s="365"/>
      <c r="AL30" s="365"/>
      <c r="AM30" s="365"/>
      <c r="AN30" s="365"/>
      <c r="AO30" s="365"/>
      <c r="AP30" s="365"/>
      <c r="AQ30" s="365"/>
      <c r="AR30" s="365"/>
    </row>
    <row r="31" spans="1:44">
      <c r="A31" s="2453" t="s">
        <v>5938</v>
      </c>
      <c r="B31" s="2453" t="s">
        <v>5939</v>
      </c>
      <c r="C31" s="2579" t="s">
        <v>5927</v>
      </c>
      <c r="P31" s="106">
        <v>0</v>
      </c>
      <c r="Q31" s="106">
        <v>0</v>
      </c>
      <c r="R31" s="680">
        <v>2600000000</v>
      </c>
      <c r="S31" s="680">
        <v>2300000000</v>
      </c>
      <c r="T31" s="680">
        <v>4800000000</v>
      </c>
      <c r="U31" s="680">
        <v>37600000000</v>
      </c>
      <c r="V31" s="680">
        <v>50600000000</v>
      </c>
      <c r="W31" s="646"/>
      <c r="Y31" s="365"/>
      <c r="Z31" s="276"/>
      <c r="AA31" s="276"/>
      <c r="AB31" s="637"/>
      <c r="AC31" s="637"/>
      <c r="AD31" s="637"/>
      <c r="AE31" s="637"/>
      <c r="AF31" s="637"/>
      <c r="AG31" s="365"/>
      <c r="AH31" s="365"/>
      <c r="AI31" s="365"/>
      <c r="AJ31" s="365"/>
      <c r="AK31" s="365"/>
      <c r="AL31" s="365"/>
      <c r="AM31" s="365"/>
      <c r="AN31" s="365"/>
      <c r="AO31" s="365"/>
      <c r="AP31" s="365"/>
      <c r="AQ31" s="365"/>
      <c r="AR31" s="365"/>
    </row>
    <row r="32" spans="1:44">
      <c r="A32" s="2492" t="s">
        <v>5940</v>
      </c>
      <c r="B32" s="2453" t="s">
        <v>5941</v>
      </c>
      <c r="C32" s="2463" t="s">
        <v>7042</v>
      </c>
      <c r="P32" s="106">
        <v>0</v>
      </c>
      <c r="Q32" s="106">
        <v>0</v>
      </c>
      <c r="R32" s="680">
        <v>1000000000</v>
      </c>
      <c r="S32" s="680">
        <v>900000000</v>
      </c>
      <c r="T32" s="680">
        <v>200000000</v>
      </c>
      <c r="U32" s="680">
        <v>14400000000</v>
      </c>
      <c r="V32" s="680">
        <v>19100000000</v>
      </c>
      <c r="W32" s="646"/>
      <c r="Y32" s="365"/>
      <c r="Z32" s="276"/>
      <c r="AA32" s="276"/>
      <c r="AB32" s="637"/>
      <c r="AC32" s="637"/>
      <c r="AD32" s="637"/>
      <c r="AE32" s="637"/>
      <c r="AF32" s="637"/>
      <c r="AG32" s="365"/>
      <c r="AH32" s="365"/>
      <c r="AI32" s="365"/>
      <c r="AJ32" s="365"/>
      <c r="AK32" s="365"/>
      <c r="AL32" s="365"/>
      <c r="AM32" s="365"/>
      <c r="AN32" s="365"/>
      <c r="AO32" s="365"/>
      <c r="AP32" s="365"/>
      <c r="AQ32" s="365"/>
      <c r="AR32" s="365"/>
    </row>
    <row r="33" spans="1:44">
      <c r="A33" s="2492" t="s">
        <v>5942</v>
      </c>
      <c r="B33" s="2453" t="s">
        <v>5943</v>
      </c>
      <c r="C33" s="2463" t="s">
        <v>7042</v>
      </c>
      <c r="P33" s="106">
        <v>0</v>
      </c>
      <c r="Q33" s="106">
        <v>0</v>
      </c>
      <c r="R33" s="680">
        <v>1600000000</v>
      </c>
      <c r="S33" s="680">
        <v>1400000000</v>
      </c>
      <c r="T33" s="680">
        <v>4600000000</v>
      </c>
      <c r="U33" s="680">
        <v>23100000000</v>
      </c>
      <c r="V33" s="680">
        <v>31500000000</v>
      </c>
      <c r="W33" s="646"/>
      <c r="Y33" s="365"/>
      <c r="Z33" s="276"/>
      <c r="AA33" s="276"/>
      <c r="AB33" s="637"/>
      <c r="AC33" s="637"/>
      <c r="AD33" s="637"/>
      <c r="AE33" s="637"/>
      <c r="AF33" s="637"/>
      <c r="AG33" s="365"/>
      <c r="AH33" s="365"/>
      <c r="AI33" s="365"/>
      <c r="AJ33" s="365"/>
      <c r="AK33" s="365"/>
      <c r="AL33" s="365"/>
      <c r="AM33" s="365"/>
      <c r="AN33" s="365"/>
      <c r="AO33" s="365"/>
      <c r="AP33" s="365"/>
      <c r="AQ33" s="365"/>
      <c r="AR33" s="365"/>
    </row>
    <row r="34" spans="1:44">
      <c r="A34" s="2492" t="s">
        <v>5944</v>
      </c>
      <c r="B34" s="2453" t="s">
        <v>5944</v>
      </c>
      <c r="C34" s="2579" t="s">
        <v>5927</v>
      </c>
      <c r="P34" s="106"/>
      <c r="Q34" s="106"/>
      <c r="R34" s="680"/>
      <c r="S34" s="680"/>
      <c r="T34" s="680"/>
      <c r="U34" s="680">
        <v>4800000000</v>
      </c>
      <c r="V34" s="680">
        <v>7000000000</v>
      </c>
      <c r="W34" s="646"/>
      <c r="Y34" s="365"/>
      <c r="Z34" s="276"/>
      <c r="AA34" s="276"/>
      <c r="AB34" s="637"/>
      <c r="AC34" s="637"/>
      <c r="AD34" s="637"/>
      <c r="AE34" s="637"/>
      <c r="AF34" s="637"/>
      <c r="AG34" s="365"/>
      <c r="AH34" s="365"/>
      <c r="AI34" s="365"/>
      <c r="AJ34" s="365"/>
      <c r="AK34" s="365"/>
      <c r="AL34" s="365"/>
      <c r="AM34" s="365"/>
      <c r="AN34" s="365"/>
      <c r="AO34" s="365"/>
      <c r="AP34" s="365"/>
      <c r="AQ34" s="365"/>
      <c r="AR34" s="365"/>
    </row>
    <row r="35" spans="1:44">
      <c r="A35" s="2580" t="s">
        <v>237</v>
      </c>
      <c r="B35" s="2453" t="s">
        <v>5945</v>
      </c>
      <c r="C35" s="2579" t="s">
        <v>201</v>
      </c>
      <c r="P35" s="106">
        <v>2300000000</v>
      </c>
      <c r="Q35" s="106">
        <v>1300000000</v>
      </c>
      <c r="R35" s="680">
        <v>1500000000</v>
      </c>
      <c r="S35" s="680">
        <v>900000000</v>
      </c>
      <c r="T35" s="680">
        <v>3200000000</v>
      </c>
      <c r="U35" s="680">
        <v>5700000000</v>
      </c>
      <c r="V35" s="680">
        <v>15900000000</v>
      </c>
      <c r="W35" s="646"/>
      <c r="Y35" s="365"/>
      <c r="Z35" s="276"/>
      <c r="AA35" s="276"/>
      <c r="AB35" s="637"/>
      <c r="AC35" s="637"/>
      <c r="AD35" s="637"/>
      <c r="AE35" s="637"/>
      <c r="AF35" s="637"/>
      <c r="AG35" s="365"/>
      <c r="AH35" s="365"/>
      <c r="AI35" s="365"/>
      <c r="AJ35" s="365"/>
      <c r="AK35" s="365"/>
      <c r="AL35" s="365"/>
      <c r="AM35" s="365"/>
      <c r="AN35" s="365"/>
      <c r="AO35" s="365"/>
      <c r="AP35" s="365"/>
      <c r="AQ35" s="365"/>
      <c r="AR35" s="365"/>
    </row>
    <row r="36" spans="1:44">
      <c r="A36" s="2466" t="s">
        <v>239</v>
      </c>
      <c r="B36" s="2453" t="s">
        <v>1597</v>
      </c>
      <c r="C36" s="2454" t="s">
        <v>95</v>
      </c>
      <c r="P36" s="106">
        <v>1800000000</v>
      </c>
      <c r="Q36" s="106">
        <v>600000000</v>
      </c>
      <c r="R36" s="680">
        <v>1500000000</v>
      </c>
      <c r="S36" s="680">
        <v>700000000</v>
      </c>
      <c r="T36" s="680">
        <v>2100000000</v>
      </c>
      <c r="U36" s="680">
        <v>1000000000</v>
      </c>
      <c r="V36" s="680">
        <v>3400000000</v>
      </c>
      <c r="W36" s="646"/>
      <c r="Y36" s="365"/>
      <c r="Z36" s="276"/>
      <c r="AA36" s="276"/>
      <c r="AB36" s="637"/>
      <c r="AC36" s="637"/>
      <c r="AD36" s="637"/>
      <c r="AE36" s="637"/>
      <c r="AF36" s="637"/>
      <c r="AG36" s="365"/>
      <c r="AH36" s="365"/>
      <c r="AI36" s="365"/>
      <c r="AJ36" s="365"/>
      <c r="AK36" s="365"/>
      <c r="AL36" s="365"/>
      <c r="AM36" s="365"/>
      <c r="AN36" s="365"/>
      <c r="AO36" s="365"/>
      <c r="AP36" s="365"/>
      <c r="AQ36" s="365"/>
      <c r="AR36" s="365"/>
    </row>
    <row r="37" spans="1:44">
      <c r="A37" s="2466" t="s">
        <v>395</v>
      </c>
      <c r="B37" s="2453" t="s">
        <v>1654</v>
      </c>
      <c r="C37" s="2454" t="s">
        <v>95</v>
      </c>
      <c r="P37" s="106">
        <v>500000000</v>
      </c>
      <c r="Q37" s="106">
        <v>700000000</v>
      </c>
      <c r="R37" s="680">
        <v>0</v>
      </c>
      <c r="S37" s="680">
        <v>300000000</v>
      </c>
      <c r="T37" s="680">
        <v>1100000000</v>
      </c>
      <c r="U37" s="680">
        <v>4700000000</v>
      </c>
      <c r="V37" s="680">
        <v>12500000000</v>
      </c>
      <c r="W37" s="646"/>
      <c r="Y37" s="365"/>
      <c r="Z37" s="276"/>
      <c r="AA37" s="276"/>
      <c r="AB37" s="637"/>
      <c r="AC37" s="637"/>
      <c r="AD37" s="637"/>
      <c r="AE37" s="637"/>
      <c r="AF37" s="637"/>
      <c r="AG37" s="365"/>
      <c r="AH37" s="365"/>
      <c r="AI37" s="365"/>
      <c r="AJ37" s="365"/>
      <c r="AK37" s="365"/>
      <c r="AL37" s="365"/>
      <c r="AM37" s="365"/>
      <c r="AN37" s="365"/>
      <c r="AO37" s="365"/>
      <c r="AP37" s="365"/>
      <c r="AQ37" s="365"/>
      <c r="AR37" s="365"/>
    </row>
    <row r="38" spans="1:44">
      <c r="A38" s="2492" t="s">
        <v>76</v>
      </c>
      <c r="B38" s="2453" t="s">
        <v>5946</v>
      </c>
      <c r="C38" s="2463"/>
      <c r="P38" s="106"/>
      <c r="Q38" s="106"/>
      <c r="R38" s="680"/>
      <c r="S38" s="680"/>
      <c r="T38" s="680"/>
      <c r="U38" s="680"/>
      <c r="V38" s="680"/>
      <c r="W38" s="646"/>
      <c r="Y38" s="365"/>
      <c r="AG38" s="365"/>
      <c r="AH38" s="365"/>
      <c r="AI38" s="365"/>
      <c r="AJ38" s="365"/>
      <c r="AK38" s="365"/>
      <c r="AL38" s="365"/>
      <c r="AM38" s="365"/>
      <c r="AN38" s="365"/>
      <c r="AO38" s="365"/>
      <c r="AP38" s="365"/>
      <c r="AQ38" s="365"/>
      <c r="AR38" s="365"/>
    </row>
    <row r="39" spans="1:44">
      <c r="A39" s="2453" t="s">
        <v>2925</v>
      </c>
      <c r="B39" s="2453" t="s">
        <v>2925</v>
      </c>
      <c r="C39" s="2463"/>
      <c r="P39" s="106"/>
      <c r="Q39" s="106"/>
      <c r="R39" s="680">
        <v>-100000000</v>
      </c>
      <c r="S39" s="680">
        <v>2300000000</v>
      </c>
      <c r="T39" s="680">
        <v>-1100000000</v>
      </c>
      <c r="U39" s="680">
        <v>-1200000000</v>
      </c>
      <c r="V39" s="680">
        <v>0</v>
      </c>
      <c r="W39" s="646"/>
      <c r="Y39" s="365"/>
      <c r="AG39" s="365"/>
      <c r="AH39" s="365"/>
      <c r="AI39" s="365"/>
      <c r="AJ39" s="365"/>
      <c r="AK39" s="365"/>
      <c r="AL39" s="365"/>
      <c r="AM39" s="365"/>
      <c r="AN39" s="365"/>
      <c r="AO39" s="365"/>
      <c r="AP39" s="365"/>
      <c r="AQ39" s="365"/>
      <c r="AR39" s="365"/>
    </row>
    <row r="40" spans="1:44">
      <c r="A40" s="2453" t="s">
        <v>5947</v>
      </c>
      <c r="B40" s="2453" t="s">
        <v>5947</v>
      </c>
      <c r="C40" s="2578"/>
      <c r="P40" s="106">
        <v>-100000000</v>
      </c>
      <c r="Q40" s="106">
        <v>-5200000000</v>
      </c>
      <c r="R40" s="680"/>
      <c r="S40" s="680"/>
      <c r="T40" s="680"/>
      <c r="U40" s="680"/>
      <c r="V40" s="680"/>
      <c r="W40" s="646"/>
      <c r="Y40" s="365"/>
      <c r="Z40" s="276"/>
      <c r="AA40" s="276"/>
      <c r="AB40" s="637"/>
      <c r="AC40" s="637"/>
      <c r="AD40" s="637"/>
      <c r="AE40" s="637"/>
      <c r="AF40" s="637"/>
      <c r="AG40" s="365"/>
      <c r="AH40" s="365"/>
      <c r="AI40" s="365"/>
      <c r="AJ40" s="365"/>
      <c r="AK40" s="365"/>
      <c r="AL40" s="365"/>
      <c r="AM40" s="365"/>
      <c r="AN40" s="365"/>
      <c r="AO40" s="365"/>
      <c r="AP40" s="365"/>
      <c r="AQ40" s="365"/>
      <c r="AR40" s="365"/>
    </row>
    <row r="41" spans="1:44">
      <c r="A41" s="2453" t="s">
        <v>5948</v>
      </c>
      <c r="B41" s="2453" t="s">
        <v>5948</v>
      </c>
      <c r="C41" s="2578"/>
      <c r="P41" s="106"/>
      <c r="Q41" s="106"/>
      <c r="R41" s="680">
        <v>-1200000000</v>
      </c>
      <c r="S41" s="680">
        <v>-5700000000</v>
      </c>
      <c r="T41" s="680">
        <v>-4500000000</v>
      </c>
      <c r="U41" s="680">
        <v>-2900000000</v>
      </c>
      <c r="V41" s="680">
        <v>-11800000000</v>
      </c>
      <c r="W41" s="646"/>
      <c r="Y41" s="365"/>
      <c r="Z41" s="276"/>
      <c r="AA41" s="276"/>
      <c r="AB41" s="637"/>
      <c r="AC41" s="637"/>
      <c r="AD41" s="637"/>
      <c r="AE41" s="637"/>
      <c r="AF41" s="637"/>
      <c r="AG41" s="365"/>
      <c r="AH41" s="365"/>
      <c r="AI41" s="365"/>
      <c r="AJ41" s="365"/>
      <c r="AK41" s="365"/>
      <c r="AL41" s="365"/>
      <c r="AM41" s="365"/>
      <c r="AN41" s="365"/>
      <c r="AO41" s="365"/>
      <c r="AP41" s="365"/>
      <c r="AQ41" s="365"/>
      <c r="AR41" s="365"/>
    </row>
    <row r="42" spans="1:44">
      <c r="A42" s="2453" t="s">
        <v>521</v>
      </c>
      <c r="B42" s="2453" t="s">
        <v>521</v>
      </c>
      <c r="C42" s="2578"/>
      <c r="P42" s="107">
        <v>1700000000</v>
      </c>
      <c r="Q42" s="107">
        <v>-200000000</v>
      </c>
      <c r="R42" s="684"/>
      <c r="S42" s="644"/>
      <c r="T42" s="644"/>
      <c r="U42" s="644"/>
      <c r="V42" s="644"/>
      <c r="W42" s="646"/>
      <c r="Y42" s="365"/>
      <c r="AH42" s="365"/>
      <c r="AI42" s="365"/>
      <c r="AJ42" s="365"/>
      <c r="AK42" s="365"/>
      <c r="AL42" s="365"/>
      <c r="AM42" s="365"/>
      <c r="AN42" s="365"/>
      <c r="AO42" s="365"/>
      <c r="AP42" s="365"/>
      <c r="AQ42" s="365"/>
      <c r="AR42" s="365"/>
    </row>
    <row r="43" spans="1:44">
      <c r="A43" s="2453" t="s">
        <v>5949</v>
      </c>
      <c r="B43" s="2453" t="s">
        <v>5949</v>
      </c>
      <c r="C43" s="2578"/>
      <c r="P43" s="107"/>
      <c r="Q43" s="107"/>
      <c r="R43" s="684"/>
      <c r="S43" s="684"/>
      <c r="T43" s="684"/>
      <c r="U43" s="684"/>
      <c r="V43" s="684"/>
      <c r="W43" s="646"/>
      <c r="Y43" s="365"/>
      <c r="AH43" s="365"/>
      <c r="AI43" s="365"/>
      <c r="AJ43" s="365"/>
      <c r="AK43" s="365"/>
      <c r="AL43" s="365"/>
      <c r="AM43" s="365"/>
      <c r="AN43" s="365"/>
      <c r="AO43" s="365"/>
      <c r="AP43" s="365"/>
      <c r="AQ43" s="365"/>
      <c r="AR43" s="365"/>
    </row>
    <row r="44" spans="1:44">
      <c r="A44" s="2453" t="s">
        <v>3121</v>
      </c>
      <c r="B44" s="2453" t="s">
        <v>3121</v>
      </c>
      <c r="C44" s="2578"/>
      <c r="P44" s="107"/>
      <c r="Q44" s="107"/>
      <c r="R44" s="684">
        <v>0</v>
      </c>
      <c r="S44" s="684">
        <v>0</v>
      </c>
      <c r="T44" s="684">
        <v>13900000000</v>
      </c>
      <c r="U44" s="684">
        <v>0</v>
      </c>
      <c r="V44" s="684">
        <v>0</v>
      </c>
      <c r="W44" s="646"/>
      <c r="Y44" s="365"/>
      <c r="Z44" s="276"/>
      <c r="AA44" s="276"/>
      <c r="AB44" s="637"/>
      <c r="AC44" s="637"/>
      <c r="AD44" s="637"/>
      <c r="AE44" s="637"/>
      <c r="AF44" s="637"/>
      <c r="AG44" s="365"/>
      <c r="AH44" s="365"/>
      <c r="AI44" s="365"/>
      <c r="AJ44" s="365"/>
      <c r="AK44" s="365"/>
      <c r="AL44" s="365"/>
      <c r="AM44" s="365"/>
      <c r="AN44" s="365"/>
      <c r="AO44" s="365"/>
      <c r="AP44" s="365"/>
      <c r="AQ44" s="365"/>
      <c r="AR44" s="365"/>
    </row>
    <row r="45" spans="1:44">
      <c r="A45" s="2453" t="s">
        <v>5950</v>
      </c>
      <c r="B45" s="2453" t="s">
        <v>5950</v>
      </c>
      <c r="C45" s="2578"/>
      <c r="P45" s="106">
        <v>1600000000</v>
      </c>
      <c r="Q45" s="106">
        <v>-5400000000</v>
      </c>
      <c r="R45" s="680"/>
      <c r="S45" s="680"/>
      <c r="T45" s="680"/>
      <c r="U45" s="680"/>
      <c r="V45" s="680"/>
      <c r="W45" s="646"/>
      <c r="Y45" s="365"/>
      <c r="Z45" s="276"/>
      <c r="AA45" s="276"/>
      <c r="AB45" s="637"/>
      <c r="AC45" s="637"/>
      <c r="AD45" s="637"/>
      <c r="AE45" s="637"/>
      <c r="AF45" s="637"/>
      <c r="AG45" s="365"/>
      <c r="AH45" s="365"/>
      <c r="AI45" s="365"/>
      <c r="AJ45" s="365"/>
      <c r="AK45" s="365"/>
      <c r="AL45" s="365"/>
      <c r="AM45" s="365"/>
      <c r="AN45" s="365"/>
      <c r="AO45" s="365"/>
      <c r="AP45" s="365"/>
      <c r="AQ45" s="365"/>
      <c r="AR45" s="365"/>
    </row>
    <row r="46" spans="1:44">
      <c r="A46" s="2453" t="s">
        <v>5951</v>
      </c>
      <c r="B46" s="2453" t="s">
        <v>5951</v>
      </c>
      <c r="C46" s="2578"/>
      <c r="P46" s="106"/>
      <c r="Q46" s="106"/>
      <c r="R46" s="680">
        <v>-1200000000</v>
      </c>
      <c r="S46" s="680">
        <v>-5700000000</v>
      </c>
      <c r="T46" s="680">
        <v>-18400000000</v>
      </c>
      <c r="U46" s="680">
        <v>-2900000000</v>
      </c>
      <c r="V46" s="680">
        <v>-11800000000</v>
      </c>
      <c r="W46" s="646"/>
      <c r="Y46" s="365"/>
      <c r="Z46" s="276"/>
      <c r="AA46" s="276"/>
      <c r="AB46" s="637"/>
      <c r="AC46" s="637"/>
      <c r="AD46" s="637"/>
      <c r="AE46" s="637"/>
      <c r="AF46" s="637"/>
      <c r="AG46" s="365"/>
      <c r="AH46" s="365"/>
      <c r="AI46" s="365"/>
      <c r="AJ46" s="365"/>
      <c r="AK46" s="365"/>
      <c r="AL46" s="365"/>
      <c r="AM46" s="365"/>
      <c r="AN46" s="365"/>
      <c r="AO46" s="365"/>
      <c r="AP46" s="365"/>
      <c r="AQ46" s="365"/>
      <c r="AR46" s="365"/>
    </row>
    <row r="47" spans="1:44" s="9" customFormat="1">
      <c r="A47" s="170" t="s">
        <v>115</v>
      </c>
      <c r="B47" s="170" t="s">
        <v>115</v>
      </c>
      <c r="C47" s="274" t="s">
        <v>35</v>
      </c>
      <c r="P47" s="219">
        <v>-1600000000</v>
      </c>
      <c r="Q47" s="219">
        <v>5400000000</v>
      </c>
      <c r="R47" s="682">
        <f>R48+R52</f>
        <v>1200000000</v>
      </c>
      <c r="S47" s="682">
        <f t="shared" ref="S47:V47" si="7">S48+S52</f>
        <v>5600000000</v>
      </c>
      <c r="T47" s="682">
        <f t="shared" si="7"/>
        <v>4500000000</v>
      </c>
      <c r="U47" s="682">
        <f t="shared" si="7"/>
        <v>2900000000</v>
      </c>
      <c r="V47" s="682">
        <f t="shared" si="7"/>
        <v>11700000000</v>
      </c>
      <c r="W47" s="683"/>
      <c r="Y47" s="365"/>
      <c r="Z47" s="530"/>
      <c r="AA47" s="276"/>
      <c r="AB47" s="637"/>
      <c r="AC47" s="637"/>
      <c r="AD47" s="637"/>
      <c r="AE47" s="637"/>
      <c r="AF47" s="637"/>
      <c r="AG47" s="365"/>
      <c r="AH47" s="365"/>
      <c r="AI47" s="365"/>
      <c r="AJ47" s="365"/>
      <c r="AK47" s="365"/>
      <c r="AL47" s="365"/>
      <c r="AM47" s="365"/>
      <c r="AN47" s="365"/>
      <c r="AO47" s="365"/>
      <c r="AP47" s="365"/>
      <c r="AQ47" s="365"/>
      <c r="AR47" s="365"/>
    </row>
    <row r="48" spans="1:44">
      <c r="A48" s="43" t="s">
        <v>120</v>
      </c>
      <c r="B48" s="90" t="s">
        <v>406</v>
      </c>
      <c r="C48" s="11" t="s">
        <v>119</v>
      </c>
      <c r="P48" s="106">
        <v>-1600000000</v>
      </c>
      <c r="Q48" s="106">
        <v>3100000000</v>
      </c>
      <c r="R48" s="680">
        <f>R49+R50+R51</f>
        <v>2300000000</v>
      </c>
      <c r="S48" s="680">
        <f t="shared" ref="S48:V48" si="8">S49+S50+S51</f>
        <v>5900000000</v>
      </c>
      <c r="T48" s="680">
        <f t="shared" si="8"/>
        <v>3000000000</v>
      </c>
      <c r="U48" s="680">
        <f t="shared" si="8"/>
        <v>9000000000</v>
      </c>
      <c r="V48" s="680">
        <f t="shared" si="8"/>
        <v>7300000000</v>
      </c>
      <c r="W48" s="646"/>
      <c r="Y48" s="365"/>
      <c r="Z48" s="276"/>
      <c r="AA48" s="276"/>
      <c r="AB48" s="637"/>
      <c r="AC48" s="637"/>
      <c r="AD48" s="637"/>
      <c r="AE48" s="637"/>
      <c r="AF48" s="637"/>
      <c r="AG48" s="365"/>
      <c r="AH48" s="365"/>
      <c r="AI48" s="365"/>
      <c r="AJ48" s="365"/>
      <c r="AK48" s="365"/>
      <c r="AL48" s="365"/>
      <c r="AM48" s="365"/>
      <c r="AN48" s="365"/>
      <c r="AO48" s="365"/>
      <c r="AP48" s="365"/>
      <c r="AQ48" s="365"/>
      <c r="AR48" s="365"/>
    </row>
    <row r="49" spans="1:44">
      <c r="A49" t="s">
        <v>2146</v>
      </c>
      <c r="B49" s="99" t="s">
        <v>5952</v>
      </c>
      <c r="C49" s="90" t="s">
        <v>124</v>
      </c>
      <c r="P49" s="106">
        <v>-1600000000</v>
      </c>
      <c r="Q49" s="106">
        <v>3900000000</v>
      </c>
      <c r="R49" s="680">
        <v>2300000000</v>
      </c>
      <c r="S49" s="680">
        <v>5600000000</v>
      </c>
      <c r="T49" s="680">
        <v>2500000000</v>
      </c>
      <c r="U49" s="680">
        <v>2200000000</v>
      </c>
      <c r="V49" s="680">
        <v>0</v>
      </c>
      <c r="W49" s="646"/>
      <c r="Y49" s="365"/>
      <c r="Z49" s="276"/>
      <c r="AA49" s="276"/>
      <c r="AB49" s="637"/>
      <c r="AC49" s="637"/>
      <c r="AD49" s="637"/>
      <c r="AE49" s="637"/>
      <c r="AF49" s="637"/>
      <c r="AG49" s="365"/>
      <c r="AH49" s="365"/>
      <c r="AI49" s="365"/>
      <c r="AJ49" s="365"/>
      <c r="AK49" s="365"/>
      <c r="AL49" s="365"/>
      <c r="AM49" s="365"/>
      <c r="AN49" s="365"/>
      <c r="AO49" s="365"/>
      <c r="AP49" s="365"/>
      <c r="AQ49" s="365"/>
      <c r="AR49" s="365"/>
    </row>
    <row r="50" spans="1:44">
      <c r="A50" s="20" t="s">
        <v>2147</v>
      </c>
      <c r="B50" s="99" t="s">
        <v>5953</v>
      </c>
      <c r="C50" s="90" t="s">
        <v>124</v>
      </c>
      <c r="P50" s="106">
        <v>0</v>
      </c>
      <c r="Q50" s="106">
        <v>1100000000</v>
      </c>
      <c r="R50" s="680">
        <v>0</v>
      </c>
      <c r="S50" s="680">
        <v>300000000</v>
      </c>
      <c r="T50" s="680">
        <v>500000000</v>
      </c>
      <c r="U50" s="680">
        <v>6800000000</v>
      </c>
      <c r="V50" s="680">
        <v>7300000000</v>
      </c>
      <c r="W50" s="646"/>
      <c r="Y50" s="365"/>
      <c r="Z50" s="276"/>
      <c r="AA50" s="276"/>
      <c r="AB50" s="637"/>
      <c r="AC50" s="637"/>
      <c r="AD50" s="637"/>
      <c r="AE50" s="637"/>
      <c r="AF50" s="637"/>
      <c r="AG50" s="365"/>
      <c r="AH50" s="365"/>
      <c r="AI50" s="365"/>
      <c r="AJ50" s="365"/>
      <c r="AK50" s="365"/>
      <c r="AL50" s="365"/>
      <c r="AM50" s="365"/>
      <c r="AN50" s="365"/>
      <c r="AO50" s="365"/>
      <c r="AP50" s="365"/>
      <c r="AQ50" s="365"/>
      <c r="AR50" s="365"/>
    </row>
    <row r="51" spans="1:44">
      <c r="A51" s="99" t="s">
        <v>1753</v>
      </c>
      <c r="B51" s="99" t="s">
        <v>5954</v>
      </c>
      <c r="C51" s="90" t="s">
        <v>124</v>
      </c>
      <c r="P51" s="106">
        <v>0</v>
      </c>
      <c r="Q51" s="106">
        <v>-1900000000</v>
      </c>
      <c r="R51" s="680"/>
      <c r="S51" s="680"/>
      <c r="T51" s="680"/>
      <c r="U51" s="680"/>
      <c r="V51" s="680"/>
      <c r="W51" s="646"/>
      <c r="Y51" s="365"/>
      <c r="AH51" s="365"/>
      <c r="AI51" s="365"/>
      <c r="AJ51" s="365"/>
      <c r="AK51" s="365"/>
      <c r="AL51" s="365"/>
      <c r="AM51" s="365"/>
      <c r="AN51" s="365"/>
      <c r="AO51" s="365"/>
      <c r="AP51" s="365"/>
      <c r="AQ51" s="365"/>
      <c r="AR51" s="365"/>
    </row>
    <row r="52" spans="1:44">
      <c r="A52" s="43" t="s">
        <v>117</v>
      </c>
      <c r="B52" s="90" t="s">
        <v>5955</v>
      </c>
      <c r="C52" s="11" t="s">
        <v>119</v>
      </c>
      <c r="P52" s="106">
        <v>0</v>
      </c>
      <c r="Q52" s="106">
        <v>2300000000</v>
      </c>
      <c r="R52" s="680">
        <f>R53+R54</f>
        <v>-1100000000</v>
      </c>
      <c r="S52" s="680">
        <f t="shared" ref="S52:V52" si="9">S53+S54</f>
        <v>-300000000</v>
      </c>
      <c r="T52" s="680">
        <f t="shared" si="9"/>
        <v>1500000000</v>
      </c>
      <c r="U52" s="680">
        <f t="shared" si="9"/>
        <v>-6100000000</v>
      </c>
      <c r="V52" s="680">
        <f t="shared" si="9"/>
        <v>4400000000</v>
      </c>
      <c r="W52" s="646"/>
      <c r="Y52" s="365"/>
      <c r="Z52" s="276"/>
      <c r="AA52" s="276"/>
      <c r="AB52" s="637"/>
      <c r="AC52" s="637"/>
      <c r="AD52" s="637"/>
      <c r="AE52" s="637"/>
      <c r="AF52" s="637"/>
      <c r="AG52" s="365"/>
      <c r="AH52" s="365"/>
      <c r="AI52" s="365"/>
      <c r="AJ52" s="365"/>
      <c r="AK52" s="365"/>
      <c r="AL52" s="365"/>
      <c r="AM52" s="365"/>
      <c r="AN52" s="365"/>
      <c r="AO52" s="365"/>
      <c r="AP52" s="365"/>
      <c r="AQ52" s="365"/>
      <c r="AR52" s="365"/>
    </row>
    <row r="53" spans="1:44">
      <c r="A53" s="103" t="s">
        <v>415</v>
      </c>
      <c r="B53" s="103" t="s">
        <v>498</v>
      </c>
      <c r="C53" s="58" t="s">
        <v>264</v>
      </c>
      <c r="P53" s="106">
        <v>0</v>
      </c>
      <c r="Q53" s="106">
        <v>2300000000</v>
      </c>
      <c r="R53" s="680">
        <v>1200000000</v>
      </c>
      <c r="S53" s="680">
        <v>600000000</v>
      </c>
      <c r="T53" s="680">
        <v>2800000000</v>
      </c>
      <c r="U53" s="680">
        <v>2600000000</v>
      </c>
      <c r="V53" s="680">
        <v>23000000000</v>
      </c>
      <c r="W53" s="646"/>
      <c r="Y53" s="365"/>
      <c r="Z53" s="530"/>
      <c r="AA53" s="276"/>
      <c r="AB53" s="637"/>
      <c r="AC53" s="637"/>
      <c r="AD53" s="637"/>
      <c r="AE53" s="637"/>
      <c r="AF53" s="637"/>
      <c r="AG53" s="365"/>
      <c r="AH53" s="365"/>
      <c r="AI53" s="365"/>
      <c r="AJ53" s="365"/>
      <c r="AK53" s="365"/>
      <c r="AL53" s="365"/>
      <c r="AM53" s="365"/>
      <c r="AN53" s="365"/>
      <c r="AO53" s="365"/>
      <c r="AP53" s="365"/>
      <c r="AQ53" s="365"/>
      <c r="AR53" s="365"/>
    </row>
    <row r="54" spans="1:44">
      <c r="A54" s="103" t="s">
        <v>258</v>
      </c>
      <c r="B54" s="103" t="s">
        <v>258</v>
      </c>
      <c r="C54" s="58" t="s">
        <v>264</v>
      </c>
      <c r="P54" s="106">
        <v>0</v>
      </c>
      <c r="Q54" s="106">
        <v>0</v>
      </c>
      <c r="R54" s="680">
        <v>-2300000000</v>
      </c>
      <c r="S54" s="680">
        <v>-900000000</v>
      </c>
      <c r="T54" s="680">
        <v>-1300000000</v>
      </c>
      <c r="U54" s="680">
        <v>-8700000000</v>
      </c>
      <c r="V54" s="680">
        <v>-18600000000</v>
      </c>
      <c r="W54" s="646"/>
      <c r="Y54" s="365"/>
      <c r="Z54" s="530"/>
      <c r="AA54" s="276"/>
      <c r="AB54" s="637"/>
      <c r="AC54" s="637"/>
      <c r="AD54" s="637"/>
      <c r="AE54" s="637"/>
      <c r="AF54" s="637"/>
      <c r="AG54" s="365"/>
      <c r="AH54" s="365"/>
      <c r="AI54" s="365"/>
      <c r="AJ54" s="365"/>
      <c r="AK54" s="365"/>
      <c r="AL54" s="365"/>
      <c r="AM54" s="365"/>
      <c r="AN54" s="365"/>
      <c r="AO54" s="365"/>
      <c r="AP54" s="365"/>
      <c r="AQ54" s="365"/>
      <c r="AR54" s="365"/>
    </row>
    <row r="55" spans="1:44">
      <c r="A55" s="681" t="s">
        <v>2606</v>
      </c>
      <c r="B55" s="681" t="s">
        <v>2606</v>
      </c>
      <c r="C55" s="633"/>
      <c r="P55" s="106"/>
      <c r="Q55" s="106"/>
      <c r="R55" s="680">
        <v>0</v>
      </c>
      <c r="S55" s="680">
        <v>0</v>
      </c>
      <c r="T55" s="680">
        <v>0</v>
      </c>
      <c r="U55" s="680">
        <v>0</v>
      </c>
      <c r="V55" s="680">
        <v>0</v>
      </c>
      <c r="W55" s="646"/>
      <c r="Y55" s="365"/>
      <c r="Z55" s="276"/>
      <c r="AA55" s="276"/>
      <c r="AB55" s="637"/>
      <c r="AC55" s="637"/>
      <c r="AD55" s="637"/>
      <c r="AE55" s="637"/>
      <c r="AF55" s="637"/>
      <c r="AG55" s="365"/>
      <c r="AH55" s="365"/>
      <c r="AI55" s="365"/>
      <c r="AJ55" s="365"/>
      <c r="AK55" s="365"/>
      <c r="AL55" s="365"/>
      <c r="AM55" s="365"/>
      <c r="AN55" s="365"/>
      <c r="AO55" s="365"/>
      <c r="AP55" s="365"/>
      <c r="AQ55" s="365"/>
      <c r="AR55" s="365"/>
    </row>
    <row r="56" spans="1:44">
      <c r="A56" s="103"/>
      <c r="B56" s="103"/>
      <c r="C56" s="58"/>
      <c r="P56" s="106"/>
      <c r="Q56" s="106"/>
      <c r="R56" s="680"/>
      <c r="S56" s="680"/>
      <c r="T56" s="680"/>
      <c r="U56" s="680"/>
      <c r="V56" s="680"/>
      <c r="W56" s="644"/>
      <c r="Y56" s="365"/>
      <c r="Z56" s="276"/>
      <c r="AA56" s="276"/>
      <c r="AB56" s="637"/>
      <c r="AC56" s="637"/>
      <c r="AD56" s="637"/>
      <c r="AE56" s="637"/>
      <c r="AF56" s="637"/>
      <c r="AH56" s="365"/>
      <c r="AI56" s="365"/>
      <c r="AJ56" s="365"/>
      <c r="AK56" s="365"/>
      <c r="AL56" s="365"/>
      <c r="AM56" s="365"/>
      <c r="AN56" s="365"/>
      <c r="AO56" s="365"/>
      <c r="AP56" s="365"/>
      <c r="AQ56" s="365"/>
      <c r="AR56" s="365"/>
    </row>
    <row r="57" spans="1:44">
      <c r="A57" s="103"/>
      <c r="B57" s="103"/>
      <c r="C57" s="58"/>
      <c r="P57" s="106"/>
      <c r="Q57" s="106"/>
      <c r="R57" s="680"/>
      <c r="S57" s="680"/>
      <c r="T57" s="680"/>
      <c r="U57" s="680"/>
      <c r="V57" s="680"/>
      <c r="W57" s="644"/>
      <c r="Y57" s="365"/>
      <c r="Z57" s="276"/>
      <c r="AA57" s="276"/>
      <c r="AB57" s="637"/>
      <c r="AC57" s="637"/>
      <c r="AD57" s="637"/>
      <c r="AE57" s="637"/>
      <c r="AF57" s="637"/>
      <c r="AH57" s="365"/>
      <c r="AI57" s="365"/>
      <c r="AJ57" s="365"/>
      <c r="AK57" s="365"/>
      <c r="AL57" s="365"/>
      <c r="AM57" s="365"/>
      <c r="AN57" s="365"/>
      <c r="AO57" s="365"/>
      <c r="AP57" s="365"/>
      <c r="AQ57" s="365"/>
      <c r="AR57" s="365"/>
    </row>
    <row r="58" spans="1:44">
      <c r="A58" s="678" t="s">
        <v>274</v>
      </c>
      <c r="B58" s="678" t="s">
        <v>274</v>
      </c>
      <c r="C58" s="679"/>
      <c r="D58" s="644"/>
      <c r="E58" s="644"/>
      <c r="F58" s="644"/>
      <c r="G58" s="644"/>
      <c r="H58" s="644"/>
      <c r="I58" s="644"/>
      <c r="J58" s="644"/>
      <c r="K58" s="644"/>
      <c r="L58" s="644"/>
      <c r="M58" s="644"/>
      <c r="N58" s="644"/>
      <c r="O58" s="644"/>
      <c r="P58" s="680"/>
      <c r="Q58" s="680"/>
      <c r="R58" s="680"/>
      <c r="S58" s="680"/>
      <c r="T58" s="680"/>
      <c r="U58" s="680"/>
      <c r="V58" s="680"/>
      <c r="W58" s="644"/>
      <c r="Y58" s="365"/>
      <c r="Z58" s="276"/>
      <c r="AA58" s="276"/>
      <c r="AB58" s="637"/>
      <c r="AC58" s="637"/>
      <c r="AD58" s="637"/>
      <c r="AE58" s="637"/>
      <c r="AF58" s="637"/>
      <c r="AH58" s="365"/>
      <c r="AI58" s="365"/>
      <c r="AJ58" s="365"/>
      <c r="AK58" s="365"/>
      <c r="AL58" s="365"/>
      <c r="AM58" s="365"/>
      <c r="AN58" s="365"/>
      <c r="AO58" s="365"/>
      <c r="AP58" s="365"/>
      <c r="AQ58" s="365"/>
      <c r="AR58" s="365"/>
    </row>
    <row r="59" spans="1:44">
      <c r="A59" s="678" t="s">
        <v>5956</v>
      </c>
      <c r="B59" s="678" t="s">
        <v>5956</v>
      </c>
      <c r="C59" s="679"/>
      <c r="D59" s="644"/>
      <c r="E59" s="644"/>
      <c r="F59" s="644"/>
      <c r="G59" s="644"/>
      <c r="H59" s="644"/>
      <c r="I59" s="644"/>
      <c r="J59" s="644"/>
      <c r="K59" s="644"/>
      <c r="L59" s="644"/>
      <c r="M59" s="644"/>
      <c r="N59" s="644"/>
      <c r="O59" s="644"/>
      <c r="P59" s="680"/>
      <c r="Q59" s="680"/>
      <c r="R59" s="680">
        <v>2100000000</v>
      </c>
      <c r="S59" s="680">
        <v>2400000000</v>
      </c>
      <c r="T59" s="680">
        <v>12100000000</v>
      </c>
      <c r="U59" s="680">
        <v>40800000000</v>
      </c>
      <c r="V59" s="680">
        <v>72200000000</v>
      </c>
      <c r="W59" s="644"/>
      <c r="Y59" s="365"/>
      <c r="Z59" s="276"/>
      <c r="AA59" s="276"/>
      <c r="AB59" s="637"/>
      <c r="AC59" s="637"/>
      <c r="AD59" s="637"/>
      <c r="AE59" s="637"/>
      <c r="AF59" s="637"/>
      <c r="AH59" s="365"/>
      <c r="AI59" s="365"/>
      <c r="AJ59" s="365"/>
      <c r="AK59" s="365"/>
      <c r="AL59" s="365"/>
      <c r="AM59" s="365"/>
      <c r="AN59" s="365"/>
      <c r="AO59" s="365"/>
      <c r="AP59" s="365"/>
      <c r="AQ59" s="365"/>
      <c r="AR59" s="365"/>
    </row>
    <row r="60" spans="1:44">
      <c r="A60" s="678" t="s">
        <v>5957</v>
      </c>
      <c r="B60" s="678" t="s">
        <v>5957</v>
      </c>
      <c r="C60" s="679"/>
      <c r="D60" s="644"/>
      <c r="E60" s="644"/>
      <c r="F60" s="644"/>
      <c r="G60" s="644"/>
      <c r="H60" s="644"/>
      <c r="I60" s="644"/>
      <c r="J60" s="644"/>
      <c r="K60" s="644"/>
      <c r="L60" s="644"/>
      <c r="M60" s="644"/>
      <c r="N60" s="644"/>
      <c r="O60" s="644"/>
      <c r="P60" s="680"/>
      <c r="Q60" s="680"/>
      <c r="R60" s="680">
        <v>-4400000000</v>
      </c>
      <c r="S60" s="680">
        <v>-6700000000</v>
      </c>
      <c r="T60" s="680">
        <v>5000000000</v>
      </c>
      <c r="U60" s="680">
        <v>31900000000</v>
      </c>
      <c r="V60" s="680">
        <v>45800000000</v>
      </c>
      <c r="W60" s="644"/>
      <c r="Y60" s="365"/>
      <c r="Z60" s="276"/>
      <c r="AA60" s="276"/>
      <c r="AB60" s="637"/>
      <c r="AC60" s="637"/>
      <c r="AD60" s="637"/>
      <c r="AE60" s="637"/>
      <c r="AF60" s="637"/>
      <c r="AH60" s="365"/>
      <c r="AI60" s="365"/>
      <c r="AJ60" s="365"/>
      <c r="AK60" s="365"/>
      <c r="AL60" s="365"/>
      <c r="AM60" s="365"/>
      <c r="AN60" s="365"/>
      <c r="AO60" s="365"/>
      <c r="AP60" s="365"/>
      <c r="AQ60" s="365"/>
      <c r="AR60" s="365"/>
    </row>
    <row r="61" spans="1:44">
      <c r="A61" s="678" t="s">
        <v>5958</v>
      </c>
      <c r="B61" s="678" t="s">
        <v>5958</v>
      </c>
      <c r="C61" s="679"/>
      <c r="D61" s="644"/>
      <c r="E61" s="644"/>
      <c r="F61" s="644"/>
      <c r="G61" s="644"/>
      <c r="H61" s="644"/>
      <c r="I61" s="644"/>
      <c r="J61" s="644"/>
      <c r="K61" s="644"/>
      <c r="L61" s="644"/>
      <c r="M61" s="644"/>
      <c r="N61" s="644"/>
      <c r="O61" s="644"/>
      <c r="P61" s="680"/>
      <c r="Q61" s="680"/>
      <c r="R61" s="680">
        <v>41700000000</v>
      </c>
      <c r="S61" s="680">
        <v>39100000000</v>
      </c>
      <c r="T61" s="680">
        <v>60000000000</v>
      </c>
      <c r="U61" s="680">
        <v>218000000000</v>
      </c>
      <c r="V61" s="680">
        <v>338500000000</v>
      </c>
      <c r="W61" s="644"/>
      <c r="Y61" s="365"/>
      <c r="Z61" s="276"/>
      <c r="AA61" s="276"/>
      <c r="AB61" s="637"/>
      <c r="AC61" s="637"/>
      <c r="AD61" s="637"/>
      <c r="AE61" s="637"/>
      <c r="AF61" s="637"/>
      <c r="AH61" s="365"/>
      <c r="AI61" s="365"/>
      <c r="AJ61" s="365"/>
      <c r="AK61" s="365"/>
      <c r="AL61" s="365"/>
      <c r="AM61" s="365"/>
      <c r="AN61" s="365"/>
      <c r="AO61" s="365"/>
      <c r="AP61" s="365"/>
      <c r="AQ61" s="365"/>
      <c r="AR61" s="365"/>
    </row>
    <row r="62" spans="1:44">
      <c r="A62" s="103"/>
      <c r="B62" s="103"/>
      <c r="C62" s="58"/>
      <c r="P62" s="106"/>
      <c r="Q62" s="106"/>
      <c r="R62" s="106"/>
      <c r="S62" s="106"/>
      <c r="T62" s="21"/>
      <c r="U62" s="21"/>
      <c r="V62" s="21"/>
      <c r="Y62" s="365"/>
      <c r="Z62" s="276"/>
      <c r="AA62" s="276"/>
      <c r="AB62" s="637"/>
      <c r="AC62" s="637"/>
      <c r="AD62" s="637"/>
      <c r="AE62" s="637"/>
      <c r="AF62" s="637"/>
      <c r="AH62" s="365"/>
      <c r="AI62" s="365"/>
      <c r="AJ62" s="365"/>
      <c r="AK62" s="365"/>
      <c r="AL62" s="365"/>
      <c r="AM62" s="365"/>
      <c r="AN62" s="365"/>
      <c r="AO62" s="365"/>
      <c r="AP62" s="365"/>
      <c r="AQ62" s="365"/>
      <c r="AR62" s="365"/>
    </row>
    <row r="63" spans="1:44">
      <c r="A63" s="103"/>
      <c r="B63" s="103"/>
      <c r="C63" s="58"/>
      <c r="P63" s="106"/>
      <c r="Q63" s="106"/>
      <c r="R63" s="106"/>
      <c r="S63" s="106"/>
      <c r="T63" s="21"/>
      <c r="U63" s="21"/>
      <c r="V63" s="21"/>
      <c r="Y63" s="365"/>
      <c r="Z63" s="276"/>
      <c r="AA63" s="276"/>
      <c r="AB63" s="637"/>
      <c r="AC63" s="637"/>
      <c r="AD63" s="637"/>
      <c r="AE63" s="637"/>
      <c r="AF63" s="637"/>
      <c r="AH63" s="365"/>
      <c r="AI63" s="365"/>
      <c r="AJ63" s="365"/>
      <c r="AK63" s="365"/>
      <c r="AL63" s="365"/>
      <c r="AM63" s="365"/>
      <c r="AN63" s="365"/>
      <c r="AO63" s="365"/>
      <c r="AP63" s="365"/>
      <c r="AQ63" s="365"/>
      <c r="AR63" s="365"/>
    </row>
    <row r="64" spans="1:44">
      <c r="A64" s="103"/>
      <c r="B64" s="103"/>
      <c r="C64" s="58"/>
      <c r="P64" s="106"/>
      <c r="Q64" s="106"/>
      <c r="R64" s="106"/>
      <c r="S64" s="106"/>
      <c r="T64" s="21"/>
      <c r="U64" s="21"/>
      <c r="V64" s="21"/>
      <c r="Y64" s="365"/>
      <c r="Z64" s="276"/>
      <c r="AA64" s="276"/>
      <c r="AB64" s="637"/>
      <c r="AC64" s="637"/>
      <c r="AD64" s="637"/>
      <c r="AE64" s="637"/>
      <c r="AF64" s="637"/>
      <c r="AH64" s="365"/>
      <c r="AI64" s="365"/>
      <c r="AJ64" s="365"/>
      <c r="AK64" s="365"/>
      <c r="AL64" s="365"/>
      <c r="AM64" s="365"/>
      <c r="AN64" s="365"/>
      <c r="AO64" s="365"/>
      <c r="AP64" s="365"/>
      <c r="AQ64" s="365"/>
      <c r="AR64" s="365"/>
    </row>
    <row r="65" spans="2:44">
      <c r="T65" s="21"/>
      <c r="U65" s="21"/>
      <c r="V65" s="21"/>
      <c r="Y65" s="365"/>
      <c r="Z65" s="276"/>
      <c r="AA65" s="638"/>
      <c r="AB65" s="637"/>
      <c r="AC65" s="637"/>
      <c r="AD65" s="637"/>
      <c r="AE65" s="637"/>
      <c r="AF65" s="637"/>
      <c r="AH65" s="365"/>
      <c r="AI65" s="365"/>
      <c r="AJ65" s="365"/>
      <c r="AK65" s="365"/>
      <c r="AL65" s="365"/>
      <c r="AM65" s="365"/>
      <c r="AN65" s="365"/>
      <c r="AO65" s="365"/>
      <c r="AP65" s="365"/>
      <c r="AQ65" s="365"/>
      <c r="AR65" s="365"/>
    </row>
    <row r="66" spans="2:44">
      <c r="Y66" s="365"/>
      <c r="Z66" s="276"/>
      <c r="AA66" s="638"/>
      <c r="AB66" s="637"/>
      <c r="AC66" s="637"/>
      <c r="AD66" s="637"/>
      <c r="AE66" s="637"/>
      <c r="AF66" s="637"/>
      <c r="AH66" s="365"/>
      <c r="AI66" s="365"/>
      <c r="AJ66" s="365"/>
      <c r="AK66" s="365"/>
      <c r="AL66" s="365"/>
      <c r="AM66" s="365"/>
      <c r="AN66" s="365"/>
      <c r="AO66" s="365"/>
      <c r="AP66" s="365"/>
      <c r="AQ66" s="365"/>
      <c r="AR66" s="365"/>
    </row>
    <row r="67" spans="2:44">
      <c r="P67" t="s">
        <v>139</v>
      </c>
      <c r="Q67" s="13" t="s">
        <v>139</v>
      </c>
      <c r="R67" s="13" t="s">
        <v>139</v>
      </c>
      <c r="S67" s="13" t="s">
        <v>139</v>
      </c>
      <c r="T67" s="13" t="s">
        <v>139</v>
      </c>
      <c r="U67" s="13" t="s">
        <v>139</v>
      </c>
      <c r="V67" s="13" t="s">
        <v>139</v>
      </c>
    </row>
    <row r="69" spans="2:44">
      <c r="B69" t="s">
        <v>875</v>
      </c>
      <c r="P69" s="78">
        <f>P6-P7-P13</f>
        <v>-100000000</v>
      </c>
      <c r="Q69" s="78">
        <f>Q6-Q7-Q13</f>
        <v>0</v>
      </c>
      <c r="R69" s="78">
        <f t="shared" ref="R69:V69" si="10">R6-R7-R13</f>
        <v>0</v>
      </c>
      <c r="S69" s="78">
        <f t="shared" si="10"/>
        <v>100000000</v>
      </c>
      <c r="T69" s="78">
        <f t="shared" si="10"/>
        <v>0</v>
      </c>
      <c r="U69" s="78">
        <f>U6-U7-U13</f>
        <v>0</v>
      </c>
      <c r="V69" s="78">
        <f t="shared" si="10"/>
        <v>0</v>
      </c>
      <c r="W69" s="78"/>
      <c r="X69" s="78"/>
    </row>
    <row r="70" spans="2:44">
      <c r="B70" t="s">
        <v>450</v>
      </c>
      <c r="P70" s="78">
        <f>P7-P8-P11-P12</f>
        <v>0</v>
      </c>
      <c r="Q70" s="78">
        <f t="shared" ref="Q70:V70" si="11">Q7-Q8-Q11-Q12</f>
        <v>0</v>
      </c>
      <c r="R70" s="78">
        <f t="shared" si="11"/>
        <v>0</v>
      </c>
      <c r="S70" s="78">
        <f t="shared" si="11"/>
        <v>0</v>
      </c>
      <c r="T70" s="78">
        <f t="shared" si="11"/>
        <v>0</v>
      </c>
      <c r="U70" s="78">
        <f t="shared" si="11"/>
        <v>0</v>
      </c>
      <c r="V70" s="78">
        <f t="shared" si="11"/>
        <v>0</v>
      </c>
      <c r="W70" s="78"/>
      <c r="X70" s="78"/>
      <c r="Z70" s="276"/>
      <c r="AA70" s="276"/>
      <c r="AB70" s="637"/>
      <c r="AC70" s="637"/>
      <c r="AD70" s="637"/>
      <c r="AE70" s="637"/>
      <c r="AF70" s="637"/>
    </row>
    <row r="71" spans="2:44">
      <c r="B71" t="s">
        <v>5959</v>
      </c>
      <c r="P71" s="78">
        <f>P8-P9-P10</f>
        <v>0</v>
      </c>
      <c r="Q71" s="78">
        <f t="shared" ref="Q71:V71" si="12">Q8-Q9-Q10</f>
        <v>0</v>
      </c>
      <c r="R71" s="78">
        <f t="shared" si="12"/>
        <v>0</v>
      </c>
      <c r="S71" s="78">
        <f t="shared" si="12"/>
        <v>0</v>
      </c>
      <c r="T71" s="78">
        <f t="shared" si="12"/>
        <v>0</v>
      </c>
      <c r="U71" s="78">
        <f t="shared" si="12"/>
        <v>0</v>
      </c>
      <c r="V71" s="78">
        <f t="shared" si="12"/>
        <v>0</v>
      </c>
      <c r="W71" s="78"/>
      <c r="X71" s="78"/>
    </row>
    <row r="72" spans="2:44">
      <c r="B72" t="s">
        <v>143</v>
      </c>
      <c r="P72" s="78">
        <f>P13-P14</f>
        <v>0</v>
      </c>
      <c r="Q72" s="78">
        <f t="shared" ref="Q72:V72" si="13">Q13-Q14</f>
        <v>0</v>
      </c>
      <c r="R72" s="78">
        <f t="shared" si="13"/>
        <v>0</v>
      </c>
      <c r="S72" s="78">
        <f>S13-S14</f>
        <v>3200000000</v>
      </c>
      <c r="T72" s="78">
        <f t="shared" si="13"/>
        <v>200000000</v>
      </c>
      <c r="U72" s="78">
        <f t="shared" si="13"/>
        <v>2000000000</v>
      </c>
      <c r="V72" s="78">
        <f t="shared" si="13"/>
        <v>10600000000</v>
      </c>
      <c r="W72" s="78"/>
      <c r="X72" s="78"/>
    </row>
    <row r="73" spans="2:44">
      <c r="B73" t="s">
        <v>619</v>
      </c>
      <c r="P73" s="78">
        <f>P16-P17-P35</f>
        <v>-100000000</v>
      </c>
      <c r="Q73" s="78">
        <f t="shared" ref="Q73:V73" si="14">Q16-Q17-Q35</f>
        <v>100000000</v>
      </c>
      <c r="R73" s="78">
        <f t="shared" si="14"/>
        <v>0</v>
      </c>
      <c r="S73" s="78">
        <f t="shared" si="14"/>
        <v>0</v>
      </c>
      <c r="T73" s="78">
        <f t="shared" si="14"/>
        <v>0</v>
      </c>
      <c r="U73" s="78">
        <f t="shared" si="14"/>
        <v>0</v>
      </c>
      <c r="V73" s="78">
        <f t="shared" si="14"/>
        <v>0</v>
      </c>
      <c r="W73" s="78"/>
      <c r="X73" s="78"/>
    </row>
    <row r="74" spans="2:44">
      <c r="B74" t="s">
        <v>1978</v>
      </c>
      <c r="P74" s="78">
        <f>P17-P18-P19-P20-P21-P31-P34</f>
        <v>0</v>
      </c>
      <c r="Q74" s="78">
        <f t="shared" ref="Q74" si="15">Q17-Q18-Q19-Q20-Q21-Q31-Q34</f>
        <v>0</v>
      </c>
      <c r="R74" s="78">
        <f>R17-R18-R19-R20-R21-R31-R34-R29</f>
        <v>-2600000000</v>
      </c>
      <c r="S74" s="78">
        <f t="shared" ref="S74:V74" si="16">S17-S18-S19-S20-S21-S31-S34-S29</f>
        <v>-2800000000</v>
      </c>
      <c r="T74" s="78">
        <f t="shared" si="16"/>
        <v>-5700000000</v>
      </c>
      <c r="U74" s="78">
        <f t="shared" si="16"/>
        <v>-43600000000</v>
      </c>
      <c r="V74" s="78">
        <f t="shared" si="16"/>
        <v>-57600000000</v>
      </c>
      <c r="W74" s="78"/>
      <c r="X74" s="78"/>
    </row>
    <row r="75" spans="2:44">
      <c r="B75" t="s">
        <v>5960</v>
      </c>
      <c r="P75" s="78">
        <f>P21-P22-P27-P28-P30</f>
        <v>0</v>
      </c>
      <c r="Q75" s="78">
        <f t="shared" ref="Q75" si="17">Q21-Q22-Q27-Q28-Q30</f>
        <v>100000000</v>
      </c>
      <c r="R75" s="78">
        <f>R21-R22-R27-R28-R30</f>
        <v>1900000000</v>
      </c>
      <c r="S75" s="78">
        <f t="shared" ref="S75:V75" si="18">S21-S22-S27-S28-S30</f>
        <v>1800000000</v>
      </c>
      <c r="T75" s="78">
        <f t="shared" si="18"/>
        <v>5300000000</v>
      </c>
      <c r="U75" s="78">
        <f t="shared" si="18"/>
        <v>41800000000</v>
      </c>
      <c r="V75" s="78">
        <f t="shared" si="18"/>
        <v>55500000000</v>
      </c>
      <c r="W75" s="78"/>
      <c r="X75" s="78"/>
    </row>
    <row r="76" spans="2:44">
      <c r="B76" t="s">
        <v>876</v>
      </c>
      <c r="P76" s="78">
        <f>P35-P36-P37</f>
        <v>0</v>
      </c>
      <c r="Q76" s="78">
        <f t="shared" ref="Q76:V76" si="19">Q35-Q36-Q37</f>
        <v>0</v>
      </c>
      <c r="R76" s="78">
        <f t="shared" si="19"/>
        <v>0</v>
      </c>
      <c r="S76" s="78">
        <f t="shared" si="19"/>
        <v>-100000000</v>
      </c>
      <c r="T76" s="78">
        <f t="shared" si="19"/>
        <v>0</v>
      </c>
      <c r="U76" s="78">
        <f t="shared" si="19"/>
        <v>0</v>
      </c>
      <c r="V76" s="78">
        <f t="shared" si="19"/>
        <v>0</v>
      </c>
      <c r="W76" s="78"/>
      <c r="X76" s="78"/>
    </row>
    <row r="77" spans="2:44">
      <c r="B77" t="s">
        <v>148</v>
      </c>
      <c r="P77" s="78">
        <f>P47-P48-P52</f>
        <v>0</v>
      </c>
      <c r="Q77" s="78">
        <f t="shared" ref="Q77:V77" si="20">Q47-Q48-Q52</f>
        <v>0</v>
      </c>
      <c r="R77" s="78">
        <f t="shared" si="20"/>
        <v>0</v>
      </c>
      <c r="S77" s="78">
        <f t="shared" si="20"/>
        <v>0</v>
      </c>
      <c r="T77" s="78">
        <f t="shared" si="20"/>
        <v>0</v>
      </c>
      <c r="U77" s="78">
        <f t="shared" si="20"/>
        <v>0</v>
      </c>
      <c r="V77" s="78">
        <f t="shared" si="20"/>
        <v>0</v>
      </c>
      <c r="W77" s="78"/>
      <c r="X77" s="78"/>
    </row>
    <row r="78" spans="2:44">
      <c r="B78" t="s">
        <v>297</v>
      </c>
      <c r="P78" s="78">
        <f>P48-P49-P50-P51</f>
        <v>0</v>
      </c>
      <c r="Q78" s="78">
        <f t="shared" ref="Q78:V78" si="21">Q48-Q49-Q50-Q51</f>
        <v>0</v>
      </c>
      <c r="R78" s="78">
        <f t="shared" si="21"/>
        <v>0</v>
      </c>
      <c r="S78" s="78">
        <f t="shared" si="21"/>
        <v>0</v>
      </c>
      <c r="T78" s="78">
        <f t="shared" si="21"/>
        <v>0</v>
      </c>
      <c r="U78" s="78">
        <f t="shared" si="21"/>
        <v>0</v>
      </c>
      <c r="V78" s="78">
        <f t="shared" si="21"/>
        <v>0</v>
      </c>
      <c r="W78" s="78"/>
      <c r="X78" s="78"/>
    </row>
    <row r="79" spans="2:44">
      <c r="B79" t="s">
        <v>528</v>
      </c>
      <c r="P79" s="78">
        <f>P52-P53-P54</f>
        <v>0</v>
      </c>
      <c r="Q79" s="78">
        <f t="shared" ref="Q79:V79" si="22">Q52-Q53-Q54</f>
        <v>0</v>
      </c>
      <c r="R79" s="78">
        <f t="shared" si="22"/>
        <v>0</v>
      </c>
      <c r="S79" s="78">
        <f t="shared" si="22"/>
        <v>0</v>
      </c>
      <c r="T79" s="78">
        <f t="shared" si="22"/>
        <v>0</v>
      </c>
      <c r="U79" s="78">
        <f t="shared" si="22"/>
        <v>0</v>
      </c>
      <c r="V79" s="78">
        <f t="shared" si="22"/>
        <v>0</v>
      </c>
      <c r="W79" s="78"/>
      <c r="X79" s="78"/>
    </row>
    <row r="80" spans="2:44">
      <c r="O80" s="21"/>
      <c r="P80" s="51"/>
      <c r="Q80" s="51"/>
      <c r="R80" s="51"/>
      <c r="S80" s="51"/>
      <c r="T80" s="51"/>
      <c r="U80" s="51"/>
      <c r="V80" s="51"/>
      <c r="W80" s="51"/>
      <c r="X80" s="51"/>
    </row>
    <row r="81" spans="2:22">
      <c r="B81" t="s">
        <v>623</v>
      </c>
      <c r="P81">
        <v>30150000000</v>
      </c>
      <c r="Q81">
        <v>30150000001</v>
      </c>
      <c r="R81">
        <v>41700000000</v>
      </c>
      <c r="S81">
        <v>39100000000</v>
      </c>
      <c r="T81">
        <v>60000000000</v>
      </c>
      <c r="U81">
        <v>218000000000</v>
      </c>
      <c r="V81">
        <v>338500000000</v>
      </c>
    </row>
    <row r="82" spans="2:22">
      <c r="B82" t="s">
        <v>151</v>
      </c>
      <c r="P82">
        <f>(P6/P81)*100</f>
        <v>39.800995024875625</v>
      </c>
      <c r="Q82">
        <f t="shared" ref="Q82:V82" si="23">(Q6/Q81)*100</f>
        <v>13.930348258244432</v>
      </c>
      <c r="R82">
        <f t="shared" si="23"/>
        <v>25.179856115107913</v>
      </c>
      <c r="S82">
        <f t="shared" si="23"/>
        <v>28.644501278772378</v>
      </c>
      <c r="T82">
        <f t="shared" si="23"/>
        <v>28.999999999999996</v>
      </c>
      <c r="U82">
        <f t="shared" si="23"/>
        <v>34.403669724770644</v>
      </c>
      <c r="V82">
        <f t="shared" si="23"/>
        <v>33.412112259970456</v>
      </c>
    </row>
    <row r="83" spans="2:22">
      <c r="B83" t="s">
        <v>152</v>
      </c>
      <c r="P83">
        <f>(P16/P81)*100</f>
        <v>40.13266998341625</v>
      </c>
      <c r="Q83">
        <f t="shared" ref="Q83:V83" si="24">(Q16/Q81)*100</f>
        <v>30.845771143255529</v>
      </c>
      <c r="R83">
        <f t="shared" si="24"/>
        <v>28.057553956834528</v>
      </c>
      <c r="S83">
        <f t="shared" si="24"/>
        <v>37.340153452685421</v>
      </c>
      <c r="T83">
        <f t="shared" si="24"/>
        <v>39</v>
      </c>
      <c r="U83">
        <f t="shared" si="24"/>
        <v>36.330275229357802</v>
      </c>
      <c r="V83">
        <f t="shared" si="24"/>
        <v>38.138847858197934</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D6" activePane="bottomRight" state="frozen"/>
      <selection pane="topRight" activeCell="D1" sqref="D1"/>
      <selection pane="bottomLeft" activeCell="A6" sqref="A6"/>
      <selection pane="bottomRight" activeCell="K16" sqref="K16"/>
    </sheetView>
  </sheetViews>
  <sheetFormatPr defaultRowHeight="15.75"/>
  <cols>
    <col min="1" max="1" width="43.7109375" style="1602" bestFit="1" customWidth="1"/>
    <col min="2" max="2" width="43.140625" style="1602" bestFit="1" customWidth="1"/>
    <col min="3" max="3" width="22.42578125" style="1602" bestFit="1" customWidth="1"/>
    <col min="4" max="4" width="18.7109375" style="1602" bestFit="1" customWidth="1"/>
    <col min="5" max="7" width="20.5703125" style="1602" bestFit="1" customWidth="1"/>
    <col min="8" max="8" width="19.28515625" style="1602" bestFit="1" customWidth="1"/>
    <col min="9" max="9" width="18.7109375" style="1602" bestFit="1" customWidth="1"/>
    <col min="10" max="11" width="19.28515625" style="1602" bestFit="1" customWidth="1"/>
    <col min="12" max="12" width="18.7109375" style="1602" bestFit="1" customWidth="1"/>
    <col min="13" max="13" width="22.140625" style="1602" bestFit="1" customWidth="1"/>
    <col min="14" max="15" width="19.28515625" style="1602" bestFit="1" customWidth="1"/>
    <col min="16" max="16" width="20.5703125" style="1602" bestFit="1" customWidth="1"/>
    <col min="17" max="17" width="19.28515625" style="1602" bestFit="1" customWidth="1"/>
    <col min="18" max="24" width="21.7109375" style="1602" bestFit="1" customWidth="1"/>
    <col min="25" max="26" width="21.42578125" style="1602" bestFit="1" customWidth="1"/>
    <col min="27" max="30" width="8.85546875" style="1602"/>
  </cols>
  <sheetData>
    <row r="1" spans="1:41">
      <c r="A1" s="2072" t="s">
        <v>5961</v>
      </c>
      <c r="B1" s="1603" t="s">
        <v>5962</v>
      </c>
      <c r="C1" s="1603"/>
      <c r="D1" s="1604"/>
      <c r="E1" s="1604"/>
      <c r="F1" s="1604"/>
      <c r="G1" s="1604"/>
      <c r="H1" s="1604"/>
      <c r="I1" s="1604"/>
      <c r="J1" s="1604"/>
      <c r="K1" s="1604"/>
      <c r="L1" s="1604"/>
      <c r="M1" s="1604"/>
      <c r="N1" s="1604"/>
      <c r="O1" s="1605"/>
      <c r="P1" s="1605"/>
      <c r="Q1" s="1605"/>
      <c r="R1" s="1606"/>
      <c r="S1" s="1605"/>
      <c r="T1" s="1605"/>
      <c r="U1" s="1605"/>
      <c r="V1" s="1605"/>
      <c r="W1" s="1605"/>
      <c r="X1" s="1605"/>
      <c r="Y1" s="2073"/>
      <c r="Z1" s="2073"/>
      <c r="AA1" s="2073"/>
      <c r="AB1" s="2073"/>
      <c r="AC1" s="2073"/>
      <c r="AD1" s="2073"/>
      <c r="AE1" s="365"/>
      <c r="AF1" s="365"/>
      <c r="AG1" s="365"/>
      <c r="AH1" s="365"/>
      <c r="AI1" s="365"/>
      <c r="AJ1" s="365"/>
      <c r="AK1" s="365"/>
      <c r="AL1" s="365"/>
      <c r="AM1" s="365"/>
      <c r="AN1" s="365"/>
      <c r="AO1" s="365"/>
    </row>
    <row r="2" spans="1:41">
      <c r="B2" s="1607" t="s">
        <v>5963</v>
      </c>
      <c r="C2" s="1607"/>
      <c r="D2" s="1605"/>
      <c r="E2" s="1605"/>
      <c r="F2" s="1605"/>
      <c r="G2" s="1605"/>
      <c r="H2" s="1605"/>
      <c r="I2" s="1605"/>
      <c r="J2" s="1605"/>
      <c r="K2" s="1605"/>
      <c r="L2" s="1605"/>
      <c r="M2" s="1605"/>
      <c r="N2" s="1605"/>
      <c r="O2" s="1605"/>
      <c r="P2" s="1605"/>
      <c r="Q2" s="1605"/>
      <c r="R2" s="1608"/>
      <c r="S2" s="1609"/>
      <c r="T2" s="1610"/>
      <c r="U2" s="1605"/>
      <c r="V2" s="1605"/>
      <c r="W2" s="1605"/>
      <c r="X2" s="1605"/>
      <c r="Y2" s="2073"/>
      <c r="Z2" s="2073"/>
      <c r="AA2" s="2073"/>
      <c r="AB2" s="2073"/>
      <c r="AC2" s="2073"/>
      <c r="AD2" s="2073"/>
      <c r="AE2" s="365"/>
      <c r="AF2" s="365"/>
      <c r="AG2" s="365"/>
      <c r="AH2" s="365"/>
      <c r="AI2" s="365"/>
      <c r="AJ2" s="365"/>
      <c r="AK2" s="365"/>
      <c r="AL2" s="365"/>
      <c r="AM2" s="365"/>
      <c r="AN2" s="365"/>
      <c r="AO2" s="365"/>
    </row>
    <row r="3" spans="1:4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2073"/>
      <c r="AB3" s="2073"/>
      <c r="AC3" s="2073"/>
      <c r="AD3" s="2073"/>
      <c r="AE3" s="365"/>
      <c r="AF3" s="365"/>
      <c r="AG3" s="365"/>
      <c r="AH3" s="365"/>
      <c r="AI3" s="365"/>
      <c r="AJ3" s="365"/>
      <c r="AK3" s="365"/>
      <c r="AL3" s="365"/>
      <c r="AM3" s="365"/>
      <c r="AN3" s="365"/>
      <c r="AO3" s="365"/>
    </row>
    <row r="4" spans="1:4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19" t="s">
        <v>26</v>
      </c>
      <c r="Z4" s="1919" t="s">
        <v>27</v>
      </c>
      <c r="AA4" s="2073"/>
      <c r="AB4" s="2073"/>
      <c r="AC4" s="2073"/>
      <c r="AD4" s="2073"/>
      <c r="AE4" s="365"/>
      <c r="AF4" s="365"/>
      <c r="AG4" s="365"/>
      <c r="AH4" s="365"/>
      <c r="AI4" s="365"/>
      <c r="AJ4" s="365"/>
      <c r="AK4" s="365"/>
      <c r="AL4" s="365"/>
      <c r="AM4" s="365"/>
      <c r="AN4" s="365"/>
      <c r="AO4" s="365"/>
    </row>
    <row r="5" spans="1:41">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32</v>
      </c>
      <c r="V5" s="1605" t="s">
        <v>32</v>
      </c>
      <c r="W5" s="1605" t="s">
        <v>32</v>
      </c>
      <c r="X5" s="1605" t="s">
        <v>32</v>
      </c>
      <c r="Y5" s="1605" t="s">
        <v>32</v>
      </c>
      <c r="Z5" s="1605" t="s">
        <v>32</v>
      </c>
      <c r="AA5" s="2073"/>
      <c r="AB5" s="2073"/>
      <c r="AC5" s="2073"/>
      <c r="AD5" s="2073"/>
      <c r="AE5" s="365"/>
      <c r="AF5" s="365"/>
      <c r="AG5" s="365"/>
      <c r="AH5" s="365"/>
      <c r="AI5" s="365"/>
      <c r="AJ5" s="365"/>
      <c r="AK5" s="365"/>
      <c r="AL5" s="365"/>
      <c r="AM5" s="365"/>
      <c r="AN5" s="365"/>
      <c r="AO5" s="365"/>
    </row>
    <row r="6" spans="1:41" s="848" customFormat="1">
      <c r="A6" s="1899" t="s">
        <v>33</v>
      </c>
      <c r="B6" s="1902" t="s">
        <v>5964</v>
      </c>
      <c r="C6" s="1902" t="s">
        <v>35</v>
      </c>
      <c r="D6" s="2083">
        <f t="shared" ref="D6:G6" si="0">D7+D15</f>
        <v>216427000000</v>
      </c>
      <c r="E6" s="2083">
        <f t="shared" si="0"/>
        <v>239796000000</v>
      </c>
      <c r="F6" s="2083">
        <f t="shared" si="0"/>
        <v>268966000000</v>
      </c>
      <c r="G6" s="2083">
        <f t="shared" si="0"/>
        <v>284472000000</v>
      </c>
      <c r="H6" s="2084">
        <f>H7+H15</f>
        <v>316524000000</v>
      </c>
      <c r="I6" s="2084">
        <f>I7+I15</f>
        <v>412812166000</v>
      </c>
      <c r="J6" s="2083">
        <f t="shared" ref="J6:K6" si="1">J7+J15</f>
        <v>508391640000</v>
      </c>
      <c r="K6" s="2083">
        <f t="shared" si="1"/>
        <v>597640896000</v>
      </c>
      <c r="L6" s="2084">
        <v>688066392000</v>
      </c>
      <c r="M6" s="2084">
        <f>M7+M15</f>
        <v>720458656999.99988</v>
      </c>
      <c r="N6" s="2084">
        <f>N7+N15</f>
        <v>829392000000</v>
      </c>
      <c r="O6" s="2084">
        <v>948880000000</v>
      </c>
      <c r="P6" s="2084">
        <v>1000823999999.9999</v>
      </c>
      <c r="Q6" s="2084">
        <f>Q7+Q15</f>
        <v>1092096000000</v>
      </c>
      <c r="R6" s="2084">
        <v>1205000000000</v>
      </c>
      <c r="S6" s="2091">
        <v>1461000000000</v>
      </c>
      <c r="T6" s="2091">
        <v>1694000000000</v>
      </c>
      <c r="U6" s="2091">
        <v>1854000000000</v>
      </c>
      <c r="V6" s="2091">
        <v>2146000000000</v>
      </c>
      <c r="W6" s="2092">
        <v>2523000000000</v>
      </c>
      <c r="X6" s="2092">
        <v>2858000000000</v>
      </c>
      <c r="Y6" s="2091">
        <v>3175000000000</v>
      </c>
      <c r="Z6" s="2091">
        <v>3523000000000</v>
      </c>
      <c r="AA6" s="2085"/>
      <c r="AB6" s="2085"/>
      <c r="AC6" s="2085"/>
      <c r="AD6" s="2085"/>
      <c r="AE6" s="916"/>
      <c r="AF6" s="916"/>
      <c r="AG6" s="916"/>
      <c r="AH6" s="916"/>
      <c r="AI6" s="916"/>
      <c r="AJ6" s="916"/>
      <c r="AK6" s="916"/>
      <c r="AL6" s="916"/>
      <c r="AM6" s="916"/>
      <c r="AN6" s="916"/>
      <c r="AO6" s="916"/>
    </row>
    <row r="7" spans="1:41">
      <c r="A7" s="1602" t="s">
        <v>36</v>
      </c>
      <c r="B7" s="1612" t="s">
        <v>4956</v>
      </c>
      <c r="C7" s="1613" t="s">
        <v>38</v>
      </c>
      <c r="D7" s="2075">
        <v>211282000000</v>
      </c>
      <c r="E7" s="2075">
        <v>234296000000</v>
      </c>
      <c r="F7" s="2075">
        <v>261887000000</v>
      </c>
      <c r="G7" s="2075">
        <v>276516000000</v>
      </c>
      <c r="H7" s="2074">
        <f>H8+H14</f>
        <v>308408000000</v>
      </c>
      <c r="I7" s="2074">
        <f>I8+I14</f>
        <v>380926000000</v>
      </c>
      <c r="J7" s="1624">
        <v>479004840000</v>
      </c>
      <c r="K7" s="2076">
        <v>565432704000</v>
      </c>
      <c r="L7" s="1624">
        <v>657191618000</v>
      </c>
      <c r="M7" s="2074">
        <f>M8+M14</f>
        <v>696282191999.99988</v>
      </c>
      <c r="N7" s="2074">
        <f>N8+N14</f>
        <v>812580000000</v>
      </c>
      <c r="O7" s="1624">
        <v>935792000000</v>
      </c>
      <c r="P7" s="1624">
        <v>985659999999.99988</v>
      </c>
      <c r="Q7" s="2074">
        <f>Q8+Q14</f>
        <v>1075032000000</v>
      </c>
      <c r="R7" s="2077">
        <v>1195000000000</v>
      </c>
      <c r="S7" s="2093">
        <v>1455000000000</v>
      </c>
      <c r="T7" s="2094">
        <v>1686000000000</v>
      </c>
      <c r="U7" s="2094">
        <v>1846000000000</v>
      </c>
      <c r="V7" s="2094">
        <v>2136000000000</v>
      </c>
      <c r="W7" s="2095">
        <v>2512000000000</v>
      </c>
      <c r="X7" s="2095">
        <v>2846000000000</v>
      </c>
      <c r="Y7" s="2093">
        <v>3162000000000</v>
      </c>
      <c r="Z7" s="2093">
        <v>3508000000000</v>
      </c>
      <c r="AA7" s="2073"/>
      <c r="AB7" s="2073"/>
      <c r="AC7" s="2073"/>
      <c r="AD7" s="2073"/>
      <c r="AE7" s="365"/>
      <c r="AF7" s="365"/>
      <c r="AG7" s="365"/>
      <c r="AH7" s="365"/>
      <c r="AI7" s="365"/>
      <c r="AJ7" s="365"/>
      <c r="AK7" s="365"/>
      <c r="AL7" s="365"/>
      <c r="AM7" s="365"/>
      <c r="AN7" s="365"/>
      <c r="AO7" s="365"/>
    </row>
    <row r="8" spans="1:41">
      <c r="A8" s="1616" t="s">
        <v>39</v>
      </c>
      <c r="B8" s="1616" t="s">
        <v>3886</v>
      </c>
      <c r="C8" s="1612" t="s">
        <v>41</v>
      </c>
      <c r="D8" s="2075">
        <v>182392000000</v>
      </c>
      <c r="E8" s="2075">
        <v>205839000000</v>
      </c>
      <c r="F8" s="2075">
        <v>221837000000</v>
      </c>
      <c r="G8" s="2075">
        <v>231648000000</v>
      </c>
      <c r="H8" s="2074">
        <f>H9+H10+H11+H12+H13</f>
        <v>277973000000</v>
      </c>
      <c r="I8" s="2074">
        <f>I9+I10+I11+I12+I13</f>
        <v>338338000000</v>
      </c>
      <c r="J8" s="1624">
        <v>429047279999.99994</v>
      </c>
      <c r="K8" s="2076">
        <v>508173696000</v>
      </c>
      <c r="L8" s="1624">
        <v>586620706000</v>
      </c>
      <c r="M8" s="2074">
        <f>M9+M10+M11+M12+M13</f>
        <v>614082210999.99988</v>
      </c>
      <c r="N8" s="2074">
        <f>N9+N10+N11+N12+N13</f>
        <v>717312000000</v>
      </c>
      <c r="O8" s="1624">
        <v>811456000000</v>
      </c>
      <c r="P8" s="1624">
        <v>841601999999.99988</v>
      </c>
      <c r="Q8" s="1624">
        <v>964116000000</v>
      </c>
      <c r="R8" s="2077">
        <v>1050000000000</v>
      </c>
      <c r="S8" s="2093">
        <v>1356000000000</v>
      </c>
      <c r="T8" s="2094">
        <v>1464000000000</v>
      </c>
      <c r="U8" s="2094">
        <v>1680000000000</v>
      </c>
      <c r="V8" s="2094">
        <v>1954000000000</v>
      </c>
      <c r="W8" s="2095">
        <v>2312000000000</v>
      </c>
      <c r="X8" s="2095">
        <v>2626000000000</v>
      </c>
      <c r="Y8" s="2093">
        <v>2920000000000</v>
      </c>
      <c r="Z8" s="2093">
        <v>3241000000000</v>
      </c>
      <c r="AA8" s="2073"/>
      <c r="AB8" s="2073"/>
      <c r="AC8" s="2073"/>
      <c r="AD8" s="2073"/>
      <c r="AE8" s="365"/>
      <c r="AF8" s="365"/>
      <c r="AG8" s="365"/>
      <c r="AH8" s="365"/>
      <c r="AI8" s="365"/>
      <c r="AJ8" s="365"/>
      <c r="AK8" s="365"/>
      <c r="AL8" s="365"/>
      <c r="AM8" s="365"/>
      <c r="AN8" s="365"/>
      <c r="AO8" s="365"/>
    </row>
    <row r="9" spans="1:41">
      <c r="A9" s="1620" t="s">
        <v>628</v>
      </c>
      <c r="B9" s="1620" t="s">
        <v>5965</v>
      </c>
      <c r="C9" s="1604" t="s">
        <v>44</v>
      </c>
      <c r="D9" s="2079"/>
      <c r="E9" s="2079"/>
      <c r="F9" s="2079"/>
      <c r="G9" s="2079"/>
      <c r="H9" s="1624">
        <v>40580000000</v>
      </c>
      <c r="I9" s="1624">
        <v>52052000000.000008</v>
      </c>
      <c r="J9" s="1624">
        <v>79344360000</v>
      </c>
      <c r="K9" s="2076">
        <v>107360640000.00002</v>
      </c>
      <c r="L9" s="1624">
        <v>127909777999.99998</v>
      </c>
      <c r="M9" s="1624">
        <v>140223496999.99997</v>
      </c>
      <c r="N9" s="1624">
        <v>134495999999.99998</v>
      </c>
      <c r="O9" s="1624">
        <v>157055999999.99997</v>
      </c>
      <c r="P9" s="1624">
        <v>174385999999.99997</v>
      </c>
      <c r="Q9" s="1624">
        <v>204767999999.99997</v>
      </c>
      <c r="R9" s="1624">
        <v>198000000000</v>
      </c>
      <c r="S9" s="2093">
        <v>263000000000</v>
      </c>
      <c r="T9" s="2093">
        <v>259000000000</v>
      </c>
      <c r="U9" s="2093">
        <v>272000000000</v>
      </c>
      <c r="V9" s="2093">
        <v>323000000000</v>
      </c>
      <c r="W9" s="2095">
        <v>402000000000</v>
      </c>
      <c r="X9" s="2095">
        <v>443000000000</v>
      </c>
      <c r="Y9" s="2093">
        <v>488000000000</v>
      </c>
      <c r="Z9" s="2093">
        <v>538000000000</v>
      </c>
      <c r="AA9" s="2073"/>
      <c r="AB9" s="2073"/>
      <c r="AC9" s="2073"/>
      <c r="AD9" s="2073"/>
      <c r="AE9" s="365"/>
      <c r="AF9" s="365"/>
      <c r="AG9" s="365"/>
      <c r="AH9" s="365"/>
      <c r="AI9" s="365"/>
      <c r="AJ9" s="365"/>
      <c r="AK9" s="365"/>
      <c r="AL9" s="365"/>
      <c r="AM9" s="365"/>
      <c r="AN9" s="365"/>
      <c r="AO9" s="365"/>
    </row>
    <row r="10" spans="1:41">
      <c r="A10" s="1620" t="s">
        <v>161</v>
      </c>
      <c r="B10" s="1620" t="s">
        <v>162</v>
      </c>
      <c r="C10" s="1604" t="s">
        <v>44</v>
      </c>
      <c r="D10" s="2079"/>
      <c r="E10" s="2079"/>
      <c r="F10" s="2079"/>
      <c r="G10" s="2079"/>
      <c r="H10" s="1624">
        <v>119711000000</v>
      </c>
      <c r="I10" s="1624">
        <v>139594000000.00003</v>
      </c>
      <c r="J10" s="1624">
        <v>164566079999.99997</v>
      </c>
      <c r="K10" s="2076">
        <v>186091776000.00003</v>
      </c>
      <c r="L10" s="1624">
        <v>202891372000</v>
      </c>
      <c r="M10" s="1624">
        <v>169235254999.99997</v>
      </c>
      <c r="N10" s="1624">
        <v>218555999999.99997</v>
      </c>
      <c r="O10" s="1624">
        <v>215951999999.99997</v>
      </c>
      <c r="P10" s="1624">
        <v>204714000000</v>
      </c>
      <c r="Q10" s="1624">
        <v>247427999999.99997</v>
      </c>
      <c r="R10" s="1624">
        <v>275000000000</v>
      </c>
      <c r="S10" s="2093">
        <v>220000000000</v>
      </c>
      <c r="T10" s="2093">
        <v>283000000000</v>
      </c>
      <c r="U10" s="2093">
        <v>435000000000</v>
      </c>
      <c r="V10" s="2093">
        <v>545000000000</v>
      </c>
      <c r="W10" s="2095">
        <v>750000000000</v>
      </c>
      <c r="X10" s="2095">
        <v>941000000000</v>
      </c>
      <c r="Y10" s="2093">
        <v>1103000000000</v>
      </c>
      <c r="Z10" s="2093">
        <v>1279000000000</v>
      </c>
      <c r="AA10" s="2073"/>
      <c r="AB10" s="2073"/>
      <c r="AC10" s="2073"/>
      <c r="AD10" s="2073"/>
      <c r="AE10" s="365"/>
      <c r="AF10" s="365"/>
      <c r="AG10" s="365"/>
      <c r="AH10" s="365"/>
      <c r="AI10" s="365"/>
      <c r="AJ10" s="365"/>
      <c r="AK10" s="365"/>
      <c r="AL10" s="365"/>
      <c r="AM10" s="365"/>
      <c r="AN10" s="365"/>
      <c r="AO10" s="365"/>
    </row>
    <row r="11" spans="1:41">
      <c r="A11" s="1620" t="s">
        <v>641</v>
      </c>
      <c r="B11" s="1620" t="s">
        <v>5966</v>
      </c>
      <c r="C11" s="1604" t="s">
        <v>44</v>
      </c>
      <c r="D11" s="2079"/>
      <c r="E11" s="2079"/>
      <c r="F11" s="2079"/>
      <c r="G11" s="2079"/>
      <c r="H11" s="1624">
        <v>64928000000</v>
      </c>
      <c r="I11" s="1624">
        <v>78078000000</v>
      </c>
      <c r="J11" s="1624">
        <v>94037759999.999985</v>
      </c>
      <c r="K11" s="2076">
        <v>96624576000.000015</v>
      </c>
      <c r="L11" s="1624">
        <v>101445686000</v>
      </c>
      <c r="M11" s="1624">
        <v>96705859999.999985</v>
      </c>
      <c r="N11" s="1624">
        <v>128892000000</v>
      </c>
      <c r="O11" s="1624">
        <v>183231999999.99997</v>
      </c>
      <c r="P11" s="1624">
        <v>189549999999.99997</v>
      </c>
      <c r="Q11" s="1624">
        <v>221832000000</v>
      </c>
      <c r="R11" s="1624">
        <v>257000000000</v>
      </c>
      <c r="S11" s="2093">
        <v>498000000000</v>
      </c>
      <c r="T11" s="2093">
        <v>455000000000</v>
      </c>
      <c r="U11" s="2093">
        <v>476000000000</v>
      </c>
      <c r="V11" s="2093">
        <v>538000000000</v>
      </c>
      <c r="W11" s="2095">
        <v>575000000000</v>
      </c>
      <c r="X11" s="2095">
        <v>615000000000</v>
      </c>
      <c r="Y11" s="2093">
        <v>660000000000</v>
      </c>
      <c r="Z11" s="2093">
        <v>708000000000</v>
      </c>
      <c r="AA11" s="2073"/>
      <c r="AB11" s="2073"/>
      <c r="AC11" s="2073"/>
      <c r="AD11" s="2073"/>
      <c r="AE11" s="365"/>
      <c r="AF11" s="365"/>
      <c r="AG11" s="365"/>
      <c r="AH11" s="365"/>
      <c r="AI11" s="365"/>
      <c r="AJ11" s="365"/>
      <c r="AK11" s="365"/>
      <c r="AL11" s="365"/>
      <c r="AM11" s="365"/>
      <c r="AN11" s="365"/>
      <c r="AO11" s="365"/>
    </row>
    <row r="12" spans="1:41">
      <c r="A12" s="1620" t="s">
        <v>5967</v>
      </c>
      <c r="B12" s="1620" t="s">
        <v>5968</v>
      </c>
      <c r="C12" s="1604" t="s">
        <v>44</v>
      </c>
      <c r="D12" s="2079"/>
      <c r="E12" s="2079"/>
      <c r="F12" s="2079"/>
      <c r="G12" s="2079"/>
      <c r="H12" s="1624">
        <v>40580000000</v>
      </c>
      <c r="I12" s="1624">
        <v>44954000000</v>
      </c>
      <c r="J12" s="1624">
        <v>52896240000</v>
      </c>
      <c r="K12" s="2076">
        <v>57259008000.000008</v>
      </c>
      <c r="L12" s="1624">
        <v>79392276000</v>
      </c>
      <c r="M12" s="1624">
        <v>96705859999.999985</v>
      </c>
      <c r="N12" s="1624">
        <v>72852000000</v>
      </c>
      <c r="O12" s="1624">
        <v>91615999999.999985</v>
      </c>
      <c r="P12" s="1624">
        <v>106147999999.99998</v>
      </c>
      <c r="Q12" s="1624">
        <v>127979999999.99998</v>
      </c>
      <c r="R12" s="1624">
        <v>129000000000</v>
      </c>
      <c r="S12" s="2093">
        <v>184000000000</v>
      </c>
      <c r="T12" s="2093">
        <v>212000000000</v>
      </c>
      <c r="U12" s="2093">
        <v>214000000000</v>
      </c>
      <c r="V12" s="2093">
        <v>228000000000</v>
      </c>
      <c r="W12" s="2095">
        <v>243000000000</v>
      </c>
      <c r="X12" s="2095">
        <v>259000000000</v>
      </c>
      <c r="Y12" s="2093">
        <v>276000000000</v>
      </c>
      <c r="Z12" s="2093">
        <v>295000000000</v>
      </c>
      <c r="AA12" s="2073"/>
      <c r="AB12" s="2073"/>
      <c r="AC12" s="2073"/>
      <c r="AD12" s="2073"/>
      <c r="AE12" s="365"/>
      <c r="AF12" s="365"/>
      <c r="AG12" s="365"/>
      <c r="AH12" s="365"/>
      <c r="AI12" s="365"/>
      <c r="AJ12" s="365"/>
      <c r="AK12" s="365"/>
      <c r="AL12" s="365"/>
      <c r="AM12" s="365"/>
      <c r="AN12" s="365"/>
      <c r="AO12" s="365"/>
    </row>
    <row r="13" spans="1:41">
      <c r="A13" s="1620" t="s">
        <v>50</v>
      </c>
      <c r="B13" s="1620" t="s">
        <v>50</v>
      </c>
      <c r="C13" s="1604" t="s">
        <v>44</v>
      </c>
      <c r="D13" s="2079"/>
      <c r="E13" s="2079"/>
      <c r="F13" s="2079"/>
      <c r="G13" s="2079"/>
      <c r="H13" s="1624">
        <v>12174000000</v>
      </c>
      <c r="I13" s="1624">
        <v>23660000000</v>
      </c>
      <c r="J13" s="1624">
        <v>38202839999.999992</v>
      </c>
      <c r="K13" s="2076">
        <v>60837696000</v>
      </c>
      <c r="L13" s="1624">
        <v>74981594000</v>
      </c>
      <c r="M13" s="1624">
        <v>111211738999.99998</v>
      </c>
      <c r="N13" s="1624">
        <v>162516000000</v>
      </c>
      <c r="O13" s="1624">
        <v>163600000000</v>
      </c>
      <c r="P13" s="1624">
        <v>166804000000</v>
      </c>
      <c r="Q13" s="1624">
        <v>162107999999.99997</v>
      </c>
      <c r="R13" s="1624">
        <v>191000000000</v>
      </c>
      <c r="S13" s="2093">
        <v>191000000000</v>
      </c>
      <c r="T13" s="2093">
        <v>254000000000</v>
      </c>
      <c r="U13" s="2093">
        <v>283000000000</v>
      </c>
      <c r="V13" s="2093">
        <v>321000000000</v>
      </c>
      <c r="W13" s="2095">
        <v>342000000000</v>
      </c>
      <c r="X13" s="2095">
        <v>368000000000</v>
      </c>
      <c r="Y13" s="2093">
        <v>393000000000</v>
      </c>
      <c r="Z13" s="2093">
        <v>422000000000</v>
      </c>
      <c r="AA13" s="2073"/>
      <c r="AB13" s="2073"/>
      <c r="AC13" s="2073"/>
      <c r="AD13" s="2073"/>
      <c r="AE13" s="365"/>
      <c r="AF13" s="365"/>
      <c r="AG13" s="365"/>
      <c r="AH13" s="365"/>
      <c r="AI13" s="365"/>
      <c r="AJ13" s="365"/>
      <c r="AK13" s="365"/>
      <c r="AL13" s="365"/>
      <c r="AM13" s="365"/>
      <c r="AN13" s="365"/>
      <c r="AO13" s="365"/>
    </row>
    <row r="14" spans="1:41">
      <c r="A14" s="1616" t="s">
        <v>51</v>
      </c>
      <c r="B14" s="1616" t="s">
        <v>4959</v>
      </c>
      <c r="C14" s="1612" t="s">
        <v>41</v>
      </c>
      <c r="D14" s="2075">
        <v>28890000000</v>
      </c>
      <c r="E14" s="2075">
        <v>28457000000</v>
      </c>
      <c r="F14" s="2075">
        <v>40050000000</v>
      </c>
      <c r="G14" s="2075">
        <v>44868000000</v>
      </c>
      <c r="H14" s="1624">
        <v>30435000000</v>
      </c>
      <c r="I14" s="1624">
        <v>42588000000</v>
      </c>
      <c r="J14" s="1624">
        <v>49957559999.999992</v>
      </c>
      <c r="K14" s="2076">
        <v>57259008000.000008</v>
      </c>
      <c r="L14" s="1624">
        <v>70570912000</v>
      </c>
      <c r="M14" s="1624">
        <v>82199980999.999985</v>
      </c>
      <c r="N14" s="1624">
        <v>95268000000</v>
      </c>
      <c r="O14" s="1624">
        <v>124335999999.99998</v>
      </c>
      <c r="P14" s="1624">
        <v>144058000000</v>
      </c>
      <c r="Q14" s="1624">
        <v>110916000000</v>
      </c>
      <c r="R14" s="1624">
        <v>145000000000</v>
      </c>
      <c r="S14" s="2093">
        <v>99000000000</v>
      </c>
      <c r="T14" s="2093">
        <v>222000000000</v>
      </c>
      <c r="U14" s="2093">
        <v>166000000000</v>
      </c>
      <c r="V14" s="2093">
        <v>182000000000</v>
      </c>
      <c r="W14" s="2095">
        <v>200000000000</v>
      </c>
      <c r="X14" s="2095">
        <v>220000000000</v>
      </c>
      <c r="Y14" s="2093">
        <v>242000000000</v>
      </c>
      <c r="Z14" s="2093">
        <v>267000000000</v>
      </c>
      <c r="AA14" s="2073"/>
      <c r="AB14" s="2073"/>
      <c r="AC14" s="2073"/>
      <c r="AD14" s="2073"/>
      <c r="AE14" s="365"/>
      <c r="AF14" s="365"/>
      <c r="AG14" s="365"/>
      <c r="AH14" s="365"/>
      <c r="AI14" s="365"/>
      <c r="AJ14" s="365"/>
      <c r="AK14" s="365"/>
      <c r="AL14" s="365"/>
      <c r="AM14" s="365"/>
      <c r="AN14" s="365"/>
      <c r="AO14" s="365"/>
    </row>
    <row r="15" spans="1:41" s="848" customFormat="1">
      <c r="A15" s="1902" t="s">
        <v>53</v>
      </c>
      <c r="B15" s="1902" t="s">
        <v>53</v>
      </c>
      <c r="C15" s="1904" t="s">
        <v>38</v>
      </c>
      <c r="D15" s="2086">
        <v>5145000000</v>
      </c>
      <c r="E15" s="2086">
        <v>5500000000</v>
      </c>
      <c r="F15" s="2086">
        <v>7079000000</v>
      </c>
      <c r="G15" s="2086">
        <v>7956000000</v>
      </c>
      <c r="H15" s="2084">
        <v>8116000000</v>
      </c>
      <c r="I15" s="2084">
        <v>31886166000</v>
      </c>
      <c r="J15" s="2084">
        <v>29386800000</v>
      </c>
      <c r="K15" s="1899">
        <v>32208192000</v>
      </c>
      <c r="L15" s="2084">
        <f>L6-L7</f>
        <v>30874774000</v>
      </c>
      <c r="M15" s="2084">
        <v>24176464999.999996</v>
      </c>
      <c r="N15" s="2084">
        <v>16811999999.999998</v>
      </c>
      <c r="O15" s="2084">
        <v>13088000000.000002</v>
      </c>
      <c r="P15" s="2084">
        <v>15164000000</v>
      </c>
      <c r="Q15" s="2084">
        <v>17064000000</v>
      </c>
      <c r="R15" s="2084">
        <v>9000000000</v>
      </c>
      <c r="S15" s="2091">
        <v>6000000000</v>
      </c>
      <c r="T15" s="2091">
        <v>7000000000</v>
      </c>
      <c r="U15" s="2091">
        <v>8000000000</v>
      </c>
      <c r="V15" s="2091">
        <v>10000000000</v>
      </c>
      <c r="W15" s="2092">
        <v>11000000000</v>
      </c>
      <c r="X15" s="2092">
        <v>12000000000</v>
      </c>
      <c r="Y15" s="2091">
        <v>13000000000</v>
      </c>
      <c r="Z15" s="2091">
        <v>15000000000</v>
      </c>
      <c r="AA15" s="2085"/>
      <c r="AB15" s="2085"/>
      <c r="AC15" s="2085"/>
      <c r="AD15" s="2085"/>
      <c r="AE15" s="916"/>
      <c r="AF15" s="916"/>
      <c r="AG15" s="916"/>
      <c r="AH15" s="916"/>
      <c r="AI15" s="916"/>
      <c r="AJ15" s="916"/>
      <c r="AK15" s="916"/>
      <c r="AL15" s="916"/>
      <c r="AM15" s="916"/>
      <c r="AN15" s="916"/>
      <c r="AO15" s="916"/>
    </row>
    <row r="16" spans="1:41" s="848" customFormat="1">
      <c r="A16" s="1902" t="s">
        <v>198</v>
      </c>
      <c r="B16" s="1902" t="s">
        <v>5969</v>
      </c>
      <c r="C16" s="1902" t="s">
        <v>35</v>
      </c>
      <c r="D16" s="2086">
        <f>D17+D27</f>
        <v>322048000000</v>
      </c>
      <c r="E16" s="2086">
        <f>E17+E27</f>
        <v>371264000000</v>
      </c>
      <c r="F16" s="2086">
        <f>F17+F27</f>
        <v>389442000000</v>
      </c>
      <c r="G16" s="2086">
        <f>G17+G27</f>
        <v>409782000000</v>
      </c>
      <c r="H16" s="2084">
        <v>476815000000</v>
      </c>
      <c r="I16" s="2084">
        <f>I17+I27</f>
        <v>586768000000</v>
      </c>
      <c r="J16" s="2086">
        <v>708221880000</v>
      </c>
      <c r="K16" s="2084">
        <f>K17+K27</f>
        <v>844570368000</v>
      </c>
      <c r="L16" s="2084">
        <v>996814132000.00012</v>
      </c>
      <c r="M16" s="2084">
        <v>1203987956999.9998</v>
      </c>
      <c r="N16" s="2084">
        <v>1277712000000</v>
      </c>
      <c r="O16" s="2084">
        <f>O17+O27</f>
        <v>1406960000000</v>
      </c>
      <c r="P16" s="2084">
        <v>1493653999999.9998</v>
      </c>
      <c r="Q16" s="2084">
        <f>Q17+Q27</f>
        <v>1569888000000</v>
      </c>
      <c r="R16" s="2084">
        <v>1857000000000</v>
      </c>
      <c r="S16" s="2091">
        <v>2229000000000</v>
      </c>
      <c r="T16" s="2091">
        <v>2334000000000</v>
      </c>
      <c r="U16" s="2091">
        <v>2597000000000</v>
      </c>
      <c r="V16" s="2091">
        <v>2854000000000</v>
      </c>
      <c r="W16" s="2092">
        <v>3143000000000</v>
      </c>
      <c r="X16" s="2092">
        <v>3461000000000</v>
      </c>
      <c r="Y16" s="2091">
        <v>3842000000000</v>
      </c>
      <c r="Z16" s="2091">
        <v>4250000000000</v>
      </c>
      <c r="AA16" s="2085"/>
      <c r="AB16" s="2085"/>
      <c r="AC16" s="2085"/>
      <c r="AD16" s="2085"/>
      <c r="AE16" s="916"/>
      <c r="AF16" s="916"/>
      <c r="AG16" s="916"/>
      <c r="AH16" s="916"/>
      <c r="AI16" s="916"/>
      <c r="AJ16" s="916"/>
      <c r="AK16" s="916"/>
      <c r="AL16" s="916"/>
      <c r="AM16" s="916"/>
      <c r="AN16" s="916"/>
      <c r="AO16" s="916"/>
    </row>
    <row r="17" spans="1:41">
      <c r="A17" s="1612" t="s">
        <v>73</v>
      </c>
      <c r="B17" s="1612" t="s">
        <v>3895</v>
      </c>
      <c r="C17" s="1612" t="s">
        <v>201</v>
      </c>
      <c r="D17" s="2075">
        <v>254279000000</v>
      </c>
      <c r="E17" s="2075">
        <v>303362000000</v>
      </c>
      <c r="F17" s="2075">
        <v>330847000000</v>
      </c>
      <c r="G17" s="2075">
        <v>334693000000</v>
      </c>
      <c r="H17" s="1624">
        <v>389568000000</v>
      </c>
      <c r="I17" s="1624">
        <f>I18+I19+I20+I21+I22</f>
        <v>444808000000</v>
      </c>
      <c r="J17" s="1624">
        <v>543655800000</v>
      </c>
      <c r="K17" s="1624">
        <v>626270400000</v>
      </c>
      <c r="L17" s="1624">
        <v>745405257999.99988</v>
      </c>
      <c r="M17" s="1624">
        <v>880023325999.99988</v>
      </c>
      <c r="N17" s="1624">
        <v>935867999999.99988</v>
      </c>
      <c r="O17" s="2090">
        <f>O18+O19+O20+O21+O22</f>
        <v>1014320000000</v>
      </c>
      <c r="P17" s="1624">
        <v>1091808000000</v>
      </c>
      <c r="Q17" s="2090">
        <f>Q18+Q19+Q20+Q21+Q22</f>
        <v>1228608000000</v>
      </c>
      <c r="R17" s="2077">
        <v>1323000000000</v>
      </c>
      <c r="S17" s="2094">
        <v>1702000000000</v>
      </c>
      <c r="T17" s="2094">
        <v>1758000000000</v>
      </c>
      <c r="U17" s="2094">
        <v>1973000000000</v>
      </c>
      <c r="V17" s="2094">
        <v>2189000000000</v>
      </c>
      <c r="W17" s="2095">
        <v>2402000000000</v>
      </c>
      <c r="X17" s="2095">
        <v>2646000000000</v>
      </c>
      <c r="Y17" s="2093">
        <v>2899000000000</v>
      </c>
      <c r="Z17" s="2093">
        <v>3159000000000</v>
      </c>
      <c r="AA17" s="2073"/>
      <c r="AB17" s="2073"/>
      <c r="AC17" s="2073"/>
      <c r="AD17" s="2073"/>
      <c r="AE17" s="365"/>
      <c r="AF17" s="365"/>
      <c r="AG17" s="365"/>
      <c r="AH17" s="365"/>
      <c r="AI17" s="365"/>
      <c r="AJ17" s="365"/>
      <c r="AK17" s="365"/>
      <c r="AL17" s="365"/>
      <c r="AM17" s="365"/>
      <c r="AN17" s="365"/>
      <c r="AO17" s="365"/>
    </row>
    <row r="18" spans="1:41">
      <c r="A18" s="1616" t="s">
        <v>5970</v>
      </c>
      <c r="B18" s="1616" t="s">
        <v>5971</v>
      </c>
      <c r="C18" s="1612" t="s">
        <v>204</v>
      </c>
      <c r="D18" s="1624"/>
      <c r="E18" s="1624"/>
      <c r="F18" s="1624"/>
      <c r="G18" s="1624"/>
      <c r="H18" s="1624">
        <v>64928000000</v>
      </c>
      <c r="I18" s="1624">
        <v>89908000000</v>
      </c>
      <c r="J18" s="1624">
        <v>114608520000</v>
      </c>
      <c r="K18" s="2076">
        <v>132411456000</v>
      </c>
      <c r="L18" s="1624">
        <v>141141824000</v>
      </c>
      <c r="M18" s="1624">
        <v>145058790000</v>
      </c>
      <c r="N18" s="1624">
        <v>156911999999.99997</v>
      </c>
      <c r="O18" s="1624">
        <v>176688000000.00003</v>
      </c>
      <c r="P18" s="1624">
        <v>181968000000</v>
      </c>
      <c r="Q18" s="1624">
        <v>230364000000</v>
      </c>
      <c r="R18" s="2077">
        <v>255000000000</v>
      </c>
      <c r="S18" s="2094">
        <v>323000000000</v>
      </c>
      <c r="T18" s="2094">
        <v>334000000000</v>
      </c>
      <c r="U18" s="2094">
        <v>346000000000</v>
      </c>
      <c r="V18" s="2094">
        <v>365000000000</v>
      </c>
      <c r="W18" s="2095">
        <v>399000000000</v>
      </c>
      <c r="X18" s="2095">
        <v>439000000000</v>
      </c>
      <c r="Y18" s="2093">
        <v>483000000000</v>
      </c>
      <c r="Z18" s="2093">
        <v>533000000000</v>
      </c>
      <c r="AA18" s="2073"/>
      <c r="AB18" s="2073"/>
      <c r="AC18" s="2073"/>
      <c r="AD18" s="2073"/>
      <c r="AE18" s="365"/>
      <c r="AF18" s="365"/>
      <c r="AG18" s="365"/>
      <c r="AH18" s="365"/>
      <c r="AI18" s="365"/>
      <c r="AJ18" s="365"/>
      <c r="AK18" s="365"/>
      <c r="AL18" s="365"/>
      <c r="AM18" s="365"/>
      <c r="AN18" s="365"/>
      <c r="AO18" s="365"/>
    </row>
    <row r="19" spans="1:41">
      <c r="A19" s="1616" t="s">
        <v>5972</v>
      </c>
      <c r="B19" s="1616" t="s">
        <v>5973</v>
      </c>
      <c r="C19" s="1612" t="s">
        <v>204</v>
      </c>
      <c r="D19" s="1624"/>
      <c r="E19" s="1624"/>
      <c r="F19" s="1624"/>
      <c r="G19" s="1624"/>
      <c r="H19" s="1624">
        <v>26377000000</v>
      </c>
      <c r="I19" s="1624">
        <v>23660000000</v>
      </c>
      <c r="J19" s="1624">
        <v>29386800000</v>
      </c>
      <c r="K19" s="2076">
        <v>28629504000</v>
      </c>
      <c r="L19" s="1624">
        <v>48517502000</v>
      </c>
      <c r="M19" s="1624">
        <v>48352929999.999992</v>
      </c>
      <c r="N19" s="1624">
        <v>39227999999.999992</v>
      </c>
      <c r="O19" s="1624">
        <v>58896000000</v>
      </c>
      <c r="P19" s="1624">
        <v>60656000000</v>
      </c>
      <c r="Q19" s="1624">
        <v>59723999999.999992</v>
      </c>
      <c r="R19" s="1624">
        <v>55000000000</v>
      </c>
      <c r="S19" s="2093">
        <v>135000000000</v>
      </c>
      <c r="T19" s="2093">
        <v>86000000000</v>
      </c>
      <c r="U19" s="2093">
        <v>96000000000</v>
      </c>
      <c r="V19" s="2093">
        <v>105000000000</v>
      </c>
      <c r="W19" s="2095">
        <v>116000000000</v>
      </c>
      <c r="X19" s="2095">
        <v>127000000000</v>
      </c>
      <c r="Y19" s="2093">
        <v>140000000000</v>
      </c>
      <c r="Z19" s="2093">
        <v>155000000000</v>
      </c>
      <c r="AA19" s="2073"/>
      <c r="AB19" s="2073"/>
      <c r="AC19" s="2073"/>
      <c r="AD19" s="2073"/>
      <c r="AE19" s="365"/>
      <c r="AF19" s="365"/>
      <c r="AG19" s="365"/>
      <c r="AH19" s="365"/>
      <c r="AI19" s="365"/>
      <c r="AJ19" s="365"/>
      <c r="AK19" s="365"/>
      <c r="AL19" s="365"/>
      <c r="AM19" s="365"/>
      <c r="AN19" s="365"/>
      <c r="AO19" s="365"/>
    </row>
    <row r="20" spans="1:41">
      <c r="A20" s="1616" t="s">
        <v>5974</v>
      </c>
      <c r="B20" s="1616" t="s">
        <v>5975</v>
      </c>
      <c r="C20" s="1612" t="s">
        <v>204</v>
      </c>
      <c r="D20" s="1624"/>
      <c r="E20" s="1624"/>
      <c r="F20" s="1624"/>
      <c r="G20" s="1624"/>
      <c r="H20" s="1624">
        <v>73044000000</v>
      </c>
      <c r="I20" s="1624">
        <v>82810000000</v>
      </c>
      <c r="J20" s="1624">
        <v>105792480000</v>
      </c>
      <c r="K20" s="2076">
        <v>135990144000</v>
      </c>
      <c r="L20" s="1624">
        <v>172016598000</v>
      </c>
      <c r="M20" s="1624">
        <v>188576426999.99997</v>
      </c>
      <c r="N20" s="1624">
        <v>190536000000</v>
      </c>
      <c r="O20" s="1624">
        <v>202864000000</v>
      </c>
      <c r="P20" s="1624">
        <v>204714000000</v>
      </c>
      <c r="Q20" s="1624">
        <v>247427999999.99997</v>
      </c>
      <c r="R20" s="1624">
        <v>258000000000</v>
      </c>
      <c r="S20" s="2093">
        <v>297000000000</v>
      </c>
      <c r="T20" s="2093">
        <v>307000000000</v>
      </c>
      <c r="U20" s="2093">
        <v>331000000000</v>
      </c>
      <c r="V20" s="2093">
        <v>355000000000</v>
      </c>
      <c r="W20" s="2095">
        <v>385000000000</v>
      </c>
      <c r="X20" s="2095">
        <v>423000000000</v>
      </c>
      <c r="Y20" s="2093">
        <v>466000000000</v>
      </c>
      <c r="Z20" s="2093">
        <v>514000000000</v>
      </c>
      <c r="AA20" s="2073"/>
      <c r="AB20" s="2073"/>
      <c r="AC20" s="2073"/>
      <c r="AD20" s="2073"/>
      <c r="AE20" s="365"/>
      <c r="AF20" s="365"/>
      <c r="AG20" s="365"/>
      <c r="AH20" s="365"/>
      <c r="AI20" s="365"/>
      <c r="AJ20" s="365"/>
      <c r="AK20" s="365"/>
      <c r="AL20" s="365"/>
      <c r="AM20" s="365"/>
      <c r="AN20" s="365"/>
      <c r="AO20" s="365"/>
    </row>
    <row r="21" spans="1:41">
      <c r="A21" s="1616" t="s">
        <v>85</v>
      </c>
      <c r="B21" s="1616" t="s">
        <v>4968</v>
      </c>
      <c r="C21" s="1612" t="s">
        <v>204</v>
      </c>
      <c r="D21" s="1624"/>
      <c r="E21" s="1624"/>
      <c r="F21" s="1624"/>
      <c r="G21" s="1624"/>
      <c r="H21" s="1624">
        <v>105508000000</v>
      </c>
      <c r="I21" s="1624">
        <v>127764000000.00002</v>
      </c>
      <c r="J21" s="1624">
        <v>143995320000.00003</v>
      </c>
      <c r="K21" s="2076">
        <v>146726207999.99997</v>
      </c>
      <c r="L21" s="1624">
        <v>172016598000</v>
      </c>
      <c r="M21" s="1624">
        <v>188576426999.99997</v>
      </c>
      <c r="N21" s="1624">
        <v>196140000000</v>
      </c>
      <c r="O21" s="1624">
        <v>215951999999.99997</v>
      </c>
      <c r="P21" s="1624">
        <v>235041999999.99997</v>
      </c>
      <c r="Q21" s="1624">
        <v>247427999999.99997</v>
      </c>
      <c r="R21" s="1624">
        <v>318000000000</v>
      </c>
      <c r="S21" s="2093">
        <v>419000000000</v>
      </c>
      <c r="T21" s="2093">
        <v>419000000000</v>
      </c>
      <c r="U21" s="2093">
        <v>480000000000</v>
      </c>
      <c r="V21" s="2093">
        <v>515000000000</v>
      </c>
      <c r="W21" s="2095">
        <v>566000000000</v>
      </c>
      <c r="X21" s="2095">
        <v>623000000000</v>
      </c>
      <c r="Y21" s="2093">
        <v>686000000000</v>
      </c>
      <c r="Z21" s="2093">
        <v>757000000000</v>
      </c>
      <c r="AA21" s="2073"/>
      <c r="AB21" s="2073"/>
      <c r="AC21" s="2073"/>
      <c r="AD21" s="2073"/>
      <c r="AE21" s="365"/>
      <c r="AF21" s="365"/>
      <c r="AG21" s="365"/>
      <c r="AH21" s="365"/>
      <c r="AI21" s="365"/>
      <c r="AJ21" s="365"/>
      <c r="AK21" s="365"/>
      <c r="AL21" s="365"/>
      <c r="AM21" s="365"/>
      <c r="AN21" s="365"/>
      <c r="AO21" s="365"/>
    </row>
    <row r="22" spans="1:41">
      <c r="A22" s="1616" t="s">
        <v>90</v>
      </c>
      <c r="B22" s="1616" t="s">
        <v>5976</v>
      </c>
      <c r="C22" s="1612" t="s">
        <v>204</v>
      </c>
      <c r="D22" s="1624"/>
      <c r="E22" s="1624"/>
      <c r="F22" s="1624"/>
      <c r="G22" s="1624"/>
      <c r="H22" s="1624">
        <v>119711000000</v>
      </c>
      <c r="I22" s="1624">
        <v>120666000000</v>
      </c>
      <c r="J22" s="1624">
        <v>149872679999.99997</v>
      </c>
      <c r="K22" s="2076">
        <v>182513088000</v>
      </c>
      <c r="L22" s="1624">
        <v>211712735999.99997</v>
      </c>
      <c r="M22" s="1624">
        <v>309458752000</v>
      </c>
      <c r="N22" s="1624">
        <v>353051999999.99994</v>
      </c>
      <c r="O22" s="1624">
        <v>359919999999.99994</v>
      </c>
      <c r="P22" s="1624">
        <v>409428000000</v>
      </c>
      <c r="Q22" s="1624">
        <v>443664000000</v>
      </c>
      <c r="R22" s="1624">
        <v>436000000000</v>
      </c>
      <c r="S22" s="2093">
        <v>527000000000</v>
      </c>
      <c r="T22" s="2093">
        <v>611000000000</v>
      </c>
      <c r="U22" s="2093">
        <v>720000000000</v>
      </c>
      <c r="V22" s="2093">
        <v>849000000000</v>
      </c>
      <c r="W22" s="2095">
        <v>937000000000</v>
      </c>
      <c r="X22" s="2095">
        <v>1034000000000</v>
      </c>
      <c r="Y22" s="2093">
        <v>1123000000000</v>
      </c>
      <c r="Z22" s="2093">
        <v>1201000000000</v>
      </c>
      <c r="AA22" s="2073"/>
      <c r="AB22" s="2073"/>
      <c r="AC22" s="2073"/>
      <c r="AD22" s="2073"/>
      <c r="AE22" s="365"/>
      <c r="AF22" s="365"/>
      <c r="AG22" s="365"/>
      <c r="AH22" s="365"/>
      <c r="AI22" s="365"/>
      <c r="AJ22" s="365"/>
      <c r="AK22" s="365"/>
      <c r="AL22" s="365"/>
      <c r="AM22" s="365"/>
      <c r="AN22" s="365"/>
      <c r="AO22" s="365"/>
    </row>
    <row r="23" spans="1:41">
      <c r="A23" s="1620" t="s">
        <v>212</v>
      </c>
      <c r="B23" s="1620" t="s">
        <v>212</v>
      </c>
      <c r="C23" s="1612" t="s">
        <v>211</v>
      </c>
      <c r="D23" s="1624"/>
      <c r="E23" s="1624"/>
      <c r="F23" s="1624"/>
      <c r="G23" s="1624"/>
      <c r="H23" s="1624">
        <v>14202999999.999998</v>
      </c>
      <c r="I23" s="1624">
        <v>7098000000</v>
      </c>
      <c r="J23" s="1624">
        <v>17632080000</v>
      </c>
      <c r="K23" s="2076">
        <v>21472128000</v>
      </c>
      <c r="L23" s="1624"/>
      <c r="M23" s="1624"/>
      <c r="N23" s="1624"/>
      <c r="O23" s="1624"/>
      <c r="P23" s="1624"/>
      <c r="Q23" s="1624"/>
      <c r="R23" s="1624"/>
      <c r="S23" s="2093"/>
      <c r="T23" s="2093"/>
      <c r="U23" s="2093"/>
      <c r="V23" s="2093"/>
      <c r="W23" s="2095"/>
      <c r="X23" s="2095"/>
      <c r="Y23" s="2093"/>
      <c r="Z23" s="2093"/>
      <c r="AB23" s="2073"/>
      <c r="AC23" s="2073"/>
      <c r="AD23" s="2073"/>
      <c r="AE23" s="365"/>
      <c r="AF23" s="365"/>
      <c r="AG23" s="365"/>
      <c r="AH23" s="365"/>
      <c r="AI23" s="365"/>
      <c r="AJ23" s="365"/>
      <c r="AK23" s="365"/>
      <c r="AL23" s="365"/>
      <c r="AM23" s="365"/>
      <c r="AN23" s="365"/>
      <c r="AO23" s="365"/>
    </row>
    <row r="24" spans="1:41">
      <c r="A24" s="1620" t="s">
        <v>5977</v>
      </c>
      <c r="B24" s="1620" t="s">
        <v>5977</v>
      </c>
      <c r="C24" s="1612" t="s">
        <v>211</v>
      </c>
      <c r="D24" s="1624"/>
      <c r="E24" s="1624"/>
      <c r="F24" s="1624"/>
      <c r="G24" s="1624"/>
      <c r="H24" s="1624"/>
      <c r="I24" s="1624"/>
      <c r="J24" s="1624">
        <v>8816040000</v>
      </c>
      <c r="K24" s="2076">
        <v>10736064000</v>
      </c>
      <c r="L24" s="1624"/>
      <c r="M24" s="1624"/>
      <c r="N24" s="1624"/>
      <c r="O24" s="1624"/>
      <c r="P24" s="1624"/>
      <c r="Q24" s="1624"/>
      <c r="R24" s="1624"/>
      <c r="S24" s="2093"/>
      <c r="T24" s="2093"/>
      <c r="U24" s="2093"/>
      <c r="V24" s="2093"/>
      <c r="W24" s="2095"/>
      <c r="X24" s="2095"/>
      <c r="Y24" s="2093"/>
      <c r="Z24" s="2093"/>
      <c r="AB24" s="2073"/>
      <c r="AC24" s="2073"/>
      <c r="AD24" s="2073"/>
      <c r="AE24" s="365"/>
      <c r="AF24" s="365"/>
      <c r="AG24" s="365"/>
      <c r="AH24" s="365"/>
      <c r="AI24" s="365"/>
      <c r="AJ24" s="365"/>
      <c r="AK24" s="365"/>
      <c r="AL24" s="365"/>
      <c r="AM24" s="365"/>
      <c r="AN24" s="365"/>
      <c r="AO24" s="365"/>
    </row>
    <row r="25" spans="1:41">
      <c r="A25" s="1620" t="s">
        <v>209</v>
      </c>
      <c r="B25" s="1620" t="s">
        <v>209</v>
      </c>
      <c r="C25" s="1612" t="s">
        <v>211</v>
      </c>
      <c r="D25" s="1624"/>
      <c r="E25" s="1624"/>
      <c r="F25" s="1624"/>
      <c r="G25" s="1624"/>
      <c r="H25" s="1624">
        <v>105508000000</v>
      </c>
      <c r="I25" s="1624">
        <v>113568000000</v>
      </c>
      <c r="J25" s="1624">
        <v>123424560000</v>
      </c>
      <c r="K25" s="2076">
        <v>150304896000</v>
      </c>
      <c r="L25" s="1624"/>
      <c r="M25" s="1624"/>
      <c r="N25" s="1624"/>
      <c r="O25" s="1624"/>
      <c r="P25" s="1624"/>
      <c r="Q25" s="1624"/>
      <c r="R25" s="1624"/>
      <c r="S25" s="2093"/>
      <c r="T25" s="2093"/>
      <c r="U25" s="2093"/>
      <c r="V25" s="2093"/>
      <c r="W25" s="2095"/>
      <c r="X25" s="2095"/>
      <c r="Y25" s="2093"/>
      <c r="Z25" s="2093"/>
      <c r="AB25" s="2073"/>
      <c r="AC25" s="2073"/>
      <c r="AD25" s="2073"/>
      <c r="AE25" s="365"/>
      <c r="AF25" s="365"/>
      <c r="AG25" s="365"/>
      <c r="AH25" s="365"/>
      <c r="AI25" s="365"/>
      <c r="AJ25" s="365"/>
      <c r="AK25" s="365"/>
      <c r="AL25" s="365"/>
      <c r="AM25" s="365"/>
      <c r="AN25" s="365"/>
      <c r="AO25" s="365"/>
    </row>
    <row r="26" spans="1:41">
      <c r="A26" s="1602" t="s">
        <v>76</v>
      </c>
      <c r="B26" s="1616" t="s">
        <v>3722</v>
      </c>
      <c r="C26" s="1612"/>
      <c r="D26" s="1624"/>
      <c r="E26" s="1624"/>
      <c r="F26" s="1624"/>
      <c r="G26" s="1624"/>
      <c r="H26" s="1624"/>
      <c r="I26" s="1624"/>
      <c r="J26" s="1624"/>
      <c r="K26" s="2076"/>
      <c r="L26" s="1624"/>
      <c r="M26" s="1624"/>
      <c r="N26" s="1624"/>
      <c r="O26" s="1624"/>
      <c r="P26" s="1624"/>
      <c r="Q26" s="1624"/>
      <c r="R26" s="1624"/>
      <c r="S26" s="2093"/>
      <c r="T26" s="2093"/>
      <c r="U26" s="2093"/>
      <c r="V26" s="2093"/>
      <c r="W26" s="2095"/>
      <c r="X26" s="2095"/>
      <c r="Y26" s="2093"/>
      <c r="Z26" s="2093"/>
      <c r="AB26" s="2073"/>
      <c r="AC26" s="2073"/>
      <c r="AD26" s="2073"/>
      <c r="AE26" s="365"/>
      <c r="AF26" s="365"/>
      <c r="AG26" s="365"/>
      <c r="AH26" s="365"/>
      <c r="AI26" s="365"/>
      <c r="AJ26" s="365"/>
      <c r="AK26" s="365"/>
      <c r="AL26" s="365"/>
      <c r="AM26" s="365"/>
      <c r="AN26" s="365"/>
      <c r="AO26" s="365"/>
    </row>
    <row r="27" spans="1:41">
      <c r="A27" s="1612" t="s">
        <v>2812</v>
      </c>
      <c r="B27" s="1612" t="s">
        <v>4976</v>
      </c>
      <c r="C27" s="1612" t="s">
        <v>201</v>
      </c>
      <c r="D27" s="2075">
        <v>67769000000</v>
      </c>
      <c r="E27" s="2075">
        <v>67902000000</v>
      </c>
      <c r="F27" s="2075">
        <v>58595000000</v>
      </c>
      <c r="G27" s="2075">
        <v>75089000000</v>
      </c>
      <c r="H27" s="1624">
        <v>87246999999.999985</v>
      </c>
      <c r="I27" s="1624">
        <v>141960000000</v>
      </c>
      <c r="J27" s="1624">
        <v>164566079999.99997</v>
      </c>
      <c r="K27" s="2076">
        <v>218299968000</v>
      </c>
      <c r="L27" s="1624">
        <v>251408874000</v>
      </c>
      <c r="M27" s="1624">
        <v>323964630999.99994</v>
      </c>
      <c r="N27" s="1624">
        <v>341844000000</v>
      </c>
      <c r="O27" s="1624">
        <v>392640000000</v>
      </c>
      <c r="P27" s="1624">
        <v>401845999999.99994</v>
      </c>
      <c r="Q27" s="1624">
        <v>341280000000</v>
      </c>
      <c r="R27" s="1624">
        <v>535000000000</v>
      </c>
      <c r="S27" s="2093">
        <v>527000000000</v>
      </c>
      <c r="T27" s="2093">
        <v>576000000000</v>
      </c>
      <c r="U27" s="2093">
        <v>624000000000</v>
      </c>
      <c r="V27" s="2093">
        <v>665000000000</v>
      </c>
      <c r="W27" s="2095">
        <v>741000000000</v>
      </c>
      <c r="X27" s="2095">
        <v>815000000000</v>
      </c>
      <c r="Y27" s="2093">
        <v>942000000000</v>
      </c>
      <c r="Z27" s="2093">
        <v>1091000000000</v>
      </c>
      <c r="AA27" s="2073"/>
      <c r="AB27" s="2073"/>
      <c r="AC27" s="2073"/>
      <c r="AD27" s="2073"/>
      <c r="AE27" s="365"/>
      <c r="AF27" s="365"/>
      <c r="AG27" s="365"/>
      <c r="AH27" s="365"/>
      <c r="AI27" s="365"/>
      <c r="AJ27" s="365"/>
      <c r="AK27" s="365"/>
      <c r="AL27" s="365"/>
      <c r="AM27" s="365"/>
      <c r="AN27" s="365"/>
      <c r="AO27" s="365"/>
    </row>
    <row r="28" spans="1:41">
      <c r="A28" s="1602" t="s">
        <v>76</v>
      </c>
      <c r="B28" s="1612" t="s">
        <v>5978</v>
      </c>
      <c r="C28" s="1612"/>
      <c r="D28" s="1624"/>
      <c r="E28" s="1624"/>
      <c r="F28" s="1624"/>
      <c r="G28" s="1624"/>
      <c r="H28" s="1624">
        <v>-166378000000</v>
      </c>
      <c r="I28" s="1624">
        <v>-205841999999.99997</v>
      </c>
      <c r="J28" s="1624">
        <v>161627400000</v>
      </c>
      <c r="K28" s="2076">
        <v>207563904000</v>
      </c>
      <c r="L28" s="1624">
        <v>-339622514000</v>
      </c>
      <c r="M28" s="1624">
        <v>-478694006999.99994</v>
      </c>
      <c r="N28" s="1624">
        <v>-448320000000</v>
      </c>
      <c r="O28" s="1624">
        <v>-451536000000</v>
      </c>
      <c r="P28" s="1624">
        <v>-485248000000</v>
      </c>
      <c r="Q28" s="1624">
        <v>-494855999999.99994</v>
      </c>
      <c r="R28" s="1624">
        <v>-653000000000</v>
      </c>
      <c r="S28" s="2093">
        <v>-768000000000</v>
      </c>
      <c r="T28" s="2093">
        <v>-640000000000</v>
      </c>
      <c r="U28" s="2093">
        <v>-742000000000</v>
      </c>
      <c r="V28" s="2093">
        <v>-707000000000</v>
      </c>
      <c r="W28" s="2095">
        <v>-620000000000</v>
      </c>
      <c r="X28" s="2095">
        <v>-602000000000</v>
      </c>
      <c r="Y28" s="2093">
        <v>-666000000000</v>
      </c>
      <c r="Z28" s="2093">
        <v>-727000000000</v>
      </c>
      <c r="AA28" s="2073"/>
      <c r="AB28" s="2073"/>
      <c r="AC28" s="2073"/>
      <c r="AD28" s="2073"/>
      <c r="AE28" s="365"/>
      <c r="AF28" s="365"/>
      <c r="AG28" s="365"/>
      <c r="AH28" s="365"/>
      <c r="AI28" s="365"/>
      <c r="AJ28" s="365"/>
      <c r="AK28" s="365"/>
      <c r="AL28" s="365"/>
      <c r="AM28" s="365"/>
      <c r="AN28" s="365"/>
      <c r="AO28" s="365"/>
    </row>
    <row r="29" spans="1:41" s="848" customFormat="1">
      <c r="A29" s="1902" t="s">
        <v>115</v>
      </c>
      <c r="B29" s="1902" t="s">
        <v>115</v>
      </c>
      <c r="C29" s="1902" t="s">
        <v>35</v>
      </c>
      <c r="D29" s="2084">
        <f t="shared" ref="D29:I29" si="2">D30+D31</f>
        <v>119396000000</v>
      </c>
      <c r="E29" s="2084">
        <f t="shared" si="2"/>
        <v>146722000000</v>
      </c>
      <c r="F29" s="2084">
        <f t="shared" si="2"/>
        <v>134023000000</v>
      </c>
      <c r="G29" s="2084">
        <f t="shared" si="2"/>
        <v>132949000000</v>
      </c>
      <c r="H29" s="2084">
        <f t="shared" si="2"/>
        <v>158262000000</v>
      </c>
      <c r="I29" s="2084">
        <f t="shared" si="2"/>
        <v>170352000000</v>
      </c>
      <c r="J29" s="2084">
        <f>J30+J31</f>
        <v>238033080000</v>
      </c>
      <c r="K29" s="2084">
        <f>K30+K31</f>
        <v>279137664000</v>
      </c>
      <c r="L29" s="2084">
        <v>339622514000</v>
      </c>
      <c r="M29" s="2084">
        <v>478694006999.99994</v>
      </c>
      <c r="N29" s="2084">
        <f>N30+N31</f>
        <v>442716000000</v>
      </c>
      <c r="O29" s="2084">
        <v>451536000000</v>
      </c>
      <c r="P29" s="2084">
        <f>P30+P31</f>
        <v>492829999999.99994</v>
      </c>
      <c r="Q29" s="2084">
        <v>494855999999.99994</v>
      </c>
      <c r="R29" s="2084">
        <v>653000000000</v>
      </c>
      <c r="S29" s="2091">
        <v>768000000000</v>
      </c>
      <c r="T29" s="2091">
        <v>640000000000</v>
      </c>
      <c r="U29" s="2091">
        <v>742000000000</v>
      </c>
      <c r="V29" s="2091">
        <v>707000000000</v>
      </c>
      <c r="W29" s="2092">
        <v>620000000000</v>
      </c>
      <c r="X29" s="2092">
        <v>602000000000</v>
      </c>
      <c r="Y29" s="2091">
        <v>666000000000</v>
      </c>
      <c r="Z29" s="2091">
        <v>727000000000</v>
      </c>
      <c r="AA29" s="2085"/>
      <c r="AB29" s="2085"/>
      <c r="AC29" s="2085"/>
      <c r="AD29" s="2085"/>
      <c r="AE29" s="916"/>
      <c r="AF29" s="916"/>
      <c r="AG29" s="916"/>
      <c r="AH29" s="916"/>
      <c r="AI29" s="916"/>
      <c r="AJ29" s="916"/>
      <c r="AK29" s="916"/>
      <c r="AL29" s="916"/>
      <c r="AM29" s="916"/>
      <c r="AN29" s="916"/>
      <c r="AO29" s="916"/>
    </row>
    <row r="30" spans="1:41">
      <c r="A30" s="1612" t="s">
        <v>2855</v>
      </c>
      <c r="B30" s="1612" t="s">
        <v>5979</v>
      </c>
      <c r="C30" s="1612" t="s">
        <v>252</v>
      </c>
      <c r="D30" s="2075">
        <v>495000000</v>
      </c>
      <c r="E30" s="2075">
        <v>14538000000</v>
      </c>
      <c r="F30" s="2075">
        <v>1979000000</v>
      </c>
      <c r="G30" s="2075">
        <v>43066000000</v>
      </c>
      <c r="H30" s="1624">
        <v>36522000000</v>
      </c>
      <c r="I30" s="1624">
        <v>47320000000</v>
      </c>
      <c r="J30" s="1624">
        <v>73467000000</v>
      </c>
      <c r="K30" s="2076">
        <v>132411456000</v>
      </c>
      <c r="L30" s="1624">
        <v>26464091999.999996</v>
      </c>
      <c r="M30" s="1624">
        <v>232094063999.99994</v>
      </c>
      <c r="N30" s="1624">
        <v>190536000000</v>
      </c>
      <c r="O30" s="1624">
        <v>222495999999.99997</v>
      </c>
      <c r="P30" s="1624">
        <v>181968000000</v>
      </c>
      <c r="Q30" s="1624">
        <v>119447999999.99998</v>
      </c>
      <c r="R30" s="1624">
        <v>260000000000</v>
      </c>
      <c r="S30" s="2093">
        <v>292000000000</v>
      </c>
      <c r="T30" s="2093">
        <v>307000000000</v>
      </c>
      <c r="U30" s="2093">
        <v>302000000000</v>
      </c>
      <c r="V30" s="2093">
        <v>293000000000</v>
      </c>
      <c r="W30" s="2095">
        <v>121000000000</v>
      </c>
      <c r="X30" s="2095">
        <v>118000000000</v>
      </c>
      <c r="Y30" s="2093">
        <v>147000000000</v>
      </c>
      <c r="Z30" s="2093">
        <v>171000000000</v>
      </c>
      <c r="AA30" s="2073"/>
      <c r="AB30" s="2073"/>
      <c r="AC30" s="2073"/>
      <c r="AD30" s="2073"/>
      <c r="AE30" s="365"/>
      <c r="AF30" s="365"/>
      <c r="AG30" s="365"/>
      <c r="AH30" s="365"/>
      <c r="AI30" s="365"/>
      <c r="AJ30" s="365"/>
      <c r="AK30" s="365"/>
      <c r="AL30" s="365"/>
      <c r="AM30" s="365"/>
      <c r="AN30" s="365"/>
      <c r="AO30" s="365"/>
    </row>
    <row r="31" spans="1:41">
      <c r="A31" s="1612" t="s">
        <v>2860</v>
      </c>
      <c r="B31" s="1612" t="s">
        <v>5980</v>
      </c>
      <c r="C31" s="1612" t="s">
        <v>252</v>
      </c>
      <c r="D31" s="2075">
        <f>D32+D35</f>
        <v>118901000000</v>
      </c>
      <c r="E31" s="2075">
        <f t="shared" ref="E31:R31" si="3">E32+E35</f>
        <v>132184000000</v>
      </c>
      <c r="F31" s="2075">
        <f t="shared" si="3"/>
        <v>132044000000</v>
      </c>
      <c r="G31" s="2075">
        <f t="shared" si="3"/>
        <v>89883000000</v>
      </c>
      <c r="H31" s="2075">
        <f t="shared" si="3"/>
        <v>121740000000</v>
      </c>
      <c r="I31" s="2075">
        <f t="shared" si="3"/>
        <v>123032000000.00002</v>
      </c>
      <c r="J31" s="2075">
        <v>164566080000</v>
      </c>
      <c r="K31" s="2075">
        <v>146726208000</v>
      </c>
      <c r="L31" s="2075">
        <f t="shared" si="3"/>
        <v>313158422000</v>
      </c>
      <c r="M31" s="2075">
        <f t="shared" si="3"/>
        <v>246599942999.99994</v>
      </c>
      <c r="N31" s="2075">
        <f t="shared" si="3"/>
        <v>252180000000</v>
      </c>
      <c r="O31" s="2075">
        <f t="shared" si="3"/>
        <v>229040000000</v>
      </c>
      <c r="P31" s="2075">
        <f t="shared" si="3"/>
        <v>310861999999.99994</v>
      </c>
      <c r="Q31" s="2075">
        <f t="shared" si="3"/>
        <v>375408000000</v>
      </c>
      <c r="R31" s="2089">
        <f t="shared" si="3"/>
        <v>393000000000</v>
      </c>
      <c r="S31" s="2096">
        <v>476000000000</v>
      </c>
      <c r="T31" s="2096">
        <v>333000000000</v>
      </c>
      <c r="U31" s="2096">
        <v>440000000000</v>
      </c>
      <c r="V31" s="2096">
        <v>414000000000</v>
      </c>
      <c r="W31" s="2096">
        <v>499000000000</v>
      </c>
      <c r="X31" s="2096">
        <v>484000000000</v>
      </c>
      <c r="Y31" s="2093">
        <v>520000000000</v>
      </c>
      <c r="Z31" s="2093">
        <v>556000000000</v>
      </c>
      <c r="AB31" s="2073"/>
      <c r="AC31" s="2073"/>
      <c r="AD31" s="2073"/>
      <c r="AE31" s="365"/>
      <c r="AF31" s="365"/>
      <c r="AG31" s="365"/>
      <c r="AH31" s="365"/>
      <c r="AI31" s="365"/>
      <c r="AJ31" s="365"/>
      <c r="AK31" s="365"/>
      <c r="AL31" s="365"/>
      <c r="AM31" s="365"/>
      <c r="AN31" s="365"/>
      <c r="AO31" s="365"/>
    </row>
    <row r="32" spans="1:41">
      <c r="A32" s="1612"/>
      <c r="B32" s="1612" t="s">
        <v>5980</v>
      </c>
      <c r="C32" s="1612"/>
      <c r="D32" s="2075">
        <v>118500000000</v>
      </c>
      <c r="E32" s="2075">
        <v>123595000000</v>
      </c>
      <c r="F32" s="2075">
        <v>126351000000</v>
      </c>
      <c r="G32" s="2075">
        <v>79660000000</v>
      </c>
      <c r="H32" s="2074">
        <f>H33+H34</f>
        <v>119711000000</v>
      </c>
      <c r="I32" s="1624">
        <v>123032000000.00002</v>
      </c>
      <c r="J32" s="1624"/>
      <c r="K32" s="2076"/>
      <c r="L32" s="1624">
        <v>313158422000</v>
      </c>
      <c r="M32" s="1624">
        <v>246599942999.99994</v>
      </c>
      <c r="N32" s="1624">
        <v>252180000000</v>
      </c>
      <c r="O32" s="1624">
        <v>229040000000</v>
      </c>
      <c r="P32" s="1624">
        <v>310861999999.99994</v>
      </c>
      <c r="Q32" s="1624">
        <v>375408000000</v>
      </c>
      <c r="R32" s="1624">
        <v>393000000000</v>
      </c>
      <c r="S32" s="1624"/>
      <c r="T32" s="1624"/>
      <c r="U32" s="1624"/>
      <c r="V32" s="1624"/>
      <c r="W32" s="2078"/>
      <c r="X32" s="2078"/>
      <c r="Y32" s="2073"/>
      <c r="Z32" s="2073"/>
      <c r="AA32" s="2073"/>
      <c r="AB32" s="2073"/>
      <c r="AC32" s="2073"/>
      <c r="AD32" s="2073"/>
      <c r="AE32" s="365"/>
      <c r="AF32" s="365"/>
      <c r="AG32" s="365"/>
      <c r="AH32" s="365"/>
      <c r="AI32" s="365"/>
      <c r="AJ32" s="365"/>
      <c r="AK32" s="365"/>
      <c r="AL32" s="365"/>
      <c r="AM32" s="365"/>
      <c r="AN32" s="365"/>
      <c r="AO32" s="365"/>
    </row>
    <row r="33" spans="1:41">
      <c r="A33" s="1616" t="s">
        <v>349</v>
      </c>
      <c r="B33" s="1616" t="s">
        <v>349</v>
      </c>
      <c r="C33" s="1612" t="s">
        <v>124</v>
      </c>
      <c r="D33" s="2075">
        <v>56528000000</v>
      </c>
      <c r="E33" s="2075">
        <v>48554000000</v>
      </c>
      <c r="F33" s="2075">
        <v>-4836000000</v>
      </c>
      <c r="G33" s="2075">
        <v>-20905000000</v>
      </c>
      <c r="H33" s="1624">
        <v>44638000000.000008</v>
      </c>
      <c r="I33" s="1624">
        <v>26026000000.000004</v>
      </c>
      <c r="J33" s="1624"/>
      <c r="K33" s="2076"/>
      <c r="L33" s="1624"/>
      <c r="M33" s="1624"/>
      <c r="N33" s="1624"/>
      <c r="O33" s="1624"/>
      <c r="P33" s="1624"/>
      <c r="Q33" s="1624"/>
      <c r="R33" s="1624"/>
      <c r="S33" s="1624"/>
      <c r="T33" s="1624"/>
      <c r="U33" s="1624"/>
      <c r="V33" s="1624"/>
      <c r="W33" s="1605"/>
      <c r="X33" s="1605"/>
      <c r="Y33" s="2073"/>
      <c r="Z33" s="2073"/>
      <c r="AA33" s="2073"/>
      <c r="AB33" s="2073"/>
      <c r="AC33" s="2073"/>
      <c r="AD33" s="2073"/>
      <c r="AE33" s="365"/>
      <c r="AF33" s="365"/>
      <c r="AG33" s="365"/>
      <c r="AH33" s="365"/>
      <c r="AI33" s="365"/>
      <c r="AJ33" s="365"/>
      <c r="AK33" s="365"/>
      <c r="AL33" s="365"/>
      <c r="AM33" s="365"/>
      <c r="AN33" s="365"/>
      <c r="AO33" s="365"/>
    </row>
    <row r="34" spans="1:41">
      <c r="A34" s="1616" t="s">
        <v>350</v>
      </c>
      <c r="B34" s="1616" t="s">
        <v>350</v>
      </c>
      <c r="C34" s="1612" t="s">
        <v>124</v>
      </c>
      <c r="D34" s="2074">
        <f>D32-D33</f>
        <v>61972000000</v>
      </c>
      <c r="E34" s="2074">
        <f>E32-E33</f>
        <v>75041000000</v>
      </c>
      <c r="F34" s="2074">
        <f>F32-F33</f>
        <v>131187000000</v>
      </c>
      <c r="G34" s="2074">
        <f>G32-G33</f>
        <v>100565000000</v>
      </c>
      <c r="H34" s="1624">
        <v>75073000000</v>
      </c>
      <c r="I34" s="1624">
        <v>97005999999.999985</v>
      </c>
      <c r="J34" s="1624"/>
      <c r="K34" s="2076"/>
      <c r="L34" s="1624"/>
      <c r="M34" s="1624"/>
      <c r="N34" s="1624"/>
      <c r="O34" s="1624"/>
      <c r="P34" s="1624"/>
      <c r="Q34" s="1624"/>
      <c r="R34" s="1624"/>
      <c r="S34" s="1624"/>
      <c r="T34" s="1624"/>
      <c r="U34" s="1624"/>
      <c r="V34" s="1624"/>
      <c r="W34" s="1605"/>
      <c r="X34" s="1605"/>
      <c r="Y34" s="2073"/>
      <c r="Z34" s="2073"/>
      <c r="AA34" s="2073"/>
      <c r="AB34" s="2073"/>
      <c r="AC34" s="2073"/>
      <c r="AD34" s="2073"/>
      <c r="AE34" s="365"/>
      <c r="AF34" s="365"/>
      <c r="AG34" s="365"/>
      <c r="AH34" s="365"/>
      <c r="AI34" s="365"/>
      <c r="AJ34" s="365"/>
      <c r="AK34" s="365"/>
      <c r="AL34" s="365"/>
      <c r="AM34" s="365"/>
      <c r="AN34" s="365"/>
      <c r="AO34" s="365"/>
    </row>
    <row r="35" spans="1:41">
      <c r="A35" s="1612" t="s">
        <v>858</v>
      </c>
      <c r="B35" s="1612" t="s">
        <v>858</v>
      </c>
      <c r="C35" s="1612" t="s">
        <v>124</v>
      </c>
      <c r="D35" s="2075">
        <v>401000000</v>
      </c>
      <c r="E35" s="2075">
        <v>8589000000</v>
      </c>
      <c r="F35" s="2075">
        <v>5693000000</v>
      </c>
      <c r="G35" s="2075">
        <v>10223000000</v>
      </c>
      <c r="H35" s="1624">
        <v>2029000000</v>
      </c>
      <c r="I35" s="1624">
        <v>0</v>
      </c>
      <c r="J35" s="1624">
        <v>0</v>
      </c>
      <c r="K35" s="2076">
        <v>0</v>
      </c>
      <c r="L35" s="1624"/>
      <c r="M35" s="1624"/>
      <c r="N35" s="1624"/>
      <c r="O35" s="1624"/>
      <c r="P35" s="1624"/>
      <c r="Q35" s="1624"/>
      <c r="R35" s="1624"/>
      <c r="S35" s="1624"/>
      <c r="T35" s="1624"/>
      <c r="U35" s="1624"/>
      <c r="V35" s="1624"/>
      <c r="W35" s="1605"/>
      <c r="X35" s="1605"/>
      <c r="Y35" s="2073"/>
      <c r="Z35" s="2073"/>
      <c r="AA35" s="2073"/>
      <c r="AB35" s="2073"/>
      <c r="AC35" s="2073"/>
      <c r="AD35" s="2073"/>
      <c r="AE35" s="365"/>
      <c r="AF35" s="365"/>
      <c r="AG35" s="365"/>
      <c r="AH35" s="365"/>
      <c r="AI35" s="365"/>
      <c r="AJ35" s="365"/>
      <c r="AK35" s="365"/>
      <c r="AL35" s="365"/>
      <c r="AM35" s="365"/>
      <c r="AN35" s="365"/>
      <c r="AO35" s="365"/>
    </row>
    <row r="36" spans="1:41">
      <c r="B36" s="1612"/>
      <c r="C36" s="1612"/>
      <c r="D36" s="1624"/>
      <c r="E36" s="1624"/>
      <c r="F36" s="1624"/>
      <c r="G36" s="1624"/>
      <c r="H36" s="1624"/>
      <c r="I36" s="1624"/>
      <c r="J36" s="1624"/>
      <c r="K36" s="1624"/>
      <c r="L36" s="1624"/>
      <c r="M36" s="1624"/>
      <c r="N36" s="1624"/>
      <c r="O36" s="1624"/>
      <c r="P36" s="1624"/>
      <c r="Q36" s="1624"/>
      <c r="R36" s="1624"/>
      <c r="S36" s="1624"/>
      <c r="T36" s="1624"/>
      <c r="U36" s="1624"/>
      <c r="V36" s="1624"/>
      <c r="W36" s="1605"/>
      <c r="X36" s="1605"/>
      <c r="Y36" s="2073"/>
      <c r="Z36" s="2073"/>
      <c r="AA36" s="2073"/>
      <c r="AB36" s="2073"/>
      <c r="AC36" s="2073"/>
      <c r="AD36" s="2073"/>
      <c r="AE36" s="365"/>
      <c r="AF36" s="365"/>
      <c r="AG36" s="365"/>
      <c r="AH36" s="365"/>
      <c r="AI36" s="365"/>
      <c r="AJ36" s="365"/>
      <c r="AK36" s="365"/>
      <c r="AL36" s="365"/>
      <c r="AM36" s="365"/>
      <c r="AN36" s="365"/>
      <c r="AO36" s="365"/>
    </row>
    <row r="37" spans="1:41">
      <c r="B37" s="1612"/>
      <c r="C37" s="1612"/>
      <c r="D37" s="1602" t="s">
        <v>139</v>
      </c>
      <c r="E37" s="1602" t="s">
        <v>139</v>
      </c>
      <c r="F37" s="1602" t="s">
        <v>139</v>
      </c>
      <c r="G37" s="1602" t="s">
        <v>139</v>
      </c>
      <c r="H37" s="1602" t="s">
        <v>139</v>
      </c>
      <c r="I37" s="1602" t="s">
        <v>139</v>
      </c>
      <c r="J37" s="1602" t="s">
        <v>139</v>
      </c>
      <c r="K37" s="1602" t="s">
        <v>139</v>
      </c>
      <c r="L37" s="1602" t="s">
        <v>139</v>
      </c>
      <c r="M37" s="1602" t="s">
        <v>139</v>
      </c>
      <c r="N37" s="1602" t="s">
        <v>139</v>
      </c>
      <c r="O37" s="1602" t="s">
        <v>139</v>
      </c>
      <c r="P37" s="1602" t="s">
        <v>139</v>
      </c>
      <c r="Q37" s="1602" t="s">
        <v>139</v>
      </c>
      <c r="R37" s="1619" t="s">
        <v>139</v>
      </c>
      <c r="S37" s="1619" t="s">
        <v>139</v>
      </c>
      <c r="T37" s="1619" t="s">
        <v>139</v>
      </c>
      <c r="U37" s="1619" t="s">
        <v>139</v>
      </c>
      <c r="V37" s="1619" t="s">
        <v>139</v>
      </c>
      <c r="W37" s="1619" t="s">
        <v>139</v>
      </c>
      <c r="X37" s="1619" t="s">
        <v>139</v>
      </c>
      <c r="Y37" s="1619" t="s">
        <v>139</v>
      </c>
      <c r="Z37" s="1619" t="s">
        <v>139</v>
      </c>
      <c r="AA37" s="2073"/>
      <c r="AB37" s="2073"/>
      <c r="AC37" s="2073"/>
      <c r="AD37" s="2073"/>
      <c r="AE37" s="365"/>
      <c r="AF37" s="365"/>
      <c r="AG37" s="365"/>
      <c r="AH37" s="365"/>
      <c r="AI37" s="365"/>
      <c r="AJ37" s="365"/>
      <c r="AK37" s="365"/>
      <c r="AL37" s="365"/>
      <c r="AM37" s="365"/>
      <c r="AN37" s="365"/>
      <c r="AO37" s="365"/>
    </row>
    <row r="38" spans="1:41">
      <c r="Y38" s="2073"/>
      <c r="Z38" s="2073"/>
      <c r="AA38" s="2073"/>
      <c r="AB38" s="2073"/>
      <c r="AC38" s="2073"/>
      <c r="AD38" s="2073"/>
      <c r="AE38" s="365"/>
      <c r="AF38" s="365"/>
      <c r="AG38" s="365"/>
      <c r="AH38" s="365"/>
      <c r="AI38" s="365"/>
      <c r="AJ38" s="365"/>
      <c r="AK38" s="365"/>
      <c r="AL38" s="365"/>
      <c r="AM38" s="365"/>
      <c r="AN38" s="365"/>
      <c r="AO38" s="365"/>
    </row>
    <row r="39" spans="1:41">
      <c r="B39" s="1602" t="s">
        <v>5981</v>
      </c>
      <c r="D39" s="1624">
        <f t="shared" ref="D39:V39" si="4">D6-D7-D15</f>
        <v>0</v>
      </c>
      <c r="E39" s="1624">
        <f t="shared" si="4"/>
        <v>0</v>
      </c>
      <c r="F39" s="1624">
        <f t="shared" si="4"/>
        <v>0</v>
      </c>
      <c r="G39" s="1624">
        <f t="shared" si="4"/>
        <v>0</v>
      </c>
      <c r="H39" s="1624">
        <f t="shared" si="4"/>
        <v>0</v>
      </c>
      <c r="I39" s="1624">
        <f t="shared" si="4"/>
        <v>0</v>
      </c>
      <c r="J39" s="1624">
        <f t="shared" si="4"/>
        <v>0</v>
      </c>
      <c r="K39" s="1624">
        <f t="shared" si="4"/>
        <v>0</v>
      </c>
      <c r="L39" s="1624">
        <f t="shared" si="4"/>
        <v>0</v>
      </c>
      <c r="M39" s="1624">
        <f t="shared" si="4"/>
        <v>0</v>
      </c>
      <c r="N39" s="1624">
        <f t="shared" si="4"/>
        <v>0</v>
      </c>
      <c r="O39" s="1624">
        <f t="shared" si="4"/>
        <v>0</v>
      </c>
      <c r="P39" s="1624">
        <f t="shared" si="4"/>
        <v>0</v>
      </c>
      <c r="Q39" s="1624">
        <f>Q6-Q7-Q15</f>
        <v>0</v>
      </c>
      <c r="R39" s="1624">
        <f t="shared" si="4"/>
        <v>1000000000</v>
      </c>
      <c r="S39" s="1624">
        <f t="shared" si="4"/>
        <v>0</v>
      </c>
      <c r="T39" s="1624">
        <f t="shared" si="4"/>
        <v>1000000000</v>
      </c>
      <c r="U39" s="1624">
        <f t="shared" si="4"/>
        <v>0</v>
      </c>
      <c r="V39" s="1624">
        <f t="shared" si="4"/>
        <v>0</v>
      </c>
      <c r="W39" s="1624">
        <f>W6-W7-W15</f>
        <v>0</v>
      </c>
      <c r="X39" s="1624">
        <f>X6-X7-X15</f>
        <v>0</v>
      </c>
      <c r="Y39" s="1624">
        <f t="shared" ref="Y39:Z39" si="5">Y6-Y7-Y15</f>
        <v>0</v>
      </c>
      <c r="Z39" s="1624">
        <f t="shared" si="5"/>
        <v>0</v>
      </c>
      <c r="AA39" s="2073"/>
      <c r="AB39" s="2073"/>
      <c r="AC39" s="2073"/>
      <c r="AD39" s="2073"/>
      <c r="AE39" s="365"/>
      <c r="AF39" s="365"/>
      <c r="AG39" s="365"/>
      <c r="AH39" s="365"/>
      <c r="AI39" s="365"/>
      <c r="AJ39" s="365"/>
      <c r="AK39" s="365"/>
      <c r="AL39" s="365"/>
      <c r="AM39" s="365"/>
      <c r="AN39" s="365"/>
      <c r="AO39" s="365"/>
    </row>
    <row r="40" spans="1:41">
      <c r="B40" s="1602" t="s">
        <v>141</v>
      </c>
      <c r="D40" s="1624">
        <f t="shared" ref="D40:U40" si="6">D7-D8-D14</f>
        <v>0</v>
      </c>
      <c r="E40" s="1624">
        <f t="shared" si="6"/>
        <v>0</v>
      </c>
      <c r="F40" s="1624">
        <f t="shared" si="6"/>
        <v>0</v>
      </c>
      <c r="G40" s="1624">
        <f t="shared" si="6"/>
        <v>0</v>
      </c>
      <c r="H40" s="1624">
        <f>H7-H8-H14</f>
        <v>0</v>
      </c>
      <c r="I40" s="1624">
        <f t="shared" si="6"/>
        <v>0</v>
      </c>
      <c r="J40" s="1624">
        <f t="shared" si="6"/>
        <v>6.866455078125E-5</v>
      </c>
      <c r="K40" s="1624">
        <f t="shared" si="6"/>
        <v>0</v>
      </c>
      <c r="L40" s="1624">
        <f t="shared" si="6"/>
        <v>0</v>
      </c>
      <c r="M40" s="1624">
        <f t="shared" si="6"/>
        <v>0</v>
      </c>
      <c r="N40" s="1624">
        <f t="shared" si="6"/>
        <v>0</v>
      </c>
      <c r="O40" s="1624">
        <f t="shared" si="6"/>
        <v>0</v>
      </c>
      <c r="P40" s="1624">
        <f t="shared" si="6"/>
        <v>0</v>
      </c>
      <c r="Q40" s="1624">
        <f t="shared" si="6"/>
        <v>0</v>
      </c>
      <c r="R40" s="1624">
        <f t="shared" si="6"/>
        <v>0</v>
      </c>
      <c r="S40" s="1624">
        <f t="shared" si="6"/>
        <v>0</v>
      </c>
      <c r="T40" s="1624">
        <f t="shared" si="6"/>
        <v>0</v>
      </c>
      <c r="U40" s="1624">
        <f t="shared" si="6"/>
        <v>0</v>
      </c>
      <c r="V40" s="1624">
        <f>V7-V8-V14</f>
        <v>0</v>
      </c>
      <c r="W40" s="1624">
        <f>W7-W8-W14</f>
        <v>0</v>
      </c>
      <c r="X40" s="1624">
        <f>X7-X8-X14</f>
        <v>0</v>
      </c>
      <c r="Y40" s="1624">
        <f t="shared" ref="Y40:Z40" si="7">Y7-Y8-Y14</f>
        <v>0</v>
      </c>
      <c r="Z40" s="1624">
        <f t="shared" si="7"/>
        <v>0</v>
      </c>
      <c r="AA40" s="2073"/>
      <c r="AB40" s="2073"/>
      <c r="AC40" s="2073"/>
      <c r="AD40" s="2073"/>
      <c r="AE40" s="365"/>
      <c r="AF40" s="365"/>
      <c r="AG40" s="365"/>
      <c r="AH40" s="365"/>
      <c r="AI40" s="365"/>
      <c r="AJ40" s="365"/>
      <c r="AK40" s="365"/>
      <c r="AL40" s="365"/>
      <c r="AM40" s="365"/>
      <c r="AN40" s="365"/>
      <c r="AO40" s="365"/>
    </row>
    <row r="41" spans="1:41">
      <c r="B41" s="1602" t="s">
        <v>5982</v>
      </c>
      <c r="D41" s="1627">
        <f t="shared" ref="D41:V41" si="8">D8-D9-D10-D11-D12-D13</f>
        <v>182392000000</v>
      </c>
      <c r="E41" s="1627">
        <f t="shared" si="8"/>
        <v>205839000000</v>
      </c>
      <c r="F41" s="1627">
        <f t="shared" si="8"/>
        <v>221837000000</v>
      </c>
      <c r="G41" s="1627">
        <f>G8-G9-G10-G11-G12-G13</f>
        <v>231648000000</v>
      </c>
      <c r="H41" s="1624">
        <f>H8-H9-H10-H11-H12-H13</f>
        <v>0</v>
      </c>
      <c r="I41" s="1624">
        <f>I8-I9-I10-I11-I12-I13</f>
        <v>-3.0517578125E-5</v>
      </c>
      <c r="J41" s="1624">
        <f t="shared" si="8"/>
        <v>0</v>
      </c>
      <c r="K41" s="1624">
        <f t="shared" si="8"/>
        <v>0</v>
      </c>
      <c r="L41" s="1624">
        <f t="shared" si="8"/>
        <v>0</v>
      </c>
      <c r="M41" s="1624">
        <f>M8-M9-M10-M11-M12-M13</f>
        <v>0</v>
      </c>
      <c r="N41" s="1624">
        <f>N8-N9-N10-N11-N12-N13</f>
        <v>0</v>
      </c>
      <c r="O41" s="1624">
        <f t="shared" si="8"/>
        <v>0</v>
      </c>
      <c r="P41" s="1624">
        <f t="shared" si="8"/>
        <v>0</v>
      </c>
      <c r="Q41" s="1624">
        <f t="shared" si="8"/>
        <v>0</v>
      </c>
      <c r="R41" s="1624">
        <f>R8-R9-R10-R11-R12-R13</f>
        <v>0</v>
      </c>
      <c r="S41" s="1624">
        <f t="shared" si="8"/>
        <v>0</v>
      </c>
      <c r="T41" s="1624">
        <f>T8-T9-T10-T11-T12-T13</f>
        <v>1000000000</v>
      </c>
      <c r="U41" s="1624">
        <f>U8-U9-U10-U11-U12-U13</f>
        <v>0</v>
      </c>
      <c r="V41" s="1624">
        <f t="shared" si="8"/>
        <v>-1000000000</v>
      </c>
      <c r="W41" s="1624">
        <f>W8-W9-W10-W11-W12-W13</f>
        <v>0</v>
      </c>
      <c r="X41" s="1624">
        <f>X8-X9-X10-X11-X12-X13</f>
        <v>0</v>
      </c>
      <c r="Y41" s="1624">
        <f t="shared" ref="Y41:Z41" si="9">Y8-Y9-Y10-Y11-Y12-Y13</f>
        <v>0</v>
      </c>
      <c r="Z41" s="1624">
        <f t="shared" si="9"/>
        <v>-1000000000</v>
      </c>
      <c r="AA41" s="2073"/>
      <c r="AB41" s="2073"/>
      <c r="AC41" s="2073"/>
      <c r="AD41" s="2073"/>
      <c r="AE41" s="365"/>
      <c r="AF41" s="365"/>
      <c r="AG41" s="365"/>
      <c r="AH41" s="365"/>
      <c r="AI41" s="365"/>
      <c r="AJ41" s="365"/>
      <c r="AK41" s="365"/>
      <c r="AL41" s="365"/>
      <c r="AM41" s="365"/>
      <c r="AN41" s="365"/>
      <c r="AO41" s="365"/>
    </row>
    <row r="42" spans="1:41">
      <c r="B42" s="1602" t="s">
        <v>145</v>
      </c>
      <c r="D42" s="1624">
        <f>D16-D17-D27</f>
        <v>0</v>
      </c>
      <c r="E42" s="1624">
        <f t="shared" ref="E42:U42" si="10">E16-E17-E27</f>
        <v>0</v>
      </c>
      <c r="F42" s="1624">
        <f t="shared" si="10"/>
        <v>0</v>
      </c>
      <c r="G42" s="1624">
        <f t="shared" si="10"/>
        <v>0</v>
      </c>
      <c r="H42" s="1624">
        <f t="shared" si="10"/>
        <v>0</v>
      </c>
      <c r="I42" s="1624">
        <f t="shared" si="10"/>
        <v>0</v>
      </c>
      <c r="J42" s="1624">
        <f>J16-J17-J27</f>
        <v>0</v>
      </c>
      <c r="K42" s="1624">
        <f>K16-K17-K27</f>
        <v>0</v>
      </c>
      <c r="L42" s="1624">
        <f t="shared" si="10"/>
        <v>2.44140625E-4</v>
      </c>
      <c r="M42" s="1624">
        <f t="shared" si="10"/>
        <v>0</v>
      </c>
      <c r="N42" s="1624">
        <f t="shared" si="10"/>
        <v>0</v>
      </c>
      <c r="O42" s="1624">
        <f t="shared" si="10"/>
        <v>0</v>
      </c>
      <c r="P42" s="1624">
        <f t="shared" si="10"/>
        <v>0</v>
      </c>
      <c r="Q42" s="1624">
        <f t="shared" si="10"/>
        <v>0</v>
      </c>
      <c r="R42" s="1624">
        <f t="shared" si="10"/>
        <v>-1000000000</v>
      </c>
      <c r="S42" s="1624">
        <f>S16-S17-S27</f>
        <v>0</v>
      </c>
      <c r="T42" s="1624">
        <f t="shared" si="10"/>
        <v>0</v>
      </c>
      <c r="U42" s="1624">
        <f t="shared" si="10"/>
        <v>0</v>
      </c>
      <c r="V42" s="1624">
        <f>V16-V17-V27</f>
        <v>0</v>
      </c>
      <c r="W42" s="1624">
        <f>W16-W17-W27</f>
        <v>0</v>
      </c>
      <c r="X42" s="1624">
        <f>X16-X17-X27</f>
        <v>0</v>
      </c>
      <c r="Y42" s="1624">
        <f t="shared" ref="Y42:Z42" si="11">Y16-Y17-Y27</f>
        <v>1000000000</v>
      </c>
      <c r="Z42" s="1624">
        <f t="shared" si="11"/>
        <v>0</v>
      </c>
      <c r="AA42" s="2073"/>
      <c r="AB42" s="2073"/>
      <c r="AC42" s="2073"/>
      <c r="AD42" s="2073"/>
      <c r="AE42" s="365"/>
      <c r="AF42" s="365"/>
      <c r="AG42" s="365"/>
      <c r="AH42" s="365"/>
      <c r="AI42" s="365"/>
      <c r="AJ42" s="365"/>
      <c r="AK42" s="365"/>
      <c r="AL42" s="365"/>
      <c r="AM42" s="365"/>
      <c r="AN42" s="365"/>
      <c r="AO42" s="365"/>
    </row>
    <row r="43" spans="1:41">
      <c r="B43" s="1602" t="s">
        <v>3640</v>
      </c>
      <c r="D43" s="1627">
        <f t="shared" ref="D43:K43" si="12">D17-D18-D19-D20-D21-D22</f>
        <v>254279000000</v>
      </c>
      <c r="E43" s="1627">
        <f t="shared" si="12"/>
        <v>303362000000</v>
      </c>
      <c r="F43" s="1627">
        <f t="shared" si="12"/>
        <v>330847000000</v>
      </c>
      <c r="G43" s="1627">
        <f t="shared" si="12"/>
        <v>334693000000</v>
      </c>
      <c r="H43" s="1624">
        <f t="shared" si="12"/>
        <v>0</v>
      </c>
      <c r="I43" s="1624">
        <f t="shared" si="12"/>
        <v>0</v>
      </c>
      <c r="J43" s="1624">
        <f t="shared" si="12"/>
        <v>0</v>
      </c>
      <c r="K43" s="1624">
        <f t="shared" si="12"/>
        <v>0</v>
      </c>
      <c r="L43" s="1624">
        <f t="shared" ref="L43:V43" si="13">L17-L18-L19-L20-L21-L22</f>
        <v>0</v>
      </c>
      <c r="M43" s="1624">
        <f t="shared" si="13"/>
        <v>0</v>
      </c>
      <c r="N43" s="1624">
        <f t="shared" si="13"/>
        <v>0</v>
      </c>
      <c r="O43" s="1624">
        <f>O17-O18-O19-O20-O21-O22</f>
        <v>0</v>
      </c>
      <c r="P43" s="1624">
        <f t="shared" si="13"/>
        <v>0</v>
      </c>
      <c r="Q43" s="1624">
        <f>Q17-Q18-Q19-Q20-Q21-Q22</f>
        <v>0</v>
      </c>
      <c r="R43" s="1624">
        <f>R17-R18-R19-R20-R21-R22</f>
        <v>1000000000</v>
      </c>
      <c r="S43" s="1624">
        <f t="shared" si="13"/>
        <v>1000000000</v>
      </c>
      <c r="T43" s="1624">
        <f t="shared" si="13"/>
        <v>1000000000</v>
      </c>
      <c r="U43" s="1624">
        <f t="shared" si="13"/>
        <v>0</v>
      </c>
      <c r="V43" s="1624">
        <f t="shared" si="13"/>
        <v>0</v>
      </c>
      <c r="W43" s="1624">
        <f>W17-W18-W19-W20-W21-W22</f>
        <v>-1000000000</v>
      </c>
      <c r="X43" s="1624">
        <f>X17-X18-X19-X20-X21-X22</f>
        <v>0</v>
      </c>
      <c r="Y43" s="1624">
        <f t="shared" ref="Y43:Z43" si="14">Y17-Y18-Y19-Y20-Y21-Y22</f>
        <v>1000000000</v>
      </c>
      <c r="Z43" s="1624">
        <f t="shared" si="14"/>
        <v>-1000000000</v>
      </c>
      <c r="AA43" s="2073"/>
      <c r="AB43" s="2073"/>
      <c r="AC43" s="2073"/>
      <c r="AD43" s="2073"/>
      <c r="AE43" s="365"/>
      <c r="AF43" s="365"/>
      <c r="AG43" s="365"/>
      <c r="AH43" s="365"/>
      <c r="AI43" s="365"/>
      <c r="AJ43" s="365"/>
      <c r="AK43" s="365"/>
      <c r="AL43" s="365"/>
      <c r="AM43" s="365"/>
      <c r="AN43" s="365"/>
      <c r="AO43" s="365"/>
    </row>
    <row r="44" spans="1:41">
      <c r="B44" s="1602" t="s">
        <v>936</v>
      </c>
      <c r="D44" s="1624">
        <f>D22-D23-D24-D25</f>
        <v>0</v>
      </c>
      <c r="E44" s="1624">
        <f t="shared" ref="E44:V44" si="15">E22-E23-E24-E25</f>
        <v>0</v>
      </c>
      <c r="F44" s="1624">
        <f t="shared" si="15"/>
        <v>0</v>
      </c>
      <c r="G44" s="1624">
        <f t="shared" si="15"/>
        <v>0</v>
      </c>
      <c r="H44" s="1624">
        <f t="shared" si="15"/>
        <v>0</v>
      </c>
      <c r="I44" s="1624">
        <f t="shared" si="15"/>
        <v>0</v>
      </c>
      <c r="J44" s="1627">
        <f t="shared" si="15"/>
        <v>0</v>
      </c>
      <c r="K44" s="1627">
        <f>K22-K23-K24-K25</f>
        <v>0</v>
      </c>
      <c r="L44" s="1627">
        <f t="shared" si="15"/>
        <v>211712735999.99997</v>
      </c>
      <c r="M44" s="1627">
        <f t="shared" si="15"/>
        <v>309458752000</v>
      </c>
      <c r="N44" s="1627">
        <f t="shared" si="15"/>
        <v>353051999999.99994</v>
      </c>
      <c r="O44" s="1627">
        <f t="shared" si="15"/>
        <v>359919999999.99994</v>
      </c>
      <c r="P44" s="1627">
        <f t="shared" si="15"/>
        <v>409428000000</v>
      </c>
      <c r="Q44" s="1627">
        <f t="shared" si="15"/>
        <v>443664000000</v>
      </c>
      <c r="R44" s="1627">
        <f t="shared" si="15"/>
        <v>436000000000</v>
      </c>
      <c r="S44" s="1918">
        <f t="shared" si="15"/>
        <v>527000000000</v>
      </c>
      <c r="T44" s="1918">
        <f t="shared" si="15"/>
        <v>611000000000</v>
      </c>
      <c r="U44" s="1918">
        <f t="shared" si="15"/>
        <v>720000000000</v>
      </c>
      <c r="V44" s="1918">
        <f t="shared" si="15"/>
        <v>849000000000</v>
      </c>
      <c r="W44" s="1918">
        <f>W22-W23-W24-W25</f>
        <v>937000000000</v>
      </c>
      <c r="X44" s="1918">
        <f>X22-X23-X24-X25</f>
        <v>1034000000000</v>
      </c>
      <c r="Y44" s="1918">
        <f t="shared" ref="Y44:Z44" si="16">Y22-Y23-Y24-Y25</f>
        <v>1123000000000</v>
      </c>
      <c r="Z44" s="1918">
        <f t="shared" si="16"/>
        <v>1201000000000</v>
      </c>
      <c r="AA44" s="2073"/>
      <c r="AB44" s="2073"/>
      <c r="AC44" s="2073"/>
      <c r="AD44" s="2073"/>
      <c r="AE44" s="365"/>
      <c r="AF44" s="365"/>
      <c r="AG44" s="365"/>
      <c r="AH44" s="365"/>
      <c r="AI44" s="365"/>
      <c r="AJ44" s="365"/>
      <c r="AK44" s="365"/>
      <c r="AL44" s="365"/>
      <c r="AM44" s="365"/>
      <c r="AN44" s="365"/>
      <c r="AO44" s="365"/>
    </row>
    <row r="45" spans="1:41">
      <c r="B45" s="1602" t="s">
        <v>148</v>
      </c>
      <c r="D45" s="1624">
        <f>D29-D30-D31</f>
        <v>0</v>
      </c>
      <c r="E45" s="1624">
        <f t="shared" ref="E45:V45" si="17">E29-E30-E31</f>
        <v>0</v>
      </c>
      <c r="F45" s="1624">
        <f t="shared" si="17"/>
        <v>0</v>
      </c>
      <c r="G45" s="1624">
        <f t="shared" si="17"/>
        <v>0</v>
      </c>
      <c r="H45" s="1624">
        <f t="shared" si="17"/>
        <v>0</v>
      </c>
      <c r="I45" s="1624">
        <f t="shared" si="17"/>
        <v>0</v>
      </c>
      <c r="J45" s="1624">
        <f t="shared" si="17"/>
        <v>0</v>
      </c>
      <c r="K45" s="1624">
        <f t="shared" si="17"/>
        <v>0</v>
      </c>
      <c r="L45" s="1624">
        <f t="shared" si="17"/>
        <v>0</v>
      </c>
      <c r="M45" s="1624">
        <f t="shared" si="17"/>
        <v>0</v>
      </c>
      <c r="N45" s="1624">
        <f t="shared" si="17"/>
        <v>0</v>
      </c>
      <c r="O45" s="1624">
        <f t="shared" si="17"/>
        <v>0</v>
      </c>
      <c r="P45" s="1624">
        <f t="shared" si="17"/>
        <v>0</v>
      </c>
      <c r="Q45" s="1624">
        <f t="shared" si="17"/>
        <v>0</v>
      </c>
      <c r="R45" s="1624">
        <f t="shared" si="17"/>
        <v>0</v>
      </c>
      <c r="S45" s="1624">
        <f t="shared" si="17"/>
        <v>0</v>
      </c>
      <c r="T45" s="1624">
        <f t="shared" si="17"/>
        <v>0</v>
      </c>
      <c r="U45" s="1624">
        <f t="shared" si="17"/>
        <v>0</v>
      </c>
      <c r="V45" s="1624">
        <f t="shared" si="17"/>
        <v>0</v>
      </c>
      <c r="W45" s="1624">
        <f>W29-W30-W31</f>
        <v>0</v>
      </c>
      <c r="X45" s="1624">
        <f>X29-X30-X31</f>
        <v>0</v>
      </c>
      <c r="Y45" s="1624">
        <f t="shared" ref="Y45:Z45" si="18">Y29-Y30-Y31</f>
        <v>-1000000000</v>
      </c>
      <c r="Z45" s="1624">
        <f t="shared" si="18"/>
        <v>0</v>
      </c>
      <c r="AA45" s="2073"/>
      <c r="AB45" s="2073"/>
      <c r="AC45" s="2073"/>
      <c r="AD45" s="2073"/>
      <c r="AE45" s="365"/>
      <c r="AF45" s="365"/>
      <c r="AG45" s="365"/>
      <c r="AH45" s="365"/>
      <c r="AI45" s="365"/>
      <c r="AJ45" s="365"/>
      <c r="AK45" s="365"/>
      <c r="AL45" s="365"/>
      <c r="AM45" s="365"/>
      <c r="AN45" s="365"/>
      <c r="AO45" s="365"/>
    </row>
    <row r="46" spans="1:41">
      <c r="B46" s="1602" t="s">
        <v>362</v>
      </c>
      <c r="D46" s="1624">
        <f>D31-D33-D34-D35</f>
        <v>0</v>
      </c>
      <c r="E46" s="1624">
        <f t="shared" ref="E46:V46" si="19">E31-E33-E34-E35</f>
        <v>0</v>
      </c>
      <c r="F46" s="1624">
        <f t="shared" si="19"/>
        <v>0</v>
      </c>
      <c r="G46" s="1624">
        <f t="shared" si="19"/>
        <v>0</v>
      </c>
      <c r="H46" s="1624">
        <f t="shared" si="19"/>
        <v>0</v>
      </c>
      <c r="I46" s="1624">
        <f t="shared" si="19"/>
        <v>3.0517578125E-5</v>
      </c>
      <c r="J46" s="1627">
        <f t="shared" si="19"/>
        <v>164566080000</v>
      </c>
      <c r="K46" s="1627">
        <f t="shared" si="19"/>
        <v>146726208000</v>
      </c>
      <c r="L46" s="1627">
        <f t="shared" si="19"/>
        <v>313158422000</v>
      </c>
      <c r="M46" s="1627">
        <f t="shared" si="19"/>
        <v>246599942999.99994</v>
      </c>
      <c r="N46" s="1627">
        <f t="shared" si="19"/>
        <v>252180000000</v>
      </c>
      <c r="O46" s="1627">
        <f t="shared" si="19"/>
        <v>229040000000</v>
      </c>
      <c r="P46" s="1627">
        <f t="shared" si="19"/>
        <v>310861999999.99994</v>
      </c>
      <c r="Q46" s="1627">
        <f t="shared" si="19"/>
        <v>375408000000</v>
      </c>
      <c r="R46" s="1627">
        <f t="shared" si="19"/>
        <v>393000000000</v>
      </c>
      <c r="S46" s="1918">
        <f t="shared" si="19"/>
        <v>476000000000</v>
      </c>
      <c r="T46" s="1918">
        <f t="shared" si="19"/>
        <v>333000000000</v>
      </c>
      <c r="U46" s="1918">
        <f t="shared" si="19"/>
        <v>440000000000</v>
      </c>
      <c r="V46" s="1918">
        <f t="shared" si="19"/>
        <v>414000000000</v>
      </c>
      <c r="W46" s="1918">
        <f>W31-W33-W34-W35</f>
        <v>499000000000</v>
      </c>
      <c r="X46" s="1918">
        <f>X31-X33-X34-X35</f>
        <v>484000000000</v>
      </c>
      <c r="Y46" s="1918">
        <f t="shared" ref="Y46:Z46" si="20">Y31-Y33-Y34-Y35</f>
        <v>520000000000</v>
      </c>
      <c r="Z46" s="1918">
        <f t="shared" si="20"/>
        <v>556000000000</v>
      </c>
      <c r="AA46" s="2073"/>
      <c r="AB46" s="2073"/>
      <c r="AC46" s="2073"/>
      <c r="AD46" s="2073"/>
      <c r="AE46" s="365"/>
      <c r="AF46" s="365"/>
      <c r="AG46" s="365"/>
      <c r="AH46" s="365"/>
      <c r="AI46" s="365"/>
      <c r="AJ46" s="365"/>
      <c r="AK46" s="365"/>
      <c r="AL46" s="365"/>
      <c r="AM46" s="365"/>
      <c r="AN46" s="365"/>
      <c r="AO46" s="365"/>
    </row>
    <row r="47" spans="1:41" ht="16.5" thickBot="1">
      <c r="C47" s="1624"/>
      <c r="Y47" s="2073"/>
      <c r="Z47" s="2073"/>
      <c r="AA47" s="2073"/>
      <c r="AB47" s="2073"/>
      <c r="AC47" s="2073"/>
      <c r="AD47" s="2073"/>
      <c r="AE47" s="365"/>
      <c r="AF47" s="365"/>
      <c r="AG47" s="365"/>
      <c r="AH47" s="365"/>
      <c r="AI47" s="365"/>
      <c r="AJ47" s="365"/>
      <c r="AK47" s="365"/>
      <c r="AL47" s="365"/>
      <c r="AM47" s="365"/>
      <c r="AN47" s="365"/>
      <c r="AO47" s="365"/>
    </row>
    <row r="48" spans="1:41" ht="16.5" thickBot="1">
      <c r="B48" s="1602" t="s">
        <v>623</v>
      </c>
      <c r="D48" s="2080">
        <v>1300689000000</v>
      </c>
      <c r="E48" s="2081">
        <v>1455576000000</v>
      </c>
      <c r="F48" s="2081">
        <v>1636037000000</v>
      </c>
      <c r="G48" s="2081">
        <v>1822468000000</v>
      </c>
      <c r="H48" s="2081">
        <v>2090841000000</v>
      </c>
      <c r="I48" s="2081">
        <v>2452782000000</v>
      </c>
      <c r="J48" s="2081">
        <v>2938680000000</v>
      </c>
      <c r="K48" s="2081">
        <v>3578688000000</v>
      </c>
      <c r="L48" s="2081">
        <v>4410682000000</v>
      </c>
      <c r="M48" s="2081">
        <v>4835293000000</v>
      </c>
      <c r="N48" s="2081">
        <v>5604104000000</v>
      </c>
      <c r="O48" s="2081">
        <v>6543313000000</v>
      </c>
      <c r="P48" s="2081">
        <v>7578554000000</v>
      </c>
      <c r="Q48" s="2082">
        <v>8673870000000.001</v>
      </c>
      <c r="R48" s="1631">
        <v>10448000000000</v>
      </c>
      <c r="S48" s="1631">
        <v>10952000000000</v>
      </c>
      <c r="T48" s="1631">
        <v>11839000000000</v>
      </c>
      <c r="U48" s="1631">
        <v>13027000000000</v>
      </c>
      <c r="V48" s="1631">
        <v>14271000000000</v>
      </c>
      <c r="W48" s="1631">
        <v>15690000000000</v>
      </c>
      <c r="X48" s="1631">
        <v>17267000000000</v>
      </c>
      <c r="Y48" s="1602">
        <v>19021000000000</v>
      </c>
      <c r="Z48" s="1602">
        <v>20972000000000</v>
      </c>
    </row>
    <row r="49" spans="2:26">
      <c r="B49" s="1602" t="s">
        <v>151</v>
      </c>
      <c r="D49" s="1602">
        <f t="shared" ref="D49:X49" si="21">(D6/D48)*100</f>
        <v>16.639411880933874</v>
      </c>
      <c r="E49" s="1602">
        <f t="shared" si="21"/>
        <v>16.474302956355423</v>
      </c>
      <c r="F49" s="1602">
        <f t="shared" si="21"/>
        <v>16.440092736288971</v>
      </c>
      <c r="G49" s="1602">
        <f t="shared" si="21"/>
        <v>15.609162959239889</v>
      </c>
      <c r="H49" s="1602">
        <f t="shared" si="21"/>
        <v>15.138597339539448</v>
      </c>
      <c r="I49" s="1602">
        <f t="shared" si="21"/>
        <v>16.830365111942275</v>
      </c>
      <c r="J49" s="1602">
        <f t="shared" si="21"/>
        <v>17.299999999999997</v>
      </c>
      <c r="K49" s="1602">
        <f t="shared" si="21"/>
        <v>16.7</v>
      </c>
      <c r="L49" s="1602">
        <f t="shared" si="21"/>
        <v>15.6</v>
      </c>
      <c r="M49" s="1602">
        <f t="shared" si="21"/>
        <v>14.899999999999997</v>
      </c>
      <c r="N49" s="1602">
        <f t="shared" si="21"/>
        <v>14.799725344140652</v>
      </c>
      <c r="O49" s="1602">
        <f t="shared" si="21"/>
        <v>14.501522393931026</v>
      </c>
      <c r="P49" s="1602">
        <f t="shared" si="21"/>
        <v>13.206002094858727</v>
      </c>
      <c r="Q49" s="1602">
        <f t="shared" si="21"/>
        <v>12.590642931010033</v>
      </c>
      <c r="R49" s="2097">
        <f t="shared" si="21"/>
        <v>11.533307810107198</v>
      </c>
      <c r="S49" s="2097">
        <f t="shared" si="21"/>
        <v>13.340029218407597</v>
      </c>
      <c r="T49" s="2097">
        <f t="shared" si="21"/>
        <v>14.308640932511191</v>
      </c>
      <c r="U49" s="2097">
        <f t="shared" si="21"/>
        <v>14.23197973439779</v>
      </c>
      <c r="V49" s="2097">
        <f t="shared" si="21"/>
        <v>15.037488613271671</v>
      </c>
      <c r="W49" s="2097">
        <f t="shared" si="21"/>
        <v>16.080305927342256</v>
      </c>
      <c r="X49" s="2097">
        <f t="shared" si="21"/>
        <v>16.551804019227429</v>
      </c>
      <c r="Y49" s="2097">
        <f t="shared" ref="Y49:Z49" si="22">(Y6/Y48)*100</f>
        <v>16.692077177856053</v>
      </c>
      <c r="Z49" s="2097">
        <f t="shared" si="22"/>
        <v>16.798588594316229</v>
      </c>
    </row>
    <row r="50" spans="2:26">
      <c r="B50" s="1602" t="s">
        <v>152</v>
      </c>
      <c r="D50" s="1602">
        <f t="shared" ref="D50:X50" si="23">(D16/D48)*100</f>
        <v>24.759800382720236</v>
      </c>
      <c r="E50" s="1602">
        <f t="shared" si="23"/>
        <v>25.506328766069242</v>
      </c>
      <c r="F50" s="1602">
        <f t="shared" si="23"/>
        <v>23.803984873202747</v>
      </c>
      <c r="G50" s="1602">
        <f t="shared" si="23"/>
        <v>22.485003851919487</v>
      </c>
      <c r="H50" s="1602">
        <f t="shared" si="23"/>
        <v>22.804938299947246</v>
      </c>
      <c r="I50" s="1602">
        <f t="shared" si="23"/>
        <v>23.922549986097419</v>
      </c>
      <c r="J50" s="1602">
        <f t="shared" si="23"/>
        <v>24.099999999999998</v>
      </c>
      <c r="K50" s="1602">
        <f t="shared" si="23"/>
        <v>23.599999999999998</v>
      </c>
      <c r="L50" s="1602">
        <f t="shared" si="23"/>
        <v>22.600000000000005</v>
      </c>
      <c r="M50" s="1602">
        <f t="shared" si="23"/>
        <v>24.899999999999995</v>
      </c>
      <c r="N50" s="1602">
        <f t="shared" si="23"/>
        <v>22.799576881513975</v>
      </c>
      <c r="O50" s="1602">
        <f t="shared" si="23"/>
        <v>21.502257342725315</v>
      </c>
      <c r="P50" s="1602">
        <f t="shared" si="23"/>
        <v>19.708957671872493</v>
      </c>
      <c r="Q50" s="1602">
        <f t="shared" si="23"/>
        <v>18.099049213326921</v>
      </c>
      <c r="R50" s="2097">
        <f t="shared" si="23"/>
        <v>17.773736600306279</v>
      </c>
      <c r="S50" s="2097">
        <f t="shared" si="23"/>
        <v>20.352447041636232</v>
      </c>
      <c r="T50" s="2097">
        <f t="shared" si="23"/>
        <v>19.714502914097473</v>
      </c>
      <c r="U50" s="2097">
        <f t="shared" si="23"/>
        <v>19.935518538420204</v>
      </c>
      <c r="V50" s="2097">
        <f t="shared" si="23"/>
        <v>19.998598556513208</v>
      </c>
      <c r="W50" s="2097">
        <f t="shared" si="23"/>
        <v>20.031867431485022</v>
      </c>
      <c r="X50" s="2097">
        <f t="shared" si="23"/>
        <v>20.044014594312852</v>
      </c>
      <c r="Y50" s="2097">
        <f t="shared" ref="Y50:Z50" si="24">(Y16/Y48)*100</f>
        <v>20.198727721991482</v>
      </c>
      <c r="Z50" s="2097">
        <f t="shared" si="24"/>
        <v>20.26511539195117</v>
      </c>
    </row>
    <row r="53" spans="2:26">
      <c r="D53" s="1624">
        <f>D6+D29-D16</f>
        <v>13775000000</v>
      </c>
      <c r="E53" s="1624">
        <f t="shared" ref="E53:V53" si="25">E6+E29-E16</f>
        <v>15254000000</v>
      </c>
      <c r="F53" s="1624">
        <f t="shared" si="25"/>
        <v>13547000000</v>
      </c>
      <c r="G53" s="1624">
        <f t="shared" si="25"/>
        <v>7639000000</v>
      </c>
      <c r="H53" s="1624">
        <f t="shared" si="25"/>
        <v>-2029000000</v>
      </c>
      <c r="I53" s="1624">
        <f t="shared" si="25"/>
        <v>-3603834000</v>
      </c>
      <c r="J53" s="1624">
        <f t="shared" si="25"/>
        <v>38202840000</v>
      </c>
      <c r="K53" s="1624">
        <f t="shared" si="25"/>
        <v>32208192000</v>
      </c>
      <c r="L53" s="1624">
        <f t="shared" si="25"/>
        <v>30874773999.999878</v>
      </c>
      <c r="M53" s="1624">
        <f t="shared" si="25"/>
        <v>-4835293000</v>
      </c>
      <c r="N53" s="1624">
        <f t="shared" si="25"/>
        <v>-5604000000</v>
      </c>
      <c r="O53" s="1624">
        <f t="shared" si="25"/>
        <v>-6544000000</v>
      </c>
      <c r="P53" s="1624">
        <f t="shared" si="25"/>
        <v>0</v>
      </c>
      <c r="Q53" s="1624">
        <f t="shared" si="25"/>
        <v>17064000000</v>
      </c>
      <c r="R53" s="1624">
        <f t="shared" si="25"/>
        <v>1000000000</v>
      </c>
      <c r="S53" s="1624">
        <f t="shared" si="25"/>
        <v>0</v>
      </c>
      <c r="T53" s="1624">
        <f t="shared" si="25"/>
        <v>0</v>
      </c>
      <c r="U53" s="1624">
        <f t="shared" si="25"/>
        <v>-1000000000</v>
      </c>
      <c r="V53" s="1624">
        <f t="shared" si="25"/>
        <v>-1000000000</v>
      </c>
      <c r="W53" s="1624">
        <f>W6+W29-W16</f>
        <v>0</v>
      </c>
      <c r="X53" s="1624">
        <f>X6+X29-X16</f>
        <v>-1000000000</v>
      </c>
    </row>
    <row r="56" spans="2:26">
      <c r="J56" s="1619"/>
      <c r="K56" s="1619"/>
      <c r="Q56" s="1612"/>
    </row>
    <row r="57" spans="2:26">
      <c r="J57" s="1619"/>
      <c r="K57" s="1619"/>
    </row>
    <row r="58" spans="2:26">
      <c r="J58" s="1619"/>
      <c r="K58" s="1619"/>
    </row>
    <row r="59" spans="2:26">
      <c r="J59" s="1619"/>
      <c r="K59" s="1619"/>
    </row>
    <row r="60" spans="2:26">
      <c r="J60" s="1619"/>
      <c r="K60" s="1619"/>
    </row>
    <row r="61" spans="2:26">
      <c r="J61" s="1619"/>
      <c r="K61" s="1619"/>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Q67"/>
  <sheetViews>
    <sheetView zoomScale="80" zoomScaleNormal="80" workbookViewId="0">
      <pane xSplit="3" ySplit="5" topLeftCell="O6" activePane="bottomRight" state="frozen"/>
      <selection pane="topRight" activeCell="R7" sqref="R7"/>
      <selection pane="bottomLeft" activeCell="R7" sqref="R7"/>
      <selection pane="bottomRight" activeCell="R14" sqref="R14"/>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18" width="17.28515625" bestFit="1" customWidth="1"/>
    <col min="19" max="20" width="15" bestFit="1" customWidth="1"/>
    <col min="21" max="22" width="13.5703125" bestFit="1" customWidth="1"/>
    <col min="23" max="23" width="10.85546875" bestFit="1" customWidth="1"/>
    <col min="24" max="24" width="13.5703125" bestFit="1" customWidth="1"/>
  </cols>
  <sheetData>
    <row r="1" spans="1:43">
      <c r="A1" s="369" t="s">
        <v>5983</v>
      </c>
      <c r="B1" s="82" t="s">
        <v>5984</v>
      </c>
      <c r="C1" s="82"/>
      <c r="D1" s="27"/>
      <c r="E1" s="27"/>
      <c r="F1" s="27"/>
      <c r="G1" s="27"/>
      <c r="H1" s="27"/>
      <c r="I1" s="27"/>
      <c r="J1" s="27"/>
      <c r="K1" s="27"/>
      <c r="L1" s="27"/>
      <c r="M1" s="27"/>
      <c r="N1" s="27"/>
      <c r="O1" s="28"/>
      <c r="P1" s="28"/>
      <c r="Q1" s="28"/>
      <c r="R1" s="29"/>
      <c r="S1" s="28"/>
      <c r="T1" s="28"/>
      <c r="U1" s="28"/>
      <c r="V1" s="28"/>
    </row>
    <row r="2" spans="1:43">
      <c r="B2" s="30" t="s">
        <v>2790</v>
      </c>
      <c r="C2" s="30"/>
      <c r="D2" s="28"/>
      <c r="E2" s="28"/>
      <c r="F2" s="28"/>
      <c r="G2" s="28"/>
      <c r="H2" s="28"/>
      <c r="I2" s="28"/>
      <c r="J2" s="28"/>
      <c r="K2" s="28"/>
      <c r="L2" s="28"/>
      <c r="M2" s="28"/>
      <c r="N2" s="28"/>
      <c r="O2" s="28"/>
      <c r="P2" s="28"/>
      <c r="Q2" s="28"/>
      <c r="R2" s="31"/>
      <c r="S2" s="32"/>
      <c r="T2" s="33"/>
      <c r="U2" s="28"/>
      <c r="V2" s="28"/>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43">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row>
    <row r="6" spans="1:43" s="9" customFormat="1">
      <c r="A6" s="96" t="s">
        <v>33</v>
      </c>
      <c r="B6" s="239" t="s">
        <v>449</v>
      </c>
      <c r="C6" s="160" t="s">
        <v>35</v>
      </c>
      <c r="D6" s="36"/>
      <c r="E6" s="168">
        <f t="shared" ref="E6:R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O7+O29</f>
        <v>718300000</v>
      </c>
      <c r="P6" s="168">
        <f t="shared" si="0"/>
        <v>716200000</v>
      </c>
      <c r="Q6" s="168">
        <f t="shared" si="0"/>
        <v>954700000</v>
      </c>
      <c r="R6" s="168">
        <f t="shared" si="0"/>
        <v>943500000</v>
      </c>
      <c r="S6" s="168">
        <f>S7+S29</f>
        <v>917900000</v>
      </c>
      <c r="T6" s="168">
        <f t="shared" ref="T6:V6" si="1">T7+T29</f>
        <v>832900000</v>
      </c>
      <c r="U6" s="168">
        <f t="shared" si="1"/>
        <v>786700000</v>
      </c>
      <c r="V6" s="168">
        <f t="shared" si="1"/>
        <v>800400000</v>
      </c>
      <c r="W6"/>
      <c r="X6"/>
      <c r="Y6"/>
      <c r="Z6"/>
      <c r="AA6"/>
      <c r="AB6"/>
      <c r="AC6"/>
      <c r="AD6"/>
      <c r="AE6"/>
      <c r="AF6"/>
      <c r="AG6"/>
      <c r="AH6"/>
      <c r="AI6"/>
      <c r="AJ6"/>
      <c r="AK6"/>
      <c r="AL6"/>
      <c r="AM6"/>
      <c r="AN6"/>
      <c r="AO6"/>
      <c r="AP6"/>
      <c r="AQ6"/>
    </row>
    <row r="7" spans="1:43" ht="16.5">
      <c r="A7" s="139" t="s">
        <v>36</v>
      </c>
      <c r="B7" s="90" t="s">
        <v>5985</v>
      </c>
      <c r="C7" s="345" t="s">
        <v>38</v>
      </c>
      <c r="D7" s="28"/>
      <c r="E7" s="311">
        <v>261300000</v>
      </c>
      <c r="F7" s="311">
        <v>299100000</v>
      </c>
      <c r="G7" s="311">
        <v>321400000</v>
      </c>
      <c r="H7" s="311">
        <v>365300000</v>
      </c>
      <c r="I7" s="311">
        <v>434400000</v>
      </c>
      <c r="J7" s="311">
        <v>484200000</v>
      </c>
      <c r="K7" s="125">
        <v>517299999.99999994</v>
      </c>
      <c r="L7" s="125">
        <v>544400000</v>
      </c>
      <c r="M7" s="125">
        <v>539400000</v>
      </c>
      <c r="N7" s="460">
        <f>N9+N14</f>
        <v>513600000</v>
      </c>
      <c r="O7" s="460">
        <f>O9+O14</f>
        <v>650000000</v>
      </c>
      <c r="P7" s="460">
        <f t="shared" ref="P7:R7" si="2">P9+P14</f>
        <v>647900000</v>
      </c>
      <c r="Q7" s="460">
        <f t="shared" si="2"/>
        <v>807400000</v>
      </c>
      <c r="R7" s="460">
        <f t="shared" si="2"/>
        <v>873800000</v>
      </c>
      <c r="S7" s="460">
        <f>S9+S14</f>
        <v>887200000</v>
      </c>
      <c r="T7" s="460">
        <f t="shared" ref="T7:V7" si="3">T9+T14</f>
        <v>766300000</v>
      </c>
      <c r="U7" s="460">
        <f t="shared" si="3"/>
        <v>718300000</v>
      </c>
      <c r="V7" s="460">
        <f t="shared" si="3"/>
        <v>753600000</v>
      </c>
      <c r="X7" s="479"/>
    </row>
    <row r="8" spans="1:43" ht="16.5">
      <c r="B8" s="90" t="s">
        <v>3646</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c r="T8" s="142"/>
      <c r="U8" s="142"/>
      <c r="V8" s="142"/>
    </row>
    <row r="9" spans="1:43"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f>S10+S11+S12+S13</f>
        <v>507400000</v>
      </c>
      <c r="T9" s="142">
        <f t="shared" ref="T9:V9" si="4">T10+T11+T12+T13</f>
        <v>499900000</v>
      </c>
      <c r="U9" s="142">
        <f t="shared" si="4"/>
        <v>524500000</v>
      </c>
      <c r="V9" s="142">
        <f t="shared" si="4"/>
        <v>556400000</v>
      </c>
    </row>
    <row r="10" spans="1:43" ht="16.5">
      <c r="A10" s="99" t="s">
        <v>2228</v>
      </c>
      <c r="B10" s="99" t="s">
        <v>5986</v>
      </c>
      <c r="C10" s="90" t="s">
        <v>5659</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127000000</v>
      </c>
      <c r="T10" s="142">
        <v>126500000</v>
      </c>
      <c r="U10" s="142">
        <v>132500000</v>
      </c>
      <c r="V10" s="142">
        <v>140400000</v>
      </c>
    </row>
    <row r="11" spans="1:43" ht="16.5">
      <c r="A11" s="99" t="s">
        <v>2229</v>
      </c>
      <c r="B11" s="99" t="s">
        <v>4719</v>
      </c>
      <c r="C11" s="90" t="s">
        <v>5659</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20200000</v>
      </c>
      <c r="T11" s="142">
        <v>16300000</v>
      </c>
      <c r="U11" s="142">
        <v>17200000</v>
      </c>
      <c r="V11" s="142">
        <v>18400000</v>
      </c>
    </row>
    <row r="12" spans="1:43" ht="16.5">
      <c r="A12" s="99" t="s">
        <v>5987</v>
      </c>
      <c r="B12" s="99" t="s">
        <v>5988</v>
      </c>
      <c r="C12" s="90" t="s">
        <v>5659</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217000000</v>
      </c>
      <c r="T12" s="142">
        <v>209100000</v>
      </c>
      <c r="U12" s="142">
        <v>219200000</v>
      </c>
      <c r="V12" s="142">
        <v>232100000</v>
      </c>
    </row>
    <row r="13" spans="1:43" ht="16.5">
      <c r="A13" s="99" t="s">
        <v>2448</v>
      </c>
      <c r="B13" s="99" t="s">
        <v>2449</v>
      </c>
      <c r="C13" s="90" t="s">
        <v>5659</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v>143200000</v>
      </c>
      <c r="T13" s="142">
        <v>148000000</v>
      </c>
      <c r="U13" s="142">
        <v>155600000</v>
      </c>
      <c r="V13">
        <v>165500000</v>
      </c>
    </row>
    <row r="14" spans="1:43" ht="16.5">
      <c r="A14" s="90" t="s">
        <v>647</v>
      </c>
      <c r="B14" s="90" t="s">
        <v>5989</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f t="shared" ref="P14:Q14" si="5">P15+P16</f>
        <v>246300000</v>
      </c>
      <c r="Q14" s="142">
        <f t="shared" si="5"/>
        <v>385200000</v>
      </c>
      <c r="R14" s="142">
        <f>R15+R16</f>
        <v>391800000</v>
      </c>
      <c r="S14" s="142">
        <v>379800000</v>
      </c>
      <c r="T14" s="142">
        <v>266399999.99999997</v>
      </c>
      <c r="U14" s="142">
        <v>193800000</v>
      </c>
      <c r="V14" s="142">
        <v>197200000</v>
      </c>
    </row>
    <row r="15" spans="1:43" ht="16.5">
      <c r="A15" t="s">
        <v>76</v>
      </c>
      <c r="B15" s="90" t="s">
        <v>5990</v>
      </c>
      <c r="C15" s="90" t="s">
        <v>1802</v>
      </c>
      <c r="D15" s="28"/>
      <c r="E15" s="125"/>
      <c r="F15" s="125"/>
      <c r="G15" s="125"/>
      <c r="H15" s="125"/>
      <c r="I15" s="125"/>
      <c r="J15" s="125"/>
      <c r="K15" s="125"/>
      <c r="L15" s="125"/>
      <c r="M15" s="125"/>
      <c r="N15" s="142">
        <v>42100000</v>
      </c>
      <c r="O15" s="142">
        <v>88800000</v>
      </c>
      <c r="P15" s="142">
        <v>138100000</v>
      </c>
      <c r="Q15" s="142">
        <v>259100000.00000003</v>
      </c>
      <c r="R15" s="142">
        <v>302800000</v>
      </c>
      <c r="S15" s="142">
        <v>293400000</v>
      </c>
      <c r="T15">
        <v>175300000</v>
      </c>
      <c r="U15">
        <v>100000000</v>
      </c>
      <c r="V15">
        <v>100000000</v>
      </c>
    </row>
    <row r="16" spans="1:43" ht="16.5">
      <c r="A16" s="139" t="s">
        <v>50</v>
      </c>
      <c r="B16" s="139" t="s">
        <v>50</v>
      </c>
      <c r="C16" s="90" t="s">
        <v>1802</v>
      </c>
      <c r="D16" s="28"/>
      <c r="E16" s="125"/>
      <c r="F16" s="125"/>
      <c r="G16" s="178">
        <v>0</v>
      </c>
      <c r="H16" s="178">
        <v>0</v>
      </c>
      <c r="I16" s="178">
        <v>0</v>
      </c>
      <c r="J16" s="178">
        <v>0</v>
      </c>
      <c r="K16" s="125">
        <v>0</v>
      </c>
      <c r="L16" s="125">
        <v>0</v>
      </c>
      <c r="M16" s="125"/>
      <c r="N16" s="142">
        <v>129000000</v>
      </c>
      <c r="O16" s="142">
        <v>153100000</v>
      </c>
      <c r="P16" s="142">
        <v>108200000</v>
      </c>
      <c r="Q16" s="142">
        <v>126100000</v>
      </c>
      <c r="R16" s="142">
        <v>89000000</v>
      </c>
      <c r="S16" s="142">
        <f>S14-S15</f>
        <v>86400000</v>
      </c>
      <c r="T16" s="142">
        <f t="shared" ref="T16:V16" si="6">T14-T15</f>
        <v>91099999.99999997</v>
      </c>
      <c r="U16" s="142">
        <f t="shared" si="6"/>
        <v>93800000</v>
      </c>
      <c r="V16" s="142">
        <f t="shared" si="6"/>
        <v>97200000</v>
      </c>
    </row>
    <row r="17" spans="1:43" s="9" customFormat="1" ht="16.5">
      <c r="A17" s="170" t="s">
        <v>71</v>
      </c>
      <c r="B17" s="18" t="s">
        <v>5991</v>
      </c>
      <c r="C17" s="456" t="s">
        <v>35</v>
      </c>
      <c r="D17" s="36"/>
      <c r="E17" s="310">
        <v>385000000</v>
      </c>
      <c r="F17" s="310">
        <v>511200000</v>
      </c>
      <c r="G17" s="310">
        <v>415600000</v>
      </c>
      <c r="H17" s="310">
        <v>454100000</v>
      </c>
      <c r="I17" s="310">
        <v>514600000</v>
      </c>
      <c r="J17" s="310">
        <v>586600000</v>
      </c>
      <c r="K17" s="295">
        <v>611600000</v>
      </c>
      <c r="L17" s="295">
        <v>650400000</v>
      </c>
      <c r="M17" s="295">
        <v>661100000</v>
      </c>
      <c r="N17" s="460">
        <v>707800000</v>
      </c>
      <c r="O17" s="460">
        <v>682800000</v>
      </c>
      <c r="P17" s="460">
        <v>620300000</v>
      </c>
      <c r="Q17" s="460">
        <v>703500000</v>
      </c>
      <c r="R17" s="460">
        <f>R18+R25+R26</f>
        <v>747500000</v>
      </c>
      <c r="S17" s="460">
        <f>S18+S25+S26</f>
        <v>784100000</v>
      </c>
      <c r="T17" s="460">
        <f t="shared" ref="T17:V17" si="7">T18+T25+T26</f>
        <v>729900000</v>
      </c>
      <c r="U17" s="460">
        <f t="shared" si="7"/>
        <v>804900000</v>
      </c>
      <c r="V17" s="460">
        <f t="shared" si="7"/>
        <v>836900000</v>
      </c>
      <c r="W17"/>
      <c r="X17" s="21"/>
      <c r="Y17"/>
      <c r="Z17"/>
      <c r="AA17"/>
      <c r="AB17"/>
      <c r="AC17"/>
      <c r="AD17"/>
      <c r="AE17"/>
      <c r="AF17"/>
      <c r="AG17"/>
      <c r="AH17"/>
      <c r="AI17"/>
      <c r="AJ17"/>
      <c r="AK17"/>
      <c r="AL17"/>
      <c r="AM17"/>
      <c r="AN17"/>
      <c r="AO17"/>
      <c r="AP17"/>
      <c r="AQ17"/>
    </row>
    <row r="18" spans="1:43" ht="16.5">
      <c r="A18" s="448" t="s">
        <v>476</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f>R19+R20+R21+R24</f>
        <v>608200000</v>
      </c>
      <c r="S18" s="142">
        <f>S19+S20+S21+S24</f>
        <v>617000000</v>
      </c>
      <c r="T18" s="142">
        <f t="shared" ref="T18:V18" si="8">T19+T20+T21+T24</f>
        <v>620600000</v>
      </c>
      <c r="U18" s="142">
        <f t="shared" si="8"/>
        <v>619400000</v>
      </c>
      <c r="V18" s="142">
        <f t="shared" si="8"/>
        <v>635500000</v>
      </c>
    </row>
    <row r="19" spans="1:43"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257600000.00000003</v>
      </c>
      <c r="T19" s="142">
        <v>295400000</v>
      </c>
      <c r="U19" s="142">
        <v>295300000</v>
      </c>
      <c r="V19" s="142">
        <v>305000000</v>
      </c>
    </row>
    <row r="20" spans="1:43" ht="16.5">
      <c r="A20" s="99" t="s">
        <v>83</v>
      </c>
      <c r="B20" s="99" t="s">
        <v>5992</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165600000</v>
      </c>
      <c r="T20" s="142">
        <v>139000000</v>
      </c>
      <c r="U20" s="142">
        <v>161800000</v>
      </c>
      <c r="V20" s="142">
        <v>169600000</v>
      </c>
    </row>
    <row r="21" spans="1:43"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f>S22+S23</f>
        <v>51100000</v>
      </c>
      <c r="T21" s="142">
        <f t="shared" ref="T21:V21" si="9">T22+T23</f>
        <v>41900000</v>
      </c>
      <c r="U21" s="142">
        <f t="shared" si="9"/>
        <v>41100000</v>
      </c>
      <c r="V21" s="142">
        <f t="shared" si="9"/>
        <v>45000000</v>
      </c>
    </row>
    <row r="22" spans="1:43"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36500000</v>
      </c>
      <c r="T22" s="142">
        <v>32400000</v>
      </c>
      <c r="U22" s="142">
        <v>28400000</v>
      </c>
      <c r="V22" s="142">
        <v>30900000</v>
      </c>
    </row>
    <row r="23" spans="1:43"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14600000</v>
      </c>
      <c r="T23" s="142">
        <v>9500000</v>
      </c>
      <c r="U23" s="142">
        <v>12700000</v>
      </c>
      <c r="V23" s="142">
        <v>14100000</v>
      </c>
    </row>
    <row r="24" spans="1:43" ht="16.5">
      <c r="A24" s="152" t="s">
        <v>389</v>
      </c>
      <c r="B24" s="99" t="s">
        <v>5339</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142700000</v>
      </c>
      <c r="T24" s="142">
        <v>144300000</v>
      </c>
      <c r="U24" s="142">
        <v>121200000</v>
      </c>
      <c r="V24" s="142">
        <v>115900000</v>
      </c>
    </row>
    <row r="25" spans="1:43" ht="16.5">
      <c r="A25" s="90" t="s">
        <v>612</v>
      </c>
      <c r="B25" s="90" t="s">
        <v>1159</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21400000</v>
      </c>
      <c r="T25" s="142">
        <v>0</v>
      </c>
      <c r="U25" s="142">
        <v>0</v>
      </c>
      <c r="V25" s="142">
        <v>0</v>
      </c>
    </row>
    <row r="26" spans="1:43"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145700000</v>
      </c>
      <c r="T26" s="142">
        <v>109300000</v>
      </c>
      <c r="U26" s="142">
        <v>185500000</v>
      </c>
      <c r="V26" s="142">
        <v>201400000</v>
      </c>
    </row>
    <row r="27" spans="1:43" ht="16.5">
      <c r="A27" t="s">
        <v>76</v>
      </c>
      <c r="B27" s="90" t="s">
        <v>2328</v>
      </c>
      <c r="C27" s="90"/>
      <c r="D27" s="28"/>
      <c r="E27" s="311">
        <v>-45200000</v>
      </c>
      <c r="F27" s="311">
        <v>-27400000</v>
      </c>
      <c r="G27" s="311">
        <v>-11700000</v>
      </c>
      <c r="H27" s="311">
        <v>-10700000</v>
      </c>
      <c r="I27" s="311">
        <v>-1400000</v>
      </c>
      <c r="J27" s="311">
        <v>2300000</v>
      </c>
      <c r="K27" s="125">
        <v>19500000</v>
      </c>
      <c r="L27" s="125">
        <v>-900000</v>
      </c>
      <c r="M27" s="125">
        <v>-26200000</v>
      </c>
      <c r="N27" s="460">
        <v>-64099999.999999993</v>
      </c>
      <c r="O27" s="460">
        <v>50800000</v>
      </c>
      <c r="P27" s="460">
        <v>99900000</v>
      </c>
      <c r="Q27" s="460">
        <v>251600000</v>
      </c>
      <c r="R27" s="460">
        <v>288100000</v>
      </c>
      <c r="S27" s="142"/>
      <c r="T27" s="142"/>
      <c r="U27" s="142"/>
      <c r="V27" s="142"/>
    </row>
    <row r="28" spans="1:43" ht="16.5">
      <c r="A28" t="s">
        <v>76</v>
      </c>
      <c r="B28" s="90" t="s">
        <v>5993</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c r="T28" s="142"/>
      <c r="U28" s="142"/>
      <c r="V28" s="142"/>
    </row>
    <row r="29" spans="1:43" ht="16.5">
      <c r="A29" s="139" t="s">
        <v>53</v>
      </c>
      <c r="B29" s="139" t="s">
        <v>53</v>
      </c>
      <c r="C29" s="345"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30700000</v>
      </c>
      <c r="T29" s="142">
        <v>66599999.999999993</v>
      </c>
      <c r="U29" s="142">
        <v>68400000</v>
      </c>
      <c r="V29" s="142">
        <v>46800000</v>
      </c>
    </row>
    <row r="30" spans="1:43" ht="16.5">
      <c r="A30" t="s">
        <v>76</v>
      </c>
      <c r="B30" s="90" t="s">
        <v>5994</v>
      </c>
      <c r="C30" s="90"/>
      <c r="D30" s="28"/>
      <c r="E30" s="311">
        <v>-119100000</v>
      </c>
      <c r="F30" s="311">
        <v>-183800000</v>
      </c>
      <c r="G30" s="311">
        <v>-88200000</v>
      </c>
      <c r="H30" s="311">
        <v>-84700000</v>
      </c>
      <c r="I30" s="311">
        <v>-48000000</v>
      </c>
      <c r="J30" s="311">
        <v>-66300000</v>
      </c>
      <c r="K30" s="125">
        <v>-65900000.000000007</v>
      </c>
      <c r="L30" s="125">
        <v>-77700000</v>
      </c>
      <c r="M30" s="125">
        <v>-54200000</v>
      </c>
      <c r="N30" s="460">
        <v>-139500000</v>
      </c>
      <c r="O30" s="460">
        <v>36600000</v>
      </c>
      <c r="P30" s="460">
        <v>96200000</v>
      </c>
      <c r="Q30" s="460">
        <v>257300000</v>
      </c>
      <c r="R30" s="460">
        <v>218500000</v>
      </c>
      <c r="S30" s="460"/>
      <c r="T30" s="460"/>
      <c r="U30" s="460"/>
      <c r="V30" s="460"/>
    </row>
    <row r="31" spans="1:43" ht="16.5">
      <c r="A31" t="s">
        <v>76</v>
      </c>
      <c r="B31" s="90" t="s">
        <v>1972</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c r="T31" s="142"/>
      <c r="U31" s="142"/>
      <c r="V31" s="142"/>
    </row>
    <row r="32" spans="1:43" ht="16.5">
      <c r="A32" t="s">
        <v>76</v>
      </c>
      <c r="B32" s="90" t="s">
        <v>5995</v>
      </c>
      <c r="C32" s="90"/>
      <c r="D32" s="28"/>
      <c r="E32" s="125"/>
      <c r="F32" s="125"/>
      <c r="G32" s="125"/>
      <c r="H32" s="125"/>
      <c r="I32" s="125"/>
      <c r="J32" s="125"/>
      <c r="K32" s="125">
        <v>66200000</v>
      </c>
      <c r="L32" s="125">
        <v>-77700000</v>
      </c>
      <c r="M32" s="125">
        <v>-54200000</v>
      </c>
      <c r="N32" s="460">
        <v>-181500000</v>
      </c>
      <c r="O32" s="460">
        <v>-52200000</v>
      </c>
      <c r="P32" s="460">
        <v>-44800000</v>
      </c>
      <c r="Q32" s="460">
        <v>-19600000</v>
      </c>
      <c r="R32" s="460">
        <v>-106900000</v>
      </c>
      <c r="S32" s="460"/>
      <c r="T32" s="460"/>
      <c r="U32" s="460"/>
      <c r="V32" s="460"/>
    </row>
    <row r="33" spans="1:32" ht="16.5">
      <c r="A33" t="s">
        <v>76</v>
      </c>
      <c r="B33" s="90" t="s">
        <v>5996</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c r="T33" s="142"/>
      <c r="U33" s="142"/>
      <c r="V33" s="142"/>
    </row>
    <row r="34" spans="1:32" s="9" customFormat="1" ht="16.5">
      <c r="A34" s="260" t="s">
        <v>115</v>
      </c>
      <c r="B34" s="260" t="s">
        <v>115</v>
      </c>
      <c r="C34" s="459" t="s">
        <v>35</v>
      </c>
      <c r="D34" s="36"/>
      <c r="E34" s="310">
        <v>149900000</v>
      </c>
      <c r="F34" s="310">
        <v>113000000</v>
      </c>
      <c r="G34" s="310">
        <v>113700000</v>
      </c>
      <c r="H34" s="310">
        <v>114500000</v>
      </c>
      <c r="I34" s="310">
        <v>215600000</v>
      </c>
      <c r="J34" s="310">
        <f>J35+J39+J43+J49+J48</f>
        <v>93600000</v>
      </c>
      <c r="K34" s="295">
        <v>66200000</v>
      </c>
      <c r="L34" s="295">
        <v>106400000</v>
      </c>
      <c r="M34" s="295">
        <v>115400000</v>
      </c>
      <c r="N34" s="629">
        <v>172800000</v>
      </c>
      <c r="O34" s="629">
        <v>-54600000</v>
      </c>
      <c r="P34" s="629">
        <v>-94000000</v>
      </c>
      <c r="Q34" s="629">
        <v>-261899999.99999997</v>
      </c>
      <c r="R34" s="629">
        <v>-227000000</v>
      </c>
      <c r="S34" s="629">
        <f>S35+S39+S43+S48+S49</f>
        <v>-116400000</v>
      </c>
      <c r="T34" s="629">
        <f t="shared" ref="T34:V34" si="10">T35+T39+T43+T48+T49</f>
        <v>-103000000</v>
      </c>
      <c r="U34" s="629">
        <f t="shared" si="10"/>
        <v>18200000</v>
      </c>
      <c r="V34" s="629">
        <f t="shared" si="10"/>
        <v>36300000</v>
      </c>
    </row>
    <row r="35" spans="1:32" ht="16.5">
      <c r="A35" s="90" t="s">
        <v>117</v>
      </c>
      <c r="B35" s="90" t="s">
        <v>5997</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f>S36+S37</f>
        <v>-171100000</v>
      </c>
      <c r="T35" s="142">
        <f t="shared" ref="T35:V35" si="11">T36+T37</f>
        <v>-49200000</v>
      </c>
      <c r="U35" s="142">
        <f t="shared" si="11"/>
        <v>-22900000</v>
      </c>
      <c r="V35" s="142">
        <f t="shared" si="11"/>
        <v>-25000000</v>
      </c>
    </row>
    <row r="36" spans="1:32" ht="16.5">
      <c r="A36" s="99" t="s">
        <v>5998</v>
      </c>
      <c r="B36" s="99" t="s">
        <v>5999</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21">
        <v>2400000</v>
      </c>
      <c r="T36" s="21">
        <v>2100000</v>
      </c>
      <c r="U36" s="142">
        <v>3900000</v>
      </c>
      <c r="V36" s="142">
        <v>0</v>
      </c>
    </row>
    <row r="37" spans="1:32"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-173500000</v>
      </c>
      <c r="T37" s="21">
        <v>-51300000</v>
      </c>
      <c r="U37" s="21">
        <v>-26800000</v>
      </c>
      <c r="V37" s="21">
        <v>-25000000</v>
      </c>
    </row>
    <row r="38" spans="1:32" ht="16.5">
      <c r="A38" s="152" t="s">
        <v>50</v>
      </c>
      <c r="B38" s="152" t="s">
        <v>922</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row>
    <row r="39" spans="1:32" ht="16.5">
      <c r="A39" s="90" t="s">
        <v>2299</v>
      </c>
      <c r="B39" s="90" t="s">
        <v>2861</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f>S40+S41+S42</f>
        <v>37900000</v>
      </c>
      <c r="T39" s="142">
        <f t="shared" ref="T39:V39" si="12">T40+T41+T42</f>
        <v>-63300000</v>
      </c>
      <c r="U39" s="142">
        <f t="shared" si="12"/>
        <v>31200000</v>
      </c>
      <c r="V39" s="142">
        <f t="shared" si="12"/>
        <v>50900000</v>
      </c>
    </row>
    <row r="40" spans="1:32" ht="16.5">
      <c r="A40" s="90" t="s">
        <v>861</v>
      </c>
      <c r="B40" s="90" t="s">
        <v>2601</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22000000</v>
      </c>
      <c r="T40" s="142">
        <v>-63300000</v>
      </c>
      <c r="U40" s="21">
        <v>31200000</v>
      </c>
      <c r="V40" s="21">
        <v>50900000</v>
      </c>
    </row>
    <row r="41" spans="1:32" ht="16.5">
      <c r="A41" s="90" t="s">
        <v>6000</v>
      </c>
      <c r="B41" s="90" t="s">
        <v>6001</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21">
        <v>9600000</v>
      </c>
      <c r="T41" s="142">
        <v>0</v>
      </c>
      <c r="U41" s="142">
        <v>0</v>
      </c>
      <c r="V41" s="142">
        <v>0</v>
      </c>
    </row>
    <row r="42" spans="1:32" ht="16.5">
      <c r="A42" s="90" t="s">
        <v>6002</v>
      </c>
      <c r="B42" s="90" t="s">
        <v>6003</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21">
        <v>6300000</v>
      </c>
      <c r="T42" s="142">
        <v>0</v>
      </c>
      <c r="U42" s="142">
        <v>0</v>
      </c>
      <c r="V42" s="142">
        <v>0</v>
      </c>
    </row>
    <row r="43" spans="1:32" ht="16.5">
      <c r="A43" s="90" t="s">
        <v>514</v>
      </c>
      <c r="B43" s="90" t="s">
        <v>1936</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-2200000</v>
      </c>
      <c r="T43" s="142">
        <v>0</v>
      </c>
      <c r="U43" s="142">
        <v>0</v>
      </c>
      <c r="V43" s="142">
        <v>0</v>
      </c>
    </row>
    <row r="44" spans="1:32"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c r="T44" s="142"/>
      <c r="U44" s="142"/>
      <c r="V44" s="142"/>
    </row>
    <row r="45" spans="1:32"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c r="T45" s="142"/>
      <c r="U45" s="142"/>
      <c r="V45" s="142"/>
    </row>
    <row r="46" spans="1:32"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c r="T46" s="142"/>
      <c r="U46" s="142"/>
      <c r="V46" s="142"/>
    </row>
    <row r="47" spans="1:32"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c r="T47" s="142"/>
      <c r="U47" s="142"/>
      <c r="V47" s="142"/>
      <c r="AD47" s="142"/>
      <c r="AE47" s="142"/>
      <c r="AF47" s="142"/>
    </row>
    <row r="48" spans="1:32" ht="16.5">
      <c r="A48" s="90" t="s">
        <v>6004</v>
      </c>
      <c r="B48" s="90" t="s">
        <v>6005</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21">
        <v>12000000</v>
      </c>
      <c r="T48" s="142">
        <v>9500000</v>
      </c>
      <c r="U48" s="142">
        <v>9900000</v>
      </c>
      <c r="V48" s="142">
        <v>10400000</v>
      </c>
    </row>
    <row r="49" spans="1:22" ht="16.5">
      <c r="A49" s="90" t="s">
        <v>2469</v>
      </c>
      <c r="B49" s="90" t="s">
        <v>2469</v>
      </c>
      <c r="C49" s="58" t="s">
        <v>252</v>
      </c>
      <c r="D49" s="28"/>
      <c r="E49" s="125"/>
      <c r="F49" s="125"/>
      <c r="G49" s="125"/>
      <c r="H49" s="125"/>
      <c r="I49" s="125"/>
      <c r="J49" s="125"/>
      <c r="K49" s="125"/>
      <c r="L49" s="125"/>
      <c r="M49" s="125"/>
      <c r="N49" s="193">
        <v>0</v>
      </c>
      <c r="O49" s="193">
        <v>0</v>
      </c>
      <c r="P49" s="142">
        <v>309200000</v>
      </c>
      <c r="Q49" s="142">
        <v>574600000</v>
      </c>
      <c r="R49" s="142">
        <v>29000000</v>
      </c>
      <c r="S49" s="21">
        <v>7000000</v>
      </c>
      <c r="T49" s="142">
        <v>0</v>
      </c>
      <c r="U49" s="142">
        <v>0</v>
      </c>
      <c r="V49" s="142">
        <v>0</v>
      </c>
    </row>
    <row r="50" spans="1:22" ht="16.5">
      <c r="B50" s="90" t="s">
        <v>5118</v>
      </c>
      <c r="C50" s="58"/>
      <c r="D50" s="28"/>
      <c r="N50" s="142">
        <v>-33299999.999999996</v>
      </c>
      <c r="O50" s="142">
        <v>18000000</v>
      </c>
      <c r="P50" s="142">
        <v>-2200000</v>
      </c>
      <c r="Q50" s="142">
        <v>4600000</v>
      </c>
      <c r="R50" s="142">
        <v>8500000</v>
      </c>
      <c r="S50" s="142"/>
      <c r="T50" s="142"/>
      <c r="U50" s="142"/>
      <c r="V50" s="142"/>
    </row>
    <row r="51" spans="1:22">
      <c r="B51" s="90"/>
      <c r="C51" s="90"/>
      <c r="D51" s="28"/>
    </row>
    <row r="52" spans="1:22">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row>
    <row r="56" spans="1:22">
      <c r="B56" t="s">
        <v>284</v>
      </c>
      <c r="E56" s="21">
        <f>E6-E7-E29</f>
        <v>0</v>
      </c>
      <c r="F56" s="21">
        <f t="shared" ref="F56:V56" si="13">F6-F7-F29</f>
        <v>0</v>
      </c>
      <c r="G56" s="21">
        <f t="shared" si="13"/>
        <v>0</v>
      </c>
      <c r="H56" s="21">
        <f t="shared" si="13"/>
        <v>0</v>
      </c>
      <c r="I56" s="21">
        <f t="shared" si="13"/>
        <v>0</v>
      </c>
      <c r="J56" s="21">
        <f t="shared" si="13"/>
        <v>0</v>
      </c>
      <c r="K56" s="21">
        <f t="shared" si="13"/>
        <v>5.9604644775390625E-8</v>
      </c>
      <c r="L56" s="21">
        <f t="shared" si="13"/>
        <v>0</v>
      </c>
      <c r="M56" s="21">
        <f t="shared" si="13"/>
        <v>0</v>
      </c>
      <c r="N56" s="21">
        <f t="shared" si="13"/>
        <v>0</v>
      </c>
      <c r="O56" s="21">
        <f t="shared" si="13"/>
        <v>0</v>
      </c>
      <c r="P56" s="21">
        <f t="shared" si="13"/>
        <v>0</v>
      </c>
      <c r="Q56" s="21">
        <f t="shared" si="13"/>
        <v>0</v>
      </c>
      <c r="R56" s="21">
        <f t="shared" si="13"/>
        <v>0</v>
      </c>
      <c r="S56" s="21">
        <f t="shared" si="13"/>
        <v>0</v>
      </c>
      <c r="T56" s="21">
        <f t="shared" si="13"/>
        <v>0</v>
      </c>
      <c r="U56" s="21">
        <f t="shared" si="13"/>
        <v>0</v>
      </c>
      <c r="V56" s="21">
        <f t="shared" si="13"/>
        <v>0</v>
      </c>
    </row>
    <row r="57" spans="1:22">
      <c r="B57" t="s">
        <v>141</v>
      </c>
      <c r="E57" s="21">
        <f>E7-E9-E14</f>
        <v>100000</v>
      </c>
      <c r="F57" s="21">
        <f t="shared" ref="F57:V57" si="14">F7-F9-F14</f>
        <v>0</v>
      </c>
      <c r="G57" s="21">
        <f t="shared" si="14"/>
        <v>0</v>
      </c>
      <c r="H57" s="21">
        <f t="shared" si="14"/>
        <v>-100000</v>
      </c>
      <c r="I57" s="21">
        <f t="shared" si="14"/>
        <v>0</v>
      </c>
      <c r="J57" s="21">
        <f t="shared" si="14"/>
        <v>0</v>
      </c>
      <c r="K57" s="21">
        <f t="shared" si="14"/>
        <v>99999.999999940395</v>
      </c>
      <c r="L57" s="21">
        <f t="shared" si="14"/>
        <v>-100000</v>
      </c>
      <c r="M57" s="21">
        <f t="shared" si="14"/>
        <v>0</v>
      </c>
      <c r="N57" s="21">
        <f t="shared" si="14"/>
        <v>0</v>
      </c>
      <c r="O57" s="21">
        <f>O7-O9-O14</f>
        <v>0</v>
      </c>
      <c r="P57" s="21">
        <f>P7-P9-P14</f>
        <v>0</v>
      </c>
      <c r="Q57" s="21">
        <f t="shared" si="14"/>
        <v>0</v>
      </c>
      <c r="R57" s="21">
        <f t="shared" si="14"/>
        <v>0</v>
      </c>
      <c r="S57" s="21">
        <f t="shared" si="14"/>
        <v>0</v>
      </c>
      <c r="T57" s="21">
        <f t="shared" si="14"/>
        <v>0</v>
      </c>
      <c r="U57" s="21">
        <f t="shared" si="14"/>
        <v>0</v>
      </c>
      <c r="V57" s="21">
        <f t="shared" si="14"/>
        <v>0</v>
      </c>
    </row>
    <row r="58" spans="1:22">
      <c r="B58" t="s">
        <v>142</v>
      </c>
      <c r="E58" s="21">
        <f>E9-E10-E11-E12-E13</f>
        <v>0</v>
      </c>
      <c r="F58" s="21">
        <f t="shared" ref="F58:V58" si="15">F9-F10-F11-F12-F13</f>
        <v>100000</v>
      </c>
      <c r="G58" s="21">
        <f t="shared" si="15"/>
        <v>100000</v>
      </c>
      <c r="H58" s="21">
        <f t="shared" si="15"/>
        <v>-100000</v>
      </c>
      <c r="I58" s="21">
        <f t="shared" si="15"/>
        <v>0</v>
      </c>
      <c r="J58" s="21">
        <f t="shared" si="15"/>
        <v>100000</v>
      </c>
      <c r="K58" s="21">
        <f t="shared" si="15"/>
        <v>0</v>
      </c>
      <c r="L58" s="21">
        <f t="shared" si="15"/>
        <v>-100000</v>
      </c>
      <c r="M58" s="21">
        <f t="shared" si="15"/>
        <v>0</v>
      </c>
      <c r="N58" s="21">
        <f t="shared" si="15"/>
        <v>-100000</v>
      </c>
      <c r="O58" s="21">
        <f t="shared" si="15"/>
        <v>100000</v>
      </c>
      <c r="P58" s="21">
        <f t="shared" si="15"/>
        <v>0</v>
      </c>
      <c r="Q58" s="21">
        <f t="shared" si="15"/>
        <v>0</v>
      </c>
      <c r="R58" s="21">
        <f t="shared" si="15"/>
        <v>100000</v>
      </c>
      <c r="S58" s="21">
        <f t="shared" si="15"/>
        <v>0</v>
      </c>
      <c r="T58" s="21">
        <f t="shared" si="15"/>
        <v>0</v>
      </c>
      <c r="U58" s="21">
        <f t="shared" si="15"/>
        <v>0</v>
      </c>
      <c r="V58" s="21">
        <f t="shared" si="15"/>
        <v>0</v>
      </c>
    </row>
    <row r="59" spans="1:22">
      <c r="B59" t="s">
        <v>1207</v>
      </c>
      <c r="E59" s="21">
        <f>E17-E18-E26-E25</f>
        <v>100000</v>
      </c>
      <c r="F59" s="21">
        <f t="shared" ref="F59:V59" si="16">F17-F18-F26-F25</f>
        <v>0</v>
      </c>
      <c r="G59" s="21">
        <f t="shared" si="16"/>
        <v>-100000</v>
      </c>
      <c r="H59" s="21">
        <f t="shared" si="16"/>
        <v>100000</v>
      </c>
      <c r="I59" s="21">
        <f t="shared" si="16"/>
        <v>0</v>
      </c>
      <c r="J59" s="21">
        <f t="shared" si="16"/>
        <v>0</v>
      </c>
      <c r="K59" s="21">
        <f t="shared" si="16"/>
        <v>0</v>
      </c>
      <c r="L59" s="21">
        <f t="shared" si="16"/>
        <v>0</v>
      </c>
      <c r="M59" s="21">
        <f t="shared" si="16"/>
        <v>0</v>
      </c>
      <c r="N59" s="21">
        <f t="shared" si="16"/>
        <v>0</v>
      </c>
      <c r="O59" s="21">
        <f t="shared" si="16"/>
        <v>0</v>
      </c>
      <c r="P59" s="21">
        <f t="shared" si="16"/>
        <v>0</v>
      </c>
      <c r="Q59" s="21">
        <f t="shared" si="16"/>
        <v>0</v>
      </c>
      <c r="R59" s="21">
        <f t="shared" si="16"/>
        <v>0</v>
      </c>
      <c r="S59" s="21">
        <f t="shared" si="16"/>
        <v>0</v>
      </c>
      <c r="T59" s="21">
        <f t="shared" si="16"/>
        <v>0</v>
      </c>
      <c r="U59" s="21">
        <f t="shared" si="16"/>
        <v>0</v>
      </c>
      <c r="V59" s="21">
        <f t="shared" si="16"/>
        <v>0</v>
      </c>
    </row>
    <row r="60" spans="1:22">
      <c r="B60" t="s">
        <v>2930</v>
      </c>
      <c r="E60" s="21">
        <f>E18-E19-E20-E24-E21</f>
        <v>0</v>
      </c>
      <c r="F60" s="21">
        <f t="shared" ref="F60:V60" si="17">F18-F19-F20-F24-F21</f>
        <v>0</v>
      </c>
      <c r="G60" s="21">
        <f t="shared" si="17"/>
        <v>0</v>
      </c>
      <c r="H60" s="21">
        <f t="shared" si="17"/>
        <v>100000</v>
      </c>
      <c r="I60" s="21">
        <f t="shared" si="17"/>
        <v>0</v>
      </c>
      <c r="J60" s="21">
        <f t="shared" si="17"/>
        <v>-99999.999999985099</v>
      </c>
      <c r="K60" s="21">
        <f t="shared" si="17"/>
        <v>100000</v>
      </c>
      <c r="L60" s="21">
        <f t="shared" si="17"/>
        <v>0</v>
      </c>
      <c r="M60" s="21">
        <f t="shared" si="17"/>
        <v>-100000</v>
      </c>
      <c r="N60" s="21">
        <f t="shared" si="17"/>
        <v>0</v>
      </c>
      <c r="O60" s="21">
        <f t="shared" si="17"/>
        <v>0</v>
      </c>
      <c r="P60" s="21">
        <f t="shared" si="17"/>
        <v>0</v>
      </c>
      <c r="Q60" s="21">
        <f t="shared" si="17"/>
        <v>0</v>
      </c>
      <c r="R60" s="21">
        <f t="shared" si="17"/>
        <v>0</v>
      </c>
      <c r="S60" s="21">
        <f t="shared" si="17"/>
        <v>0</v>
      </c>
      <c r="T60" s="21">
        <f t="shared" si="17"/>
        <v>0</v>
      </c>
      <c r="U60" s="21">
        <f t="shared" si="17"/>
        <v>0</v>
      </c>
      <c r="V60" s="21">
        <f t="shared" si="17"/>
        <v>0</v>
      </c>
    </row>
    <row r="61" spans="1:22">
      <c r="B61" t="s">
        <v>457</v>
      </c>
      <c r="E61" s="21">
        <f>E34-E35-E39-E48-E43-E49</f>
        <v>-100000</v>
      </c>
      <c r="F61" s="21">
        <f t="shared" ref="F61:O61" si="18">F34-F35-F39-F48-F43-F49</f>
        <v>0</v>
      </c>
      <c r="G61" s="21">
        <f t="shared" si="18"/>
        <v>0</v>
      </c>
      <c r="H61" s="21">
        <f t="shared" si="18"/>
        <v>0</v>
      </c>
      <c r="I61" s="21">
        <f t="shared" si="18"/>
        <v>0</v>
      </c>
      <c r="J61" s="21">
        <f>J34-J35-J39-J48-J43-J49</f>
        <v>0</v>
      </c>
      <c r="K61" s="21">
        <f t="shared" si="18"/>
        <v>0</v>
      </c>
      <c r="L61" s="21">
        <f t="shared" si="18"/>
        <v>0</v>
      </c>
      <c r="M61" s="21">
        <f t="shared" si="18"/>
        <v>0</v>
      </c>
      <c r="N61" s="21">
        <f t="shared" si="18"/>
        <v>-100000</v>
      </c>
      <c r="O61" s="21">
        <f t="shared" si="18"/>
        <v>0</v>
      </c>
      <c r="P61" s="21">
        <f>P34-P35-P39-P48-P43-P49</f>
        <v>100000</v>
      </c>
      <c r="Q61" s="21">
        <f t="shared" ref="Q61:V61" si="19">Q34-Q35-Q39-Q48-Q43-Q49</f>
        <v>0</v>
      </c>
      <c r="R61" s="21">
        <f t="shared" si="19"/>
        <v>0</v>
      </c>
      <c r="S61" s="21">
        <f t="shared" si="19"/>
        <v>0</v>
      </c>
      <c r="T61" s="21">
        <f t="shared" si="19"/>
        <v>0</v>
      </c>
      <c r="U61" s="21">
        <f t="shared" si="19"/>
        <v>0</v>
      </c>
      <c r="V61" s="21">
        <f t="shared" si="19"/>
        <v>0</v>
      </c>
    </row>
    <row r="62" spans="1:22">
      <c r="B62" t="s">
        <v>2525</v>
      </c>
      <c r="E62" s="21">
        <f>E35-E36-E37-E38</f>
        <v>0</v>
      </c>
      <c r="F62" s="21">
        <f t="shared" ref="F62:V62" si="20">F35-F36-F37-F38</f>
        <v>-100000</v>
      </c>
      <c r="G62" s="21">
        <f t="shared" si="20"/>
        <v>0</v>
      </c>
      <c r="H62" s="21">
        <f t="shared" si="20"/>
        <v>0</v>
      </c>
      <c r="I62" s="21">
        <f t="shared" si="20"/>
        <v>0</v>
      </c>
      <c r="J62" s="21">
        <f t="shared" si="20"/>
        <v>0</v>
      </c>
      <c r="K62" s="21">
        <f t="shared" si="20"/>
        <v>0</v>
      </c>
      <c r="L62" s="21">
        <f t="shared" si="20"/>
        <v>-100000</v>
      </c>
      <c r="M62" s="21">
        <f t="shared" si="20"/>
        <v>-100000.00000000373</v>
      </c>
      <c r="N62" s="21">
        <f t="shared" si="20"/>
        <v>0</v>
      </c>
      <c r="O62" s="21">
        <f t="shared" si="20"/>
        <v>-1.4901161193847656E-8</v>
      </c>
      <c r="P62" s="21">
        <f t="shared" si="20"/>
        <v>-100000</v>
      </c>
      <c r="Q62" s="21">
        <f t="shared" si="20"/>
        <v>0</v>
      </c>
      <c r="R62" s="21">
        <f t="shared" si="20"/>
        <v>0</v>
      </c>
      <c r="S62" s="21">
        <f t="shared" si="20"/>
        <v>0</v>
      </c>
      <c r="T62" s="21">
        <f t="shared" si="20"/>
        <v>0</v>
      </c>
      <c r="U62" s="21">
        <f t="shared" si="20"/>
        <v>0</v>
      </c>
      <c r="V62" s="21">
        <f t="shared" si="20"/>
        <v>0</v>
      </c>
    </row>
    <row r="63" spans="1:22">
      <c r="B63" t="s">
        <v>362</v>
      </c>
      <c r="E63" s="21">
        <f>E39-E40-E41-E42</f>
        <v>0</v>
      </c>
      <c r="F63" s="21">
        <f t="shared" ref="F63:V63" si="21">F39-F40-F41-F42</f>
        <v>0</v>
      </c>
      <c r="G63" s="21">
        <f t="shared" si="21"/>
        <v>0</v>
      </c>
      <c r="H63" s="21">
        <f t="shared" si="21"/>
        <v>0</v>
      </c>
      <c r="I63" s="21">
        <f t="shared" si="21"/>
        <v>0</v>
      </c>
      <c r="J63" s="21">
        <f>J39-J40-J41-J42</f>
        <v>0</v>
      </c>
      <c r="K63" s="21">
        <f t="shared" si="21"/>
        <v>0</v>
      </c>
      <c r="L63" s="21">
        <f t="shared" si="21"/>
        <v>0</v>
      </c>
      <c r="M63" s="21">
        <f t="shared" si="21"/>
        <v>0</v>
      </c>
      <c r="N63" s="21">
        <f t="shared" si="21"/>
        <v>100000</v>
      </c>
      <c r="O63" s="21">
        <f t="shared" si="21"/>
        <v>0</v>
      </c>
      <c r="P63" s="21">
        <f t="shared" si="21"/>
        <v>-100000.0000000298</v>
      </c>
      <c r="Q63" s="21">
        <f t="shared" si="21"/>
        <v>100000</v>
      </c>
      <c r="R63" s="21">
        <f t="shared" si="21"/>
        <v>0</v>
      </c>
      <c r="S63" s="21">
        <f t="shared" si="21"/>
        <v>0</v>
      </c>
      <c r="T63" s="21">
        <f t="shared" si="21"/>
        <v>0</v>
      </c>
      <c r="U63" s="21">
        <f t="shared" si="21"/>
        <v>0</v>
      </c>
      <c r="V63" s="21">
        <f t="shared" si="21"/>
        <v>0</v>
      </c>
    </row>
    <row r="64" spans="1:22">
      <c r="D64" s="267"/>
    </row>
    <row r="65" spans="2:22">
      <c r="B65" t="s">
        <v>543</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row>
    <row r="66" spans="2:22">
      <c r="E66" s="364">
        <f t="shared" ref="E66:V66" si="22">(E6/E65)*100</f>
        <v>21.409017713365539</v>
      </c>
      <c r="F66" s="364">
        <f t="shared" si="22"/>
        <v>25.242868157286047</v>
      </c>
      <c r="G66" s="364">
        <f t="shared" si="22"/>
        <v>26.200000000000003</v>
      </c>
      <c r="H66" s="364">
        <f t="shared" si="22"/>
        <v>27.302291204730228</v>
      </c>
      <c r="I66" s="364">
        <f t="shared" si="22"/>
        <v>31.806407634628492</v>
      </c>
      <c r="J66" s="364">
        <f t="shared" si="22"/>
        <v>30.302853814793245</v>
      </c>
      <c r="K66" s="364">
        <f t="shared" si="22"/>
        <v>29.563616675690309</v>
      </c>
      <c r="L66" s="364">
        <f t="shared" si="22"/>
        <v>28.865927419354836</v>
      </c>
      <c r="M66" s="364">
        <f t="shared" si="22"/>
        <v>31.708463949843257</v>
      </c>
      <c r="N66" s="364">
        <f t="shared" si="22"/>
        <v>30.272727272727273</v>
      </c>
      <c r="O66" s="364">
        <f t="shared" si="22"/>
        <v>36.536113936927769</v>
      </c>
      <c r="P66" s="364">
        <f t="shared" si="22"/>
        <v>36.244939271255063</v>
      </c>
      <c r="Q66" s="364">
        <f t="shared" si="22"/>
        <v>45.679425837320579</v>
      </c>
      <c r="R66" s="364">
        <f t="shared" si="22"/>
        <v>41.545574636723906</v>
      </c>
      <c r="S66" s="364">
        <f t="shared" si="22"/>
        <v>38.213988343047461</v>
      </c>
      <c r="T66" s="364">
        <f t="shared" si="22"/>
        <v>32.933965994464216</v>
      </c>
      <c r="U66" s="364">
        <f t="shared" si="22"/>
        <v>29.68679245283019</v>
      </c>
      <c r="V66" s="364">
        <f t="shared" si="22"/>
        <v>28.8328530259366</v>
      </c>
    </row>
    <row r="67" spans="2:22">
      <c r="E67" s="364">
        <f t="shared" ref="E67:V67" si="23">(E17/E65)*100</f>
        <v>30.998389694041865</v>
      </c>
      <c r="F67" s="364">
        <f t="shared" si="23"/>
        <v>39.41403238242097</v>
      </c>
      <c r="G67" s="364">
        <f t="shared" si="23"/>
        <v>33.247999999999998</v>
      </c>
      <c r="H67" s="364">
        <f t="shared" si="23"/>
        <v>33.562453806356245</v>
      </c>
      <c r="I67" s="364">
        <f t="shared" si="23"/>
        <v>35.078391274710292</v>
      </c>
      <c r="J67" s="364">
        <f t="shared" si="23"/>
        <v>34.164239953407105</v>
      </c>
      <c r="K67" s="364">
        <f t="shared" si="23"/>
        <v>33.113156469951271</v>
      </c>
      <c r="L67" s="364">
        <f t="shared" si="23"/>
        <v>32.782258064516128</v>
      </c>
      <c r="M67" s="364">
        <f t="shared" si="23"/>
        <v>34.540229885057471</v>
      </c>
      <c r="N67" s="364">
        <f t="shared" si="23"/>
        <v>37.850267379679146</v>
      </c>
      <c r="O67" s="364">
        <f t="shared" si="23"/>
        <v>34.73041709053917</v>
      </c>
      <c r="P67" s="364">
        <f t="shared" si="23"/>
        <v>31.391700404858298</v>
      </c>
      <c r="Q67" s="364">
        <f t="shared" si="23"/>
        <v>33.660287081339717</v>
      </c>
      <c r="R67" s="364">
        <f t="shared" si="23"/>
        <v>32.915015411712901</v>
      </c>
      <c r="S67" s="364">
        <f t="shared" si="23"/>
        <v>32.643630308076602</v>
      </c>
      <c r="T67" s="364">
        <f t="shared" si="23"/>
        <v>28.861209964412808</v>
      </c>
      <c r="U67" s="364">
        <f t="shared" si="23"/>
        <v>30.37358490566038</v>
      </c>
      <c r="V67" s="364">
        <f t="shared" si="23"/>
        <v>30.147694524495677</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K62"/>
  <sheetViews>
    <sheetView zoomScale="60" zoomScaleNormal="60" workbookViewId="0">
      <pane xSplit="3" ySplit="5" topLeftCell="D6" activePane="bottomRight" state="frozen"/>
      <selection pane="topRight" activeCell="R7" sqref="R7"/>
      <selection pane="bottomLeft" activeCell="R7" sqref="R7"/>
      <selection pane="bottomRight" activeCell="B37" sqref="B37"/>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 min="20" max="20" width="16.5703125" bestFit="1" customWidth="1"/>
    <col min="21" max="22" width="17.5703125" bestFit="1" customWidth="1"/>
    <col min="23" max="23" width="12.28515625" bestFit="1" customWidth="1"/>
  </cols>
  <sheetData>
    <row r="1" spans="1:37">
      <c r="A1" s="369" t="s">
        <v>6006</v>
      </c>
      <c r="B1" s="82" t="s">
        <v>6007</v>
      </c>
      <c r="C1" s="82"/>
      <c r="D1" s="27"/>
      <c r="E1" s="27"/>
      <c r="F1" s="27"/>
      <c r="G1" s="27"/>
      <c r="H1" s="27"/>
      <c r="I1" s="27"/>
      <c r="J1" s="27"/>
      <c r="K1" s="27"/>
      <c r="L1" s="27"/>
      <c r="M1" s="27"/>
      <c r="N1" s="27"/>
      <c r="O1" s="28"/>
      <c r="P1" s="28"/>
      <c r="Q1" s="28"/>
      <c r="R1" s="29"/>
      <c r="S1" s="28"/>
      <c r="T1" s="28"/>
      <c r="U1" s="28"/>
      <c r="V1" s="28"/>
    </row>
    <row r="2" spans="1:37">
      <c r="B2" s="30" t="s">
        <v>2790</v>
      </c>
      <c r="C2" s="30"/>
      <c r="D2" s="28"/>
      <c r="E2" s="28"/>
      <c r="F2" s="28"/>
      <c r="G2" s="28"/>
      <c r="H2" s="28"/>
      <c r="I2" s="28"/>
      <c r="J2" s="28"/>
      <c r="K2" s="28"/>
      <c r="L2" s="28"/>
      <c r="M2" s="28"/>
      <c r="N2" s="28"/>
      <c r="O2" s="28"/>
      <c r="P2" s="28"/>
      <c r="Q2" s="28"/>
      <c r="R2" s="31"/>
      <c r="S2" s="32"/>
      <c r="T2" s="33"/>
      <c r="U2" s="28"/>
      <c r="V2" s="2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30</v>
      </c>
      <c r="S5" s="28" t="s">
        <v>30</v>
      </c>
      <c r="T5" s="28" t="s">
        <v>30</v>
      </c>
      <c r="U5" s="28" t="s">
        <v>32</v>
      </c>
      <c r="V5" s="28" t="s">
        <v>32</v>
      </c>
    </row>
    <row r="6" spans="1:37">
      <c r="A6" s="96" t="s">
        <v>33</v>
      </c>
      <c r="B6" s="90" t="s">
        <v>462</v>
      </c>
      <c r="C6" s="160" t="s">
        <v>35</v>
      </c>
      <c r="D6" s="28"/>
      <c r="E6" s="28"/>
      <c r="F6" s="28"/>
      <c r="G6" s="311">
        <v>538300000</v>
      </c>
      <c r="H6" s="311">
        <v>564100000</v>
      </c>
      <c r="I6" s="125">
        <v>615900000</v>
      </c>
      <c r="J6" s="311">
        <v>677500000</v>
      </c>
      <c r="K6" s="311">
        <v>742800000</v>
      </c>
      <c r="L6" s="311">
        <v>816500000</v>
      </c>
      <c r="M6" s="311">
        <v>809100000</v>
      </c>
      <c r="N6" s="311">
        <v>907700000</v>
      </c>
      <c r="O6" s="311">
        <v>909900000</v>
      </c>
      <c r="P6" s="311">
        <v>945000000</v>
      </c>
      <c r="Q6" s="311">
        <v>1025700000</v>
      </c>
      <c r="R6" s="311">
        <f>R7+R14</f>
        <v>972200000</v>
      </c>
      <c r="S6" s="311">
        <f t="shared" ref="S6:V6" si="0">S7+S14</f>
        <v>1035800000</v>
      </c>
      <c r="T6" s="311">
        <f t="shared" si="0"/>
        <v>1084500000</v>
      </c>
      <c r="U6" s="311">
        <f t="shared" si="0"/>
        <v>1164700000</v>
      </c>
      <c r="V6" s="311">
        <f t="shared" si="0"/>
        <v>1202500000</v>
      </c>
    </row>
    <row r="7" spans="1:37" ht="16.5">
      <c r="A7" s="139" t="s">
        <v>36</v>
      </c>
      <c r="B7" s="90" t="s">
        <v>159</v>
      </c>
      <c r="C7" s="345" t="s">
        <v>38</v>
      </c>
      <c r="D7" s="28"/>
      <c r="E7" s="28"/>
      <c r="F7" s="28"/>
      <c r="G7" s="311">
        <f>G8+G13</f>
        <v>505300000</v>
      </c>
      <c r="H7" s="311">
        <f t="shared" ref="H7:Q7" si="1">H8+H13</f>
        <v>564200000</v>
      </c>
      <c r="I7" s="311">
        <f t="shared" si="1"/>
        <v>609900000</v>
      </c>
      <c r="J7" s="311">
        <f t="shared" si="1"/>
        <v>670900000</v>
      </c>
      <c r="K7" s="311">
        <f t="shared" si="1"/>
        <v>738600000</v>
      </c>
      <c r="L7" s="311">
        <f t="shared" si="1"/>
        <v>796000000</v>
      </c>
      <c r="M7" s="311">
        <f t="shared" si="1"/>
        <v>756300000</v>
      </c>
      <c r="N7" s="311">
        <f t="shared" si="1"/>
        <v>788000000</v>
      </c>
      <c r="O7" s="311">
        <f t="shared" si="1"/>
        <v>841400000</v>
      </c>
      <c r="P7" s="311">
        <f t="shared" si="1"/>
        <v>918500000</v>
      </c>
      <c r="Q7" s="311">
        <f t="shared" si="1"/>
        <v>997800000</v>
      </c>
      <c r="R7" s="311">
        <f>R9+R12</f>
        <v>918400000</v>
      </c>
      <c r="S7" s="311">
        <f t="shared" ref="S7:V7" si="2">S9+S12</f>
        <v>977100000</v>
      </c>
      <c r="T7" s="311">
        <f t="shared" si="2"/>
        <v>1026600000</v>
      </c>
      <c r="U7" s="311">
        <f t="shared" si="2"/>
        <v>1077300000</v>
      </c>
      <c r="V7" s="311">
        <f t="shared" si="2"/>
        <v>1132800000</v>
      </c>
    </row>
    <row r="8" spans="1:37">
      <c r="B8" s="90" t="s">
        <v>6008</v>
      </c>
      <c r="C8" s="34"/>
      <c r="D8" s="28"/>
      <c r="E8" s="28"/>
      <c r="F8" s="28"/>
      <c r="G8" s="311">
        <v>496700000</v>
      </c>
      <c r="H8" s="311">
        <v>563300000</v>
      </c>
      <c r="I8" s="125">
        <v>609300000</v>
      </c>
      <c r="J8" s="311">
        <v>670200000</v>
      </c>
      <c r="K8" s="311">
        <v>738600000</v>
      </c>
      <c r="L8" s="311">
        <v>789300000</v>
      </c>
      <c r="M8" s="311">
        <v>756300000</v>
      </c>
      <c r="N8" s="311">
        <v>787800000</v>
      </c>
      <c r="O8" s="311">
        <v>841400000</v>
      </c>
      <c r="P8" s="311">
        <v>918500000</v>
      </c>
      <c r="Q8" s="311">
        <v>997800000</v>
      </c>
      <c r="R8" s="311"/>
      <c r="S8" s="311"/>
      <c r="T8" s="298"/>
      <c r="U8" s="298"/>
      <c r="V8" s="298"/>
    </row>
    <row r="9" spans="1:37">
      <c r="A9" s="90" t="s">
        <v>6009</v>
      </c>
      <c r="B9" s="90" t="s">
        <v>6009</v>
      </c>
      <c r="C9" s="58" t="s">
        <v>41</v>
      </c>
      <c r="D9" s="28"/>
      <c r="E9" s="28"/>
      <c r="F9" s="28"/>
      <c r="G9" s="311">
        <v>452900000</v>
      </c>
      <c r="H9" s="311">
        <v>518600000</v>
      </c>
      <c r="I9" s="125">
        <v>566700000</v>
      </c>
      <c r="J9" s="311">
        <v>619800000</v>
      </c>
      <c r="K9" s="311">
        <v>684600000</v>
      </c>
      <c r="L9" s="311">
        <v>736200000</v>
      </c>
      <c r="M9" s="311">
        <v>702800000</v>
      </c>
      <c r="N9" s="311">
        <v>746800000</v>
      </c>
      <c r="O9" s="311">
        <v>798600000</v>
      </c>
      <c r="P9" s="311">
        <v>873300000</v>
      </c>
      <c r="Q9" s="311">
        <v>950300000</v>
      </c>
      <c r="R9" s="311">
        <v>871500000</v>
      </c>
      <c r="S9" s="311">
        <v>934400000</v>
      </c>
      <c r="T9" s="298">
        <v>977800000</v>
      </c>
      <c r="U9" s="298">
        <v>1002300000</v>
      </c>
      <c r="V9" s="298">
        <v>1059400000.0000001</v>
      </c>
    </row>
    <row r="10" spans="1:37">
      <c r="A10" s="90" t="s">
        <v>6010</v>
      </c>
      <c r="B10" s="90" t="s">
        <v>6010</v>
      </c>
      <c r="C10" s="90" t="s">
        <v>5659</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c r="S10" s="178"/>
      <c r="T10" s="298"/>
      <c r="U10" s="298"/>
      <c r="V10" s="298"/>
    </row>
    <row r="11" spans="1:37">
      <c r="A11" s="90" t="s">
        <v>6011</v>
      </c>
      <c r="B11" s="90" t="s">
        <v>6011</v>
      </c>
      <c r="C11" s="90" t="s">
        <v>5659</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c r="S11" s="178"/>
      <c r="T11" s="298"/>
      <c r="U11" s="298"/>
      <c r="V11" s="298"/>
    </row>
    <row r="12" spans="1:37">
      <c r="A12" s="90" t="s">
        <v>6012</v>
      </c>
      <c r="B12" s="90" t="s">
        <v>6012</v>
      </c>
      <c r="C12" s="58" t="s">
        <v>41</v>
      </c>
      <c r="D12" s="28"/>
      <c r="E12" s="28"/>
      <c r="F12" s="28"/>
      <c r="G12" s="311">
        <v>43800000</v>
      </c>
      <c r="H12" s="311">
        <v>44600000</v>
      </c>
      <c r="I12" s="125">
        <v>42700000</v>
      </c>
      <c r="J12" s="311">
        <v>50400000</v>
      </c>
      <c r="K12" s="311">
        <v>54100000</v>
      </c>
      <c r="L12" s="311">
        <v>53100000</v>
      </c>
      <c r="M12" s="311">
        <v>53600000</v>
      </c>
      <c r="N12" s="311">
        <v>41000000</v>
      </c>
      <c r="O12" s="311">
        <v>42800000</v>
      </c>
      <c r="P12" s="311">
        <v>45200000</v>
      </c>
      <c r="Q12" s="311">
        <v>47500000</v>
      </c>
      <c r="R12" s="311">
        <v>46900000</v>
      </c>
      <c r="S12" s="311">
        <v>42700000</v>
      </c>
      <c r="T12" s="298">
        <v>48800000</v>
      </c>
      <c r="U12" s="21">
        <v>75000000</v>
      </c>
      <c r="V12" s="298">
        <v>73400000</v>
      </c>
    </row>
    <row r="13" spans="1:37">
      <c r="A13" s="90" t="s">
        <v>6013</v>
      </c>
      <c r="B13" s="90" t="s">
        <v>6013</v>
      </c>
      <c r="C13" s="58" t="s">
        <v>41</v>
      </c>
      <c r="D13" s="28"/>
      <c r="E13" s="28"/>
      <c r="F13" s="28"/>
      <c r="G13" s="311">
        <v>8600000</v>
      </c>
      <c r="H13" s="311">
        <v>900000</v>
      </c>
      <c r="I13" s="125">
        <v>600000</v>
      </c>
      <c r="J13" s="311">
        <v>700000</v>
      </c>
      <c r="K13" s="311">
        <v>0</v>
      </c>
      <c r="L13" s="311">
        <v>6700000</v>
      </c>
      <c r="M13" s="311">
        <v>0</v>
      </c>
      <c r="N13" s="311">
        <v>200000</v>
      </c>
      <c r="O13" s="311">
        <v>0</v>
      </c>
      <c r="P13" s="311">
        <v>0</v>
      </c>
      <c r="Q13" s="311">
        <v>0</v>
      </c>
      <c r="R13" s="311"/>
      <c r="S13" s="311"/>
      <c r="T13" s="298"/>
      <c r="U13" s="298"/>
      <c r="V13" s="298"/>
    </row>
    <row r="14" spans="1:37">
      <c r="A14" s="461" t="s">
        <v>53</v>
      </c>
      <c r="B14" s="461" t="s">
        <v>53</v>
      </c>
      <c r="C14" s="345" t="s">
        <v>38</v>
      </c>
      <c r="D14" s="28"/>
      <c r="E14" s="28"/>
      <c r="F14" s="28"/>
      <c r="G14" s="311">
        <v>32900000</v>
      </c>
      <c r="H14" s="311">
        <v>0</v>
      </c>
      <c r="I14" s="125">
        <v>6000000</v>
      </c>
      <c r="J14" s="311">
        <v>6600000</v>
      </c>
      <c r="K14" s="311">
        <v>4099999.9999999995</v>
      </c>
      <c r="L14" s="311">
        <v>20500000</v>
      </c>
      <c r="M14" s="311">
        <v>52700000</v>
      </c>
      <c r="N14" s="311">
        <v>119700000</v>
      </c>
      <c r="O14" s="311">
        <v>68500000</v>
      </c>
      <c r="P14" s="311">
        <v>26500000</v>
      </c>
      <c r="Q14" s="311">
        <v>27900000</v>
      </c>
      <c r="R14" s="311">
        <v>53800000</v>
      </c>
      <c r="S14" s="311">
        <v>58700000</v>
      </c>
      <c r="T14" s="298">
        <v>57900000</v>
      </c>
      <c r="U14" s="298">
        <v>87400000</v>
      </c>
      <c r="V14" s="298">
        <v>69700000</v>
      </c>
    </row>
    <row r="15" spans="1:37" s="9" customFormat="1">
      <c r="A15" s="170" t="s">
        <v>71</v>
      </c>
      <c r="B15" s="18" t="s">
        <v>6014</v>
      </c>
      <c r="C15" s="459" t="s">
        <v>35</v>
      </c>
      <c r="D15" s="36"/>
      <c r="E15" s="36"/>
      <c r="F15" s="36"/>
      <c r="G15" s="310">
        <f>G16+G26</f>
        <v>596100000</v>
      </c>
      <c r="H15" s="310">
        <f>H16+H26</f>
        <v>644100000</v>
      </c>
      <c r="I15" s="295">
        <v>761700000</v>
      </c>
      <c r="J15" s="310">
        <v>832600000</v>
      </c>
      <c r="K15" s="310">
        <v>768500000</v>
      </c>
      <c r="L15" s="310">
        <v>845900000</v>
      </c>
      <c r="M15" s="310">
        <v>912700000</v>
      </c>
      <c r="N15" s="310">
        <v>1077800000</v>
      </c>
      <c r="O15" s="310">
        <v>1082900000</v>
      </c>
      <c r="P15" s="310">
        <v>1034800000</v>
      </c>
      <c r="Q15" s="310">
        <v>1078200000</v>
      </c>
      <c r="R15" s="310">
        <f>R16+R26</f>
        <v>1114000000</v>
      </c>
      <c r="S15" s="310">
        <f t="shared" ref="S15:V15" si="3">S16+S26</f>
        <v>1156800000</v>
      </c>
      <c r="T15" s="310">
        <f t="shared" si="3"/>
        <v>1160200000</v>
      </c>
      <c r="U15" s="310">
        <f t="shared" si="3"/>
        <v>1258400000</v>
      </c>
      <c r="V15" s="310">
        <f t="shared" si="3"/>
        <v>1372200000</v>
      </c>
      <c r="W15"/>
      <c r="X15"/>
      <c r="Y15"/>
      <c r="Z15"/>
      <c r="AA15"/>
      <c r="AB15"/>
      <c r="AC15"/>
      <c r="AD15"/>
      <c r="AE15"/>
      <c r="AF15"/>
      <c r="AG15"/>
      <c r="AH15"/>
      <c r="AI15"/>
      <c r="AJ15"/>
      <c r="AK15"/>
    </row>
    <row r="16" spans="1:37" ht="16.5">
      <c r="A16" s="448" t="s">
        <v>476</v>
      </c>
      <c r="B16" s="90" t="s">
        <v>6015</v>
      </c>
      <c r="C16" s="58" t="s">
        <v>201</v>
      </c>
      <c r="D16" s="28"/>
      <c r="E16" s="28"/>
      <c r="F16" s="28"/>
      <c r="G16" s="311">
        <v>460000000</v>
      </c>
      <c r="H16" s="311">
        <v>479800000</v>
      </c>
      <c r="I16" s="125">
        <v>513299999.99999994</v>
      </c>
      <c r="J16" s="311">
        <v>548500000</v>
      </c>
      <c r="K16" s="311">
        <v>586500000</v>
      </c>
      <c r="L16" s="311">
        <v>647000000</v>
      </c>
      <c r="M16" s="311">
        <v>671100000</v>
      </c>
      <c r="N16" s="311">
        <v>735500000</v>
      </c>
      <c r="O16" s="311">
        <v>749000000</v>
      </c>
      <c r="P16" s="311">
        <v>778600000</v>
      </c>
      <c r="Q16" s="311">
        <v>805600000</v>
      </c>
      <c r="R16" s="311">
        <f>R17+R19+R21+R24+R25</f>
        <v>947000000</v>
      </c>
      <c r="S16" s="311">
        <f t="shared" ref="S16:V16" si="4">S17+S19+S21+S24+S25</f>
        <v>970100000</v>
      </c>
      <c r="T16" s="311">
        <f t="shared" si="4"/>
        <v>982500000</v>
      </c>
      <c r="U16" s="311">
        <f t="shared" si="4"/>
        <v>1043800000</v>
      </c>
      <c r="V16" s="311">
        <f t="shared" si="4"/>
        <v>1098000000</v>
      </c>
    </row>
    <row r="17" spans="1:22">
      <c r="A17" s="99" t="s">
        <v>479</v>
      </c>
      <c r="B17" s="99" t="s">
        <v>479</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378600000</v>
      </c>
      <c r="S17" s="178">
        <v>377900000</v>
      </c>
      <c r="T17" s="298">
        <v>380500000</v>
      </c>
      <c r="U17" s="298">
        <v>381500000</v>
      </c>
      <c r="V17" s="298">
        <v>403300000</v>
      </c>
    </row>
    <row r="18" spans="1:22">
      <c r="A18" s="99" t="s">
        <v>6016</v>
      </c>
      <c r="B18" s="99" t="s">
        <v>6016</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c r="S18" s="178"/>
      <c r="T18" s="298"/>
      <c r="U18" s="298"/>
      <c r="V18" s="298"/>
    </row>
    <row r="19" spans="1:22">
      <c r="A19" s="99" t="s">
        <v>1593</v>
      </c>
      <c r="B19" s="99" t="s">
        <v>1593</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163700000</v>
      </c>
      <c r="S19" s="178">
        <v>174600000</v>
      </c>
      <c r="T19" s="298">
        <v>182600000</v>
      </c>
      <c r="U19" s="298">
        <v>214800000</v>
      </c>
      <c r="V19" s="298">
        <v>203700000</v>
      </c>
    </row>
    <row r="20" spans="1:22">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c r="S20" s="178"/>
      <c r="T20" s="298"/>
      <c r="U20" s="298"/>
      <c r="V20" s="298"/>
    </row>
    <row r="21" spans="1:22">
      <c r="A21" s="99" t="s">
        <v>5061</v>
      </c>
      <c r="B21" s="99" t="s">
        <v>5061</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25">
        <v>148600000</v>
      </c>
      <c r="S21" s="178">
        <v>156000000</v>
      </c>
      <c r="T21" s="298">
        <v>157600000</v>
      </c>
      <c r="U21" s="298">
        <v>158600000</v>
      </c>
      <c r="V21" s="298">
        <v>171800000</v>
      </c>
    </row>
    <row r="22" spans="1:22">
      <c r="A22" s="126" t="s">
        <v>209</v>
      </c>
      <c r="B22" s="126" t="s">
        <v>209</v>
      </c>
      <c r="C22" s="34" t="s">
        <v>1525</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c r="S22" s="178"/>
      <c r="T22" s="298"/>
      <c r="U22" s="298"/>
      <c r="V22" s="298"/>
    </row>
    <row r="23" spans="1:22">
      <c r="A23" s="126" t="s">
        <v>280</v>
      </c>
      <c r="B23" s="126" t="s">
        <v>280</v>
      </c>
      <c r="C23" s="34" t="s">
        <v>1525</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c r="S23" s="178"/>
      <c r="T23" s="298"/>
      <c r="U23" s="298"/>
      <c r="V23" s="298"/>
    </row>
    <row r="24" spans="1:22">
      <c r="A24" s="126" t="s">
        <v>3108</v>
      </c>
      <c r="B24" s="126" t="s">
        <v>3108</v>
      </c>
      <c r="C24" s="58" t="s">
        <v>81</v>
      </c>
      <c r="D24" s="28"/>
      <c r="E24" s="28"/>
      <c r="F24" s="28"/>
      <c r="G24" s="178"/>
      <c r="H24" s="178"/>
      <c r="I24" s="125"/>
      <c r="J24" s="178"/>
      <c r="K24" s="178"/>
      <c r="L24" s="178"/>
      <c r="M24" s="178"/>
      <c r="N24" s="178"/>
      <c r="O24" s="178"/>
      <c r="P24" s="178"/>
      <c r="Q24" s="178"/>
      <c r="R24" s="178">
        <v>101700000</v>
      </c>
      <c r="S24" s="178">
        <v>102500000</v>
      </c>
      <c r="T24" s="298">
        <v>112200000</v>
      </c>
      <c r="U24" s="298">
        <v>119300000</v>
      </c>
      <c r="V24" s="298">
        <v>118700000</v>
      </c>
    </row>
    <row r="25" spans="1:22">
      <c r="A25" t="s">
        <v>675</v>
      </c>
      <c r="B25" s="41" t="s">
        <v>675</v>
      </c>
      <c r="C25" s="58" t="s">
        <v>81</v>
      </c>
      <c r="D25" s="28"/>
      <c r="E25" s="28"/>
      <c r="F25" s="28"/>
      <c r="G25" s="178"/>
      <c r="H25" s="178"/>
      <c r="I25" s="125"/>
      <c r="J25" s="178"/>
      <c r="K25" s="178"/>
      <c r="L25" s="178"/>
      <c r="M25" s="178"/>
      <c r="N25" s="178"/>
      <c r="O25" s="178"/>
      <c r="P25" s="178"/>
      <c r="Q25" s="178"/>
      <c r="R25" s="125">
        <v>154400000</v>
      </c>
      <c r="S25" s="125">
        <v>159100000</v>
      </c>
      <c r="T25" s="125">
        <v>149600000</v>
      </c>
      <c r="U25" s="125">
        <v>169600000</v>
      </c>
      <c r="V25" s="298">
        <v>200500000</v>
      </c>
    </row>
    <row r="26" spans="1:22">
      <c r="A26" s="99" t="s">
        <v>6017</v>
      </c>
      <c r="B26" s="99" t="s">
        <v>6017</v>
      </c>
      <c r="C26" s="58" t="s">
        <v>201</v>
      </c>
      <c r="D26" s="28"/>
      <c r="E26" s="28"/>
      <c r="F26" s="28"/>
      <c r="G26" s="311">
        <v>136100000</v>
      </c>
      <c r="H26" s="311">
        <v>164300000</v>
      </c>
      <c r="I26" s="125">
        <v>248400000</v>
      </c>
      <c r="J26" s="311">
        <v>284100000</v>
      </c>
      <c r="K26" s="311">
        <v>181900000</v>
      </c>
      <c r="L26" s="311">
        <v>198900000</v>
      </c>
      <c r="M26" s="311">
        <v>241600000</v>
      </c>
      <c r="N26" s="311">
        <v>342300000</v>
      </c>
      <c r="O26" s="311">
        <v>333900000</v>
      </c>
      <c r="P26" s="311">
        <v>256100000.00000003</v>
      </c>
      <c r="Q26" s="311">
        <v>272600000</v>
      </c>
      <c r="R26" s="311">
        <v>167000000</v>
      </c>
      <c r="S26" s="311">
        <v>186700000</v>
      </c>
      <c r="T26" s="298">
        <v>177700000</v>
      </c>
      <c r="U26" s="298">
        <v>214600000</v>
      </c>
      <c r="V26" s="298">
        <v>274200000</v>
      </c>
    </row>
    <row r="27" spans="1:22">
      <c r="B27" s="90" t="s">
        <v>494</v>
      </c>
      <c r="C27" s="34"/>
      <c r="D27" s="28"/>
      <c r="E27" s="28"/>
      <c r="F27" s="28"/>
      <c r="G27" s="311">
        <v>-16700000</v>
      </c>
      <c r="H27" s="311">
        <v>-16600000.000000002</v>
      </c>
      <c r="I27" s="125">
        <v>-72700000</v>
      </c>
      <c r="J27" s="311">
        <v>-70800000</v>
      </c>
      <c r="K27" s="311">
        <v>67200000</v>
      </c>
      <c r="L27" s="311">
        <v>61400000</v>
      </c>
      <c r="M27" s="311">
        <v>-13900000</v>
      </c>
      <c r="N27" s="311">
        <v>-64900000.000000007</v>
      </c>
      <c r="O27" s="311">
        <v>-52800000</v>
      </c>
      <c r="P27" s="311">
        <v>42300000</v>
      </c>
      <c r="Q27" s="311">
        <v>86600000</v>
      </c>
      <c r="R27" s="311"/>
      <c r="S27" s="311"/>
      <c r="T27" s="298"/>
      <c r="U27" s="298"/>
      <c r="V27" s="298"/>
    </row>
    <row r="28" spans="1:22">
      <c r="B28" s="90" t="s">
        <v>6018</v>
      </c>
      <c r="C28" s="34"/>
      <c r="D28" s="28"/>
      <c r="E28" s="28"/>
      <c r="F28" s="28"/>
      <c r="G28" s="311">
        <v>-49600000</v>
      </c>
      <c r="H28" s="311">
        <v>-16600000.000000002</v>
      </c>
      <c r="I28" s="125">
        <v>-78700000</v>
      </c>
      <c r="J28" s="311">
        <v>-77400000</v>
      </c>
      <c r="K28" s="311">
        <v>63100000</v>
      </c>
      <c r="L28" s="311">
        <v>40900000</v>
      </c>
      <c r="M28" s="311">
        <v>-66599999.999999993</v>
      </c>
      <c r="N28" s="311">
        <v>-184600000</v>
      </c>
      <c r="O28" s="311">
        <v>-121400000</v>
      </c>
      <c r="P28" s="311">
        <v>15800000</v>
      </c>
      <c r="Q28" s="311">
        <v>58700000</v>
      </c>
      <c r="R28" s="311"/>
      <c r="S28" s="311"/>
      <c r="T28" s="298"/>
      <c r="U28" s="298"/>
      <c r="V28" s="298"/>
    </row>
    <row r="29" spans="1:22">
      <c r="B29" s="90" t="s">
        <v>6019</v>
      </c>
      <c r="C29" s="34"/>
      <c r="D29" s="28"/>
      <c r="E29" s="28"/>
      <c r="F29" s="28"/>
      <c r="G29" s="311">
        <v>36800000</v>
      </c>
      <c r="H29" s="311">
        <v>83500000</v>
      </c>
      <c r="I29" s="125">
        <v>96000000</v>
      </c>
      <c r="J29" s="311">
        <v>121700000</v>
      </c>
      <c r="K29" s="311">
        <v>152100000</v>
      </c>
      <c r="L29" s="311">
        <v>142300000</v>
      </c>
      <c r="M29" s="311">
        <v>85200000</v>
      </c>
      <c r="N29" s="311">
        <v>52300000</v>
      </c>
      <c r="O29" s="311">
        <v>92400000</v>
      </c>
      <c r="P29" s="311">
        <v>139900000</v>
      </c>
      <c r="Q29" s="311">
        <v>192200000</v>
      </c>
      <c r="R29" s="311"/>
      <c r="S29" s="311"/>
      <c r="T29" s="298"/>
      <c r="U29" s="298"/>
      <c r="V29" s="298"/>
    </row>
    <row r="30" spans="1:22">
      <c r="B30" s="90" t="s">
        <v>6020</v>
      </c>
      <c r="C30" s="34"/>
      <c r="D30" s="28"/>
      <c r="E30" s="28"/>
      <c r="F30" s="28"/>
      <c r="G30" s="311">
        <v>-106200000</v>
      </c>
      <c r="H30" s="311">
        <v>-83500000</v>
      </c>
      <c r="I30" s="125">
        <v>-151800000</v>
      </c>
      <c r="J30" s="311">
        <v>-161700000</v>
      </c>
      <c r="K30" s="311">
        <v>-29800000</v>
      </c>
      <c r="L30" s="311">
        <v>-49900000</v>
      </c>
      <c r="M30" s="311">
        <v>-156400000</v>
      </c>
      <c r="N30" s="311">
        <v>-289800000</v>
      </c>
      <c r="O30" s="311">
        <v>-241500000</v>
      </c>
      <c r="P30" s="311">
        <v>-116300000</v>
      </c>
      <c r="Q30" s="311">
        <v>-80400000</v>
      </c>
      <c r="R30" s="311"/>
      <c r="S30" s="311"/>
      <c r="T30" s="298"/>
      <c r="U30" s="298"/>
      <c r="V30" s="298"/>
    </row>
    <row r="31" spans="1:22">
      <c r="B31" s="90" t="s">
        <v>6021</v>
      </c>
      <c r="C31" s="34"/>
      <c r="D31" s="28"/>
      <c r="E31" s="28"/>
      <c r="F31" s="28"/>
      <c r="G31" s="311">
        <v>-73300000</v>
      </c>
      <c r="H31" s="311">
        <v>-83500000</v>
      </c>
      <c r="I31" s="125">
        <v>-145800000</v>
      </c>
      <c r="J31" s="311">
        <v>-155100000</v>
      </c>
      <c r="K31" s="311">
        <v>-25700000</v>
      </c>
      <c r="L31" s="311">
        <v>-29400000</v>
      </c>
      <c r="M31" s="311">
        <v>-103600000</v>
      </c>
      <c r="N31" s="311">
        <v>-170200000</v>
      </c>
      <c r="O31" s="311">
        <v>-173000000</v>
      </c>
      <c r="P31" s="311">
        <v>-89800000</v>
      </c>
      <c r="Q31" s="311">
        <v>-52500000</v>
      </c>
      <c r="R31" s="311"/>
      <c r="S31" s="311"/>
      <c r="T31" s="298"/>
      <c r="U31" s="298"/>
      <c r="V31" s="298"/>
    </row>
    <row r="32" spans="1:22" s="9" customFormat="1" ht="16.5">
      <c r="A32" s="260" t="s">
        <v>115</v>
      </c>
      <c r="B32" s="440" t="s">
        <v>115</v>
      </c>
      <c r="C32" s="459" t="s">
        <v>35</v>
      </c>
      <c r="D32" s="36"/>
      <c r="E32" s="36"/>
      <c r="F32" s="36"/>
      <c r="G32" s="462">
        <f>G33+G41</f>
        <v>64600000</v>
      </c>
      <c r="H32" s="462">
        <f>H33+H41</f>
        <v>90000000</v>
      </c>
      <c r="I32" s="462">
        <f>I33+I41</f>
        <v>163200000</v>
      </c>
      <c r="J32" s="310">
        <v>166300000</v>
      </c>
      <c r="K32" s="310">
        <v>85400000</v>
      </c>
      <c r="L32" s="310">
        <f>L33+L41</f>
        <v>84800000</v>
      </c>
      <c r="M32" s="310">
        <v>103600000</v>
      </c>
      <c r="N32" s="310">
        <v>170200000</v>
      </c>
      <c r="O32" s="310">
        <v>173000000</v>
      </c>
      <c r="P32" s="310">
        <v>89800000</v>
      </c>
      <c r="Q32" s="310">
        <v>52500000</v>
      </c>
      <c r="R32" s="310">
        <f>R33+R41</f>
        <v>201800000</v>
      </c>
      <c r="S32" s="310">
        <f t="shared" ref="S32:V32" si="5">S33+S41</f>
        <v>49500000</v>
      </c>
      <c r="T32" s="310">
        <f t="shared" si="5"/>
        <v>71000000</v>
      </c>
      <c r="U32" s="310">
        <f t="shared" si="5"/>
        <v>124300000</v>
      </c>
      <c r="V32" s="310">
        <f t="shared" si="5"/>
        <v>220600000</v>
      </c>
    </row>
    <row r="33" spans="1:22">
      <c r="A33" s="90" t="s">
        <v>117</v>
      </c>
      <c r="B33" s="90" t="s">
        <v>409</v>
      </c>
      <c r="C33" s="58" t="s">
        <v>252</v>
      </c>
      <c r="D33" s="28"/>
      <c r="E33" s="28"/>
      <c r="F33" s="28"/>
      <c r="G33" s="178">
        <v>54200000</v>
      </c>
      <c r="H33" s="178">
        <v>135400000</v>
      </c>
      <c r="I33" s="125">
        <v>116700000</v>
      </c>
      <c r="J33" s="178">
        <v>58500000</v>
      </c>
      <c r="K33" s="178">
        <v>-22600000</v>
      </c>
      <c r="L33" s="178">
        <f>L35+L38</f>
        <v>600000.00000000745</v>
      </c>
      <c r="M33" s="178">
        <v>35700000</v>
      </c>
      <c r="N33" s="178">
        <v>23400000</v>
      </c>
      <c r="O33" s="178">
        <v>74700000</v>
      </c>
      <c r="P33" s="178">
        <v>44900000</v>
      </c>
      <c r="Q33" s="178">
        <v>26300000</v>
      </c>
      <c r="R33" s="178">
        <v>126600000</v>
      </c>
      <c r="S33" s="178">
        <v>-40900000</v>
      </c>
      <c r="T33" s="298">
        <v>70800000</v>
      </c>
      <c r="U33" s="21">
        <v>186900000</v>
      </c>
      <c r="V33" s="298">
        <v>160300000</v>
      </c>
    </row>
    <row r="34" spans="1:22">
      <c r="A34" s="103"/>
      <c r="B34" s="103" t="s">
        <v>444</v>
      </c>
      <c r="C34" s="34"/>
      <c r="D34" s="28"/>
      <c r="E34" s="28"/>
      <c r="F34" s="28"/>
      <c r="G34" s="178">
        <v>51100000</v>
      </c>
      <c r="H34" s="178">
        <v>63000000</v>
      </c>
      <c r="I34" s="125">
        <v>116700000</v>
      </c>
      <c r="J34" s="178">
        <v>58500000</v>
      </c>
      <c r="K34" s="178">
        <v>-22600000</v>
      </c>
      <c r="L34" s="178">
        <v>600000</v>
      </c>
      <c r="M34" s="178">
        <v>35700000</v>
      </c>
      <c r="N34" s="178">
        <v>23400000</v>
      </c>
      <c r="O34" s="178">
        <v>74700000</v>
      </c>
      <c r="P34" s="178">
        <v>44900000</v>
      </c>
      <c r="Q34" s="178">
        <v>26300000</v>
      </c>
      <c r="R34" s="178"/>
      <c r="S34" s="178"/>
      <c r="T34" s="298"/>
      <c r="U34" s="21"/>
      <c r="V34" s="298"/>
    </row>
    <row r="35" spans="1:22">
      <c r="A35" s="103" t="s">
        <v>1104</v>
      </c>
      <c r="B35" s="103" t="s">
        <v>1104</v>
      </c>
      <c r="C35" s="34" t="s">
        <v>264</v>
      </c>
      <c r="D35" s="28"/>
      <c r="E35" s="28"/>
      <c r="F35" s="28"/>
      <c r="G35" s="178">
        <v>68000000</v>
      </c>
      <c r="H35" s="178">
        <v>79400000</v>
      </c>
      <c r="I35" s="125">
        <v>157700000</v>
      </c>
      <c r="J35" s="178">
        <v>99600000</v>
      </c>
      <c r="K35" s="178">
        <v>122500000</v>
      </c>
      <c r="L35" s="178">
        <v>65200000</v>
      </c>
      <c r="M35" s="178">
        <v>142400000</v>
      </c>
      <c r="N35" s="178">
        <v>111300000</v>
      </c>
      <c r="O35" s="178">
        <v>170000000</v>
      </c>
      <c r="P35" s="178">
        <v>154600000</v>
      </c>
      <c r="Q35" s="178">
        <v>111800000</v>
      </c>
      <c r="R35" s="178"/>
      <c r="S35" s="178"/>
      <c r="T35" s="298"/>
      <c r="U35" s="298"/>
      <c r="V35" s="298"/>
    </row>
    <row r="36" spans="1:22">
      <c r="B36" s="100" t="s">
        <v>6022</v>
      </c>
      <c r="C36" s="34"/>
      <c r="D36" s="28"/>
      <c r="E36" s="28"/>
      <c r="F36" s="28"/>
      <c r="G36" s="298"/>
      <c r="H36" s="298"/>
      <c r="I36" s="298"/>
      <c r="J36" s="193"/>
      <c r="K36" s="193"/>
      <c r="L36" s="193"/>
      <c r="M36" s="193"/>
      <c r="N36" s="193"/>
      <c r="O36" s="193"/>
      <c r="P36" s="193"/>
      <c r="Q36" s="193"/>
      <c r="R36" s="193"/>
      <c r="S36" s="193"/>
      <c r="T36" s="298"/>
      <c r="U36" s="298"/>
      <c r="V36" s="298"/>
    </row>
    <row r="37" spans="1:22">
      <c r="B37" s="100" t="s">
        <v>6023</v>
      </c>
      <c r="C37" s="34"/>
      <c r="D37" s="28"/>
      <c r="E37" s="28"/>
      <c r="F37" s="28"/>
      <c r="G37" s="298"/>
      <c r="H37" s="298"/>
      <c r="I37" s="298"/>
      <c r="J37" s="178" t="s">
        <v>78</v>
      </c>
      <c r="K37" s="178" t="s">
        <v>78</v>
      </c>
      <c r="L37" s="178" t="s">
        <v>78</v>
      </c>
      <c r="M37" s="178" t="s">
        <v>78</v>
      </c>
      <c r="N37" s="178">
        <v>41700000</v>
      </c>
      <c r="O37" s="178">
        <v>66000000</v>
      </c>
      <c r="P37" s="178" t="s">
        <v>78</v>
      </c>
      <c r="Q37" s="178" t="s">
        <v>78</v>
      </c>
      <c r="R37" s="178"/>
      <c r="S37" s="178"/>
      <c r="T37" s="298"/>
      <c r="U37" s="298"/>
      <c r="V37" s="298"/>
    </row>
    <row r="38" spans="1:22">
      <c r="A38" s="126" t="s">
        <v>258</v>
      </c>
      <c r="B38" s="126" t="s">
        <v>258</v>
      </c>
      <c r="C38" s="34" t="s">
        <v>264</v>
      </c>
      <c r="D38" s="28"/>
      <c r="E38" s="28"/>
      <c r="F38" s="28"/>
      <c r="G38" s="178">
        <v>-16900000</v>
      </c>
      <c r="H38" s="178">
        <v>-16399999.999999998</v>
      </c>
      <c r="I38" s="298">
        <f>I33-I35</f>
        <v>-41000000</v>
      </c>
      <c r="J38" s="178">
        <v>-41100000</v>
      </c>
      <c r="K38" s="178">
        <v>-145100000</v>
      </c>
      <c r="L38" s="178">
        <v>-64599999.999999993</v>
      </c>
      <c r="M38" s="178">
        <v>-106700000</v>
      </c>
      <c r="N38" s="178">
        <v>-87900000</v>
      </c>
      <c r="O38" s="178">
        <v>-95300000</v>
      </c>
      <c r="P38" s="178">
        <v>-109700000</v>
      </c>
      <c r="Q38" s="178">
        <v>-85600000</v>
      </c>
      <c r="R38" s="178"/>
      <c r="S38" s="178"/>
      <c r="T38" s="298"/>
      <c r="U38" s="298"/>
      <c r="V38" s="298"/>
    </row>
    <row r="39" spans="1:22">
      <c r="A39" s="126" t="s">
        <v>6024</v>
      </c>
      <c r="B39" s="126" t="s">
        <v>6024</v>
      </c>
      <c r="C39" s="34" t="s">
        <v>264</v>
      </c>
      <c r="D39" s="28"/>
      <c r="E39" s="28"/>
      <c r="F39" s="28"/>
      <c r="G39" s="178">
        <v>3100000</v>
      </c>
      <c r="H39" s="178">
        <v>72500000</v>
      </c>
      <c r="I39" s="298"/>
      <c r="J39" s="178"/>
      <c r="K39" s="178"/>
      <c r="L39" s="178"/>
      <c r="M39" s="178"/>
      <c r="N39" s="178"/>
      <c r="O39" s="178"/>
      <c r="P39" s="178"/>
      <c r="Q39" s="178"/>
      <c r="R39" s="178"/>
      <c r="S39" s="178"/>
      <c r="T39" s="298"/>
      <c r="U39" s="298"/>
      <c r="V39" s="298"/>
    </row>
    <row r="40" spans="1:22">
      <c r="A40" s="126" t="s">
        <v>4058</v>
      </c>
      <c r="B40" s="126" t="s">
        <v>4058</v>
      </c>
      <c r="C40" s="34" t="s">
        <v>264</v>
      </c>
      <c r="D40" s="28"/>
      <c r="E40" s="28"/>
      <c r="F40" s="28"/>
      <c r="G40" s="178">
        <v>0</v>
      </c>
      <c r="H40" s="178">
        <v>0</v>
      </c>
      <c r="I40" s="298"/>
      <c r="J40" s="178"/>
      <c r="K40" s="178"/>
      <c r="L40" s="178"/>
      <c r="M40" s="178"/>
      <c r="N40" s="178"/>
      <c r="O40" s="178"/>
      <c r="P40" s="178"/>
      <c r="Q40" s="178"/>
      <c r="R40" s="178"/>
      <c r="S40" s="178"/>
      <c r="T40" s="298"/>
      <c r="U40" s="298"/>
      <c r="V40" s="298"/>
    </row>
    <row r="41" spans="1:22">
      <c r="A41" s="90" t="s">
        <v>2299</v>
      </c>
      <c r="B41" s="90" t="s">
        <v>1084</v>
      </c>
      <c r="C41" s="58" t="s">
        <v>252</v>
      </c>
      <c r="D41" s="28"/>
      <c r="E41" s="28"/>
      <c r="F41" s="28"/>
      <c r="G41" s="328">
        <f>G42+G43+G44</f>
        <v>10400000</v>
      </c>
      <c r="H41" s="328">
        <f>H42+H43+H44</f>
        <v>-45399999.999999993</v>
      </c>
      <c r="I41" s="328">
        <f>I42+I43+I44</f>
        <v>46500000</v>
      </c>
      <c r="J41" s="178">
        <v>107700000</v>
      </c>
      <c r="K41" s="178">
        <v>108000000</v>
      </c>
      <c r="L41" s="178">
        <v>84200000</v>
      </c>
      <c r="M41" s="178">
        <v>68000000</v>
      </c>
      <c r="N41" s="178">
        <v>146700000</v>
      </c>
      <c r="O41" s="178">
        <v>98300000</v>
      </c>
      <c r="P41" s="178">
        <v>44900000</v>
      </c>
      <c r="Q41" s="178">
        <v>26300000</v>
      </c>
      <c r="R41" s="178">
        <v>75200000</v>
      </c>
      <c r="S41" s="178">
        <v>90400000</v>
      </c>
      <c r="T41" s="298">
        <v>200000</v>
      </c>
      <c r="U41" s="298">
        <v>-62600000</v>
      </c>
      <c r="V41" s="298">
        <v>60300000</v>
      </c>
    </row>
    <row r="42" spans="1:22">
      <c r="A42" t="s">
        <v>2829</v>
      </c>
      <c r="B42" s="99" t="s">
        <v>6025</v>
      </c>
      <c r="C42" s="34" t="s">
        <v>124</v>
      </c>
      <c r="D42" s="28"/>
      <c r="E42" s="28"/>
      <c r="F42" s="28"/>
      <c r="G42" s="178">
        <v>10300000</v>
      </c>
      <c r="H42" s="178">
        <v>-65599999.999999993</v>
      </c>
      <c r="I42" s="125">
        <v>48200000</v>
      </c>
      <c r="J42" s="178">
        <v>1100000</v>
      </c>
      <c r="K42" s="178">
        <v>-4000000</v>
      </c>
      <c r="L42" s="178">
        <v>-2300000</v>
      </c>
      <c r="M42" s="178">
        <v>0</v>
      </c>
      <c r="N42" s="178">
        <v>0</v>
      </c>
      <c r="O42" s="178">
        <v>0</v>
      </c>
      <c r="P42" s="178">
        <v>0</v>
      </c>
      <c r="Q42" s="178">
        <v>0</v>
      </c>
      <c r="R42" s="178"/>
      <c r="S42" s="178"/>
      <c r="T42" s="28"/>
      <c r="U42" s="28"/>
      <c r="V42" s="28"/>
    </row>
    <row r="43" spans="1:22">
      <c r="A43" s="99" t="s">
        <v>6026</v>
      </c>
      <c r="B43" s="99" t="s">
        <v>6027</v>
      </c>
      <c r="C43" s="34" t="s">
        <v>124</v>
      </c>
      <c r="D43" s="28"/>
      <c r="E43" s="28"/>
      <c r="F43" s="28"/>
      <c r="G43" s="178">
        <v>8199999.9999999991</v>
      </c>
      <c r="H43" s="178">
        <v>10400000</v>
      </c>
      <c r="I43" s="125">
        <v>-4800000</v>
      </c>
      <c r="J43" s="178">
        <v>67000000</v>
      </c>
      <c r="K43" s="178">
        <v>71100000</v>
      </c>
      <c r="L43" s="178">
        <v>2600000</v>
      </c>
      <c r="M43" s="178">
        <v>-67500000</v>
      </c>
      <c r="N43" s="178">
        <v>15000000</v>
      </c>
      <c r="O43" s="178">
        <v>40000000</v>
      </c>
      <c r="P43" s="178">
        <v>11200000</v>
      </c>
      <c r="Q43" s="178">
        <v>6600000</v>
      </c>
      <c r="R43" s="178"/>
      <c r="S43" s="178"/>
      <c r="T43" s="28"/>
      <c r="U43" s="28"/>
      <c r="V43" s="28"/>
    </row>
    <row r="44" spans="1:22">
      <c r="A44" s="99" t="s">
        <v>1095</v>
      </c>
      <c r="B44" s="99" t="s">
        <v>1095</v>
      </c>
      <c r="C44" s="34" t="s">
        <v>124</v>
      </c>
      <c r="D44" s="28"/>
      <c r="E44" s="28"/>
      <c r="F44" s="28"/>
      <c r="G44" s="178">
        <v>-8100000</v>
      </c>
      <c r="H44" s="178">
        <v>9800000</v>
      </c>
      <c r="I44" s="125">
        <v>3100000</v>
      </c>
      <c r="J44" s="178">
        <v>39700000</v>
      </c>
      <c r="K44" s="178">
        <v>40900000</v>
      </c>
      <c r="L44" s="178">
        <v>83900000</v>
      </c>
      <c r="M44" s="178">
        <v>135500000</v>
      </c>
      <c r="N44" s="178">
        <v>131699999.99999999</v>
      </c>
      <c r="O44" s="178">
        <v>58300000</v>
      </c>
      <c r="P44" s="178">
        <v>33700000</v>
      </c>
      <c r="Q44" s="178">
        <v>19700000</v>
      </c>
      <c r="R44" s="178"/>
      <c r="S44" s="178"/>
      <c r="T44" s="28"/>
      <c r="U44" s="28"/>
      <c r="V44" s="28"/>
    </row>
    <row r="45" spans="1:22">
      <c r="B45" s="90" t="s">
        <v>491</v>
      </c>
      <c r="C45" s="34"/>
      <c r="D45" s="28"/>
      <c r="E45" s="28"/>
      <c r="F45" s="28"/>
      <c r="G45" s="178">
        <v>0</v>
      </c>
      <c r="H45" s="178">
        <v>-6500000</v>
      </c>
      <c r="I45" s="125">
        <v>-11300000</v>
      </c>
      <c r="J45" s="178">
        <v>-11200000</v>
      </c>
      <c r="K45" s="178">
        <v>-59700000</v>
      </c>
      <c r="L45" s="178">
        <v>104500000</v>
      </c>
      <c r="M45" s="178">
        <v>0</v>
      </c>
      <c r="N45" s="178">
        <v>0</v>
      </c>
      <c r="O45" s="178">
        <v>0</v>
      </c>
      <c r="P45" s="178">
        <v>0</v>
      </c>
      <c r="Q45" s="178">
        <v>0</v>
      </c>
      <c r="R45" s="178"/>
      <c r="S45" s="178"/>
      <c r="T45" s="28"/>
      <c r="U45" s="28"/>
      <c r="V45" s="28"/>
    </row>
    <row r="46" spans="1:22">
      <c r="B46" s="90"/>
      <c r="C46" s="34"/>
      <c r="D46" s="28"/>
      <c r="E46" s="28"/>
      <c r="F46" s="28"/>
      <c r="G46" s="28"/>
      <c r="H46" s="28"/>
      <c r="I46" s="28"/>
      <c r="J46" s="28"/>
      <c r="K46" s="28"/>
      <c r="L46" s="28"/>
      <c r="M46" s="28"/>
      <c r="N46" s="28"/>
      <c r="O46" s="28"/>
      <c r="P46" s="28"/>
      <c r="Q46" s="28"/>
      <c r="R46" s="28"/>
      <c r="T46" s="28"/>
      <c r="U46" s="28"/>
      <c r="V46" s="28"/>
    </row>
    <row r="47" spans="1:22">
      <c r="B47" s="90"/>
      <c r="C47" s="34"/>
      <c r="D47" s="28"/>
      <c r="E47" s="28"/>
      <c r="F47" s="28"/>
      <c r="G47" t="s">
        <v>139</v>
      </c>
      <c r="H47" t="s">
        <v>139</v>
      </c>
      <c r="I47" t="s">
        <v>138</v>
      </c>
      <c r="J47" t="s">
        <v>139</v>
      </c>
      <c r="K47" t="s">
        <v>139</v>
      </c>
      <c r="L47" t="s">
        <v>139</v>
      </c>
      <c r="M47" t="s">
        <v>139</v>
      </c>
      <c r="N47" t="s">
        <v>139</v>
      </c>
      <c r="O47" t="s">
        <v>139</v>
      </c>
      <c r="P47" t="s">
        <v>139</v>
      </c>
      <c r="Q47" t="s">
        <v>139</v>
      </c>
      <c r="R47" t="s">
        <v>139</v>
      </c>
      <c r="S47" t="s">
        <v>139</v>
      </c>
      <c r="T47" t="s">
        <v>139</v>
      </c>
      <c r="U47" t="s">
        <v>139</v>
      </c>
      <c r="V47" t="s">
        <v>139</v>
      </c>
    </row>
    <row r="49" spans="2:22">
      <c r="O49" s="267"/>
    </row>
    <row r="50" spans="2:22">
      <c r="B50" t="s">
        <v>714</v>
      </c>
      <c r="G50" s="21">
        <f>G6-G7-G14</f>
        <v>100000</v>
      </c>
      <c r="H50" s="21">
        <f t="shared" ref="H50:S50" si="6">H6-H7-H14</f>
        <v>-100000</v>
      </c>
      <c r="I50" s="21">
        <f t="shared" si="6"/>
        <v>0</v>
      </c>
      <c r="J50" s="21">
        <f t="shared" si="6"/>
        <v>0</v>
      </c>
      <c r="K50" s="21">
        <f t="shared" si="6"/>
        <v>100000.00000000047</v>
      </c>
      <c r="L50" s="21">
        <f t="shared" si="6"/>
        <v>0</v>
      </c>
      <c r="M50" s="21">
        <f t="shared" si="6"/>
        <v>100000</v>
      </c>
      <c r="N50" s="21">
        <f t="shared" si="6"/>
        <v>0</v>
      </c>
      <c r="O50" s="21">
        <f t="shared" si="6"/>
        <v>0</v>
      </c>
      <c r="P50" s="21">
        <f t="shared" si="6"/>
        <v>0</v>
      </c>
      <c r="Q50" s="21">
        <f t="shared" si="6"/>
        <v>0</v>
      </c>
      <c r="R50" s="21">
        <f t="shared" si="6"/>
        <v>0</v>
      </c>
      <c r="S50" s="21">
        <f t="shared" si="6"/>
        <v>0</v>
      </c>
    </row>
    <row r="51" spans="2:22">
      <c r="B51" t="s">
        <v>36</v>
      </c>
      <c r="G51" s="21">
        <f>G7-G9-G12-G13</f>
        <v>0</v>
      </c>
      <c r="H51" s="21">
        <f t="shared" ref="H51:S51" si="7">H7-H9-H12-H13</f>
        <v>100000</v>
      </c>
      <c r="I51" s="21">
        <f t="shared" si="7"/>
        <v>-100000</v>
      </c>
      <c r="J51" s="21">
        <f t="shared" si="7"/>
        <v>0</v>
      </c>
      <c r="K51" s="21">
        <f t="shared" si="7"/>
        <v>-100000</v>
      </c>
      <c r="L51" s="21">
        <f t="shared" si="7"/>
        <v>0</v>
      </c>
      <c r="M51" s="21">
        <f t="shared" si="7"/>
        <v>-100000</v>
      </c>
      <c r="N51" s="21">
        <f t="shared" si="7"/>
        <v>0</v>
      </c>
      <c r="O51" s="21">
        <f t="shared" si="7"/>
        <v>0</v>
      </c>
      <c r="P51" s="21">
        <f t="shared" si="7"/>
        <v>0</v>
      </c>
      <c r="Q51" s="21">
        <f t="shared" si="7"/>
        <v>0</v>
      </c>
      <c r="R51" s="21">
        <f t="shared" si="7"/>
        <v>0</v>
      </c>
      <c r="S51" s="21">
        <f t="shared" si="7"/>
        <v>0</v>
      </c>
    </row>
    <row r="52" spans="2:22">
      <c r="B52" t="s">
        <v>451</v>
      </c>
      <c r="G52" s="21">
        <f>G9-G10-G11</f>
        <v>-100000</v>
      </c>
      <c r="H52" s="21">
        <f t="shared" ref="H52:S52" si="8">H9-H10-H11</f>
        <v>0</v>
      </c>
      <c r="I52" s="21">
        <f t="shared" si="8"/>
        <v>0</v>
      </c>
      <c r="J52" s="21">
        <f t="shared" si="8"/>
        <v>-100000</v>
      </c>
      <c r="K52" s="21">
        <f t="shared" si="8"/>
        <v>0</v>
      </c>
      <c r="L52" s="21">
        <f t="shared" si="8"/>
        <v>0</v>
      </c>
      <c r="M52" s="21">
        <f t="shared" si="8"/>
        <v>0</v>
      </c>
      <c r="N52" s="21">
        <f t="shared" si="8"/>
        <v>0</v>
      </c>
      <c r="O52" s="21">
        <f t="shared" si="8"/>
        <v>99999.999999940395</v>
      </c>
      <c r="P52" s="21">
        <f t="shared" si="8"/>
        <v>0</v>
      </c>
      <c r="Q52" s="21">
        <f t="shared" si="8"/>
        <v>0</v>
      </c>
      <c r="R52" s="21">
        <f t="shared" si="8"/>
        <v>871500000</v>
      </c>
      <c r="S52" s="21">
        <f t="shared" si="8"/>
        <v>934400000</v>
      </c>
    </row>
    <row r="53" spans="2:22">
      <c r="B53" t="s">
        <v>1207</v>
      </c>
      <c r="G53" s="21">
        <f>G15-G16-G26</f>
        <v>0</v>
      </c>
      <c r="H53" s="21">
        <f>H15-H16-H26</f>
        <v>0</v>
      </c>
      <c r="I53" s="21">
        <f t="shared" ref="I53:S53" si="9">I15-I16-I26</f>
        <v>0</v>
      </c>
      <c r="J53" s="21">
        <f t="shared" si="9"/>
        <v>0</v>
      </c>
      <c r="K53" s="21">
        <f t="shared" si="9"/>
        <v>100000</v>
      </c>
      <c r="L53" s="21">
        <f t="shared" si="9"/>
        <v>0</v>
      </c>
      <c r="M53" s="21">
        <f t="shared" si="9"/>
        <v>0</v>
      </c>
      <c r="N53" s="21">
        <f t="shared" si="9"/>
        <v>0</v>
      </c>
      <c r="O53" s="21">
        <f t="shared" si="9"/>
        <v>0</v>
      </c>
      <c r="P53" s="21">
        <f t="shared" si="9"/>
        <v>99999.999999970198</v>
      </c>
      <c r="Q53" s="21">
        <f t="shared" si="9"/>
        <v>0</v>
      </c>
      <c r="R53" s="21">
        <f t="shared" si="9"/>
        <v>0</v>
      </c>
      <c r="S53" s="21">
        <f t="shared" si="9"/>
        <v>0</v>
      </c>
    </row>
    <row r="54" spans="2:22">
      <c r="B54" t="s">
        <v>453</v>
      </c>
      <c r="G54" s="21">
        <f>G16-G17-G18-G19-G20-G21</f>
        <v>100000</v>
      </c>
      <c r="H54" s="21">
        <f t="shared" ref="H54:S54" si="10">H16-H17-H18-H19-H20-H21</f>
        <v>99999.999999992549</v>
      </c>
      <c r="I54" s="21">
        <f t="shared" si="10"/>
        <v>0</v>
      </c>
      <c r="J54" s="21">
        <f t="shared" si="10"/>
        <v>0</v>
      </c>
      <c r="K54" s="21">
        <f t="shared" si="10"/>
        <v>0</v>
      </c>
      <c r="L54" s="21">
        <f t="shared" si="10"/>
        <v>0</v>
      </c>
      <c r="M54" s="21">
        <f t="shared" si="10"/>
        <v>-100000</v>
      </c>
      <c r="N54" s="21">
        <f t="shared" si="10"/>
        <v>100000</v>
      </c>
      <c r="O54" s="21">
        <f t="shared" si="10"/>
        <v>-100000</v>
      </c>
      <c r="P54" s="21">
        <f t="shared" si="10"/>
        <v>0</v>
      </c>
      <c r="Q54" s="21">
        <f t="shared" si="10"/>
        <v>0</v>
      </c>
      <c r="R54" s="21">
        <f t="shared" si="10"/>
        <v>256100000</v>
      </c>
      <c r="S54" s="21">
        <f t="shared" si="10"/>
        <v>261600000</v>
      </c>
    </row>
    <row r="55" spans="2:22">
      <c r="B55" t="s">
        <v>1185</v>
      </c>
      <c r="G55" s="21">
        <f>G21-G22-G23</f>
        <v>0</v>
      </c>
      <c r="H55" s="21">
        <f t="shared" ref="H55:R55" si="11">H21-H22-H23</f>
        <v>-99999.999999992549</v>
      </c>
      <c r="I55" s="21">
        <f t="shared" si="11"/>
        <v>0</v>
      </c>
      <c r="J55" s="21">
        <f t="shared" si="11"/>
        <v>0</v>
      </c>
      <c r="K55" s="21">
        <f t="shared" si="11"/>
        <v>-100000</v>
      </c>
      <c r="L55" s="21">
        <f t="shared" si="11"/>
        <v>-100000</v>
      </c>
      <c r="M55" s="21">
        <f t="shared" si="11"/>
        <v>0</v>
      </c>
      <c r="N55" s="21">
        <f t="shared" si="11"/>
        <v>0</v>
      </c>
      <c r="O55" s="21">
        <f t="shared" si="11"/>
        <v>99999.999999992549</v>
      </c>
      <c r="P55" s="21">
        <f t="shared" si="11"/>
        <v>0</v>
      </c>
      <c r="Q55" s="21">
        <f t="shared" si="11"/>
        <v>0</v>
      </c>
      <c r="R55" s="21">
        <f t="shared" si="11"/>
        <v>148600000</v>
      </c>
      <c r="S55" s="21">
        <f>S21-S22-S23</f>
        <v>156000000</v>
      </c>
    </row>
    <row r="56" spans="2:22">
      <c r="B56" t="s">
        <v>457</v>
      </c>
      <c r="G56" s="21">
        <f>G32-G33-G41</f>
        <v>0</v>
      </c>
      <c r="H56" s="21">
        <f>H32-H33-H41</f>
        <v>0</v>
      </c>
      <c r="I56" s="21">
        <f t="shared" ref="I56:R56" si="12">I32-I33-I41</f>
        <v>0</v>
      </c>
      <c r="J56" s="21">
        <f t="shared" si="12"/>
        <v>100000</v>
      </c>
      <c r="K56" s="21">
        <f t="shared" si="12"/>
        <v>0</v>
      </c>
      <c r="L56" s="21">
        <f t="shared" si="12"/>
        <v>0</v>
      </c>
      <c r="M56" s="21">
        <f t="shared" si="12"/>
        <v>-100000</v>
      </c>
      <c r="N56" s="21">
        <f t="shared" si="12"/>
        <v>100000</v>
      </c>
      <c r="O56" s="21">
        <f t="shared" si="12"/>
        <v>0</v>
      </c>
      <c r="P56" s="21">
        <f>P32-P33-P41</f>
        <v>0</v>
      </c>
      <c r="Q56" s="21">
        <f t="shared" si="12"/>
        <v>-100000</v>
      </c>
      <c r="R56" s="21">
        <f t="shared" si="12"/>
        <v>0</v>
      </c>
      <c r="S56" s="21">
        <f>S32-S33-S41</f>
        <v>0</v>
      </c>
    </row>
    <row r="57" spans="2:22">
      <c r="B57" t="s">
        <v>1363</v>
      </c>
      <c r="G57" s="21">
        <f>G33-G35-G38-G39</f>
        <v>0</v>
      </c>
      <c r="H57" s="21">
        <f>H33-H35-H38-H39</f>
        <v>-100000</v>
      </c>
      <c r="I57" s="21">
        <f>I33-I35-I38-I39</f>
        <v>0</v>
      </c>
      <c r="J57" s="21">
        <f>J33-J35-J38-J39</f>
        <v>0</v>
      </c>
      <c r="K57" s="21">
        <f t="shared" ref="K57:R57" si="13">K33-K35-K38-K39</f>
        <v>0</v>
      </c>
      <c r="L57" s="21">
        <f>L33-L35-L38-L39</f>
        <v>0</v>
      </c>
      <c r="M57" s="21">
        <f t="shared" si="13"/>
        <v>0</v>
      </c>
      <c r="N57" s="21">
        <f>N33-N35-N38-N39</f>
        <v>0</v>
      </c>
      <c r="O57" s="21">
        <f t="shared" si="13"/>
        <v>0</v>
      </c>
      <c r="P57" s="21">
        <f t="shared" si="13"/>
        <v>0</v>
      </c>
      <c r="Q57" s="21">
        <f t="shared" si="13"/>
        <v>100000</v>
      </c>
      <c r="R57" s="21">
        <f t="shared" si="13"/>
        <v>126600000</v>
      </c>
      <c r="S57" s="21">
        <f>S33-S35-S38-S39</f>
        <v>-40900000</v>
      </c>
    </row>
    <row r="58" spans="2:22">
      <c r="B58" t="s">
        <v>362</v>
      </c>
      <c r="G58" s="21">
        <f>G41-G42-G43-G44</f>
        <v>0</v>
      </c>
      <c r="H58" s="21">
        <f>H41-H42-H43-H44</f>
        <v>0</v>
      </c>
      <c r="I58" s="21">
        <f>I41-I42-I43-I44</f>
        <v>0</v>
      </c>
      <c r="J58" s="21">
        <f t="shared" ref="J58:S58" si="14">J41-J42-J43-J44</f>
        <v>-100000</v>
      </c>
      <c r="K58" s="21">
        <f t="shared" si="14"/>
        <v>0</v>
      </c>
      <c r="L58" s="21">
        <f t="shared" si="14"/>
        <v>0</v>
      </c>
      <c r="M58" s="21">
        <f t="shared" si="14"/>
        <v>0</v>
      </c>
      <c r="N58" s="21">
        <f t="shared" si="14"/>
        <v>0</v>
      </c>
      <c r="O58" s="21">
        <f>O41-O42-O43-O44</f>
        <v>0</v>
      </c>
      <c r="P58" s="21">
        <f t="shared" si="14"/>
        <v>0</v>
      </c>
      <c r="Q58" s="21">
        <f t="shared" si="14"/>
        <v>0</v>
      </c>
      <c r="R58" s="21">
        <f t="shared" si="14"/>
        <v>75200000</v>
      </c>
      <c r="S58" s="21">
        <f t="shared" si="14"/>
        <v>90400000</v>
      </c>
    </row>
    <row r="59" spans="2:22">
      <c r="C59" s="267"/>
    </row>
    <row r="60" spans="2:22">
      <c r="D60" s="267">
        <v>2122000000</v>
      </c>
      <c r="E60" s="267">
        <v>2007000000</v>
      </c>
      <c r="F60" s="267">
        <v>2016000000</v>
      </c>
      <c r="G60" s="267">
        <v>2188000000</v>
      </c>
      <c r="H60" s="267">
        <v>2403000000</v>
      </c>
      <c r="I60" s="267">
        <v>2539000000</v>
      </c>
      <c r="J60" s="267">
        <v>2895000000</v>
      </c>
      <c r="K60" s="267">
        <v>3101000000</v>
      </c>
      <c r="L60" s="267">
        <v>3177000000</v>
      </c>
      <c r="M60" s="267">
        <v>3192000000</v>
      </c>
      <c r="N60" s="267">
        <v>3376000000</v>
      </c>
      <c r="O60" s="267">
        <v>3498000000</v>
      </c>
      <c r="P60" s="267">
        <v>3534000000</v>
      </c>
      <c r="Q60" s="267">
        <v>3624000000</v>
      </c>
      <c r="R60" s="267">
        <v>3660000000</v>
      </c>
      <c r="S60" s="267">
        <v>3808000000</v>
      </c>
      <c r="T60" s="267">
        <v>3949000000</v>
      </c>
      <c r="U60" s="267">
        <v>4106000000</v>
      </c>
      <c r="V60" s="267">
        <v>4280000000.0000005</v>
      </c>
    </row>
    <row r="61" spans="2:22">
      <c r="G61" s="364">
        <f t="shared" ref="G61:S61" si="15">(G6/G60)*100</f>
        <v>24.602376599634368</v>
      </c>
      <c r="H61" s="364">
        <f t="shared" si="15"/>
        <v>23.474823137744487</v>
      </c>
      <c r="I61" s="364">
        <f t="shared" si="15"/>
        <v>24.257581725088617</v>
      </c>
      <c r="J61" s="364">
        <f t="shared" si="15"/>
        <v>23.402417962003454</v>
      </c>
      <c r="K61" s="364">
        <f t="shared" si="15"/>
        <v>23.953563366655917</v>
      </c>
      <c r="L61" s="364">
        <f t="shared" si="15"/>
        <v>25.700346238589866</v>
      </c>
      <c r="M61" s="364">
        <f t="shared" si="15"/>
        <v>25.347744360902258</v>
      </c>
      <c r="N61" s="364">
        <f t="shared" si="15"/>
        <v>26.886848341232227</v>
      </c>
      <c r="O61" s="364">
        <f t="shared" si="15"/>
        <v>26.012006861063462</v>
      </c>
      <c r="P61" s="364">
        <f t="shared" si="15"/>
        <v>26.740237691001699</v>
      </c>
      <c r="Q61" s="364">
        <f t="shared" si="15"/>
        <v>28.302980132450333</v>
      </c>
      <c r="R61" s="364">
        <f t="shared" si="15"/>
        <v>26.562841530054644</v>
      </c>
      <c r="S61" s="364">
        <f t="shared" si="15"/>
        <v>27.200630252100837</v>
      </c>
    </row>
    <row r="62" spans="2:22">
      <c r="G62" s="364">
        <f t="shared" ref="G62:S62" si="16">(G15/G60)*100</f>
        <v>27.244058500914075</v>
      </c>
      <c r="H62" s="364">
        <f t="shared" si="16"/>
        <v>26.803995006242197</v>
      </c>
      <c r="I62" s="364">
        <f t="shared" si="16"/>
        <v>30</v>
      </c>
      <c r="J62" s="364">
        <f t="shared" si="16"/>
        <v>28.759930915371328</v>
      </c>
      <c r="K62" s="364">
        <f t="shared" si="16"/>
        <v>24.782328281199614</v>
      </c>
      <c r="L62" s="364">
        <f t="shared" si="16"/>
        <v>26.625747560591755</v>
      </c>
      <c r="M62" s="364">
        <f t="shared" si="16"/>
        <v>28.593358395989977</v>
      </c>
      <c r="N62" s="364">
        <f t="shared" si="16"/>
        <v>31.925355450236964</v>
      </c>
      <c r="O62" s="364">
        <f t="shared" si="16"/>
        <v>30.957690108633507</v>
      </c>
      <c r="P62" s="364">
        <f t="shared" si="16"/>
        <v>29.281267685342389</v>
      </c>
      <c r="Q62" s="364">
        <f t="shared" si="16"/>
        <v>29.751655629139073</v>
      </c>
      <c r="R62" s="364">
        <f t="shared" si="16"/>
        <v>30.437158469945359</v>
      </c>
      <c r="S62" s="364">
        <f t="shared" si="16"/>
        <v>30.3781512605042</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P36" activePane="bottomRight" state="frozen"/>
      <selection pane="topRight" activeCell="R7" sqref="R7"/>
      <selection pane="bottomLeft" activeCell="R7" sqref="R7"/>
      <selection pane="bottomRight" activeCell="S51" sqref="S51"/>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69" t="s">
        <v>6028</v>
      </c>
      <c r="B1" s="82" t="s">
        <v>6029</v>
      </c>
      <c r="C1" s="82"/>
      <c r="D1" s="27"/>
      <c r="E1" s="27"/>
      <c r="F1" s="27"/>
      <c r="G1" s="27"/>
      <c r="H1" s="27"/>
      <c r="I1" s="27"/>
      <c r="J1" s="27"/>
      <c r="K1" s="27"/>
      <c r="L1" s="27"/>
      <c r="M1" s="27"/>
      <c r="N1" s="27"/>
      <c r="O1" s="28"/>
      <c r="P1" s="28"/>
      <c r="Q1" s="28"/>
      <c r="R1" s="29"/>
      <c r="S1" s="28"/>
      <c r="T1" s="28"/>
      <c r="U1" s="28"/>
      <c r="V1" s="28"/>
      <c r="W1" s="28"/>
      <c r="X1" s="28"/>
      <c r="Y1" s="28"/>
      <c r="Z1" s="28"/>
    </row>
    <row r="2" spans="1:41">
      <c r="B2" s="30" t="s">
        <v>2790</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6030</v>
      </c>
      <c r="C6" s="160" t="s">
        <v>35</v>
      </c>
      <c r="D6" s="363">
        <v>267000000</v>
      </c>
      <c r="E6" s="363">
        <f>E7+E23</f>
        <v>354000000</v>
      </c>
      <c r="F6" s="363">
        <v>313000000</v>
      </c>
      <c r="G6" s="363">
        <v>324000000</v>
      </c>
      <c r="H6" s="363">
        <f>H7+H23</f>
        <v>341000000</v>
      </c>
      <c r="I6" s="363">
        <v>354000000</v>
      </c>
      <c r="J6" s="363">
        <f>J7+J23</f>
        <v>411000000</v>
      </c>
      <c r="K6" s="363">
        <f>K7+K23</f>
        <v>482000000</v>
      </c>
      <c r="L6" s="363">
        <v>536200000.00000006</v>
      </c>
      <c r="M6" s="363">
        <v>539700000</v>
      </c>
      <c r="N6" s="460">
        <v>533000000</v>
      </c>
      <c r="O6" s="460">
        <f>O7+O23</f>
        <v>494500000</v>
      </c>
      <c r="P6" s="460">
        <f>P7+P23</f>
        <v>482500000</v>
      </c>
      <c r="Q6" s="460">
        <v>522900000</v>
      </c>
      <c r="R6" s="460">
        <v>575400000</v>
      </c>
      <c r="S6" s="460">
        <v>569300000</v>
      </c>
      <c r="T6" s="460">
        <v>619800000</v>
      </c>
      <c r="U6" s="460">
        <v>614300000</v>
      </c>
      <c r="V6" s="460">
        <v>654900000</v>
      </c>
      <c r="W6" s="460">
        <v>690500000</v>
      </c>
      <c r="X6" s="460">
        <v>720800000</v>
      </c>
      <c r="Y6" s="460">
        <v>753700000</v>
      </c>
      <c r="Z6" s="460">
        <v>786700000</v>
      </c>
      <c r="AA6"/>
      <c r="AB6"/>
      <c r="AC6"/>
      <c r="AD6"/>
      <c r="AE6"/>
      <c r="AF6"/>
      <c r="AG6"/>
      <c r="AH6"/>
      <c r="AI6"/>
      <c r="AJ6"/>
      <c r="AK6"/>
      <c r="AL6"/>
      <c r="AM6"/>
      <c r="AN6"/>
      <c r="AO6"/>
    </row>
    <row r="7" spans="1:41" ht="16.5">
      <c r="A7" s="139" t="s">
        <v>36</v>
      </c>
      <c r="B7" s="90" t="s">
        <v>36</v>
      </c>
      <c r="C7" s="345"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3646</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58">
        <f>D10+D11+D12+D14</f>
        <v>217000000</v>
      </c>
      <c r="E9" s="358">
        <f>E10+E11+E12+E14</f>
        <v>298000000</v>
      </c>
      <c r="F9" s="21">
        <v>260000000</v>
      </c>
      <c r="G9" s="21">
        <v>260000000</v>
      </c>
      <c r="H9" s="21">
        <v>274000000</v>
      </c>
      <c r="I9" s="21">
        <v>308000000</v>
      </c>
      <c r="J9" s="358">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5659</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2229</v>
      </c>
      <c r="B11" s="99" t="s">
        <v>4719</v>
      </c>
      <c r="C11" s="90" t="s">
        <v>5659</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643</v>
      </c>
      <c r="B12" s="99" t="s">
        <v>6031</v>
      </c>
      <c r="C12" s="90" t="s">
        <v>5659</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6032</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6033</v>
      </c>
      <c r="B14" s="99" t="s">
        <v>6034</v>
      </c>
      <c r="C14" s="90" t="s">
        <v>5659</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6032</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2797</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6035</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6036</v>
      </c>
      <c r="B18" s="99" t="s">
        <v>6037</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6038</v>
      </c>
      <c r="B19" s="99" t="s">
        <v>6039</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560</v>
      </c>
      <c r="B20" s="99" t="s">
        <v>6040</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468</v>
      </c>
      <c r="B21" s="90" t="s">
        <v>6041</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6042</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5"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6043</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6044</v>
      </c>
      <c r="C25" s="459" t="s">
        <v>35</v>
      </c>
      <c r="D25" s="358">
        <f>D26+D33</f>
        <v>276000000</v>
      </c>
      <c r="E25" s="363">
        <v>306000000</v>
      </c>
      <c r="F25" s="358">
        <f>F26+F33</f>
        <v>342000000</v>
      </c>
      <c r="G25" s="363">
        <v>358000000</v>
      </c>
      <c r="H25" s="363">
        <v>370000000</v>
      </c>
      <c r="I25" s="363">
        <v>419000000</v>
      </c>
      <c r="J25" s="363">
        <v>457000000</v>
      </c>
      <c r="K25" s="363">
        <v>510000000</v>
      </c>
      <c r="L25" s="363">
        <v>561800000</v>
      </c>
      <c r="M25" s="363">
        <v>598300000</v>
      </c>
      <c r="N25" s="460">
        <v>604900000</v>
      </c>
      <c r="O25" s="460">
        <v>567700000</v>
      </c>
      <c r="P25" s="460">
        <v>543100000</v>
      </c>
      <c r="Q25" s="460">
        <v>643100000</v>
      </c>
      <c r="R25" s="460">
        <v>634100000</v>
      </c>
      <c r="S25" s="460">
        <v>612100000</v>
      </c>
      <c r="T25" s="460">
        <v>596200000</v>
      </c>
      <c r="U25" s="460">
        <v>665500000</v>
      </c>
      <c r="V25" s="460">
        <v>701100000</v>
      </c>
      <c r="W25" s="460">
        <v>736300000</v>
      </c>
      <c r="X25" s="460">
        <v>765800000</v>
      </c>
      <c r="Y25" s="460">
        <v>799200000</v>
      </c>
      <c r="Z25" s="460">
        <v>833000000</v>
      </c>
      <c r="AA25"/>
      <c r="AB25"/>
      <c r="AC25"/>
      <c r="AD25"/>
      <c r="AE25"/>
      <c r="AF25"/>
      <c r="AG25"/>
      <c r="AH25"/>
      <c r="AI25"/>
      <c r="AJ25"/>
      <c r="AK25"/>
      <c r="AL25"/>
      <c r="AM25"/>
      <c r="AN25"/>
      <c r="AO25"/>
    </row>
    <row r="26" spans="1:41" ht="16.5">
      <c r="A26" s="448" t="s">
        <v>476</v>
      </c>
      <c r="B26" s="139" t="s">
        <v>541</v>
      </c>
      <c r="C26" s="58" t="s">
        <v>201</v>
      </c>
      <c r="D26" s="21">
        <v>241000000</v>
      </c>
      <c r="E26" s="21">
        <v>259000000</v>
      </c>
      <c r="F26" s="358">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2402</v>
      </c>
      <c r="B27" s="99" t="s">
        <v>6045</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1525</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1525</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2238</v>
      </c>
      <c r="B31" s="99" t="s">
        <v>2574</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6043</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6046</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857</v>
      </c>
      <c r="C36" s="34"/>
      <c r="D36" s="21"/>
      <c r="E36" s="21"/>
      <c r="F36" s="21"/>
      <c r="G36" s="21"/>
      <c r="H36" s="21"/>
      <c r="I36" s="21">
        <v>-65000000</v>
      </c>
      <c r="J36" s="21">
        <v>38000000</v>
      </c>
      <c r="K36" s="21">
        <v>52000000</v>
      </c>
      <c r="L36" s="21">
        <v>-25600000</v>
      </c>
      <c r="M36" s="21">
        <v>-58600000</v>
      </c>
      <c r="N36" s="460">
        <v>-71900000</v>
      </c>
      <c r="O36" s="460">
        <v>-58700000</v>
      </c>
      <c r="P36" s="460">
        <v>-38500000</v>
      </c>
      <c r="Q36" s="460">
        <v>-120100000</v>
      </c>
      <c r="R36" s="460">
        <v>-58700000</v>
      </c>
      <c r="S36" s="460">
        <v>-42700000</v>
      </c>
      <c r="T36" s="460">
        <v>23500000</v>
      </c>
      <c r="U36" s="460">
        <v>-51300000</v>
      </c>
      <c r="V36" s="460">
        <v>-46200000</v>
      </c>
      <c r="W36" s="460">
        <v>-45800000</v>
      </c>
      <c r="X36" s="460">
        <v>-45000000</v>
      </c>
      <c r="Y36" s="460">
        <v>-45600000</v>
      </c>
      <c r="Z36" s="460">
        <v>-46300000</v>
      </c>
    </row>
    <row r="37" spans="1:26" ht="16.5">
      <c r="A37" t="s">
        <v>76</v>
      </c>
      <c r="B37" s="90" t="s">
        <v>6047</v>
      </c>
      <c r="C37" s="34"/>
      <c r="D37" s="21"/>
      <c r="E37" s="21"/>
      <c r="F37" s="21"/>
      <c r="G37" s="21"/>
      <c r="H37" s="21"/>
      <c r="I37" s="21"/>
      <c r="J37" s="21">
        <v>-52000000</v>
      </c>
      <c r="K37" s="21">
        <v>-53000000</v>
      </c>
      <c r="L37" s="21">
        <v>-70700000</v>
      </c>
      <c r="M37" s="21">
        <v>-135600000</v>
      </c>
      <c r="N37" s="460">
        <v>-114000000</v>
      </c>
      <c r="O37" s="460">
        <v>-103800000</v>
      </c>
      <c r="P37" s="460">
        <v>-69400000</v>
      </c>
      <c r="Q37" s="460">
        <v>-146100000</v>
      </c>
      <c r="R37" s="460">
        <v>-98200000</v>
      </c>
      <c r="S37" s="460">
        <v>-67500000</v>
      </c>
      <c r="T37" s="460">
        <v>-2200000</v>
      </c>
      <c r="U37" s="460">
        <v>-72700000</v>
      </c>
      <c r="V37" s="460">
        <v>-77700000</v>
      </c>
      <c r="W37" s="460">
        <v>-78800000</v>
      </c>
      <c r="X37" s="460">
        <v>-79400000</v>
      </c>
      <c r="Y37" s="460">
        <v>-81500000</v>
      </c>
      <c r="Z37" s="460">
        <v>-83800000</v>
      </c>
    </row>
    <row r="38" spans="1:26" ht="16.5">
      <c r="A38" t="s">
        <v>76</v>
      </c>
      <c r="B38" s="90" t="s">
        <v>1972</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6048</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0" t="s">
        <v>115</v>
      </c>
      <c r="B40" s="96" t="s">
        <v>1122</v>
      </c>
      <c r="C40" s="459" t="s">
        <v>35</v>
      </c>
      <c r="D40" s="358">
        <f t="shared" ref="D40:I40" si="2">D41+D44+D45+D46+D47+D48+D50</f>
        <v>19000000</v>
      </c>
      <c r="E40" s="358">
        <f t="shared" si="2"/>
        <v>20000000</v>
      </c>
      <c r="F40" s="358">
        <f t="shared" si="2"/>
        <v>11000000</v>
      </c>
      <c r="G40" s="358">
        <f t="shared" si="2"/>
        <v>33000000</v>
      </c>
      <c r="H40" s="358">
        <f t="shared" si="2"/>
        <v>40000000</v>
      </c>
      <c r="I40" s="358">
        <f t="shared" si="2"/>
        <v>65000000</v>
      </c>
      <c r="J40" s="363">
        <v>106000000</v>
      </c>
      <c r="K40" s="363">
        <v>51000000</v>
      </c>
      <c r="L40" s="363">
        <v>25600000</v>
      </c>
      <c r="M40" s="363">
        <v>58600000</v>
      </c>
      <c r="N40" s="478">
        <f>N41+N44+N45+N46+N47+N48+N50</f>
        <v>99800000</v>
      </c>
      <c r="O40" s="304">
        <v>58500000</v>
      </c>
      <c r="P40" s="304">
        <v>38500000</v>
      </c>
      <c r="Q40" s="304">
        <v>120100000</v>
      </c>
      <c r="R40" s="304">
        <v>58700000</v>
      </c>
      <c r="S40" s="304">
        <v>42700000</v>
      </c>
      <c r="T40" s="304">
        <v>-23500000</v>
      </c>
      <c r="U40" s="304">
        <v>42000000</v>
      </c>
      <c r="V40" s="304">
        <v>55400000</v>
      </c>
      <c r="W40" s="304">
        <f>W41+W44+W45+W46+W47+W48+W50</f>
        <v>56000000</v>
      </c>
      <c r="X40" s="304">
        <f t="shared" ref="X40:Z40" si="3">X41+X44+X45+X46+X47+X48+X50</f>
        <v>56200000</v>
      </c>
      <c r="Y40" s="304">
        <f t="shared" si="3"/>
        <v>57700000</v>
      </c>
      <c r="Z40" s="304">
        <f t="shared" si="3"/>
        <v>59500000</v>
      </c>
    </row>
    <row r="41" spans="1:26" ht="16.5">
      <c r="A41" s="90" t="s">
        <v>117</v>
      </c>
      <c r="B41" s="90" t="s">
        <v>2856</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415</v>
      </c>
      <c r="B42" s="152" t="s">
        <v>415</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2452">
        <v>-47000000</v>
      </c>
      <c r="S43" s="2452">
        <v>-44700000</v>
      </c>
      <c r="T43" s="2452">
        <v>-55400000</v>
      </c>
      <c r="U43" s="2452">
        <v>-128300000</v>
      </c>
      <c r="V43" s="2452">
        <v>-71600000</v>
      </c>
      <c r="W43" s="2452">
        <v>-68500000</v>
      </c>
      <c r="X43" s="2452">
        <v>-71800000</v>
      </c>
      <c r="Y43" s="2452">
        <v>-69500000</v>
      </c>
      <c r="Z43" s="2452">
        <v>-68800000</v>
      </c>
    </row>
    <row r="44" spans="1:26" ht="16.5">
      <c r="A44" s="90" t="s">
        <v>6049</v>
      </c>
      <c r="B44" s="90" t="s">
        <v>6050</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2299</v>
      </c>
      <c r="B45" s="90" t="s">
        <v>6051</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1" t="s">
        <v>6052</v>
      </c>
      <c r="B46" s="90" t="s">
        <v>3322</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6053</v>
      </c>
      <c r="B47" s="90" t="s">
        <v>6054</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3121</v>
      </c>
      <c r="B48" s="90" t="s">
        <v>1936</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6055</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1468</v>
      </c>
      <c r="B50" s="90" t="s">
        <v>2469</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3"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3" t="s">
        <v>6056</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2301</v>
      </c>
      <c r="D57" s="21">
        <f>D6-D7-D23</f>
        <v>0</v>
      </c>
      <c r="E57" s="21">
        <f t="shared" ref="E57:S57" si="4">E6-E7-E23</f>
        <v>0</v>
      </c>
      <c r="F57" s="21">
        <f t="shared" si="4"/>
        <v>-1000000</v>
      </c>
      <c r="G57" s="21">
        <f t="shared" si="4"/>
        <v>0</v>
      </c>
      <c r="H57" s="21">
        <f t="shared" si="4"/>
        <v>0</v>
      </c>
      <c r="I57" s="21">
        <f t="shared" si="4"/>
        <v>0</v>
      </c>
      <c r="J57" s="358">
        <f t="shared" si="4"/>
        <v>0</v>
      </c>
      <c r="K57" s="358">
        <f t="shared" si="4"/>
        <v>0</v>
      </c>
      <c r="L57" s="21">
        <f t="shared" si="4"/>
        <v>-99999.999999940395</v>
      </c>
      <c r="M57" s="21">
        <f t="shared" si="4"/>
        <v>0</v>
      </c>
      <c r="N57" s="21">
        <f t="shared" si="4"/>
        <v>-100000</v>
      </c>
      <c r="O57" s="21">
        <f>O6-O7-O23</f>
        <v>0</v>
      </c>
      <c r="P57" s="21">
        <f>P6-P7-P23</f>
        <v>0</v>
      </c>
      <c r="Q57" s="21">
        <f t="shared" si="4"/>
        <v>100000</v>
      </c>
      <c r="R57" s="21">
        <f t="shared" si="4"/>
        <v>0</v>
      </c>
      <c r="S57" s="21">
        <f t="shared" si="4"/>
        <v>-100000</v>
      </c>
      <c r="T57" s="21">
        <f t="shared" ref="T57:Z57" si="5">T6-T7-T23</f>
        <v>0</v>
      </c>
      <c r="U57" s="21">
        <f t="shared" si="5"/>
        <v>0</v>
      </c>
      <c r="V57" s="21">
        <f t="shared" si="5"/>
        <v>-100000</v>
      </c>
      <c r="W57" s="21">
        <f t="shared" si="5"/>
        <v>100000</v>
      </c>
      <c r="X57" s="21">
        <f t="shared" si="5"/>
        <v>0</v>
      </c>
      <c r="Y57" s="21">
        <f t="shared" si="5"/>
        <v>100000</v>
      </c>
      <c r="Z57" s="21">
        <f t="shared" si="5"/>
        <v>-100000</v>
      </c>
    </row>
    <row r="58" spans="1:26">
      <c r="B58" t="s">
        <v>450</v>
      </c>
      <c r="D58" s="21">
        <f t="shared" ref="D58:S58" si="6">D7-D9-D17-D21</f>
        <v>0</v>
      </c>
      <c r="E58" s="21">
        <f t="shared" si="6"/>
        <v>0</v>
      </c>
      <c r="F58" s="21">
        <f t="shared" si="6"/>
        <v>0</v>
      </c>
      <c r="G58" s="21">
        <f t="shared" si="6"/>
        <v>0</v>
      </c>
      <c r="H58" s="21">
        <f t="shared" si="6"/>
        <v>0</v>
      </c>
      <c r="I58" s="21">
        <f t="shared" si="6"/>
        <v>0</v>
      </c>
      <c r="J58" s="21">
        <f t="shared" si="6"/>
        <v>0</v>
      </c>
      <c r="K58" s="21">
        <f t="shared" si="6"/>
        <v>0</v>
      </c>
      <c r="L58" s="21">
        <f t="shared" si="6"/>
        <v>0</v>
      </c>
      <c r="M58" s="21">
        <f t="shared" si="6"/>
        <v>3.7252902984619141E-9</v>
      </c>
      <c r="N58" s="21">
        <f t="shared" si="6"/>
        <v>0</v>
      </c>
      <c r="O58" s="21">
        <f t="shared" si="6"/>
        <v>0</v>
      </c>
      <c r="P58" s="21">
        <f t="shared" si="6"/>
        <v>0</v>
      </c>
      <c r="Q58" s="21">
        <f t="shared" si="6"/>
        <v>0</v>
      </c>
      <c r="R58" s="21">
        <f t="shared" si="6"/>
        <v>0</v>
      </c>
      <c r="S58" s="21">
        <f t="shared" si="6"/>
        <v>0</v>
      </c>
      <c r="T58" s="21">
        <f t="shared" ref="T58:Z58" si="7">T7-T9-T17-T21</f>
        <v>0</v>
      </c>
      <c r="U58" s="21">
        <f t="shared" si="7"/>
        <v>0</v>
      </c>
      <c r="V58" s="21">
        <f t="shared" si="7"/>
        <v>0</v>
      </c>
      <c r="W58" s="21">
        <f t="shared" si="7"/>
        <v>0</v>
      </c>
      <c r="X58" s="21">
        <f t="shared" si="7"/>
        <v>0</v>
      </c>
      <c r="Y58" s="21">
        <f t="shared" si="7"/>
        <v>0</v>
      </c>
      <c r="Z58" s="21">
        <f t="shared" si="7"/>
        <v>0</v>
      </c>
    </row>
    <row r="59" spans="1:26">
      <c r="B59" t="s">
        <v>451</v>
      </c>
      <c r="D59" s="21">
        <f t="shared" ref="D59:S59" si="8">D9-D10-D11-D14-D12</f>
        <v>0</v>
      </c>
      <c r="E59" s="21">
        <f>E9-E10-E11-E14-E12</f>
        <v>0</v>
      </c>
      <c r="F59" s="21">
        <f t="shared" si="8"/>
        <v>-1000000</v>
      </c>
      <c r="G59" s="21">
        <f t="shared" si="8"/>
        <v>0</v>
      </c>
      <c r="H59" s="21">
        <f t="shared" si="8"/>
        <v>0</v>
      </c>
      <c r="I59" s="21">
        <f t="shared" si="8"/>
        <v>-1000000</v>
      </c>
      <c r="J59" s="21">
        <f>J9-J10-J11-J14-J12</f>
        <v>0</v>
      </c>
      <c r="K59" s="21">
        <f t="shared" si="8"/>
        <v>0</v>
      </c>
      <c r="L59" s="21">
        <f t="shared" si="8"/>
        <v>0</v>
      </c>
      <c r="M59" s="21">
        <f t="shared" si="8"/>
        <v>0</v>
      </c>
      <c r="N59" s="21">
        <f t="shared" si="8"/>
        <v>100000</v>
      </c>
      <c r="O59" s="21">
        <f t="shared" si="8"/>
        <v>0</v>
      </c>
      <c r="P59" s="21">
        <f t="shared" si="8"/>
        <v>-100000</v>
      </c>
      <c r="Q59" s="21">
        <f t="shared" si="8"/>
        <v>0</v>
      </c>
      <c r="R59" s="21">
        <f t="shared" si="8"/>
        <v>0</v>
      </c>
      <c r="S59" s="21">
        <f t="shared" si="8"/>
        <v>0</v>
      </c>
      <c r="T59" s="21">
        <f t="shared" ref="T59:Z59" si="9">T9-T10-T11-T14-T12</f>
        <v>100000</v>
      </c>
      <c r="U59" s="21">
        <f t="shared" si="9"/>
        <v>-100000</v>
      </c>
      <c r="V59" s="21">
        <f t="shared" si="9"/>
        <v>0</v>
      </c>
      <c r="W59" s="21">
        <f t="shared" si="9"/>
        <v>0</v>
      </c>
      <c r="X59" s="21">
        <f t="shared" si="9"/>
        <v>0</v>
      </c>
      <c r="Y59" s="21">
        <f t="shared" si="9"/>
        <v>0</v>
      </c>
      <c r="Z59" s="21">
        <f t="shared" si="9"/>
        <v>100000</v>
      </c>
    </row>
    <row r="60" spans="1:26">
      <c r="B60" t="s">
        <v>6057</v>
      </c>
      <c r="D60" s="131">
        <f>D17-D18-D19-D20</f>
        <v>39000000</v>
      </c>
      <c r="E60" s="131">
        <f t="shared" ref="E60:S60" si="10">E17-E18-E19-E20</f>
        <v>38000000</v>
      </c>
      <c r="F60" s="131">
        <f t="shared" si="10"/>
        <v>42000000</v>
      </c>
      <c r="G60" s="131">
        <f t="shared" si="10"/>
        <v>58000000</v>
      </c>
      <c r="H60" s="131">
        <f t="shared" si="10"/>
        <v>58000000</v>
      </c>
      <c r="I60" s="131">
        <f t="shared" si="10"/>
        <v>28000000</v>
      </c>
      <c r="J60" s="131">
        <f t="shared" si="10"/>
        <v>32000000</v>
      </c>
      <c r="K60" s="131">
        <f>K17-K18-K19-K20</f>
        <v>57000000</v>
      </c>
      <c r="L60" s="21">
        <f t="shared" si="10"/>
        <v>0</v>
      </c>
      <c r="M60" s="21">
        <f t="shared" si="10"/>
        <v>99999.999999996275</v>
      </c>
      <c r="N60" s="21">
        <f t="shared" si="10"/>
        <v>0</v>
      </c>
      <c r="O60" s="21">
        <f t="shared" si="10"/>
        <v>-100000</v>
      </c>
      <c r="P60" s="21">
        <f t="shared" si="10"/>
        <v>0</v>
      </c>
      <c r="Q60" s="21">
        <f t="shared" si="10"/>
        <v>-100000</v>
      </c>
      <c r="R60" s="21">
        <f t="shared" si="10"/>
        <v>-100000</v>
      </c>
      <c r="S60" s="21">
        <f t="shared" si="10"/>
        <v>0</v>
      </c>
      <c r="T60" s="21">
        <f t="shared" ref="T60:Z60" si="11">T17-T18-T19-T20</f>
        <v>0</v>
      </c>
      <c r="U60" s="21">
        <f t="shared" si="11"/>
        <v>0</v>
      </c>
      <c r="V60" s="21">
        <f t="shared" si="11"/>
        <v>0</v>
      </c>
      <c r="W60" s="21">
        <f t="shared" si="11"/>
        <v>-99999.999999996275</v>
      </c>
      <c r="X60" s="21">
        <f t="shared" si="11"/>
        <v>-100000</v>
      </c>
      <c r="Y60" s="21">
        <f t="shared" si="11"/>
        <v>0</v>
      </c>
      <c r="Z60" s="21">
        <f t="shared" si="11"/>
        <v>0</v>
      </c>
    </row>
    <row r="61" spans="1:26">
      <c r="B61" t="s">
        <v>1207</v>
      </c>
      <c r="D61" s="21">
        <f>D25-D26-D33</f>
        <v>0</v>
      </c>
      <c r="E61" s="21">
        <f t="shared" ref="E61:S61" si="12">E25-E26-E33</f>
        <v>0</v>
      </c>
      <c r="F61" s="21">
        <f>F25-F26-F33</f>
        <v>0</v>
      </c>
      <c r="G61" s="21">
        <f t="shared" si="12"/>
        <v>0</v>
      </c>
      <c r="H61" s="21">
        <f t="shared" si="12"/>
        <v>0</v>
      </c>
      <c r="I61" s="21">
        <f t="shared" si="12"/>
        <v>0</v>
      </c>
      <c r="J61" s="21">
        <f t="shared" si="12"/>
        <v>1000000</v>
      </c>
      <c r="K61" s="21">
        <f t="shared" si="12"/>
        <v>1000000</v>
      </c>
      <c r="L61" s="21">
        <f t="shared" si="12"/>
        <v>0</v>
      </c>
      <c r="M61" s="21">
        <f t="shared" si="12"/>
        <v>0</v>
      </c>
      <c r="N61" s="21">
        <f t="shared" si="12"/>
        <v>0</v>
      </c>
      <c r="O61" s="21">
        <f t="shared" si="12"/>
        <v>0</v>
      </c>
      <c r="P61" s="21">
        <f t="shared" si="12"/>
        <v>0</v>
      </c>
      <c r="Q61" s="21">
        <f t="shared" si="12"/>
        <v>0</v>
      </c>
      <c r="R61" s="21">
        <f t="shared" si="12"/>
        <v>0</v>
      </c>
      <c r="S61" s="21">
        <f t="shared" si="12"/>
        <v>100000</v>
      </c>
      <c r="T61" s="21">
        <f t="shared" ref="T61:Z61" si="13">T25-T26-T33</f>
        <v>-100000</v>
      </c>
      <c r="U61" s="21">
        <f t="shared" si="13"/>
        <v>0</v>
      </c>
      <c r="V61" s="21">
        <f t="shared" si="13"/>
        <v>0</v>
      </c>
      <c r="W61" s="21">
        <f t="shared" si="13"/>
        <v>0</v>
      </c>
      <c r="X61" s="21">
        <f t="shared" si="13"/>
        <v>0</v>
      </c>
      <c r="Y61" s="21">
        <f t="shared" si="13"/>
        <v>-100000</v>
      </c>
      <c r="Z61" s="21">
        <f t="shared" si="13"/>
        <v>0</v>
      </c>
    </row>
    <row r="62" spans="1:26">
      <c r="B62" t="s">
        <v>6058</v>
      </c>
      <c r="C62" s="21"/>
      <c r="D62" s="21">
        <f>D26-D28-D31-D32-D27</f>
        <v>0</v>
      </c>
      <c r="E62" s="21">
        <f t="shared" ref="E62:S62" si="14">E26-E28-E31-E32-E27</f>
        <v>0</v>
      </c>
      <c r="F62" s="21">
        <f t="shared" si="14"/>
        <v>0</v>
      </c>
      <c r="G62" s="21">
        <f t="shared" si="14"/>
        <v>0</v>
      </c>
      <c r="H62" s="21">
        <f t="shared" si="14"/>
        <v>-1000000</v>
      </c>
      <c r="I62" s="21">
        <f t="shared" si="14"/>
        <v>-1000000</v>
      </c>
      <c r="J62" s="21">
        <f t="shared" si="14"/>
        <v>0</v>
      </c>
      <c r="K62" s="21">
        <f t="shared" si="14"/>
        <v>-1000000</v>
      </c>
      <c r="L62" s="21">
        <f t="shared" si="14"/>
        <v>0</v>
      </c>
      <c r="M62" s="21">
        <f t="shared" si="14"/>
        <v>0</v>
      </c>
      <c r="N62" s="21">
        <f t="shared" si="14"/>
        <v>0</v>
      </c>
      <c r="O62" s="21">
        <f t="shared" si="14"/>
        <v>100000</v>
      </c>
      <c r="P62" s="21">
        <f t="shared" si="14"/>
        <v>-100000</v>
      </c>
      <c r="Q62" s="21">
        <f t="shared" si="14"/>
        <v>100000</v>
      </c>
      <c r="R62" s="21">
        <f t="shared" si="14"/>
        <v>0</v>
      </c>
      <c r="S62" s="21">
        <f t="shared" si="14"/>
        <v>0</v>
      </c>
      <c r="T62" s="21">
        <f t="shared" ref="T62:Z62" si="15">T26-T28-T31-T32-T27</f>
        <v>100000</v>
      </c>
      <c r="U62" s="21">
        <f t="shared" si="15"/>
        <v>0</v>
      </c>
      <c r="V62" s="21">
        <f t="shared" si="15"/>
        <v>100000</v>
      </c>
      <c r="W62" s="21">
        <f t="shared" si="15"/>
        <v>-100000</v>
      </c>
      <c r="X62" s="21">
        <f t="shared" si="15"/>
        <v>0</v>
      </c>
      <c r="Y62" s="21">
        <f t="shared" si="15"/>
        <v>0</v>
      </c>
      <c r="Z62" s="21">
        <f t="shared" si="15"/>
        <v>0</v>
      </c>
    </row>
    <row r="63" spans="1:26">
      <c r="B63" t="s">
        <v>291</v>
      </c>
      <c r="C63" s="21"/>
      <c r="D63" s="21">
        <f>D28-D29-D30</f>
        <v>1000000</v>
      </c>
      <c r="E63" s="21">
        <f t="shared" ref="E63:S63" si="16">E28-E29-E30</f>
        <v>0</v>
      </c>
      <c r="F63" s="21">
        <f t="shared" si="16"/>
        <v>0</v>
      </c>
      <c r="G63" s="21">
        <f t="shared" si="16"/>
        <v>0</v>
      </c>
      <c r="H63" s="21">
        <f t="shared" si="16"/>
        <v>1000000</v>
      </c>
      <c r="I63" s="21">
        <f t="shared" si="16"/>
        <v>0</v>
      </c>
      <c r="J63" s="21">
        <f t="shared" si="16"/>
        <v>0</v>
      </c>
      <c r="K63" s="21">
        <f>K28-K29-K30</f>
        <v>0</v>
      </c>
      <c r="L63" s="21">
        <f t="shared" si="16"/>
        <v>0</v>
      </c>
      <c r="M63" s="21">
        <f t="shared" si="16"/>
        <v>100000</v>
      </c>
      <c r="N63" s="21">
        <f t="shared" si="16"/>
        <v>-100000</v>
      </c>
      <c r="O63" s="21">
        <f t="shared" si="16"/>
        <v>0</v>
      </c>
      <c r="P63" s="21">
        <f t="shared" si="16"/>
        <v>0</v>
      </c>
      <c r="Q63" s="21">
        <f t="shared" si="16"/>
        <v>0</v>
      </c>
      <c r="R63" s="21">
        <f t="shared" si="16"/>
        <v>0</v>
      </c>
      <c r="S63" s="21">
        <f t="shared" si="16"/>
        <v>-100000</v>
      </c>
      <c r="T63" s="21">
        <f t="shared" ref="T63:Z63" si="17">T28-T29-T30</f>
        <v>0</v>
      </c>
      <c r="U63" s="21">
        <f t="shared" si="17"/>
        <v>-100000</v>
      </c>
      <c r="V63" s="21">
        <f t="shared" si="17"/>
        <v>-100000</v>
      </c>
      <c r="W63" s="21">
        <f t="shared" si="17"/>
        <v>0</v>
      </c>
      <c r="X63" s="21">
        <f t="shared" si="17"/>
        <v>0</v>
      </c>
      <c r="Y63" s="21">
        <f t="shared" si="17"/>
        <v>-100000</v>
      </c>
      <c r="Z63" s="21">
        <f t="shared" si="17"/>
        <v>100000</v>
      </c>
    </row>
    <row r="64" spans="1:26">
      <c r="B64" t="s">
        <v>457</v>
      </c>
      <c r="C64" s="21"/>
      <c r="D64" s="21">
        <f>D40-D41-D44-D50-D46-D47-D48-D45</f>
        <v>0</v>
      </c>
      <c r="E64" s="21">
        <f>E40-E41-E44-E50-E46-E47-E48-E45</f>
        <v>0</v>
      </c>
      <c r="F64" s="21">
        <f t="shared" ref="F64:Q64" si="18">F40-F41-F44-F50-F46-F47-F48-F45</f>
        <v>0</v>
      </c>
      <c r="G64" s="21">
        <f t="shared" si="18"/>
        <v>0</v>
      </c>
      <c r="H64" s="21">
        <f>H40-H41-H44-H50-H46-H47-H48-H45</f>
        <v>0</v>
      </c>
      <c r="I64" s="21">
        <f>I40-I41-I44-I50-I46-I47-I48-I45</f>
        <v>0</v>
      </c>
      <c r="J64" s="21">
        <f t="shared" si="18"/>
        <v>0</v>
      </c>
      <c r="K64" s="21">
        <f t="shared" si="18"/>
        <v>-1000000</v>
      </c>
      <c r="L64" s="21">
        <f t="shared" si="18"/>
        <v>0</v>
      </c>
      <c r="M64" s="21">
        <f t="shared" si="18"/>
        <v>0</v>
      </c>
      <c r="N64" s="21">
        <f>N40-N41-N44-N50-N46-N47-N48-N45</f>
        <v>0</v>
      </c>
      <c r="O64" s="21">
        <f t="shared" si="18"/>
        <v>100000</v>
      </c>
      <c r="P64" s="21">
        <f t="shared" si="18"/>
        <v>0</v>
      </c>
      <c r="Q64" s="21">
        <f t="shared" si="18"/>
        <v>-100000</v>
      </c>
      <c r="R64" s="21">
        <f>R40-R41-R44-R50-R46-R47-R48-R45</f>
        <v>-100000</v>
      </c>
      <c r="S64" s="21">
        <f>S40-S41-S44-S45-S50-S46-S47-S48</f>
        <v>0</v>
      </c>
      <c r="T64" s="21">
        <f t="shared" ref="T64:Z64" si="19">T40-T41-T44-T45-T50-T46-T47-T48</f>
        <v>0</v>
      </c>
      <c r="U64" s="21">
        <f t="shared" si="19"/>
        <v>100000</v>
      </c>
      <c r="V64" s="21">
        <f t="shared" si="19"/>
        <v>0</v>
      </c>
      <c r="W64" s="21">
        <f>W40-W41-W44-W45-W50-W46-W47-W48</f>
        <v>0</v>
      </c>
      <c r="X64" s="21">
        <f t="shared" si="19"/>
        <v>0</v>
      </c>
      <c r="Y64" s="21">
        <f>Y40-Y41-Y44-Y45-Y50-Y46-Y47-Y48</f>
        <v>0</v>
      </c>
      <c r="Z64" s="21">
        <f t="shared" si="19"/>
        <v>0</v>
      </c>
    </row>
    <row r="65" spans="2:26">
      <c r="B65" t="s">
        <v>1363</v>
      </c>
      <c r="C65" s="21"/>
      <c r="D65" s="21">
        <f>D41-D42-D43</f>
        <v>0</v>
      </c>
      <c r="E65" s="21">
        <f t="shared" ref="E65:S65" si="20">E41-E42-E43</f>
        <v>0</v>
      </c>
      <c r="F65" s="21">
        <f t="shared" si="20"/>
        <v>-1000000</v>
      </c>
      <c r="G65" s="21">
        <f t="shared" si="20"/>
        <v>0</v>
      </c>
      <c r="H65" s="21">
        <f t="shared" si="20"/>
        <v>1000000</v>
      </c>
      <c r="I65" s="21">
        <f t="shared" si="20"/>
        <v>0</v>
      </c>
      <c r="J65" s="21">
        <f t="shared" si="20"/>
        <v>0</v>
      </c>
      <c r="K65" s="21">
        <f t="shared" si="20"/>
        <v>0</v>
      </c>
      <c r="L65" s="21">
        <f t="shared" si="20"/>
        <v>0</v>
      </c>
      <c r="M65" s="21">
        <f t="shared" si="20"/>
        <v>0</v>
      </c>
      <c r="N65" s="21">
        <f>N41-N42-N43</f>
        <v>-100000</v>
      </c>
      <c r="O65" s="21">
        <f t="shared" si="20"/>
        <v>-100000</v>
      </c>
      <c r="P65" s="21">
        <f t="shared" si="20"/>
        <v>-100000</v>
      </c>
      <c r="Q65" s="21">
        <f>Q41-Q42-Q43</f>
        <v>100000</v>
      </c>
      <c r="R65" s="21">
        <f>R41-R42-R43</f>
        <v>0</v>
      </c>
      <c r="S65" s="21">
        <f t="shared" si="20"/>
        <v>-100000</v>
      </c>
      <c r="T65" s="21">
        <f t="shared" ref="T65:Z65" si="21">T41-T42-T43</f>
        <v>-100000</v>
      </c>
      <c r="U65" s="21">
        <f>U41-U42-U43</f>
        <v>0</v>
      </c>
      <c r="V65" s="21">
        <f t="shared" si="21"/>
        <v>100000</v>
      </c>
      <c r="W65" s="21">
        <f t="shared" si="21"/>
        <v>0</v>
      </c>
      <c r="X65" s="21">
        <f t="shared" si="21"/>
        <v>100000</v>
      </c>
      <c r="Y65" s="21">
        <f t="shared" si="21"/>
        <v>0</v>
      </c>
      <c r="Z65" s="21">
        <f t="shared" si="21"/>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4">
        <f t="shared" ref="D68:W68" si="22">(D6/D67)*100</f>
        <v>24.953271028037381</v>
      </c>
      <c r="E68" s="364">
        <f t="shared" si="22"/>
        <v>30.490956072351423</v>
      </c>
      <c r="F68" s="364">
        <f t="shared" si="22"/>
        <v>25.100240577385723</v>
      </c>
      <c r="G68" s="364">
        <f t="shared" si="22"/>
        <v>24.90392006149116</v>
      </c>
      <c r="H68" s="364">
        <f t="shared" si="22"/>
        <v>24.201561391057488</v>
      </c>
      <c r="I68" s="364">
        <f t="shared" si="22"/>
        <v>23.806321452589106</v>
      </c>
      <c r="J68" s="364">
        <f t="shared" si="22"/>
        <v>24.924196482716798</v>
      </c>
      <c r="K68" s="364">
        <f t="shared" si="22"/>
        <v>26.096372495939363</v>
      </c>
      <c r="L68" s="364">
        <f t="shared" si="22"/>
        <v>28.551650692225778</v>
      </c>
      <c r="M68" s="364">
        <f t="shared" si="22"/>
        <v>29.621295279912186</v>
      </c>
      <c r="N68" s="364">
        <f t="shared" si="22"/>
        <v>28.983143012506794</v>
      </c>
      <c r="O68" s="364">
        <f t="shared" si="22"/>
        <v>27.081051478641839</v>
      </c>
      <c r="P68" s="364">
        <f t="shared" si="22"/>
        <v>25.774572649572647</v>
      </c>
      <c r="Q68" s="364">
        <f t="shared" si="22"/>
        <v>27.30548302872063</v>
      </c>
      <c r="R68" s="364">
        <f t="shared" si="22"/>
        <v>29.312277126846663</v>
      </c>
      <c r="S68" s="364">
        <f t="shared" si="22"/>
        <v>27.920549288867093</v>
      </c>
      <c r="T68" s="364">
        <f t="shared" si="22"/>
        <v>29.812409812409811</v>
      </c>
      <c r="U68" s="364">
        <f t="shared" si="22"/>
        <v>28.387245841035121</v>
      </c>
      <c r="V68" s="364">
        <f t="shared" si="22"/>
        <v>29.04212860310421</v>
      </c>
      <c r="W68" s="364">
        <f t="shared" si="22"/>
        <v>29.345516362090944</v>
      </c>
      <c r="X68" s="364">
        <f t="shared" ref="X68:Z68" si="23">(X6/X67)*100</f>
        <v>29.372453137734311</v>
      </c>
      <c r="Y68" s="364">
        <f t="shared" si="23"/>
        <v>29.372564302416208</v>
      </c>
      <c r="Z68" s="364">
        <f t="shared" si="23"/>
        <v>29.36543486375513</v>
      </c>
    </row>
    <row r="69" spans="2:26">
      <c r="D69" s="364">
        <f t="shared" ref="D69:W69" si="24">(D25/D67)*100</f>
        <v>25.794392523364486</v>
      </c>
      <c r="E69" s="364">
        <f t="shared" si="24"/>
        <v>26.356589147286826</v>
      </c>
      <c r="F69" s="364">
        <f t="shared" si="24"/>
        <v>27.425821972734564</v>
      </c>
      <c r="G69" s="364">
        <f t="shared" si="24"/>
        <v>27.517294388931589</v>
      </c>
      <c r="H69" s="364">
        <f t="shared" si="24"/>
        <v>26.259758694109298</v>
      </c>
      <c r="I69" s="364">
        <f t="shared" si="24"/>
        <v>28.177538668459984</v>
      </c>
      <c r="J69" s="364">
        <f t="shared" si="24"/>
        <v>27.71376591873863</v>
      </c>
      <c r="K69" s="364">
        <f t="shared" si="24"/>
        <v>27.612344342176502</v>
      </c>
      <c r="L69" s="364">
        <f t="shared" si="24"/>
        <v>29.914802981895633</v>
      </c>
      <c r="M69" s="364">
        <f t="shared" si="24"/>
        <v>32.83754116355653</v>
      </c>
      <c r="N69" s="364">
        <f t="shared" si="24"/>
        <v>32.892876563349645</v>
      </c>
      <c r="O69" s="364">
        <f t="shared" si="24"/>
        <v>31.089813800657172</v>
      </c>
      <c r="P69" s="364">
        <f t="shared" si="24"/>
        <v>29.01175213675214</v>
      </c>
      <c r="Q69" s="364">
        <f t="shared" si="24"/>
        <v>33.582245430809401</v>
      </c>
      <c r="R69" s="364">
        <f t="shared" si="24"/>
        <v>32.302598064187464</v>
      </c>
      <c r="S69" s="364">
        <f t="shared" si="24"/>
        <v>30.019617459538988</v>
      </c>
      <c r="T69" s="364">
        <f t="shared" si="24"/>
        <v>28.677248677248677</v>
      </c>
      <c r="U69" s="364">
        <f t="shared" si="24"/>
        <v>30.753234750462106</v>
      </c>
      <c r="V69" s="364">
        <f t="shared" si="24"/>
        <v>31.09090909090909</v>
      </c>
      <c r="W69" s="364">
        <f t="shared" si="24"/>
        <v>31.291967700807483</v>
      </c>
      <c r="X69" s="364">
        <f t="shared" ref="X69:Z69" si="25">(X25/X67)*100</f>
        <v>31.206193969030156</v>
      </c>
      <c r="Y69" s="364">
        <f t="shared" si="25"/>
        <v>31.145752143413873</v>
      </c>
      <c r="Z69" s="364">
        <f t="shared" si="25"/>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T18" activePane="bottomRight" state="frozen"/>
      <selection pane="topRight" activeCell="C1" sqref="C1"/>
      <selection pane="bottomLeft" activeCell="A6" sqref="A6"/>
      <selection pane="bottomRight" activeCell="U30" sqref="U30"/>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6059</v>
      </c>
      <c r="B1" s="82" t="s">
        <v>6060</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0">
      <c r="B2" s="30" t="s">
        <v>6061</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5"/>
      <c r="AB3" s="365"/>
      <c r="AC3" s="365"/>
      <c r="AD3" s="365"/>
      <c r="AE3" s="365"/>
      <c r="AF3" s="365"/>
      <c r="AG3" s="365"/>
      <c r="AH3" s="365"/>
      <c r="AI3" s="365"/>
      <c r="AJ3" s="365"/>
      <c r="AK3" s="365"/>
      <c r="AL3" s="365"/>
      <c r="AM3" s="365"/>
      <c r="AN3" s="365"/>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5"/>
      <c r="AB6" s="365"/>
      <c r="AC6" s="365"/>
      <c r="AD6" s="365"/>
      <c r="AE6" s="365"/>
      <c r="AF6" s="365"/>
      <c r="AG6" s="365"/>
      <c r="AH6" s="365"/>
      <c r="AI6" s="365"/>
      <c r="AJ6" s="365"/>
      <c r="AK6" s="365"/>
      <c r="AL6" s="365"/>
      <c r="AM6" s="365"/>
      <c r="AN6" s="365"/>
    </row>
    <row r="7" spans="1:40">
      <c r="A7" t="s">
        <v>370</v>
      </c>
      <c r="B7" s="117" t="s">
        <v>533</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5"/>
      <c r="AB7" s="365"/>
      <c r="AC7" s="365"/>
      <c r="AD7" s="365"/>
      <c r="AE7" s="365"/>
      <c r="AF7" s="365"/>
      <c r="AG7" s="365"/>
      <c r="AH7" s="365"/>
      <c r="AI7" s="365"/>
      <c r="AJ7" s="365"/>
      <c r="AK7" s="365"/>
      <c r="AL7" s="365"/>
      <c r="AM7" s="365"/>
      <c r="AN7" s="365"/>
    </row>
    <row r="8" spans="1:40">
      <c r="B8" s="90" t="s">
        <v>6062</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5"/>
      <c r="AB8" s="365"/>
      <c r="AC8" s="365"/>
      <c r="AD8" s="365"/>
      <c r="AE8" s="365"/>
      <c r="AF8" s="365"/>
      <c r="AG8" s="365"/>
      <c r="AH8" s="365"/>
      <c r="AI8" s="365"/>
      <c r="AJ8" s="365"/>
      <c r="AK8" s="365"/>
      <c r="AL8" s="365"/>
      <c r="AM8" s="365"/>
      <c r="AN8" s="365"/>
    </row>
    <row r="9" spans="1:40">
      <c r="A9" s="35" t="s">
        <v>39</v>
      </c>
      <c r="B9" s="90" t="s">
        <v>3232</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5"/>
      <c r="AB9" s="365"/>
      <c r="AC9" s="365"/>
      <c r="AD9" s="365"/>
      <c r="AE9" s="365"/>
      <c r="AF9" s="365"/>
      <c r="AG9" s="365"/>
      <c r="AH9" s="365"/>
      <c r="AI9" s="365"/>
      <c r="AJ9" s="365"/>
      <c r="AK9" s="365"/>
      <c r="AL9" s="365"/>
      <c r="AM9" s="365"/>
      <c r="AN9" s="365"/>
    </row>
    <row r="10" spans="1:40">
      <c r="A10" s="43" t="s">
        <v>42</v>
      </c>
      <c r="B10" s="99" t="s">
        <v>6063</v>
      </c>
      <c r="C10" t="s">
        <v>44</v>
      </c>
      <c r="N10" s="188">
        <v>1136000000</v>
      </c>
      <c r="O10" s="188">
        <v>1061000000</v>
      </c>
      <c r="P10" s="188">
        <v>1433000000</v>
      </c>
      <c r="Q10" s="98"/>
      <c r="R10" s="98"/>
      <c r="S10" s="98"/>
      <c r="T10" s="98"/>
      <c r="U10" s="98"/>
      <c r="V10" s="98"/>
      <c r="W10" s="98"/>
      <c r="X10" s="98"/>
      <c r="Y10" s="98"/>
      <c r="Z10" s="98"/>
      <c r="AA10" s="365"/>
      <c r="AB10" s="365"/>
      <c r="AC10" s="365"/>
      <c r="AD10" s="365"/>
      <c r="AE10" s="365"/>
      <c r="AF10" s="365"/>
      <c r="AG10" s="365"/>
      <c r="AH10" s="365"/>
      <c r="AI10" s="365"/>
      <c r="AJ10" s="365"/>
      <c r="AK10" s="365"/>
      <c r="AL10" s="365"/>
      <c r="AM10" s="365"/>
      <c r="AN10" s="365"/>
    </row>
    <row r="11" spans="1:40">
      <c r="A11" s="103" t="s">
        <v>788</v>
      </c>
      <c r="B11" s="103" t="s">
        <v>788</v>
      </c>
      <c r="C11" t="s">
        <v>44</v>
      </c>
      <c r="N11" s="188">
        <v>14000000</v>
      </c>
      <c r="O11" s="188">
        <v>36000000</v>
      </c>
      <c r="P11" s="188">
        <v>47000000</v>
      </c>
      <c r="Q11" s="98"/>
      <c r="R11" s="98"/>
      <c r="S11" s="98"/>
      <c r="T11" s="98"/>
      <c r="U11" s="98"/>
      <c r="V11" s="98"/>
      <c r="W11" s="98"/>
      <c r="X11" s="98"/>
      <c r="Y11" s="98"/>
      <c r="Z11" s="98"/>
      <c r="AA11" s="365"/>
      <c r="AB11" s="365"/>
      <c r="AC11" s="365"/>
      <c r="AD11" s="365"/>
      <c r="AE11" s="365"/>
      <c r="AF11" s="365"/>
      <c r="AG11" s="365"/>
      <c r="AH11" s="365"/>
      <c r="AI11" s="365"/>
      <c r="AJ11" s="365"/>
      <c r="AK11" s="365"/>
      <c r="AL11" s="365"/>
      <c r="AM11" s="365"/>
      <c r="AN11" s="365"/>
    </row>
    <row r="12" spans="1:40">
      <c r="A12" s="43" t="s">
        <v>47</v>
      </c>
      <c r="B12" s="99" t="s">
        <v>1593</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5"/>
      <c r="AB12" s="365"/>
      <c r="AC12" s="365"/>
      <c r="AD12" s="365"/>
      <c r="AE12" s="365"/>
      <c r="AF12" s="365"/>
      <c r="AG12" s="365"/>
      <c r="AH12" s="365"/>
      <c r="AI12" s="365"/>
      <c r="AJ12" s="365"/>
      <c r="AK12" s="365"/>
      <c r="AL12" s="365"/>
      <c r="AM12" s="365"/>
      <c r="AN12" s="365"/>
    </row>
    <row r="13" spans="1:40">
      <c r="A13" s="43" t="s">
        <v>45</v>
      </c>
      <c r="B13" s="99" t="s">
        <v>6064</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5"/>
      <c r="AB13" s="365"/>
      <c r="AC13" s="365"/>
      <c r="AD13" s="365"/>
      <c r="AE13" s="365"/>
      <c r="AF13" s="365"/>
      <c r="AG13" s="365"/>
      <c r="AH13" s="365"/>
      <c r="AI13" s="365"/>
      <c r="AJ13" s="365"/>
      <c r="AK13" s="365"/>
      <c r="AL13" s="365"/>
      <c r="AM13" s="365"/>
      <c r="AN13" s="365"/>
    </row>
    <row r="14" spans="1:40">
      <c r="A14" s="43" t="s">
        <v>49</v>
      </c>
      <c r="B14" s="103" t="s">
        <v>50</v>
      </c>
      <c r="C14" t="s">
        <v>44</v>
      </c>
      <c r="N14" s="188">
        <v>10000000</v>
      </c>
      <c r="O14" s="188">
        <v>10000000</v>
      </c>
      <c r="P14" s="188">
        <v>9000000</v>
      </c>
      <c r="Q14" s="98"/>
      <c r="R14" s="98"/>
      <c r="S14" s="98"/>
      <c r="T14" s="98"/>
      <c r="U14" s="98"/>
      <c r="V14" s="98"/>
      <c r="W14" s="98"/>
      <c r="X14" s="98"/>
      <c r="Y14" s="98"/>
      <c r="Z14" s="98"/>
      <c r="AA14" s="365"/>
      <c r="AB14" s="365"/>
      <c r="AC14" s="365"/>
      <c r="AD14" s="365"/>
      <c r="AE14" s="365"/>
      <c r="AF14" s="365"/>
      <c r="AG14" s="365"/>
      <c r="AH14" s="365"/>
      <c r="AI14" s="365"/>
      <c r="AJ14" s="365"/>
      <c r="AK14" s="365"/>
      <c r="AL14" s="365"/>
      <c r="AM14" s="365"/>
      <c r="AN14" s="365"/>
    </row>
    <row r="15" spans="1:40">
      <c r="A15" s="99" t="s">
        <v>6065</v>
      </c>
      <c r="B15" s="99" t="s">
        <v>6066</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5"/>
      <c r="AB15" s="365"/>
      <c r="AC15" s="365"/>
      <c r="AD15" s="365"/>
      <c r="AE15" s="365"/>
      <c r="AF15" s="365"/>
      <c r="AG15" s="365"/>
      <c r="AH15" s="365"/>
      <c r="AI15" s="365"/>
      <c r="AJ15" s="365"/>
      <c r="AK15" s="365"/>
      <c r="AL15" s="365"/>
      <c r="AM15" s="365"/>
      <c r="AN15" s="365"/>
    </row>
    <row r="16" spans="1:40">
      <c r="A16" s="20" t="s">
        <v>2436</v>
      </c>
      <c r="B16" s="90" t="s">
        <v>6067</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5"/>
      <c r="AB16" s="365"/>
      <c r="AC16" s="365"/>
      <c r="AD16" s="365"/>
      <c r="AE16" s="365"/>
      <c r="AF16" s="365"/>
      <c r="AG16" s="365"/>
      <c r="AH16" s="365"/>
      <c r="AI16" s="365"/>
      <c r="AJ16" s="365"/>
      <c r="AK16" s="365"/>
      <c r="AL16" s="365"/>
      <c r="AM16" s="365"/>
      <c r="AN16" s="365"/>
    </row>
    <row r="17" spans="1:40">
      <c r="A17" s="99" t="s">
        <v>6068</v>
      </c>
      <c r="B17" s="99" t="s">
        <v>6069</v>
      </c>
      <c r="C17" s="90" t="s">
        <v>1630</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5"/>
      <c r="AB17" s="365"/>
      <c r="AC17" s="365"/>
      <c r="AD17" s="365"/>
      <c r="AE17" s="365"/>
      <c r="AF17" s="365"/>
      <c r="AG17" s="365"/>
      <c r="AH17" s="365"/>
      <c r="AI17" s="365"/>
      <c r="AJ17" s="365"/>
      <c r="AK17" s="365"/>
      <c r="AL17" s="365"/>
      <c r="AM17" s="365"/>
      <c r="AN17" s="365"/>
    </row>
    <row r="18" spans="1:40">
      <c r="A18" s="99" t="s">
        <v>6070</v>
      </c>
      <c r="B18" s="99" t="s">
        <v>6070</v>
      </c>
      <c r="C18" s="90" t="s">
        <v>1630</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5"/>
      <c r="AB18" s="365"/>
      <c r="AC18" s="365"/>
      <c r="AD18" s="365"/>
      <c r="AE18" s="365"/>
      <c r="AF18" s="365"/>
      <c r="AG18" s="365"/>
      <c r="AH18" s="365"/>
      <c r="AI18" s="365"/>
      <c r="AJ18" s="365"/>
      <c r="AK18" s="365"/>
      <c r="AL18" s="365"/>
      <c r="AM18" s="365"/>
      <c r="AN18" s="365"/>
    </row>
    <row r="19" spans="1:40">
      <c r="A19" s="99" t="s">
        <v>6071</v>
      </c>
      <c r="B19" s="99" t="s">
        <v>6072</v>
      </c>
      <c r="C19" s="90" t="s">
        <v>1630</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5"/>
      <c r="AB19" s="365"/>
      <c r="AC19" s="365"/>
      <c r="AD19" s="365"/>
      <c r="AE19" s="365"/>
      <c r="AF19" s="365"/>
      <c r="AG19" s="365"/>
      <c r="AH19" s="365"/>
      <c r="AI19" s="365"/>
      <c r="AJ19" s="365"/>
      <c r="AK19" s="365"/>
      <c r="AL19" s="365"/>
      <c r="AM19" s="365"/>
      <c r="AN19" s="365"/>
    </row>
    <row r="20" spans="1:40">
      <c r="A20" s="99" t="s">
        <v>6073</v>
      </c>
      <c r="B20" s="99" t="s">
        <v>6074</v>
      </c>
      <c r="C20" s="90" t="s">
        <v>1630</v>
      </c>
      <c r="N20" s="188">
        <v>5025000000</v>
      </c>
      <c r="O20" s="188">
        <v>7668000000</v>
      </c>
      <c r="P20" s="188">
        <v>3320000000</v>
      </c>
      <c r="Q20" s="98"/>
      <c r="R20" s="98"/>
      <c r="S20" s="98"/>
      <c r="T20" s="98"/>
      <c r="U20" s="98"/>
      <c r="V20" s="98"/>
      <c r="W20" s="98"/>
      <c r="X20" s="98"/>
      <c r="Y20" s="98"/>
      <c r="Z20" s="98"/>
      <c r="AA20" s="365"/>
      <c r="AB20" s="365"/>
      <c r="AC20" s="365"/>
      <c r="AD20" s="365"/>
      <c r="AE20" s="365"/>
      <c r="AF20" s="365"/>
      <c r="AG20" s="365"/>
      <c r="AH20" s="365"/>
      <c r="AI20" s="365"/>
      <c r="AJ20" s="365"/>
      <c r="AK20" s="365"/>
      <c r="AL20" s="365"/>
      <c r="AM20" s="365"/>
      <c r="AN20" s="365"/>
    </row>
    <row r="21" spans="1:40">
      <c r="A21" s="99" t="s">
        <v>6075</v>
      </c>
      <c r="B21" s="99" t="s">
        <v>6076</v>
      </c>
      <c r="C21" s="90" t="s">
        <v>1630</v>
      </c>
      <c r="N21" s="188">
        <v>12311000000</v>
      </c>
      <c r="O21" s="188">
        <v>11018000000</v>
      </c>
      <c r="P21" s="188">
        <v>18000000</v>
      </c>
      <c r="Q21" s="98"/>
      <c r="R21" s="98"/>
      <c r="S21" s="98"/>
      <c r="T21" s="98"/>
      <c r="U21" s="98"/>
      <c r="V21" s="98"/>
      <c r="W21" s="98"/>
      <c r="X21" s="98"/>
      <c r="Y21" s="98"/>
      <c r="Z21" s="98"/>
      <c r="AA21" s="365"/>
      <c r="AB21" s="365"/>
      <c r="AC21" s="365"/>
      <c r="AD21" s="365"/>
      <c r="AE21" s="365"/>
      <c r="AF21" s="365"/>
      <c r="AG21" s="365"/>
      <c r="AH21" s="365"/>
      <c r="AI21" s="365"/>
      <c r="AJ21" s="365"/>
      <c r="AK21" s="365"/>
      <c r="AL21" s="365"/>
      <c r="AM21" s="365"/>
      <c r="AN21" s="365"/>
    </row>
    <row r="22" spans="1:40">
      <c r="A22" s="1" t="s">
        <v>51</v>
      </c>
      <c r="B22" s="90" t="s">
        <v>6077</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5"/>
      <c r="AB22" s="365"/>
      <c r="AC22" s="365"/>
      <c r="AD22" s="365"/>
      <c r="AE22" s="365"/>
      <c r="AF22" s="365"/>
      <c r="AG22" s="365"/>
      <c r="AH22" s="365"/>
      <c r="AI22" s="365"/>
      <c r="AJ22" s="365"/>
      <c r="AK22" s="365"/>
      <c r="AL22" s="365"/>
      <c r="AM22" s="365"/>
      <c r="AN22" s="365"/>
    </row>
    <row r="23" spans="1:40">
      <c r="A23" s="99" t="s">
        <v>6078</v>
      </c>
      <c r="B23" s="99" t="s">
        <v>6079</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5"/>
      <c r="AB23" s="365"/>
      <c r="AC23" s="365"/>
      <c r="AD23" s="365"/>
      <c r="AE23" s="365"/>
      <c r="AF23" s="365"/>
      <c r="AG23" s="365"/>
      <c r="AH23" s="365"/>
      <c r="AI23" s="365"/>
      <c r="AJ23" s="365"/>
      <c r="AK23" s="365"/>
      <c r="AL23" s="365"/>
      <c r="AM23" s="365"/>
      <c r="AN23" s="365"/>
    </row>
    <row r="24" spans="1:40">
      <c r="A24" s="99" t="s">
        <v>2231</v>
      </c>
      <c r="B24" s="99" t="s">
        <v>6080</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5"/>
      <c r="AB24" s="365"/>
      <c r="AC24" s="365"/>
      <c r="AD24" s="365"/>
      <c r="AE24" s="365"/>
      <c r="AF24" s="365"/>
      <c r="AG24" s="365"/>
      <c r="AH24" s="365"/>
      <c r="AI24" s="365"/>
      <c r="AJ24" s="365"/>
      <c r="AK24" s="365"/>
      <c r="AL24" s="365"/>
      <c r="AM24" s="365"/>
      <c r="AN24" s="365"/>
    </row>
    <row r="25" spans="1:40">
      <c r="A25" s="99" t="s">
        <v>6081</v>
      </c>
      <c r="B25" s="99" t="s">
        <v>6082</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5"/>
      <c r="AB25" s="365"/>
      <c r="AC25" s="365"/>
      <c r="AD25" s="365"/>
      <c r="AE25" s="365"/>
      <c r="AF25" s="365"/>
      <c r="AG25" s="365"/>
      <c r="AH25" s="365"/>
      <c r="AI25" s="365"/>
      <c r="AJ25" s="365"/>
      <c r="AK25" s="365"/>
      <c r="AL25" s="365"/>
      <c r="AM25" s="365"/>
      <c r="AN25" s="365"/>
    </row>
    <row r="26" spans="1:40">
      <c r="A26" s="99" t="s">
        <v>6083</v>
      </c>
      <c r="B26" s="99" t="s">
        <v>6084</v>
      </c>
      <c r="C26" s="58" t="s">
        <v>192</v>
      </c>
      <c r="N26" s="188">
        <v>0</v>
      </c>
      <c r="O26" s="188">
        <v>0</v>
      </c>
      <c r="P26" s="188">
        <v>0</v>
      </c>
      <c r="Q26" s="98"/>
      <c r="R26" s="98"/>
      <c r="S26" s="98"/>
      <c r="T26" s="98"/>
      <c r="U26" s="98"/>
      <c r="V26" s="98"/>
      <c r="W26" s="98"/>
      <c r="X26" s="98"/>
      <c r="Y26" s="98"/>
      <c r="Z26" s="98"/>
      <c r="AA26" s="365"/>
      <c r="AB26" s="365"/>
      <c r="AC26" s="365"/>
      <c r="AD26" s="365"/>
      <c r="AE26" s="365"/>
      <c r="AF26" s="365"/>
      <c r="AG26" s="365"/>
      <c r="AH26" s="365"/>
      <c r="AI26" s="365"/>
      <c r="AJ26" s="365"/>
      <c r="AK26" s="365"/>
      <c r="AL26" s="365"/>
      <c r="AM26" s="365"/>
      <c r="AN26" s="365"/>
    </row>
    <row r="27" spans="1:40">
      <c r="A27" s="86" t="s">
        <v>649</v>
      </c>
      <c r="B27" s="99" t="s">
        <v>6085</v>
      </c>
      <c r="C27" s="58" t="s">
        <v>192</v>
      </c>
      <c r="N27" s="188">
        <v>16000000</v>
      </c>
      <c r="O27" s="188">
        <v>41000000</v>
      </c>
      <c r="P27" s="188">
        <v>2950000000</v>
      </c>
      <c r="Q27" s="98"/>
      <c r="R27" s="98"/>
      <c r="S27" s="98"/>
      <c r="T27" s="98"/>
      <c r="U27" s="98"/>
      <c r="V27" s="98"/>
      <c r="W27" s="98"/>
      <c r="X27" s="98"/>
      <c r="Y27" s="98"/>
      <c r="Z27" s="98"/>
      <c r="AA27" s="365"/>
      <c r="AB27" s="365"/>
      <c r="AC27" s="365"/>
      <c r="AD27" s="365"/>
      <c r="AE27" s="365"/>
      <c r="AF27" s="365"/>
      <c r="AG27" s="365"/>
      <c r="AH27" s="365"/>
      <c r="AI27" s="365"/>
      <c r="AJ27" s="365"/>
      <c r="AK27" s="365"/>
      <c r="AL27" s="365"/>
      <c r="AM27" s="365"/>
      <c r="AN27" s="365"/>
    </row>
    <row r="28" spans="1:40">
      <c r="A28" t="s">
        <v>76</v>
      </c>
      <c r="B28" s="90" t="s">
        <v>6086</v>
      </c>
      <c r="C28" s="90"/>
      <c r="N28" s="188" t="s">
        <v>1200</v>
      </c>
      <c r="O28" s="188">
        <v>0</v>
      </c>
      <c r="P28" s="188">
        <v>0</v>
      </c>
      <c r="Q28" s="98"/>
      <c r="R28" s="98"/>
      <c r="S28" s="98"/>
      <c r="T28" s="98"/>
      <c r="U28" s="98"/>
      <c r="V28" s="98"/>
      <c r="W28" s="98"/>
      <c r="X28" s="98"/>
      <c r="Y28" s="98"/>
      <c r="Z28" s="98"/>
      <c r="AA28" s="365"/>
      <c r="AB28" s="365"/>
      <c r="AC28" s="365"/>
      <c r="AD28" s="365"/>
      <c r="AE28" s="365"/>
      <c r="AF28" s="365"/>
      <c r="AG28" s="365"/>
      <c r="AH28" s="365"/>
      <c r="AI28" s="365"/>
      <c r="AJ28" s="365"/>
      <c r="AK28" s="365"/>
      <c r="AL28" s="365"/>
      <c r="AM28" s="365"/>
      <c r="AN28" s="365"/>
    </row>
    <row r="29" spans="1:40" s="9" customFormat="1">
      <c r="A29" s="10" t="s">
        <v>53</v>
      </c>
      <c r="B29" s="170" t="s">
        <v>53</v>
      </c>
      <c r="C29" s="137" t="s">
        <v>38</v>
      </c>
      <c r="D29" s="18"/>
      <c r="N29" s="186">
        <v>976000000</v>
      </c>
      <c r="O29" s="186">
        <v>618000000</v>
      </c>
      <c r="P29" s="186">
        <v>974000000</v>
      </c>
      <c r="Q29" s="187">
        <v>2000000000</v>
      </c>
      <c r="R29" s="187">
        <v>2600000000</v>
      </c>
      <c r="S29" s="703">
        <v>1700000000</v>
      </c>
      <c r="T29" s="703">
        <v>1600000000</v>
      </c>
      <c r="U29" s="703">
        <v>2600000000</v>
      </c>
      <c r="V29" s="703">
        <v>2600000000</v>
      </c>
      <c r="W29" s="703">
        <v>2700000000</v>
      </c>
      <c r="X29" s="703">
        <v>3100000000</v>
      </c>
      <c r="Y29" s="703">
        <v>3500000000</v>
      </c>
      <c r="Z29" s="703">
        <v>3900000000</v>
      </c>
      <c r="AA29" s="365"/>
      <c r="AB29" s="365"/>
      <c r="AC29" s="365"/>
      <c r="AD29" s="365"/>
      <c r="AE29" s="365"/>
      <c r="AF29" s="365"/>
      <c r="AG29" s="365"/>
      <c r="AH29" s="365"/>
      <c r="AI29" s="365"/>
      <c r="AJ29" s="365"/>
      <c r="AK29" s="365"/>
      <c r="AL29" s="365"/>
      <c r="AM29" s="365"/>
      <c r="AN29" s="365"/>
    </row>
    <row r="30" spans="1:40" s="9" customFormat="1">
      <c r="A30" s="9" t="s">
        <v>71</v>
      </c>
      <c r="B30" s="37" t="s">
        <v>1301</v>
      </c>
      <c r="C30" s="18" t="s">
        <v>35</v>
      </c>
      <c r="D30" s="18"/>
      <c r="N30" s="186">
        <v>28815000000</v>
      </c>
      <c r="O30" s="186">
        <v>31979000000</v>
      </c>
      <c r="P30" s="186">
        <v>30528000000</v>
      </c>
      <c r="Q30" s="187">
        <v>41500000000</v>
      </c>
      <c r="R30" s="187">
        <v>54800000000</v>
      </c>
      <c r="S30" s="703">
        <v>63400000000</v>
      </c>
      <c r="T30" s="703">
        <v>67900000000.000008</v>
      </c>
      <c r="U30" s="703">
        <f>U31+U49</f>
        <v>94800000000</v>
      </c>
      <c r="V30" s="703">
        <f>V31+V49</f>
        <v>123500000000</v>
      </c>
      <c r="W30" s="703">
        <f t="shared" ref="W30:Z30" si="0">W31+W49</f>
        <v>154200000000</v>
      </c>
      <c r="X30" s="703">
        <f t="shared" si="0"/>
        <v>198000000000</v>
      </c>
      <c r="Y30" s="703">
        <f t="shared" si="0"/>
        <v>257000000000</v>
      </c>
      <c r="Z30" s="703">
        <f t="shared" si="0"/>
        <v>347900000000</v>
      </c>
      <c r="AA30" s="365"/>
      <c r="AB30" s="365"/>
      <c r="AC30" s="365"/>
      <c r="AD30" s="365"/>
      <c r="AE30" s="365"/>
      <c r="AF30" s="365"/>
      <c r="AG30" s="365"/>
      <c r="AH30" s="365"/>
      <c r="AI30" s="365"/>
      <c r="AJ30" s="365"/>
      <c r="AK30" s="365"/>
      <c r="AL30" s="365"/>
      <c r="AM30" s="365"/>
      <c r="AN30" s="365"/>
    </row>
    <row r="31" spans="1:40">
      <c r="A31" s="1" t="s">
        <v>73</v>
      </c>
      <c r="B31" s="90" t="s">
        <v>6087</v>
      </c>
      <c r="C31" s="11" t="s">
        <v>75</v>
      </c>
      <c r="D31" s="90"/>
      <c r="N31" s="188">
        <v>24915000000</v>
      </c>
      <c r="O31" s="188">
        <v>28947000000</v>
      </c>
      <c r="P31" s="188">
        <v>27046000000</v>
      </c>
      <c r="Q31" s="98">
        <v>38100000000</v>
      </c>
      <c r="R31" s="98">
        <v>50100000000</v>
      </c>
      <c r="S31" s="704">
        <v>57400000000</v>
      </c>
      <c r="T31" s="704">
        <v>61300000000</v>
      </c>
      <c r="U31" s="704">
        <f>U32+U33+U34+U37+U41+U47</f>
        <v>85400000000</v>
      </c>
      <c r="V31" s="704">
        <f>V32+V33+V34+V37+V41+V47</f>
        <v>110000000000</v>
      </c>
      <c r="W31" s="704">
        <f t="shared" ref="W31:Z31" si="1">W32+W33+W34+W37+W41+W47</f>
        <v>136900000000</v>
      </c>
      <c r="X31" s="704">
        <f t="shared" si="1"/>
        <v>176100000000</v>
      </c>
      <c r="Y31" s="704">
        <f t="shared" si="1"/>
        <v>228800000000</v>
      </c>
      <c r="Z31" s="704">
        <f t="shared" si="1"/>
        <v>309100000000</v>
      </c>
      <c r="AA31" s="365"/>
      <c r="AB31" s="365"/>
      <c r="AC31" s="365"/>
      <c r="AD31" s="365"/>
      <c r="AE31" s="365"/>
      <c r="AF31" s="365"/>
      <c r="AG31" s="365"/>
      <c r="AH31" s="365"/>
      <c r="AI31" s="365"/>
      <c r="AJ31" s="365"/>
      <c r="AK31" s="365"/>
      <c r="AL31" s="365"/>
      <c r="AM31" s="365"/>
      <c r="AN31" s="365"/>
    </row>
    <row r="32" spans="1:40">
      <c r="A32" s="20" t="s">
        <v>79</v>
      </c>
      <c r="B32" s="103" t="s">
        <v>536</v>
      </c>
      <c r="C32" s="11" t="s">
        <v>81</v>
      </c>
      <c r="D32" s="90"/>
      <c r="N32" s="188">
        <v>7516000000</v>
      </c>
      <c r="O32" s="188">
        <v>9763000000</v>
      </c>
      <c r="P32" s="188">
        <v>10730000000</v>
      </c>
      <c r="Q32" s="98">
        <v>14900000000</v>
      </c>
      <c r="R32" s="98">
        <v>15800000000</v>
      </c>
      <c r="S32" s="704">
        <v>18500000000</v>
      </c>
      <c r="T32" s="704">
        <v>22900000000</v>
      </c>
      <c r="U32" s="704">
        <v>31200000000</v>
      </c>
      <c r="V32" s="704">
        <v>41000000000</v>
      </c>
      <c r="W32" s="704">
        <v>52500000000</v>
      </c>
      <c r="X32" s="704">
        <v>67500000000</v>
      </c>
      <c r="Y32" s="704">
        <v>88200000000</v>
      </c>
      <c r="Z32" s="704">
        <v>117200000000</v>
      </c>
      <c r="AA32" s="365"/>
      <c r="AB32" s="365"/>
      <c r="AC32" s="365"/>
      <c r="AD32" s="365"/>
      <c r="AE32" s="365"/>
      <c r="AF32" s="365"/>
      <c r="AG32" s="365"/>
      <c r="AH32" s="365"/>
      <c r="AI32" s="365"/>
      <c r="AJ32" s="365"/>
      <c r="AK32" s="365"/>
      <c r="AL32" s="365"/>
      <c r="AM32" s="365"/>
      <c r="AN32" s="365"/>
    </row>
    <row r="33" spans="1:40">
      <c r="A33" s="99" t="s">
        <v>83</v>
      </c>
      <c r="B33" s="99" t="s">
        <v>1593</v>
      </c>
      <c r="C33" s="11" t="s">
        <v>81</v>
      </c>
      <c r="D33" s="90"/>
      <c r="N33" s="188">
        <v>2417000000</v>
      </c>
      <c r="O33" s="188">
        <v>2603000000</v>
      </c>
      <c r="P33" s="188">
        <v>2032000000</v>
      </c>
      <c r="Q33" s="98">
        <v>2800000000</v>
      </c>
      <c r="R33" s="98">
        <v>5700000000</v>
      </c>
      <c r="S33" s="704">
        <v>6900000000</v>
      </c>
      <c r="T33" s="704">
        <v>8700000000</v>
      </c>
      <c r="U33" s="704">
        <v>12100000000</v>
      </c>
      <c r="V33" s="704">
        <v>17400000000</v>
      </c>
      <c r="W33" s="704">
        <v>22000000000</v>
      </c>
      <c r="X33" s="704">
        <v>31100000000</v>
      </c>
      <c r="Y33" s="704">
        <v>40300000000</v>
      </c>
      <c r="Z33" s="704">
        <v>53500000000</v>
      </c>
      <c r="AA33" s="365"/>
      <c r="AB33" s="365"/>
      <c r="AC33" s="365"/>
      <c r="AD33" s="365"/>
      <c r="AE33" s="365"/>
      <c r="AF33" s="365"/>
      <c r="AG33" s="365"/>
      <c r="AH33" s="365"/>
      <c r="AI33" s="365"/>
      <c r="AJ33" s="365"/>
      <c r="AK33" s="365"/>
      <c r="AL33" s="365"/>
      <c r="AM33" s="365"/>
      <c r="AN33" s="365"/>
    </row>
    <row r="34" spans="1:40">
      <c r="A34" s="20" t="s">
        <v>90</v>
      </c>
      <c r="B34" s="99" t="s">
        <v>1595</v>
      </c>
      <c r="C34" s="11" t="s">
        <v>81</v>
      </c>
      <c r="D34" s="90"/>
      <c r="N34" s="188">
        <v>1669000000</v>
      </c>
      <c r="O34" s="188">
        <v>2210000000</v>
      </c>
      <c r="P34" s="188">
        <v>3364000000</v>
      </c>
      <c r="Q34" s="98">
        <v>1500000000</v>
      </c>
      <c r="R34" s="98">
        <v>3500000000</v>
      </c>
      <c r="S34" s="704">
        <v>3600000000</v>
      </c>
      <c r="T34" s="704">
        <v>3000000000</v>
      </c>
      <c r="U34" s="704">
        <v>4500000000</v>
      </c>
      <c r="V34" s="704">
        <v>4800000000</v>
      </c>
      <c r="W34" s="704">
        <v>5700000000</v>
      </c>
      <c r="X34" s="704">
        <v>7000000000</v>
      </c>
      <c r="Y34" s="704">
        <v>7600000000</v>
      </c>
      <c r="Z34" s="704">
        <v>18200000000</v>
      </c>
      <c r="AA34" s="365"/>
      <c r="AB34" s="365"/>
      <c r="AC34" s="365"/>
      <c r="AD34" s="365"/>
      <c r="AE34" s="365"/>
      <c r="AF34" s="365"/>
      <c r="AG34" s="365"/>
      <c r="AH34" s="365"/>
      <c r="AI34" s="365"/>
      <c r="AJ34" s="365"/>
      <c r="AK34" s="365"/>
      <c r="AL34" s="365"/>
      <c r="AM34" s="365"/>
      <c r="AN34" s="365"/>
    </row>
    <row r="35" spans="1:40">
      <c r="A35" t="s">
        <v>280</v>
      </c>
      <c r="B35" s="100" t="s">
        <v>6088</v>
      </c>
      <c r="C35" s="90" t="s">
        <v>1525</v>
      </c>
      <c r="N35" s="188">
        <v>167000000</v>
      </c>
      <c r="O35" s="188">
        <v>179000000</v>
      </c>
      <c r="P35" s="188">
        <v>227000000</v>
      </c>
      <c r="Q35" s="98">
        <v>400000000</v>
      </c>
      <c r="R35" s="98">
        <v>700000000</v>
      </c>
      <c r="S35" s="704">
        <v>800000000</v>
      </c>
      <c r="T35" s="704">
        <v>200000000</v>
      </c>
      <c r="U35" s="704">
        <v>1500000000</v>
      </c>
      <c r="V35" s="704">
        <v>1500000000</v>
      </c>
      <c r="W35" s="704">
        <v>1800000000</v>
      </c>
      <c r="X35" s="704">
        <v>2100000000</v>
      </c>
      <c r="Y35" s="704">
        <v>2500000000</v>
      </c>
      <c r="Z35" s="704">
        <v>9800000000</v>
      </c>
      <c r="AA35" s="365"/>
      <c r="AB35" s="365"/>
      <c r="AC35" s="365"/>
      <c r="AD35" s="365"/>
      <c r="AE35" s="365"/>
      <c r="AF35" s="365"/>
      <c r="AG35" s="365"/>
      <c r="AH35" s="365"/>
      <c r="AI35" s="365"/>
      <c r="AJ35" s="365"/>
      <c r="AK35" s="365"/>
      <c r="AL35" s="365"/>
      <c r="AM35" s="365"/>
      <c r="AN35" s="365"/>
    </row>
    <row r="36" spans="1:40">
      <c r="A36" t="s">
        <v>209</v>
      </c>
      <c r="B36" s="100" t="s">
        <v>6089</v>
      </c>
      <c r="C36" s="90" t="s">
        <v>1525</v>
      </c>
      <c r="N36" s="188">
        <v>1502000000</v>
      </c>
      <c r="O36" s="188">
        <v>2031000000</v>
      </c>
      <c r="P36" s="188">
        <v>3137000000</v>
      </c>
      <c r="Q36" s="98">
        <v>1100000000</v>
      </c>
      <c r="R36" s="98">
        <v>2800000000</v>
      </c>
      <c r="S36" s="704">
        <v>2800000000</v>
      </c>
      <c r="T36" s="704">
        <v>2900000000</v>
      </c>
      <c r="U36" s="704">
        <v>3000000000</v>
      </c>
      <c r="V36" s="704">
        <v>3300000000</v>
      </c>
      <c r="W36" s="704">
        <v>4000000000</v>
      </c>
      <c r="X36" s="704">
        <v>4900000000</v>
      </c>
      <c r="Y36" s="704">
        <v>5100000000</v>
      </c>
      <c r="Z36" s="704">
        <v>8400000000</v>
      </c>
      <c r="AA36" s="365"/>
      <c r="AB36" s="365"/>
      <c r="AC36" s="365"/>
      <c r="AD36" s="365"/>
      <c r="AE36" s="365"/>
      <c r="AF36" s="365"/>
      <c r="AG36" s="365"/>
      <c r="AH36" s="365"/>
      <c r="AI36" s="365"/>
      <c r="AJ36" s="365"/>
      <c r="AK36" s="365"/>
      <c r="AL36" s="365"/>
      <c r="AM36" s="365"/>
      <c r="AN36" s="365"/>
    </row>
    <row r="37" spans="1:40">
      <c r="A37" s="103" t="s">
        <v>215</v>
      </c>
      <c r="B37" s="103" t="s">
        <v>215</v>
      </c>
      <c r="C37" s="11" t="s">
        <v>81</v>
      </c>
      <c r="D37" s="90"/>
      <c r="N37" s="188">
        <v>845000000</v>
      </c>
      <c r="O37" s="188">
        <v>2712000000</v>
      </c>
      <c r="P37" s="188">
        <v>4164000000</v>
      </c>
      <c r="Q37" s="98">
        <v>7900000000</v>
      </c>
      <c r="R37" s="98">
        <v>10500000000</v>
      </c>
      <c r="S37" s="704">
        <v>12400000000</v>
      </c>
      <c r="T37" s="704">
        <v>8199999999.999999</v>
      </c>
      <c r="U37" s="704">
        <v>9300000000</v>
      </c>
      <c r="V37" s="704">
        <f>V38+V39</f>
        <v>10600000000</v>
      </c>
      <c r="W37" s="704">
        <f t="shared" ref="W37:Z37" si="2">W38+W39</f>
        <v>11000000000</v>
      </c>
      <c r="X37" s="704">
        <f t="shared" si="2"/>
        <v>11400000000</v>
      </c>
      <c r="Y37" s="704">
        <f t="shared" si="2"/>
        <v>12000000000</v>
      </c>
      <c r="Z37" s="704">
        <f t="shared" si="2"/>
        <v>12800000000</v>
      </c>
      <c r="AA37" s="365"/>
      <c r="AB37" s="365"/>
      <c r="AC37" s="365"/>
      <c r="AD37" s="365"/>
      <c r="AE37" s="365"/>
      <c r="AF37" s="365"/>
      <c r="AG37" s="365"/>
      <c r="AH37" s="365"/>
      <c r="AI37" s="365"/>
      <c r="AJ37" s="365"/>
      <c r="AK37" s="365"/>
      <c r="AL37" s="365"/>
      <c r="AM37" s="365"/>
      <c r="AN37" s="365"/>
    </row>
    <row r="38" spans="1:40">
      <c r="A38" s="100" t="s">
        <v>1439</v>
      </c>
      <c r="B38" s="100" t="s">
        <v>6090</v>
      </c>
      <c r="C38" s="90" t="s">
        <v>218</v>
      </c>
      <c r="N38" s="188">
        <v>755000000</v>
      </c>
      <c r="O38" s="188">
        <v>2290000000</v>
      </c>
      <c r="P38" s="188">
        <v>4112000000</v>
      </c>
      <c r="Q38" s="98">
        <v>6600000000</v>
      </c>
      <c r="R38" s="98">
        <v>8000000000</v>
      </c>
      <c r="S38" s="704">
        <v>9700000000</v>
      </c>
      <c r="T38" s="704">
        <v>6500000000</v>
      </c>
      <c r="U38" s="704">
        <v>8500000000</v>
      </c>
      <c r="V38" s="704">
        <v>10600000000</v>
      </c>
      <c r="W38" s="704">
        <v>11000000000</v>
      </c>
      <c r="X38" s="704">
        <v>11400000000</v>
      </c>
      <c r="Y38" s="704">
        <v>12000000000</v>
      </c>
      <c r="Z38" s="704">
        <v>12800000000</v>
      </c>
      <c r="AA38" s="365"/>
      <c r="AB38" s="365"/>
      <c r="AC38" s="365"/>
      <c r="AD38" s="365"/>
      <c r="AE38" s="365"/>
      <c r="AF38" s="365"/>
      <c r="AG38" s="365"/>
      <c r="AH38" s="365"/>
      <c r="AI38" s="365"/>
      <c r="AJ38" s="365"/>
      <c r="AK38" s="365"/>
      <c r="AL38" s="365"/>
      <c r="AM38" s="365"/>
      <c r="AN38" s="365"/>
    </row>
    <row r="39" spans="1:40">
      <c r="A39" s="100" t="s">
        <v>6091</v>
      </c>
      <c r="B39" s="126" t="s">
        <v>6092</v>
      </c>
      <c r="C39" s="90" t="s">
        <v>218</v>
      </c>
      <c r="N39" s="188"/>
      <c r="O39" s="188"/>
      <c r="P39" s="188"/>
      <c r="Q39" s="98">
        <v>1300000000</v>
      </c>
      <c r="R39" s="98">
        <v>2600000000</v>
      </c>
      <c r="S39" s="704">
        <v>2700000000</v>
      </c>
      <c r="T39" s="704">
        <v>1700000000</v>
      </c>
      <c r="U39" s="704">
        <v>800000000</v>
      </c>
      <c r="V39" s="704">
        <v>0</v>
      </c>
      <c r="W39" s="704">
        <v>0</v>
      </c>
      <c r="X39" s="704">
        <v>0</v>
      </c>
      <c r="Y39" s="704">
        <v>0</v>
      </c>
      <c r="Z39" s="704">
        <v>0</v>
      </c>
      <c r="AA39" s="365"/>
      <c r="AB39" s="365"/>
      <c r="AC39" s="365"/>
      <c r="AD39" s="365"/>
      <c r="AE39" s="365"/>
      <c r="AF39" s="365"/>
      <c r="AG39" s="365"/>
      <c r="AH39" s="365"/>
      <c r="AI39" s="365"/>
      <c r="AJ39" s="365"/>
      <c r="AK39" s="365"/>
      <c r="AL39" s="365"/>
      <c r="AM39" s="365"/>
      <c r="AN39" s="365"/>
    </row>
    <row r="40" spans="1:40">
      <c r="A40" s="100" t="s">
        <v>4450</v>
      </c>
      <c r="B40" s="100" t="s">
        <v>6093</v>
      </c>
      <c r="C40" s="90" t="s">
        <v>218</v>
      </c>
      <c r="N40" s="188">
        <v>90000000</v>
      </c>
      <c r="O40" s="188">
        <v>422000000</v>
      </c>
      <c r="P40" s="188">
        <v>52000000</v>
      </c>
      <c r="Q40" s="98"/>
      <c r="R40" s="98"/>
      <c r="S40" s="704"/>
      <c r="T40" s="704"/>
      <c r="U40" s="704"/>
      <c r="V40" s="704"/>
      <c r="W40" s="704"/>
      <c r="X40" s="704"/>
      <c r="Y40" s="704"/>
      <c r="Z40" s="704"/>
      <c r="AB40" s="365"/>
      <c r="AC40" s="365"/>
      <c r="AD40" s="365"/>
      <c r="AE40" s="365"/>
      <c r="AF40" s="365"/>
      <c r="AG40" s="365"/>
      <c r="AH40" s="365"/>
      <c r="AI40" s="365"/>
      <c r="AJ40" s="365"/>
      <c r="AK40" s="365"/>
      <c r="AL40" s="365"/>
      <c r="AM40" s="365"/>
      <c r="AN40" s="365"/>
    </row>
    <row r="41" spans="1:40">
      <c r="A41" s="20" t="s">
        <v>895</v>
      </c>
      <c r="B41" s="103" t="s">
        <v>389</v>
      </c>
      <c r="C41" s="11" t="s">
        <v>81</v>
      </c>
      <c r="D41" s="90"/>
      <c r="N41" s="188">
        <v>11655000000</v>
      </c>
      <c r="O41" s="188">
        <v>11037000000</v>
      </c>
      <c r="P41" s="188">
        <v>5785000000</v>
      </c>
      <c r="Q41" s="98">
        <v>10100000000</v>
      </c>
      <c r="R41" s="98">
        <v>12100000000</v>
      </c>
      <c r="S41" s="704">
        <v>12900000000</v>
      </c>
      <c r="T41" s="704">
        <v>15400000000</v>
      </c>
      <c r="U41" s="704">
        <v>21400000000</v>
      </c>
      <c r="V41" s="704">
        <v>27600000000</v>
      </c>
      <c r="W41" s="704">
        <v>34800000000</v>
      </c>
      <c r="X41" s="704">
        <v>45200000000</v>
      </c>
      <c r="Y41" s="704">
        <v>62600000000</v>
      </c>
      <c r="Z41" s="704">
        <v>85100000000</v>
      </c>
      <c r="AA41" s="365"/>
      <c r="AB41" s="365"/>
      <c r="AC41" s="365"/>
      <c r="AD41" s="365"/>
      <c r="AE41" s="365"/>
      <c r="AF41" s="365"/>
      <c r="AG41" s="365"/>
      <c r="AH41" s="365"/>
      <c r="AI41" s="365"/>
      <c r="AJ41" s="365"/>
      <c r="AK41" s="365"/>
      <c r="AL41" s="365"/>
      <c r="AM41" s="365"/>
      <c r="AN41" s="365"/>
    </row>
    <row r="42" spans="1:40">
      <c r="A42" s="126" t="s">
        <v>6094</v>
      </c>
      <c r="B42" s="126" t="s">
        <v>6094</v>
      </c>
      <c r="C42" s="117" t="s">
        <v>486</v>
      </c>
      <c r="N42" s="189">
        <f>N41-N43-N46</f>
        <v>5873000000</v>
      </c>
      <c r="O42" s="189">
        <f>O41-O43-O46</f>
        <v>4821000000</v>
      </c>
      <c r="P42" s="190"/>
      <c r="Q42" s="98">
        <v>0</v>
      </c>
      <c r="R42" s="98">
        <v>0</v>
      </c>
      <c r="S42" s="704"/>
      <c r="T42" s="704"/>
      <c r="U42" s="704"/>
      <c r="V42" s="704"/>
      <c r="W42" s="704"/>
      <c r="X42" s="704"/>
      <c r="Y42" s="704"/>
      <c r="Z42" s="704"/>
      <c r="AD42" s="365"/>
      <c r="AE42" s="365"/>
      <c r="AF42" s="365"/>
      <c r="AG42" s="365"/>
      <c r="AH42" s="365"/>
      <c r="AI42" s="365"/>
      <c r="AJ42" s="365"/>
      <c r="AK42" s="365"/>
      <c r="AL42" s="365"/>
      <c r="AM42" s="365"/>
      <c r="AN42" s="365"/>
    </row>
    <row r="43" spans="1:40">
      <c r="A43" s="126" t="s">
        <v>6095</v>
      </c>
      <c r="B43" s="126" t="s">
        <v>6095</v>
      </c>
      <c r="C43" s="117" t="s">
        <v>486</v>
      </c>
      <c r="N43" s="188">
        <v>5755000000</v>
      </c>
      <c r="O43" s="188">
        <v>6187000000</v>
      </c>
      <c r="P43" s="188">
        <v>5720000000</v>
      </c>
      <c r="Q43" s="98">
        <f>Q44+Q45</f>
        <v>9800000000</v>
      </c>
      <c r="R43" s="98">
        <f t="shared" ref="R43:Z43" si="3">R44+R45</f>
        <v>12000000000</v>
      </c>
      <c r="S43" s="704">
        <f t="shared" si="3"/>
        <v>12700000000</v>
      </c>
      <c r="T43" s="704">
        <f t="shared" si="3"/>
        <v>15300000000</v>
      </c>
      <c r="U43" s="704">
        <f t="shared" si="3"/>
        <v>21300000000</v>
      </c>
      <c r="V43" s="704">
        <f t="shared" si="3"/>
        <v>27400000000</v>
      </c>
      <c r="W43" s="704">
        <f t="shared" si="3"/>
        <v>34600000000</v>
      </c>
      <c r="X43" s="704">
        <f t="shared" si="3"/>
        <v>45000000000</v>
      </c>
      <c r="Y43" s="704">
        <f t="shared" si="3"/>
        <v>62200000000</v>
      </c>
      <c r="Z43" s="704">
        <f t="shared" si="3"/>
        <v>84600000000</v>
      </c>
      <c r="AD43" s="365"/>
      <c r="AE43" s="365"/>
      <c r="AF43" s="365"/>
      <c r="AG43" s="365"/>
      <c r="AH43" s="365"/>
      <c r="AI43" s="365"/>
      <c r="AJ43" s="365"/>
      <c r="AK43" s="365"/>
      <c r="AL43" s="365"/>
      <c r="AM43" s="365"/>
      <c r="AN43" s="365"/>
    </row>
    <row r="44" spans="1:40">
      <c r="A44" s="126" t="s">
        <v>541</v>
      </c>
      <c r="B44" s="126" t="s">
        <v>541</v>
      </c>
      <c r="C44" s="117" t="s">
        <v>6096</v>
      </c>
      <c r="N44" s="188">
        <v>3843000000</v>
      </c>
      <c r="O44" s="188">
        <v>4278000000</v>
      </c>
      <c r="P44" s="188">
        <v>4222000000</v>
      </c>
      <c r="Q44" s="98">
        <v>7100000000</v>
      </c>
      <c r="R44" s="98">
        <v>7600000000</v>
      </c>
      <c r="S44" s="704">
        <v>8800000000</v>
      </c>
      <c r="T44" s="704">
        <v>10700000000</v>
      </c>
      <c r="U44" s="704">
        <v>13700000000</v>
      </c>
      <c r="V44" s="704">
        <v>18300000000</v>
      </c>
      <c r="W44" s="704">
        <v>23300000000</v>
      </c>
      <c r="X44" s="704">
        <v>30700000000</v>
      </c>
      <c r="Y44" s="704">
        <v>44000000000</v>
      </c>
      <c r="Z44" s="704">
        <v>60800000000</v>
      </c>
      <c r="AA44" s="365"/>
      <c r="AB44" s="365"/>
      <c r="AC44" s="365"/>
      <c r="AD44" s="365"/>
      <c r="AE44" s="365"/>
      <c r="AF44" s="365"/>
      <c r="AG44" s="365"/>
      <c r="AH44" s="365"/>
      <c r="AI44" s="365"/>
      <c r="AJ44" s="365"/>
      <c r="AK44" s="365"/>
      <c r="AL44" s="365"/>
      <c r="AM44" s="365"/>
      <c r="AN44" s="365"/>
    </row>
    <row r="45" spans="1:40">
      <c r="A45" s="126" t="s">
        <v>540</v>
      </c>
      <c r="B45" s="126" t="s">
        <v>540</v>
      </c>
      <c r="C45" s="117" t="s">
        <v>6096</v>
      </c>
      <c r="N45" s="188">
        <v>1912000000</v>
      </c>
      <c r="O45" s="188">
        <v>1909000000</v>
      </c>
      <c r="P45" s="188">
        <v>1498000000</v>
      </c>
      <c r="Q45" s="98">
        <v>2700000000</v>
      </c>
      <c r="R45" s="98">
        <v>4400000000</v>
      </c>
      <c r="S45" s="704">
        <v>3900000000</v>
      </c>
      <c r="T45" s="704">
        <v>4600000000</v>
      </c>
      <c r="U45" s="704">
        <v>7600000000</v>
      </c>
      <c r="V45" s="704">
        <v>9100000000</v>
      </c>
      <c r="W45" s="704">
        <v>11300000000</v>
      </c>
      <c r="X45" s="704">
        <v>14300000000</v>
      </c>
      <c r="Y45" s="704">
        <v>18200000000</v>
      </c>
      <c r="Z45" s="704">
        <v>23800000000</v>
      </c>
      <c r="AA45" s="365"/>
      <c r="AB45" s="365"/>
      <c r="AC45" s="365"/>
      <c r="AD45" s="365"/>
      <c r="AE45" s="365"/>
      <c r="AF45" s="365"/>
      <c r="AG45" s="365"/>
      <c r="AH45" s="365"/>
      <c r="AI45" s="365"/>
      <c r="AJ45" s="365"/>
      <c r="AK45" s="365"/>
      <c r="AL45" s="365"/>
      <c r="AM45" s="365"/>
      <c r="AN45" s="365"/>
    </row>
    <row r="46" spans="1:40">
      <c r="A46" s="100" t="s">
        <v>487</v>
      </c>
      <c r="B46" s="100" t="s">
        <v>488</v>
      </c>
      <c r="C46" s="117" t="s">
        <v>486</v>
      </c>
      <c r="N46" s="188">
        <v>27000000</v>
      </c>
      <c r="O46" s="188">
        <v>29000000</v>
      </c>
      <c r="P46" s="188">
        <v>65000000</v>
      </c>
      <c r="Q46" s="98">
        <v>200000000</v>
      </c>
      <c r="R46" s="98">
        <v>100000000</v>
      </c>
      <c r="S46" s="704">
        <v>100000000</v>
      </c>
      <c r="T46" s="704">
        <v>100000000</v>
      </c>
      <c r="U46" s="704">
        <v>100000000</v>
      </c>
      <c r="V46" s="704">
        <v>200000000</v>
      </c>
      <c r="W46" s="704">
        <v>200000000</v>
      </c>
      <c r="X46" s="704">
        <v>300000000</v>
      </c>
      <c r="Y46" s="704">
        <v>400000000</v>
      </c>
      <c r="Z46" s="704">
        <v>500000000</v>
      </c>
      <c r="AA46" s="365"/>
      <c r="AB46" s="365"/>
      <c r="AC46" s="365"/>
      <c r="AD46" s="365"/>
      <c r="AE46" s="365"/>
      <c r="AF46" s="365"/>
      <c r="AG46" s="365"/>
      <c r="AH46" s="365"/>
      <c r="AI46" s="365"/>
      <c r="AJ46" s="365"/>
      <c r="AK46" s="365"/>
      <c r="AL46" s="365"/>
      <c r="AM46" s="365"/>
      <c r="AN46" s="365"/>
    </row>
    <row r="47" spans="1:40">
      <c r="A47" s="20" t="s">
        <v>391</v>
      </c>
      <c r="B47" s="99" t="s">
        <v>6097</v>
      </c>
      <c r="C47" s="11" t="s">
        <v>81</v>
      </c>
      <c r="D47" s="90"/>
      <c r="N47" s="188">
        <v>814000000</v>
      </c>
      <c r="O47" s="188">
        <v>623000000</v>
      </c>
      <c r="P47" s="188">
        <v>971000000</v>
      </c>
      <c r="Q47" s="98">
        <v>900000000</v>
      </c>
      <c r="R47" s="98">
        <v>2400000000</v>
      </c>
      <c r="S47" s="704">
        <v>3100000000</v>
      </c>
      <c r="T47" s="704">
        <v>3000000000</v>
      </c>
      <c r="U47" s="704">
        <v>6900000000</v>
      </c>
      <c r="V47" s="704">
        <v>8600000000</v>
      </c>
      <c r="W47" s="704">
        <v>10900000000</v>
      </c>
      <c r="X47" s="704">
        <v>13900000000</v>
      </c>
      <c r="Y47" s="704">
        <v>18100000000</v>
      </c>
      <c r="Z47" s="704">
        <v>22300000000</v>
      </c>
      <c r="AA47" s="365"/>
      <c r="AB47" s="365"/>
      <c r="AC47" s="365"/>
      <c r="AD47" s="365"/>
      <c r="AE47" s="365"/>
      <c r="AF47" s="365"/>
      <c r="AG47" s="365"/>
      <c r="AH47" s="365"/>
      <c r="AI47" s="365"/>
      <c r="AJ47" s="365"/>
      <c r="AK47" s="365"/>
      <c r="AL47" s="365"/>
      <c r="AM47" s="365"/>
      <c r="AN47" s="365"/>
    </row>
    <row r="48" spans="1:40">
      <c r="A48" s="20"/>
      <c r="B48" s="90" t="s">
        <v>6098</v>
      </c>
      <c r="C48" s="11"/>
      <c r="D48" s="90"/>
      <c r="N48" s="188"/>
      <c r="O48" s="188"/>
      <c r="P48" s="188"/>
      <c r="Q48" s="98">
        <v>600000000</v>
      </c>
      <c r="R48" s="98">
        <v>2000000000</v>
      </c>
      <c r="S48" s="704">
        <v>2000000000</v>
      </c>
      <c r="T48" s="704">
        <v>2600000000</v>
      </c>
      <c r="U48" s="704">
        <v>5100000000</v>
      </c>
      <c r="V48" s="704">
        <v>6300000000</v>
      </c>
      <c r="W48" s="704">
        <v>8000000000</v>
      </c>
      <c r="X48" s="704">
        <v>10300000000</v>
      </c>
      <c r="Y48" s="704">
        <v>13300000000</v>
      </c>
      <c r="Z48" s="704">
        <v>16000000000</v>
      </c>
      <c r="AA48" s="365"/>
      <c r="AB48" s="365"/>
      <c r="AC48" s="365"/>
      <c r="AD48" s="365"/>
      <c r="AE48" s="365"/>
      <c r="AF48" s="365"/>
      <c r="AG48" s="365"/>
      <c r="AH48" s="365"/>
      <c r="AI48" s="365"/>
      <c r="AJ48" s="365"/>
      <c r="AK48" s="365"/>
      <c r="AL48" s="365"/>
      <c r="AM48" s="365"/>
      <c r="AN48" s="365"/>
    </row>
    <row r="49" spans="1:40">
      <c r="A49" s="90" t="s">
        <v>237</v>
      </c>
      <c r="B49" s="90" t="s">
        <v>6099</v>
      </c>
      <c r="C49" s="11" t="s">
        <v>75</v>
      </c>
      <c r="D49" s="90"/>
      <c r="N49" s="188">
        <v>3900000000</v>
      </c>
      <c r="O49" s="188">
        <v>3032000000</v>
      </c>
      <c r="P49" s="188">
        <v>3482000000</v>
      </c>
      <c r="Q49" s="98">
        <v>3300000000</v>
      </c>
      <c r="R49" s="98">
        <v>4600000000</v>
      </c>
      <c r="S49" s="704">
        <v>6000000000</v>
      </c>
      <c r="T49" s="704">
        <v>6600000000</v>
      </c>
      <c r="U49" s="704">
        <v>9400000000</v>
      </c>
      <c r="V49" s="704">
        <v>13500000000</v>
      </c>
      <c r="W49" s="704">
        <v>17300000000</v>
      </c>
      <c r="X49" s="704">
        <v>21900000000</v>
      </c>
      <c r="Y49" s="704">
        <v>28200000000</v>
      </c>
      <c r="Z49" s="704">
        <v>38800000000</v>
      </c>
      <c r="AA49" s="365"/>
      <c r="AB49" s="365"/>
      <c r="AC49" s="365"/>
      <c r="AD49" s="365"/>
      <c r="AE49" s="365"/>
      <c r="AF49" s="365"/>
      <c r="AG49" s="365"/>
      <c r="AH49" s="365"/>
      <c r="AI49" s="365"/>
      <c r="AJ49" s="365"/>
      <c r="AK49" s="365"/>
      <c r="AL49" s="365"/>
      <c r="AM49" s="365"/>
      <c r="AN49" s="365"/>
    </row>
    <row r="50" spans="1:40">
      <c r="A50" t="s">
        <v>76</v>
      </c>
      <c r="B50" s="90" t="s">
        <v>6100</v>
      </c>
      <c r="C50" s="90"/>
      <c r="D50" s="90"/>
      <c r="N50" s="188">
        <v>4330000000</v>
      </c>
      <c r="O50" s="188">
        <v>3410000000</v>
      </c>
      <c r="P50" s="188">
        <v>-4969000000</v>
      </c>
      <c r="Q50" s="98"/>
      <c r="R50" s="98"/>
      <c r="S50" s="704"/>
      <c r="T50" s="704"/>
      <c r="U50" s="704"/>
      <c r="V50" s="704"/>
      <c r="W50" s="704"/>
      <c r="X50" s="704"/>
      <c r="Y50" s="704"/>
      <c r="Z50" s="704"/>
      <c r="AB50" s="365"/>
      <c r="AC50" s="365"/>
      <c r="AD50" s="365"/>
      <c r="AE50" s="365"/>
      <c r="AF50" s="365"/>
      <c r="AG50" s="365"/>
      <c r="AH50" s="365"/>
      <c r="AI50" s="365"/>
      <c r="AJ50" s="365"/>
      <c r="AK50" s="365"/>
      <c r="AL50" s="365"/>
      <c r="AM50" s="365"/>
      <c r="AN50" s="365"/>
    </row>
    <row r="51" spans="1:40">
      <c r="A51" t="s">
        <v>76</v>
      </c>
      <c r="B51" s="90" t="s">
        <v>6101</v>
      </c>
      <c r="C51" s="90"/>
      <c r="D51" s="90"/>
      <c r="N51" s="188">
        <v>430000000</v>
      </c>
      <c r="O51" s="188">
        <v>379000000</v>
      </c>
      <c r="P51" s="188">
        <v>-8451000000</v>
      </c>
      <c r="Q51" s="98">
        <v>-7100000000</v>
      </c>
      <c r="R51" s="98">
        <v>-5800000000</v>
      </c>
      <c r="S51" s="704">
        <v>-9200000000</v>
      </c>
      <c r="T51" s="704">
        <v>-10500000000</v>
      </c>
      <c r="U51" s="704">
        <v>-16200000000</v>
      </c>
      <c r="V51" s="704">
        <v>-23600000000</v>
      </c>
      <c r="W51" s="704">
        <v>-33799999999.999996</v>
      </c>
      <c r="X51" s="704">
        <v>-52700000000</v>
      </c>
      <c r="Y51" s="704">
        <v>-75600000000</v>
      </c>
      <c r="Z51" s="704">
        <v>-119800000000</v>
      </c>
      <c r="AA51" s="365"/>
      <c r="AB51" s="365"/>
      <c r="AC51" s="365"/>
      <c r="AD51" s="365"/>
      <c r="AE51" s="365"/>
      <c r="AF51" s="365"/>
      <c r="AG51" s="365"/>
      <c r="AH51" s="365"/>
      <c r="AI51" s="365"/>
      <c r="AJ51" s="365"/>
      <c r="AK51" s="365"/>
      <c r="AL51" s="365"/>
      <c r="AM51" s="365"/>
      <c r="AN51" s="365"/>
    </row>
    <row r="52" spans="1:40">
      <c r="A52" t="s">
        <v>76</v>
      </c>
      <c r="B52" s="90" t="s">
        <v>6102</v>
      </c>
      <c r="C52" s="90"/>
      <c r="D52" s="90"/>
      <c r="N52" s="188">
        <v>430000000</v>
      </c>
      <c r="O52" s="188">
        <v>379000000</v>
      </c>
      <c r="P52" s="188">
        <v>-8451000000</v>
      </c>
      <c r="Q52" s="98"/>
      <c r="R52" s="98"/>
      <c r="S52" s="704"/>
      <c r="T52" s="704"/>
      <c r="U52" s="704"/>
      <c r="V52" s="704"/>
      <c r="W52" s="704"/>
      <c r="X52" s="704"/>
      <c r="Y52" s="704"/>
      <c r="Z52" s="704"/>
      <c r="AA52" s="365"/>
      <c r="AB52" s="365"/>
      <c r="AC52" s="365"/>
      <c r="AD52" s="365"/>
      <c r="AE52" s="365"/>
      <c r="AF52" s="365"/>
      <c r="AG52" s="365"/>
      <c r="AH52" s="365"/>
      <c r="AI52" s="365"/>
      <c r="AJ52" s="365"/>
      <c r="AK52" s="365"/>
      <c r="AL52" s="365"/>
      <c r="AM52" s="365"/>
      <c r="AN52" s="365"/>
    </row>
    <row r="53" spans="1:40">
      <c r="B53" s="90" t="s">
        <v>6103</v>
      </c>
      <c r="C53" s="90"/>
      <c r="D53" s="90"/>
      <c r="N53" s="188"/>
      <c r="O53" s="188"/>
      <c r="P53" s="188"/>
      <c r="Q53" s="98">
        <v>-5600000000</v>
      </c>
      <c r="R53" s="98">
        <v>-2200000000</v>
      </c>
      <c r="S53" s="704">
        <v>-5600000000</v>
      </c>
      <c r="T53" s="704">
        <v>-7500000000</v>
      </c>
      <c r="U53" s="704">
        <v>-11700000000</v>
      </c>
      <c r="V53" s="704">
        <v>-18700000000</v>
      </c>
      <c r="W53" s="704">
        <v>-28000000000</v>
      </c>
      <c r="X53" s="704">
        <v>-45600000000</v>
      </c>
      <c r="Y53" s="704">
        <v>-68000000000</v>
      </c>
      <c r="Z53" s="704">
        <v>-101600000000</v>
      </c>
      <c r="AA53" s="365"/>
      <c r="AB53" s="365"/>
      <c r="AC53" s="365"/>
      <c r="AD53" s="365"/>
      <c r="AE53" s="365"/>
      <c r="AF53" s="365"/>
      <c r="AG53" s="365"/>
      <c r="AH53" s="365"/>
      <c r="AI53" s="365"/>
      <c r="AJ53" s="365"/>
      <c r="AK53" s="365"/>
      <c r="AL53" s="365"/>
      <c r="AM53" s="365"/>
      <c r="AN53" s="365"/>
    </row>
    <row r="54" spans="1:40">
      <c r="A54" t="s">
        <v>76</v>
      </c>
      <c r="B54" s="90" t="s">
        <v>6104</v>
      </c>
      <c r="C54" s="90"/>
      <c r="D54" s="90"/>
      <c r="N54" s="188">
        <v>-5737000000</v>
      </c>
      <c r="O54" s="188">
        <v>-7331000000</v>
      </c>
      <c r="P54" s="188">
        <v>-8494000000</v>
      </c>
      <c r="Q54" s="98">
        <v>-12000000000</v>
      </c>
      <c r="R54" s="98">
        <v>-11800000000</v>
      </c>
      <c r="S54" s="704">
        <v>-13800000000</v>
      </c>
      <c r="T54" s="704">
        <v>-14100000000</v>
      </c>
      <c r="U54" s="704">
        <v>-18700000000</v>
      </c>
      <c r="V54" s="704">
        <v>-26500000000</v>
      </c>
      <c r="W54" s="704">
        <v>-37300000000</v>
      </c>
      <c r="X54" s="704">
        <v>-54900000000</v>
      </c>
      <c r="Y54" s="704">
        <v>-77300000000</v>
      </c>
      <c r="Z54" s="704">
        <v>-108500000000</v>
      </c>
      <c r="AA54" s="365"/>
      <c r="AB54" s="365"/>
      <c r="AC54" s="365"/>
      <c r="AD54" s="365"/>
      <c r="AE54" s="365"/>
      <c r="AF54" s="365"/>
      <c r="AG54" s="365"/>
      <c r="AH54" s="365"/>
      <c r="AI54" s="365"/>
      <c r="AJ54" s="365"/>
      <c r="AK54" s="365"/>
      <c r="AL54" s="365"/>
      <c r="AM54" s="365"/>
      <c r="AN54" s="365"/>
    </row>
    <row r="55" spans="1:40" s="9" customFormat="1">
      <c r="A55" s="18" t="s">
        <v>115</v>
      </c>
      <c r="B55" s="19" t="s">
        <v>6105</v>
      </c>
      <c r="C55" s="18" t="s">
        <v>35</v>
      </c>
      <c r="D55" s="18"/>
      <c r="N55" s="186">
        <v>-430000000</v>
      </c>
      <c r="O55" s="186">
        <v>-379000000</v>
      </c>
      <c r="P55" s="186">
        <v>8451000000</v>
      </c>
      <c r="Q55" s="350">
        <v>7100000000</v>
      </c>
      <c r="R55" s="350">
        <v>3800000000</v>
      </c>
      <c r="S55" s="703">
        <v>12000000000</v>
      </c>
      <c r="T55" s="703">
        <v>13200000000</v>
      </c>
      <c r="U55" s="703">
        <v>15000000000</v>
      </c>
      <c r="V55" s="703">
        <v>23500000000</v>
      </c>
      <c r="W55" s="703">
        <v>33799999999.999996</v>
      </c>
      <c r="X55" s="703">
        <v>52700000000</v>
      </c>
      <c r="Y55" s="703">
        <v>75600000000</v>
      </c>
      <c r="Z55" s="703">
        <v>119800000000</v>
      </c>
      <c r="AA55" s="365"/>
      <c r="AB55" s="365"/>
      <c r="AC55" s="365"/>
      <c r="AD55" s="365"/>
      <c r="AE55" s="365"/>
      <c r="AF55" s="365"/>
      <c r="AG55" s="365"/>
      <c r="AH55" s="365"/>
      <c r="AI55" s="365"/>
      <c r="AJ55" s="365"/>
      <c r="AK55" s="365"/>
      <c r="AL55" s="365"/>
      <c r="AM55" s="365"/>
      <c r="AN55" s="365"/>
    </row>
    <row r="56" spans="1:40">
      <c r="A56" t="s">
        <v>117</v>
      </c>
      <c r="B56" s="90" t="s">
        <v>1099</v>
      </c>
      <c r="C56" s="11" t="s">
        <v>119</v>
      </c>
      <c r="D56" s="90"/>
      <c r="N56" s="188">
        <v>599000000</v>
      </c>
      <c r="O56" s="188">
        <v>1038000000</v>
      </c>
      <c r="P56" s="188">
        <v>639000000</v>
      </c>
      <c r="Q56" s="98">
        <v>1100000000</v>
      </c>
      <c r="R56" s="98">
        <v>900000000</v>
      </c>
      <c r="S56" s="704">
        <v>-400000000</v>
      </c>
      <c r="T56" s="704">
        <v>900000000</v>
      </c>
      <c r="U56" s="704">
        <v>2300000000</v>
      </c>
      <c r="V56" s="704">
        <v>2400000000</v>
      </c>
      <c r="W56" s="704">
        <v>2600000000</v>
      </c>
      <c r="X56" s="704">
        <v>2800000000</v>
      </c>
      <c r="Y56" s="704">
        <v>3000000000</v>
      </c>
      <c r="Z56" s="704">
        <v>-1000000000</v>
      </c>
      <c r="AA56" s="365"/>
      <c r="AB56" s="365"/>
      <c r="AC56" s="365"/>
      <c r="AD56" s="365"/>
      <c r="AE56" s="365"/>
      <c r="AF56" s="365"/>
      <c r="AG56" s="365"/>
      <c r="AH56" s="365"/>
      <c r="AI56" s="365"/>
      <c r="AJ56" s="365"/>
      <c r="AK56" s="365"/>
      <c r="AL56" s="365"/>
      <c r="AM56" s="365"/>
      <c r="AN56" s="365"/>
    </row>
    <row r="57" spans="1:40">
      <c r="A57" s="103" t="s">
        <v>415</v>
      </c>
      <c r="B57" s="103" t="s">
        <v>415</v>
      </c>
      <c r="C57" s="58" t="s">
        <v>264</v>
      </c>
      <c r="D57" s="90"/>
      <c r="N57" s="188">
        <v>1311000000</v>
      </c>
      <c r="O57" s="188">
        <v>1615000000</v>
      </c>
      <c r="P57" s="188">
        <v>1345000000</v>
      </c>
      <c r="Q57" s="98">
        <v>2100000000</v>
      </c>
      <c r="R57" s="98">
        <v>1600000000</v>
      </c>
      <c r="S57" s="704">
        <v>1400000000</v>
      </c>
      <c r="T57" s="704">
        <v>1600000000</v>
      </c>
      <c r="U57" s="704">
        <v>3100000000</v>
      </c>
      <c r="V57" s="704">
        <v>3300000000</v>
      </c>
      <c r="W57" s="704">
        <v>3500000000</v>
      </c>
      <c r="X57" s="704">
        <v>3700000000</v>
      </c>
      <c r="Y57" s="704">
        <v>3900000000</v>
      </c>
      <c r="Z57" s="704">
        <v>4000000000</v>
      </c>
      <c r="AA57" s="365"/>
      <c r="AB57" s="365"/>
      <c r="AC57" s="365"/>
      <c r="AD57" s="365"/>
      <c r="AE57" s="365"/>
      <c r="AF57" s="365"/>
      <c r="AG57" s="365"/>
      <c r="AH57" s="365"/>
      <c r="AI57" s="365"/>
      <c r="AJ57" s="365"/>
      <c r="AK57" s="365"/>
      <c r="AL57" s="365"/>
      <c r="AM57" s="365"/>
      <c r="AN57" s="365"/>
    </row>
    <row r="58" spans="1:40">
      <c r="A58" s="13" t="s">
        <v>6106</v>
      </c>
      <c r="B58" s="99" t="s">
        <v>6107</v>
      </c>
      <c r="C58" s="58" t="s">
        <v>264</v>
      </c>
      <c r="D58" s="90"/>
      <c r="N58" s="188">
        <v>-713000000</v>
      </c>
      <c r="O58" s="188">
        <v>-577000000</v>
      </c>
      <c r="P58" s="188">
        <v>-706000000</v>
      </c>
      <c r="Q58" s="98">
        <v>-1000000000</v>
      </c>
      <c r="R58" s="98">
        <v>-700000000</v>
      </c>
      <c r="S58" s="704">
        <v>-1800000000</v>
      </c>
      <c r="T58" s="704">
        <v>-700000000</v>
      </c>
      <c r="U58" s="704">
        <v>-800000000</v>
      </c>
      <c r="V58" s="704">
        <v>-900000000</v>
      </c>
      <c r="W58" s="704">
        <v>-900000000</v>
      </c>
      <c r="X58" s="704">
        <v>-900000000</v>
      </c>
      <c r="Y58" s="704">
        <v>-900000000</v>
      </c>
      <c r="Z58" s="704">
        <v>-5000000000</v>
      </c>
      <c r="AA58" s="365"/>
      <c r="AB58" s="365"/>
      <c r="AC58" s="365"/>
      <c r="AD58" s="365"/>
      <c r="AE58" s="365"/>
      <c r="AF58" s="365"/>
      <c r="AG58" s="365"/>
      <c r="AH58" s="365"/>
      <c r="AI58" s="365"/>
      <c r="AJ58" s="365"/>
      <c r="AK58" s="365"/>
      <c r="AL58" s="365"/>
      <c r="AM58" s="365"/>
      <c r="AN58" s="365"/>
    </row>
    <row r="59" spans="1:40">
      <c r="A59" t="s">
        <v>120</v>
      </c>
      <c r="B59" s="90" t="s">
        <v>1084</v>
      </c>
      <c r="C59" s="11" t="s">
        <v>119</v>
      </c>
      <c r="D59" s="90"/>
      <c r="N59" s="188">
        <v>-1029000000</v>
      </c>
      <c r="O59" s="188">
        <v>-1416000000</v>
      </c>
      <c r="P59" s="188">
        <v>7812000000</v>
      </c>
      <c r="Q59" s="98">
        <v>6100000000</v>
      </c>
      <c r="R59" s="350">
        <v>3000000000</v>
      </c>
      <c r="S59" s="704">
        <v>12500000000</v>
      </c>
      <c r="T59" s="704">
        <v>12300000000</v>
      </c>
      <c r="U59" s="704">
        <v>12600000000</v>
      </c>
      <c r="V59" s="704">
        <v>21200000000</v>
      </c>
      <c r="W59" s="704">
        <v>31200000000</v>
      </c>
      <c r="X59" s="704">
        <v>49900000000</v>
      </c>
      <c r="Y59" s="704">
        <v>72600000000</v>
      </c>
      <c r="Z59" s="704">
        <v>120800000000</v>
      </c>
      <c r="AA59" s="365"/>
      <c r="AB59" s="365"/>
      <c r="AC59" s="365"/>
      <c r="AD59" s="365"/>
      <c r="AE59" s="365"/>
      <c r="AF59" s="365"/>
      <c r="AG59" s="365"/>
      <c r="AH59" s="365"/>
      <c r="AI59" s="365"/>
      <c r="AJ59" s="365"/>
      <c r="AK59" s="365"/>
      <c r="AL59" s="365"/>
      <c r="AM59" s="365"/>
      <c r="AN59" s="365"/>
    </row>
    <row r="60" spans="1:40">
      <c r="A60" s="13" t="s">
        <v>122</v>
      </c>
      <c r="B60" s="99" t="s">
        <v>425</v>
      </c>
      <c r="C60" s="90" t="s">
        <v>124</v>
      </c>
      <c r="D60" s="90"/>
      <c r="N60" s="188">
        <v>3536000000</v>
      </c>
      <c r="O60" s="188">
        <v>4053000000</v>
      </c>
      <c r="P60" s="188">
        <v>2862000000</v>
      </c>
      <c r="Q60" s="98">
        <f>Q61+Q63</f>
        <v>5200000000</v>
      </c>
      <c r="R60" s="98">
        <f t="shared" ref="R60:Z60" si="4">R61+R63</f>
        <v>2600000000</v>
      </c>
      <c r="S60" s="704">
        <f t="shared" si="4"/>
        <v>10400000000</v>
      </c>
      <c r="T60" s="704">
        <f t="shared" si="4"/>
        <v>8800000000</v>
      </c>
      <c r="U60" s="704">
        <f t="shared" si="4"/>
        <v>10800000000</v>
      </c>
      <c r="V60" s="704">
        <f t="shared" si="4"/>
        <v>17800000000</v>
      </c>
      <c r="W60" s="704">
        <f t="shared" si="4"/>
        <v>27600000000</v>
      </c>
      <c r="X60" s="704">
        <f t="shared" si="4"/>
        <v>46200000000</v>
      </c>
      <c r="Y60" s="704">
        <f t="shared" si="4"/>
        <v>68700000000</v>
      </c>
      <c r="Z60" s="704">
        <f t="shared" si="4"/>
        <v>116600000000</v>
      </c>
      <c r="AA60" s="365"/>
      <c r="AB60" s="365"/>
      <c r="AC60" s="365"/>
      <c r="AD60" s="365"/>
      <c r="AE60" s="365"/>
      <c r="AF60" s="365"/>
      <c r="AG60" s="365"/>
      <c r="AH60" s="365"/>
      <c r="AI60" s="365"/>
      <c r="AJ60" s="365"/>
      <c r="AK60" s="365"/>
      <c r="AL60" s="365"/>
      <c r="AM60" s="365"/>
      <c r="AN60" s="365"/>
    </row>
    <row r="61" spans="1:40">
      <c r="A61" s="41" t="s">
        <v>6108</v>
      </c>
      <c r="B61" s="100" t="s">
        <v>6109</v>
      </c>
      <c r="C61" s="90" t="s">
        <v>3078</v>
      </c>
      <c r="D61" s="90"/>
      <c r="N61" s="188"/>
      <c r="O61" s="188"/>
      <c r="P61" s="188"/>
      <c r="Q61" s="98">
        <v>4900000000</v>
      </c>
      <c r="R61" s="98">
        <v>1400000000</v>
      </c>
      <c r="S61" s="704">
        <v>8000000000</v>
      </c>
      <c r="T61" s="704">
        <v>7500000000</v>
      </c>
      <c r="U61" s="704">
        <v>8400000000</v>
      </c>
      <c r="V61" s="704">
        <v>13800000000</v>
      </c>
      <c r="W61" s="704">
        <v>22200000000</v>
      </c>
      <c r="X61" s="704">
        <v>36000000000</v>
      </c>
      <c r="Y61" s="704">
        <v>52200000000</v>
      </c>
      <c r="Z61" s="704">
        <v>86600000000</v>
      </c>
      <c r="AA61" s="365"/>
      <c r="AB61" s="365"/>
      <c r="AC61" s="365"/>
      <c r="AD61" s="365"/>
      <c r="AE61" s="365"/>
      <c r="AF61" s="365"/>
      <c r="AG61" s="365"/>
      <c r="AH61" s="365"/>
      <c r="AI61" s="365"/>
      <c r="AJ61" s="365"/>
      <c r="AK61" s="365"/>
      <c r="AL61" s="365"/>
      <c r="AM61" s="365"/>
      <c r="AN61" s="365"/>
    </row>
    <row r="62" spans="1:40">
      <c r="B62" s="100" t="s">
        <v>6110</v>
      </c>
      <c r="C62" s="90"/>
      <c r="D62" s="90"/>
      <c r="N62" s="188"/>
      <c r="O62" s="188"/>
      <c r="P62" s="188"/>
      <c r="Q62" s="98">
        <v>1300000000</v>
      </c>
      <c r="R62" s="98">
        <v>2000000000</v>
      </c>
      <c r="S62" s="704">
        <v>2700000000</v>
      </c>
      <c r="T62" s="704">
        <v>1700000000</v>
      </c>
      <c r="U62" s="704">
        <v>0</v>
      </c>
      <c r="V62" s="704">
        <v>-1000000000</v>
      </c>
      <c r="W62" s="704">
        <v>-1000000000</v>
      </c>
      <c r="X62" s="704">
        <v>-1000000000</v>
      </c>
      <c r="Y62" s="704">
        <v>-1000000000</v>
      </c>
      <c r="Z62" s="704">
        <v>-1000000000</v>
      </c>
      <c r="AA62" s="365"/>
      <c r="AB62" s="365"/>
      <c r="AC62" s="365"/>
      <c r="AD62" s="365"/>
      <c r="AE62" s="365"/>
      <c r="AF62" s="365"/>
      <c r="AG62" s="365"/>
      <c r="AH62" s="365"/>
      <c r="AI62" s="365"/>
      <c r="AJ62" s="365"/>
      <c r="AK62" s="365"/>
      <c r="AL62" s="365"/>
      <c r="AM62" s="365"/>
      <c r="AN62" s="365"/>
    </row>
    <row r="63" spans="1:40">
      <c r="A63" s="41" t="s">
        <v>2147</v>
      </c>
      <c r="B63" s="100" t="s">
        <v>6111</v>
      </c>
      <c r="C63" s="90" t="s">
        <v>3078</v>
      </c>
      <c r="D63" s="90"/>
      <c r="N63" s="188"/>
      <c r="O63" s="188"/>
      <c r="P63" s="188"/>
      <c r="Q63" s="98">
        <v>300000000</v>
      </c>
      <c r="R63" s="98">
        <v>1200000000</v>
      </c>
      <c r="S63" s="704">
        <v>2400000000</v>
      </c>
      <c r="T63" s="704">
        <v>1300000000</v>
      </c>
      <c r="U63" s="704">
        <v>2400000000</v>
      </c>
      <c r="V63" s="704">
        <v>4000000000</v>
      </c>
      <c r="W63" s="704">
        <v>5400000000</v>
      </c>
      <c r="X63" s="704">
        <v>10200000000</v>
      </c>
      <c r="Y63" s="704">
        <v>16500000000</v>
      </c>
      <c r="Z63" s="704">
        <v>30000000000</v>
      </c>
      <c r="AA63" s="365"/>
      <c r="AB63" s="365"/>
      <c r="AC63" s="365"/>
      <c r="AD63" s="365"/>
      <c r="AE63" s="365"/>
      <c r="AF63" s="365"/>
      <c r="AG63" s="365"/>
      <c r="AH63" s="365"/>
      <c r="AI63" s="365"/>
      <c r="AJ63" s="365"/>
      <c r="AK63" s="365"/>
      <c r="AL63" s="365"/>
      <c r="AM63" s="365"/>
      <c r="AN63" s="365"/>
    </row>
    <row r="64" spans="1:40">
      <c r="A64" t="s">
        <v>428</v>
      </c>
      <c r="B64" s="99" t="s">
        <v>2214</v>
      </c>
      <c r="C64" s="90" t="s">
        <v>124</v>
      </c>
      <c r="D64" s="90"/>
      <c r="N64" s="188">
        <v>-3085000000</v>
      </c>
      <c r="O64" s="188">
        <v>-4505000000</v>
      </c>
      <c r="P64" s="188">
        <v>5150000000</v>
      </c>
      <c r="Q64" s="98">
        <v>-2500000000</v>
      </c>
      <c r="R64" s="98">
        <v>2500000000</v>
      </c>
      <c r="S64" s="704">
        <v>4000000000</v>
      </c>
      <c r="T64" s="704">
        <v>3600000000</v>
      </c>
      <c r="U64" s="704">
        <v>3100000000</v>
      </c>
      <c r="V64" s="704">
        <v>3300000000</v>
      </c>
      <c r="W64" s="704">
        <v>3500000000</v>
      </c>
      <c r="X64" s="704">
        <v>3700000000</v>
      </c>
      <c r="Y64" s="704">
        <v>3900000000</v>
      </c>
      <c r="Z64" s="704">
        <v>4200000000</v>
      </c>
      <c r="AA64" s="365"/>
      <c r="AB64" s="365"/>
      <c r="AC64" s="365"/>
      <c r="AD64" s="365"/>
      <c r="AE64" s="365"/>
      <c r="AF64" s="365"/>
      <c r="AG64" s="365"/>
      <c r="AH64" s="365"/>
      <c r="AI64" s="365"/>
      <c r="AJ64" s="365"/>
      <c r="AK64" s="365"/>
      <c r="AL64" s="365"/>
      <c r="AM64" s="365"/>
      <c r="AN64" s="365"/>
    </row>
    <row r="65" spans="1:40">
      <c r="A65" s="607" t="s">
        <v>1556</v>
      </c>
      <c r="B65" s="99" t="s">
        <v>6112</v>
      </c>
      <c r="C65" s="90" t="s">
        <v>124</v>
      </c>
      <c r="D65" s="90"/>
      <c r="N65" s="188">
        <v>-1480000000</v>
      </c>
      <c r="O65" s="188">
        <v>-965000000</v>
      </c>
      <c r="P65" s="188">
        <v>-200000000</v>
      </c>
      <c r="R65" s="98"/>
      <c r="S65" s="704"/>
      <c r="T65" s="704"/>
      <c r="U65" s="704"/>
      <c r="V65" s="704"/>
      <c r="W65" s="704"/>
      <c r="X65" s="650"/>
      <c r="Y65" s="705"/>
      <c r="Z65" s="705"/>
      <c r="AA65" s="365"/>
      <c r="AB65" s="365"/>
      <c r="AC65" s="365"/>
      <c r="AD65" s="365"/>
      <c r="AE65" s="365"/>
      <c r="AF65" s="365"/>
      <c r="AG65" s="365"/>
      <c r="AH65" s="365"/>
      <c r="AI65" s="365"/>
      <c r="AJ65" s="365"/>
      <c r="AK65" s="365"/>
      <c r="AL65" s="365"/>
      <c r="AM65" s="365"/>
      <c r="AN65" s="365"/>
    </row>
    <row r="66" spans="1:40">
      <c r="A66" s="619" t="s">
        <v>6113</v>
      </c>
      <c r="B66" s="90" t="s">
        <v>6114</v>
      </c>
      <c r="C66" s="90" t="s">
        <v>124</v>
      </c>
      <c r="D66" s="90"/>
      <c r="N66" s="188"/>
      <c r="O66" s="188"/>
      <c r="P66" s="188"/>
      <c r="Q66" s="98">
        <v>3300000000</v>
      </c>
      <c r="R66" s="98">
        <v>-2100000000</v>
      </c>
      <c r="S66" s="704">
        <v>-2000000000</v>
      </c>
      <c r="T66" s="704">
        <v>-100000000</v>
      </c>
      <c r="U66" s="704">
        <v>-1300000000</v>
      </c>
      <c r="V66" s="704">
        <v>0</v>
      </c>
      <c r="W66" s="704">
        <v>0</v>
      </c>
      <c r="X66" s="650">
        <v>0</v>
      </c>
      <c r="Y66" s="706">
        <v>0</v>
      </c>
      <c r="Z66" s="706">
        <v>0</v>
      </c>
      <c r="AA66" s="365"/>
      <c r="AB66" s="365"/>
      <c r="AC66" s="365"/>
      <c r="AD66" s="365"/>
      <c r="AE66" s="365"/>
      <c r="AF66" s="365"/>
      <c r="AG66" s="365"/>
      <c r="AH66" s="365"/>
      <c r="AI66" s="365"/>
      <c r="AJ66" s="365"/>
      <c r="AK66" s="365"/>
      <c r="AL66" s="365"/>
      <c r="AM66" s="365"/>
      <c r="AN66" s="365"/>
    </row>
    <row r="67" spans="1:40">
      <c r="A67" t="s">
        <v>76</v>
      </c>
      <c r="B67" s="99" t="s">
        <v>6115</v>
      </c>
      <c r="C67" s="90"/>
      <c r="N67" s="188">
        <v>0</v>
      </c>
      <c r="O67" s="188">
        <v>0</v>
      </c>
      <c r="P67" s="188">
        <v>0</v>
      </c>
      <c r="Q67" s="98">
        <v>3800000000</v>
      </c>
      <c r="R67" s="98">
        <v>0</v>
      </c>
      <c r="S67" s="704">
        <v>0</v>
      </c>
      <c r="T67" s="704">
        <v>0</v>
      </c>
      <c r="U67" s="704">
        <v>0</v>
      </c>
      <c r="V67" s="704">
        <v>0</v>
      </c>
      <c r="W67" s="704">
        <v>0</v>
      </c>
      <c r="X67" s="650">
        <v>0</v>
      </c>
      <c r="Y67" s="706">
        <v>0</v>
      </c>
      <c r="Z67" s="706">
        <v>0</v>
      </c>
      <c r="AA67" s="365"/>
      <c r="AB67" s="365"/>
      <c r="AC67" s="365"/>
      <c r="AD67" s="365"/>
      <c r="AE67" s="365"/>
      <c r="AF67" s="365"/>
      <c r="AG67" s="365"/>
      <c r="AH67" s="365"/>
      <c r="AI67" s="365"/>
      <c r="AJ67" s="365"/>
      <c r="AK67" s="365"/>
      <c r="AL67" s="365"/>
      <c r="AM67" s="365"/>
      <c r="AN67" s="365"/>
    </row>
    <row r="68" spans="1:40">
      <c r="A68" t="s">
        <v>76</v>
      </c>
      <c r="B68" s="99" t="s">
        <v>6116</v>
      </c>
      <c r="C68" s="90"/>
      <c r="N68" s="188">
        <v>1480000000</v>
      </c>
      <c r="O68" s="188">
        <v>965000000</v>
      </c>
      <c r="P68" s="188">
        <v>200000000</v>
      </c>
      <c r="Q68" s="98">
        <v>-500000000</v>
      </c>
      <c r="R68" s="98">
        <v>-2100000000</v>
      </c>
      <c r="S68" s="704">
        <v>-2000000000</v>
      </c>
      <c r="T68" s="704">
        <v>-100000000</v>
      </c>
      <c r="U68" s="704">
        <v>-1300000000</v>
      </c>
      <c r="V68" s="704">
        <v>0</v>
      </c>
      <c r="W68" s="704">
        <v>0</v>
      </c>
      <c r="X68" s="650">
        <v>0</v>
      </c>
      <c r="Y68" s="706">
        <v>0</v>
      </c>
      <c r="Z68" s="706">
        <v>0</v>
      </c>
      <c r="AA68" s="365"/>
      <c r="AB68" s="365"/>
      <c r="AC68" s="365"/>
      <c r="AD68" s="365"/>
      <c r="AE68" s="365"/>
      <c r="AF68" s="365"/>
      <c r="AG68" s="365"/>
      <c r="AH68" s="365"/>
      <c r="AI68" s="365"/>
      <c r="AJ68" s="365"/>
      <c r="AK68" s="365"/>
      <c r="AL68" s="365"/>
      <c r="AM68" s="365"/>
      <c r="AN68" s="365"/>
    </row>
    <row r="69" spans="1:40">
      <c r="B69" s="90"/>
      <c r="C69" s="90"/>
      <c r="N69" s="188"/>
      <c r="O69" s="188"/>
      <c r="P69" s="188"/>
      <c r="Q69" s="98"/>
      <c r="R69" s="98"/>
      <c r="S69" s="704"/>
      <c r="T69" s="704"/>
      <c r="U69" s="704"/>
      <c r="V69" s="704"/>
      <c r="W69" s="704"/>
      <c r="X69" s="650"/>
      <c r="Y69" s="706"/>
      <c r="Z69" s="706"/>
      <c r="AA69" s="365"/>
      <c r="AB69" s="365"/>
      <c r="AC69" s="365"/>
      <c r="AD69" s="365"/>
      <c r="AE69" s="365"/>
      <c r="AF69" s="365"/>
      <c r="AG69" s="365"/>
      <c r="AH69" s="365"/>
      <c r="AI69" s="365"/>
      <c r="AJ69" s="365"/>
      <c r="AK69" s="365"/>
      <c r="AL69" s="365"/>
      <c r="AM69" s="365"/>
      <c r="AN69" s="365"/>
    </row>
    <row r="70" spans="1:40">
      <c r="A70" t="s">
        <v>76</v>
      </c>
      <c r="B70" s="90" t="s">
        <v>6117</v>
      </c>
      <c r="C70" s="90"/>
      <c r="D70" s="90"/>
      <c r="N70" s="46">
        <v>0</v>
      </c>
      <c r="O70" s="46">
        <v>0</v>
      </c>
      <c r="P70" s="46">
        <v>0</v>
      </c>
      <c r="Q70" s="191">
        <v>0</v>
      </c>
      <c r="R70" s="191">
        <v>1900000000</v>
      </c>
      <c r="S70" s="707">
        <v>-2900000000</v>
      </c>
      <c r="T70" s="707">
        <v>-2600000000</v>
      </c>
      <c r="U70" s="707">
        <v>1300000000</v>
      </c>
      <c r="V70" s="707">
        <v>0</v>
      </c>
      <c r="W70" s="707">
        <v>0</v>
      </c>
      <c r="X70" s="650">
        <v>0</v>
      </c>
      <c r="Y70" s="706">
        <v>0</v>
      </c>
      <c r="Z70" s="706">
        <v>0</v>
      </c>
      <c r="AA70" s="365"/>
      <c r="AB70" s="365"/>
      <c r="AC70" s="365"/>
      <c r="AD70" s="365"/>
      <c r="AE70" s="365"/>
      <c r="AF70" s="365"/>
      <c r="AG70" s="365"/>
      <c r="AH70" s="365"/>
      <c r="AI70" s="365"/>
      <c r="AJ70" s="365"/>
      <c r="AK70" s="365"/>
      <c r="AL70" s="365"/>
      <c r="AM70" s="365"/>
      <c r="AN70" s="365"/>
    </row>
    <row r="71" spans="1:40">
      <c r="B71" s="90"/>
      <c r="C71" s="90"/>
      <c r="D71" s="90"/>
      <c r="N71" s="46"/>
      <c r="O71" s="46"/>
      <c r="P71" s="46"/>
      <c r="Q71" s="191"/>
      <c r="R71" s="191"/>
      <c r="S71" s="707"/>
      <c r="T71" s="707"/>
      <c r="U71" s="707"/>
      <c r="V71" s="707"/>
      <c r="W71" s="707"/>
      <c r="X71" s="650"/>
      <c r="Y71" s="706"/>
      <c r="Z71" s="706"/>
      <c r="AA71" s="365"/>
      <c r="AB71" s="365"/>
      <c r="AC71" s="365"/>
      <c r="AD71" s="365"/>
      <c r="AE71" s="365"/>
      <c r="AF71" s="365"/>
      <c r="AG71" s="365"/>
      <c r="AH71" s="365"/>
      <c r="AI71" s="365"/>
      <c r="AJ71" s="365"/>
      <c r="AK71" s="365"/>
      <c r="AL71" s="365"/>
      <c r="AM71" s="365"/>
      <c r="AN71" s="365"/>
    </row>
    <row r="72" spans="1:40">
      <c r="B72" s="90" t="s">
        <v>6118</v>
      </c>
      <c r="C72" s="90"/>
      <c r="D72" s="90"/>
      <c r="N72" s="46"/>
      <c r="O72" s="46"/>
      <c r="P72" s="46"/>
      <c r="Q72" s="191"/>
      <c r="R72" s="191"/>
      <c r="S72" s="707"/>
      <c r="T72" s="707"/>
      <c r="U72" s="707"/>
      <c r="V72" s="707"/>
      <c r="W72" s="707"/>
      <c r="X72" s="650"/>
      <c r="Y72" s="706"/>
      <c r="Z72" s="706"/>
      <c r="AA72" s="365"/>
      <c r="AB72" s="365"/>
      <c r="AC72" s="365"/>
      <c r="AD72" s="365"/>
      <c r="AE72" s="365"/>
      <c r="AF72" s="365"/>
      <c r="AG72" s="365"/>
      <c r="AH72" s="365"/>
      <c r="AI72" s="365"/>
      <c r="AJ72" s="365"/>
      <c r="AK72" s="365"/>
      <c r="AL72" s="365"/>
      <c r="AM72" s="365"/>
      <c r="AN72" s="365"/>
    </row>
    <row r="73" spans="1:40">
      <c r="B73" s="99" t="s">
        <v>6119</v>
      </c>
      <c r="C73" s="90"/>
      <c r="D73" s="90"/>
      <c r="N73" s="46"/>
      <c r="O73" s="46"/>
      <c r="P73" s="46"/>
      <c r="Q73" s="621">
        <v>9000000000</v>
      </c>
      <c r="R73" s="621">
        <v>2700000000</v>
      </c>
      <c r="S73" s="708">
        <v>-1200000000</v>
      </c>
      <c r="T73" s="708">
        <v>-5500000000</v>
      </c>
      <c r="U73" s="708">
        <v>-8700000000</v>
      </c>
      <c r="V73" s="708">
        <v>-7600000000</v>
      </c>
      <c r="W73" s="708">
        <v>-8000000000</v>
      </c>
      <c r="X73" s="708">
        <v>-8199999999.999999</v>
      </c>
      <c r="Y73" s="708">
        <v>-8300000000.000001</v>
      </c>
      <c r="Z73" s="708">
        <v>-8400000000</v>
      </c>
      <c r="AA73" s="365"/>
      <c r="AB73" s="365"/>
      <c r="AC73" s="365"/>
      <c r="AD73" s="365"/>
      <c r="AE73" s="365"/>
      <c r="AF73" s="365"/>
      <c r="AG73" s="365"/>
      <c r="AH73" s="365"/>
      <c r="AI73" s="365"/>
      <c r="AJ73" s="365"/>
      <c r="AK73" s="365"/>
      <c r="AL73" s="365"/>
      <c r="AM73" s="365"/>
      <c r="AN73" s="365"/>
    </row>
    <row r="74" spans="1:40">
      <c r="B74" s="99" t="s">
        <v>6120</v>
      </c>
      <c r="C74" s="90"/>
      <c r="D74" s="90"/>
      <c r="N74" s="46"/>
      <c r="O74" s="46"/>
      <c r="P74" s="46"/>
      <c r="Q74" s="621">
        <v>2400000000</v>
      </c>
      <c r="R74" s="621">
        <v>-2300000000</v>
      </c>
      <c r="S74" s="708">
        <v>-1300000000</v>
      </c>
      <c r="T74" s="708">
        <v>-5800000000</v>
      </c>
      <c r="U74" s="708">
        <v>-9100000000</v>
      </c>
      <c r="V74" s="708">
        <v>-9500000000</v>
      </c>
      <c r="W74" s="708">
        <v>-10000000000</v>
      </c>
      <c r="X74" s="708">
        <v>-9200000000</v>
      </c>
      <c r="Y74" s="708">
        <v>-10300000000</v>
      </c>
      <c r="Z74" s="708">
        <v>-10300000000</v>
      </c>
      <c r="AA74" s="365"/>
      <c r="AB74" s="365"/>
      <c r="AC74" s="365"/>
      <c r="AD74" s="365"/>
      <c r="AE74" s="365"/>
      <c r="AF74" s="365"/>
      <c r="AG74" s="365"/>
      <c r="AH74" s="365"/>
      <c r="AI74" s="365"/>
      <c r="AJ74" s="365"/>
      <c r="AK74" s="365"/>
      <c r="AL74" s="365"/>
      <c r="AM74" s="365"/>
      <c r="AN74" s="365"/>
    </row>
    <row r="75" spans="1:40">
      <c r="B75" s="99" t="s">
        <v>6121</v>
      </c>
      <c r="C75" s="90"/>
      <c r="D75" s="90"/>
      <c r="N75" s="46"/>
      <c r="O75" s="46"/>
      <c r="P75" s="46"/>
      <c r="Q75" s="621">
        <v>6700000000</v>
      </c>
      <c r="R75" s="621">
        <v>5000000000</v>
      </c>
      <c r="S75" s="708">
        <v>100000000</v>
      </c>
      <c r="T75" s="708">
        <v>300000000</v>
      </c>
      <c r="U75" s="708">
        <v>400000000</v>
      </c>
      <c r="V75" s="708">
        <v>400000000</v>
      </c>
      <c r="W75" s="708">
        <v>400000000</v>
      </c>
      <c r="X75" s="708">
        <v>400000000</v>
      </c>
      <c r="Y75" s="708">
        <v>400000000</v>
      </c>
      <c r="Z75" s="708">
        <v>400000000</v>
      </c>
      <c r="AA75" s="365"/>
      <c r="AB75" s="365"/>
      <c r="AC75" s="365"/>
      <c r="AD75" s="365"/>
      <c r="AE75" s="365"/>
      <c r="AF75" s="365"/>
      <c r="AG75" s="365"/>
      <c r="AH75" s="365"/>
      <c r="AI75" s="365"/>
      <c r="AJ75" s="365"/>
      <c r="AK75" s="365"/>
      <c r="AL75" s="365"/>
      <c r="AM75" s="365"/>
      <c r="AN75" s="365"/>
    </row>
    <row r="76" spans="1:40">
      <c r="B76" s="90" t="s">
        <v>6122</v>
      </c>
      <c r="C76" s="90"/>
      <c r="D76" s="90"/>
      <c r="N76" s="46"/>
      <c r="O76" s="46"/>
      <c r="P76" s="46"/>
      <c r="Q76" s="621">
        <v>225100000000</v>
      </c>
      <c r="R76" s="621">
        <v>300900000000</v>
      </c>
      <c r="S76" s="708">
        <v>489500000000</v>
      </c>
      <c r="T76" s="708">
        <v>766900000000</v>
      </c>
      <c r="U76" s="708">
        <v>913500000000</v>
      </c>
      <c r="V76" s="708">
        <v>1177500000000</v>
      </c>
      <c r="W76" s="708">
        <v>1522800000000</v>
      </c>
      <c r="X76" s="708">
        <v>1999400000000</v>
      </c>
      <c r="Y76" s="708">
        <v>2668500000000</v>
      </c>
      <c r="Z76" s="708">
        <v>3551100000000</v>
      </c>
      <c r="AA76" s="365"/>
      <c r="AB76" s="365"/>
      <c r="AC76" s="365"/>
      <c r="AD76" s="365"/>
      <c r="AE76" s="365"/>
      <c r="AF76" s="365"/>
      <c r="AG76" s="365"/>
      <c r="AH76" s="365"/>
      <c r="AI76" s="365"/>
      <c r="AJ76" s="365"/>
      <c r="AK76" s="365"/>
      <c r="AL76" s="365"/>
      <c r="AM76" s="365"/>
      <c r="AN76" s="365"/>
    </row>
    <row r="77" spans="1:40">
      <c r="B77" s="103" t="s">
        <v>280</v>
      </c>
      <c r="C77" s="90"/>
      <c r="D77" s="90"/>
      <c r="N77" s="46"/>
      <c r="O77" s="46"/>
      <c r="P77" s="46"/>
      <c r="Q77" s="621">
        <v>192300000000</v>
      </c>
      <c r="R77" s="621">
        <v>257000000000</v>
      </c>
      <c r="S77" s="708">
        <v>425300000000</v>
      </c>
      <c r="T77" s="708">
        <v>711400000000</v>
      </c>
      <c r="U77" s="708">
        <v>844000000000</v>
      </c>
      <c r="V77" s="708">
        <v>1085400000000.0001</v>
      </c>
      <c r="W77" s="708">
        <v>1401100000000</v>
      </c>
      <c r="X77" s="708">
        <v>1838300000000</v>
      </c>
      <c r="Y77" s="708">
        <v>2457100000000</v>
      </c>
      <c r="Z77" s="708">
        <v>3257700000000</v>
      </c>
      <c r="AA77" s="365"/>
      <c r="AB77" s="365"/>
      <c r="AC77" s="365"/>
      <c r="AD77" s="365"/>
      <c r="AE77" s="365"/>
      <c r="AF77" s="365"/>
      <c r="AG77" s="365"/>
      <c r="AH77" s="365"/>
      <c r="AI77" s="365"/>
      <c r="AJ77" s="365"/>
      <c r="AK77" s="365"/>
      <c r="AL77" s="365"/>
      <c r="AM77" s="365"/>
      <c r="AN77" s="365"/>
    </row>
    <row r="78" spans="1:40">
      <c r="B78" s="99" t="s">
        <v>6123</v>
      </c>
      <c r="C78" s="90"/>
      <c r="D78" s="90"/>
      <c r="N78" s="46"/>
      <c r="O78" s="46"/>
      <c r="P78" s="46"/>
      <c r="Q78" s="621">
        <v>32900000000</v>
      </c>
      <c r="R78" s="621">
        <v>43900000000</v>
      </c>
      <c r="S78" s="708">
        <v>64300000000</v>
      </c>
      <c r="T78" s="708">
        <v>55500000000</v>
      </c>
      <c r="U78" s="708">
        <v>69500000000</v>
      </c>
      <c r="V78" s="708">
        <v>92100000000</v>
      </c>
      <c r="W78" s="708">
        <v>121700000000</v>
      </c>
      <c r="X78" s="708">
        <v>161100000000</v>
      </c>
      <c r="Y78" s="708">
        <v>211400000000</v>
      </c>
      <c r="Z78" s="708">
        <v>293400000000</v>
      </c>
      <c r="AA78" s="365"/>
      <c r="AB78" s="365"/>
      <c r="AC78" s="365"/>
      <c r="AD78" s="365"/>
      <c r="AE78" s="365"/>
      <c r="AF78" s="365"/>
      <c r="AG78" s="365"/>
      <c r="AH78" s="365"/>
      <c r="AI78" s="365"/>
      <c r="AJ78" s="365"/>
      <c r="AK78" s="365"/>
      <c r="AL78" s="365"/>
      <c r="AM78" s="365"/>
      <c r="AN78" s="365"/>
    </row>
    <row r="79" spans="1:40">
      <c r="B79" s="90"/>
      <c r="C79" s="90"/>
      <c r="D79" s="90"/>
      <c r="N79" s="46"/>
      <c r="O79" s="46"/>
      <c r="P79" s="46"/>
      <c r="Q79" s="191"/>
      <c r="R79" s="191"/>
      <c r="S79" s="191"/>
      <c r="T79" s="191"/>
      <c r="U79" s="191"/>
      <c r="V79" s="191"/>
      <c r="W79" s="191"/>
      <c r="Y79" s="365"/>
      <c r="Z79" s="365"/>
      <c r="AA79" s="365"/>
      <c r="AB79" s="365"/>
      <c r="AC79" s="365"/>
      <c r="AD79" s="365"/>
      <c r="AE79" s="365"/>
      <c r="AF79" s="365"/>
      <c r="AG79" s="365"/>
      <c r="AH79" s="365"/>
      <c r="AI79" s="365"/>
      <c r="AJ79" s="365"/>
      <c r="AK79" s="365"/>
      <c r="AL79" s="365"/>
      <c r="AM79" s="365"/>
      <c r="AN79" s="365"/>
    </row>
    <row r="80" spans="1:40">
      <c r="Y80" s="365"/>
      <c r="Z80" s="365"/>
      <c r="AA80" s="365"/>
      <c r="AB80" s="365"/>
      <c r="AC80" s="365"/>
      <c r="AD80" s="365"/>
      <c r="AE80" s="365"/>
      <c r="AF80" s="365"/>
      <c r="AG80" s="365"/>
      <c r="AH80" s="365"/>
      <c r="AI80" s="365"/>
      <c r="AJ80" s="365"/>
      <c r="AK80" s="365"/>
      <c r="AL80" s="365"/>
      <c r="AM80" s="365"/>
      <c r="AN80" s="365"/>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5"/>
      <c r="AB81" s="365"/>
      <c r="AC81" s="365"/>
      <c r="AD81" s="365"/>
      <c r="AE81" s="365"/>
      <c r="AF81" s="365"/>
      <c r="AG81" s="365"/>
      <c r="AH81" s="365"/>
      <c r="AI81" s="365"/>
      <c r="AJ81" s="365"/>
      <c r="AK81" s="365"/>
      <c r="AL81" s="365"/>
      <c r="AM81" s="365"/>
      <c r="AN81" s="365"/>
    </row>
    <row r="82" spans="2:40">
      <c r="N82" s="13"/>
      <c r="O82" s="13"/>
      <c r="P82" s="13"/>
      <c r="Q82" s="13"/>
      <c r="R82" s="13"/>
      <c r="S82" s="13"/>
      <c r="T82" s="13"/>
      <c r="U82" s="13"/>
      <c r="V82" s="13"/>
      <c r="W82" s="13"/>
      <c r="X82" s="13"/>
      <c r="Y82" s="13"/>
      <c r="Z82" s="13"/>
      <c r="AA82" s="365"/>
      <c r="AB82" s="365"/>
      <c r="AC82" s="365"/>
      <c r="AD82" s="365"/>
      <c r="AE82" s="365"/>
      <c r="AF82" s="365"/>
      <c r="AG82" s="365"/>
      <c r="AH82" s="365"/>
      <c r="AI82" s="365"/>
      <c r="AJ82" s="365"/>
      <c r="AK82" s="365"/>
      <c r="AL82" s="365"/>
      <c r="AM82" s="365"/>
      <c r="AN82" s="365"/>
    </row>
    <row r="83" spans="2:40" ht="14.25" customHeight="1">
      <c r="B83" s="90" t="s">
        <v>823</v>
      </c>
      <c r="N83" s="21">
        <f t="shared" ref="N83:W83" si="5">N6-N7-N29</f>
        <v>-1000000</v>
      </c>
      <c r="O83" s="21">
        <f t="shared" si="5"/>
        <v>0</v>
      </c>
      <c r="P83" s="21">
        <f t="shared" si="5"/>
        <v>0</v>
      </c>
      <c r="Q83" s="21">
        <f t="shared" si="5"/>
        <v>0</v>
      </c>
      <c r="R83" s="21">
        <f t="shared" si="5"/>
        <v>-100000000</v>
      </c>
      <c r="S83" s="21">
        <f t="shared" si="5"/>
        <v>0</v>
      </c>
      <c r="T83" s="21">
        <f t="shared" si="5"/>
        <v>100000000</v>
      </c>
      <c r="U83" s="21">
        <f t="shared" si="5"/>
        <v>0</v>
      </c>
      <c r="V83" s="21">
        <f t="shared" si="5"/>
        <v>0</v>
      </c>
      <c r="W83" s="21">
        <f t="shared" si="5"/>
        <v>0</v>
      </c>
      <c r="X83" s="21">
        <f t="shared" ref="X83:Y83" si="6">X6-X7-X29</f>
        <v>-100000000</v>
      </c>
      <c r="Y83" s="21">
        <f t="shared" si="6"/>
        <v>0</v>
      </c>
      <c r="Z83" s="21">
        <f t="shared" ref="Z83" si="7">Z6-Z7-Z29</f>
        <v>0</v>
      </c>
      <c r="AA83" s="365"/>
      <c r="AB83" s="365"/>
      <c r="AC83" s="365"/>
      <c r="AD83" s="365"/>
      <c r="AE83" s="365"/>
      <c r="AF83" s="365"/>
      <c r="AG83" s="365"/>
      <c r="AH83" s="365"/>
      <c r="AI83" s="365"/>
      <c r="AJ83" s="365"/>
      <c r="AK83" s="365"/>
      <c r="AL83" s="365"/>
      <c r="AM83" s="365"/>
      <c r="AN83" s="365"/>
    </row>
    <row r="84" spans="2:40">
      <c r="B84" t="s">
        <v>141</v>
      </c>
      <c r="N84" s="51">
        <f t="shared" ref="N84:W84" si="8">N7-N9-N16-N22</f>
        <v>1000000</v>
      </c>
      <c r="O84" s="51">
        <f t="shared" si="8"/>
        <v>0</v>
      </c>
      <c r="P84" s="51">
        <f t="shared" si="8"/>
        <v>0</v>
      </c>
      <c r="Q84" s="21">
        <f t="shared" si="8"/>
        <v>-100000000.00000381</v>
      </c>
      <c r="R84" s="21">
        <f t="shared" si="8"/>
        <v>0</v>
      </c>
      <c r="S84" s="21">
        <f t="shared" si="8"/>
        <v>0</v>
      </c>
      <c r="T84" s="21">
        <f t="shared" si="8"/>
        <v>-100000000</v>
      </c>
      <c r="U84" s="21">
        <f t="shared" si="8"/>
        <v>-100000000</v>
      </c>
      <c r="V84" s="21">
        <f t="shared" si="8"/>
        <v>-100000000</v>
      </c>
      <c r="W84" s="21">
        <f t="shared" si="8"/>
        <v>0</v>
      </c>
      <c r="X84" s="21">
        <f t="shared" ref="X84:Y84" si="9">X7-X9-X16-X22</f>
        <v>99999999.999996185</v>
      </c>
      <c r="Y84" s="21">
        <f t="shared" si="9"/>
        <v>-100000000.00001526</v>
      </c>
      <c r="Z84" s="21">
        <f t="shared" ref="Z84" si="10">Z7-Z9-Z16-Z22</f>
        <v>0</v>
      </c>
      <c r="AA84" s="365"/>
      <c r="AB84" s="365"/>
      <c r="AC84" s="365"/>
      <c r="AD84" s="365"/>
      <c r="AE84" s="365"/>
      <c r="AF84" s="365"/>
      <c r="AG84" s="365"/>
      <c r="AH84" s="365"/>
      <c r="AI84" s="365"/>
      <c r="AJ84" s="365"/>
      <c r="AK84" s="365"/>
      <c r="AL84" s="365"/>
      <c r="AM84" s="365"/>
      <c r="AN84" s="365"/>
    </row>
    <row r="85" spans="2:40">
      <c r="B85" t="s">
        <v>142</v>
      </c>
      <c r="N85" s="51">
        <f>N9-N10-N12-N11-N13-N14</f>
        <v>0</v>
      </c>
      <c r="O85" s="51">
        <f t="shared" ref="O85:P85" si="11">O9-O10-O12-O11-O13-O14</f>
        <v>-1000000</v>
      </c>
      <c r="P85" s="51">
        <f t="shared" si="11"/>
        <v>-1000000</v>
      </c>
      <c r="Q85" s="21">
        <f>Q9-Q10-Q12-Q11-Q13-Q14-Q15</f>
        <v>100000000</v>
      </c>
      <c r="R85" s="21">
        <f t="shared" ref="R85:Y85" si="12">R9-R10-R12-R11-R13-R14-R15</f>
        <v>0</v>
      </c>
      <c r="S85" s="21">
        <f t="shared" si="12"/>
        <v>0</v>
      </c>
      <c r="T85" s="21">
        <f t="shared" si="12"/>
        <v>0</v>
      </c>
      <c r="U85" s="21">
        <f t="shared" si="12"/>
        <v>0</v>
      </c>
      <c r="V85" s="21">
        <f t="shared" si="12"/>
        <v>0</v>
      </c>
      <c r="W85" s="21">
        <f t="shared" si="12"/>
        <v>0</v>
      </c>
      <c r="X85" s="21">
        <f t="shared" si="12"/>
        <v>0</v>
      </c>
      <c r="Y85" s="21">
        <f t="shared" si="12"/>
        <v>-99999999.999984741</v>
      </c>
      <c r="Z85" s="21">
        <f t="shared" ref="Z85" si="13">Z9-Z10-Z12-Z11-Z13-Z14-Z15</f>
        <v>0</v>
      </c>
      <c r="AA85" s="365"/>
      <c r="AB85" s="365"/>
      <c r="AC85" s="365"/>
      <c r="AD85" s="365"/>
      <c r="AE85" s="365"/>
      <c r="AF85" s="365"/>
      <c r="AG85" s="365"/>
      <c r="AH85" s="365"/>
      <c r="AI85" s="365"/>
      <c r="AJ85" s="365"/>
      <c r="AK85" s="365"/>
      <c r="AL85" s="365"/>
      <c r="AM85" s="365"/>
      <c r="AN85" s="365"/>
    </row>
    <row r="86" spans="2:40">
      <c r="B86" t="s">
        <v>2609</v>
      </c>
      <c r="N86" s="51">
        <f>N16-N20-N21</f>
        <v>0</v>
      </c>
      <c r="O86" s="51">
        <f>O16-O20-O21</f>
        <v>0</v>
      </c>
      <c r="P86" s="51">
        <f>P16-P20-P21</f>
        <v>0</v>
      </c>
      <c r="Q86" s="21">
        <f>Q16-Q17-Q18-Q19-Q20-Q21</f>
        <v>0</v>
      </c>
      <c r="R86" s="21">
        <f t="shared" ref="R86:Y86" si="14">R16-R17-R18-R19-R20-R21</f>
        <v>0</v>
      </c>
      <c r="S86" s="21">
        <f t="shared" si="14"/>
        <v>-9.5367431640625E-7</v>
      </c>
      <c r="T86" s="21">
        <f t="shared" si="14"/>
        <v>0</v>
      </c>
      <c r="U86" s="21">
        <f t="shared" si="14"/>
        <v>100000000</v>
      </c>
      <c r="V86" s="21">
        <f t="shared" si="14"/>
        <v>0</v>
      </c>
      <c r="W86" s="21">
        <f t="shared" si="14"/>
        <v>0</v>
      </c>
      <c r="X86" s="21">
        <f t="shared" si="14"/>
        <v>0</v>
      </c>
      <c r="Y86" s="21">
        <f t="shared" si="14"/>
        <v>0</v>
      </c>
      <c r="Z86" s="21">
        <f t="shared" ref="Z86" si="15">Z16-Z17-Z18-Z19-Z20-Z21</f>
        <v>0</v>
      </c>
      <c r="AA86" s="365"/>
    </row>
    <row r="87" spans="2:40">
      <c r="B87" t="s">
        <v>360</v>
      </c>
      <c r="N87" s="51">
        <f>N22-N24-N25-N26-N27</f>
        <v>0</v>
      </c>
      <c r="O87" s="51">
        <f t="shared" ref="O87:P87" si="16">O22-O24-O25-O26-O27</f>
        <v>-1000000</v>
      </c>
      <c r="P87" s="51">
        <f t="shared" si="16"/>
        <v>-1000000</v>
      </c>
      <c r="Q87" s="21">
        <f>Q22-Q23-Q24-Q25-Q26-Q27</f>
        <v>100000000</v>
      </c>
      <c r="R87" s="21">
        <f t="shared" ref="R87:Y87" si="17">R22-R23-R24-R25-R26-R27</f>
        <v>0</v>
      </c>
      <c r="S87" s="21">
        <f t="shared" si="17"/>
        <v>100000000</v>
      </c>
      <c r="T87" s="21">
        <f t="shared" si="17"/>
        <v>100000000</v>
      </c>
      <c r="U87" s="21">
        <f t="shared" si="17"/>
        <v>100000000</v>
      </c>
      <c r="V87" s="21">
        <f t="shared" si="17"/>
        <v>100000000</v>
      </c>
      <c r="W87" s="21">
        <f t="shared" si="17"/>
        <v>-100000000</v>
      </c>
      <c r="X87" s="21">
        <f t="shared" si="17"/>
        <v>-99999999.999996185</v>
      </c>
      <c r="Y87" s="21">
        <f t="shared" si="17"/>
        <v>100000000</v>
      </c>
      <c r="Z87" s="21">
        <f t="shared" ref="Z87" si="18">Z22-Z23-Z24-Z25-Z26-Z27</f>
        <v>0</v>
      </c>
    </row>
    <row r="88" spans="2:40">
      <c r="B88" t="s">
        <v>145</v>
      </c>
      <c r="N88" s="51">
        <f t="shared" ref="N88:W88" si="19">N30-N31-N49</f>
        <v>0</v>
      </c>
      <c r="O88" s="51">
        <f t="shared" si="19"/>
        <v>0</v>
      </c>
      <c r="P88" s="51">
        <f t="shared" si="19"/>
        <v>0</v>
      </c>
      <c r="Q88" s="21">
        <f t="shared" si="19"/>
        <v>100000000</v>
      </c>
      <c r="R88" s="21">
        <f t="shared" si="19"/>
        <v>100000000</v>
      </c>
      <c r="S88" s="21">
        <f t="shared" si="19"/>
        <v>0</v>
      </c>
      <c r="T88" s="21">
        <f t="shared" si="19"/>
        <v>7.62939453125E-6</v>
      </c>
      <c r="U88" s="21">
        <f t="shared" si="19"/>
        <v>0</v>
      </c>
      <c r="V88" s="21">
        <f t="shared" si="19"/>
        <v>0</v>
      </c>
      <c r="W88" s="21">
        <f t="shared" si="19"/>
        <v>0</v>
      </c>
      <c r="X88" s="21">
        <f t="shared" ref="X88:Y88" si="20">X30-X31-X49</f>
        <v>0</v>
      </c>
      <c r="Y88" s="21">
        <f t="shared" si="20"/>
        <v>0</v>
      </c>
      <c r="Z88" s="21">
        <f t="shared" ref="Z88" si="21">Z30-Z31-Z49</f>
        <v>0</v>
      </c>
    </row>
    <row r="89" spans="2:40">
      <c r="B89" t="s">
        <v>826</v>
      </c>
      <c r="N89" s="21">
        <f t="shared" ref="N89:W89" si="22">N31-N32-N33-N34-N37-N41-N47</f>
        <v>-1000000</v>
      </c>
      <c r="O89" s="21">
        <f t="shared" si="22"/>
        <v>-1000000</v>
      </c>
      <c r="P89" s="21">
        <f t="shared" si="22"/>
        <v>0</v>
      </c>
      <c r="Q89" s="21">
        <f t="shared" si="22"/>
        <v>0</v>
      </c>
      <c r="R89" s="21">
        <f t="shared" si="22"/>
        <v>100000000</v>
      </c>
      <c r="S89" s="21">
        <f t="shared" si="22"/>
        <v>0</v>
      </c>
      <c r="T89" s="21">
        <f t="shared" si="22"/>
        <v>100000000</v>
      </c>
      <c r="U89" s="21">
        <f t="shared" si="22"/>
        <v>0</v>
      </c>
      <c r="V89" s="21">
        <f t="shared" si="22"/>
        <v>0</v>
      </c>
      <c r="W89" s="21">
        <f t="shared" si="22"/>
        <v>0</v>
      </c>
      <c r="X89" s="21">
        <f t="shared" ref="X89:Y89" si="23">X31-X32-X33-X34-X37-X41-X47</f>
        <v>0</v>
      </c>
      <c r="Y89" s="21">
        <f t="shared" si="23"/>
        <v>0</v>
      </c>
      <c r="Z89" s="21">
        <f t="shared" ref="Z89" si="24">Z31-Z32-Z33-Z34-Z37-Z41-Z47</f>
        <v>0</v>
      </c>
    </row>
    <row r="90" spans="2:40">
      <c r="B90" t="s">
        <v>721</v>
      </c>
      <c r="N90" s="21">
        <f t="shared" ref="N90:W90" si="25">N41-N42-N43-N46</f>
        <v>0</v>
      </c>
      <c r="O90" s="21">
        <f t="shared" si="25"/>
        <v>0</v>
      </c>
      <c r="P90" s="21">
        <f t="shared" si="25"/>
        <v>0</v>
      </c>
      <c r="Q90" s="21">
        <f t="shared" si="25"/>
        <v>100000000</v>
      </c>
      <c r="R90" s="21">
        <f t="shared" si="25"/>
        <v>0</v>
      </c>
      <c r="S90" s="21">
        <f t="shared" si="25"/>
        <v>100000000</v>
      </c>
      <c r="T90" s="21">
        <f t="shared" si="25"/>
        <v>0</v>
      </c>
      <c r="U90" s="21">
        <f t="shared" si="25"/>
        <v>0</v>
      </c>
      <c r="V90" s="21">
        <f t="shared" si="25"/>
        <v>0</v>
      </c>
      <c r="W90" s="21">
        <f t="shared" si="25"/>
        <v>0</v>
      </c>
      <c r="X90" s="21">
        <f t="shared" ref="X90:Y90" si="26">X41-X42-X43-X46</f>
        <v>-100000000</v>
      </c>
      <c r="Y90" s="21">
        <f t="shared" si="26"/>
        <v>0</v>
      </c>
      <c r="Z90" s="21">
        <f t="shared" ref="Z90" si="27">Z41-Z42-Z43-Z46</f>
        <v>0</v>
      </c>
    </row>
    <row r="91" spans="2:40">
      <c r="B91" t="s">
        <v>6124</v>
      </c>
      <c r="N91" s="21">
        <f>N43-N44-N45</f>
        <v>0</v>
      </c>
      <c r="O91" s="21">
        <f t="shared" ref="O91:W91" si="28">O43-O44-O45</f>
        <v>0</v>
      </c>
      <c r="P91" s="21">
        <f t="shared" si="28"/>
        <v>0</v>
      </c>
      <c r="Q91" s="21">
        <f t="shared" si="28"/>
        <v>0</v>
      </c>
      <c r="R91" s="21">
        <f t="shared" si="28"/>
        <v>0</v>
      </c>
      <c r="S91" s="21">
        <f t="shared" si="28"/>
        <v>0</v>
      </c>
      <c r="T91" s="21">
        <f t="shared" si="28"/>
        <v>0</v>
      </c>
      <c r="U91" s="21">
        <f t="shared" si="28"/>
        <v>0</v>
      </c>
      <c r="V91" s="21">
        <f t="shared" si="28"/>
        <v>0</v>
      </c>
      <c r="W91" s="21">
        <f t="shared" si="28"/>
        <v>0</v>
      </c>
      <c r="X91" s="21">
        <f t="shared" ref="X91:Y91" si="29">X43-X44-X45</f>
        <v>0</v>
      </c>
      <c r="Y91" s="21">
        <f t="shared" si="29"/>
        <v>0</v>
      </c>
      <c r="Z91" s="21">
        <f t="shared" ref="Z91" si="30">Z43-Z44-Z45</f>
        <v>0</v>
      </c>
    </row>
    <row r="92" spans="2:40">
      <c r="B92" t="s">
        <v>148</v>
      </c>
      <c r="N92" s="21">
        <f>N55-N56-N59</f>
        <v>0</v>
      </c>
      <c r="O92" s="21">
        <f t="shared" ref="O92:W92" si="31">O55-O56-O59</f>
        <v>-1000000</v>
      </c>
      <c r="P92" s="21">
        <f t="shared" si="31"/>
        <v>0</v>
      </c>
      <c r="Q92" s="21">
        <f>Q55-Q56-Q59</f>
        <v>-100000000</v>
      </c>
      <c r="R92" s="21">
        <f t="shared" si="31"/>
        <v>-100000000</v>
      </c>
      <c r="S92" s="21">
        <f t="shared" si="31"/>
        <v>-100000000</v>
      </c>
      <c r="T92" s="21">
        <f t="shared" si="31"/>
        <v>0</v>
      </c>
      <c r="U92" s="21">
        <f t="shared" si="31"/>
        <v>100000000</v>
      </c>
      <c r="V92" s="21">
        <f t="shared" si="31"/>
        <v>-100000000</v>
      </c>
      <c r="W92" s="21">
        <f t="shared" si="31"/>
        <v>0</v>
      </c>
      <c r="X92" s="21">
        <f t="shared" ref="X92:Y92" si="32">X55-X56-X59</f>
        <v>0</v>
      </c>
      <c r="Y92" s="21">
        <f t="shared" si="32"/>
        <v>0</v>
      </c>
      <c r="Z92" s="21">
        <f t="shared" ref="Z92" si="33">Z55-Z56-Z59</f>
        <v>0</v>
      </c>
    </row>
    <row r="93" spans="2:40">
      <c r="B93" t="s">
        <v>528</v>
      </c>
      <c r="N93" s="21">
        <f>N56-N57-N58</f>
        <v>1000000</v>
      </c>
      <c r="O93" s="21">
        <f t="shared" ref="O93:W93" si="34">O56-O57-O58</f>
        <v>0</v>
      </c>
      <c r="P93" s="21">
        <f t="shared" si="34"/>
        <v>0</v>
      </c>
      <c r="Q93" s="21">
        <f t="shared" si="34"/>
        <v>0</v>
      </c>
      <c r="R93" s="21">
        <f t="shared" si="34"/>
        <v>0</v>
      </c>
      <c r="S93" s="21">
        <f t="shared" si="34"/>
        <v>0</v>
      </c>
      <c r="T93" s="21">
        <f t="shared" si="34"/>
        <v>0</v>
      </c>
      <c r="U93" s="21">
        <f t="shared" si="34"/>
        <v>0</v>
      </c>
      <c r="V93" s="21">
        <f t="shared" si="34"/>
        <v>0</v>
      </c>
      <c r="W93" s="21">
        <f t="shared" si="34"/>
        <v>0</v>
      </c>
      <c r="X93" s="21">
        <f t="shared" ref="X93:Y93" si="35">X56-X57-X58</f>
        <v>0</v>
      </c>
      <c r="Y93" s="21">
        <f t="shared" si="35"/>
        <v>0</v>
      </c>
      <c r="Z93" s="21">
        <f t="shared" ref="Z93" si="36">Z56-Z57-Z58</f>
        <v>0</v>
      </c>
    </row>
    <row r="94" spans="2:40">
      <c r="B94" t="s">
        <v>297</v>
      </c>
      <c r="N94" s="21">
        <f>N59-N60-N64-N65</f>
        <v>0</v>
      </c>
      <c r="O94" s="21">
        <f t="shared" ref="O94:P94" si="37">O59-O60-O64-O65</f>
        <v>1000000</v>
      </c>
      <c r="P94" s="21">
        <f t="shared" si="37"/>
        <v>0</v>
      </c>
      <c r="Q94" s="21">
        <f>Q59-Q60-Q64-Q65-Q66</f>
        <v>100000000</v>
      </c>
      <c r="R94" s="21">
        <f>R59-R60-R64-R65-R66</f>
        <v>0</v>
      </c>
      <c r="S94" s="21">
        <f t="shared" ref="S94:Y94" si="38">S59-S60-S64-S65-S66</f>
        <v>100000000</v>
      </c>
      <c r="T94" s="21">
        <f t="shared" si="38"/>
        <v>0</v>
      </c>
      <c r="U94" s="21">
        <f t="shared" si="38"/>
        <v>0</v>
      </c>
      <c r="V94" s="21">
        <f t="shared" si="38"/>
        <v>100000000</v>
      </c>
      <c r="W94" s="21">
        <f t="shared" si="38"/>
        <v>100000000</v>
      </c>
      <c r="X94" s="21">
        <f t="shared" si="38"/>
        <v>0</v>
      </c>
      <c r="Y94" s="21">
        <f t="shared" si="38"/>
        <v>0</v>
      </c>
      <c r="Z94" s="21">
        <f t="shared" ref="Z94" si="39">Z59-Z60-Z64-Z65-Z66</f>
        <v>0</v>
      </c>
    </row>
    <row r="95" spans="2:40">
      <c r="M95" s="21"/>
    </row>
    <row r="97" spans="2:26">
      <c r="B97" t="s">
        <v>1040</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40">(Q6/Q97)*100</f>
        <v>11.00770218228498</v>
      </c>
      <c r="R98">
        <f t="shared" si="40"/>
        <v>12.015693967631192</v>
      </c>
      <c r="S98">
        <f t="shared" si="40"/>
        <v>11.031956035009159</v>
      </c>
      <c r="T98">
        <f t="shared" si="40"/>
        <v>10.006973500697351</v>
      </c>
      <c r="U98">
        <f t="shared" si="40"/>
        <v>11.465340742907284</v>
      </c>
      <c r="V98">
        <f t="shared" si="40"/>
        <v>12.428878492856239</v>
      </c>
      <c r="W98">
        <f t="shared" si="40"/>
        <v>13.015279762559084</v>
      </c>
      <c r="X98">
        <f t="shared" si="40"/>
        <v>13.653241930876892</v>
      </c>
      <c r="Y98">
        <f t="shared" si="40"/>
        <v>14.860834990059644</v>
      </c>
      <c r="Z98">
        <f t="shared" ref="Z98" si="41">(Z6/Z97)*100</f>
        <v>18.737574552668377</v>
      </c>
    </row>
    <row r="99" spans="2:26">
      <c r="B99" t="s">
        <v>1132</v>
      </c>
      <c r="N99">
        <f>(N30/N97)*100</f>
        <v>19.038400549711927</v>
      </c>
      <c r="O99">
        <f>(O30/O97)*100</f>
        <v>17.812125769348594</v>
      </c>
      <c r="P99">
        <f>(P30/P97)*100</f>
        <v>13.52729786376104</v>
      </c>
      <c r="Q99">
        <f t="shared" ref="Q99:Y99" si="42">(Q30/Q97)*100</f>
        <v>13.318356867779205</v>
      </c>
      <c r="R99">
        <f t="shared" si="42"/>
        <v>13.437959784207946</v>
      </c>
      <c r="S99">
        <f t="shared" si="42"/>
        <v>12.904538978221048</v>
      </c>
      <c r="T99">
        <f t="shared" si="42"/>
        <v>11.837517433751744</v>
      </c>
      <c r="U99">
        <f t="shared" si="42"/>
        <v>13.863702837086866</v>
      </c>
      <c r="V99">
        <f t="shared" si="42"/>
        <v>15.615122012896702</v>
      </c>
      <c r="W99">
        <f t="shared" si="42"/>
        <v>16.950643069143673</v>
      </c>
      <c r="X99">
        <f t="shared" si="42"/>
        <v>18.851756640959728</v>
      </c>
      <c r="Y99">
        <f t="shared" si="42"/>
        <v>21.288933068257123</v>
      </c>
      <c r="Z99">
        <f t="shared" ref="Z99" si="43">(Z30/Z97)*100</f>
        <v>28.818754141791896</v>
      </c>
    </row>
    <row r="103" spans="2:26">
      <c r="B103" t="s">
        <v>153</v>
      </c>
      <c r="N103" t="b">
        <f>IF(N45&lt;0, (N45/N7)*100)</f>
        <v>0</v>
      </c>
      <c r="O103" t="b">
        <f t="shared" ref="O103:Z103" si="44">IF(O45&lt;0, (O45/O7)*100)</f>
        <v>0</v>
      </c>
      <c r="P103" t="b">
        <f t="shared" si="44"/>
        <v>0</v>
      </c>
      <c r="Q103" t="b">
        <f t="shared" si="44"/>
        <v>0</v>
      </c>
      <c r="R103" t="b">
        <f t="shared" si="44"/>
        <v>0</v>
      </c>
      <c r="S103" t="b">
        <f t="shared" si="44"/>
        <v>0</v>
      </c>
      <c r="T103" t="b">
        <f t="shared" si="44"/>
        <v>0</v>
      </c>
      <c r="U103" t="b">
        <f t="shared" si="44"/>
        <v>0</v>
      </c>
      <c r="V103" t="b">
        <f t="shared" si="44"/>
        <v>0</v>
      </c>
      <c r="W103" t="b">
        <f t="shared" si="44"/>
        <v>0</v>
      </c>
      <c r="X103" t="b">
        <f t="shared" si="44"/>
        <v>0</v>
      </c>
      <c r="Y103" t="b">
        <f t="shared" si="44"/>
        <v>0</v>
      </c>
      <c r="Z103" t="b">
        <f t="shared" si="44"/>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71"/>
  <sheetViews>
    <sheetView zoomScale="70" zoomScaleNormal="70" workbookViewId="0">
      <pane xSplit="3" ySplit="5" topLeftCell="I30" activePane="bottomRight" state="frozen"/>
      <selection pane="topRight" activeCell="R7" sqref="R7"/>
      <selection pane="bottomLeft" activeCell="R7" sqref="R7"/>
      <selection pane="bottomRight" activeCell="K49" sqref="K49:K52"/>
    </sheetView>
  </sheetViews>
  <sheetFormatPr defaultRowHeight="15"/>
  <cols>
    <col min="1" max="1" width="39.85546875" bestFit="1" customWidth="1"/>
    <col min="2" max="2" width="57.140625" bestFit="1" customWidth="1"/>
    <col min="3" max="3" width="24.5703125" bestFit="1" customWidth="1"/>
    <col min="4" max="6" width="14.85546875" bestFit="1" customWidth="1"/>
    <col min="7" max="10" width="15" bestFit="1" customWidth="1"/>
    <col min="11" max="11" width="15.42578125" bestFit="1" customWidth="1"/>
    <col min="12" max="12" width="15" bestFit="1" customWidth="1"/>
    <col min="13" max="16" width="15.42578125" bestFit="1" customWidth="1"/>
    <col min="17" max="17" width="15.7109375" bestFit="1" customWidth="1"/>
    <col min="18" max="23" width="15.42578125" bestFit="1" customWidth="1"/>
  </cols>
  <sheetData>
    <row r="1" spans="1:46">
      <c r="A1" s="369" t="s">
        <v>6125</v>
      </c>
      <c r="B1" s="82" t="s">
        <v>6126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row>
    <row r="2" spans="1:46">
      <c r="B2" s="30" t="s">
        <v>6127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row>
    <row r="6" spans="1:46" s="9" customFormat="1">
      <c r="A6" s="239" t="s">
        <v>33</v>
      </c>
      <c r="B6" s="239" t="s">
        <v>6128</v>
      </c>
      <c r="C6" s="55" t="s">
        <v>35</v>
      </c>
      <c r="D6" s="168">
        <f t="shared" ref="D6:P6" si="0">D7+D16</f>
        <v>323000000</v>
      </c>
      <c r="E6" s="168">
        <f t="shared" si="0"/>
        <v>643900000</v>
      </c>
      <c r="F6" s="168">
        <f t="shared" si="0"/>
        <v>653800000</v>
      </c>
      <c r="G6" s="168">
        <f t="shared" si="0"/>
        <v>1159200000</v>
      </c>
      <c r="H6" s="168">
        <f t="shared" si="0"/>
        <v>1347720000</v>
      </c>
      <c r="I6" s="168">
        <f t="shared" si="0"/>
        <v>1685256000</v>
      </c>
      <c r="J6" s="168">
        <f t="shared" si="0"/>
        <v>1967238000</v>
      </c>
      <c r="K6" s="168">
        <f t="shared" si="0"/>
        <v>2458605000</v>
      </c>
      <c r="L6" s="168">
        <f t="shared" si="0"/>
        <v>2317822000.0000005</v>
      </c>
      <c r="M6" s="168">
        <f t="shared" si="0"/>
        <v>2443896000.0000005</v>
      </c>
      <c r="N6" s="168">
        <f t="shared" si="0"/>
        <v>2734176000</v>
      </c>
      <c r="O6" s="168">
        <f t="shared" si="0"/>
        <v>3849929999.9999995</v>
      </c>
      <c r="P6" s="168">
        <f t="shared" si="0"/>
        <v>4125093000</v>
      </c>
      <c r="Q6" s="168">
        <f>Q7+Q16</f>
        <v>4384000000</v>
      </c>
      <c r="R6" s="168">
        <f t="shared" ref="R6:V6" si="1">R7+R16</f>
        <v>4168000000</v>
      </c>
      <c r="S6" s="168">
        <f t="shared" si="1"/>
        <v>3688000000</v>
      </c>
      <c r="T6" s="168">
        <f t="shared" si="1"/>
        <v>4687000000</v>
      </c>
      <c r="U6" s="168">
        <f t="shared" si="1"/>
        <v>6083000000</v>
      </c>
      <c r="V6" s="168">
        <f t="shared" si="1"/>
        <v>7494000000</v>
      </c>
      <c r="W6" s="168"/>
      <c r="X6" s="168"/>
      <c r="Y6" s="365"/>
      <c r="Z6" s="365"/>
      <c r="AA6" s="365"/>
      <c r="AB6" s="365"/>
      <c r="AC6" s="365"/>
      <c r="AD6" s="365"/>
      <c r="AE6" s="365"/>
      <c r="AF6" s="365"/>
      <c r="AG6" s="365"/>
      <c r="AH6" s="365"/>
      <c r="AI6" s="365"/>
      <c r="AJ6" s="365"/>
      <c r="AK6" s="365"/>
      <c r="AL6" s="365"/>
      <c r="AM6" s="365"/>
      <c r="AN6" s="365"/>
      <c r="AO6" s="365"/>
      <c r="AP6" s="365"/>
      <c r="AQ6" s="365"/>
      <c r="AR6" s="365"/>
      <c r="AS6" s="365"/>
      <c r="AT6" s="365"/>
    </row>
    <row r="7" spans="1:46">
      <c r="A7" s="208" t="s">
        <v>36</v>
      </c>
      <c r="B7" s="208" t="s">
        <v>36</v>
      </c>
      <c r="C7" s="345" t="s">
        <v>38</v>
      </c>
      <c r="D7" s="125">
        <f t="shared" ref="D7:P7" si="2">D8+D13</f>
        <v>297700000</v>
      </c>
      <c r="E7" s="125">
        <f t="shared" si="2"/>
        <v>616500000</v>
      </c>
      <c r="F7" s="125">
        <f t="shared" si="2"/>
        <v>623800000</v>
      </c>
      <c r="G7" s="125">
        <f t="shared" si="2"/>
        <v>1079400000</v>
      </c>
      <c r="H7" s="125">
        <f t="shared" si="2"/>
        <v>1276250000</v>
      </c>
      <c r="I7" s="125">
        <f t="shared" si="2"/>
        <v>1581454000</v>
      </c>
      <c r="J7" s="125">
        <f t="shared" si="2"/>
        <v>1866354000</v>
      </c>
      <c r="K7" s="125">
        <f t="shared" si="2"/>
        <v>2305446000</v>
      </c>
      <c r="L7" s="125">
        <f t="shared" si="2"/>
        <v>2114164000.0000002</v>
      </c>
      <c r="M7" s="125">
        <f t="shared" si="2"/>
        <v>2123862000.0000005</v>
      </c>
      <c r="N7" s="125">
        <f t="shared" si="2"/>
        <v>2494336000</v>
      </c>
      <c r="O7" s="125">
        <f t="shared" si="2"/>
        <v>3735857999.9999995</v>
      </c>
      <c r="P7" s="125">
        <f t="shared" si="2"/>
        <v>4125093000</v>
      </c>
      <c r="Q7" s="125">
        <f>Q8+Q13</f>
        <v>4384000000</v>
      </c>
      <c r="R7" s="125">
        <f t="shared" ref="R7:V7" si="3">R8+R13</f>
        <v>4168000000</v>
      </c>
      <c r="S7" s="125">
        <f t="shared" si="3"/>
        <v>3688000000</v>
      </c>
      <c r="T7" s="125">
        <f t="shared" si="3"/>
        <v>4687000000</v>
      </c>
      <c r="U7" s="125">
        <f t="shared" si="3"/>
        <v>6083000000</v>
      </c>
      <c r="V7" s="125">
        <f t="shared" si="3"/>
        <v>7494000000</v>
      </c>
      <c r="W7" s="2479"/>
      <c r="X7" s="2"/>
      <c r="Y7" s="365"/>
      <c r="Z7" s="365"/>
      <c r="AA7" s="365"/>
      <c r="AB7" s="365"/>
      <c r="AC7" s="365"/>
      <c r="AD7" s="365"/>
      <c r="AE7" s="365"/>
      <c r="AF7" s="365"/>
      <c r="AG7" s="365"/>
      <c r="AH7" s="365"/>
      <c r="AI7" s="365"/>
      <c r="AJ7" s="365"/>
      <c r="AK7" s="365"/>
      <c r="AL7" s="365"/>
      <c r="AM7" s="365"/>
      <c r="AN7" s="365"/>
      <c r="AO7" s="365"/>
      <c r="AP7" s="365"/>
      <c r="AQ7" s="365"/>
      <c r="AR7" s="365"/>
      <c r="AS7" s="365"/>
      <c r="AT7" s="365"/>
    </row>
    <row r="8" spans="1:46">
      <c r="A8" s="64" t="s">
        <v>371</v>
      </c>
      <c r="B8" s="64" t="s">
        <v>371</v>
      </c>
      <c r="C8" s="58" t="s">
        <v>41</v>
      </c>
      <c r="D8" s="319">
        <f t="shared" ref="D8:K8" si="4">D9+D12</f>
        <v>271800000</v>
      </c>
      <c r="E8" s="319">
        <f t="shared" si="4"/>
        <v>556300000</v>
      </c>
      <c r="F8" s="319">
        <f t="shared" si="4"/>
        <v>546300000</v>
      </c>
      <c r="G8" s="319">
        <f t="shared" si="4"/>
        <v>928200000</v>
      </c>
      <c r="H8" s="319">
        <f t="shared" si="4"/>
        <v>1117995000</v>
      </c>
      <c r="I8" s="319">
        <f t="shared" si="4"/>
        <v>1300578000</v>
      </c>
      <c r="J8" s="319">
        <f t="shared" si="4"/>
        <v>1578114000</v>
      </c>
      <c r="K8" s="319">
        <f t="shared" si="4"/>
        <v>1918518000</v>
      </c>
      <c r="L8" s="125">
        <v>1745640000.0000002</v>
      </c>
      <c r="M8" s="125">
        <v>1483794000.0000002</v>
      </c>
      <c r="N8" s="210">
        <v>1882744000.0000002</v>
      </c>
      <c r="O8" s="125">
        <v>2666432999.9999995</v>
      </c>
      <c r="P8" s="319">
        <f>P9+P12</f>
        <v>3010203000</v>
      </c>
      <c r="Q8" s="125">
        <f>Q9+Q12</f>
        <v>3333000000</v>
      </c>
      <c r="R8" s="125">
        <f t="shared" ref="R8:V8" si="5">R9+R12</f>
        <v>3058000000</v>
      </c>
      <c r="S8" s="125">
        <f t="shared" si="5"/>
        <v>2886000000</v>
      </c>
      <c r="T8" s="125">
        <f t="shared" si="5"/>
        <v>3589000000</v>
      </c>
      <c r="U8" s="125">
        <f t="shared" si="5"/>
        <v>4493000000</v>
      </c>
      <c r="V8" s="125">
        <f t="shared" si="5"/>
        <v>5703000000</v>
      </c>
      <c r="W8" s="125"/>
      <c r="X8" s="2"/>
      <c r="Y8" s="365"/>
      <c r="Z8" s="365"/>
      <c r="AA8" s="365"/>
      <c r="AB8" s="365"/>
      <c r="AC8" s="365"/>
      <c r="AD8" s="365"/>
      <c r="AE8" s="365"/>
      <c r="AF8" s="365"/>
      <c r="AG8" s="365"/>
      <c r="AH8" s="365"/>
      <c r="AI8" s="365"/>
      <c r="AJ8" s="365"/>
      <c r="AK8" s="365"/>
      <c r="AL8" s="365"/>
      <c r="AM8" s="365"/>
      <c r="AN8" s="365"/>
      <c r="AO8" s="365"/>
      <c r="AP8" s="365"/>
      <c r="AQ8" s="365"/>
      <c r="AR8" s="365"/>
      <c r="AS8" s="365"/>
      <c r="AT8" s="365"/>
    </row>
    <row r="9" spans="1:46">
      <c r="A9" s="65" t="s">
        <v>989</v>
      </c>
      <c r="B9" s="65" t="s">
        <v>990</v>
      </c>
      <c r="C9" s="27" t="s">
        <v>44</v>
      </c>
      <c r="D9" s="293">
        <v>147900000</v>
      </c>
      <c r="E9" s="293">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1886000000</v>
      </c>
      <c r="R9" s="125">
        <v>1649000000</v>
      </c>
      <c r="S9" s="125">
        <v>1291000000</v>
      </c>
      <c r="T9" s="125">
        <v>1409000000</v>
      </c>
      <c r="U9" s="125">
        <v>1911000000</v>
      </c>
      <c r="V9" s="125">
        <v>2125000000</v>
      </c>
      <c r="W9" s="125"/>
      <c r="X9" s="125"/>
      <c r="Y9" s="125"/>
      <c r="Z9" s="125"/>
      <c r="AA9" s="125"/>
      <c r="AB9" s="125"/>
      <c r="AC9" s="365"/>
      <c r="AD9" s="365"/>
      <c r="AE9" s="365"/>
      <c r="AF9" s="365"/>
      <c r="AG9" s="365"/>
      <c r="AH9" s="365"/>
      <c r="AI9" s="365"/>
      <c r="AJ9" s="365"/>
      <c r="AK9" s="365"/>
      <c r="AL9" s="365"/>
      <c r="AM9" s="365"/>
      <c r="AN9" s="365"/>
      <c r="AO9" s="365"/>
      <c r="AP9" s="365"/>
      <c r="AQ9" s="365"/>
      <c r="AR9" s="365"/>
      <c r="AS9" s="365"/>
      <c r="AT9" s="365"/>
    </row>
    <row r="10" spans="1:46">
      <c r="A10" s="65" t="s">
        <v>7202</v>
      </c>
      <c r="B10" s="65" t="s">
        <v>7202</v>
      </c>
      <c r="C10" s="27" t="s">
        <v>3233</v>
      </c>
      <c r="D10" s="293"/>
      <c r="E10" s="293"/>
      <c r="F10" s="125"/>
      <c r="G10" s="125"/>
      <c r="H10" s="125"/>
      <c r="I10" s="125"/>
      <c r="J10" s="125"/>
      <c r="K10" s="125"/>
      <c r="L10" s="125"/>
      <c r="M10" s="125"/>
      <c r="N10" s="210"/>
      <c r="O10" s="125"/>
      <c r="P10" s="125"/>
      <c r="Q10" s="125">
        <v>1026000000</v>
      </c>
      <c r="R10" s="13">
        <v>758000000</v>
      </c>
      <c r="S10" s="125">
        <v>315000000</v>
      </c>
      <c r="T10" s="13">
        <v>294000000</v>
      </c>
      <c r="U10" s="13">
        <v>616000000</v>
      </c>
      <c r="V10" s="13">
        <v>667000000</v>
      </c>
      <c r="W10" s="125"/>
      <c r="X10" s="125"/>
      <c r="Y10" s="125"/>
      <c r="Z10" s="125"/>
      <c r="AA10" s="125"/>
      <c r="AB10" s="125"/>
      <c r="AC10" s="365"/>
      <c r="AD10" s="365"/>
      <c r="AE10" s="365"/>
      <c r="AF10" s="365"/>
      <c r="AG10" s="365"/>
      <c r="AH10" s="365"/>
      <c r="AI10" s="365"/>
      <c r="AJ10" s="365"/>
      <c r="AK10" s="365"/>
      <c r="AL10" s="365"/>
      <c r="AM10" s="365"/>
      <c r="AN10" s="365"/>
      <c r="AO10" s="365"/>
      <c r="AP10" s="365"/>
      <c r="AQ10" s="365"/>
      <c r="AR10" s="365"/>
      <c r="AS10" s="365"/>
      <c r="AT10" s="365"/>
    </row>
    <row r="11" spans="1:46">
      <c r="A11" s="65" t="s">
        <v>50</v>
      </c>
      <c r="B11" s="65" t="s">
        <v>50</v>
      </c>
      <c r="C11" s="27" t="s">
        <v>3233</v>
      </c>
      <c r="D11" s="293"/>
      <c r="E11" s="293"/>
      <c r="F11" s="125"/>
      <c r="G11" s="125"/>
      <c r="H11" s="125"/>
      <c r="I11" s="125"/>
      <c r="J11" s="125"/>
      <c r="K11" s="125"/>
      <c r="L11" s="125"/>
      <c r="M11" s="125"/>
      <c r="N11" s="210"/>
      <c r="O11" s="125"/>
      <c r="P11" s="125"/>
      <c r="Q11" s="125">
        <f>Q9-Q10</f>
        <v>860000000</v>
      </c>
      <c r="R11" s="125">
        <f t="shared" ref="R11:V11" si="6">R9-R10</f>
        <v>891000000</v>
      </c>
      <c r="S11" s="125">
        <f t="shared" si="6"/>
        <v>976000000</v>
      </c>
      <c r="T11" s="125">
        <f t="shared" si="6"/>
        <v>1115000000</v>
      </c>
      <c r="U11" s="125">
        <f t="shared" si="6"/>
        <v>1295000000</v>
      </c>
      <c r="V11" s="125">
        <f t="shared" si="6"/>
        <v>1458000000</v>
      </c>
      <c r="W11" s="125"/>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row>
    <row r="12" spans="1:46">
      <c r="A12" s="65" t="s">
        <v>992</v>
      </c>
      <c r="B12" s="65" t="s">
        <v>993</v>
      </c>
      <c r="C12" s="27" t="s">
        <v>44</v>
      </c>
      <c r="D12" s="293">
        <v>123900000</v>
      </c>
      <c r="E12" s="293">
        <v>267300000</v>
      </c>
      <c r="F12" s="125">
        <v>313900000</v>
      </c>
      <c r="G12" s="125">
        <v>541800000</v>
      </c>
      <c r="H12" s="125">
        <v>587075000</v>
      </c>
      <c r="I12" s="125">
        <v>628918000</v>
      </c>
      <c r="J12" s="125">
        <v>828690000</v>
      </c>
      <c r="K12" s="125">
        <v>975381000</v>
      </c>
      <c r="L12" s="125">
        <v>863122000.00000012</v>
      </c>
      <c r="M12" s="125">
        <v>785538000.00000012</v>
      </c>
      <c r="N12" s="210">
        <v>911392000.00000012</v>
      </c>
      <c r="O12" s="125">
        <v>1326087000</v>
      </c>
      <c r="P12" s="125">
        <v>1433430000</v>
      </c>
      <c r="Q12" s="125">
        <v>1447000000</v>
      </c>
      <c r="R12" s="125">
        <v>1409000000</v>
      </c>
      <c r="S12" s="125">
        <v>1595000000</v>
      </c>
      <c r="T12" s="125">
        <v>2180000000</v>
      </c>
      <c r="U12" s="125">
        <v>2582000000</v>
      </c>
      <c r="V12" s="125">
        <v>3578000000</v>
      </c>
      <c r="W12" s="125"/>
      <c r="X12" s="125"/>
      <c r="Y12" s="125"/>
      <c r="Z12" s="125"/>
      <c r="AA12" s="125"/>
      <c r="AB12" s="125"/>
      <c r="AC12" s="365"/>
      <c r="AD12" s="365"/>
      <c r="AE12" s="365"/>
      <c r="AF12" s="365"/>
      <c r="AG12" s="365"/>
      <c r="AH12" s="365"/>
      <c r="AI12" s="365"/>
      <c r="AJ12" s="365"/>
      <c r="AK12" s="365"/>
      <c r="AL12" s="365"/>
      <c r="AM12" s="365"/>
      <c r="AN12" s="365"/>
      <c r="AO12" s="365"/>
      <c r="AP12" s="365"/>
      <c r="AQ12" s="365"/>
      <c r="AR12" s="365"/>
      <c r="AS12" s="365"/>
      <c r="AT12" s="365"/>
    </row>
    <row r="13" spans="1:46">
      <c r="A13" s="65"/>
      <c r="B13" s="65" t="s">
        <v>3104</v>
      </c>
      <c r="C13" s="58" t="s">
        <v>41</v>
      </c>
      <c r="D13" s="293">
        <v>25900000</v>
      </c>
      <c r="E13" s="293">
        <v>60200000</v>
      </c>
      <c r="F13" s="125">
        <v>77500000</v>
      </c>
      <c r="G13" s="125">
        <v>151200000</v>
      </c>
      <c r="H13" s="125">
        <v>158255000</v>
      </c>
      <c r="I13" s="125">
        <v>280875999.99999994</v>
      </c>
      <c r="J13" s="125">
        <v>288240000</v>
      </c>
      <c r="K13" s="125">
        <v>386928000</v>
      </c>
      <c r="L13" s="125">
        <v>368524000</v>
      </c>
      <c r="M13" s="125">
        <v>640068000.00000012</v>
      </c>
      <c r="N13" s="210">
        <v>611592000</v>
      </c>
      <c r="O13" s="125">
        <v>1069424999.9999999</v>
      </c>
      <c r="P13" s="125">
        <v>1114890000</v>
      </c>
      <c r="Q13" s="125">
        <v>1051000000</v>
      </c>
      <c r="R13" s="125">
        <v>1110000000</v>
      </c>
      <c r="S13" s="13">
        <v>802000000</v>
      </c>
      <c r="T13" s="125">
        <v>1098000000</v>
      </c>
      <c r="U13" s="125">
        <v>1590000000</v>
      </c>
      <c r="V13" s="125">
        <v>1791000000</v>
      </c>
      <c r="W13" s="125"/>
      <c r="X13" s="125"/>
      <c r="Y13" s="125"/>
      <c r="Z13" s="125"/>
      <c r="AA13" s="125"/>
      <c r="AB13" s="125"/>
      <c r="AC13" s="365"/>
      <c r="AD13" s="365"/>
      <c r="AE13" s="365"/>
      <c r="AF13" s="365"/>
      <c r="AG13" s="365"/>
      <c r="AH13" s="365"/>
      <c r="AI13" s="365"/>
      <c r="AJ13" s="365"/>
      <c r="AK13" s="365"/>
      <c r="AL13" s="365"/>
      <c r="AM13" s="365"/>
      <c r="AN13" s="365"/>
      <c r="AO13" s="365"/>
      <c r="AP13" s="365"/>
      <c r="AQ13" s="365"/>
      <c r="AR13" s="365"/>
      <c r="AS13" s="365"/>
      <c r="AT13" s="365"/>
    </row>
    <row r="14" spans="1:46">
      <c r="A14" s="65"/>
      <c r="B14" s="65" t="s">
        <v>7203</v>
      </c>
      <c r="C14" s="27" t="s">
        <v>998</v>
      </c>
      <c r="D14" s="293"/>
      <c r="E14" s="293"/>
      <c r="F14" s="125"/>
      <c r="G14" s="125"/>
      <c r="H14" s="125"/>
      <c r="I14" s="125"/>
      <c r="J14" s="125"/>
      <c r="K14" s="125"/>
      <c r="L14" s="125"/>
      <c r="M14" s="125"/>
      <c r="N14" s="210"/>
      <c r="O14" s="125"/>
      <c r="P14" s="125"/>
      <c r="Q14" s="13">
        <v>499000000</v>
      </c>
      <c r="R14" s="13">
        <v>444000000</v>
      </c>
      <c r="S14" s="125">
        <v>231000000</v>
      </c>
      <c r="T14" s="13">
        <v>199000000</v>
      </c>
      <c r="U14" s="125">
        <v>555000000</v>
      </c>
      <c r="V14" s="13">
        <v>625000000</v>
      </c>
      <c r="W14" s="125"/>
      <c r="X14" s="125"/>
      <c r="Y14" s="125"/>
      <c r="Z14" s="125"/>
      <c r="AA14" s="125"/>
      <c r="AB14" s="125"/>
      <c r="AC14" s="365"/>
      <c r="AD14" s="365"/>
      <c r="AE14" s="365"/>
      <c r="AF14" s="365"/>
      <c r="AG14" s="365"/>
      <c r="AH14" s="365"/>
      <c r="AI14" s="365"/>
      <c r="AJ14" s="365"/>
      <c r="AK14" s="365"/>
      <c r="AL14" s="365"/>
      <c r="AM14" s="365"/>
      <c r="AN14" s="365"/>
      <c r="AO14" s="365"/>
      <c r="AP14" s="365"/>
      <c r="AQ14" s="365"/>
      <c r="AR14" s="365"/>
      <c r="AS14" s="365"/>
      <c r="AT14" s="365"/>
    </row>
    <row r="15" spans="1:46">
      <c r="A15" s="65"/>
      <c r="B15" s="65" t="s">
        <v>50</v>
      </c>
      <c r="C15" s="27" t="s">
        <v>998</v>
      </c>
      <c r="D15" s="293"/>
      <c r="E15" s="293"/>
      <c r="F15" s="125"/>
      <c r="G15" s="125"/>
      <c r="H15" s="125"/>
      <c r="I15" s="125"/>
      <c r="J15" s="125"/>
      <c r="K15" s="125"/>
      <c r="L15" s="125"/>
      <c r="M15" s="125"/>
      <c r="N15" s="210"/>
      <c r="O15" s="125"/>
      <c r="P15" s="125"/>
      <c r="Q15" s="125">
        <f>Q13-Q14</f>
        <v>552000000</v>
      </c>
      <c r="R15" s="125">
        <f t="shared" ref="R15:V15" si="7">R13-R14</f>
        <v>666000000</v>
      </c>
      <c r="S15" s="125">
        <f t="shared" si="7"/>
        <v>571000000</v>
      </c>
      <c r="T15" s="125">
        <f t="shared" si="7"/>
        <v>899000000</v>
      </c>
      <c r="U15" s="125">
        <f t="shared" si="7"/>
        <v>1035000000</v>
      </c>
      <c r="V15" s="125">
        <f t="shared" si="7"/>
        <v>1166000000</v>
      </c>
      <c r="W15" s="125"/>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row>
    <row r="16" spans="1:46" s="9" customFormat="1">
      <c r="A16" s="165" t="s">
        <v>53</v>
      </c>
      <c r="B16" s="165" t="s">
        <v>53</v>
      </c>
      <c r="C16" s="355" t="s">
        <v>38</v>
      </c>
      <c r="D16" s="294">
        <v>25300000</v>
      </c>
      <c r="E16" s="294">
        <v>27400000</v>
      </c>
      <c r="F16" s="295">
        <v>30000000</v>
      </c>
      <c r="G16" s="295">
        <v>79800000</v>
      </c>
      <c r="H16" s="295">
        <v>71470000</v>
      </c>
      <c r="I16" s="295">
        <v>103801999.99999999</v>
      </c>
      <c r="J16" s="295">
        <v>100883999.99999999</v>
      </c>
      <c r="K16" s="332">
        <v>153159000</v>
      </c>
      <c r="L16" s="295">
        <v>203658000.00000003</v>
      </c>
      <c r="M16" s="295">
        <v>320034000.00000006</v>
      </c>
      <c r="N16" s="296">
        <v>239840000.00000003</v>
      </c>
      <c r="O16" s="295">
        <v>114072000</v>
      </c>
      <c r="P16" s="295">
        <v>0</v>
      </c>
      <c r="Q16" s="295">
        <v>0</v>
      </c>
      <c r="R16" s="295">
        <v>0</v>
      </c>
      <c r="S16" s="295">
        <v>0</v>
      </c>
      <c r="T16" s="295">
        <v>0</v>
      </c>
      <c r="U16" s="295">
        <v>0</v>
      </c>
      <c r="V16" s="295">
        <v>0</v>
      </c>
      <c r="W16" s="295"/>
      <c r="X16" s="16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row>
    <row r="17" spans="1:46" s="9" customFormat="1">
      <c r="A17" s="55" t="s">
        <v>71</v>
      </c>
      <c r="B17" s="55" t="s">
        <v>6129</v>
      </c>
      <c r="C17" s="55" t="s">
        <v>35</v>
      </c>
      <c r="D17" s="294">
        <v>471800000</v>
      </c>
      <c r="E17" s="294">
        <v>582100000</v>
      </c>
      <c r="F17" s="319">
        <f>F18+F30+F31</f>
        <v>801700000</v>
      </c>
      <c r="G17" s="319">
        <f>G18+G30+G31</f>
        <v>1167600000</v>
      </c>
      <c r="H17" s="319">
        <f>H18+H30+H31</f>
        <v>1465135000</v>
      </c>
      <c r="I17" s="319">
        <f>I18+I30+I31</f>
        <v>1844011999.9999998</v>
      </c>
      <c r="J17" s="295">
        <v>2068121999.9999998</v>
      </c>
      <c r="K17" s="295">
        <v>2329628999.9999995</v>
      </c>
      <c r="L17" s="319">
        <f>L18+L30+L31</f>
        <v>2191748000.0000005</v>
      </c>
      <c r="M17" s="295">
        <v>2608762000</v>
      </c>
      <c r="N17" s="319">
        <f>N18+N30+N31</f>
        <v>3081944000</v>
      </c>
      <c r="O17" s="319">
        <f>O18+O30+O31</f>
        <v>3678821999.9999995</v>
      </c>
      <c r="P17" s="319">
        <f>P18+P30+P31</f>
        <v>4555122000</v>
      </c>
      <c r="Q17" s="295">
        <f>Q18+Q31</f>
        <v>5693000000</v>
      </c>
      <c r="R17" s="295">
        <f t="shared" ref="R17:V17" si="8">R18+R31</f>
        <v>5528000000</v>
      </c>
      <c r="S17" s="295">
        <f t="shared" si="8"/>
        <v>5231000000</v>
      </c>
      <c r="T17" s="295">
        <f t="shared" si="8"/>
        <v>6482000000</v>
      </c>
      <c r="U17" s="295">
        <f t="shared" si="8"/>
        <v>7219000000</v>
      </c>
      <c r="V17" s="295">
        <f t="shared" si="8"/>
        <v>8050000000</v>
      </c>
      <c r="W17" s="295"/>
      <c r="X17" s="169"/>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row>
    <row r="18" spans="1:46">
      <c r="A18" s="58" t="s">
        <v>73</v>
      </c>
      <c r="B18" s="58" t="s">
        <v>382</v>
      </c>
      <c r="C18" s="58" t="s">
        <v>201</v>
      </c>
      <c r="D18" s="293">
        <v>441600000</v>
      </c>
      <c r="E18" s="293">
        <v>530600000</v>
      </c>
      <c r="F18" s="125">
        <v>729500000</v>
      </c>
      <c r="G18" s="319">
        <f>G19+G20+G21+G25</f>
        <v>1028999999.9999999</v>
      </c>
      <c r="H18" s="319">
        <f>H19+H20+H21+H25</f>
        <v>1276250000</v>
      </c>
      <c r="I18" s="319">
        <f>I19+I20+I21+I25</f>
        <v>1563135999.9999998</v>
      </c>
      <c r="J18" s="125">
        <v>1808706000.0000002</v>
      </c>
      <c r="K18" s="125">
        <v>1926578999.9999998</v>
      </c>
      <c r="L18" s="319">
        <f>L19+L20+L21+L25</f>
        <v>1765036000.0000002</v>
      </c>
      <c r="M18" s="125">
        <v>2055976000.0000002</v>
      </c>
      <c r="N18" s="319">
        <f>N19+N20+N21+N25</f>
        <v>2494336000</v>
      </c>
      <c r="O18" s="125">
        <v>2980130999.9999995</v>
      </c>
      <c r="P18" s="319">
        <f>P19+P20+P21+P25</f>
        <v>3822480000</v>
      </c>
      <c r="Q18" s="125">
        <f>Q19+Q25+Q28+Q29</f>
        <v>4937000000</v>
      </c>
      <c r="R18" s="125">
        <f t="shared" ref="R18:V18" si="9">R19+R25+R28+R29</f>
        <v>4635000000</v>
      </c>
      <c r="S18" s="125">
        <f t="shared" si="9"/>
        <v>4797000000</v>
      </c>
      <c r="T18" s="125">
        <f t="shared" si="9"/>
        <v>5518000000</v>
      </c>
      <c r="U18" s="125">
        <f t="shared" si="9"/>
        <v>6004000000</v>
      </c>
      <c r="V18" s="125">
        <f t="shared" si="9"/>
        <v>6681000000</v>
      </c>
      <c r="W18" s="125"/>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row>
    <row r="19" spans="1:46">
      <c r="A19" s="64" t="s">
        <v>797</v>
      </c>
      <c r="B19" s="64" t="s">
        <v>1005</v>
      </c>
      <c r="C19" s="58" t="s">
        <v>204</v>
      </c>
      <c r="D19" s="293">
        <v>153700000</v>
      </c>
      <c r="E19" s="293">
        <v>199200000</v>
      </c>
      <c r="F19" s="125">
        <v>339800000</v>
      </c>
      <c r="G19" s="125">
        <v>512399999.99999994</v>
      </c>
      <c r="H19" s="125">
        <v>546235000</v>
      </c>
      <c r="I19" s="125">
        <v>671659999.99999988</v>
      </c>
      <c r="J19" s="125">
        <v>749424000</v>
      </c>
      <c r="K19" s="125">
        <v>838344000.00000012</v>
      </c>
      <c r="L19" s="125">
        <v>756444000.00000012</v>
      </c>
      <c r="M19" s="125">
        <v>882518000</v>
      </c>
      <c r="N19" s="210">
        <v>1079280000</v>
      </c>
      <c r="O19" s="125">
        <v>1212015000</v>
      </c>
      <c r="P19" s="125">
        <v>1321941000</v>
      </c>
      <c r="Q19" s="125">
        <v>1426000000</v>
      </c>
      <c r="R19" s="125">
        <v>1373000000</v>
      </c>
      <c r="S19" s="125">
        <v>1533000000</v>
      </c>
      <c r="T19" s="125">
        <v>1772000000</v>
      </c>
      <c r="U19" s="125">
        <v>2006000000</v>
      </c>
      <c r="V19" s="125">
        <v>2259000000</v>
      </c>
      <c r="W19" s="125"/>
      <c r="X19" s="125"/>
      <c r="Y19" s="125"/>
      <c r="Z19" s="125"/>
      <c r="AA19" s="125"/>
      <c r="AB19" s="125"/>
      <c r="AC19" s="365"/>
      <c r="AD19" s="365"/>
      <c r="AE19" s="365"/>
      <c r="AF19" s="365"/>
      <c r="AG19" s="365"/>
      <c r="AH19" s="365"/>
      <c r="AI19" s="365"/>
      <c r="AJ19" s="365"/>
      <c r="AK19" s="365"/>
      <c r="AL19" s="365"/>
      <c r="AM19" s="365"/>
      <c r="AN19" s="365"/>
      <c r="AO19" s="365"/>
      <c r="AP19" s="365"/>
      <c r="AQ19" s="365"/>
      <c r="AR19" s="365"/>
      <c r="AS19" s="365"/>
      <c r="AT19" s="365"/>
    </row>
    <row r="20" spans="1:46">
      <c r="A20" s="64" t="s">
        <v>1006</v>
      </c>
      <c r="B20" s="64" t="s">
        <v>1007</v>
      </c>
      <c r="C20" s="58" t="s">
        <v>204</v>
      </c>
      <c r="D20" s="293">
        <v>192700000</v>
      </c>
      <c r="E20" s="293">
        <v>140100000</v>
      </c>
      <c r="F20" s="125">
        <v>186200000</v>
      </c>
      <c r="G20" s="125">
        <v>256199999.99999997</v>
      </c>
      <c r="H20" s="125">
        <v>464555000.00000006</v>
      </c>
      <c r="I20" s="125">
        <v>378571999.99999994</v>
      </c>
      <c r="J20" s="125">
        <v>453978000</v>
      </c>
      <c r="K20" s="125">
        <v>491720999.99999994</v>
      </c>
      <c r="L20" s="125">
        <v>417014000.00000006</v>
      </c>
      <c r="M20" s="125">
        <v>494598000.00000006</v>
      </c>
      <c r="N20" s="210">
        <v>587608000.00000012</v>
      </c>
      <c r="O20" s="125">
        <v>570360000</v>
      </c>
      <c r="P20" s="125">
        <v>1083036000</v>
      </c>
      <c r="Q20" s="125"/>
      <c r="R20" s="125"/>
      <c r="S20" s="125"/>
      <c r="T20" s="125"/>
      <c r="U20" s="125"/>
      <c r="V20" s="125"/>
      <c r="W20" s="125"/>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row>
    <row r="21" spans="1:46">
      <c r="A21" s="64" t="s">
        <v>85</v>
      </c>
      <c r="B21" s="64" t="s">
        <v>753</v>
      </c>
      <c r="C21" s="58" t="s">
        <v>204</v>
      </c>
      <c r="D21" s="293">
        <v>83800000</v>
      </c>
      <c r="E21" s="293">
        <v>151700000</v>
      </c>
      <c r="F21" s="125">
        <v>144600000</v>
      </c>
      <c r="G21" s="125">
        <v>176400000.00000003</v>
      </c>
      <c r="H21" s="125">
        <v>178675000.00000003</v>
      </c>
      <c r="I21" s="125">
        <v>366359999.99999994</v>
      </c>
      <c r="J21" s="125">
        <v>475595999.99999994</v>
      </c>
      <c r="K21" s="125">
        <v>475599000.00000006</v>
      </c>
      <c r="L21" s="125">
        <v>533390000.00000006</v>
      </c>
      <c r="M21" s="125">
        <v>572182000.00000012</v>
      </c>
      <c r="N21" s="210">
        <v>731512000</v>
      </c>
      <c r="O21" s="125">
        <v>1055166000</v>
      </c>
      <c r="P21" s="125">
        <v>1258233000</v>
      </c>
      <c r="Q21" s="125"/>
      <c r="R21" s="125"/>
      <c r="S21" s="125"/>
      <c r="T21" s="125"/>
      <c r="U21" s="125"/>
      <c r="V21" s="125"/>
      <c r="W21" s="125"/>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row>
    <row r="22" spans="1:46">
      <c r="A22" s="65" t="s">
        <v>6130</v>
      </c>
      <c r="B22" s="65" t="s">
        <v>6131</v>
      </c>
      <c r="C22" s="58" t="s">
        <v>486</v>
      </c>
      <c r="D22" s="293">
        <v>10500000</v>
      </c>
      <c r="E22" s="293">
        <v>16300000</v>
      </c>
      <c r="F22" s="125">
        <v>5600000</v>
      </c>
      <c r="G22" s="125"/>
      <c r="H22" s="125"/>
      <c r="I22" s="125"/>
      <c r="J22" s="125"/>
      <c r="K22" s="125"/>
      <c r="L22" s="125"/>
      <c r="M22" s="125"/>
      <c r="N22" s="210"/>
      <c r="O22" s="125"/>
      <c r="P22" s="125"/>
      <c r="Q22" s="125"/>
      <c r="R22" s="125"/>
      <c r="S22" s="125"/>
      <c r="T22" s="125"/>
      <c r="U22" s="125"/>
      <c r="V22" s="125"/>
      <c r="W22" s="125"/>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row>
    <row r="23" spans="1:46">
      <c r="A23" s="65" t="s">
        <v>6132</v>
      </c>
      <c r="B23" s="65" t="s">
        <v>6133</v>
      </c>
      <c r="C23" s="58" t="s">
        <v>486</v>
      </c>
      <c r="D23" s="293">
        <v>14000000</v>
      </c>
      <c r="E23" s="293">
        <v>24200000</v>
      </c>
      <c r="F23" s="125">
        <v>22500000</v>
      </c>
      <c r="G23" s="125"/>
      <c r="H23" s="125"/>
      <c r="I23" s="125"/>
      <c r="J23" s="125"/>
      <c r="K23" s="125"/>
      <c r="L23" s="125"/>
      <c r="M23" s="125"/>
      <c r="N23" s="210"/>
      <c r="O23" s="125"/>
      <c r="P23" s="125"/>
      <c r="Q23" s="125"/>
      <c r="R23" s="125"/>
      <c r="S23" s="125"/>
      <c r="T23" s="125"/>
      <c r="U23" s="125"/>
      <c r="V23" s="125"/>
      <c r="W23" s="125"/>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row>
    <row r="24" spans="1:46">
      <c r="A24" s="65" t="s">
        <v>6134</v>
      </c>
      <c r="B24" s="65" t="s">
        <v>6134</v>
      </c>
      <c r="C24" s="58" t="s">
        <v>486</v>
      </c>
      <c r="D24" s="293">
        <v>59200000</v>
      </c>
      <c r="E24" s="293">
        <v>111200000</v>
      </c>
      <c r="F24" s="125">
        <v>116600000</v>
      </c>
      <c r="G24" s="125"/>
      <c r="H24" s="125"/>
      <c r="I24" s="125"/>
      <c r="J24" s="125"/>
      <c r="K24" s="125"/>
      <c r="L24" s="125"/>
      <c r="M24" s="125"/>
      <c r="N24" s="210"/>
      <c r="O24" s="125"/>
      <c r="P24" s="125"/>
      <c r="Q24" s="125"/>
      <c r="R24" s="125"/>
      <c r="S24" s="125"/>
      <c r="T24" s="125"/>
      <c r="U24" s="125"/>
      <c r="V24" s="125"/>
      <c r="W24" s="125"/>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row>
    <row r="25" spans="1:46">
      <c r="A25" s="64" t="s">
        <v>91</v>
      </c>
      <c r="B25" s="64" t="s">
        <v>91</v>
      </c>
      <c r="C25" s="58" t="s">
        <v>204</v>
      </c>
      <c r="D25" s="293">
        <v>11400000</v>
      </c>
      <c r="E25" s="293">
        <v>39500000</v>
      </c>
      <c r="F25" s="125">
        <v>58800000</v>
      </c>
      <c r="G25" s="125">
        <v>84000000</v>
      </c>
      <c r="H25" s="125">
        <v>86785000</v>
      </c>
      <c r="I25" s="125">
        <v>146543999.99999997</v>
      </c>
      <c r="J25" s="125">
        <v>129707999.99999999</v>
      </c>
      <c r="K25" s="125">
        <v>120915000</v>
      </c>
      <c r="L25" s="125">
        <v>58188000</v>
      </c>
      <c r="M25" s="125">
        <v>106678000.00000003</v>
      </c>
      <c r="N25" s="210">
        <v>95936000.000000015</v>
      </c>
      <c r="O25" s="125">
        <v>142590000</v>
      </c>
      <c r="P25" s="125">
        <v>159270000</v>
      </c>
      <c r="Q25" s="125">
        <v>232000000</v>
      </c>
      <c r="R25" s="13">
        <v>153000000</v>
      </c>
      <c r="S25" s="125">
        <v>249000000</v>
      </c>
      <c r="T25" s="125">
        <v>459000000</v>
      </c>
      <c r="U25" s="125">
        <v>449000000</v>
      </c>
      <c r="V25" s="125">
        <v>491000000</v>
      </c>
      <c r="W25" s="125"/>
      <c r="X25" s="125"/>
      <c r="Y25" s="125"/>
      <c r="Z25" s="125"/>
      <c r="AA25" s="125"/>
      <c r="AB25" s="125"/>
      <c r="AC25" s="365"/>
      <c r="AD25" s="365"/>
      <c r="AE25" s="365"/>
      <c r="AF25" s="365"/>
      <c r="AG25" s="365"/>
      <c r="AH25" s="365"/>
      <c r="AI25" s="365"/>
      <c r="AJ25" s="365"/>
      <c r="AK25" s="365"/>
      <c r="AL25" s="365"/>
      <c r="AM25" s="365"/>
      <c r="AN25" s="365"/>
      <c r="AO25" s="365"/>
      <c r="AP25" s="365"/>
      <c r="AQ25" s="365"/>
      <c r="AR25" s="365"/>
      <c r="AS25" s="365"/>
      <c r="AT25" s="365"/>
    </row>
    <row r="26" spans="1:46">
      <c r="A26" s="65" t="s">
        <v>209</v>
      </c>
      <c r="B26" s="65" t="s">
        <v>209</v>
      </c>
      <c r="C26" s="58" t="s">
        <v>211</v>
      </c>
      <c r="D26" s="125"/>
      <c r="E26" s="125"/>
      <c r="F26" s="125"/>
      <c r="G26" s="125">
        <v>46200000.000000007</v>
      </c>
      <c r="H26" s="125">
        <v>51050000.000000007</v>
      </c>
      <c r="I26" s="125">
        <v>97696000</v>
      </c>
      <c r="J26" s="125">
        <v>86472000</v>
      </c>
      <c r="K26" s="125">
        <v>72549000</v>
      </c>
      <c r="L26" s="125">
        <v>38792000.000000007</v>
      </c>
      <c r="M26" s="125">
        <v>48490000.000000007</v>
      </c>
      <c r="N26" s="210">
        <v>83944000</v>
      </c>
      <c r="O26" s="125">
        <v>114072000</v>
      </c>
      <c r="P26" s="125">
        <v>127416000</v>
      </c>
      <c r="Q26" s="125">
        <v>184000000</v>
      </c>
      <c r="R26" s="125">
        <v>100000000</v>
      </c>
      <c r="S26" s="125">
        <v>189000000</v>
      </c>
      <c r="T26" s="125">
        <v>283000000</v>
      </c>
      <c r="U26" s="125">
        <v>200000000</v>
      </c>
      <c r="V26" s="13">
        <v>252000000</v>
      </c>
      <c r="W26" s="125"/>
      <c r="X26" s="125"/>
      <c r="Y26" s="125"/>
      <c r="Z26" s="125"/>
      <c r="AA26" s="125"/>
      <c r="AB26" s="125"/>
      <c r="AC26" s="365"/>
      <c r="AD26" s="365"/>
      <c r="AE26" s="365"/>
      <c r="AF26" s="365"/>
      <c r="AG26" s="365"/>
      <c r="AH26" s="365"/>
      <c r="AI26" s="365"/>
      <c r="AJ26" s="365"/>
      <c r="AK26" s="365"/>
      <c r="AL26" s="365"/>
      <c r="AM26" s="365"/>
      <c r="AN26" s="365"/>
      <c r="AO26" s="365"/>
      <c r="AP26" s="365"/>
      <c r="AQ26" s="365"/>
      <c r="AR26" s="365"/>
      <c r="AS26" s="365"/>
      <c r="AT26" s="365"/>
    </row>
    <row r="27" spans="1:46">
      <c r="A27" s="65" t="s">
        <v>212</v>
      </c>
      <c r="B27" s="65" t="s">
        <v>212</v>
      </c>
      <c r="C27" s="58" t="s">
        <v>211</v>
      </c>
      <c r="D27" s="125"/>
      <c r="E27" s="125"/>
      <c r="F27" s="125"/>
      <c r="G27" s="125">
        <v>37800000</v>
      </c>
      <c r="H27" s="125">
        <v>35735000</v>
      </c>
      <c r="I27" s="125">
        <v>48848000</v>
      </c>
      <c r="J27" s="125">
        <v>43236000</v>
      </c>
      <c r="K27" s="125">
        <v>48366000</v>
      </c>
      <c r="L27" s="125">
        <v>19396000.000000004</v>
      </c>
      <c r="M27" s="125">
        <v>58188000</v>
      </c>
      <c r="N27" s="210">
        <v>11992000.000000002</v>
      </c>
      <c r="O27" s="125">
        <v>28518000</v>
      </c>
      <c r="P27" s="125">
        <v>31854000</v>
      </c>
      <c r="Q27" s="125">
        <f>Q25-Q26</f>
        <v>48000000</v>
      </c>
      <c r="R27" s="125">
        <f t="shared" ref="R27:V27" si="10">R25-R26</f>
        <v>53000000</v>
      </c>
      <c r="S27" s="125">
        <f t="shared" si="10"/>
        <v>60000000</v>
      </c>
      <c r="T27" s="125">
        <f t="shared" si="10"/>
        <v>176000000</v>
      </c>
      <c r="U27" s="125">
        <f t="shared" si="10"/>
        <v>249000000</v>
      </c>
      <c r="V27" s="125">
        <f t="shared" si="10"/>
        <v>239000000</v>
      </c>
      <c r="W27" s="125"/>
      <c r="X27" s="125"/>
      <c r="Y27" s="125"/>
      <c r="Z27" s="125"/>
      <c r="AA27" s="125"/>
      <c r="AB27" s="125"/>
      <c r="AC27" s="365"/>
      <c r="AD27" s="365"/>
      <c r="AE27" s="365"/>
      <c r="AF27" s="365"/>
      <c r="AG27" s="365"/>
      <c r="AH27" s="365"/>
      <c r="AI27" s="365"/>
      <c r="AJ27" s="365"/>
      <c r="AK27" s="365"/>
      <c r="AL27" s="365"/>
      <c r="AM27" s="365"/>
      <c r="AN27" s="365"/>
      <c r="AO27" s="365"/>
      <c r="AP27" s="365"/>
      <c r="AQ27" s="365"/>
      <c r="AR27" s="365"/>
      <c r="AS27" s="365"/>
      <c r="AT27" s="365"/>
    </row>
    <row r="28" spans="1:46">
      <c r="A28" s="65" t="s">
        <v>7204</v>
      </c>
      <c r="B28" s="65" t="s">
        <v>7204</v>
      </c>
      <c r="C28" s="58" t="s">
        <v>204</v>
      </c>
      <c r="D28" s="125"/>
      <c r="E28" s="125"/>
      <c r="F28" s="125"/>
      <c r="G28" s="125"/>
      <c r="H28" s="125"/>
      <c r="I28" s="125"/>
      <c r="J28" s="125"/>
      <c r="K28" s="125"/>
      <c r="L28" s="125"/>
      <c r="M28" s="125"/>
      <c r="N28" s="210"/>
      <c r="O28" s="125"/>
      <c r="P28" s="125"/>
      <c r="Q28" s="125">
        <v>519000000</v>
      </c>
      <c r="R28" s="125">
        <v>561000000</v>
      </c>
      <c r="S28" s="125">
        <v>634000000</v>
      </c>
      <c r="T28" s="125">
        <v>844000000</v>
      </c>
      <c r="U28" s="125">
        <v>981000000</v>
      </c>
      <c r="V28" s="125">
        <v>1105000000</v>
      </c>
      <c r="W28" s="125"/>
      <c r="X28" s="125"/>
      <c r="Y28" s="125"/>
      <c r="Z28" s="125"/>
      <c r="AA28" s="125"/>
      <c r="AB28" s="125"/>
      <c r="AC28" s="365"/>
      <c r="AD28" s="365"/>
      <c r="AE28" s="365"/>
      <c r="AF28" s="365"/>
      <c r="AG28" s="365"/>
      <c r="AH28" s="365"/>
      <c r="AI28" s="365"/>
      <c r="AJ28" s="365"/>
      <c r="AK28" s="365"/>
      <c r="AL28" s="365"/>
      <c r="AM28" s="365"/>
      <c r="AN28" s="365"/>
      <c r="AO28" s="365"/>
      <c r="AP28" s="365"/>
      <c r="AQ28" s="365"/>
      <c r="AR28" s="365"/>
      <c r="AS28" s="365"/>
      <c r="AT28" s="365"/>
    </row>
    <row r="29" spans="1:46">
      <c r="A29" s="65" t="s">
        <v>50</v>
      </c>
      <c r="B29" s="65" t="s">
        <v>50</v>
      </c>
      <c r="C29" s="58" t="s">
        <v>204</v>
      </c>
      <c r="D29" s="125"/>
      <c r="E29" s="125"/>
      <c r="F29" s="125"/>
      <c r="G29" s="125"/>
      <c r="H29" s="125"/>
      <c r="I29" s="125"/>
      <c r="J29" s="125"/>
      <c r="K29" s="125"/>
      <c r="L29" s="125"/>
      <c r="M29" s="125"/>
      <c r="N29" s="210"/>
      <c r="O29" s="125"/>
      <c r="P29" s="125"/>
      <c r="Q29" s="125">
        <v>2760000000</v>
      </c>
      <c r="R29" s="125">
        <v>2548000000</v>
      </c>
      <c r="S29" s="125">
        <v>2381000000</v>
      </c>
      <c r="T29" s="125">
        <v>2443000000</v>
      </c>
      <c r="U29" s="125">
        <v>2568000000</v>
      </c>
      <c r="V29" s="125">
        <v>2826000000</v>
      </c>
      <c r="W29" s="125"/>
      <c r="X29" s="125"/>
      <c r="Y29" s="125"/>
      <c r="Z29" s="125"/>
      <c r="AA29" s="125"/>
      <c r="AB29" s="125"/>
      <c r="AC29" s="365"/>
      <c r="AD29" s="365"/>
      <c r="AE29" s="365"/>
      <c r="AF29" s="365"/>
      <c r="AG29" s="365"/>
      <c r="AH29" s="365"/>
      <c r="AI29" s="365"/>
      <c r="AJ29" s="365"/>
      <c r="AK29" s="365"/>
      <c r="AL29" s="365"/>
      <c r="AM29" s="365"/>
      <c r="AN29" s="365"/>
      <c r="AO29" s="365"/>
      <c r="AP29" s="365"/>
      <c r="AQ29" s="365"/>
      <c r="AR29" s="365"/>
      <c r="AS29" s="365"/>
      <c r="AT29" s="365"/>
    </row>
    <row r="30" spans="1:46">
      <c r="A30" s="58" t="s">
        <v>612</v>
      </c>
      <c r="B30" s="58" t="s">
        <v>588</v>
      </c>
      <c r="C30" s="58" t="s">
        <v>201</v>
      </c>
      <c r="D30" s="293">
        <v>0</v>
      </c>
      <c r="E30" s="293">
        <v>12400000</v>
      </c>
      <c r="F30" s="125">
        <v>4200000</v>
      </c>
      <c r="G30" s="125">
        <v>12600000</v>
      </c>
      <c r="H30" s="125">
        <v>5105000.0000000009</v>
      </c>
      <c r="I30" s="125">
        <v>6106000</v>
      </c>
      <c r="J30" s="125">
        <v>14412000.000000002</v>
      </c>
      <c r="K30" s="125">
        <v>0</v>
      </c>
      <c r="L30" s="125"/>
      <c r="M30" s="125"/>
      <c r="N30" s="210"/>
      <c r="O30" s="125"/>
      <c r="P30" s="125"/>
      <c r="Q30" s="125"/>
      <c r="R30" s="125"/>
      <c r="S30" s="125"/>
      <c r="T30" s="125"/>
      <c r="U30" s="125"/>
      <c r="V30" s="125"/>
      <c r="W30" s="125"/>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row>
    <row r="31" spans="1:46">
      <c r="A31" s="58" t="s">
        <v>237</v>
      </c>
      <c r="B31" s="58" t="s">
        <v>1186</v>
      </c>
      <c r="C31" s="58" t="s">
        <v>201</v>
      </c>
      <c r="D31" s="125">
        <f>D32</f>
        <v>30300000</v>
      </c>
      <c r="E31" s="125">
        <f>E32</f>
        <v>39200000</v>
      </c>
      <c r="F31" s="125">
        <f>F32</f>
        <v>68000000</v>
      </c>
      <c r="G31" s="125">
        <v>126000000</v>
      </c>
      <c r="H31" s="125">
        <v>183780000.00000003</v>
      </c>
      <c r="I31" s="125">
        <f>I32</f>
        <v>274769999.99999994</v>
      </c>
      <c r="J31" s="125">
        <f>J32</f>
        <v>245004000</v>
      </c>
      <c r="K31" s="125">
        <v>403050000</v>
      </c>
      <c r="L31" s="125">
        <v>426712000.00000012</v>
      </c>
      <c r="M31" s="125">
        <v>552786000.00000012</v>
      </c>
      <c r="N31" s="210">
        <v>587608000.00000012</v>
      </c>
      <c r="O31" s="125">
        <v>698691000.00000012</v>
      </c>
      <c r="P31" s="125">
        <v>732641999.99999988</v>
      </c>
      <c r="Q31" s="125">
        <v>756000000</v>
      </c>
      <c r="R31">
        <v>893000000</v>
      </c>
      <c r="S31" s="125">
        <v>434000000</v>
      </c>
      <c r="T31" s="125">
        <v>964000000</v>
      </c>
      <c r="U31" s="125">
        <v>1215000000</v>
      </c>
      <c r="V31" s="125">
        <v>1369000000</v>
      </c>
      <c r="W31" s="125"/>
      <c r="X31" s="125"/>
      <c r="Y31" s="125"/>
      <c r="Z31" s="125"/>
      <c r="AA31" s="125"/>
      <c r="AB31" s="125"/>
      <c r="AC31" s="365"/>
      <c r="AD31" s="365"/>
      <c r="AE31" s="365"/>
      <c r="AF31" s="365"/>
      <c r="AG31" s="365"/>
      <c r="AH31" s="365"/>
      <c r="AI31" s="365"/>
      <c r="AJ31" s="365"/>
      <c r="AK31" s="365"/>
      <c r="AL31" s="365"/>
      <c r="AM31" s="365"/>
      <c r="AN31" s="365"/>
      <c r="AO31" s="365"/>
      <c r="AP31" s="365"/>
      <c r="AQ31" s="365"/>
      <c r="AR31" s="365"/>
      <c r="AS31" s="365"/>
      <c r="AT31" s="365"/>
    </row>
    <row r="32" spans="1:46">
      <c r="A32" t="s">
        <v>76</v>
      </c>
      <c r="B32" s="64" t="s">
        <v>1812</v>
      </c>
      <c r="C32" s="58"/>
      <c r="D32" s="293">
        <v>30300000</v>
      </c>
      <c r="E32" s="293">
        <v>39200000</v>
      </c>
      <c r="F32" s="125">
        <v>68000000</v>
      </c>
      <c r="G32" s="125">
        <v>126000000</v>
      </c>
      <c r="H32" s="125">
        <v>183780000.00000003</v>
      </c>
      <c r="I32" s="125">
        <v>274769999.99999994</v>
      </c>
      <c r="J32" s="125">
        <v>245004000</v>
      </c>
      <c r="K32" s="125">
        <v>403050000</v>
      </c>
      <c r="L32" s="125">
        <v>426712000.00000012</v>
      </c>
      <c r="M32" s="125">
        <v>552786000.00000012</v>
      </c>
      <c r="N32" s="125">
        <v>587608000.00000012</v>
      </c>
      <c r="O32" s="125">
        <v>698691000.00000012</v>
      </c>
      <c r="P32" s="125">
        <v>732641999.99999988</v>
      </c>
      <c r="Q32" s="125"/>
      <c r="R32" s="125"/>
      <c r="S32" s="125"/>
      <c r="T32" s="125"/>
      <c r="U32" s="125"/>
      <c r="V32" s="125"/>
      <c r="W32" s="125"/>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row>
    <row r="33" spans="1:28">
      <c r="A33" t="s">
        <v>76</v>
      </c>
      <c r="B33" s="58" t="s">
        <v>1815</v>
      </c>
      <c r="C33" s="58"/>
      <c r="D33" s="293">
        <v>-19000000</v>
      </c>
      <c r="E33" s="293">
        <v>-53400000</v>
      </c>
      <c r="F33" s="125">
        <v>8700000</v>
      </c>
      <c r="G33" s="125">
        <v>54600000</v>
      </c>
      <c r="H33" s="125">
        <v>40840000.000000007</v>
      </c>
      <c r="I33" s="125">
        <v>103801999.99999999</v>
      </c>
      <c r="J33" s="125">
        <v>158532000</v>
      </c>
      <c r="K33" s="331">
        <v>80610000</v>
      </c>
      <c r="L33" s="125">
        <v>29094000</v>
      </c>
      <c r="M33" s="125">
        <v>-67886000</v>
      </c>
      <c r="N33" s="125">
        <v>11992000.000000002</v>
      </c>
      <c r="O33" s="125">
        <v>99812999.999999985</v>
      </c>
      <c r="P33" s="125">
        <v>222977999.99999997</v>
      </c>
      <c r="Q33" s="125"/>
      <c r="R33" s="125"/>
      <c r="S33" s="125"/>
      <c r="T33" s="125"/>
      <c r="U33" s="125"/>
      <c r="V33" s="125"/>
      <c r="W33" s="125"/>
      <c r="X33" s="2"/>
    </row>
    <row r="34" spans="1:28">
      <c r="A34" t="s">
        <v>76</v>
      </c>
      <c r="B34" s="58" t="s">
        <v>1190</v>
      </c>
      <c r="C34" s="58"/>
      <c r="D34" s="125"/>
      <c r="E34" s="125"/>
      <c r="F34" s="125"/>
      <c r="G34" s="125"/>
      <c r="H34" s="125"/>
      <c r="I34" s="125">
        <v>0</v>
      </c>
      <c r="J34" s="125">
        <v>0</v>
      </c>
      <c r="K34" s="125"/>
      <c r="L34" s="125">
        <v>581880000.00000012</v>
      </c>
      <c r="M34" s="125">
        <v>320034000.00000006</v>
      </c>
      <c r="N34" s="125">
        <v>215856000.00000003</v>
      </c>
      <c r="O34" s="125">
        <v>769986000</v>
      </c>
      <c r="P34" s="125">
        <v>95562000</v>
      </c>
      <c r="Q34" s="125"/>
      <c r="R34" s="125"/>
      <c r="S34" s="125"/>
      <c r="T34" s="125"/>
      <c r="U34" s="125"/>
      <c r="V34" s="125"/>
      <c r="W34" s="125"/>
      <c r="X34" s="2"/>
    </row>
    <row r="35" spans="1:28">
      <c r="A35" t="s">
        <v>76</v>
      </c>
      <c r="B35" s="58" t="s">
        <v>275</v>
      </c>
      <c r="C35" s="58"/>
      <c r="D35" s="293">
        <v>-137600000</v>
      </c>
      <c r="E35" s="293">
        <v>101200000</v>
      </c>
      <c r="F35" s="125">
        <v>-89000000</v>
      </c>
      <c r="G35" s="125">
        <v>134400000.00000003</v>
      </c>
      <c r="H35" s="125">
        <v>10210000.000000002</v>
      </c>
      <c r="I35" s="125">
        <v>97696000</v>
      </c>
      <c r="J35" s="125">
        <v>194562000</v>
      </c>
      <c r="K35" s="331">
        <v>338562000</v>
      </c>
      <c r="L35" s="125"/>
      <c r="M35" s="125"/>
      <c r="N35" s="125"/>
      <c r="O35" s="125"/>
      <c r="P35" s="125"/>
      <c r="Q35" s="125"/>
      <c r="R35" s="125"/>
      <c r="S35" s="125"/>
      <c r="T35" s="125"/>
      <c r="U35" s="125"/>
      <c r="V35" s="125"/>
      <c r="W35" s="125"/>
      <c r="X35" s="2"/>
    </row>
    <row r="36" spans="1:28">
      <c r="A36" t="s">
        <v>76</v>
      </c>
      <c r="B36" s="58" t="s">
        <v>6135</v>
      </c>
      <c r="C36" s="58"/>
      <c r="D36" s="293">
        <v>-149000000</v>
      </c>
      <c r="E36" s="293">
        <v>61700000</v>
      </c>
      <c r="F36" s="125">
        <v>-147800000</v>
      </c>
      <c r="G36" s="125">
        <v>50400000</v>
      </c>
      <c r="H36" s="125">
        <v>-71470000</v>
      </c>
      <c r="I36" s="125">
        <v>-42741999.999999993</v>
      </c>
      <c r="J36" s="125">
        <v>64853999.999999993</v>
      </c>
      <c r="K36" s="331">
        <v>209586000.00000003</v>
      </c>
      <c r="L36" s="125">
        <v>155168000.00000003</v>
      </c>
      <c r="M36" s="125">
        <v>-232752000</v>
      </c>
      <c r="N36" s="125">
        <v>-371752000</v>
      </c>
      <c r="O36" s="125">
        <v>71295000</v>
      </c>
      <c r="P36" s="125">
        <v>-637080000</v>
      </c>
      <c r="Q36" s="125"/>
      <c r="R36" s="125"/>
      <c r="S36" s="125"/>
      <c r="T36" s="125"/>
      <c r="U36" s="125"/>
      <c r="V36" s="125"/>
      <c r="W36" s="125"/>
      <c r="X36" s="2"/>
    </row>
    <row r="37" spans="1:28">
      <c r="A37" t="s">
        <v>76</v>
      </c>
      <c r="B37" s="58" t="s">
        <v>6136</v>
      </c>
      <c r="C37" s="58"/>
      <c r="D37" s="125"/>
      <c r="E37" s="125"/>
      <c r="F37" s="125"/>
      <c r="G37" s="125"/>
      <c r="H37" s="125"/>
      <c r="I37" s="125">
        <v>-42741999.999999993</v>
      </c>
      <c r="J37" s="125">
        <v>64853999.999999993</v>
      </c>
      <c r="K37" s="331"/>
      <c r="L37" s="125"/>
      <c r="M37" s="125"/>
      <c r="N37" s="125"/>
      <c r="O37" s="125"/>
      <c r="P37" s="125"/>
      <c r="Q37" s="2479"/>
      <c r="R37" s="2479"/>
      <c r="S37" s="2479"/>
      <c r="T37" s="2479"/>
      <c r="U37" s="2479"/>
      <c r="V37" s="2479"/>
      <c r="W37" s="2479"/>
      <c r="X37" s="2"/>
    </row>
    <row r="38" spans="1:28">
      <c r="A38" s="160" t="s">
        <v>115</v>
      </c>
      <c r="B38" s="58" t="s">
        <v>6137</v>
      </c>
      <c r="C38" s="55" t="s">
        <v>35</v>
      </c>
      <c r="D38" s="55">
        <v>167900000</v>
      </c>
      <c r="E38" s="55">
        <v>-8400000</v>
      </c>
      <c r="F38" s="55">
        <v>139100000</v>
      </c>
      <c r="G38" s="55">
        <v>-50400000</v>
      </c>
      <c r="H38" s="55">
        <f>H41+H45</f>
        <v>76575000</v>
      </c>
      <c r="I38" s="55">
        <v>42741999.999999993</v>
      </c>
      <c r="J38" s="55">
        <f>J41+J45</f>
        <v>-72059999.999999985</v>
      </c>
      <c r="K38" s="55">
        <f>K41+K45</f>
        <v>-193464000.00000006</v>
      </c>
      <c r="L38" s="55">
        <v>-155168000.00000003</v>
      </c>
      <c r="M38" s="55">
        <f>M41+M45</f>
        <v>242450000.00000006</v>
      </c>
      <c r="N38" s="55">
        <v>371752000</v>
      </c>
      <c r="O38" s="55">
        <f>O41+O45</f>
        <v>-85554000</v>
      </c>
      <c r="P38" s="55">
        <f>P41+P45</f>
        <v>637080000</v>
      </c>
      <c r="Q38" s="324">
        <f>Q39+Q41+Q45</f>
        <v>1309000000</v>
      </c>
      <c r="R38" s="324">
        <f t="shared" ref="R38:V38" si="11">R39+R41+R45</f>
        <v>1360000000</v>
      </c>
      <c r="S38" s="324">
        <f t="shared" si="11"/>
        <v>1543000000</v>
      </c>
      <c r="T38" s="324">
        <f t="shared" si="11"/>
        <v>1468000000</v>
      </c>
      <c r="U38" s="324">
        <f t="shared" si="11"/>
        <v>884000000</v>
      </c>
      <c r="V38" s="324">
        <f t="shared" si="11"/>
        <v>402000000</v>
      </c>
      <c r="W38" s="55"/>
      <c r="X38" s="55"/>
    </row>
    <row r="39" spans="1:28">
      <c r="A39" s="58" t="s">
        <v>6138</v>
      </c>
      <c r="B39" s="58" t="s">
        <v>6138</v>
      </c>
      <c r="C39" s="58" t="s">
        <v>252</v>
      </c>
      <c r="F39" s="125"/>
      <c r="G39" s="125"/>
      <c r="H39" s="125"/>
      <c r="I39" s="125">
        <v>0</v>
      </c>
      <c r="J39" s="125">
        <v>0</v>
      </c>
      <c r="K39" s="125"/>
      <c r="L39" s="125"/>
      <c r="M39" s="125"/>
      <c r="N39" s="210"/>
      <c r="O39" s="125">
        <v>0</v>
      </c>
      <c r="P39" s="125">
        <v>0</v>
      </c>
      <c r="Q39" s="125">
        <v>0</v>
      </c>
      <c r="R39" s="125">
        <v>0</v>
      </c>
      <c r="S39" s="125">
        <v>0</v>
      </c>
      <c r="T39" s="125">
        <v>-296000000</v>
      </c>
      <c r="U39" s="125">
        <v>0</v>
      </c>
      <c r="V39" s="125">
        <v>0</v>
      </c>
      <c r="W39" s="125"/>
      <c r="X39" s="125"/>
      <c r="Y39" s="125"/>
      <c r="Z39" s="125"/>
      <c r="AA39" s="125"/>
      <c r="AB39" s="125"/>
    </row>
    <row r="40" spans="1:28">
      <c r="A40" t="s">
        <v>76</v>
      </c>
      <c r="B40" s="58" t="s">
        <v>1027</v>
      </c>
      <c r="D40" s="125"/>
      <c r="E40" s="125"/>
      <c r="F40" s="125"/>
      <c r="G40" s="125"/>
      <c r="H40" s="125"/>
      <c r="I40" s="125">
        <v>0</v>
      </c>
      <c r="J40" s="125">
        <v>0</v>
      </c>
      <c r="K40" s="125"/>
      <c r="L40" s="125">
        <v>-155168000.00000003</v>
      </c>
      <c r="M40" s="125">
        <v>232752000</v>
      </c>
      <c r="N40" s="210">
        <v>371752000</v>
      </c>
      <c r="O40" s="125">
        <v>-71295000</v>
      </c>
      <c r="P40" s="125">
        <v>637080000</v>
      </c>
      <c r="Q40" s="2479"/>
      <c r="R40" s="2479"/>
      <c r="S40" s="2479"/>
      <c r="T40" s="2479"/>
      <c r="U40" s="2479"/>
      <c r="V40" s="2479"/>
      <c r="W40" s="2479"/>
      <c r="X40" s="2"/>
    </row>
    <row r="41" spans="1:28">
      <c r="A41" s="58" t="s">
        <v>120</v>
      </c>
      <c r="B41" s="58" t="s">
        <v>209</v>
      </c>
      <c r="C41" s="58" t="s">
        <v>252</v>
      </c>
      <c r="D41" s="314">
        <v>188900000</v>
      </c>
      <c r="E41" s="314">
        <v>-184200000</v>
      </c>
      <c r="F41" s="125">
        <v>207500000</v>
      </c>
      <c r="G41" s="125">
        <v>8400000.0000000019</v>
      </c>
      <c r="H41" s="125">
        <v>117415000</v>
      </c>
      <c r="I41" s="125">
        <v>6106000</v>
      </c>
      <c r="J41" s="319">
        <f>J42+J43+J44</f>
        <v>-36030000</v>
      </c>
      <c r="K41" s="319">
        <f>K42+K43+K44</f>
        <v>-217647000</v>
      </c>
      <c r="L41" s="319">
        <f>L42+L43+L44</f>
        <v>-193960000.00000003</v>
      </c>
      <c r="M41" s="319">
        <f>M42+M43+M44</f>
        <v>213356000.00000006</v>
      </c>
      <c r="N41" s="210">
        <v>227848000.00000003</v>
      </c>
      <c r="O41" s="125">
        <v>-484805999.99999994</v>
      </c>
      <c r="P41" s="125">
        <v>286686000</v>
      </c>
      <c r="Q41" s="2479">
        <v>754000000</v>
      </c>
      <c r="R41" s="2479">
        <v>1101000000</v>
      </c>
      <c r="S41" s="2479">
        <v>1275000000</v>
      </c>
      <c r="T41" s="13">
        <v>-74000000</v>
      </c>
      <c r="U41" s="13">
        <v>109000000</v>
      </c>
      <c r="V41" s="13">
        <v>-290000000</v>
      </c>
      <c r="W41" s="125"/>
      <c r="X41" s="125"/>
      <c r="Y41" s="125"/>
      <c r="Z41" s="125"/>
      <c r="AA41" s="125"/>
      <c r="AB41" s="125"/>
    </row>
    <row r="42" spans="1:28">
      <c r="A42" s="64" t="s">
        <v>2147</v>
      </c>
      <c r="B42" s="64" t="s">
        <v>1035</v>
      </c>
      <c r="C42" s="58" t="s">
        <v>124</v>
      </c>
      <c r="D42" s="293">
        <v>41700000</v>
      </c>
      <c r="E42" s="293">
        <v>31400000</v>
      </c>
      <c r="F42" s="125">
        <v>3800000</v>
      </c>
      <c r="G42" s="125">
        <v>0</v>
      </c>
      <c r="H42" s="125">
        <v>81680000.000000015</v>
      </c>
      <c r="I42" s="125">
        <v>-12212000</v>
      </c>
      <c r="J42" s="125">
        <v>28824000.000000004</v>
      </c>
      <c r="K42" s="125">
        <v>-72549000</v>
      </c>
      <c r="L42" s="125">
        <v>-77584000.000000015</v>
      </c>
      <c r="M42" s="125">
        <v>-48490000.000000007</v>
      </c>
      <c r="N42" s="210">
        <v>95936000.000000015</v>
      </c>
      <c r="O42" s="125">
        <v>-57036000</v>
      </c>
      <c r="P42" s="125">
        <v>79635000</v>
      </c>
      <c r="Q42" s="2479"/>
      <c r="R42" s="2479"/>
      <c r="S42" s="2479"/>
      <c r="T42" s="2479"/>
      <c r="U42" s="2479"/>
      <c r="V42" s="2479"/>
      <c r="W42" s="2479"/>
      <c r="X42" s="2"/>
    </row>
    <row r="43" spans="1:28">
      <c r="A43" s="64" t="s">
        <v>2146</v>
      </c>
      <c r="B43" s="64" t="s">
        <v>5776</v>
      </c>
      <c r="C43" s="58" t="s">
        <v>124</v>
      </c>
      <c r="D43" s="293">
        <v>147200000</v>
      </c>
      <c r="E43" s="293">
        <v>-215500000</v>
      </c>
      <c r="F43" s="125">
        <v>196200000</v>
      </c>
      <c r="G43" s="125">
        <v>-12600000</v>
      </c>
      <c r="H43" s="125">
        <v>35735000</v>
      </c>
      <c r="I43" s="125">
        <v>6106000</v>
      </c>
      <c r="J43" s="125">
        <v>-79266000</v>
      </c>
      <c r="K43" s="125">
        <v>-161220000</v>
      </c>
      <c r="L43" s="125">
        <v>-126074000.00000001</v>
      </c>
      <c r="M43" s="125">
        <v>213356000.00000006</v>
      </c>
      <c r="N43" s="210">
        <v>-11992000.000000002</v>
      </c>
      <c r="O43" s="125">
        <v>-384993000</v>
      </c>
      <c r="P43" s="125">
        <v>159270000</v>
      </c>
      <c r="Q43" s="2479"/>
      <c r="R43" s="2479"/>
      <c r="S43" s="2479"/>
      <c r="T43" s="2479"/>
      <c r="U43" s="2479"/>
      <c r="V43" s="2479"/>
      <c r="W43" s="2479"/>
      <c r="X43" s="2"/>
    </row>
    <row r="44" spans="1:28">
      <c r="A44" s="64" t="s">
        <v>1036</v>
      </c>
      <c r="B44" s="64" t="s">
        <v>1037</v>
      </c>
      <c r="C44" s="58" t="s">
        <v>124</v>
      </c>
      <c r="D44" s="293">
        <v>0</v>
      </c>
      <c r="E44" s="293">
        <v>0</v>
      </c>
      <c r="F44" s="125">
        <v>7500000</v>
      </c>
      <c r="G44" s="125">
        <v>21000000</v>
      </c>
      <c r="H44" s="125">
        <v>0</v>
      </c>
      <c r="I44" s="125">
        <v>12212000</v>
      </c>
      <c r="J44" s="125">
        <v>14412000.000000002</v>
      </c>
      <c r="K44" s="125">
        <v>16122000</v>
      </c>
      <c r="L44" s="125">
        <v>9698000.0000000019</v>
      </c>
      <c r="M44" s="125">
        <v>48490000.000000007</v>
      </c>
      <c r="N44" s="210">
        <v>143904000</v>
      </c>
      <c r="O44" s="125">
        <v>-42776999.999999993</v>
      </c>
      <c r="P44" s="125">
        <v>47781000</v>
      </c>
      <c r="Q44" s="2479"/>
      <c r="R44" s="2479"/>
      <c r="S44" s="2479"/>
      <c r="T44" s="2479"/>
      <c r="U44" s="2479"/>
      <c r="V44" s="2479"/>
      <c r="W44" s="2479"/>
      <c r="X44" s="2"/>
    </row>
    <row r="45" spans="1:28">
      <c r="A45" s="58" t="s">
        <v>261</v>
      </c>
      <c r="B45" s="58" t="s">
        <v>212</v>
      </c>
      <c r="C45" s="58" t="s">
        <v>252</v>
      </c>
      <c r="D45" s="314">
        <v>-21000000</v>
      </c>
      <c r="E45" s="314">
        <v>175800000</v>
      </c>
      <c r="F45" s="125">
        <v>-68400000</v>
      </c>
      <c r="G45" s="125">
        <v>-58800000</v>
      </c>
      <c r="H45" s="125">
        <v>-40840000.000000007</v>
      </c>
      <c r="I45" s="125">
        <v>36635999.999999993</v>
      </c>
      <c r="J45" s="319">
        <f>J46+J47+J48</f>
        <v>-36029999.999999985</v>
      </c>
      <c r="K45" s="319">
        <f>K46+K47+K48</f>
        <v>24182999.99999994</v>
      </c>
      <c r="L45" s="319">
        <f>L46+L47+L48</f>
        <v>38792000.000000007</v>
      </c>
      <c r="M45" s="125">
        <v>29094000</v>
      </c>
      <c r="N45" s="210">
        <v>143904000</v>
      </c>
      <c r="O45" s="125">
        <v>399251999.99999994</v>
      </c>
      <c r="P45" s="319">
        <f>P46+P47+P48</f>
        <v>350393999.99999994</v>
      </c>
      <c r="Q45" s="125">
        <f>Q46+Q47</f>
        <v>555000000</v>
      </c>
      <c r="R45" s="125">
        <f t="shared" ref="R45:V45" si="12">R46+R47</f>
        <v>259000000</v>
      </c>
      <c r="S45" s="125">
        <f t="shared" si="12"/>
        <v>268000000</v>
      </c>
      <c r="T45" s="125">
        <f t="shared" si="12"/>
        <v>1838000000</v>
      </c>
      <c r="U45" s="125">
        <f t="shared" si="12"/>
        <v>775000000</v>
      </c>
      <c r="V45" s="125">
        <f t="shared" si="12"/>
        <v>692000000</v>
      </c>
      <c r="W45" s="2479"/>
      <c r="X45" s="2"/>
    </row>
    <row r="46" spans="1:28">
      <c r="A46" s="64" t="s">
        <v>418</v>
      </c>
      <c r="B46" s="64" t="s">
        <v>418</v>
      </c>
      <c r="C46" s="58" t="s">
        <v>264</v>
      </c>
      <c r="D46" s="293">
        <v>-145100000</v>
      </c>
      <c r="E46" s="293">
        <v>-93900000</v>
      </c>
      <c r="F46" s="125">
        <v>-70300000</v>
      </c>
      <c r="G46" s="125">
        <v>-113400000.00000001</v>
      </c>
      <c r="H46" s="125">
        <v>-81680000.000000015</v>
      </c>
      <c r="I46" s="125">
        <v>-109907999.99999999</v>
      </c>
      <c r="J46" s="125">
        <v>-136913999.99999997</v>
      </c>
      <c r="K46" s="125">
        <v>-419172000.00000006</v>
      </c>
      <c r="L46" s="125">
        <v>-38792000.000000007</v>
      </c>
      <c r="M46" s="125">
        <v>-290940000.00000006</v>
      </c>
      <c r="N46" s="210">
        <v>-47968000.000000007</v>
      </c>
      <c r="O46" s="125">
        <v>-71295000</v>
      </c>
      <c r="P46" s="125">
        <v>-159270000</v>
      </c>
      <c r="Q46" s="2479">
        <v>-60000000</v>
      </c>
      <c r="R46" s="2479">
        <v>-113000000</v>
      </c>
      <c r="S46" s="2479">
        <v>-120000000</v>
      </c>
      <c r="T46" s="2479">
        <v>-601000000</v>
      </c>
      <c r="U46" s="2479">
        <v>-756000000</v>
      </c>
      <c r="V46" s="13">
        <v>-326000000</v>
      </c>
      <c r="W46" s="125"/>
      <c r="X46" s="125"/>
      <c r="Y46" s="125"/>
      <c r="Z46" s="125"/>
      <c r="AA46" s="125"/>
      <c r="AB46" s="125"/>
    </row>
    <row r="47" spans="1:28">
      <c r="A47" s="64" t="s">
        <v>415</v>
      </c>
      <c r="B47" s="64" t="s">
        <v>415</v>
      </c>
      <c r="C47" s="58" t="s">
        <v>264</v>
      </c>
      <c r="D47" s="293">
        <v>124000000</v>
      </c>
      <c r="E47" s="293">
        <v>269700000</v>
      </c>
      <c r="F47" s="125">
        <v>1900000</v>
      </c>
      <c r="G47" s="125">
        <v>54600000</v>
      </c>
      <c r="H47" s="125">
        <v>40840000.000000007</v>
      </c>
      <c r="I47" s="125">
        <v>146543999.99999997</v>
      </c>
      <c r="J47" s="125">
        <v>100883999.99999999</v>
      </c>
      <c r="K47" s="319">
        <f>K49+K50+K51+K52+K53</f>
        <v>104793000</v>
      </c>
      <c r="L47" s="125">
        <v>77584000.000000015</v>
      </c>
      <c r="M47" s="125">
        <v>213356000.00000006</v>
      </c>
      <c r="N47" s="210">
        <v>191872000.00000003</v>
      </c>
      <c r="O47" s="125">
        <v>470546999.99999994</v>
      </c>
      <c r="P47" s="319">
        <f>P49+P50+P51+P52+P53</f>
        <v>509663999.99999994</v>
      </c>
      <c r="Q47" s="13">
        <v>615000000</v>
      </c>
      <c r="R47" s="2479">
        <v>372000000</v>
      </c>
      <c r="S47" s="2479">
        <v>388000000</v>
      </c>
      <c r="T47" s="2479">
        <v>2439000000</v>
      </c>
      <c r="U47" s="2479">
        <v>1531000000</v>
      </c>
      <c r="V47" s="125">
        <v>1018000000</v>
      </c>
      <c r="W47" s="125"/>
      <c r="X47" s="125"/>
      <c r="Y47" s="125"/>
      <c r="Z47" s="125"/>
      <c r="AA47" s="125"/>
      <c r="AB47" s="125"/>
    </row>
    <row r="48" spans="1:28">
      <c r="A48" s="64" t="s">
        <v>6139</v>
      </c>
      <c r="B48" s="64" t="s">
        <v>6140</v>
      </c>
      <c r="C48" s="58" t="s">
        <v>264</v>
      </c>
      <c r="D48" s="293"/>
      <c r="E48" s="293"/>
      <c r="F48" s="125"/>
      <c r="G48" s="125"/>
      <c r="H48" s="125"/>
      <c r="I48" s="125"/>
      <c r="J48" s="125"/>
      <c r="K48" s="125">
        <v>338562000</v>
      </c>
      <c r="L48" s="331"/>
      <c r="M48" s="331">
        <v>106678000.00000003</v>
      </c>
      <c r="N48" s="210"/>
      <c r="O48" s="125"/>
      <c r="P48" s="125"/>
      <c r="Q48" s="2479"/>
      <c r="R48" s="2479"/>
      <c r="S48" s="2479"/>
      <c r="T48" s="2479"/>
      <c r="U48" s="2479"/>
      <c r="V48" s="2479"/>
      <c r="W48" s="2479"/>
      <c r="X48" s="2"/>
    </row>
    <row r="49" spans="1:24">
      <c r="A49" s="65" t="s">
        <v>6141</v>
      </c>
      <c r="B49" s="65" t="s">
        <v>6142</v>
      </c>
      <c r="C49" s="58" t="s">
        <v>499</v>
      </c>
      <c r="D49" s="293">
        <v>0</v>
      </c>
      <c r="E49" s="293">
        <v>265500000</v>
      </c>
      <c r="F49" s="125">
        <v>0</v>
      </c>
      <c r="G49" s="125"/>
      <c r="H49" s="125"/>
      <c r="I49" s="125">
        <v>61059999.999999993</v>
      </c>
      <c r="J49" s="125">
        <v>21618000</v>
      </c>
      <c r="K49" s="125">
        <v>56427000</v>
      </c>
      <c r="L49" s="125">
        <v>48490000.000000007</v>
      </c>
      <c r="M49" s="125">
        <v>174564000.00000003</v>
      </c>
      <c r="N49" s="210">
        <v>119920000.00000001</v>
      </c>
      <c r="O49" s="125">
        <v>199625999.99999997</v>
      </c>
      <c r="P49" s="125">
        <v>302612999.99999994</v>
      </c>
      <c r="Q49" s="2479"/>
      <c r="R49" s="2479"/>
      <c r="S49" s="2479"/>
      <c r="T49" s="2479"/>
      <c r="U49" s="2479"/>
      <c r="V49" s="2479"/>
      <c r="W49" s="2479"/>
      <c r="X49" s="2"/>
    </row>
    <row r="50" spans="1:24">
      <c r="A50" s="65" t="s">
        <v>6143</v>
      </c>
      <c r="B50" s="65" t="s">
        <v>6144</v>
      </c>
      <c r="C50" s="58" t="s">
        <v>499</v>
      </c>
      <c r="D50" s="293">
        <v>800000</v>
      </c>
      <c r="E50" s="293">
        <v>600000</v>
      </c>
      <c r="F50" s="125">
        <v>1800000</v>
      </c>
      <c r="G50" s="125"/>
      <c r="H50" s="125"/>
      <c r="I50" s="125">
        <v>85483999.999999985</v>
      </c>
      <c r="J50" s="125">
        <v>50441999.999999993</v>
      </c>
      <c r="K50" s="125">
        <v>40305000</v>
      </c>
      <c r="L50" s="125">
        <v>29094000</v>
      </c>
      <c r="M50" s="125">
        <v>38792000.000000007</v>
      </c>
      <c r="N50" s="210">
        <v>71952000</v>
      </c>
      <c r="O50" s="125">
        <v>270920999.99999994</v>
      </c>
      <c r="P50" s="125">
        <v>207051000</v>
      </c>
      <c r="Q50" s="125"/>
      <c r="R50" s="125"/>
      <c r="S50" s="125"/>
      <c r="T50" s="125"/>
      <c r="U50" s="125"/>
      <c r="V50" s="125"/>
      <c r="W50" s="125"/>
      <c r="X50" s="2"/>
    </row>
    <row r="51" spans="1:24">
      <c r="A51" s="100" t="s">
        <v>6145</v>
      </c>
      <c r="B51" s="100" t="s">
        <v>6146</v>
      </c>
      <c r="C51" s="58" t="s">
        <v>499</v>
      </c>
      <c r="D51" s="293">
        <v>101900000</v>
      </c>
      <c r="E51" s="293">
        <v>0</v>
      </c>
      <c r="F51" s="125">
        <v>100000</v>
      </c>
      <c r="G51" s="125"/>
      <c r="H51" s="125"/>
      <c r="I51" s="125">
        <v>-61059999.999999993</v>
      </c>
      <c r="J51" s="125">
        <v>0</v>
      </c>
      <c r="K51" s="125">
        <v>0</v>
      </c>
      <c r="L51" s="125"/>
      <c r="M51" s="125"/>
      <c r="N51" s="210"/>
      <c r="O51" s="125"/>
      <c r="P51" s="125"/>
      <c r="Q51" s="125"/>
      <c r="R51" s="125"/>
      <c r="S51" s="125"/>
      <c r="T51" s="125"/>
      <c r="U51" s="125"/>
      <c r="V51" s="125"/>
      <c r="W51" s="125"/>
      <c r="X51" s="2"/>
    </row>
    <row r="52" spans="1:24">
      <c r="A52" s="100" t="s">
        <v>6147</v>
      </c>
      <c r="B52" s="100" t="s">
        <v>6148</v>
      </c>
      <c r="C52" s="58" t="s">
        <v>499</v>
      </c>
      <c r="D52" s="293">
        <v>21400000</v>
      </c>
      <c r="E52" s="293">
        <v>3500000</v>
      </c>
      <c r="F52" s="125">
        <v>0</v>
      </c>
      <c r="G52" s="125"/>
      <c r="H52" s="125"/>
      <c r="I52" s="125">
        <v>42741999.999999993</v>
      </c>
      <c r="J52" s="125">
        <v>0</v>
      </c>
      <c r="K52" s="125">
        <v>8061000</v>
      </c>
      <c r="L52" s="125"/>
      <c r="M52" s="125"/>
      <c r="N52" s="210"/>
      <c r="O52" s="125"/>
      <c r="P52" s="125"/>
      <c r="Q52" s="125"/>
      <c r="R52" s="125"/>
      <c r="S52" s="125"/>
      <c r="T52" s="125"/>
      <c r="U52" s="125"/>
      <c r="V52" s="125"/>
      <c r="W52" s="125"/>
      <c r="X52" s="2"/>
    </row>
    <row r="53" spans="1:24">
      <c r="A53" s="65" t="s">
        <v>50</v>
      </c>
      <c r="B53" s="65" t="s">
        <v>1805</v>
      </c>
      <c r="C53" s="58" t="s">
        <v>499</v>
      </c>
      <c r="D53" s="125"/>
      <c r="E53" s="125"/>
      <c r="F53" s="125"/>
      <c r="G53" s="125"/>
      <c r="H53" s="125"/>
      <c r="I53" s="319">
        <f>I47-I49-I50-I51-I52</f>
        <v>18317999.999999985</v>
      </c>
      <c r="J53" s="319">
        <f>J47-J49-J50-J51-J52</f>
        <v>28823999.999999993</v>
      </c>
      <c r="N53" s="210"/>
      <c r="O53" s="125"/>
      <c r="P53" s="125"/>
      <c r="Q53" s="125"/>
      <c r="R53" s="125"/>
      <c r="S53" s="125"/>
      <c r="T53" s="125"/>
      <c r="U53" s="125"/>
      <c r="V53" s="125"/>
      <c r="W53" s="125"/>
      <c r="X53" s="2"/>
    </row>
    <row r="54" spans="1:24">
      <c r="B54" s="58"/>
      <c r="C54" s="58"/>
      <c r="X54" s="2"/>
    </row>
    <row r="55" spans="1:24">
      <c r="B55" s="58"/>
      <c r="C55" s="58"/>
      <c r="D55" t="s">
        <v>139</v>
      </c>
      <c r="E55" t="s">
        <v>139</v>
      </c>
      <c r="F55" t="s">
        <v>139</v>
      </c>
      <c r="G55" t="s">
        <v>139</v>
      </c>
      <c r="H55" t="s">
        <v>139</v>
      </c>
      <c r="I55" t="s">
        <v>139</v>
      </c>
      <c r="J55" t="s">
        <v>139</v>
      </c>
      <c r="K55" t="s">
        <v>139</v>
      </c>
      <c r="L55" t="s">
        <v>139</v>
      </c>
      <c r="M55" t="s">
        <v>139</v>
      </c>
      <c r="N55" t="s">
        <v>139</v>
      </c>
      <c r="O55" t="s">
        <v>139</v>
      </c>
      <c r="P55" t="s">
        <v>139</v>
      </c>
      <c r="Q55" t="s">
        <v>139</v>
      </c>
      <c r="R55" t="s">
        <v>139</v>
      </c>
      <c r="S55" t="s">
        <v>139</v>
      </c>
      <c r="T55" t="s">
        <v>139</v>
      </c>
      <c r="U55" t="s">
        <v>139</v>
      </c>
      <c r="V55" t="s">
        <v>139</v>
      </c>
      <c r="X55" s="2"/>
    </row>
    <row r="56" spans="1:24">
      <c r="B56" s="58"/>
      <c r="C56" s="58"/>
      <c r="N56" s="143"/>
      <c r="X56" s="2"/>
    </row>
    <row r="57" spans="1:24">
      <c r="B57" s="58" t="s">
        <v>1168</v>
      </c>
      <c r="C57" s="58"/>
      <c r="D57" s="21">
        <f t="shared" ref="D57:V57" si="13">D6-D7-D16</f>
        <v>0</v>
      </c>
      <c r="E57" s="21">
        <f t="shared" si="13"/>
        <v>0</v>
      </c>
      <c r="F57" s="21">
        <f t="shared" si="13"/>
        <v>0</v>
      </c>
      <c r="G57" s="21">
        <f t="shared" si="13"/>
        <v>0</v>
      </c>
      <c r="H57" s="21">
        <f t="shared" si="13"/>
        <v>0</v>
      </c>
      <c r="I57" s="21">
        <f t="shared" si="13"/>
        <v>0</v>
      </c>
      <c r="J57" s="21">
        <f t="shared" si="13"/>
        <v>0</v>
      </c>
      <c r="K57" s="21">
        <f t="shared" si="13"/>
        <v>0</v>
      </c>
      <c r="L57" s="21">
        <f t="shared" si="13"/>
        <v>0</v>
      </c>
      <c r="M57" s="21">
        <f t="shared" si="13"/>
        <v>0</v>
      </c>
      <c r="N57" s="21">
        <f t="shared" si="13"/>
        <v>0</v>
      </c>
      <c r="O57" s="21">
        <f t="shared" si="13"/>
        <v>0</v>
      </c>
      <c r="P57" s="21">
        <f t="shared" si="13"/>
        <v>0</v>
      </c>
      <c r="Q57" s="21">
        <f t="shared" si="13"/>
        <v>0</v>
      </c>
      <c r="R57" s="21">
        <f t="shared" si="13"/>
        <v>0</v>
      </c>
      <c r="S57" s="21">
        <f t="shared" si="13"/>
        <v>0</v>
      </c>
      <c r="T57" s="21">
        <f t="shared" si="13"/>
        <v>0</v>
      </c>
      <c r="U57" s="21">
        <f t="shared" si="13"/>
        <v>0</v>
      </c>
      <c r="V57" s="21">
        <f t="shared" si="13"/>
        <v>0</v>
      </c>
      <c r="W57" s="21"/>
      <c r="X57" s="2"/>
    </row>
    <row r="58" spans="1:24">
      <c r="B58" t="s">
        <v>141</v>
      </c>
      <c r="D58" s="21" t="e">
        <f>D7-D8-#REF!</f>
        <v>#REF!</v>
      </c>
      <c r="E58" s="21" t="e">
        <f>E7-E8-#REF!</f>
        <v>#REF!</v>
      </c>
      <c r="F58" s="21" t="e">
        <f>F7-F8-#REF!</f>
        <v>#REF!</v>
      </c>
      <c r="G58" s="21" t="e">
        <f>G7-G8-#REF!</f>
        <v>#REF!</v>
      </c>
      <c r="H58" s="21" t="e">
        <f>H7-H8-#REF!</f>
        <v>#REF!</v>
      </c>
      <c r="I58" s="21" t="e">
        <f>I7-I8-#REF!</f>
        <v>#REF!</v>
      </c>
      <c r="J58" s="21" t="e">
        <f>J7-J8-#REF!</f>
        <v>#REF!</v>
      </c>
      <c r="K58" s="21" t="e">
        <f>K7-K8-#REF!</f>
        <v>#REF!</v>
      </c>
      <c r="L58" s="21" t="e">
        <f>L7-L8-#REF!</f>
        <v>#REF!</v>
      </c>
      <c r="M58" s="21" t="e">
        <f>M7-M8-#REF!</f>
        <v>#REF!</v>
      </c>
      <c r="N58" s="21" t="e">
        <f>N7-N8-#REF!</f>
        <v>#REF!</v>
      </c>
      <c r="O58" s="21" t="e">
        <f>O7-O8-#REF!</f>
        <v>#REF!</v>
      </c>
      <c r="P58" s="21" t="e">
        <f>P7-P8-#REF!</f>
        <v>#REF!</v>
      </c>
      <c r="Q58" s="21" t="e">
        <f>Q7-Q8-#REF!</f>
        <v>#REF!</v>
      </c>
      <c r="R58" s="21" t="e">
        <f>R7-R8-#REF!</f>
        <v>#REF!</v>
      </c>
      <c r="S58" s="21" t="e">
        <f>S7-S8-#REF!</f>
        <v>#REF!</v>
      </c>
      <c r="T58" s="21" t="e">
        <f>T7-T8-#REF!</f>
        <v>#REF!</v>
      </c>
      <c r="U58" s="21" t="e">
        <f>U7-U8-#REF!</f>
        <v>#REF!</v>
      </c>
      <c r="V58" s="21" t="e">
        <f>V7-V8-#REF!</f>
        <v>#REF!</v>
      </c>
      <c r="W58" s="21"/>
    </row>
    <row r="59" spans="1:24">
      <c r="B59" t="s">
        <v>142</v>
      </c>
      <c r="D59" s="21">
        <f t="shared" ref="D59:V59" si="14">D8-D9-D12</f>
        <v>0</v>
      </c>
      <c r="E59" s="21">
        <f t="shared" si="14"/>
        <v>0</v>
      </c>
      <c r="F59" s="21">
        <f t="shared" si="14"/>
        <v>0</v>
      </c>
      <c r="G59" s="21">
        <f t="shared" si="14"/>
        <v>0</v>
      </c>
      <c r="H59" s="21">
        <f t="shared" si="14"/>
        <v>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c r="W59" s="21"/>
    </row>
    <row r="60" spans="1:24">
      <c r="B60" s="58" t="s">
        <v>145</v>
      </c>
      <c r="D60" s="21">
        <f t="shared" ref="D60:V60" si="15">D17-D18-D30-D31</f>
        <v>-100000</v>
      </c>
      <c r="E60" s="21">
        <f t="shared" si="15"/>
        <v>-100000</v>
      </c>
      <c r="F60" s="21">
        <f>F17-F18-F30-F31</f>
        <v>0</v>
      </c>
      <c r="G60" s="21">
        <f t="shared" si="15"/>
        <v>1.1920928955078125E-7</v>
      </c>
      <c r="H60" s="21">
        <f>H17-H18-H30-H31</f>
        <v>0</v>
      </c>
      <c r="I60" s="21">
        <f t="shared" si="15"/>
        <v>0</v>
      </c>
      <c r="J60" s="21">
        <f t="shared" si="15"/>
        <v>-4.76837158203125E-7</v>
      </c>
      <c r="K60" s="21">
        <f t="shared" si="15"/>
        <v>0</v>
      </c>
      <c r="L60" s="21">
        <f t="shared" si="15"/>
        <v>0</v>
      </c>
      <c r="M60" s="21">
        <f t="shared" si="15"/>
        <v>0</v>
      </c>
      <c r="N60" s="21">
        <f>N17-N18-N30-N31</f>
        <v>0</v>
      </c>
      <c r="O60" s="407">
        <f>O17-O18-O30-O31</f>
        <v>0</v>
      </c>
      <c r="P60" s="407">
        <f t="shared" si="15"/>
        <v>0</v>
      </c>
      <c r="Q60" s="407">
        <f t="shared" si="15"/>
        <v>0</v>
      </c>
      <c r="R60" s="21">
        <f t="shared" si="15"/>
        <v>0</v>
      </c>
      <c r="S60" s="21">
        <f t="shared" si="15"/>
        <v>0</v>
      </c>
      <c r="T60" s="21">
        <f t="shared" si="15"/>
        <v>0</v>
      </c>
      <c r="U60" s="21">
        <f>U17-U18-U30-U31</f>
        <v>0</v>
      </c>
      <c r="V60" s="21">
        <f t="shared" si="15"/>
        <v>0</v>
      </c>
      <c r="W60" s="21"/>
    </row>
    <row r="61" spans="1:24">
      <c r="B61" s="58" t="s">
        <v>826</v>
      </c>
      <c r="D61" s="21">
        <f>D18-D19-D20-D21-D25</f>
        <v>0</v>
      </c>
      <c r="E61" s="21">
        <f t="shared" ref="E61:V61" si="16">E18-E19-E20-E21-E25</f>
        <v>100000</v>
      </c>
      <c r="F61" s="21">
        <f t="shared" si="16"/>
        <v>100000</v>
      </c>
      <c r="G61" s="21">
        <f>G18-G19-G20-G21-G25</f>
        <v>0</v>
      </c>
      <c r="H61" s="21">
        <f>H18-H19-H20-H21-H25</f>
        <v>0</v>
      </c>
      <c r="I61" s="21">
        <f>I18-I19-I20-I21-I25</f>
        <v>0</v>
      </c>
      <c r="J61" s="21">
        <f t="shared" si="16"/>
        <v>3.1292438507080078E-7</v>
      </c>
      <c r="K61" s="21">
        <f t="shared" si="16"/>
        <v>-5.3644180297851563E-7</v>
      </c>
      <c r="L61" s="21">
        <f t="shared" si="16"/>
        <v>-5.9604644775390625E-8</v>
      </c>
      <c r="M61" s="21">
        <f t="shared" si="16"/>
        <v>0</v>
      </c>
      <c r="N61" s="21">
        <f t="shared" si="16"/>
        <v>-1.3411045074462891E-7</v>
      </c>
      <c r="O61" s="21">
        <f t="shared" si="16"/>
        <v>-4.76837158203125E-7</v>
      </c>
      <c r="P61" s="21">
        <f>P18-P19-P20-P21-P25</f>
        <v>0</v>
      </c>
      <c r="Q61" s="21">
        <f t="shared" si="16"/>
        <v>3279000000</v>
      </c>
      <c r="R61" s="21">
        <f>R18-R19-R20-R21-R25</f>
        <v>3109000000</v>
      </c>
      <c r="S61" s="21">
        <f t="shared" si="16"/>
        <v>3015000000</v>
      </c>
      <c r="T61" s="21">
        <f>T18-T19-T20-T21-T25</f>
        <v>3287000000</v>
      </c>
      <c r="U61" s="21">
        <f t="shared" si="16"/>
        <v>3549000000</v>
      </c>
      <c r="V61" s="21">
        <f t="shared" si="16"/>
        <v>3931000000</v>
      </c>
      <c r="W61" s="21"/>
    </row>
    <row r="62" spans="1:24">
      <c r="B62" s="58" t="s">
        <v>148</v>
      </c>
      <c r="D62" s="21">
        <f t="shared" ref="D62:V62" si="17">D38-D41-D45</f>
        <v>0</v>
      </c>
      <c r="E62" s="21">
        <f t="shared" si="17"/>
        <v>0</v>
      </c>
      <c r="F62" s="21">
        <f t="shared" si="17"/>
        <v>0</v>
      </c>
      <c r="G62" s="21">
        <f t="shared" si="17"/>
        <v>0</v>
      </c>
      <c r="H62" s="21">
        <f>H38-H41-H45</f>
        <v>0</v>
      </c>
      <c r="I62" s="21">
        <f t="shared" si="17"/>
        <v>0</v>
      </c>
      <c r="J62" s="21">
        <f>J38-J41-J45</f>
        <v>0</v>
      </c>
      <c r="K62" s="21">
        <f>K38-K41-K45</f>
        <v>0</v>
      </c>
      <c r="L62" s="21">
        <f t="shared" si="17"/>
        <v>0</v>
      </c>
      <c r="M62" s="21">
        <f>M38-M41-M45</f>
        <v>0</v>
      </c>
      <c r="N62" s="21">
        <f t="shared" si="17"/>
        <v>0</v>
      </c>
      <c r="O62" s="21">
        <f t="shared" si="17"/>
        <v>0</v>
      </c>
      <c r="P62" s="21">
        <f t="shared" si="17"/>
        <v>0</v>
      </c>
      <c r="Q62" s="21">
        <f t="shared" si="17"/>
        <v>0</v>
      </c>
      <c r="R62" s="407">
        <f>R38-R41-R45</f>
        <v>0</v>
      </c>
      <c r="S62" s="407">
        <f t="shared" si="17"/>
        <v>0</v>
      </c>
      <c r="T62" s="407">
        <f t="shared" si="17"/>
        <v>-296000000</v>
      </c>
      <c r="U62" s="21">
        <f t="shared" si="17"/>
        <v>0</v>
      </c>
      <c r="V62" s="21">
        <f t="shared" si="17"/>
        <v>0</v>
      </c>
      <c r="W62" s="21"/>
    </row>
    <row r="63" spans="1:24">
      <c r="B63" s="58" t="s">
        <v>297</v>
      </c>
      <c r="D63" s="21">
        <f t="shared" ref="D63:T63" si="18">D41-D42-D43-D44</f>
        <v>0</v>
      </c>
      <c r="E63" s="21">
        <f t="shared" si="18"/>
        <v>-100000</v>
      </c>
      <c r="F63" s="21">
        <f t="shared" si="18"/>
        <v>0</v>
      </c>
      <c r="G63" s="21">
        <f t="shared" si="18"/>
        <v>0</v>
      </c>
      <c r="H63" s="21">
        <f t="shared" si="18"/>
        <v>-1.4901161193847656E-8</v>
      </c>
      <c r="I63" s="21">
        <f t="shared" si="18"/>
        <v>0</v>
      </c>
      <c r="J63" s="21">
        <f t="shared" si="18"/>
        <v>0</v>
      </c>
      <c r="K63" s="21">
        <f t="shared" si="18"/>
        <v>0</v>
      </c>
      <c r="L63" s="21">
        <f t="shared" si="18"/>
        <v>0</v>
      </c>
      <c r="M63" s="21">
        <f>M41-M42-M43-M44</f>
        <v>0</v>
      </c>
      <c r="N63" s="21">
        <f t="shared" si="18"/>
        <v>0</v>
      </c>
      <c r="O63" s="21">
        <f t="shared" si="18"/>
        <v>0</v>
      </c>
      <c r="P63" s="21">
        <f t="shared" si="18"/>
        <v>0</v>
      </c>
      <c r="Q63" s="192">
        <f>Q41-Q42-Q43-Q44</f>
        <v>754000000</v>
      </c>
      <c r="R63" s="21">
        <f t="shared" si="18"/>
        <v>1101000000</v>
      </c>
      <c r="S63" s="21">
        <f t="shared" si="18"/>
        <v>1275000000</v>
      </c>
      <c r="T63" s="21">
        <f t="shared" si="18"/>
        <v>-74000000</v>
      </c>
      <c r="U63" s="21">
        <f>U41-U42-U43-U44</f>
        <v>109000000</v>
      </c>
      <c r="V63" s="21">
        <f>V41-V42-V43-V44</f>
        <v>-290000000</v>
      </c>
      <c r="W63" s="21"/>
    </row>
    <row r="64" spans="1:24">
      <c r="B64" s="58" t="s">
        <v>528</v>
      </c>
      <c r="D64" s="21">
        <f t="shared" ref="D64:I64" si="19">D45-D46-D47-D48</f>
        <v>100000</v>
      </c>
      <c r="E64" s="21">
        <f t="shared" si="19"/>
        <v>0</v>
      </c>
      <c r="F64" s="21">
        <f t="shared" si="19"/>
        <v>0</v>
      </c>
      <c r="G64" s="21">
        <f t="shared" si="19"/>
        <v>1.4901161193847656E-8</v>
      </c>
      <c r="H64" s="21">
        <f t="shared" si="19"/>
        <v>0</v>
      </c>
      <c r="I64" s="21">
        <f t="shared" si="19"/>
        <v>0</v>
      </c>
      <c r="J64" s="21">
        <f>J45-J46-J47-J48</f>
        <v>0</v>
      </c>
      <c r="K64" s="21">
        <f>K45-K46-K47-K48</f>
        <v>0</v>
      </c>
      <c r="L64" s="21">
        <f t="shared" ref="L64:V64" si="20">L45-L46-L47-L48</f>
        <v>0</v>
      </c>
      <c r="M64" s="21">
        <f t="shared" si="20"/>
        <v>0</v>
      </c>
      <c r="N64" s="21">
        <f t="shared" si="20"/>
        <v>-2.9802322387695313E-8</v>
      </c>
      <c r="O64" s="21">
        <f t="shared" si="20"/>
        <v>0</v>
      </c>
      <c r="P64" s="21">
        <f>P45-P46-P47-P48</f>
        <v>0</v>
      </c>
      <c r="Q64" s="21">
        <f t="shared" si="20"/>
        <v>0</v>
      </c>
      <c r="R64" s="21">
        <f t="shared" si="20"/>
        <v>0</v>
      </c>
      <c r="S64" s="21">
        <f t="shared" si="20"/>
        <v>0</v>
      </c>
      <c r="T64" s="21">
        <f t="shared" si="20"/>
        <v>0</v>
      </c>
      <c r="U64" s="21">
        <f t="shared" si="20"/>
        <v>0</v>
      </c>
      <c r="V64" s="21">
        <f t="shared" si="20"/>
        <v>0</v>
      </c>
      <c r="W64" s="21"/>
    </row>
    <row r="65" spans="2:24">
      <c r="B65" s="58" t="s">
        <v>1285</v>
      </c>
      <c r="D65" s="21">
        <f>D47-D49-D50-D51-D52-D53</f>
        <v>-100000</v>
      </c>
      <c r="E65" s="21">
        <f t="shared" ref="E65:V65" si="21">E47-E49-E50-E51-E52-E53</f>
        <v>100000</v>
      </c>
      <c r="F65" s="21">
        <f t="shared" si="21"/>
        <v>0</v>
      </c>
      <c r="G65" s="131">
        <f t="shared" si="21"/>
        <v>54600000</v>
      </c>
      <c r="H65" s="131">
        <f t="shared" si="21"/>
        <v>40840000.000000007</v>
      </c>
      <c r="I65" s="192">
        <f>I47-I49-I50-I51-I52-I53</f>
        <v>0</v>
      </c>
      <c r="J65" s="192">
        <f>J47-J49-J50-J51-J52-J53</f>
        <v>0</v>
      </c>
      <c r="K65" s="21">
        <f t="shared" si="21"/>
        <v>0</v>
      </c>
      <c r="L65" s="21">
        <f t="shared" si="21"/>
        <v>7.4505805969238281E-9</v>
      </c>
      <c r="M65" s="21">
        <f t="shared" si="21"/>
        <v>2.2351741790771484E-8</v>
      </c>
      <c r="N65" s="21">
        <f t="shared" si="21"/>
        <v>1.4901161193847656E-8</v>
      </c>
      <c r="O65" s="21">
        <f t="shared" si="21"/>
        <v>5.9604644775390625E-8</v>
      </c>
      <c r="P65" s="21">
        <f t="shared" si="21"/>
        <v>0</v>
      </c>
      <c r="Q65" s="21">
        <f>Q47-Q49-Q50-Q51-Q52-Q53</f>
        <v>615000000</v>
      </c>
      <c r="R65" s="21">
        <f t="shared" si="21"/>
        <v>372000000</v>
      </c>
      <c r="S65" s="21">
        <f t="shared" si="21"/>
        <v>388000000</v>
      </c>
      <c r="T65" s="21">
        <f t="shared" si="21"/>
        <v>2439000000</v>
      </c>
      <c r="U65" s="21">
        <f t="shared" si="21"/>
        <v>1531000000</v>
      </c>
      <c r="V65" s="21">
        <f t="shared" si="21"/>
        <v>1018000000</v>
      </c>
      <c r="W65" s="21"/>
    </row>
    <row r="67" spans="2:24" ht="15.75" thickBot="1">
      <c r="C67" s="21"/>
    </row>
    <row r="68" spans="2:24" ht="15.75" thickBot="1">
      <c r="B68" s="58" t="s">
        <v>623</v>
      </c>
      <c r="D68" s="47">
        <v>1674000000</v>
      </c>
      <c r="E68" s="48">
        <v>2374000000</v>
      </c>
      <c r="F68" s="48">
        <v>3230000000</v>
      </c>
      <c r="G68" s="48">
        <v>4200000000</v>
      </c>
      <c r="H68" s="48">
        <v>5105000000</v>
      </c>
      <c r="I68" s="48">
        <v>6106000000</v>
      </c>
      <c r="J68" s="48">
        <v>7206000000</v>
      </c>
      <c r="K68" s="48">
        <v>8061000000</v>
      </c>
      <c r="L68" s="48">
        <v>9698000000</v>
      </c>
      <c r="M68" s="48">
        <v>10638000000</v>
      </c>
      <c r="N68" s="48">
        <v>11992000000</v>
      </c>
      <c r="O68" s="48">
        <v>14259000000</v>
      </c>
      <c r="P68" s="50">
        <v>15927000000</v>
      </c>
      <c r="Q68" s="50">
        <v>16626999999.999998</v>
      </c>
      <c r="R68" s="50">
        <v>17480000000</v>
      </c>
      <c r="S68" s="50">
        <v>18320000000</v>
      </c>
      <c r="T68" s="50">
        <v>19600000000</v>
      </c>
      <c r="U68" s="50">
        <v>21110000000</v>
      </c>
      <c r="V68" s="50">
        <v>22800000000</v>
      </c>
      <c r="W68" s="50"/>
      <c r="X68" s="144"/>
    </row>
    <row r="69" spans="2:24">
      <c r="B69" s="58" t="s">
        <v>151</v>
      </c>
      <c r="D69">
        <f t="shared" ref="D69:V69" si="22">(D6/D68)*100</f>
        <v>19.29510155316607</v>
      </c>
      <c r="E69">
        <f t="shared" si="22"/>
        <v>27.122999157540018</v>
      </c>
      <c r="F69">
        <f t="shared" si="22"/>
        <v>20.241486068111456</v>
      </c>
      <c r="G69">
        <f t="shared" si="22"/>
        <v>27.6</v>
      </c>
      <c r="H69">
        <f t="shared" si="22"/>
        <v>26.400000000000002</v>
      </c>
      <c r="I69">
        <f t="shared" si="22"/>
        <v>27.6</v>
      </c>
      <c r="J69">
        <f t="shared" si="22"/>
        <v>27.3</v>
      </c>
      <c r="K69">
        <f t="shared" si="22"/>
        <v>30.5</v>
      </c>
      <c r="L69">
        <f t="shared" si="22"/>
        <v>23.900000000000006</v>
      </c>
      <c r="M69">
        <f t="shared" si="22"/>
        <v>22.973265651438247</v>
      </c>
      <c r="N69">
        <f t="shared" si="22"/>
        <v>22.8</v>
      </c>
      <c r="O69">
        <f t="shared" si="22"/>
        <v>26.999999999999996</v>
      </c>
      <c r="P69">
        <f t="shared" si="22"/>
        <v>25.900000000000002</v>
      </c>
      <c r="Q69">
        <f t="shared" si="22"/>
        <v>26.366752871834969</v>
      </c>
      <c r="R69">
        <f t="shared" si="22"/>
        <v>23.844393592677346</v>
      </c>
      <c r="S69">
        <f t="shared" si="22"/>
        <v>20.131004366812228</v>
      </c>
      <c r="T69">
        <f t="shared" si="22"/>
        <v>23.913265306122451</v>
      </c>
      <c r="U69">
        <f t="shared" si="22"/>
        <v>28.81572714353387</v>
      </c>
      <c r="V69">
        <f t="shared" si="22"/>
        <v>32.868421052631582</v>
      </c>
    </row>
    <row r="70" spans="2:24">
      <c r="B70" s="58" t="s">
        <v>152</v>
      </c>
      <c r="D70">
        <f>(D17/D68)*100</f>
        <v>28.183990442054956</v>
      </c>
      <c r="E70">
        <f t="shared" ref="E70:V70" si="23">(E17/E68)*100</f>
        <v>24.519797809604043</v>
      </c>
      <c r="F70">
        <f t="shared" si="23"/>
        <v>24.820433436532507</v>
      </c>
      <c r="G70">
        <f t="shared" si="23"/>
        <v>27.800000000000004</v>
      </c>
      <c r="H70">
        <f t="shared" si="23"/>
        <v>28.7</v>
      </c>
      <c r="I70">
        <f t="shared" si="23"/>
        <v>30.199999999999992</v>
      </c>
      <c r="J70">
        <f t="shared" si="23"/>
        <v>28.7</v>
      </c>
      <c r="K70">
        <f t="shared" si="23"/>
        <v>28.899999999999991</v>
      </c>
      <c r="L70">
        <f t="shared" si="23"/>
        <v>22.600000000000005</v>
      </c>
      <c r="M70">
        <f t="shared" si="23"/>
        <v>24.523049445384469</v>
      </c>
      <c r="N70">
        <f t="shared" si="23"/>
        <v>25.7</v>
      </c>
      <c r="O70">
        <f t="shared" si="23"/>
        <v>25.799999999999994</v>
      </c>
      <c r="P70">
        <f t="shared" si="23"/>
        <v>28.599999999999998</v>
      </c>
      <c r="Q70">
        <f t="shared" si="23"/>
        <v>34.239489986167079</v>
      </c>
      <c r="R70">
        <f t="shared" si="23"/>
        <v>31.624713958810069</v>
      </c>
      <c r="S70">
        <f t="shared" si="23"/>
        <v>28.553493449781659</v>
      </c>
      <c r="T70">
        <f t="shared" si="23"/>
        <v>33.071428571428577</v>
      </c>
      <c r="U70">
        <f t="shared" si="23"/>
        <v>34.197063003315961</v>
      </c>
      <c r="V70">
        <f t="shared" si="23"/>
        <v>35.307017543859651</v>
      </c>
    </row>
    <row r="71" spans="2:24">
      <c r="B71" s="408" t="s">
        <v>1832</v>
      </c>
      <c r="D71" t="b">
        <f>IF(D30&lt;0,(D30/D17)*100)</f>
        <v>0</v>
      </c>
      <c r="E71" t="b">
        <f t="shared" ref="E71:V71" si="24">IF(E30&lt;0,(E30/E17)*100)</f>
        <v>0</v>
      </c>
      <c r="F71" t="b">
        <f t="shared" si="24"/>
        <v>0</v>
      </c>
      <c r="G71" t="b">
        <f t="shared" si="24"/>
        <v>0</v>
      </c>
      <c r="H71" t="b">
        <f t="shared" si="24"/>
        <v>0</v>
      </c>
      <c r="I71" t="b">
        <f t="shared" si="24"/>
        <v>0</v>
      </c>
      <c r="J71" t="b">
        <f t="shared" si="24"/>
        <v>0</v>
      </c>
      <c r="K71" t="b">
        <f t="shared" si="24"/>
        <v>0</v>
      </c>
      <c r="L71" t="b">
        <f>IF(L30&lt;0,(L30/L17)*100)</f>
        <v>0</v>
      </c>
      <c r="M71" t="b">
        <f t="shared" si="24"/>
        <v>0</v>
      </c>
      <c r="N71" t="b">
        <f t="shared" si="24"/>
        <v>0</v>
      </c>
      <c r="O71" t="b">
        <f t="shared" si="24"/>
        <v>0</v>
      </c>
      <c r="P71" t="b">
        <f t="shared" si="24"/>
        <v>0</v>
      </c>
      <c r="Q71" t="b">
        <f t="shared" si="24"/>
        <v>0</v>
      </c>
      <c r="R71" t="b">
        <f>IF(R30&lt;0,(R30/R17)*100)</f>
        <v>0</v>
      </c>
      <c r="S71" t="b">
        <f t="shared" si="24"/>
        <v>0</v>
      </c>
      <c r="T71" t="b">
        <f t="shared" si="24"/>
        <v>0</v>
      </c>
      <c r="U71" t="b">
        <f t="shared" si="24"/>
        <v>0</v>
      </c>
      <c r="V71" t="b">
        <f t="shared" si="24"/>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T6" activePane="bottomRight" state="frozen"/>
      <selection pane="topRight" activeCell="R7" sqref="R7"/>
      <selection pane="bottomLeft" activeCell="R7" sqref="R7"/>
      <selection pane="bottomRight" activeCell="T22" sqref="T22"/>
    </sheetView>
  </sheetViews>
  <sheetFormatPr defaultRowHeight="15"/>
  <cols>
    <col min="1" max="1" width="43.85546875" style="2102" bestFit="1" customWidth="1"/>
    <col min="2" max="2" width="51" style="2102" bestFit="1" customWidth="1"/>
    <col min="3" max="3" width="23.5703125" style="2102" bestFit="1" customWidth="1"/>
    <col min="4" max="4" width="14.85546875" style="2102" bestFit="1" customWidth="1"/>
    <col min="5" max="5" width="15.140625" style="2102" customWidth="1"/>
    <col min="6" max="6" width="16.140625" style="2102" customWidth="1"/>
    <col min="7" max="9" width="15.42578125" style="2102" bestFit="1" customWidth="1"/>
    <col min="10" max="10" width="16.140625" style="2102" bestFit="1" customWidth="1"/>
    <col min="11" max="11" width="16.5703125" style="2102" bestFit="1" customWidth="1"/>
    <col min="12" max="12" width="16.7109375" style="2102" customWidth="1"/>
    <col min="13" max="13" width="17.5703125" style="2102" customWidth="1"/>
    <col min="14" max="15" width="16.140625" style="2102" bestFit="1" customWidth="1"/>
    <col min="16" max="22" width="16.42578125" style="2102" bestFit="1" customWidth="1"/>
    <col min="23" max="26" width="15.7109375" style="2102" bestFit="1" customWidth="1"/>
    <col min="27" max="27" width="9.140625" style="2102"/>
    <col min="28" max="28" width="14.140625" style="2102" customWidth="1"/>
    <col min="29" max="36" width="14.140625" style="506" customWidth="1"/>
    <col min="37" max="37" width="14.140625" customWidth="1"/>
    <col min="38" max="38" width="10.28515625" bestFit="1" customWidth="1"/>
  </cols>
  <sheetData>
    <row r="1" spans="1:40">
      <c r="A1" s="2102" t="s">
        <v>6149</v>
      </c>
      <c r="B1" s="2129" t="s">
        <v>6150</v>
      </c>
      <c r="C1" s="2103"/>
      <c r="D1" s="2103"/>
      <c r="E1" s="2103"/>
      <c r="F1" s="2103"/>
      <c r="G1" s="2103"/>
      <c r="H1" s="2103"/>
      <c r="I1" s="2103"/>
      <c r="J1" s="2103"/>
      <c r="K1" s="2103"/>
      <c r="L1" s="2103"/>
      <c r="M1" s="2103"/>
      <c r="N1" s="2104"/>
      <c r="O1" s="2104"/>
      <c r="P1" s="2104"/>
      <c r="Q1" s="2104"/>
      <c r="R1" s="2104"/>
      <c r="S1" s="2104"/>
      <c r="T1" s="2104"/>
      <c r="U1" s="2104"/>
      <c r="V1" s="2104"/>
      <c r="W1" s="2104"/>
      <c r="AC1" s="365"/>
      <c r="AD1" s="365"/>
      <c r="AE1" s="365"/>
      <c r="AF1" s="365"/>
      <c r="AG1" s="365"/>
      <c r="AH1" s="365"/>
      <c r="AI1" s="365"/>
      <c r="AJ1" s="365"/>
      <c r="AK1" s="365"/>
      <c r="AL1" s="365"/>
      <c r="AM1" s="365"/>
      <c r="AN1" s="365"/>
    </row>
    <row r="2" spans="1:40">
      <c r="B2" s="2130" t="s">
        <v>6151</v>
      </c>
      <c r="C2" s="2104"/>
      <c r="D2" s="2104"/>
      <c r="E2" s="2104"/>
      <c r="F2" s="2104"/>
      <c r="G2" s="2104"/>
      <c r="H2" s="2104"/>
      <c r="I2" s="2104"/>
      <c r="J2" s="2104"/>
      <c r="K2" s="2104"/>
      <c r="L2" s="2104"/>
      <c r="M2" s="2104"/>
      <c r="N2" s="2104"/>
      <c r="O2" s="2104"/>
      <c r="P2" s="2104"/>
      <c r="Q2" s="2105"/>
      <c r="R2" s="2105"/>
      <c r="S2" s="2106"/>
      <c r="T2" s="2104"/>
      <c r="U2" s="2104"/>
      <c r="V2" s="2104"/>
      <c r="W2" s="2104"/>
      <c r="Y2" s="2107"/>
      <c r="Z2" s="2107"/>
      <c r="AA2" s="2107"/>
      <c r="AB2" s="2107"/>
      <c r="AC2" s="276"/>
      <c r="AD2" s="276"/>
      <c r="AE2" s="276"/>
      <c r="AF2" s="276"/>
      <c r="AG2" s="276"/>
      <c r="AH2" s="276"/>
      <c r="AI2" s="276"/>
      <c r="AJ2" s="276"/>
      <c r="AK2" s="276"/>
      <c r="AL2" s="365"/>
      <c r="AM2" s="365"/>
      <c r="AN2" s="365"/>
    </row>
    <row r="3" spans="1:40">
      <c r="B3" s="2103" t="s">
        <v>3</v>
      </c>
      <c r="C3" s="2103"/>
      <c r="D3" s="2104">
        <v>2000</v>
      </c>
      <c r="E3" s="2104">
        <v>2001</v>
      </c>
      <c r="F3" s="2104">
        <v>2002</v>
      </c>
      <c r="G3" s="2104">
        <v>2003</v>
      </c>
      <c r="H3" s="2104">
        <v>2004</v>
      </c>
      <c r="I3" s="2104">
        <v>2005</v>
      </c>
      <c r="J3" s="2104">
        <v>2006</v>
      </c>
      <c r="K3" s="2104">
        <v>2007</v>
      </c>
      <c r="L3" s="2104">
        <v>2008</v>
      </c>
      <c r="M3" s="2104">
        <v>2009</v>
      </c>
      <c r="N3" s="2104">
        <v>2010</v>
      </c>
      <c r="O3" s="2104">
        <v>2011</v>
      </c>
      <c r="P3" s="2104">
        <v>2012</v>
      </c>
      <c r="Q3" s="2104">
        <v>2013</v>
      </c>
      <c r="R3" s="2104">
        <v>2014</v>
      </c>
      <c r="S3" s="2104">
        <v>2015</v>
      </c>
      <c r="T3" s="2104">
        <v>2016</v>
      </c>
      <c r="U3" s="2104">
        <v>2017</v>
      </c>
      <c r="V3" s="2104">
        <v>2018</v>
      </c>
      <c r="W3" s="2104">
        <v>2019</v>
      </c>
      <c r="X3" s="2104">
        <v>2020</v>
      </c>
      <c r="Y3" s="2104">
        <v>2021</v>
      </c>
      <c r="Z3" s="2104">
        <v>2022</v>
      </c>
      <c r="AA3" s="2107"/>
      <c r="AB3" s="2107"/>
      <c r="AC3" s="276"/>
      <c r="AD3" s="276"/>
      <c r="AE3" s="276"/>
      <c r="AF3" s="276"/>
      <c r="AG3" s="276"/>
      <c r="AH3" s="276"/>
      <c r="AI3" s="276"/>
      <c r="AJ3" s="276"/>
      <c r="AK3" s="276"/>
      <c r="AL3" s="365"/>
      <c r="AM3" s="365"/>
      <c r="AN3" s="365"/>
    </row>
    <row r="4" spans="1:40">
      <c r="B4" s="2103" t="s">
        <v>4</v>
      </c>
      <c r="C4" s="2103"/>
      <c r="D4" s="2104" t="s">
        <v>6</v>
      </c>
      <c r="E4" s="2104" t="s">
        <v>7</v>
      </c>
      <c r="F4" s="2104" t="s">
        <v>8</v>
      </c>
      <c r="G4" s="2104" t="s">
        <v>9</v>
      </c>
      <c r="H4" s="2104" t="s">
        <v>10</v>
      </c>
      <c r="I4" s="2104" t="s">
        <v>11</v>
      </c>
      <c r="J4" s="2104" t="s">
        <v>12</v>
      </c>
      <c r="K4" s="2104" t="s">
        <v>13</v>
      </c>
      <c r="L4" s="2104" t="s">
        <v>14</v>
      </c>
      <c r="M4" s="2104" t="s">
        <v>15</v>
      </c>
      <c r="N4" s="2104" t="s">
        <v>16</v>
      </c>
      <c r="O4" s="2104" t="s">
        <v>17</v>
      </c>
      <c r="P4" s="2104" t="s">
        <v>18</v>
      </c>
      <c r="Q4" s="2104" t="s">
        <v>19</v>
      </c>
      <c r="R4" s="2104" t="s">
        <v>20</v>
      </c>
      <c r="S4" s="2104" t="s">
        <v>21</v>
      </c>
      <c r="T4" s="2104" t="s">
        <v>22</v>
      </c>
      <c r="U4" s="2104" t="s">
        <v>23</v>
      </c>
      <c r="V4" s="2104" t="s">
        <v>24</v>
      </c>
      <c r="W4" s="2104" t="s">
        <v>25</v>
      </c>
      <c r="X4" s="2104" t="s">
        <v>26</v>
      </c>
      <c r="Y4" s="2107" t="s">
        <v>27</v>
      </c>
      <c r="Z4" s="2107" t="s">
        <v>1137</v>
      </c>
      <c r="AA4" s="2107"/>
      <c r="AB4" s="2107"/>
      <c r="AC4" s="276"/>
      <c r="AD4" s="523"/>
      <c r="AE4" s="523"/>
      <c r="AF4" s="523"/>
      <c r="AG4" s="523"/>
      <c r="AH4" s="523"/>
      <c r="AI4" s="523"/>
      <c r="AJ4" s="523"/>
      <c r="AK4" s="530"/>
      <c r="AL4" s="365"/>
      <c r="AM4" s="365"/>
      <c r="AN4" s="365"/>
    </row>
    <row r="5" spans="1:40">
      <c r="A5" s="2102" t="s">
        <v>28</v>
      </c>
      <c r="B5" s="2103" t="s">
        <v>29</v>
      </c>
      <c r="C5" s="2103"/>
      <c r="D5" s="2104" t="s">
        <v>30</v>
      </c>
      <c r="E5" s="2104" t="s">
        <v>30</v>
      </c>
      <c r="F5" s="2104" t="s">
        <v>30</v>
      </c>
      <c r="G5" s="2104" t="s">
        <v>30</v>
      </c>
      <c r="H5" s="2103" t="s">
        <v>31</v>
      </c>
      <c r="I5" s="2103" t="s">
        <v>30</v>
      </c>
      <c r="J5" s="2103" t="s">
        <v>30</v>
      </c>
      <c r="K5" s="2103" t="s">
        <v>30</v>
      </c>
      <c r="L5" s="2103" t="s">
        <v>30</v>
      </c>
      <c r="M5" s="2104" t="s">
        <v>31</v>
      </c>
      <c r="N5" s="2104" t="s">
        <v>30</v>
      </c>
      <c r="O5" s="2104" t="s">
        <v>30</v>
      </c>
      <c r="P5" s="2104" t="s">
        <v>30</v>
      </c>
      <c r="Q5" s="2104" t="s">
        <v>30</v>
      </c>
      <c r="R5" s="2104" t="s">
        <v>30</v>
      </c>
      <c r="S5" s="2104" t="s">
        <v>369</v>
      </c>
      <c r="T5" s="2104" t="s">
        <v>368</v>
      </c>
      <c r="U5" s="2104" t="s">
        <v>32</v>
      </c>
      <c r="V5" s="2104" t="s">
        <v>32</v>
      </c>
      <c r="W5" s="2104" t="s">
        <v>32</v>
      </c>
      <c r="X5" s="2104" t="s">
        <v>32</v>
      </c>
      <c r="Y5" s="2104" t="s">
        <v>32</v>
      </c>
      <c r="Z5" s="2104" t="s">
        <v>32</v>
      </c>
      <c r="AA5" s="2107"/>
      <c r="AB5" s="2107"/>
      <c r="AC5" s="276"/>
      <c r="AD5" s="276"/>
      <c r="AE5" s="276"/>
      <c r="AF5" s="276"/>
      <c r="AG5" s="276"/>
      <c r="AH5" s="276"/>
      <c r="AI5" s="276"/>
      <c r="AJ5" s="276"/>
      <c r="AK5" s="276"/>
      <c r="AL5" s="365"/>
      <c r="AM5" s="365"/>
      <c r="AN5" s="365"/>
    </row>
    <row r="6" spans="1:40" s="848" customFormat="1">
      <c r="A6" s="2108" t="s">
        <v>33</v>
      </c>
      <c r="B6" s="2108" t="s">
        <v>3444</v>
      </c>
      <c r="C6" s="2108" t="s">
        <v>35</v>
      </c>
      <c r="D6" s="2109">
        <v>2825300000</v>
      </c>
      <c r="E6" s="2109">
        <v>3111200000</v>
      </c>
      <c r="F6" s="2110">
        <v>3425900000</v>
      </c>
      <c r="G6" s="2109">
        <v>3908400000</v>
      </c>
      <c r="H6" s="2109">
        <v>4841800000</v>
      </c>
      <c r="I6" s="2109">
        <v>5499100000</v>
      </c>
      <c r="J6" s="2109">
        <v>8020600000</v>
      </c>
      <c r="K6" s="2109">
        <v>8341100000</v>
      </c>
      <c r="L6" s="2110">
        <v>9627000000</v>
      </c>
      <c r="M6" s="2110">
        <v>9225000000</v>
      </c>
      <c r="N6" s="2110">
        <f>N7+N18</f>
        <v>6917000000</v>
      </c>
      <c r="O6" s="2110">
        <f>O7+O18</f>
        <v>7487000000</v>
      </c>
      <c r="P6" s="2110">
        <v>12178000000</v>
      </c>
      <c r="Q6" s="2110">
        <v>12910000000</v>
      </c>
      <c r="R6" s="2110">
        <f>R7+R18</f>
        <v>14769000000</v>
      </c>
      <c r="S6" s="2110">
        <v>14621000000</v>
      </c>
      <c r="T6" s="2110">
        <v>13883000000</v>
      </c>
      <c r="U6" s="2110">
        <v>15978000000</v>
      </c>
      <c r="V6" s="2110">
        <v>16607000000</v>
      </c>
      <c r="W6" s="2134">
        <v>17652000000</v>
      </c>
      <c r="X6" s="2135">
        <v>18956000000</v>
      </c>
      <c r="Y6" s="2136">
        <v>20347000000</v>
      </c>
      <c r="Z6" s="2136">
        <v>21843000000</v>
      </c>
      <c r="AA6" s="2108"/>
      <c r="AB6" s="2111"/>
      <c r="AC6" s="2098"/>
      <c r="AD6" s="2098"/>
      <c r="AE6" s="2098"/>
      <c r="AF6" s="2098"/>
      <c r="AG6" s="2098"/>
      <c r="AH6" s="2098"/>
      <c r="AI6" s="2098"/>
      <c r="AJ6" s="2098"/>
      <c r="AK6" s="2099"/>
      <c r="AL6" s="916"/>
      <c r="AM6" s="916"/>
      <c r="AN6" s="916"/>
    </row>
    <row r="7" spans="1:40">
      <c r="A7" s="2132" t="s">
        <v>36</v>
      </c>
      <c r="B7" s="2132"/>
      <c r="C7" s="2133" t="s">
        <v>38</v>
      </c>
      <c r="D7" s="2131">
        <f>D8+D17</f>
        <v>2713200000</v>
      </c>
      <c r="E7" s="2131">
        <f t="shared" ref="E7:K7" si="0">E8+E17</f>
        <v>2984300000</v>
      </c>
      <c r="F7" s="2131">
        <f t="shared" si="0"/>
        <v>3262800000</v>
      </c>
      <c r="G7" s="2131">
        <f t="shared" si="0"/>
        <v>3770700000</v>
      </c>
      <c r="H7" s="2131">
        <f t="shared" si="0"/>
        <v>4725800000</v>
      </c>
      <c r="I7" s="2131">
        <f t="shared" si="0"/>
        <v>5326800000</v>
      </c>
      <c r="J7" s="2131">
        <f t="shared" si="0"/>
        <v>7854900000</v>
      </c>
      <c r="K7" s="2131">
        <f t="shared" si="0"/>
        <v>8278400000</v>
      </c>
      <c r="L7" s="2112">
        <v>9482000000</v>
      </c>
      <c r="M7" s="2112">
        <v>9105000000</v>
      </c>
      <c r="N7" s="2113">
        <f>N8+N17</f>
        <v>6907000000</v>
      </c>
      <c r="O7" s="2113">
        <f>O8+O17</f>
        <v>7469000000</v>
      </c>
      <c r="P7" s="2113">
        <f>P8+P17</f>
        <v>12135000000</v>
      </c>
      <c r="Q7" s="2113">
        <f t="shared" ref="Q7:Z7" si="1">Q8+Q17</f>
        <v>12715000000</v>
      </c>
      <c r="R7" s="2113">
        <f t="shared" si="1"/>
        <v>13991000000</v>
      </c>
      <c r="S7" s="2113">
        <f t="shared" si="1"/>
        <v>14292000000</v>
      </c>
      <c r="T7" s="2113">
        <f t="shared" si="1"/>
        <v>13383000000</v>
      </c>
      <c r="U7" s="2113">
        <f t="shared" si="1"/>
        <v>15552000000</v>
      </c>
      <c r="V7" s="2113">
        <f t="shared" si="1"/>
        <v>16176000000</v>
      </c>
      <c r="W7" s="2137">
        <f t="shared" si="1"/>
        <v>17221000000</v>
      </c>
      <c r="X7" s="2137">
        <f t="shared" si="1"/>
        <v>18461000000</v>
      </c>
      <c r="Y7" s="2137">
        <f t="shared" si="1"/>
        <v>19820000000</v>
      </c>
      <c r="Z7" s="2137">
        <f t="shared" si="1"/>
        <v>21280000000</v>
      </c>
      <c r="AL7" s="365"/>
      <c r="AM7" s="365"/>
      <c r="AN7" s="365"/>
    </row>
    <row r="8" spans="1:40">
      <c r="A8" s="2114" t="s">
        <v>39</v>
      </c>
      <c r="B8" s="2114" t="s">
        <v>285</v>
      </c>
      <c r="C8" s="2107" t="s">
        <v>41</v>
      </c>
      <c r="D8" s="2113">
        <v>2574400000</v>
      </c>
      <c r="E8" s="2113">
        <v>2785200000</v>
      </c>
      <c r="F8" s="2112">
        <v>3107400000</v>
      </c>
      <c r="G8" s="2113">
        <v>3660500000</v>
      </c>
      <c r="H8" s="2113">
        <v>4627800000</v>
      </c>
      <c r="I8" s="2113">
        <v>5189500000</v>
      </c>
      <c r="J8" s="2113">
        <v>7682800000</v>
      </c>
      <c r="K8" s="2113">
        <v>7564900000</v>
      </c>
      <c r="L8" s="2112">
        <v>9128000000</v>
      </c>
      <c r="M8" s="2112">
        <v>8698000000</v>
      </c>
      <c r="N8" s="2113">
        <v>6684000000</v>
      </c>
      <c r="O8" s="2113">
        <f>O9+O12+O13+O15+O16</f>
        <v>7052000000</v>
      </c>
      <c r="P8" s="2113">
        <v>11813000000</v>
      </c>
      <c r="Q8" s="2113">
        <v>12433000000</v>
      </c>
      <c r="R8" s="2113">
        <f>R9+R12+R13+R15+R16</f>
        <v>13799000000</v>
      </c>
      <c r="S8" s="2113">
        <v>13925000000</v>
      </c>
      <c r="T8" s="2113">
        <v>13186000000</v>
      </c>
      <c r="U8" s="2113">
        <v>15315000000</v>
      </c>
      <c r="V8" s="2113">
        <v>15856000000</v>
      </c>
      <c r="W8" s="2137">
        <v>16885000000</v>
      </c>
      <c r="X8" s="2138">
        <v>18104000000</v>
      </c>
      <c r="Y8" s="2139">
        <v>19438000000</v>
      </c>
      <c r="Z8" s="2139">
        <v>20872000000</v>
      </c>
      <c r="AA8" s="2107"/>
      <c r="AB8" s="2115"/>
      <c r="AC8" s="524"/>
      <c r="AD8" s="524"/>
      <c r="AE8" s="524"/>
      <c r="AF8" s="524"/>
      <c r="AG8" s="524"/>
      <c r="AH8" s="524"/>
      <c r="AI8" s="524"/>
      <c r="AJ8" s="524"/>
      <c r="AK8" s="531"/>
      <c r="AL8" s="365"/>
      <c r="AM8" s="365"/>
      <c r="AN8" s="365"/>
    </row>
    <row r="9" spans="1:40">
      <c r="A9" s="2116" t="s">
        <v>42</v>
      </c>
      <c r="B9" s="2116" t="s">
        <v>3887</v>
      </c>
      <c r="C9" s="2103" t="s">
        <v>44</v>
      </c>
      <c r="D9" s="2117"/>
      <c r="E9" s="2117"/>
      <c r="F9" s="2117"/>
      <c r="G9" s="2117"/>
      <c r="H9" s="2117"/>
      <c r="I9" s="2117"/>
      <c r="J9" s="2117"/>
      <c r="K9" s="2117"/>
      <c r="L9" s="2112">
        <v>1939000000</v>
      </c>
      <c r="M9" s="2112">
        <v>2307000000</v>
      </c>
      <c r="N9" s="2113">
        <v>2552000000</v>
      </c>
      <c r="O9" s="2113">
        <v>2481000000</v>
      </c>
      <c r="P9" s="2113">
        <v>2274000000</v>
      </c>
      <c r="Q9" s="2144">
        <f>Q10+Q11</f>
        <v>2807000000</v>
      </c>
      <c r="R9" s="2113">
        <v>3533000000</v>
      </c>
      <c r="S9" s="2113">
        <v>3825000000</v>
      </c>
      <c r="T9" s="2113">
        <v>4547000000</v>
      </c>
      <c r="U9" s="2113">
        <v>4688000000</v>
      </c>
      <c r="V9" s="2113">
        <v>4893000000</v>
      </c>
      <c r="W9" s="2137">
        <v>5157000000</v>
      </c>
      <c r="X9" s="2138">
        <v>5498000000</v>
      </c>
      <c r="Y9" s="2139">
        <v>5872000000</v>
      </c>
      <c r="Z9" s="2139">
        <v>6273000000</v>
      </c>
      <c r="AA9" s="2107"/>
      <c r="AB9" s="2115"/>
      <c r="AC9" s="524"/>
      <c r="AD9" s="524"/>
      <c r="AE9" s="524"/>
      <c r="AF9" s="524"/>
      <c r="AG9" s="524"/>
      <c r="AH9" s="524"/>
      <c r="AI9" s="524"/>
      <c r="AJ9" s="524"/>
      <c r="AK9" s="531"/>
      <c r="AL9" s="365"/>
      <c r="AM9" s="365"/>
      <c r="AN9" s="365"/>
    </row>
    <row r="10" spans="1:40">
      <c r="A10" s="2615" t="s">
        <v>1504</v>
      </c>
      <c r="B10" s="2615" t="s">
        <v>6152</v>
      </c>
      <c r="C10" s="2616" t="s">
        <v>632</v>
      </c>
      <c r="D10" s="2117"/>
      <c r="E10" s="2117"/>
      <c r="F10" s="2117"/>
      <c r="G10" s="2117"/>
      <c r="H10" s="2117"/>
      <c r="I10" s="2117"/>
      <c r="J10" s="2117"/>
      <c r="K10" s="2117"/>
      <c r="L10" s="2112"/>
      <c r="M10" s="2112"/>
      <c r="N10" s="2113"/>
      <c r="O10" s="2113"/>
      <c r="P10" s="2113"/>
      <c r="Q10" s="2113">
        <v>1041000000</v>
      </c>
      <c r="R10" s="2113">
        <v>1483000000</v>
      </c>
      <c r="S10" s="2113">
        <v>1372000000</v>
      </c>
      <c r="T10" s="2113">
        <v>1498000000</v>
      </c>
      <c r="U10" s="2113">
        <v>1466000000</v>
      </c>
      <c r="V10" s="2113">
        <v>1526000000</v>
      </c>
      <c r="W10" s="2137">
        <v>1602000000</v>
      </c>
      <c r="X10" s="2138">
        <v>1702000000</v>
      </c>
      <c r="Y10" s="2139">
        <v>1817000000</v>
      </c>
      <c r="Z10" s="2139">
        <v>1941000000</v>
      </c>
      <c r="AA10" s="2107"/>
      <c r="AB10" s="2115"/>
      <c r="AC10" s="524"/>
      <c r="AD10" s="524"/>
      <c r="AE10" s="524"/>
      <c r="AF10" s="524"/>
      <c r="AG10" s="524"/>
      <c r="AH10" s="524"/>
      <c r="AI10" s="524"/>
      <c r="AJ10" s="524"/>
      <c r="AK10" s="531"/>
      <c r="AL10" s="365"/>
      <c r="AM10" s="365"/>
      <c r="AN10" s="365"/>
    </row>
    <row r="11" spans="1:40">
      <c r="A11" s="2615" t="s">
        <v>170</v>
      </c>
      <c r="B11" s="2615" t="s">
        <v>6153</v>
      </c>
      <c r="C11" s="2616" t="s">
        <v>632</v>
      </c>
      <c r="D11" s="2117"/>
      <c r="E11" s="2117"/>
      <c r="F11" s="2117"/>
      <c r="G11" s="2117"/>
      <c r="H11" s="2117"/>
      <c r="I11" s="2117"/>
      <c r="J11" s="2117"/>
      <c r="K11" s="2117"/>
      <c r="L11" s="2112"/>
      <c r="M11" s="2112"/>
      <c r="N11" s="2113"/>
      <c r="O11" s="2113"/>
      <c r="P11" s="2113"/>
      <c r="Q11" s="2113">
        <v>1766000000</v>
      </c>
      <c r="R11" s="2113">
        <v>2049000000</v>
      </c>
      <c r="S11" s="2113">
        <v>2452000000</v>
      </c>
      <c r="T11" s="2113">
        <v>3049000000</v>
      </c>
      <c r="U11" s="2113">
        <v>3222000000</v>
      </c>
      <c r="V11" s="2113">
        <v>3368000000</v>
      </c>
      <c r="W11" s="2137">
        <v>3554000000</v>
      </c>
      <c r="X11" s="2138">
        <v>3797000000</v>
      </c>
      <c r="Y11" s="2139">
        <v>4055000000</v>
      </c>
      <c r="Z11" s="2139">
        <v>4331000000</v>
      </c>
      <c r="AA11" s="2107"/>
      <c r="AB11" s="2115"/>
      <c r="AC11" s="524"/>
      <c r="AD11" s="524"/>
      <c r="AE11" s="524"/>
      <c r="AF11" s="524"/>
      <c r="AG11" s="524"/>
      <c r="AH11" s="524"/>
      <c r="AI11" s="524"/>
      <c r="AJ11" s="524"/>
      <c r="AK11" s="531"/>
      <c r="AL11" s="365"/>
      <c r="AM11" s="365"/>
      <c r="AN11" s="365"/>
    </row>
    <row r="12" spans="1:40">
      <c r="A12" s="2116" t="s">
        <v>2229</v>
      </c>
      <c r="B12" s="2116" t="s">
        <v>2664</v>
      </c>
      <c r="C12" s="2103" t="s">
        <v>44</v>
      </c>
      <c r="D12" s="2117"/>
      <c r="E12" s="2117"/>
      <c r="F12" s="2117"/>
      <c r="G12" s="2117"/>
      <c r="H12" s="2117"/>
      <c r="I12" s="2117"/>
      <c r="J12" s="2117"/>
      <c r="K12" s="2117"/>
      <c r="L12" s="2112">
        <v>1144000000</v>
      </c>
      <c r="M12" s="2112">
        <v>17000000</v>
      </c>
      <c r="N12" s="2113"/>
      <c r="O12" s="2113">
        <v>20000000</v>
      </c>
      <c r="P12" s="2113">
        <v>19000000</v>
      </c>
      <c r="Q12" s="2113">
        <v>17000000</v>
      </c>
      <c r="R12" s="2113">
        <v>29000000</v>
      </c>
      <c r="S12" s="2113">
        <v>34000000</v>
      </c>
      <c r="T12" s="2113">
        <v>43000000</v>
      </c>
      <c r="U12" s="2113">
        <v>48000000</v>
      </c>
      <c r="V12" s="2113">
        <v>50000000</v>
      </c>
      <c r="W12" s="2137">
        <v>52000000</v>
      </c>
      <c r="X12" s="2138">
        <v>56000000</v>
      </c>
      <c r="Y12" s="2139">
        <v>59000000</v>
      </c>
      <c r="Z12" s="2139">
        <v>63000000</v>
      </c>
      <c r="AA12" s="2107"/>
      <c r="AB12" s="2118"/>
      <c r="AC12" s="522"/>
      <c r="AD12" s="522"/>
      <c r="AE12" s="522"/>
      <c r="AF12" s="522"/>
      <c r="AG12" s="522"/>
      <c r="AH12" s="522"/>
      <c r="AI12" s="522"/>
      <c r="AJ12" s="522"/>
      <c r="AK12" s="529"/>
      <c r="AL12" s="365"/>
      <c r="AM12" s="365"/>
      <c r="AN12" s="365"/>
    </row>
    <row r="13" spans="1:40">
      <c r="A13" s="2116" t="s">
        <v>2448</v>
      </c>
      <c r="B13" s="2116" t="s">
        <v>5475</v>
      </c>
      <c r="C13" s="2103" t="s">
        <v>44</v>
      </c>
      <c r="D13" s="2117"/>
      <c r="E13" s="2117"/>
      <c r="F13" s="2117"/>
      <c r="G13" s="2117"/>
      <c r="H13" s="2117"/>
      <c r="I13" s="2117"/>
      <c r="J13" s="2117"/>
      <c r="K13" s="2117"/>
      <c r="L13" s="2112">
        <v>6037000000</v>
      </c>
      <c r="M13" s="2112">
        <v>5190000000</v>
      </c>
      <c r="N13" s="2113">
        <v>2631000000</v>
      </c>
      <c r="O13" s="2113">
        <v>2881000000</v>
      </c>
      <c r="P13" s="2113">
        <v>7063000000</v>
      </c>
      <c r="Q13" s="2113">
        <v>7154000000</v>
      </c>
      <c r="R13" s="2113">
        <v>7487000000</v>
      </c>
      <c r="S13" s="2113">
        <v>6931000000</v>
      </c>
      <c r="T13" s="2113">
        <v>5252000000</v>
      </c>
      <c r="U13" s="2113">
        <v>7109000000</v>
      </c>
      <c r="V13" s="2113">
        <v>7312000000</v>
      </c>
      <c r="W13" s="2137">
        <v>7893000000</v>
      </c>
      <c r="X13" s="2138">
        <v>8525000000</v>
      </c>
      <c r="Y13" s="2139">
        <v>9207000000</v>
      </c>
      <c r="Z13" s="2139">
        <v>9943000000</v>
      </c>
      <c r="AA13" s="2107"/>
      <c r="AB13" s="2115"/>
      <c r="AC13" s="524"/>
      <c r="AD13" s="524"/>
      <c r="AE13" s="524"/>
      <c r="AF13" s="524"/>
      <c r="AG13" s="524"/>
      <c r="AH13" s="524"/>
      <c r="AI13" s="524"/>
      <c r="AJ13" s="524"/>
      <c r="AK13" s="531"/>
      <c r="AL13" s="365"/>
      <c r="AM13" s="365"/>
      <c r="AN13" s="365"/>
    </row>
    <row r="14" spans="1:40">
      <c r="A14" s="2102" t="s">
        <v>76</v>
      </c>
      <c r="B14" s="2116" t="s">
        <v>6154</v>
      </c>
      <c r="C14" s="2103"/>
      <c r="D14" s="2117"/>
      <c r="E14" s="2117"/>
      <c r="F14" s="2117"/>
      <c r="G14" s="2117"/>
      <c r="H14" s="2117"/>
      <c r="I14" s="2117"/>
      <c r="J14" s="2117"/>
      <c r="K14" s="2117"/>
      <c r="L14" s="2117"/>
      <c r="M14" s="2112">
        <v>5190000000</v>
      </c>
      <c r="N14" s="2113">
        <v>2631000000</v>
      </c>
      <c r="O14" s="2113">
        <v>2881000000</v>
      </c>
      <c r="P14" s="2113">
        <v>7063000000</v>
      </c>
      <c r="Q14" s="2113">
        <v>7154000000</v>
      </c>
      <c r="R14" s="2113">
        <v>7487000000</v>
      </c>
      <c r="S14" s="2113">
        <v>6931000000</v>
      </c>
      <c r="T14" s="2113">
        <v>5252000000</v>
      </c>
      <c r="U14" s="2113">
        <v>7109000000</v>
      </c>
      <c r="V14" s="2113">
        <v>7312000000</v>
      </c>
      <c r="W14" s="2137">
        <v>7893000000</v>
      </c>
      <c r="X14" s="2138">
        <v>8525000000</v>
      </c>
      <c r="Y14" s="2139">
        <v>9207000000</v>
      </c>
      <c r="Z14" s="2139">
        <v>9943000000</v>
      </c>
      <c r="AA14" s="2107"/>
      <c r="AB14" s="2115"/>
      <c r="AC14" s="524"/>
      <c r="AD14" s="524"/>
      <c r="AE14" s="524"/>
      <c r="AF14" s="524"/>
      <c r="AG14" s="524"/>
      <c r="AH14" s="524"/>
      <c r="AI14" s="524"/>
      <c r="AJ14" s="524"/>
      <c r="AK14" s="531"/>
      <c r="AL14" s="365"/>
      <c r="AM14" s="365"/>
      <c r="AN14" s="365"/>
    </row>
    <row r="15" spans="1:40">
      <c r="A15" s="2116" t="s">
        <v>2446</v>
      </c>
      <c r="B15" s="2116" t="s">
        <v>6155</v>
      </c>
      <c r="C15" s="2103" t="s">
        <v>44</v>
      </c>
      <c r="D15" s="2117"/>
      <c r="E15" s="2117"/>
      <c r="F15" s="2117"/>
      <c r="G15" s="2117"/>
      <c r="H15" s="2117"/>
      <c r="I15" s="2117"/>
      <c r="J15" s="2117"/>
      <c r="K15" s="2117"/>
      <c r="L15" s="2117"/>
      <c r="M15" s="2112">
        <v>1158000000</v>
      </c>
      <c r="N15" s="2113">
        <v>1478000000</v>
      </c>
      <c r="O15" s="2113">
        <v>1659000000</v>
      </c>
      <c r="P15" s="2113">
        <v>2446000000</v>
      </c>
      <c r="Q15" s="2113">
        <v>2432000000</v>
      </c>
      <c r="R15" s="2113">
        <v>2738000000</v>
      </c>
      <c r="S15" s="2113">
        <v>3135000000</v>
      </c>
      <c r="T15" s="2113">
        <v>3341000000</v>
      </c>
      <c r="U15" s="2113">
        <v>3419000000</v>
      </c>
      <c r="V15" s="2113">
        <v>3550000000</v>
      </c>
      <c r="W15" s="2137">
        <v>3730000000</v>
      </c>
      <c r="X15" s="2138">
        <v>3969000000</v>
      </c>
      <c r="Y15" s="2139">
        <v>4239000000</v>
      </c>
      <c r="Z15" s="2139">
        <v>4528000000</v>
      </c>
      <c r="AA15" s="2107"/>
      <c r="AB15" s="2115"/>
      <c r="AC15" s="524"/>
      <c r="AD15" s="524"/>
      <c r="AE15" s="524"/>
      <c r="AF15" s="524"/>
      <c r="AG15" s="524"/>
      <c r="AH15" s="524"/>
      <c r="AI15" s="524"/>
      <c r="AJ15" s="524"/>
      <c r="AK15" s="531"/>
      <c r="AL15" s="365"/>
      <c r="AM15" s="365"/>
      <c r="AN15" s="365"/>
    </row>
    <row r="16" spans="1:40">
      <c r="A16" s="2116" t="s">
        <v>49</v>
      </c>
      <c r="B16" s="2116" t="s">
        <v>1772</v>
      </c>
      <c r="C16" s="2103" t="s">
        <v>44</v>
      </c>
      <c r="D16" s="2117"/>
      <c r="E16" s="2117"/>
      <c r="F16" s="2117"/>
      <c r="G16" s="2117"/>
      <c r="H16" s="2117"/>
      <c r="I16" s="2117"/>
      <c r="J16" s="2117"/>
      <c r="K16" s="2117"/>
      <c r="L16" s="2112">
        <v>9000000</v>
      </c>
      <c r="M16" s="2112">
        <v>27000000</v>
      </c>
      <c r="N16" s="2113">
        <v>24000000</v>
      </c>
      <c r="O16" s="2113">
        <v>11000000</v>
      </c>
      <c r="P16" s="2113">
        <v>12000000</v>
      </c>
      <c r="Q16" s="2144">
        <f>Q8-Q9-Q12-Q13-Q15</f>
        <v>23000000</v>
      </c>
      <c r="R16" s="2113">
        <v>12000000</v>
      </c>
      <c r="S16" s="2113">
        <v>0</v>
      </c>
      <c r="T16" s="2144">
        <f>T8-T9-T12-T13-T15</f>
        <v>3000000</v>
      </c>
      <c r="U16" s="2113">
        <v>50000000</v>
      </c>
      <c r="V16" s="2113">
        <v>50000000</v>
      </c>
      <c r="W16" s="2137">
        <v>53000000</v>
      </c>
      <c r="X16" s="2138">
        <v>56000000</v>
      </c>
      <c r="Y16" s="2139">
        <v>60000000</v>
      </c>
      <c r="Z16" s="2139">
        <v>64000000</v>
      </c>
      <c r="AA16" s="2107"/>
      <c r="AB16" s="2118"/>
      <c r="AC16" s="522"/>
      <c r="AD16" s="522"/>
      <c r="AE16" s="522"/>
      <c r="AF16" s="522"/>
      <c r="AG16" s="522"/>
      <c r="AH16" s="522"/>
      <c r="AI16" s="522"/>
      <c r="AJ16" s="522"/>
      <c r="AK16" s="529"/>
      <c r="AL16" s="365"/>
      <c r="AM16" s="365"/>
      <c r="AN16" s="365"/>
    </row>
    <row r="17" spans="1:40">
      <c r="A17" s="2114" t="s">
        <v>188</v>
      </c>
      <c r="B17" s="2114" t="s">
        <v>2997</v>
      </c>
      <c r="C17" s="2107" t="s">
        <v>41</v>
      </c>
      <c r="D17" s="2113">
        <v>138800000</v>
      </c>
      <c r="E17" s="2113">
        <v>199100000</v>
      </c>
      <c r="F17" s="2112">
        <v>155400000</v>
      </c>
      <c r="G17" s="2113">
        <v>110200000</v>
      </c>
      <c r="H17" s="2113">
        <v>98000000</v>
      </c>
      <c r="I17" s="2113">
        <v>137300000</v>
      </c>
      <c r="J17" s="2113">
        <v>172100000</v>
      </c>
      <c r="K17" s="2113">
        <v>713500000</v>
      </c>
      <c r="L17" s="2112">
        <v>354000000</v>
      </c>
      <c r="M17" s="2112">
        <v>408000000</v>
      </c>
      <c r="N17" s="2113">
        <v>223000000</v>
      </c>
      <c r="O17" s="2113">
        <v>417000000</v>
      </c>
      <c r="P17" s="2113">
        <v>322000000</v>
      </c>
      <c r="Q17" s="2113">
        <v>282000000</v>
      </c>
      <c r="R17" s="2113">
        <v>192000000</v>
      </c>
      <c r="S17" s="2113">
        <v>367000000</v>
      </c>
      <c r="T17" s="2113">
        <v>197000000</v>
      </c>
      <c r="U17" s="2113">
        <v>237000000</v>
      </c>
      <c r="V17" s="2113">
        <v>320000000</v>
      </c>
      <c r="W17" s="2137">
        <v>336000000</v>
      </c>
      <c r="X17" s="2138">
        <v>357000000</v>
      </c>
      <c r="Y17" s="2139">
        <v>382000000</v>
      </c>
      <c r="Z17" s="2139">
        <v>408000000</v>
      </c>
      <c r="AA17" s="2107"/>
      <c r="AB17" s="2118"/>
      <c r="AC17" s="522"/>
      <c r="AD17" s="522"/>
      <c r="AE17" s="522"/>
      <c r="AF17" s="522"/>
      <c r="AG17" s="522"/>
      <c r="AH17" s="522"/>
      <c r="AI17" s="522"/>
      <c r="AJ17" s="522"/>
      <c r="AK17" s="529"/>
      <c r="AL17" s="365"/>
      <c r="AM17" s="365"/>
      <c r="AN17" s="365"/>
    </row>
    <row r="18" spans="1:40" s="848" customFormat="1">
      <c r="A18" s="2108" t="s">
        <v>53</v>
      </c>
      <c r="B18" s="2108" t="s">
        <v>53</v>
      </c>
      <c r="C18" s="2119" t="s">
        <v>38</v>
      </c>
      <c r="D18" s="2110">
        <f>D6-D7</f>
        <v>112100000</v>
      </c>
      <c r="E18" s="2110">
        <f t="shared" ref="E18:K18" si="2">E6-E7</f>
        <v>126900000</v>
      </c>
      <c r="F18" s="2110">
        <f t="shared" si="2"/>
        <v>163100000</v>
      </c>
      <c r="G18" s="2110">
        <f t="shared" si="2"/>
        <v>137700000</v>
      </c>
      <c r="H18" s="2110">
        <f t="shared" si="2"/>
        <v>116000000</v>
      </c>
      <c r="I18" s="2110">
        <f t="shared" si="2"/>
        <v>172300000</v>
      </c>
      <c r="J18" s="2110">
        <f t="shared" si="2"/>
        <v>165700000</v>
      </c>
      <c r="K18" s="2110">
        <f t="shared" si="2"/>
        <v>62700000</v>
      </c>
      <c r="L18" s="2110">
        <v>145000000</v>
      </c>
      <c r="M18" s="2110">
        <v>120000000</v>
      </c>
      <c r="N18" s="2109">
        <v>10000000</v>
      </c>
      <c r="O18" s="2109">
        <v>18000000</v>
      </c>
      <c r="P18" s="2109">
        <v>43000000</v>
      </c>
      <c r="Q18" s="2109">
        <v>196000000</v>
      </c>
      <c r="R18" s="2109">
        <v>778000000</v>
      </c>
      <c r="S18" s="2109">
        <v>329000000</v>
      </c>
      <c r="T18" s="2109">
        <v>500000000</v>
      </c>
      <c r="U18" s="2109">
        <v>426000000</v>
      </c>
      <c r="V18" s="2109">
        <v>430000000</v>
      </c>
      <c r="W18" s="2140">
        <v>431000000</v>
      </c>
      <c r="X18" s="2135">
        <v>494000000</v>
      </c>
      <c r="Y18" s="2136">
        <v>528000000</v>
      </c>
      <c r="Z18" s="2136">
        <v>564000000</v>
      </c>
      <c r="AA18" s="2108"/>
      <c r="AB18" s="2120"/>
      <c r="AC18" s="2100"/>
      <c r="AD18" s="2100"/>
      <c r="AE18" s="2100"/>
      <c r="AF18" s="2100"/>
      <c r="AG18" s="2100"/>
      <c r="AH18" s="2100"/>
      <c r="AI18" s="2100"/>
      <c r="AJ18" s="2100"/>
      <c r="AK18" s="2101"/>
      <c r="AL18" s="916"/>
      <c r="AM18" s="916"/>
      <c r="AN18" s="916"/>
    </row>
    <row r="19" spans="1:40">
      <c r="A19" s="2114" t="s">
        <v>262</v>
      </c>
      <c r="B19" s="2114" t="s">
        <v>3597</v>
      </c>
      <c r="C19" s="2103" t="s">
        <v>57</v>
      </c>
      <c r="D19" s="2117"/>
      <c r="E19" s="2117"/>
      <c r="F19" s="2117"/>
      <c r="G19" s="2117"/>
      <c r="H19" s="2117"/>
      <c r="I19" s="2117"/>
      <c r="J19" s="2117"/>
      <c r="K19" s="2117"/>
      <c r="L19" s="2112">
        <v>0</v>
      </c>
      <c r="M19" s="2112">
        <v>0</v>
      </c>
      <c r="N19" s="2113">
        <v>0</v>
      </c>
      <c r="O19" s="2113">
        <v>0</v>
      </c>
      <c r="P19" s="2113">
        <v>0</v>
      </c>
      <c r="Q19" s="2113"/>
      <c r="R19" s="2113"/>
      <c r="S19" s="2113"/>
      <c r="T19" s="2113"/>
      <c r="U19" s="2113"/>
      <c r="V19" s="2113"/>
      <c r="W19" s="2137"/>
      <c r="X19" s="2138"/>
      <c r="Y19" s="2139"/>
      <c r="Z19" s="2139"/>
      <c r="AA19" s="2107"/>
      <c r="AB19" s="2118"/>
      <c r="AC19" s="522"/>
      <c r="AD19" s="522"/>
      <c r="AE19" s="522"/>
      <c r="AF19" s="522"/>
      <c r="AG19" s="522"/>
      <c r="AH19" s="522"/>
      <c r="AI19" s="522"/>
      <c r="AJ19" s="522"/>
      <c r="AK19" s="529"/>
      <c r="AL19" s="365"/>
      <c r="AM19" s="365"/>
      <c r="AN19" s="365"/>
    </row>
    <row r="20" spans="1:40">
      <c r="A20" s="2114" t="s">
        <v>564</v>
      </c>
      <c r="B20" s="2114" t="s">
        <v>4999</v>
      </c>
      <c r="C20" s="2103" t="s">
        <v>57</v>
      </c>
      <c r="D20" s="2117"/>
      <c r="E20" s="2117"/>
      <c r="F20" s="2117"/>
      <c r="G20" s="2117"/>
      <c r="H20" s="2117"/>
      <c r="I20" s="2117"/>
      <c r="J20" s="2117"/>
      <c r="K20" s="2117"/>
      <c r="L20" s="2112">
        <v>145000000</v>
      </c>
      <c r="M20" s="2112">
        <v>120000000</v>
      </c>
      <c r="N20" s="2113">
        <v>10000000</v>
      </c>
      <c r="O20" s="2113">
        <v>18000000</v>
      </c>
      <c r="P20" s="2113">
        <v>43000000</v>
      </c>
      <c r="Q20" s="2113">
        <v>196000000</v>
      </c>
      <c r="R20" s="2113">
        <v>778000000</v>
      </c>
      <c r="S20" s="2113">
        <v>329000000</v>
      </c>
      <c r="T20" s="2113">
        <v>500000000</v>
      </c>
      <c r="U20" s="2113">
        <v>426000000</v>
      </c>
      <c r="V20" s="2113">
        <v>430000000</v>
      </c>
      <c r="W20" s="2137">
        <v>431000000</v>
      </c>
      <c r="X20" s="2138">
        <v>494000000</v>
      </c>
      <c r="Y20" s="2139">
        <v>528000000</v>
      </c>
      <c r="Z20" s="2139">
        <v>564000000</v>
      </c>
      <c r="AA20" s="2107"/>
      <c r="AB20" s="2118"/>
      <c r="AC20" s="522"/>
      <c r="AD20" s="522"/>
      <c r="AE20" s="522"/>
      <c r="AF20" s="522"/>
      <c r="AG20" s="522"/>
      <c r="AH20" s="522"/>
      <c r="AI20" s="522"/>
      <c r="AJ20" s="522"/>
      <c r="AK20" s="529"/>
      <c r="AL20" s="365"/>
      <c r="AM20" s="365"/>
      <c r="AN20" s="365"/>
    </row>
    <row r="21" spans="1:40">
      <c r="A21" s="2102" t="s">
        <v>76</v>
      </c>
      <c r="B21" s="2107" t="s">
        <v>1301</v>
      </c>
      <c r="D21" s="2113">
        <v>2968300000</v>
      </c>
      <c r="E21" s="2113">
        <v>3455400000</v>
      </c>
      <c r="F21" s="2112">
        <v>4018200000</v>
      </c>
      <c r="G21" s="2113">
        <v>4314000000</v>
      </c>
      <c r="H21" s="2113">
        <v>5557000000</v>
      </c>
      <c r="I21" s="2113">
        <v>5757700000</v>
      </c>
      <c r="J21" s="2113">
        <v>6062700000</v>
      </c>
      <c r="K21" s="2113">
        <v>6992900000</v>
      </c>
      <c r="L21" s="2112">
        <v>9669000000</v>
      </c>
      <c r="M21" s="2112">
        <v>10859000000</v>
      </c>
      <c r="N21" s="2113">
        <v>9978000000</v>
      </c>
      <c r="O21" s="2113">
        <v>8854000000</v>
      </c>
      <c r="P21" s="2113">
        <v>10778000000</v>
      </c>
      <c r="Q21" s="2113">
        <v>12582000000</v>
      </c>
      <c r="R21" s="2113">
        <v>15304000000</v>
      </c>
      <c r="S21" s="2113">
        <v>16999000000</v>
      </c>
      <c r="T21" s="2113">
        <v>19835000000</v>
      </c>
      <c r="U21" s="2113">
        <v>22663000000</v>
      </c>
      <c r="V21" s="2113">
        <v>24130000000</v>
      </c>
      <c r="W21" s="2137">
        <v>26042000000</v>
      </c>
      <c r="X21" s="2138">
        <v>27914000000</v>
      </c>
      <c r="Y21" s="2139">
        <v>30221000000</v>
      </c>
      <c r="Z21" s="2139">
        <v>32422000000</v>
      </c>
      <c r="AA21" s="2107"/>
      <c r="AB21" s="2115"/>
      <c r="AC21" s="524"/>
      <c r="AD21" s="524"/>
      <c r="AE21" s="524"/>
      <c r="AF21" s="524"/>
      <c r="AG21" s="524"/>
      <c r="AH21" s="524"/>
      <c r="AI21" s="524"/>
      <c r="AJ21" s="524"/>
      <c r="AK21" s="531"/>
      <c r="AL21" s="365"/>
      <c r="AM21" s="365"/>
      <c r="AN21" s="365"/>
    </row>
    <row r="22" spans="1:40" s="848" customFormat="1">
      <c r="A22" s="2108" t="s">
        <v>198</v>
      </c>
      <c r="B22" s="2108" t="s">
        <v>6156</v>
      </c>
      <c r="C22" s="2108" t="s">
        <v>35</v>
      </c>
      <c r="D22" s="2109">
        <f>D23+D33+D36</f>
        <v>2968500000</v>
      </c>
      <c r="E22" s="2109">
        <f t="shared" ref="E22:L22" si="3">E23+E33+E36</f>
        <v>3455400000</v>
      </c>
      <c r="F22" s="2109">
        <f t="shared" si="3"/>
        <v>4018200000</v>
      </c>
      <c r="G22" s="2109">
        <f t="shared" si="3"/>
        <v>4314000000</v>
      </c>
      <c r="H22" s="2109">
        <f t="shared" si="3"/>
        <v>5557000000</v>
      </c>
      <c r="I22" s="2109">
        <f t="shared" si="3"/>
        <v>5826000000</v>
      </c>
      <c r="J22" s="2109">
        <f t="shared" si="3"/>
        <v>6117900000</v>
      </c>
      <c r="K22" s="2109">
        <f t="shared" si="3"/>
        <v>6993000000</v>
      </c>
      <c r="L22" s="2109">
        <f t="shared" si="3"/>
        <v>9788000000</v>
      </c>
      <c r="M22" s="2109">
        <f t="shared" ref="M22" si="4">M23+M33+M36</f>
        <v>10859000000</v>
      </c>
      <c r="N22" s="2109">
        <f>N23+N33+N36</f>
        <v>9978000000</v>
      </c>
      <c r="O22" s="2109">
        <f t="shared" ref="O22:P22" si="5">O23+O33+O36</f>
        <v>8854000000</v>
      </c>
      <c r="P22" s="2109">
        <f t="shared" si="5"/>
        <v>10777000000</v>
      </c>
      <c r="Q22" s="2109">
        <f>Q23+Q33</f>
        <v>12582000000</v>
      </c>
      <c r="R22" s="2109">
        <f t="shared" ref="R22:Z22" si="6">R23+R33</f>
        <v>15304000000</v>
      </c>
      <c r="S22" s="2109">
        <f t="shared" si="6"/>
        <v>16924000000</v>
      </c>
      <c r="T22" s="2109">
        <f t="shared" si="6"/>
        <v>19834000000</v>
      </c>
      <c r="U22" s="2109">
        <f t="shared" si="6"/>
        <v>22663000000</v>
      </c>
      <c r="V22" s="2109">
        <f t="shared" si="6"/>
        <v>24130000000</v>
      </c>
      <c r="W22" s="2109">
        <f t="shared" si="6"/>
        <v>26042000000</v>
      </c>
      <c r="X22" s="2109">
        <f t="shared" si="6"/>
        <v>27914000000</v>
      </c>
      <c r="Y22" s="2109">
        <f t="shared" si="6"/>
        <v>30220000000</v>
      </c>
      <c r="Z22" s="2109">
        <f t="shared" si="6"/>
        <v>32422000000</v>
      </c>
      <c r="AA22" s="2121"/>
      <c r="AB22" s="2121"/>
      <c r="AL22" s="916"/>
      <c r="AM22" s="916"/>
      <c r="AN22" s="916"/>
    </row>
    <row r="23" spans="1:40">
      <c r="A23" s="2102" t="s">
        <v>73</v>
      </c>
      <c r="B23" s="2114" t="s">
        <v>382</v>
      </c>
      <c r="C23" s="2107" t="s">
        <v>201</v>
      </c>
      <c r="D23" s="2113">
        <v>2364100000</v>
      </c>
      <c r="E23" s="2113">
        <v>2542400000</v>
      </c>
      <c r="F23" s="2112">
        <v>3045000000</v>
      </c>
      <c r="G23" s="2113">
        <v>3437200000</v>
      </c>
      <c r="H23" s="2113">
        <v>4295000000</v>
      </c>
      <c r="I23" s="2113">
        <v>4416300000</v>
      </c>
      <c r="J23" s="2113">
        <v>4681300000</v>
      </c>
      <c r="K23" s="2113">
        <v>5217300000</v>
      </c>
      <c r="L23" s="2112">
        <v>7316000000</v>
      </c>
      <c r="M23" s="2112">
        <v>8389000000</v>
      </c>
      <c r="N23" s="2113">
        <v>8072000000</v>
      </c>
      <c r="O23" s="2113">
        <v>7852000000</v>
      </c>
      <c r="P23" s="2113">
        <v>9359000000</v>
      </c>
      <c r="Q23" s="2113">
        <v>10218000000</v>
      </c>
      <c r="R23" s="2113">
        <v>11694000000</v>
      </c>
      <c r="S23" s="2113">
        <v>13273000000</v>
      </c>
      <c r="T23" s="2113">
        <v>15991000000</v>
      </c>
      <c r="U23" s="2113">
        <v>17191000000</v>
      </c>
      <c r="V23" s="2113">
        <v>18505000000</v>
      </c>
      <c r="W23" s="2137">
        <v>20120000000</v>
      </c>
      <c r="X23" s="2138">
        <v>21695000000</v>
      </c>
      <c r="Y23" s="2139">
        <v>23324000000</v>
      </c>
      <c r="Z23" s="2139">
        <v>25091000000</v>
      </c>
      <c r="AA23" s="2107"/>
      <c r="AB23" s="2115"/>
      <c r="AC23" s="524"/>
      <c r="AD23" s="524"/>
      <c r="AE23" s="524"/>
      <c r="AF23" s="524"/>
      <c r="AG23" s="524"/>
      <c r="AH23" s="524"/>
      <c r="AI23" s="524"/>
      <c r="AJ23" s="524"/>
      <c r="AK23" s="531"/>
      <c r="AL23" s="365"/>
      <c r="AM23" s="365"/>
      <c r="AN23" s="365"/>
    </row>
    <row r="24" spans="1:40">
      <c r="A24" s="2116" t="s">
        <v>797</v>
      </c>
      <c r="B24" s="2116" t="s">
        <v>5283</v>
      </c>
      <c r="C24" s="2107" t="s">
        <v>204</v>
      </c>
      <c r="D24" s="2113">
        <v>1071000000</v>
      </c>
      <c r="E24" s="2113">
        <v>1155300000</v>
      </c>
      <c r="F24" s="2112">
        <v>1417100000</v>
      </c>
      <c r="G24" s="2113">
        <v>1668900000</v>
      </c>
      <c r="H24" s="2113">
        <v>1964000000</v>
      </c>
      <c r="I24" s="2113">
        <v>2443000000</v>
      </c>
      <c r="J24" s="2113">
        <v>2588700000</v>
      </c>
      <c r="K24" s="2113">
        <v>2750200000</v>
      </c>
      <c r="L24" s="2112">
        <v>3924000000</v>
      </c>
      <c r="M24" s="2112">
        <v>4551000000</v>
      </c>
      <c r="N24" s="2113">
        <v>4445000000</v>
      </c>
      <c r="O24" s="2113">
        <v>4447000000</v>
      </c>
      <c r="P24" s="2113">
        <v>4524000000</v>
      </c>
      <c r="Q24" s="2113">
        <v>5231000000</v>
      </c>
      <c r="R24" s="2113">
        <v>5487000000</v>
      </c>
      <c r="S24" s="2113">
        <v>6090000000</v>
      </c>
      <c r="T24" s="2113">
        <v>7777000000</v>
      </c>
      <c r="U24" s="2113">
        <v>8941000000</v>
      </c>
      <c r="V24" s="2113">
        <v>9585000000</v>
      </c>
      <c r="W24" s="2137">
        <v>10445000000</v>
      </c>
      <c r="X24" s="2138">
        <v>11343000000</v>
      </c>
      <c r="Y24" s="2139">
        <v>12354000000</v>
      </c>
      <c r="Z24" s="2139">
        <v>13455000000</v>
      </c>
      <c r="AA24" s="2107"/>
      <c r="AB24" s="2115"/>
      <c r="AC24" s="524"/>
      <c r="AD24" s="524"/>
      <c r="AE24" s="524"/>
      <c r="AF24" s="524"/>
      <c r="AG24" s="524"/>
      <c r="AH24" s="524"/>
      <c r="AI24" s="524"/>
      <c r="AJ24" s="524"/>
      <c r="AK24" s="531"/>
      <c r="AL24" s="365"/>
      <c r="AM24" s="365"/>
      <c r="AN24" s="365"/>
    </row>
    <row r="25" spans="1:40">
      <c r="A25" s="2116" t="s">
        <v>6157</v>
      </c>
      <c r="B25" s="2116" t="s">
        <v>6158</v>
      </c>
      <c r="C25" s="2107" t="s">
        <v>204</v>
      </c>
      <c r="D25" s="2113">
        <v>679500000</v>
      </c>
      <c r="E25" s="2113">
        <v>778200000</v>
      </c>
      <c r="F25" s="2112">
        <v>905600000</v>
      </c>
      <c r="G25" s="2113">
        <v>1003000000</v>
      </c>
      <c r="H25" s="2113">
        <v>1421000000</v>
      </c>
      <c r="I25" s="2113">
        <v>995800000</v>
      </c>
      <c r="J25" s="2113">
        <v>1202800000</v>
      </c>
      <c r="K25" s="2113">
        <v>1343000000</v>
      </c>
      <c r="L25" s="2112">
        <v>1599000000</v>
      </c>
      <c r="M25" s="2112">
        <v>1968000000</v>
      </c>
      <c r="N25" s="2113">
        <v>1731000000</v>
      </c>
      <c r="O25" s="2113">
        <v>1456000000</v>
      </c>
      <c r="P25" s="2113">
        <v>2070000000</v>
      </c>
      <c r="Q25" s="2113">
        <v>2357000000</v>
      </c>
      <c r="R25" s="2113">
        <v>2770000000</v>
      </c>
      <c r="S25" s="2113">
        <v>3470000000</v>
      </c>
      <c r="T25" s="2113">
        <v>3070000000</v>
      </c>
      <c r="U25" s="2113">
        <v>3009000000</v>
      </c>
      <c r="V25" s="2113">
        <v>3159000000</v>
      </c>
      <c r="W25" s="2137">
        <v>3339000000</v>
      </c>
      <c r="X25" s="2138">
        <v>3518000000</v>
      </c>
      <c r="Y25" s="2139">
        <v>3786000000</v>
      </c>
      <c r="Z25" s="2139">
        <v>4025000000</v>
      </c>
      <c r="AA25" s="2107"/>
      <c r="AB25" s="2115"/>
      <c r="AC25" s="524"/>
      <c r="AD25" s="524"/>
      <c r="AE25" s="524"/>
      <c r="AF25" s="524"/>
      <c r="AG25" s="524"/>
      <c r="AH25" s="524"/>
      <c r="AI25" s="524"/>
      <c r="AJ25" s="524"/>
      <c r="AK25" s="531"/>
      <c r="AL25" s="365"/>
      <c r="AM25" s="365"/>
      <c r="AN25" s="365"/>
    </row>
    <row r="26" spans="1:40">
      <c r="A26" s="2116" t="s">
        <v>6159</v>
      </c>
      <c r="B26" s="2116" t="s">
        <v>6160</v>
      </c>
      <c r="C26" s="2107" t="s">
        <v>204</v>
      </c>
      <c r="D26" s="2113">
        <v>550500000</v>
      </c>
      <c r="E26" s="2113">
        <v>506900000</v>
      </c>
      <c r="F26" s="2112">
        <v>555000000</v>
      </c>
      <c r="G26" s="2113">
        <v>591500000</v>
      </c>
      <c r="H26" s="2113">
        <v>742000000</v>
      </c>
      <c r="I26" s="2113">
        <v>783100000</v>
      </c>
      <c r="J26" s="2113">
        <v>726400000</v>
      </c>
      <c r="K26" s="2113">
        <v>912800000</v>
      </c>
      <c r="L26" s="2112">
        <v>1547000000</v>
      </c>
      <c r="M26" s="2112"/>
      <c r="N26" s="2113"/>
      <c r="O26" s="2113"/>
      <c r="P26" s="2113"/>
      <c r="Q26" s="2113"/>
      <c r="R26" s="2113"/>
      <c r="S26" s="2113"/>
      <c r="T26" s="2113"/>
      <c r="U26" s="2113"/>
      <c r="V26" s="2113"/>
      <c r="W26" s="2137"/>
      <c r="X26" s="2138"/>
      <c r="Y26" s="2138"/>
      <c r="Z26" s="2138"/>
      <c r="AL26" s="365"/>
      <c r="AM26" s="365"/>
      <c r="AN26" s="365"/>
    </row>
    <row r="27" spans="1:40">
      <c r="A27" s="2116" t="s">
        <v>91</v>
      </c>
      <c r="B27" s="2116" t="s">
        <v>91</v>
      </c>
      <c r="C27" s="2107" t="s">
        <v>204</v>
      </c>
      <c r="D27" s="2113">
        <v>63100000</v>
      </c>
      <c r="E27" s="2113">
        <v>102100000</v>
      </c>
      <c r="F27" s="2112">
        <v>167300000</v>
      </c>
      <c r="G27" s="2113">
        <v>173800000</v>
      </c>
      <c r="H27" s="2113">
        <v>168000000</v>
      </c>
      <c r="I27" s="2113">
        <v>194400000</v>
      </c>
      <c r="J27" s="2113">
        <v>163400000</v>
      </c>
      <c r="K27" s="2113">
        <v>211300000</v>
      </c>
      <c r="L27" s="2112">
        <v>246000000</v>
      </c>
      <c r="M27" s="2112">
        <v>243000000</v>
      </c>
      <c r="N27" s="2113">
        <v>204000000</v>
      </c>
      <c r="O27" s="2113">
        <v>265000000</v>
      </c>
      <c r="P27" s="2113">
        <v>350000000</v>
      </c>
      <c r="Q27" s="2113">
        <v>344000000</v>
      </c>
      <c r="R27" s="2113">
        <v>452000000</v>
      </c>
      <c r="S27" s="2113">
        <v>634000000</v>
      </c>
      <c r="T27" s="2113">
        <v>871000000</v>
      </c>
      <c r="U27" s="2113">
        <v>1440000000</v>
      </c>
      <c r="V27" s="2113">
        <v>1770000000</v>
      </c>
      <c r="W27" s="2137">
        <v>2117000000</v>
      </c>
      <c r="X27" s="2138">
        <v>2321000000</v>
      </c>
      <c r="Y27" s="2139">
        <v>2376000000</v>
      </c>
      <c r="Z27" s="2139">
        <v>2505000000</v>
      </c>
      <c r="AA27" s="2107"/>
      <c r="AB27" s="2118"/>
      <c r="AC27" s="522"/>
      <c r="AD27" s="522"/>
      <c r="AE27" s="522"/>
      <c r="AF27" s="522"/>
      <c r="AG27" s="522"/>
      <c r="AH27" s="524"/>
      <c r="AI27" s="524"/>
      <c r="AJ27" s="524"/>
      <c r="AK27" s="531"/>
      <c r="AL27" s="365"/>
      <c r="AM27" s="365"/>
      <c r="AN27" s="365"/>
    </row>
    <row r="28" spans="1:40">
      <c r="A28" s="2116" t="s">
        <v>1011</v>
      </c>
      <c r="B28" s="2116" t="s">
        <v>675</v>
      </c>
      <c r="C28" s="2107" t="s">
        <v>204</v>
      </c>
      <c r="D28" s="2112"/>
      <c r="E28" s="2112"/>
      <c r="F28" s="2112"/>
      <c r="G28" s="2112"/>
      <c r="H28" s="2112"/>
      <c r="I28" s="2112"/>
      <c r="J28" s="2112"/>
      <c r="K28" s="2112"/>
      <c r="L28" s="2112"/>
      <c r="M28" s="2112">
        <v>1627000000</v>
      </c>
      <c r="N28" s="2113">
        <v>1693000000</v>
      </c>
      <c r="O28" s="2113">
        <v>1684000000</v>
      </c>
      <c r="P28" s="2113">
        <v>2415000000</v>
      </c>
      <c r="Q28" s="2113">
        <v>2285000000</v>
      </c>
      <c r="R28" s="2113">
        <v>2984000000</v>
      </c>
      <c r="S28" s="2113">
        <v>3080000000</v>
      </c>
      <c r="T28" s="2113">
        <v>4273000000</v>
      </c>
      <c r="U28" s="2113">
        <v>3801000000</v>
      </c>
      <c r="V28" s="2113">
        <v>3991000000</v>
      </c>
      <c r="W28" s="2137">
        <v>4219000000</v>
      </c>
      <c r="X28" s="2138">
        <v>4514000000</v>
      </c>
      <c r="Y28" s="2139">
        <v>4808000000</v>
      </c>
      <c r="Z28" s="2139">
        <v>5105000000</v>
      </c>
      <c r="AA28" s="2107"/>
      <c r="AB28" s="2115"/>
      <c r="AC28" s="524"/>
      <c r="AD28" s="524"/>
      <c r="AE28" s="524"/>
      <c r="AF28" s="524"/>
      <c r="AG28" s="524"/>
      <c r="AH28" s="524"/>
      <c r="AI28" s="524"/>
      <c r="AJ28" s="524"/>
      <c r="AK28" s="531"/>
      <c r="AL28" s="365"/>
      <c r="AM28" s="365"/>
      <c r="AN28" s="365"/>
    </row>
    <row r="29" spans="1:40">
      <c r="A29" s="2116"/>
      <c r="B29" s="2615" t="s">
        <v>6161</v>
      </c>
      <c r="C29" s="2107"/>
      <c r="D29" s="2112"/>
      <c r="E29" s="2112"/>
      <c r="F29" s="2112"/>
      <c r="G29" s="2112"/>
      <c r="H29" s="2112"/>
      <c r="I29" s="2112"/>
      <c r="J29" s="2112"/>
      <c r="K29" s="2112"/>
      <c r="L29" s="2112"/>
      <c r="M29" s="2112"/>
      <c r="N29" s="2113"/>
      <c r="O29" s="2113"/>
      <c r="P29" s="2113"/>
      <c r="Q29" s="2113">
        <v>67000000</v>
      </c>
      <c r="R29" s="2113">
        <v>162000000</v>
      </c>
      <c r="S29" s="2113">
        <v>145000000</v>
      </c>
      <c r="T29" s="2113">
        <v>145000000</v>
      </c>
      <c r="U29" s="2113">
        <v>169000000</v>
      </c>
      <c r="V29" s="2113">
        <v>177000000</v>
      </c>
      <c r="W29" s="2137">
        <v>188000000</v>
      </c>
      <c r="X29" s="2138">
        <v>201000000</v>
      </c>
      <c r="Y29" s="2139">
        <v>214000000</v>
      </c>
      <c r="Z29" s="2139">
        <v>227000000</v>
      </c>
      <c r="AA29" s="2107"/>
      <c r="AB29" s="2115"/>
      <c r="AC29" s="524"/>
      <c r="AD29" s="524"/>
      <c r="AE29" s="524"/>
      <c r="AF29" s="524"/>
      <c r="AG29" s="524"/>
      <c r="AH29" s="524"/>
      <c r="AI29" s="524"/>
      <c r="AJ29" s="524"/>
      <c r="AK29" s="531"/>
      <c r="AL29" s="365"/>
      <c r="AM29" s="365"/>
      <c r="AN29" s="365"/>
    </row>
    <row r="30" spans="1:40">
      <c r="A30" s="2116"/>
      <c r="B30" s="2615" t="s">
        <v>6162</v>
      </c>
      <c r="C30" s="2107"/>
      <c r="D30" s="2112"/>
      <c r="E30" s="2112"/>
      <c r="F30" s="2112"/>
      <c r="G30" s="2112"/>
      <c r="H30" s="2112"/>
      <c r="I30" s="2112"/>
      <c r="J30" s="2112"/>
      <c r="K30" s="2112"/>
      <c r="L30" s="2112"/>
      <c r="M30" s="2112"/>
      <c r="N30" s="2113"/>
      <c r="O30" s="2113"/>
      <c r="P30" s="2113"/>
      <c r="Q30" s="2113">
        <v>1932000000</v>
      </c>
      <c r="R30" s="2113">
        <v>2619000000</v>
      </c>
      <c r="S30" s="2113">
        <v>2729000000</v>
      </c>
      <c r="T30" s="2113">
        <v>3920000000</v>
      </c>
      <c r="U30" s="2113">
        <v>3270000000</v>
      </c>
      <c r="V30" s="2113">
        <v>3433000000</v>
      </c>
      <c r="W30" s="2137">
        <v>3629000000</v>
      </c>
      <c r="X30" s="2138">
        <v>3883000000</v>
      </c>
      <c r="Y30" s="2139">
        <v>4136000000</v>
      </c>
      <c r="Z30" s="2139">
        <v>4391000000</v>
      </c>
      <c r="AA30" s="2107"/>
      <c r="AB30" s="2115"/>
      <c r="AC30" s="524"/>
      <c r="AD30" s="524"/>
      <c r="AE30" s="524"/>
      <c r="AF30" s="524"/>
      <c r="AG30" s="524"/>
      <c r="AH30" s="524"/>
      <c r="AI30" s="524"/>
      <c r="AJ30" s="524"/>
      <c r="AK30" s="531"/>
      <c r="AL30" s="365"/>
      <c r="AM30" s="365"/>
      <c r="AN30" s="365"/>
    </row>
    <row r="31" spans="1:40">
      <c r="A31" s="2102" t="s">
        <v>76</v>
      </c>
      <c r="B31" s="2107" t="s">
        <v>5566</v>
      </c>
      <c r="C31" s="2107"/>
      <c r="D31" s="2112"/>
      <c r="E31" s="2112"/>
      <c r="F31" s="2112"/>
      <c r="G31" s="2112"/>
      <c r="H31" s="2112"/>
      <c r="I31" s="2112"/>
      <c r="J31" s="2112"/>
      <c r="K31" s="2112"/>
      <c r="L31" s="2112"/>
      <c r="M31" s="2112">
        <v>836000000</v>
      </c>
      <c r="N31" s="2113">
        <v>-1154000000</v>
      </c>
      <c r="O31" s="2113">
        <v>-363000000</v>
      </c>
      <c r="P31" s="2113">
        <v>2818000000</v>
      </c>
      <c r="Q31" s="2113">
        <v>2692000000</v>
      </c>
      <c r="R31" s="2113">
        <v>3079000000</v>
      </c>
      <c r="S31" s="2113">
        <v>1348000000</v>
      </c>
      <c r="T31" s="2113">
        <v>-2109000000</v>
      </c>
      <c r="U31" s="2113">
        <v>-1213000000</v>
      </c>
      <c r="V31" s="2113">
        <v>-1898000000</v>
      </c>
      <c r="W31" s="2137">
        <v>-2467000000</v>
      </c>
      <c r="X31" s="2138">
        <v>-2739000000</v>
      </c>
      <c r="Y31" s="2139">
        <v>-2978000000</v>
      </c>
      <c r="Z31" s="2139">
        <v>-3248000000</v>
      </c>
      <c r="AA31" s="2107"/>
      <c r="AB31" s="2118"/>
      <c r="AC31" s="524"/>
      <c r="AD31" s="524"/>
      <c r="AE31" s="524"/>
      <c r="AF31" s="524"/>
      <c r="AG31" s="522"/>
      <c r="AH31" s="522"/>
      <c r="AI31" s="522"/>
      <c r="AJ31" s="522"/>
      <c r="AK31" s="529"/>
      <c r="AL31" s="365"/>
      <c r="AM31" s="365"/>
      <c r="AN31" s="365"/>
    </row>
    <row r="32" spans="1:40">
      <c r="A32" s="2102" t="s">
        <v>76</v>
      </c>
      <c r="B32" s="2107" t="s">
        <v>6163</v>
      </c>
      <c r="C32" s="2107"/>
      <c r="D32" s="2112"/>
      <c r="E32" s="2112"/>
      <c r="F32" s="2112"/>
      <c r="G32" s="2112"/>
      <c r="H32" s="2112"/>
      <c r="I32" s="2112"/>
      <c r="J32" s="2112"/>
      <c r="K32" s="2112"/>
      <c r="L32" s="2112"/>
      <c r="M32" s="2112"/>
      <c r="N32" s="2113"/>
      <c r="O32" s="2113"/>
      <c r="P32" s="2113"/>
      <c r="Q32" s="2113">
        <v>0</v>
      </c>
      <c r="R32" s="2113">
        <v>0</v>
      </c>
      <c r="S32" s="2113">
        <v>0</v>
      </c>
      <c r="T32" s="2113">
        <v>0</v>
      </c>
      <c r="U32" s="2113">
        <v>0</v>
      </c>
      <c r="V32" s="2113">
        <v>0</v>
      </c>
      <c r="W32" s="2137">
        <v>0</v>
      </c>
      <c r="X32" s="2138">
        <v>0</v>
      </c>
      <c r="Y32" s="2139">
        <v>0</v>
      </c>
      <c r="Z32" s="2139">
        <v>0</v>
      </c>
      <c r="AA32" s="2107"/>
      <c r="AB32" s="2107"/>
      <c r="AC32" s="276"/>
      <c r="AD32" s="276"/>
      <c r="AE32" s="276"/>
      <c r="AF32" s="276"/>
      <c r="AG32" s="276"/>
      <c r="AH32" s="276"/>
      <c r="AI32" s="276"/>
      <c r="AJ32" s="276"/>
      <c r="AK32" s="276"/>
      <c r="AL32" s="365"/>
      <c r="AM32" s="365"/>
      <c r="AN32" s="365"/>
    </row>
    <row r="33" spans="1:40">
      <c r="A33" s="2102" t="s">
        <v>237</v>
      </c>
      <c r="B33" s="2114" t="s">
        <v>4832</v>
      </c>
      <c r="C33" s="2107" t="s">
        <v>201</v>
      </c>
      <c r="D33" s="2113">
        <v>604400000</v>
      </c>
      <c r="E33" s="2113">
        <v>867100000</v>
      </c>
      <c r="F33" s="2112">
        <v>935500000</v>
      </c>
      <c r="G33" s="2113">
        <v>817800000</v>
      </c>
      <c r="H33" s="2113">
        <v>1259000000</v>
      </c>
      <c r="I33" s="2113">
        <v>1409700000</v>
      </c>
      <c r="J33" s="2113">
        <v>1436600000</v>
      </c>
      <c r="K33" s="2113">
        <v>1732700000</v>
      </c>
      <c r="L33" s="2112">
        <v>2472000000</v>
      </c>
      <c r="M33" s="2112">
        <v>2470000000</v>
      </c>
      <c r="N33" s="2113">
        <v>1906000000</v>
      </c>
      <c r="O33" s="2113">
        <v>1002000000</v>
      </c>
      <c r="P33" s="2113">
        <v>1418000000</v>
      </c>
      <c r="Q33" s="2113">
        <v>2364000000</v>
      </c>
      <c r="R33" s="2113">
        <v>3610000000</v>
      </c>
      <c r="S33" s="2113">
        <v>3651000000</v>
      </c>
      <c r="T33" s="2113">
        <v>3843000000</v>
      </c>
      <c r="U33" s="2113">
        <v>5472000000</v>
      </c>
      <c r="V33" s="2113">
        <v>5625000000</v>
      </c>
      <c r="W33" s="2137">
        <v>5922000000</v>
      </c>
      <c r="X33" s="2138">
        <v>6219000000</v>
      </c>
      <c r="Y33" s="2139">
        <v>6896000000</v>
      </c>
      <c r="Z33" s="2139">
        <v>7331000000</v>
      </c>
      <c r="AA33" s="2107"/>
      <c r="AB33" s="2115"/>
      <c r="AC33" s="524"/>
      <c r="AD33" s="524"/>
      <c r="AE33" s="524"/>
      <c r="AF33" s="524"/>
      <c r="AG33" s="524"/>
      <c r="AH33" s="524"/>
      <c r="AI33" s="524"/>
      <c r="AJ33" s="524"/>
      <c r="AK33" s="531"/>
      <c r="AL33" s="365"/>
      <c r="AM33" s="365"/>
      <c r="AN33" s="365"/>
    </row>
    <row r="34" spans="1:40">
      <c r="A34" s="2116" t="s">
        <v>242</v>
      </c>
      <c r="B34" s="2116" t="s">
        <v>6164</v>
      </c>
      <c r="C34" s="2107" t="s">
        <v>241</v>
      </c>
      <c r="D34" s="2112"/>
      <c r="E34" s="2112"/>
      <c r="F34" s="2112"/>
      <c r="G34" s="2112"/>
      <c r="H34" s="2112"/>
      <c r="I34" s="2112"/>
      <c r="J34" s="2112"/>
      <c r="K34" s="2112"/>
      <c r="L34" s="2112">
        <v>1969000000</v>
      </c>
      <c r="M34" s="2112">
        <v>141000000</v>
      </c>
      <c r="N34" s="2113">
        <v>99000000</v>
      </c>
      <c r="O34" s="2113">
        <v>79000000</v>
      </c>
      <c r="P34" s="2113">
        <v>98000000</v>
      </c>
      <c r="Q34" s="2113">
        <v>426000000</v>
      </c>
      <c r="R34" s="2113">
        <v>1194000000</v>
      </c>
      <c r="S34" s="2113">
        <v>1195000000</v>
      </c>
      <c r="T34" s="2113">
        <v>1478000000</v>
      </c>
      <c r="U34" s="2113">
        <v>2471000000</v>
      </c>
      <c r="V34" s="2113">
        <v>2330000000</v>
      </c>
      <c r="W34" s="2137">
        <v>2331000000</v>
      </c>
      <c r="X34" s="2138">
        <v>2612000000</v>
      </c>
      <c r="Y34" s="2139">
        <v>2823000000</v>
      </c>
      <c r="Z34" s="2139">
        <v>2980000000</v>
      </c>
      <c r="AA34" s="2107"/>
      <c r="AB34" s="2118"/>
      <c r="AC34" s="522"/>
      <c r="AD34" s="522"/>
      <c r="AE34" s="524"/>
      <c r="AF34" s="524"/>
      <c r="AG34" s="524"/>
      <c r="AH34" s="522"/>
      <c r="AI34" s="524"/>
      <c r="AJ34" s="524"/>
      <c r="AK34" s="531"/>
      <c r="AL34" s="365"/>
      <c r="AM34" s="365"/>
      <c r="AN34" s="365"/>
    </row>
    <row r="35" spans="1:40">
      <c r="A35" s="2116" t="s">
        <v>239</v>
      </c>
      <c r="B35" s="2116" t="s">
        <v>2767</v>
      </c>
      <c r="C35" s="2107" t="s">
        <v>241</v>
      </c>
      <c r="D35" s="2112"/>
      <c r="E35" s="2112"/>
      <c r="F35" s="2112"/>
      <c r="G35" s="2112"/>
      <c r="H35" s="2112"/>
      <c r="I35" s="2112"/>
      <c r="J35" s="2112"/>
      <c r="K35" s="2112"/>
      <c r="L35" s="2112">
        <v>503000000</v>
      </c>
      <c r="M35" s="2112">
        <v>2329000000</v>
      </c>
      <c r="N35" s="2113">
        <v>1807000000</v>
      </c>
      <c r="O35" s="2113">
        <v>923000000</v>
      </c>
      <c r="P35" s="2113">
        <v>1320000000</v>
      </c>
      <c r="Q35" s="2113">
        <v>1938000000</v>
      </c>
      <c r="R35" s="2113">
        <v>2416000000</v>
      </c>
      <c r="S35" s="2113">
        <v>2456000000</v>
      </c>
      <c r="T35" s="2113">
        <v>2365000000</v>
      </c>
      <c r="U35" s="2113">
        <v>3000000000</v>
      </c>
      <c r="V35" s="2113">
        <v>3294000000</v>
      </c>
      <c r="W35" s="2137">
        <v>3592000000</v>
      </c>
      <c r="X35" s="2138">
        <v>3607000000</v>
      </c>
      <c r="Y35" s="2139">
        <v>4074000000</v>
      </c>
      <c r="Z35" s="2139">
        <v>4352000000</v>
      </c>
      <c r="AA35" s="2107"/>
      <c r="AB35" s="2118"/>
      <c r="AC35" s="524"/>
      <c r="AD35" s="524"/>
      <c r="AE35" s="524"/>
      <c r="AF35" s="524"/>
      <c r="AG35" s="524"/>
      <c r="AH35" s="524"/>
      <c r="AI35" s="524"/>
      <c r="AJ35" s="524"/>
      <c r="AK35" s="531"/>
      <c r="AL35" s="365"/>
      <c r="AM35" s="365"/>
      <c r="AN35" s="365"/>
    </row>
    <row r="36" spans="1:40">
      <c r="A36" s="2114" t="s">
        <v>588</v>
      </c>
      <c r="B36" s="2114" t="s">
        <v>588</v>
      </c>
      <c r="C36" s="2107" t="s">
        <v>201</v>
      </c>
      <c r="D36" s="2710">
        <v>0</v>
      </c>
      <c r="E36" s="2113">
        <v>45900000</v>
      </c>
      <c r="F36" s="2112">
        <v>37700000</v>
      </c>
      <c r="G36" s="2113">
        <v>59000000</v>
      </c>
      <c r="H36" s="2113">
        <v>3000000</v>
      </c>
      <c r="I36" s="2710">
        <v>0</v>
      </c>
      <c r="J36" s="2710">
        <v>0</v>
      </c>
      <c r="K36" s="2113">
        <v>43000000</v>
      </c>
      <c r="L36" s="2711">
        <v>0</v>
      </c>
      <c r="M36" s="2112"/>
      <c r="N36" s="2113"/>
      <c r="O36" s="2113"/>
      <c r="P36" s="2113"/>
      <c r="Q36" s="2113"/>
      <c r="R36" s="2113"/>
      <c r="S36" s="2113"/>
      <c r="T36" s="2113"/>
      <c r="U36" s="2113"/>
      <c r="V36" s="2113"/>
      <c r="W36" s="2137"/>
      <c r="X36" s="2138"/>
      <c r="Y36" s="2138"/>
      <c r="Z36" s="2138"/>
      <c r="AL36" s="365"/>
      <c r="AM36" s="365"/>
      <c r="AN36" s="365"/>
    </row>
    <row r="37" spans="1:40">
      <c r="A37" s="2102" t="s">
        <v>76</v>
      </c>
      <c r="B37" s="2107" t="s">
        <v>6165</v>
      </c>
      <c r="C37" s="2107"/>
      <c r="D37" s="2112"/>
      <c r="E37" s="2112"/>
      <c r="F37" s="2112"/>
      <c r="G37" s="2113"/>
      <c r="H37" s="2113"/>
      <c r="I37" s="2113"/>
      <c r="J37" s="2113"/>
      <c r="K37" s="2113"/>
      <c r="L37" s="2113"/>
      <c r="M37" s="2113"/>
      <c r="N37" s="2113"/>
      <c r="O37" s="2113"/>
      <c r="P37" s="2113"/>
      <c r="Q37" s="2113"/>
      <c r="R37" s="2113"/>
      <c r="S37" s="2113"/>
      <c r="T37" s="2113"/>
      <c r="U37" s="2113"/>
      <c r="V37" s="2113"/>
      <c r="W37" s="2137"/>
      <c r="X37" s="2138"/>
      <c r="Y37" s="2138"/>
      <c r="Z37" s="2138"/>
      <c r="AM37" s="365"/>
      <c r="AN37" s="365"/>
    </row>
    <row r="38" spans="1:40">
      <c r="A38" s="2102" t="s">
        <v>76</v>
      </c>
      <c r="B38" s="2107" t="s">
        <v>6166</v>
      </c>
      <c r="C38" s="2107"/>
      <c r="D38" s="2113">
        <v>-143000000</v>
      </c>
      <c r="E38" s="2113">
        <v>-344200000</v>
      </c>
      <c r="F38" s="2112">
        <v>-592300000</v>
      </c>
      <c r="G38" s="2113">
        <v>-405600000</v>
      </c>
      <c r="H38" s="2113">
        <v>-715200000</v>
      </c>
      <c r="I38" s="2113">
        <v>-258700000</v>
      </c>
      <c r="J38" s="2113">
        <v>1957900000</v>
      </c>
      <c r="K38" s="2113">
        <v>1348200000</v>
      </c>
      <c r="L38" s="2112">
        <v>-42000000</v>
      </c>
      <c r="M38" s="2112"/>
      <c r="N38" s="2113"/>
      <c r="O38" s="2113"/>
      <c r="P38" s="2113"/>
      <c r="Q38" s="2113"/>
      <c r="R38" s="2113"/>
      <c r="S38" s="2113"/>
      <c r="T38" s="2113"/>
      <c r="U38" s="2113"/>
      <c r="V38" s="2113"/>
      <c r="W38" s="2137"/>
      <c r="X38" s="2138"/>
      <c r="Y38" s="2138"/>
      <c r="Z38" s="2138"/>
      <c r="AM38" s="365"/>
      <c r="AN38" s="365"/>
    </row>
    <row r="39" spans="1:40">
      <c r="A39" s="2102" t="s">
        <v>76</v>
      </c>
      <c r="B39" s="2107" t="s">
        <v>685</v>
      </c>
      <c r="C39" s="2107"/>
      <c r="D39" s="2113">
        <v>-255100000</v>
      </c>
      <c r="E39" s="2113">
        <v>-471000000</v>
      </c>
      <c r="F39" s="2112">
        <v>-755400000</v>
      </c>
      <c r="G39" s="2113">
        <v>-543300000</v>
      </c>
      <c r="H39" s="2113">
        <v>-831200000</v>
      </c>
      <c r="I39" s="2113">
        <v>-430900000</v>
      </c>
      <c r="J39" s="2113">
        <v>1792200000</v>
      </c>
      <c r="K39" s="2113">
        <v>1285400000</v>
      </c>
      <c r="L39" s="2112">
        <v>-187000000</v>
      </c>
      <c r="M39" s="2112"/>
      <c r="N39" s="2113"/>
      <c r="O39" s="2113"/>
      <c r="P39" s="2113"/>
      <c r="Q39" s="2113"/>
      <c r="R39" s="2113"/>
      <c r="S39" s="2113"/>
      <c r="T39" s="2113"/>
      <c r="U39" s="2113"/>
      <c r="V39" s="2113"/>
      <c r="W39" s="2137"/>
      <c r="X39" s="2138"/>
      <c r="Y39" s="2138"/>
      <c r="Z39" s="2138"/>
      <c r="AM39" s="365"/>
      <c r="AN39" s="365"/>
    </row>
    <row r="40" spans="1:40">
      <c r="A40" s="2102" t="s">
        <v>76</v>
      </c>
      <c r="B40" s="2107" t="s">
        <v>6167</v>
      </c>
      <c r="C40" s="2107"/>
      <c r="D40" s="2112"/>
      <c r="E40" s="2112"/>
      <c r="F40" s="2112"/>
      <c r="G40" s="2112"/>
      <c r="H40" s="2112"/>
      <c r="I40" s="2112"/>
      <c r="J40" s="2112"/>
      <c r="K40" s="2112"/>
      <c r="L40" s="2112">
        <v>130100000</v>
      </c>
      <c r="M40" s="2112"/>
      <c r="N40" s="2113"/>
      <c r="O40" s="2113"/>
      <c r="P40" s="2113"/>
      <c r="Q40" s="2113"/>
      <c r="R40" s="2113"/>
      <c r="S40" s="2113"/>
      <c r="T40" s="2113"/>
      <c r="U40" s="2113"/>
      <c r="V40" s="2113"/>
      <c r="W40" s="2137"/>
      <c r="X40" s="2138"/>
      <c r="Y40" s="2138"/>
      <c r="Z40" s="2138"/>
      <c r="AM40" s="365"/>
      <c r="AN40" s="365"/>
    </row>
    <row r="41" spans="1:40">
      <c r="A41" s="2102" t="s">
        <v>76</v>
      </c>
      <c r="B41" s="2107" t="s">
        <v>6168</v>
      </c>
      <c r="C41" s="2107"/>
      <c r="D41" s="2112"/>
      <c r="E41" s="2112"/>
      <c r="F41" s="2112"/>
      <c r="G41" s="2112"/>
      <c r="H41" s="2112"/>
      <c r="I41" s="2112"/>
      <c r="J41" s="2112"/>
      <c r="K41" s="2112"/>
      <c r="L41" s="2112">
        <v>-42000000</v>
      </c>
      <c r="M41" s="2112"/>
      <c r="N41" s="2113"/>
      <c r="O41" s="2113"/>
      <c r="P41" s="2113"/>
      <c r="Q41" s="2113"/>
      <c r="R41" s="2113"/>
      <c r="S41" s="2113"/>
      <c r="T41" s="2113"/>
      <c r="U41" s="2113"/>
      <c r="V41" s="2113"/>
      <c r="W41" s="2137"/>
      <c r="X41" s="2138"/>
      <c r="Y41" s="2138"/>
      <c r="Z41" s="2138"/>
      <c r="AM41" s="365"/>
      <c r="AN41" s="365"/>
    </row>
    <row r="42" spans="1:40">
      <c r="A42" s="2102" t="s">
        <v>76</v>
      </c>
      <c r="B42" s="2107" t="s">
        <v>6169</v>
      </c>
      <c r="C42" s="2107"/>
      <c r="D42" s="2112"/>
      <c r="E42" s="2112"/>
      <c r="F42" s="2112"/>
      <c r="G42" s="2113"/>
      <c r="H42" s="2113"/>
      <c r="I42" s="2113"/>
      <c r="J42" s="2113"/>
      <c r="K42" s="2113"/>
      <c r="L42" s="2112">
        <v>0</v>
      </c>
      <c r="M42" s="2112"/>
      <c r="N42" s="2113"/>
      <c r="O42" s="2113"/>
      <c r="P42" s="2113"/>
      <c r="Q42" s="2113"/>
      <c r="R42" s="2113"/>
      <c r="S42" s="2113"/>
      <c r="T42" s="2113"/>
      <c r="U42" s="2113"/>
      <c r="V42" s="2113"/>
      <c r="W42" s="2137"/>
      <c r="X42" s="2138"/>
      <c r="Y42" s="2138"/>
      <c r="Z42" s="2138"/>
      <c r="AM42" s="365"/>
      <c r="AN42" s="365"/>
    </row>
    <row r="43" spans="1:40">
      <c r="A43" s="2102" t="s">
        <v>76</v>
      </c>
      <c r="B43" s="2107" t="s">
        <v>6170</v>
      </c>
      <c r="C43" s="2107"/>
      <c r="D43" s="2112"/>
      <c r="E43" s="2112"/>
      <c r="F43" s="2112"/>
      <c r="G43" s="2113"/>
      <c r="H43" s="2113"/>
      <c r="I43" s="2113"/>
      <c r="J43" s="2113"/>
      <c r="K43" s="2113"/>
      <c r="L43" s="2113"/>
      <c r="M43" s="2112">
        <v>-1391000000</v>
      </c>
      <c r="N43" s="2113">
        <v>-2857000000</v>
      </c>
      <c r="O43" s="2113">
        <v>-1101000000</v>
      </c>
      <c r="P43" s="2113">
        <v>1750000000</v>
      </c>
      <c r="Q43" s="2113"/>
      <c r="R43" s="2113"/>
      <c r="S43" s="2113"/>
      <c r="T43" s="2113"/>
      <c r="U43" s="2113"/>
      <c r="V43" s="2113"/>
      <c r="W43" s="2137"/>
      <c r="X43" s="2138"/>
      <c r="Y43" s="2139"/>
      <c r="Z43" s="2139"/>
      <c r="AA43" s="2107"/>
      <c r="AB43" s="2115"/>
      <c r="AC43" s="524"/>
      <c r="AD43" s="522"/>
      <c r="AE43" s="522"/>
      <c r="AF43" s="524"/>
      <c r="AG43" s="524"/>
      <c r="AH43" s="524"/>
      <c r="AI43" s="524"/>
      <c r="AJ43" s="524"/>
      <c r="AK43" s="529"/>
      <c r="AL43" s="365"/>
      <c r="AM43" s="365"/>
      <c r="AN43" s="365"/>
    </row>
    <row r="44" spans="1:40">
      <c r="A44" s="2102" t="s">
        <v>76</v>
      </c>
      <c r="B44" s="2107" t="s">
        <v>3727</v>
      </c>
      <c r="C44" s="2107"/>
      <c r="D44" s="2112"/>
      <c r="E44" s="2112"/>
      <c r="F44" s="2112"/>
      <c r="G44" s="2113"/>
      <c r="H44" s="2113"/>
      <c r="I44" s="2113"/>
      <c r="J44" s="2113"/>
      <c r="K44" s="2113"/>
      <c r="L44" s="2113"/>
      <c r="M44" s="2112">
        <v>-1634000000</v>
      </c>
      <c r="N44" s="2113">
        <v>-3060000000</v>
      </c>
      <c r="O44" s="2113">
        <v>-1365000000</v>
      </c>
      <c r="P44" s="2113">
        <v>1400000000</v>
      </c>
      <c r="Q44" s="2113">
        <v>328000000</v>
      </c>
      <c r="R44" s="2113">
        <v>-531000000</v>
      </c>
      <c r="S44" s="2113">
        <v>-2377000000</v>
      </c>
      <c r="T44" s="2113">
        <v>-5952000000</v>
      </c>
      <c r="U44" s="2113">
        <v>-6685000000</v>
      </c>
      <c r="V44" s="2113">
        <v>-7523000000</v>
      </c>
      <c r="W44" s="2137">
        <v>-8390000000</v>
      </c>
      <c r="X44" s="2138">
        <v>-8959000000</v>
      </c>
      <c r="Y44" s="2138">
        <v>-9874000000</v>
      </c>
      <c r="Z44" s="2138">
        <v>-10579000000</v>
      </c>
      <c r="AA44" s="2107"/>
      <c r="AB44" s="2115"/>
      <c r="AC44" s="524"/>
      <c r="AD44" s="522"/>
      <c r="AE44" s="522"/>
      <c r="AF44" s="524"/>
      <c r="AG44" s="524"/>
      <c r="AH44" s="524"/>
      <c r="AI44" s="524"/>
      <c r="AJ44" s="524"/>
      <c r="AK44" s="531"/>
      <c r="AL44" s="365"/>
      <c r="AM44" s="365"/>
      <c r="AN44" s="365"/>
    </row>
    <row r="45" spans="1:40">
      <c r="A45" s="2102" t="s">
        <v>76</v>
      </c>
      <c r="B45" s="2107" t="s">
        <v>6171</v>
      </c>
      <c r="C45" s="2107"/>
      <c r="D45" s="2112"/>
      <c r="E45" s="2112"/>
      <c r="F45" s="2112"/>
      <c r="G45" s="2113"/>
      <c r="H45" s="2113"/>
      <c r="I45" s="2113"/>
      <c r="J45" s="2113"/>
      <c r="K45" s="2113"/>
      <c r="L45" s="2113"/>
      <c r="M45" s="2113"/>
      <c r="N45" s="2113"/>
      <c r="O45" s="2113"/>
      <c r="P45" s="2113"/>
      <c r="Q45" s="2113">
        <v>-834000000</v>
      </c>
      <c r="R45" s="2113">
        <v>136000000</v>
      </c>
      <c r="S45" s="2113">
        <v>1118000000</v>
      </c>
      <c r="T45" s="2113">
        <v>2397000000</v>
      </c>
      <c r="U45" s="2113">
        <v>2908000000</v>
      </c>
      <c r="V45" s="2113">
        <v>3174000000</v>
      </c>
      <c r="W45" s="2137">
        <v>1235000000</v>
      </c>
      <c r="X45" s="2138">
        <v>654000000</v>
      </c>
      <c r="Y45" s="2139">
        <v>1023000000</v>
      </c>
      <c r="Z45" s="2139">
        <v>1121000000</v>
      </c>
      <c r="AA45" s="2107"/>
      <c r="AB45" s="2107"/>
      <c r="AC45" s="276"/>
      <c r="AD45" s="276"/>
      <c r="AE45" s="276"/>
      <c r="AF45" s="276"/>
      <c r="AG45" s="276"/>
      <c r="AH45" s="276"/>
      <c r="AI45" s="276"/>
      <c r="AJ45" s="276"/>
      <c r="AK45" s="276"/>
      <c r="AL45" s="365"/>
      <c r="AM45" s="365"/>
      <c r="AN45" s="365"/>
    </row>
    <row r="46" spans="1:40">
      <c r="A46" s="2102" t="s">
        <v>76</v>
      </c>
      <c r="B46" s="2107" t="s">
        <v>688</v>
      </c>
      <c r="C46" s="2107"/>
      <c r="D46" s="2112"/>
      <c r="E46" s="2112"/>
      <c r="F46" s="2112"/>
      <c r="G46" s="2113"/>
      <c r="H46" s="2113"/>
      <c r="I46" s="2113"/>
      <c r="J46" s="2113"/>
      <c r="K46" s="2113"/>
      <c r="L46" s="2113"/>
      <c r="M46" s="2112">
        <v>1612000000</v>
      </c>
      <c r="N46" s="2113">
        <v>1421000000</v>
      </c>
      <c r="O46" s="2113">
        <v>507000000</v>
      </c>
      <c r="P46" s="2113">
        <v>-1216000000</v>
      </c>
      <c r="Q46" s="2113">
        <v>-1222000000</v>
      </c>
      <c r="R46" s="2113">
        <v>-252000000</v>
      </c>
      <c r="S46" s="2113">
        <v>487000000</v>
      </c>
      <c r="T46" s="2113">
        <v>1330000000</v>
      </c>
      <c r="U46" s="2113">
        <v>1151000000</v>
      </c>
      <c r="V46" s="2113">
        <v>120000000</v>
      </c>
      <c r="W46" s="2137">
        <v>-191000000</v>
      </c>
      <c r="X46" s="2138">
        <v>301000000</v>
      </c>
      <c r="Y46" s="2139">
        <v>-402000000</v>
      </c>
      <c r="Z46" s="2139">
        <v>-461000000</v>
      </c>
      <c r="AA46" s="2107"/>
      <c r="AB46" s="2118"/>
      <c r="AC46" s="524"/>
      <c r="AD46" s="524"/>
      <c r="AE46" s="522"/>
      <c r="AF46" s="522"/>
      <c r="AG46" s="524"/>
      <c r="AH46" s="522"/>
      <c r="AI46" s="522"/>
      <c r="AJ46" s="522"/>
      <c r="AK46" s="529"/>
      <c r="AL46" s="365"/>
      <c r="AM46" s="365"/>
      <c r="AN46" s="365"/>
    </row>
    <row r="47" spans="1:40">
      <c r="A47" s="2102" t="s">
        <v>76</v>
      </c>
      <c r="B47" s="2107" t="s">
        <v>6172</v>
      </c>
      <c r="C47" s="2107"/>
      <c r="D47" s="2112"/>
      <c r="E47" s="2112"/>
      <c r="F47" s="2112"/>
      <c r="G47" s="2113"/>
      <c r="H47" s="2113"/>
      <c r="I47" s="2113"/>
      <c r="J47" s="2113"/>
      <c r="K47" s="2113"/>
      <c r="L47" s="2113"/>
      <c r="M47" s="2112">
        <v>317000000</v>
      </c>
      <c r="N47" s="2113">
        <v>52000000</v>
      </c>
      <c r="O47" s="2113">
        <v>48000000</v>
      </c>
      <c r="P47" s="2113">
        <v>14000000</v>
      </c>
      <c r="Q47" s="2113">
        <v>-57000000</v>
      </c>
      <c r="R47" s="2113">
        <v>2000000</v>
      </c>
      <c r="S47" s="2113">
        <v>-130000000</v>
      </c>
      <c r="T47" s="2113">
        <v>1120000000</v>
      </c>
      <c r="U47" s="2113">
        <v>200000000</v>
      </c>
      <c r="V47" s="2113">
        <v>100000000</v>
      </c>
      <c r="W47" s="2137">
        <v>0</v>
      </c>
      <c r="X47" s="2138">
        <v>-355000000</v>
      </c>
      <c r="Y47" s="2139">
        <v>-355000000</v>
      </c>
      <c r="Z47" s="2139">
        <v>-355000000</v>
      </c>
      <c r="AA47" s="2107"/>
      <c r="AB47" s="2118"/>
      <c r="AC47" s="522"/>
      <c r="AD47" s="522"/>
      <c r="AE47" s="522"/>
      <c r="AF47" s="522"/>
      <c r="AG47" s="522"/>
      <c r="AH47" s="522"/>
      <c r="AI47" s="522"/>
      <c r="AJ47" s="522"/>
      <c r="AK47" s="529"/>
      <c r="AL47" s="365"/>
      <c r="AM47" s="365"/>
      <c r="AN47" s="365"/>
    </row>
    <row r="48" spans="1:40" s="848" customFormat="1">
      <c r="A48" s="2121" t="s">
        <v>115</v>
      </c>
      <c r="B48" s="2108" t="s">
        <v>6173</v>
      </c>
      <c r="C48" s="2108" t="s">
        <v>35</v>
      </c>
      <c r="D48" s="2109">
        <v>143000000</v>
      </c>
      <c r="E48" s="2109">
        <v>344200000</v>
      </c>
      <c r="F48" s="2110">
        <v>592300000</v>
      </c>
      <c r="G48" s="2109">
        <v>405600000</v>
      </c>
      <c r="H48" s="2109">
        <v>715200000</v>
      </c>
      <c r="I48" s="2109">
        <v>258700000</v>
      </c>
      <c r="J48" s="2109">
        <v>-1957900000</v>
      </c>
      <c r="K48" s="2109">
        <f>K50+K55</f>
        <v>-2203100000</v>
      </c>
      <c r="L48" s="2110">
        <v>42000000</v>
      </c>
      <c r="M48" s="2110">
        <f>(M46-M49)</f>
        <v>1591000000</v>
      </c>
      <c r="N48" s="2110">
        <f>-(N46-N49)</f>
        <v>497000000</v>
      </c>
      <c r="O48" s="2110">
        <f t="shared" ref="O48:P48" si="7">-(O46-O49)</f>
        <v>33000000</v>
      </c>
      <c r="P48" s="2110">
        <f t="shared" si="7"/>
        <v>427000000</v>
      </c>
      <c r="Q48" s="2110">
        <f>Q50+Q55</f>
        <v>-834000000</v>
      </c>
      <c r="R48" s="2110">
        <f t="shared" ref="R48:Z48" si="8">R50+R55</f>
        <v>136000000</v>
      </c>
      <c r="S48" s="2110">
        <f t="shared" si="8"/>
        <v>1118000000</v>
      </c>
      <c r="T48" s="2110">
        <f t="shared" si="8"/>
        <v>3657000000</v>
      </c>
      <c r="U48" s="2110">
        <f t="shared" si="8"/>
        <v>3656000000</v>
      </c>
      <c r="V48" s="2110">
        <f t="shared" si="8"/>
        <v>4120000000</v>
      </c>
      <c r="W48" s="2110">
        <f t="shared" si="8"/>
        <v>3121000000</v>
      </c>
      <c r="X48" s="2110">
        <f t="shared" si="8"/>
        <v>2031000000</v>
      </c>
      <c r="Y48" s="2110">
        <f t="shared" si="8"/>
        <v>1023000000</v>
      </c>
      <c r="Z48" s="2110">
        <f t="shared" si="8"/>
        <v>1121000000</v>
      </c>
      <c r="AA48" s="2121"/>
      <c r="AB48" s="2121"/>
      <c r="AL48" s="916"/>
      <c r="AM48" s="916"/>
      <c r="AN48" s="916"/>
    </row>
    <row r="49" spans="1:40">
      <c r="A49" s="2102" t="s">
        <v>76</v>
      </c>
      <c r="B49" s="2107" t="s">
        <v>689</v>
      </c>
      <c r="C49" s="2107"/>
      <c r="D49" s="2112"/>
      <c r="E49" s="2112"/>
      <c r="F49" s="2112"/>
      <c r="G49" s="2113"/>
      <c r="H49" s="2113"/>
      <c r="I49" s="2113"/>
      <c r="J49" s="2113"/>
      <c r="K49" s="2113"/>
      <c r="L49" s="2113"/>
      <c r="M49" s="2112">
        <v>21000000</v>
      </c>
      <c r="N49" s="2113">
        <v>1918000000</v>
      </c>
      <c r="O49" s="2113">
        <v>540000000</v>
      </c>
      <c r="P49" s="2113">
        <v>-789000000</v>
      </c>
      <c r="Q49" s="2113">
        <v>388000000</v>
      </c>
      <c r="R49" s="2113">
        <v>388000000</v>
      </c>
      <c r="S49" s="2113">
        <v>631000000</v>
      </c>
      <c r="T49" s="2113">
        <v>1067000000</v>
      </c>
      <c r="U49" s="2113">
        <v>1758000000</v>
      </c>
      <c r="V49" s="2113">
        <v>3054000000</v>
      </c>
      <c r="W49" s="2137">
        <v>1426000000</v>
      </c>
      <c r="X49" s="2138">
        <v>352000000</v>
      </c>
      <c r="Y49" s="2139">
        <v>1425000000</v>
      </c>
      <c r="Z49" s="2139">
        <v>1581000000</v>
      </c>
      <c r="AA49" s="2107"/>
      <c r="AB49" s="2118"/>
      <c r="AC49" s="522"/>
      <c r="AD49" s="522"/>
      <c r="AE49" s="522"/>
      <c r="AF49" s="524"/>
      <c r="AG49" s="524"/>
      <c r="AH49" s="524"/>
      <c r="AI49" s="524"/>
      <c r="AJ49" s="524"/>
      <c r="AK49" s="531"/>
      <c r="AL49" s="365"/>
      <c r="AM49" s="365"/>
      <c r="AN49" s="365"/>
    </row>
    <row r="50" spans="1:40">
      <c r="A50" s="2102" t="s">
        <v>120</v>
      </c>
      <c r="B50" s="2107" t="s">
        <v>209</v>
      </c>
      <c r="C50" s="2107" t="s">
        <v>252</v>
      </c>
      <c r="D50" s="2113">
        <v>166500000</v>
      </c>
      <c r="E50" s="2113">
        <v>231600000</v>
      </c>
      <c r="F50" s="2112">
        <v>373900000</v>
      </c>
      <c r="G50" s="2113">
        <v>328600000</v>
      </c>
      <c r="H50" s="2113">
        <v>460300000</v>
      </c>
      <c r="I50" s="2113">
        <v>47100000</v>
      </c>
      <c r="J50" s="2113">
        <v>-867900000</v>
      </c>
      <c r="K50" s="2113">
        <v>-1446200000</v>
      </c>
      <c r="L50" s="2112">
        <v>135000000</v>
      </c>
      <c r="M50" s="2112">
        <f>(M46-M51)</f>
        <v>1612000000</v>
      </c>
      <c r="N50" s="2112">
        <f t="shared" ref="N50:P50" si="9">(N46-N51)*-1</f>
        <v>616000000</v>
      </c>
      <c r="O50" s="2112">
        <f t="shared" si="9"/>
        <v>169000000</v>
      </c>
      <c r="P50" s="2112">
        <f t="shared" si="9"/>
        <v>573000000</v>
      </c>
      <c r="Q50" s="2112">
        <f>Q46+Q51</f>
        <v>-872000000</v>
      </c>
      <c r="R50" s="2112">
        <f t="shared" ref="R50:Z50" si="10">R46+R51</f>
        <v>103000000</v>
      </c>
      <c r="S50" s="2112">
        <f t="shared" si="10"/>
        <v>667000000</v>
      </c>
      <c r="T50" s="2112">
        <f t="shared" si="10"/>
        <v>3060000000</v>
      </c>
      <c r="U50" s="2112">
        <f t="shared" si="10"/>
        <v>2011000000</v>
      </c>
      <c r="V50" s="2112">
        <f t="shared" si="10"/>
        <v>2836000000</v>
      </c>
      <c r="W50" s="2112">
        <f t="shared" si="10"/>
        <v>2034000000</v>
      </c>
      <c r="X50" s="2112">
        <f t="shared" si="10"/>
        <v>931000000</v>
      </c>
      <c r="Y50" s="2112">
        <f t="shared" si="10"/>
        <v>-17000000</v>
      </c>
      <c r="Z50" s="2112">
        <f t="shared" si="10"/>
        <v>228000000</v>
      </c>
      <c r="AL50" s="365"/>
      <c r="AM50" s="365"/>
      <c r="AN50" s="365"/>
    </row>
    <row r="51" spans="1:40">
      <c r="B51" s="2107" t="s">
        <v>209</v>
      </c>
      <c r="C51" s="2107"/>
      <c r="D51" s="2113">
        <v>166500000</v>
      </c>
      <c r="E51" s="2113">
        <v>231600000</v>
      </c>
      <c r="F51" s="2112">
        <v>373900000</v>
      </c>
      <c r="G51" s="2113">
        <v>328600000</v>
      </c>
      <c r="H51" s="2113">
        <v>460300000</v>
      </c>
      <c r="I51" s="2113">
        <v>47100000</v>
      </c>
      <c r="J51" s="2113">
        <v>-867900000</v>
      </c>
      <c r="K51" s="2113">
        <v>-1446200000</v>
      </c>
      <c r="L51" s="2112">
        <v>135000000</v>
      </c>
      <c r="M51" s="2112">
        <v>0</v>
      </c>
      <c r="N51" s="2113">
        <v>2037000000</v>
      </c>
      <c r="O51" s="2113">
        <v>676000000</v>
      </c>
      <c r="P51" s="2113">
        <v>-643000000</v>
      </c>
      <c r="Q51" s="2112">
        <v>350000000</v>
      </c>
      <c r="R51" s="2112">
        <v>355000000</v>
      </c>
      <c r="S51" s="2112">
        <v>180000000</v>
      </c>
      <c r="T51" s="2112">
        <v>1730000000</v>
      </c>
      <c r="U51" s="2112">
        <v>860000000</v>
      </c>
      <c r="V51" s="2112">
        <v>2716000000</v>
      </c>
      <c r="W51" s="2141">
        <v>2225000000</v>
      </c>
      <c r="X51" s="2141">
        <v>630000000</v>
      </c>
      <c r="Y51" s="2139">
        <v>385000000</v>
      </c>
      <c r="Z51" s="2138">
        <v>689000000</v>
      </c>
      <c r="AA51" s="2107"/>
      <c r="AB51" s="2118"/>
      <c r="AC51" s="522"/>
      <c r="AD51" s="522"/>
      <c r="AE51" s="522"/>
      <c r="AF51" s="524"/>
      <c r="AG51" s="524"/>
      <c r="AH51" s="524"/>
      <c r="AI51" s="524"/>
      <c r="AJ51" s="524"/>
      <c r="AK51" s="531"/>
      <c r="AL51" s="365"/>
      <c r="AM51" s="365"/>
      <c r="AN51" s="365"/>
    </row>
    <row r="52" spans="1:40">
      <c r="A52" s="2114" t="s">
        <v>4884</v>
      </c>
      <c r="B52" s="2114" t="s">
        <v>4884</v>
      </c>
      <c r="C52" s="2107" t="s">
        <v>124</v>
      </c>
      <c r="D52" s="2112"/>
      <c r="E52" s="2112"/>
      <c r="F52" s="2112"/>
      <c r="G52" s="2113"/>
      <c r="H52" s="2113"/>
      <c r="I52" s="2113"/>
      <c r="J52" s="2113"/>
      <c r="K52" s="2113"/>
      <c r="L52" s="2112">
        <v>0</v>
      </c>
      <c r="M52" s="2112"/>
      <c r="N52" s="2113"/>
      <c r="O52" s="2113"/>
      <c r="P52" s="2113"/>
      <c r="Q52" s="2113"/>
      <c r="R52" s="2113"/>
      <c r="S52" s="2113"/>
      <c r="T52" s="2113"/>
      <c r="U52" s="2113"/>
      <c r="V52" s="2113"/>
      <c r="W52" s="2137"/>
      <c r="X52" s="2138"/>
      <c r="Y52" s="2138"/>
      <c r="Z52" s="2138"/>
      <c r="AL52" s="365"/>
      <c r="AM52" s="365"/>
      <c r="AN52" s="365"/>
    </row>
    <row r="53" spans="1:40">
      <c r="A53" s="2114" t="s">
        <v>4888</v>
      </c>
      <c r="B53" s="2114" t="s">
        <v>4888</v>
      </c>
      <c r="C53" s="2107" t="s">
        <v>124</v>
      </c>
      <c r="D53" s="2112"/>
      <c r="E53" s="2112"/>
      <c r="F53" s="2112"/>
      <c r="G53" s="2113"/>
      <c r="H53" s="2113"/>
      <c r="I53" s="2113"/>
      <c r="J53" s="2113"/>
      <c r="K53" s="2113"/>
      <c r="L53" s="2112">
        <v>135000000</v>
      </c>
      <c r="M53" s="2112"/>
      <c r="N53" s="2113"/>
      <c r="O53" s="2113"/>
      <c r="P53" s="2113"/>
      <c r="Q53" s="2113"/>
      <c r="R53" s="2113"/>
      <c r="S53" s="2113"/>
      <c r="T53" s="2113"/>
      <c r="U53" s="2113"/>
      <c r="V53" s="2113"/>
      <c r="W53" s="2137"/>
      <c r="X53" s="2138"/>
      <c r="Y53" s="2138"/>
      <c r="Z53" s="2138"/>
      <c r="AC53" s="365"/>
      <c r="AD53" s="365"/>
      <c r="AE53" s="365"/>
      <c r="AF53" s="365"/>
      <c r="AG53" s="365"/>
      <c r="AH53" s="365"/>
      <c r="AI53" s="365"/>
      <c r="AJ53" s="365"/>
      <c r="AK53" s="365"/>
      <c r="AL53" s="365"/>
      <c r="AM53" s="365"/>
      <c r="AN53" s="365"/>
    </row>
    <row r="54" spans="1:40">
      <c r="A54" s="2102" t="s">
        <v>76</v>
      </c>
      <c r="B54" s="2107" t="s">
        <v>6174</v>
      </c>
      <c r="C54" s="2107"/>
      <c r="D54" s="2112"/>
      <c r="E54" s="2112"/>
      <c r="F54" s="2112"/>
      <c r="G54" s="2113"/>
      <c r="H54" s="2113"/>
      <c r="I54" s="2113"/>
      <c r="J54" s="2113"/>
      <c r="K54" s="2113"/>
      <c r="L54" s="2113"/>
      <c r="M54" s="2113"/>
      <c r="N54" s="2113">
        <v>730000000</v>
      </c>
      <c r="O54" s="2113"/>
      <c r="P54" s="2113"/>
      <c r="Q54" s="2113"/>
      <c r="R54" s="2113"/>
      <c r="S54" s="2113"/>
      <c r="T54" s="2113"/>
      <c r="U54" s="2113"/>
      <c r="V54" s="2113"/>
      <c r="W54" s="2137"/>
      <c r="X54" s="2138"/>
      <c r="Y54" s="2138"/>
      <c r="Z54" s="2138"/>
      <c r="AC54" s="365"/>
      <c r="AD54" s="365"/>
      <c r="AE54" s="365"/>
      <c r="AF54" s="365"/>
      <c r="AG54" s="365"/>
      <c r="AH54" s="365"/>
      <c r="AI54" s="365"/>
      <c r="AJ54" s="365"/>
      <c r="AK54" s="365"/>
      <c r="AL54" s="365"/>
      <c r="AM54" s="365"/>
      <c r="AN54" s="365"/>
    </row>
    <row r="55" spans="1:40">
      <c r="A55" s="2102" t="s">
        <v>117</v>
      </c>
      <c r="B55" s="2107" t="s">
        <v>212</v>
      </c>
      <c r="C55" s="2107" t="s">
        <v>252</v>
      </c>
      <c r="D55" s="2113">
        <v>-23500000</v>
      </c>
      <c r="E55" s="2113">
        <v>112600000</v>
      </c>
      <c r="F55" s="2112">
        <v>218400000</v>
      </c>
      <c r="G55" s="2113">
        <v>77000000</v>
      </c>
      <c r="H55" s="2113">
        <v>255000000</v>
      </c>
      <c r="I55" s="2113">
        <v>211500000</v>
      </c>
      <c r="J55" s="2113">
        <v>-1090000000</v>
      </c>
      <c r="K55" s="2113">
        <v>-756900000</v>
      </c>
      <c r="L55" s="2112">
        <v>-93000000</v>
      </c>
      <c r="M55" s="2113">
        <f>-M56</f>
        <v>-21000000</v>
      </c>
      <c r="N55" s="2113">
        <f t="shared" ref="N55:Z55" si="11">N56</f>
        <v>-119000000</v>
      </c>
      <c r="O55" s="2113">
        <f t="shared" si="11"/>
        <v>-136000000</v>
      </c>
      <c r="P55" s="2113">
        <f t="shared" si="11"/>
        <v>-146000000</v>
      </c>
      <c r="Q55" s="2113">
        <f t="shared" si="11"/>
        <v>38000000</v>
      </c>
      <c r="R55" s="2113">
        <f t="shared" si="11"/>
        <v>33000000</v>
      </c>
      <c r="S55" s="2113">
        <f t="shared" si="11"/>
        <v>451000000</v>
      </c>
      <c r="T55" s="2113">
        <f t="shared" si="11"/>
        <v>597000000</v>
      </c>
      <c r="U55" s="2113">
        <f t="shared" si="11"/>
        <v>1645000000</v>
      </c>
      <c r="V55" s="2113">
        <f t="shared" si="11"/>
        <v>1284000000</v>
      </c>
      <c r="W55" s="2113">
        <f t="shared" si="11"/>
        <v>1087000000</v>
      </c>
      <c r="X55" s="2113">
        <f t="shared" si="11"/>
        <v>1100000000</v>
      </c>
      <c r="Y55" s="2113">
        <f t="shared" si="11"/>
        <v>1040000000</v>
      </c>
      <c r="Z55" s="2113">
        <f t="shared" si="11"/>
        <v>893000000</v>
      </c>
      <c r="AL55" s="365"/>
      <c r="AM55" s="365"/>
      <c r="AN55" s="365"/>
    </row>
    <row r="56" spans="1:40">
      <c r="B56" s="2107" t="s">
        <v>212</v>
      </c>
      <c r="C56" s="2107"/>
      <c r="D56" s="2113">
        <v>-23500000</v>
      </c>
      <c r="E56" s="2113">
        <v>112600000</v>
      </c>
      <c r="F56" s="2112">
        <v>218400000</v>
      </c>
      <c r="G56" s="2113">
        <v>77000000</v>
      </c>
      <c r="H56" s="2113">
        <v>255000000</v>
      </c>
      <c r="I56" s="2113">
        <v>211500000</v>
      </c>
      <c r="J56" s="2113">
        <v>-1090000000</v>
      </c>
      <c r="K56" s="2113">
        <v>-756900000</v>
      </c>
      <c r="L56" s="2112">
        <v>-93000000</v>
      </c>
      <c r="M56" s="2112">
        <v>21000000</v>
      </c>
      <c r="N56" s="2113">
        <v>-119000000</v>
      </c>
      <c r="O56" s="2113">
        <v>-136000000</v>
      </c>
      <c r="P56" s="2113">
        <v>-146000000</v>
      </c>
      <c r="Q56" s="2113">
        <v>38000000</v>
      </c>
      <c r="R56" s="2113">
        <v>33000000</v>
      </c>
      <c r="S56" s="2113">
        <v>451000000</v>
      </c>
      <c r="T56" s="2113">
        <v>597000000</v>
      </c>
      <c r="U56" s="2113">
        <v>1645000000</v>
      </c>
      <c r="V56" s="2113">
        <v>1284000000</v>
      </c>
      <c r="W56" s="2137">
        <v>1087000000</v>
      </c>
      <c r="X56" s="2137">
        <v>1100000000</v>
      </c>
      <c r="Y56" s="2139">
        <v>1040000000</v>
      </c>
      <c r="Z56" s="2138">
        <v>893000000</v>
      </c>
      <c r="AA56" s="2107"/>
      <c r="AB56" s="2118"/>
      <c r="AC56" s="522"/>
      <c r="AD56" s="522"/>
      <c r="AE56" s="522"/>
      <c r="AF56" s="522"/>
      <c r="AG56" s="522"/>
      <c r="AH56" s="522"/>
      <c r="AI56" s="522"/>
      <c r="AJ56" s="522"/>
      <c r="AK56" s="529"/>
      <c r="AN56" s="365"/>
    </row>
    <row r="57" spans="1:40">
      <c r="B57" s="2107" t="s">
        <v>6175</v>
      </c>
      <c r="C57" s="2107"/>
      <c r="G57" s="2122"/>
      <c r="H57" s="2122"/>
      <c r="I57" s="2122"/>
      <c r="J57" s="2123"/>
      <c r="K57" s="2123"/>
      <c r="L57" s="2122"/>
      <c r="M57" s="2122"/>
      <c r="N57" s="2122"/>
      <c r="O57" s="2122">
        <v>318000000</v>
      </c>
      <c r="P57" s="2122">
        <v>605000000</v>
      </c>
      <c r="Q57" s="2122"/>
      <c r="R57" s="2124"/>
      <c r="S57" s="2124"/>
      <c r="T57" s="2124"/>
      <c r="U57" s="2124"/>
      <c r="V57" s="2124"/>
      <c r="W57" s="2142"/>
      <c r="X57" s="2143"/>
      <c r="Y57" s="2138"/>
      <c r="Z57" s="2139"/>
      <c r="AA57" s="2125"/>
      <c r="AB57" s="2125"/>
      <c r="AC57" s="532"/>
      <c r="AD57" s="532"/>
      <c r="AE57" s="532"/>
      <c r="AF57" s="532"/>
      <c r="AG57" s="532"/>
      <c r="AH57" s="532"/>
      <c r="AI57" s="532"/>
      <c r="AJ57" s="532"/>
      <c r="AK57" s="532"/>
      <c r="AL57" s="365"/>
      <c r="AM57" s="365"/>
      <c r="AN57" s="365"/>
    </row>
    <row r="58" spans="1:40">
      <c r="C58" s="2107"/>
      <c r="G58" s="2122"/>
      <c r="H58" s="2122"/>
      <c r="I58" s="2122"/>
      <c r="J58" s="2123"/>
      <c r="K58" s="2123"/>
      <c r="L58" s="2122"/>
      <c r="M58" s="2122"/>
      <c r="N58" s="2122"/>
      <c r="O58" s="2122"/>
      <c r="P58" s="2122"/>
      <c r="Q58" s="2122"/>
      <c r="R58" s="2122"/>
      <c r="S58" s="2122"/>
      <c r="T58" s="2122"/>
      <c r="U58" s="2122"/>
      <c r="V58" s="2122"/>
      <c r="W58" s="2139"/>
      <c r="X58" s="2138"/>
      <c r="Y58" s="2138"/>
      <c r="Z58" s="2138"/>
      <c r="AC58" s="365"/>
      <c r="AD58" s="365"/>
      <c r="AE58" s="365"/>
      <c r="AF58" s="365"/>
      <c r="AG58" s="365"/>
      <c r="AH58" s="365"/>
      <c r="AI58" s="365"/>
      <c r="AJ58" s="365"/>
      <c r="AK58" s="365"/>
      <c r="AL58" s="365"/>
      <c r="AM58" s="365"/>
      <c r="AN58" s="365"/>
    </row>
    <row r="59" spans="1:40">
      <c r="C59" s="2107"/>
      <c r="D59" s="2102" t="s">
        <v>139</v>
      </c>
      <c r="E59" s="2102" t="s">
        <v>139</v>
      </c>
      <c r="F59" s="2102" t="s">
        <v>139</v>
      </c>
      <c r="G59" s="2102" t="s">
        <v>139</v>
      </c>
      <c r="H59" s="2102" t="s">
        <v>139</v>
      </c>
      <c r="I59" s="2102" t="s">
        <v>139</v>
      </c>
      <c r="J59" s="2102" t="s">
        <v>139</v>
      </c>
      <c r="K59" s="2102" t="s">
        <v>139</v>
      </c>
      <c r="L59" s="2102" t="s">
        <v>139</v>
      </c>
      <c r="M59" s="2102" t="s">
        <v>139</v>
      </c>
      <c r="N59" s="2102" t="s">
        <v>139</v>
      </c>
      <c r="O59" s="2102" t="s">
        <v>139</v>
      </c>
      <c r="P59" s="2102" t="s">
        <v>139</v>
      </c>
      <c r="Q59" s="2102" t="s">
        <v>139</v>
      </c>
      <c r="R59" s="2102" t="s">
        <v>139</v>
      </c>
      <c r="S59" s="2102" t="s">
        <v>139</v>
      </c>
      <c r="T59" s="2102" t="s">
        <v>139</v>
      </c>
      <c r="U59" s="2102" t="s">
        <v>139</v>
      </c>
      <c r="V59" s="2102" t="s">
        <v>139</v>
      </c>
      <c r="W59" s="2102" t="s">
        <v>139</v>
      </c>
      <c r="X59" s="2102" t="s">
        <v>139</v>
      </c>
      <c r="Y59" s="2102" t="s">
        <v>139</v>
      </c>
      <c r="Z59" s="2102" t="s">
        <v>139</v>
      </c>
    </row>
    <row r="60" spans="1:40">
      <c r="C60" s="2107"/>
      <c r="G60" s="2122"/>
      <c r="H60" s="2122"/>
      <c r="I60" s="2122"/>
      <c r="J60" s="2123"/>
      <c r="K60" s="2123"/>
      <c r="L60" s="2122"/>
      <c r="M60" s="2122"/>
      <c r="N60" s="2122"/>
      <c r="O60" s="2118"/>
      <c r="P60" s="2122"/>
      <c r="Q60" s="2118"/>
      <c r="R60" s="2118"/>
      <c r="S60" s="2118"/>
      <c r="T60" s="2146"/>
      <c r="U60" s="2118"/>
      <c r="V60" s="2118"/>
      <c r="W60" s="2139"/>
      <c r="X60" s="2139"/>
      <c r="Y60" s="2138"/>
      <c r="Z60" s="2138"/>
    </row>
    <row r="61" spans="1:40">
      <c r="B61" s="2102" t="s">
        <v>284</v>
      </c>
      <c r="C61" s="2107"/>
      <c r="D61" s="2126">
        <f t="shared" ref="D61:X61" si="12">D6-D7-D18</f>
        <v>0</v>
      </c>
      <c r="E61" s="2126">
        <f t="shared" si="12"/>
        <v>0</v>
      </c>
      <c r="F61" s="2126">
        <f t="shared" si="12"/>
        <v>0</v>
      </c>
      <c r="G61" s="2126">
        <f t="shared" si="12"/>
        <v>0</v>
      </c>
      <c r="H61" s="2126">
        <f t="shared" si="12"/>
        <v>0</v>
      </c>
      <c r="I61" s="2126">
        <f t="shared" si="12"/>
        <v>0</v>
      </c>
      <c r="J61" s="2126">
        <f t="shared" si="12"/>
        <v>0</v>
      </c>
      <c r="K61" s="2126">
        <f t="shared" si="12"/>
        <v>0</v>
      </c>
      <c r="L61" s="2126">
        <f t="shared" si="12"/>
        <v>0</v>
      </c>
      <c r="M61" s="2126">
        <f t="shared" si="12"/>
        <v>0</v>
      </c>
      <c r="N61" s="2126">
        <f t="shared" si="12"/>
        <v>0</v>
      </c>
      <c r="O61" s="2126">
        <f t="shared" si="12"/>
        <v>0</v>
      </c>
      <c r="P61" s="2126">
        <f t="shared" si="12"/>
        <v>0</v>
      </c>
      <c r="Q61" s="2126">
        <f t="shared" si="12"/>
        <v>-1000000</v>
      </c>
      <c r="R61" s="2126">
        <f t="shared" si="12"/>
        <v>0</v>
      </c>
      <c r="S61" s="2126">
        <f t="shared" si="12"/>
        <v>0</v>
      </c>
      <c r="T61" s="2126">
        <f t="shared" si="12"/>
        <v>0</v>
      </c>
      <c r="U61" s="2126">
        <f t="shared" si="12"/>
        <v>0</v>
      </c>
      <c r="V61" s="2126">
        <f t="shared" si="12"/>
        <v>1000000</v>
      </c>
      <c r="W61" s="2138">
        <f t="shared" si="12"/>
        <v>0</v>
      </c>
      <c r="X61" s="2138">
        <f t="shared" si="12"/>
        <v>1000000</v>
      </c>
      <c r="Y61" s="2126">
        <f t="shared" ref="Y61:Z61" si="13">Y6-Y7-Y18</f>
        <v>-1000000</v>
      </c>
      <c r="Z61" s="2126">
        <f t="shared" si="13"/>
        <v>-1000000</v>
      </c>
    </row>
    <row r="62" spans="1:40">
      <c r="B62" s="2102" t="s">
        <v>141</v>
      </c>
      <c r="D62" s="2126">
        <f>D7-D8-D17</f>
        <v>0</v>
      </c>
      <c r="E62" s="2126">
        <f t="shared" ref="E62:W62" si="14">E7-E8-E17</f>
        <v>0</v>
      </c>
      <c r="F62" s="2126">
        <f t="shared" si="14"/>
        <v>0</v>
      </c>
      <c r="G62" s="2126">
        <f t="shared" si="14"/>
        <v>0</v>
      </c>
      <c r="H62" s="2126">
        <f t="shared" si="14"/>
        <v>0</v>
      </c>
      <c r="I62" s="2126">
        <f t="shared" si="14"/>
        <v>0</v>
      </c>
      <c r="J62" s="2126">
        <f t="shared" si="14"/>
        <v>0</v>
      </c>
      <c r="K62" s="2126">
        <f t="shared" si="14"/>
        <v>0</v>
      </c>
      <c r="L62" s="2126">
        <f t="shared" si="14"/>
        <v>0</v>
      </c>
      <c r="M62" s="2126">
        <f t="shared" si="14"/>
        <v>-1000000</v>
      </c>
      <c r="N62" s="2126">
        <f>N7-N8-N17</f>
        <v>0</v>
      </c>
      <c r="O62" s="2126">
        <f t="shared" si="14"/>
        <v>0</v>
      </c>
      <c r="P62" s="2126">
        <f t="shared" si="14"/>
        <v>0</v>
      </c>
      <c r="Q62" s="2126">
        <f t="shared" si="14"/>
        <v>0</v>
      </c>
      <c r="R62" s="2126">
        <f t="shared" si="14"/>
        <v>0</v>
      </c>
      <c r="S62" s="2126">
        <f t="shared" si="14"/>
        <v>0</v>
      </c>
      <c r="T62" s="2126">
        <f t="shared" si="14"/>
        <v>0</v>
      </c>
      <c r="U62" s="2126">
        <f t="shared" si="14"/>
        <v>0</v>
      </c>
      <c r="V62" s="2126">
        <f t="shared" si="14"/>
        <v>0</v>
      </c>
      <c r="W62" s="2138">
        <f t="shared" si="14"/>
        <v>0</v>
      </c>
      <c r="X62" s="2138">
        <f>X7-X8-X17</f>
        <v>0</v>
      </c>
      <c r="Y62" s="2126">
        <f t="shared" ref="Y62:Z62" si="15">Y7-Y8-Y17</f>
        <v>0</v>
      </c>
      <c r="Z62" s="2126">
        <f t="shared" si="15"/>
        <v>0</v>
      </c>
    </row>
    <row r="63" spans="1:40">
      <c r="B63" s="2102" t="s">
        <v>617</v>
      </c>
      <c r="D63" s="2127">
        <f>D8-D9-D12-D13-D15-D16</f>
        <v>2574400000</v>
      </c>
      <c r="E63" s="2127">
        <f t="shared" ref="E63:W63" si="16">E8-E9-E12-E13-E15-E16</f>
        <v>2785200000</v>
      </c>
      <c r="F63" s="2127">
        <f t="shared" si="16"/>
        <v>3107400000</v>
      </c>
      <c r="G63" s="2127">
        <f t="shared" si="16"/>
        <v>3660500000</v>
      </c>
      <c r="H63" s="2127">
        <f t="shared" si="16"/>
        <v>4627800000</v>
      </c>
      <c r="I63" s="2127">
        <f t="shared" si="16"/>
        <v>5189500000</v>
      </c>
      <c r="J63" s="2127">
        <f t="shared" si="16"/>
        <v>7682800000</v>
      </c>
      <c r="K63" s="2127">
        <f t="shared" si="16"/>
        <v>7564900000</v>
      </c>
      <c r="L63" s="2126">
        <f t="shared" si="16"/>
        <v>-1000000</v>
      </c>
      <c r="M63" s="2126">
        <f t="shared" si="16"/>
        <v>-1000000</v>
      </c>
      <c r="N63" s="2126">
        <f>N8-N9-N12-N13-N15-N16</f>
        <v>-1000000</v>
      </c>
      <c r="O63" s="2126">
        <f t="shared" si="16"/>
        <v>0</v>
      </c>
      <c r="P63" s="2126">
        <f t="shared" si="16"/>
        <v>-1000000</v>
      </c>
      <c r="Q63" s="2126">
        <f t="shared" si="16"/>
        <v>0</v>
      </c>
      <c r="R63" s="2126">
        <f>R8-R9-R12-R13-R15-R16</f>
        <v>0</v>
      </c>
      <c r="S63" s="2126">
        <f t="shared" si="16"/>
        <v>0</v>
      </c>
      <c r="T63" s="2126">
        <f t="shared" si="16"/>
        <v>0</v>
      </c>
      <c r="U63" s="2126">
        <f t="shared" si="16"/>
        <v>1000000</v>
      </c>
      <c r="V63" s="2126">
        <f t="shared" si="16"/>
        <v>1000000</v>
      </c>
      <c r="W63" s="2138">
        <f t="shared" si="16"/>
        <v>0</v>
      </c>
      <c r="X63" s="2138">
        <f>X8-X9-X12-X13-X15-X16</f>
        <v>0</v>
      </c>
      <c r="Y63" s="2126">
        <f t="shared" ref="Y63:Z63" si="17">Y8-Y9-Y12-Y13-Y15-Y16</f>
        <v>1000000</v>
      </c>
      <c r="Z63" s="2126">
        <f t="shared" si="17"/>
        <v>1000000</v>
      </c>
    </row>
    <row r="64" spans="1:40">
      <c r="B64" s="2102" t="s">
        <v>143</v>
      </c>
      <c r="D64" s="2127">
        <f>D18-D19-D20</f>
        <v>112100000</v>
      </c>
      <c r="E64" s="2127">
        <f>E18-E19-E20</f>
        <v>126900000</v>
      </c>
      <c r="F64" s="2127">
        <f>F18-F19-F20</f>
        <v>163100000</v>
      </c>
      <c r="G64" s="2127">
        <f>G18-G19-G20</f>
        <v>137700000</v>
      </c>
      <c r="H64" s="2127">
        <f t="shared" ref="H64:W64" si="18">H18-H19-H20</f>
        <v>116000000</v>
      </c>
      <c r="I64" s="2127">
        <f t="shared" si="18"/>
        <v>172300000</v>
      </c>
      <c r="J64" s="2127">
        <f t="shared" si="18"/>
        <v>165700000</v>
      </c>
      <c r="K64" s="2127">
        <f t="shared" si="18"/>
        <v>62700000</v>
      </c>
      <c r="L64" s="2126">
        <f t="shared" si="18"/>
        <v>0</v>
      </c>
      <c r="M64" s="2126">
        <f t="shared" si="18"/>
        <v>0</v>
      </c>
      <c r="N64" s="2126">
        <f t="shared" si="18"/>
        <v>0</v>
      </c>
      <c r="O64" s="2126">
        <f t="shared" si="18"/>
        <v>0</v>
      </c>
      <c r="P64" s="2126">
        <f t="shared" si="18"/>
        <v>0</v>
      </c>
      <c r="Q64" s="2126">
        <f t="shared" si="18"/>
        <v>0</v>
      </c>
      <c r="R64" s="2126">
        <f t="shared" si="18"/>
        <v>0</v>
      </c>
      <c r="S64" s="2126">
        <f t="shared" si="18"/>
        <v>0</v>
      </c>
      <c r="T64" s="2126">
        <f t="shared" si="18"/>
        <v>0</v>
      </c>
      <c r="U64" s="2126">
        <f t="shared" si="18"/>
        <v>0</v>
      </c>
      <c r="V64" s="2126">
        <f t="shared" si="18"/>
        <v>0</v>
      </c>
      <c r="W64" s="2138">
        <f t="shared" si="18"/>
        <v>0</v>
      </c>
      <c r="X64" s="2138">
        <f>X18-X19-X20</f>
        <v>0</v>
      </c>
      <c r="Y64" s="2126">
        <f t="shared" ref="Y64:Z64" si="19">Y18-Y19-Y20</f>
        <v>0</v>
      </c>
      <c r="Z64" s="2126">
        <f t="shared" si="19"/>
        <v>0</v>
      </c>
    </row>
    <row r="65" spans="2:26">
      <c r="B65" s="2102" t="s">
        <v>145</v>
      </c>
      <c r="D65" s="2126">
        <f>D22-D23-D33-D36</f>
        <v>0</v>
      </c>
      <c r="E65" s="2126">
        <f t="shared" ref="E65:L65" si="20">E22-E23-E33-E36</f>
        <v>0</v>
      </c>
      <c r="F65" s="2126">
        <f t="shared" si="20"/>
        <v>0</v>
      </c>
      <c r="G65" s="2126">
        <f t="shared" si="20"/>
        <v>0</v>
      </c>
      <c r="H65" s="2126">
        <f t="shared" si="20"/>
        <v>0</v>
      </c>
      <c r="I65" s="2126">
        <f t="shared" si="20"/>
        <v>0</v>
      </c>
      <c r="J65" s="2126">
        <f t="shared" si="20"/>
        <v>0</v>
      </c>
      <c r="K65" s="2126">
        <f t="shared" si="20"/>
        <v>0</v>
      </c>
      <c r="L65" s="2126">
        <f t="shared" si="20"/>
        <v>0</v>
      </c>
      <c r="M65" s="2126">
        <f t="shared" ref="M65:W65" si="21">M22-M23-M33</f>
        <v>0</v>
      </c>
      <c r="N65" s="2126">
        <f t="shared" si="21"/>
        <v>0</v>
      </c>
      <c r="O65" s="2126">
        <f t="shared" si="21"/>
        <v>0</v>
      </c>
      <c r="P65" s="2126">
        <f t="shared" si="21"/>
        <v>0</v>
      </c>
      <c r="Q65" s="2126">
        <f t="shared" si="21"/>
        <v>0</v>
      </c>
      <c r="R65" s="2126">
        <f t="shared" si="21"/>
        <v>0</v>
      </c>
      <c r="S65" s="2126">
        <f t="shared" si="21"/>
        <v>0</v>
      </c>
      <c r="T65" s="2126">
        <f t="shared" si="21"/>
        <v>0</v>
      </c>
      <c r="U65" s="2126">
        <f t="shared" si="21"/>
        <v>0</v>
      </c>
      <c r="V65" s="2126">
        <f t="shared" si="21"/>
        <v>0</v>
      </c>
      <c r="W65" s="2138">
        <f t="shared" si="21"/>
        <v>0</v>
      </c>
      <c r="X65" s="2138">
        <f>X22-X23-X33</f>
        <v>0</v>
      </c>
      <c r="Y65" s="2126">
        <f t="shared" ref="Y65:Z65" si="22">Y22-Y23-Y33</f>
        <v>0</v>
      </c>
      <c r="Z65" s="2126">
        <f t="shared" si="22"/>
        <v>0</v>
      </c>
    </row>
    <row r="66" spans="2:26">
      <c r="B66" s="2102" t="s">
        <v>1978</v>
      </c>
      <c r="D66" s="2126">
        <f>D23-D24-D25-D26-D27-D28</f>
        <v>0</v>
      </c>
      <c r="E66" s="2126">
        <f t="shared" ref="E66:W66" si="23">E23-E24-E25-E26-E27-E28</f>
        <v>-100000</v>
      </c>
      <c r="F66" s="2126">
        <f t="shared" si="23"/>
        <v>0</v>
      </c>
      <c r="G66" s="2126">
        <f t="shared" si="23"/>
        <v>0</v>
      </c>
      <c r="H66" s="2126">
        <f t="shared" si="23"/>
        <v>0</v>
      </c>
      <c r="I66" s="2126">
        <f t="shared" si="23"/>
        <v>0</v>
      </c>
      <c r="J66" s="2126">
        <f t="shared" si="23"/>
        <v>0</v>
      </c>
      <c r="K66" s="2126">
        <f t="shared" si="23"/>
        <v>0</v>
      </c>
      <c r="L66" s="2126">
        <f t="shared" si="23"/>
        <v>0</v>
      </c>
      <c r="M66" s="2126">
        <f t="shared" si="23"/>
        <v>0</v>
      </c>
      <c r="N66" s="2126">
        <f t="shared" si="23"/>
        <v>-1000000</v>
      </c>
      <c r="O66" s="2126">
        <f t="shared" si="23"/>
        <v>0</v>
      </c>
      <c r="P66" s="2126">
        <f t="shared" si="23"/>
        <v>0</v>
      </c>
      <c r="Q66" s="2126">
        <f t="shared" si="23"/>
        <v>1000000</v>
      </c>
      <c r="R66" s="2126">
        <f t="shared" si="23"/>
        <v>1000000</v>
      </c>
      <c r="S66" s="2126">
        <f t="shared" si="23"/>
        <v>-1000000</v>
      </c>
      <c r="T66" s="2126">
        <f t="shared" si="23"/>
        <v>0</v>
      </c>
      <c r="U66" s="2126">
        <f t="shared" si="23"/>
        <v>0</v>
      </c>
      <c r="V66" s="2126">
        <f t="shared" si="23"/>
        <v>0</v>
      </c>
      <c r="W66" s="2138">
        <f t="shared" si="23"/>
        <v>0</v>
      </c>
      <c r="X66" s="2138">
        <f>X23-X24-X25-X26-X27-X28</f>
        <v>-1000000</v>
      </c>
      <c r="Y66" s="2126">
        <f t="shared" ref="Y66:Z66" si="24">Y23-Y24-Y25-Y26-Y27-Y28</f>
        <v>0</v>
      </c>
      <c r="Z66" s="2126">
        <f t="shared" si="24"/>
        <v>1000000</v>
      </c>
    </row>
    <row r="67" spans="2:26">
      <c r="B67" s="2102" t="s">
        <v>876</v>
      </c>
      <c r="D67" s="2127">
        <f t="shared" ref="D67:V67" si="25">D33-D34-D35</f>
        <v>604400000</v>
      </c>
      <c r="E67" s="2127">
        <f t="shared" si="25"/>
        <v>867100000</v>
      </c>
      <c r="F67" s="2127">
        <f t="shared" si="25"/>
        <v>935500000</v>
      </c>
      <c r="G67" s="2127">
        <f t="shared" si="25"/>
        <v>817800000</v>
      </c>
      <c r="H67" s="2127">
        <f t="shared" si="25"/>
        <v>1259000000</v>
      </c>
      <c r="I67" s="2127">
        <f t="shared" si="25"/>
        <v>1409700000</v>
      </c>
      <c r="J67" s="2127">
        <f t="shared" si="25"/>
        <v>1436600000</v>
      </c>
      <c r="K67" s="2127">
        <f>K33-K34-K35</f>
        <v>1732700000</v>
      </c>
      <c r="L67" s="2126">
        <f t="shared" si="25"/>
        <v>0</v>
      </c>
      <c r="M67" s="2126">
        <f t="shared" si="25"/>
        <v>0</v>
      </c>
      <c r="N67" s="2126">
        <f t="shared" si="25"/>
        <v>0</v>
      </c>
      <c r="O67" s="2126">
        <f t="shared" si="25"/>
        <v>0</v>
      </c>
      <c r="P67" s="2126">
        <f t="shared" si="25"/>
        <v>0</v>
      </c>
      <c r="Q67" s="2126">
        <f t="shared" si="25"/>
        <v>0</v>
      </c>
      <c r="R67" s="2126">
        <f t="shared" si="25"/>
        <v>0</v>
      </c>
      <c r="S67" s="2126">
        <f t="shared" si="25"/>
        <v>0</v>
      </c>
      <c r="T67" s="2126">
        <f t="shared" si="25"/>
        <v>0</v>
      </c>
      <c r="U67" s="2126">
        <f t="shared" si="25"/>
        <v>1000000</v>
      </c>
      <c r="V67" s="2126">
        <f t="shared" si="25"/>
        <v>1000000</v>
      </c>
      <c r="W67" s="2138">
        <f>W33-W34-W35</f>
        <v>-1000000</v>
      </c>
      <c r="X67" s="2138">
        <f>X33-X34-X35</f>
        <v>0</v>
      </c>
      <c r="Y67" s="2126">
        <f t="shared" ref="Y67:Z67" si="26">Y33-Y34-Y35</f>
        <v>-1000000</v>
      </c>
      <c r="Z67" s="2126">
        <f t="shared" si="26"/>
        <v>-1000000</v>
      </c>
    </row>
    <row r="68" spans="2:26">
      <c r="B68" s="2102" t="s">
        <v>457</v>
      </c>
      <c r="D68" s="2126">
        <f t="shared" ref="D68:L68" si="27">D48-D51-D56</f>
        <v>0</v>
      </c>
      <c r="E68" s="2126">
        <f t="shared" si="27"/>
        <v>0</v>
      </c>
      <c r="F68" s="2126">
        <f t="shared" si="27"/>
        <v>0</v>
      </c>
      <c r="G68" s="2126">
        <f t="shared" si="27"/>
        <v>0</v>
      </c>
      <c r="H68" s="2126">
        <f t="shared" si="27"/>
        <v>-100000</v>
      </c>
      <c r="I68" s="2126">
        <f t="shared" si="27"/>
        <v>100000</v>
      </c>
      <c r="J68" s="2126">
        <f t="shared" si="27"/>
        <v>0</v>
      </c>
      <c r="K68" s="2126">
        <f>K48-K51-K56</f>
        <v>0</v>
      </c>
      <c r="L68" s="2126">
        <f t="shared" si="27"/>
        <v>0</v>
      </c>
      <c r="M68" s="2126">
        <f>M48-M50-M55</f>
        <v>0</v>
      </c>
      <c r="N68" s="2126">
        <f t="shared" ref="N68:X68" si="28">N48-N50-N55</f>
        <v>0</v>
      </c>
      <c r="O68" s="2126">
        <f t="shared" si="28"/>
        <v>0</v>
      </c>
      <c r="P68" s="2126">
        <f t="shared" si="28"/>
        <v>0</v>
      </c>
      <c r="Q68" s="2126">
        <f t="shared" si="28"/>
        <v>0</v>
      </c>
      <c r="R68" s="2126">
        <f t="shared" si="28"/>
        <v>0</v>
      </c>
      <c r="S68" s="2126">
        <f t="shared" si="28"/>
        <v>0</v>
      </c>
      <c r="T68" s="2145">
        <f t="shared" si="28"/>
        <v>0</v>
      </c>
      <c r="U68" s="2145">
        <f t="shared" si="28"/>
        <v>0</v>
      </c>
      <c r="V68" s="2145">
        <f t="shared" si="28"/>
        <v>0</v>
      </c>
      <c r="W68" s="2145">
        <f t="shared" si="28"/>
        <v>0</v>
      </c>
      <c r="X68" s="2145">
        <f t="shared" si="28"/>
        <v>0</v>
      </c>
      <c r="Y68" s="2145">
        <f t="shared" ref="Y68:Z68" si="29">Y48-Y50-Y55</f>
        <v>0</v>
      </c>
      <c r="Z68" s="2145">
        <f t="shared" si="29"/>
        <v>0</v>
      </c>
    </row>
    <row r="69" spans="2:26">
      <c r="B69" s="2102" t="s">
        <v>6176</v>
      </c>
      <c r="D69" s="2127">
        <f>D51-D52-D53</f>
        <v>166500000</v>
      </c>
      <c r="E69" s="2127">
        <f t="shared" ref="E69:X69" si="30">E51-E52-E53</f>
        <v>231600000</v>
      </c>
      <c r="F69" s="2127">
        <f t="shared" si="30"/>
        <v>373900000</v>
      </c>
      <c r="G69" s="2127">
        <f t="shared" si="30"/>
        <v>328600000</v>
      </c>
      <c r="H69" s="2127">
        <f t="shared" si="30"/>
        <v>460300000</v>
      </c>
      <c r="I69" s="2127">
        <f t="shared" si="30"/>
        <v>47100000</v>
      </c>
      <c r="J69" s="2127">
        <f t="shared" si="30"/>
        <v>-867900000</v>
      </c>
      <c r="K69" s="2127">
        <f t="shared" si="30"/>
        <v>-1446200000</v>
      </c>
      <c r="L69" s="2126">
        <f t="shared" si="30"/>
        <v>0</v>
      </c>
      <c r="M69" s="2126">
        <f>M51-M52-M53</f>
        <v>0</v>
      </c>
      <c r="N69" s="2127">
        <f>N51-N52-N53</f>
        <v>2037000000</v>
      </c>
      <c r="O69" s="2127">
        <f t="shared" si="30"/>
        <v>676000000</v>
      </c>
      <c r="P69" s="2127">
        <f t="shared" si="30"/>
        <v>-643000000</v>
      </c>
      <c r="Q69" s="2145">
        <f t="shared" si="30"/>
        <v>350000000</v>
      </c>
      <c r="R69" s="2145">
        <f t="shared" si="30"/>
        <v>355000000</v>
      </c>
      <c r="S69" s="2145">
        <f t="shared" si="30"/>
        <v>180000000</v>
      </c>
      <c r="T69" s="2145">
        <f t="shared" si="30"/>
        <v>1730000000</v>
      </c>
      <c r="U69" s="2145">
        <f t="shared" si="30"/>
        <v>860000000</v>
      </c>
      <c r="V69" s="2145">
        <f t="shared" si="30"/>
        <v>2716000000</v>
      </c>
      <c r="W69" s="2145">
        <f t="shared" si="30"/>
        <v>2225000000</v>
      </c>
      <c r="X69" s="2145">
        <f t="shared" si="30"/>
        <v>630000000</v>
      </c>
      <c r="Y69" s="2145">
        <f t="shared" ref="Y69:Z69" si="31">Y51-Y52-Y53</f>
        <v>385000000</v>
      </c>
      <c r="Z69" s="2145">
        <f t="shared" si="31"/>
        <v>689000000</v>
      </c>
    </row>
    <row r="70" spans="2:26">
      <c r="B70" s="2102" t="s">
        <v>6177</v>
      </c>
      <c r="Q70" s="2126">
        <f>Q9-Q10-Q11</f>
        <v>0</v>
      </c>
      <c r="R70" s="2126">
        <f t="shared" ref="R70:Z70" si="32">R9-R10-R11</f>
        <v>1000000</v>
      </c>
      <c r="S70" s="2126">
        <f t="shared" si="32"/>
        <v>1000000</v>
      </c>
      <c r="T70" s="2126">
        <f t="shared" si="32"/>
        <v>0</v>
      </c>
      <c r="U70" s="2126">
        <f t="shared" si="32"/>
        <v>0</v>
      </c>
      <c r="V70" s="2126">
        <f t="shared" si="32"/>
        <v>-1000000</v>
      </c>
      <c r="W70" s="2126">
        <f t="shared" si="32"/>
        <v>1000000</v>
      </c>
      <c r="X70" s="2126">
        <f t="shared" si="32"/>
        <v>-1000000</v>
      </c>
      <c r="Y70" s="2126">
        <f t="shared" si="32"/>
        <v>0</v>
      </c>
      <c r="Z70" s="2126">
        <f t="shared" si="32"/>
        <v>1000000</v>
      </c>
    </row>
    <row r="71" spans="2:26" ht="15.75" thickBot="1">
      <c r="W71" s="2138"/>
      <c r="X71" s="2138"/>
      <c r="Y71" s="2138"/>
      <c r="Z71" s="2138"/>
    </row>
    <row r="72" spans="2:26" ht="15.75" thickBot="1">
      <c r="B72" s="2102" t="s">
        <v>623</v>
      </c>
      <c r="D72" s="2128">
        <v>11662000000</v>
      </c>
      <c r="E72" s="2128">
        <v>12904000000</v>
      </c>
      <c r="F72" s="2128">
        <v>14025000000</v>
      </c>
      <c r="G72" s="2128">
        <v>15636000000</v>
      </c>
      <c r="H72" s="2128">
        <v>16433000000</v>
      </c>
      <c r="I72" s="2128">
        <v>19962000000</v>
      </c>
      <c r="J72" s="2128">
        <v>21515000000</v>
      </c>
      <c r="K72" s="2128">
        <v>24947000000</v>
      </c>
      <c r="L72" s="2128">
        <v>26788000000</v>
      </c>
      <c r="M72" s="2128">
        <v>28491000000</v>
      </c>
      <c r="N72" s="2102">
        <v>37111000000</v>
      </c>
      <c r="O72" s="2102">
        <v>41263000000</v>
      </c>
      <c r="P72" s="2102">
        <v>45011000000</v>
      </c>
      <c r="Q72" s="2102">
        <v>48760000000</v>
      </c>
      <c r="R72" s="2102">
        <v>52088000000</v>
      </c>
      <c r="S72" s="2102">
        <v>55022000000</v>
      </c>
      <c r="T72" s="2102">
        <v>58135000000</v>
      </c>
      <c r="U72" s="2102">
        <v>61417000000</v>
      </c>
      <c r="V72" s="2102">
        <v>64846000000</v>
      </c>
      <c r="W72" s="2138">
        <v>68437000000</v>
      </c>
      <c r="X72" s="2138">
        <v>71526000000</v>
      </c>
      <c r="Y72" s="2138"/>
      <c r="Z72" s="2138"/>
    </row>
    <row r="73" spans="2:26">
      <c r="B73" s="2102" t="s">
        <v>151</v>
      </c>
      <c r="D73" s="2102">
        <f>(D6/D72)*100</f>
        <v>24.226547761961928</v>
      </c>
      <c r="E73" s="2102">
        <f t="shared" ref="E73:M73" si="33">(E6/E72)*100</f>
        <v>24.110353378797271</v>
      </c>
      <c r="F73" s="2102">
        <f t="shared" si="33"/>
        <v>24.427094474153296</v>
      </c>
      <c r="G73" s="2102">
        <f t="shared" si="33"/>
        <v>24.996162701458175</v>
      </c>
      <c r="H73" s="2102">
        <f t="shared" si="33"/>
        <v>29.463883648755552</v>
      </c>
      <c r="I73" s="2102">
        <f t="shared" si="33"/>
        <v>27.54784089770564</v>
      </c>
      <c r="J73" s="2102">
        <f t="shared" si="33"/>
        <v>37.279107599349295</v>
      </c>
      <c r="K73" s="2102">
        <f t="shared" si="33"/>
        <v>33.435282799535017</v>
      </c>
      <c r="L73" s="2102">
        <f t="shared" si="33"/>
        <v>35.937733313423919</v>
      </c>
      <c r="M73" s="2102">
        <f t="shared" si="33"/>
        <v>32.378645888175214</v>
      </c>
      <c r="N73" s="2102">
        <f t="shared" ref="N73:X73" si="34">(N6/N72)*100</f>
        <v>18.638678558917839</v>
      </c>
      <c r="O73" s="2102">
        <f t="shared" si="34"/>
        <v>18.144584736931392</v>
      </c>
      <c r="P73" s="2102">
        <f t="shared" si="34"/>
        <v>27.055608629001799</v>
      </c>
      <c r="Q73" s="2102">
        <f t="shared" si="34"/>
        <v>26.476620180475802</v>
      </c>
      <c r="R73" s="2102">
        <f t="shared" si="34"/>
        <v>28.353939487021961</v>
      </c>
      <c r="S73" s="2102">
        <f t="shared" si="34"/>
        <v>26.573007160772054</v>
      </c>
      <c r="T73" s="2102">
        <f t="shared" si="34"/>
        <v>23.880622688569709</v>
      </c>
      <c r="U73" s="2102">
        <f t="shared" si="34"/>
        <v>26.0155982871192</v>
      </c>
      <c r="V73" s="2102">
        <f t="shared" si="34"/>
        <v>25.609906547820994</v>
      </c>
      <c r="W73" s="2138">
        <f t="shared" si="34"/>
        <v>25.793065154813917</v>
      </c>
      <c r="X73" s="2138">
        <f t="shared" si="34"/>
        <v>26.502250929731847</v>
      </c>
      <c r="Y73" s="2138"/>
      <c r="Z73" s="2138"/>
    </row>
    <row r="74" spans="2:26">
      <c r="B74" s="2102" t="s">
        <v>152</v>
      </c>
      <c r="D74" s="2102">
        <f>(D22/D72)*100</f>
        <v>25.454467501286228</v>
      </c>
      <c r="E74" s="2102">
        <f t="shared" ref="E74:M74" si="35">(E22/E72)*100</f>
        <v>26.777743335399879</v>
      </c>
      <c r="F74" s="2102">
        <f t="shared" si="35"/>
        <v>28.650267379679146</v>
      </c>
      <c r="G74" s="2102">
        <f t="shared" si="35"/>
        <v>27.590176515732921</v>
      </c>
      <c r="H74" s="2102">
        <f t="shared" si="35"/>
        <v>33.816101746485728</v>
      </c>
      <c r="I74" s="2102">
        <f t="shared" si="35"/>
        <v>29.185452359483016</v>
      </c>
      <c r="J74" s="2102">
        <f t="shared" si="35"/>
        <v>28.435510109226119</v>
      </c>
      <c r="K74" s="2102">
        <f t="shared" si="35"/>
        <v>28.031426624443824</v>
      </c>
      <c r="L74" s="2102">
        <f t="shared" si="35"/>
        <v>36.53874869344483</v>
      </c>
      <c r="M74" s="2102">
        <f t="shared" si="35"/>
        <v>38.113790319750095</v>
      </c>
      <c r="N74" s="2102">
        <f t="shared" ref="N74:X74" si="36">(N22/N72)*100</f>
        <v>26.886906847026488</v>
      </c>
      <c r="O74" s="2102">
        <f t="shared" si="36"/>
        <v>21.45748006688801</v>
      </c>
      <c r="P74" s="2102">
        <f t="shared" si="36"/>
        <v>23.943036146719692</v>
      </c>
      <c r="Q74" s="2102">
        <f t="shared" si="36"/>
        <v>25.8039376538146</v>
      </c>
      <c r="R74" s="2102">
        <f t="shared" si="36"/>
        <v>29.381047458147751</v>
      </c>
      <c r="S74" s="2102">
        <f t="shared" si="36"/>
        <v>30.758605648649628</v>
      </c>
      <c r="T74" s="2102">
        <f t="shared" si="36"/>
        <v>34.117141137008687</v>
      </c>
      <c r="U74" s="2102">
        <f t="shared" si="36"/>
        <v>36.900206783138216</v>
      </c>
      <c r="V74" s="2102">
        <f t="shared" si="36"/>
        <v>37.211238935323685</v>
      </c>
      <c r="W74" s="2138">
        <f t="shared" si="36"/>
        <v>38.052515452167682</v>
      </c>
      <c r="X74" s="2138">
        <f t="shared" si="36"/>
        <v>39.026368034001621</v>
      </c>
      <c r="Y74" s="2138"/>
      <c r="Z74" s="2138"/>
    </row>
    <row r="77" spans="2:26" ht="13.5" customHeight="1">
      <c r="B77" s="2102" t="s">
        <v>153</v>
      </c>
      <c r="D77" s="2102" t="b">
        <f>IF(D36&lt;0, (D36/D21)*100)</f>
        <v>0</v>
      </c>
      <c r="E77" s="2102" t="b">
        <f t="shared" ref="E77:V77" si="37">IF(E36&lt;0, (E36/E21)*100)</f>
        <v>0</v>
      </c>
      <c r="F77" s="2102" t="b">
        <f t="shared" si="37"/>
        <v>0</v>
      </c>
      <c r="G77" s="2102" t="b">
        <f t="shared" si="37"/>
        <v>0</v>
      </c>
      <c r="H77" s="2102" t="b">
        <f t="shared" si="37"/>
        <v>0</v>
      </c>
      <c r="I77" s="2102" t="b">
        <f t="shared" si="37"/>
        <v>0</v>
      </c>
      <c r="J77" s="2102" t="b">
        <f t="shared" si="37"/>
        <v>0</v>
      </c>
      <c r="K77" s="2102" t="b">
        <f t="shared" si="37"/>
        <v>0</v>
      </c>
      <c r="L77" s="2102" t="b">
        <f t="shared" si="37"/>
        <v>0</v>
      </c>
      <c r="M77" s="2102" t="b">
        <f t="shared" si="37"/>
        <v>0</v>
      </c>
      <c r="N77" s="2102" t="b">
        <f t="shared" si="37"/>
        <v>0</v>
      </c>
      <c r="O77" s="2102" t="b">
        <f t="shared" si="37"/>
        <v>0</v>
      </c>
      <c r="P77" s="2102" t="b">
        <f t="shared" si="37"/>
        <v>0</v>
      </c>
      <c r="Q77" s="2102" t="b">
        <f t="shared" si="37"/>
        <v>0</v>
      </c>
      <c r="R77" s="2102" t="b">
        <f t="shared" si="37"/>
        <v>0</v>
      </c>
      <c r="S77" s="2102" t="b">
        <f t="shared" si="37"/>
        <v>0</v>
      </c>
      <c r="T77" s="2102" t="b">
        <f t="shared" si="37"/>
        <v>0</v>
      </c>
      <c r="U77" s="2102" t="b">
        <f t="shared" si="37"/>
        <v>0</v>
      </c>
      <c r="V77" s="2102" t="b">
        <f t="shared" si="37"/>
        <v>0</v>
      </c>
      <c r="W77" s="2102" t="b">
        <f>IF(W36&lt;0, (W36/W21)*100)</f>
        <v>0</v>
      </c>
      <c r="X77" s="2102" t="b">
        <f>IF(X36&lt;0, (X36/X21)*100)</f>
        <v>0</v>
      </c>
    </row>
    <row r="79" spans="2:26">
      <c r="D79" s="2126">
        <f>D6+D48-D22</f>
        <v>-200000</v>
      </c>
      <c r="E79" s="2126">
        <f t="shared" ref="E79:V79" si="38">E6+E48-E22</f>
        <v>0</v>
      </c>
      <c r="F79" s="2126">
        <f t="shared" si="38"/>
        <v>0</v>
      </c>
      <c r="G79" s="2126">
        <f t="shared" si="38"/>
        <v>0</v>
      </c>
      <c r="H79" s="2126">
        <f t="shared" si="38"/>
        <v>0</v>
      </c>
      <c r="I79" s="2126">
        <f t="shared" si="38"/>
        <v>-68200000</v>
      </c>
      <c r="J79" s="2126">
        <f t="shared" si="38"/>
        <v>-55200000</v>
      </c>
      <c r="K79" s="2126">
        <f t="shared" si="38"/>
        <v>-855000000</v>
      </c>
      <c r="L79" s="2126">
        <f t="shared" si="38"/>
        <v>-119000000</v>
      </c>
      <c r="M79" s="2126">
        <f t="shared" si="38"/>
        <v>-43000000</v>
      </c>
      <c r="N79" s="2126">
        <f t="shared" si="38"/>
        <v>-2564000000</v>
      </c>
      <c r="O79" s="2126">
        <f t="shared" si="38"/>
        <v>-1334000000</v>
      </c>
      <c r="P79" s="2126">
        <f t="shared" si="38"/>
        <v>1828000000</v>
      </c>
      <c r="Q79" s="2126">
        <f t="shared" si="38"/>
        <v>-506000000</v>
      </c>
      <c r="R79" s="2126">
        <f t="shared" si="38"/>
        <v>-399000000</v>
      </c>
      <c r="S79" s="2126">
        <f t="shared" si="38"/>
        <v>-1185000000</v>
      </c>
      <c r="T79" s="2126">
        <f t="shared" si="38"/>
        <v>-2294000000</v>
      </c>
      <c r="U79" s="2126">
        <f t="shared" si="38"/>
        <v>-3029000000</v>
      </c>
      <c r="V79" s="2126">
        <f t="shared" si="38"/>
        <v>-3403000000</v>
      </c>
      <c r="W79" s="2126">
        <f>W6+W48-W22</f>
        <v>-5269000000</v>
      </c>
      <c r="X79" s="2126">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6178</v>
      </c>
      <c r="B1" s="82" t="s">
        <v>6179</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row>
    <row r="2" spans="1:51">
      <c r="B2" s="30" t="s">
        <v>6180</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row>
    <row r="5" spans="1:51">
      <c r="A5" t="s">
        <v>28</v>
      </c>
      <c r="B5" s="34" t="s">
        <v>29</v>
      </c>
      <c r="C5" s="34"/>
      <c r="D5" s="28" t="s">
        <v>30</v>
      </c>
      <c r="E5" s="28" t="s">
        <v>30</v>
      </c>
      <c r="F5" s="28" t="s">
        <v>30</v>
      </c>
      <c r="G5" s="28" t="s">
        <v>30</v>
      </c>
      <c r="H5" s="28" t="s">
        <v>30</v>
      </c>
      <c r="I5" s="27" t="s">
        <v>31</v>
      </c>
      <c r="J5" s="27" t="s">
        <v>30</v>
      </c>
      <c r="K5" s="27" t="s">
        <v>30</v>
      </c>
      <c r="L5" s="27" t="s">
        <v>2555</v>
      </c>
      <c r="M5" s="28" t="s">
        <v>32</v>
      </c>
      <c r="N5" s="28" t="s">
        <v>32</v>
      </c>
      <c r="O5" s="28" t="s">
        <v>32</v>
      </c>
      <c r="P5" s="28" t="s">
        <v>32</v>
      </c>
      <c r="Q5" s="28" t="s">
        <v>32</v>
      </c>
      <c r="R5" s="28" t="s">
        <v>32</v>
      </c>
      <c r="S5" s="28" t="s">
        <v>32</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row>
    <row r="7" spans="1:51">
      <c r="A7" t="s">
        <v>36</v>
      </c>
      <c r="B7" t="s">
        <v>36</v>
      </c>
      <c r="C7" s="345" t="s">
        <v>38</v>
      </c>
      <c r="E7" s="178">
        <v>306000000000</v>
      </c>
      <c r="F7" s="178">
        <v>295800000000</v>
      </c>
      <c r="G7" s="178">
        <v>321600000000</v>
      </c>
      <c r="H7" s="319">
        <f t="shared" ref="H7:N7" si="1">H8+H9+H17</f>
        <v>345300000000</v>
      </c>
      <c r="I7" s="319">
        <f t="shared" si="1"/>
        <v>360000000000</v>
      </c>
      <c r="J7" s="319">
        <f t="shared" si="1"/>
        <v>435700000000</v>
      </c>
      <c r="K7" s="319">
        <f t="shared" si="1"/>
        <v>459500000000</v>
      </c>
      <c r="L7" s="319">
        <f t="shared" si="1"/>
        <v>491500000000</v>
      </c>
      <c r="M7" s="319">
        <f t="shared" si="1"/>
        <v>533300000000</v>
      </c>
      <c r="N7" s="319">
        <f t="shared" si="1"/>
        <v>592800000000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72" t="s">
        <v>6181</v>
      </c>
      <c r="B9" s="72" t="s">
        <v>374</v>
      </c>
      <c r="C9" s="58" t="s">
        <v>41</v>
      </c>
      <c r="D9" s="28"/>
      <c r="E9" s="125">
        <f t="shared" ref="E9:N9" si="2">E10+E14</f>
        <v>123300000000</v>
      </c>
      <c r="F9" s="125">
        <f t="shared" si="2"/>
        <v>154400000000</v>
      </c>
      <c r="G9" s="125">
        <f t="shared" si="2"/>
        <v>156100000000</v>
      </c>
      <c r="H9" s="321">
        <f t="shared" si="2"/>
        <v>202700000000</v>
      </c>
      <c r="I9" s="321">
        <f t="shared" si="2"/>
        <v>252000000000</v>
      </c>
      <c r="J9" s="321">
        <f t="shared" si="2"/>
        <v>310600000000</v>
      </c>
      <c r="K9" s="321">
        <f t="shared" si="2"/>
        <v>359400000000</v>
      </c>
      <c r="L9" s="321">
        <f t="shared" si="2"/>
        <v>359800000000</v>
      </c>
      <c r="M9" s="321">
        <f t="shared" si="2"/>
        <v>421800000000</v>
      </c>
      <c r="N9" s="321">
        <f t="shared" si="2"/>
        <v>443600000000</v>
      </c>
      <c r="O9" s="28"/>
      <c r="P9" s="28"/>
      <c r="Q9" s="28"/>
      <c r="R9" s="28"/>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3" t="s">
        <v>1372</v>
      </c>
      <c r="B10" s="13" t="s">
        <v>1372</v>
      </c>
      <c r="C10" s="34" t="s">
        <v>6182</v>
      </c>
      <c r="D10" s="28"/>
      <c r="E10" s="178">
        <v>92100000000</v>
      </c>
      <c r="F10" s="178">
        <v>116000000000</v>
      </c>
      <c r="G10" s="178">
        <v>117600000000</v>
      </c>
      <c r="H10" s="298">
        <v>145400000000</v>
      </c>
      <c r="I10" s="125">
        <v>160300000000</v>
      </c>
      <c r="J10" s="125">
        <v>198600000000</v>
      </c>
      <c r="K10" s="125">
        <v>221400000000</v>
      </c>
      <c r="L10" s="125">
        <v>258000000000</v>
      </c>
      <c r="M10" s="125">
        <v>296200000000</v>
      </c>
      <c r="N10" s="298">
        <v>319200000000</v>
      </c>
      <c r="O10" s="28"/>
      <c r="P10" s="28"/>
      <c r="Q10" s="28"/>
      <c r="R10" s="28"/>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41" t="s">
        <v>6183</v>
      </c>
      <c r="B11" s="41" t="s">
        <v>6184</v>
      </c>
      <c r="C11" s="34" t="s">
        <v>319</v>
      </c>
      <c r="D11" s="28"/>
      <c r="E11" s="178">
        <v>34299999999.999996</v>
      </c>
      <c r="F11" s="178">
        <v>42100000000</v>
      </c>
      <c r="G11" s="178">
        <v>38700000000</v>
      </c>
      <c r="H11" s="298">
        <v>59100000000</v>
      </c>
      <c r="I11" s="125">
        <v>59300000000</v>
      </c>
      <c r="J11" s="125">
        <v>65000000000</v>
      </c>
      <c r="K11" s="125">
        <v>69800000000</v>
      </c>
      <c r="L11" s="125">
        <v>88600000000</v>
      </c>
      <c r="M11" s="125">
        <v>105200000000</v>
      </c>
      <c r="N11" s="298">
        <v>116800000000</v>
      </c>
      <c r="O11" s="28"/>
      <c r="P11" s="28"/>
      <c r="Q11" s="28"/>
      <c r="R11" s="28"/>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41" t="s">
        <v>6185</v>
      </c>
      <c r="B12" s="41" t="s">
        <v>4766</v>
      </c>
      <c r="C12" s="34" t="s">
        <v>319</v>
      </c>
      <c r="D12" s="28"/>
      <c r="E12" s="178">
        <v>20400000000</v>
      </c>
      <c r="F12" s="178">
        <v>25300000000</v>
      </c>
      <c r="G12" s="178">
        <v>28800000000</v>
      </c>
      <c r="H12" s="298">
        <v>31300000000</v>
      </c>
      <c r="I12" s="125">
        <v>30700000000</v>
      </c>
      <c r="J12" s="125">
        <v>32900000000</v>
      </c>
      <c r="K12" s="125">
        <v>33400000000</v>
      </c>
      <c r="L12" s="125">
        <v>33100000000</v>
      </c>
      <c r="M12" s="125">
        <v>37700000000</v>
      </c>
      <c r="N12" s="298">
        <v>40700000000</v>
      </c>
      <c r="O12" s="28"/>
      <c r="P12" s="28"/>
      <c r="Q12" s="28"/>
      <c r="R12" s="28"/>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41" t="s">
        <v>6186</v>
      </c>
      <c r="B13" s="41" t="s">
        <v>6187</v>
      </c>
      <c r="C13" s="34" t="s">
        <v>319</v>
      </c>
      <c r="D13" s="28"/>
      <c r="E13" s="178">
        <v>37300000000</v>
      </c>
      <c r="F13" s="178">
        <v>48500000000</v>
      </c>
      <c r="G13" s="178">
        <v>50100000000</v>
      </c>
      <c r="H13" s="298">
        <v>55000000000</v>
      </c>
      <c r="I13" s="125">
        <v>70300000000</v>
      </c>
      <c r="J13" s="125">
        <v>100700000000</v>
      </c>
      <c r="K13" s="125">
        <v>118200000000</v>
      </c>
      <c r="L13" s="125">
        <v>136300000000.00002</v>
      </c>
      <c r="M13" s="125">
        <v>153200000000</v>
      </c>
      <c r="N13" s="298">
        <v>161600000000</v>
      </c>
      <c r="O13" s="28"/>
      <c r="P13" s="28"/>
      <c r="Q13" s="28"/>
      <c r="R13" s="28"/>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3" t="s">
        <v>6035</v>
      </c>
      <c r="B14" s="13" t="s">
        <v>376</v>
      </c>
      <c r="C14" s="34" t="s">
        <v>6182</v>
      </c>
      <c r="D14" s="28"/>
      <c r="E14" s="178">
        <v>31200000000</v>
      </c>
      <c r="F14" s="178">
        <v>38400000000</v>
      </c>
      <c r="G14" s="178">
        <v>38500000000</v>
      </c>
      <c r="H14" s="321">
        <f t="shared" ref="H14:N14" si="3">H15+H16</f>
        <v>57300000000</v>
      </c>
      <c r="I14" s="321">
        <f t="shared" si="3"/>
        <v>91700000000</v>
      </c>
      <c r="J14" s="321">
        <f t="shared" si="3"/>
        <v>112000000000</v>
      </c>
      <c r="K14" s="321">
        <f t="shared" si="3"/>
        <v>138000000000</v>
      </c>
      <c r="L14" s="321">
        <f t="shared" si="3"/>
        <v>101800000000</v>
      </c>
      <c r="M14" s="321">
        <f t="shared" si="3"/>
        <v>125600000000</v>
      </c>
      <c r="N14" s="321">
        <f t="shared" si="3"/>
        <v>124400000000</v>
      </c>
      <c r="O14" s="28"/>
      <c r="P14" s="28"/>
      <c r="Q14" s="28"/>
      <c r="R14" s="28"/>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41" t="s">
        <v>6188</v>
      </c>
      <c r="B15" s="41" t="s">
        <v>6189</v>
      </c>
      <c r="C15" s="34" t="s">
        <v>6190</v>
      </c>
      <c r="D15" s="28"/>
      <c r="E15" s="178">
        <v>27000000000</v>
      </c>
      <c r="F15" s="178">
        <v>33900000000</v>
      </c>
      <c r="G15" s="178">
        <v>33200000000.000004</v>
      </c>
      <c r="H15" s="298">
        <v>48000000000</v>
      </c>
      <c r="I15" s="125">
        <v>75900000000</v>
      </c>
      <c r="J15" s="125">
        <v>103100000000</v>
      </c>
      <c r="K15" s="125">
        <v>124600000000</v>
      </c>
      <c r="L15" s="125">
        <v>88500000000</v>
      </c>
      <c r="M15" s="125">
        <v>109300000000</v>
      </c>
      <c r="N15" s="298">
        <v>108200000000</v>
      </c>
      <c r="O15" s="28"/>
      <c r="P15" s="28"/>
      <c r="Q15" s="28"/>
      <c r="R15" s="28"/>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41" t="s">
        <v>6191</v>
      </c>
      <c r="B16" s="41" t="s">
        <v>6191</v>
      </c>
      <c r="C16" s="34" t="s">
        <v>6190</v>
      </c>
      <c r="D16" s="28"/>
      <c r="E16" s="178">
        <v>4200000000</v>
      </c>
      <c r="F16" s="178">
        <v>4500000000</v>
      </c>
      <c r="G16" s="178">
        <v>5400000000</v>
      </c>
      <c r="H16" s="298">
        <v>9300000000</v>
      </c>
      <c r="I16" s="125">
        <v>15800000000</v>
      </c>
      <c r="J16" s="125">
        <v>8900000000</v>
      </c>
      <c r="K16" s="125">
        <v>13400000000</v>
      </c>
      <c r="L16" s="125">
        <v>13300000000</v>
      </c>
      <c r="M16" s="125">
        <v>16300000000</v>
      </c>
      <c r="N16" s="298">
        <v>16200000000</v>
      </c>
      <c r="O16" s="28"/>
      <c r="P16" s="28"/>
      <c r="Q16" s="28"/>
      <c r="R16" s="28"/>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72" t="s">
        <v>6192</v>
      </c>
      <c r="B17" s="72" t="s">
        <v>6193</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8">
        <v>400000000</v>
      </c>
      <c r="O17" s="28"/>
      <c r="P17" s="28"/>
      <c r="Q17" s="28"/>
      <c r="R17" s="28"/>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72" t="s">
        <v>53</v>
      </c>
      <c r="B18" s="72" t="s">
        <v>53</v>
      </c>
      <c r="C18" s="345"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9" customFormat="1">
      <c r="A19" s="9" t="s">
        <v>198</v>
      </c>
      <c r="B19" s="9" t="s">
        <v>535</v>
      </c>
      <c r="C19" s="9" t="s">
        <v>35</v>
      </c>
      <c r="E19" s="263">
        <v>282700000000</v>
      </c>
      <c r="F19" s="263">
        <v>318400000000</v>
      </c>
      <c r="G19" s="263">
        <v>350600000000</v>
      </c>
      <c r="H19" s="168">
        <v>396900000000</v>
      </c>
      <c r="I19" s="295">
        <v>424500000000</v>
      </c>
      <c r="J19" s="295">
        <v>454900000000</v>
      </c>
      <c r="K19" s="295">
        <v>539299999999.99994</v>
      </c>
      <c r="L19" s="295">
        <v>561300000000</v>
      </c>
      <c r="M19" s="295">
        <v>666400000000</v>
      </c>
      <c r="N19" s="168">
        <v>714600000000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t="s">
        <v>1181</v>
      </c>
      <c r="B20" t="s">
        <v>6194</v>
      </c>
      <c r="C20" s="58" t="s">
        <v>201</v>
      </c>
      <c r="D20" s="28"/>
      <c r="E20" s="178">
        <v>172700000000</v>
      </c>
      <c r="F20" s="178">
        <v>182700000000</v>
      </c>
      <c r="G20" s="178">
        <v>197700000000</v>
      </c>
      <c r="H20" s="298">
        <v>240300000000</v>
      </c>
      <c r="I20" s="125">
        <v>270100000000.00003</v>
      </c>
      <c r="J20" s="125">
        <v>278400000000</v>
      </c>
      <c r="K20" s="125">
        <v>344500000000</v>
      </c>
      <c r="L20" s="125">
        <v>388300000000</v>
      </c>
      <c r="M20" s="125">
        <v>415800000000</v>
      </c>
      <c r="N20" s="298">
        <v>451000000000</v>
      </c>
      <c r="O20" s="28"/>
      <c r="P20" s="28"/>
      <c r="Q20" s="28"/>
      <c r="R20" s="28"/>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3" t="s">
        <v>2402</v>
      </c>
      <c r="B21" s="13" t="s">
        <v>6195</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8">
        <v>157100000000</v>
      </c>
      <c r="O21" s="28"/>
      <c r="P21" s="28"/>
      <c r="Q21" s="28"/>
      <c r="R21" s="28"/>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3" t="s">
        <v>83</v>
      </c>
      <c r="B22" s="13" t="s">
        <v>537</v>
      </c>
      <c r="C22" s="58" t="s">
        <v>204</v>
      </c>
      <c r="D22" s="28"/>
      <c r="E22" s="178">
        <v>16800000000</v>
      </c>
      <c r="F22" s="178">
        <v>17600000000</v>
      </c>
      <c r="G22" s="178">
        <v>19000000000</v>
      </c>
      <c r="H22" s="298">
        <v>19300000000</v>
      </c>
      <c r="I22" s="125">
        <v>21500000000</v>
      </c>
      <c r="J22" s="125">
        <v>22500000000</v>
      </c>
      <c r="K22" s="125">
        <v>24300000000</v>
      </c>
      <c r="L22" s="125">
        <v>27500000000</v>
      </c>
      <c r="M22" s="125">
        <v>26500000000</v>
      </c>
      <c r="N22" s="298">
        <v>29900000000</v>
      </c>
      <c r="O22" s="28"/>
      <c r="P22" s="28"/>
      <c r="Q22" s="28"/>
      <c r="R22" s="28"/>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3" t="s">
        <v>90</v>
      </c>
      <c r="B23" s="13" t="s">
        <v>5562</v>
      </c>
      <c r="C23" s="58" t="s">
        <v>204</v>
      </c>
      <c r="D23" s="28"/>
      <c r="E23" s="178">
        <v>6300000000</v>
      </c>
      <c r="F23" s="178">
        <v>6800000000</v>
      </c>
      <c r="G23" s="178">
        <v>7500000000</v>
      </c>
      <c r="H23" s="298">
        <v>11000000000</v>
      </c>
      <c r="I23" s="125">
        <v>17400000000</v>
      </c>
      <c r="J23" s="125">
        <v>17900000000</v>
      </c>
      <c r="K23" s="125">
        <v>16000000000</v>
      </c>
      <c r="L23" s="125">
        <v>15100000000</v>
      </c>
      <c r="M23" s="125">
        <v>14100000000</v>
      </c>
      <c r="N23" s="298">
        <v>11400000000</v>
      </c>
      <c r="O23" s="28"/>
      <c r="P23" s="28"/>
      <c r="Q23" s="28"/>
      <c r="R23" s="28"/>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3" t="s">
        <v>215</v>
      </c>
      <c r="B24" s="13" t="s">
        <v>215</v>
      </c>
      <c r="C24" s="58" t="s">
        <v>204</v>
      </c>
      <c r="D24" s="28"/>
      <c r="E24" s="178">
        <v>34800000000</v>
      </c>
      <c r="F24" s="178">
        <v>33299999999.999996</v>
      </c>
      <c r="G24" s="178">
        <v>29600000000</v>
      </c>
      <c r="H24" s="298">
        <v>29800000000</v>
      </c>
      <c r="I24" s="125">
        <v>33600000000</v>
      </c>
      <c r="J24" s="125">
        <v>38200000000</v>
      </c>
      <c r="K24" s="125">
        <v>43300000000</v>
      </c>
      <c r="L24" s="125">
        <v>66300000000</v>
      </c>
      <c r="M24" s="125">
        <v>59900000000</v>
      </c>
      <c r="N24" s="298">
        <v>66000000000</v>
      </c>
      <c r="O24" s="28"/>
      <c r="P24" s="28"/>
      <c r="Q24" s="28"/>
      <c r="R24" s="28"/>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41" t="s">
        <v>6196</v>
      </c>
      <c r="B25" s="41" t="s">
        <v>6197</v>
      </c>
      <c r="C25" s="34" t="s">
        <v>218</v>
      </c>
      <c r="D25" s="28"/>
      <c r="E25" s="178">
        <v>32100000000</v>
      </c>
      <c r="F25" s="178">
        <v>31200000000</v>
      </c>
      <c r="G25" s="178">
        <v>27900000000</v>
      </c>
      <c r="H25" s="298">
        <v>27000000000</v>
      </c>
      <c r="I25" s="125">
        <v>29600000000</v>
      </c>
      <c r="J25" s="125">
        <v>33500000000</v>
      </c>
      <c r="K25" s="125">
        <v>39400000000</v>
      </c>
      <c r="L25" s="125">
        <v>33500000000</v>
      </c>
      <c r="M25" s="125">
        <v>35300000000</v>
      </c>
      <c r="N25" s="298">
        <v>38400000000</v>
      </c>
      <c r="O25" s="28"/>
      <c r="P25" s="28"/>
      <c r="Q25" s="28"/>
      <c r="R25" s="28"/>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41" t="s">
        <v>4450</v>
      </c>
      <c r="B26" s="41" t="s">
        <v>2576</v>
      </c>
      <c r="C26" s="34" t="s">
        <v>218</v>
      </c>
      <c r="D26" s="28"/>
      <c r="E26" s="178">
        <v>2800000000</v>
      </c>
      <c r="F26" s="178">
        <v>2000000000</v>
      </c>
      <c r="G26" s="178">
        <v>1700000000</v>
      </c>
      <c r="H26" s="298">
        <v>2800000000</v>
      </c>
      <c r="I26" s="319">
        <f t="shared" ref="I26:N26" si="4">I24-I25</f>
        <v>4000000000</v>
      </c>
      <c r="J26" s="319">
        <f t="shared" si="4"/>
        <v>4700000000</v>
      </c>
      <c r="K26" s="319">
        <f t="shared" si="4"/>
        <v>3900000000</v>
      </c>
      <c r="L26" s="319">
        <f t="shared" si="4"/>
        <v>32800000000</v>
      </c>
      <c r="M26" s="319">
        <f t="shared" si="4"/>
        <v>24600000000</v>
      </c>
      <c r="N26" s="319">
        <f t="shared" si="4"/>
        <v>27600000000</v>
      </c>
      <c r="O26" s="28"/>
      <c r="P26" s="28"/>
      <c r="Q26" s="28"/>
      <c r="R26" s="28"/>
      <c r="S26" s="28"/>
      <c r="T26" s="28"/>
      <c r="U26" s="28"/>
      <c r="V26" s="28"/>
      <c r="W26" s="28"/>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3" t="s">
        <v>389</v>
      </c>
      <c r="B27" s="13" t="s">
        <v>389</v>
      </c>
      <c r="C27" s="58" t="s">
        <v>204</v>
      </c>
      <c r="D27" s="28"/>
      <c r="E27" s="178">
        <v>22200000000</v>
      </c>
      <c r="F27" s="178">
        <v>24300000000</v>
      </c>
      <c r="G27" s="178">
        <v>23400000000</v>
      </c>
      <c r="H27" s="298">
        <v>36000000000</v>
      </c>
      <c r="I27" s="125">
        <v>40500000000</v>
      </c>
      <c r="J27" s="125">
        <v>35800000000</v>
      </c>
      <c r="K27" s="125">
        <v>37700000000</v>
      </c>
      <c r="L27" s="125">
        <v>44600000000</v>
      </c>
      <c r="M27" s="125">
        <v>81400000000</v>
      </c>
      <c r="N27" s="298">
        <v>96700000000</v>
      </c>
      <c r="O27" s="28"/>
      <c r="P27" s="28"/>
      <c r="Q27" s="28"/>
      <c r="R27" s="28"/>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41" t="s">
        <v>6198</v>
      </c>
      <c r="B28" s="41" t="s">
        <v>6199</v>
      </c>
      <c r="C28" s="34" t="s">
        <v>486</v>
      </c>
      <c r="D28" s="28"/>
      <c r="E28" s="178">
        <v>8000000000</v>
      </c>
      <c r="F28" s="178">
        <v>8800000000</v>
      </c>
      <c r="G28" s="178">
        <v>11200000000</v>
      </c>
      <c r="H28" s="298">
        <v>14400000000</v>
      </c>
      <c r="I28" s="125">
        <v>16300000000</v>
      </c>
      <c r="J28" s="125">
        <v>19000000000</v>
      </c>
      <c r="K28" s="125">
        <v>21300000000</v>
      </c>
      <c r="L28" s="125">
        <v>23800000000</v>
      </c>
      <c r="M28" s="125">
        <v>32000000000</v>
      </c>
      <c r="N28" s="298">
        <v>34100000000</v>
      </c>
      <c r="O28" s="28"/>
      <c r="P28" s="28"/>
      <c r="Q28" s="28"/>
      <c r="R28" s="28"/>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41" t="s">
        <v>6200</v>
      </c>
      <c r="B29" s="41" t="s">
        <v>6200</v>
      </c>
      <c r="C29" s="34" t="s">
        <v>486</v>
      </c>
      <c r="D29" s="28"/>
      <c r="E29" s="178">
        <v>14100000000</v>
      </c>
      <c r="F29" s="178">
        <v>15600000000</v>
      </c>
      <c r="G29" s="178">
        <v>12200000000</v>
      </c>
      <c r="H29" s="298">
        <v>21600000000</v>
      </c>
      <c r="I29" s="125">
        <v>24300000000</v>
      </c>
      <c r="J29" s="125">
        <v>16800000000</v>
      </c>
      <c r="K29" s="125">
        <v>16500000000</v>
      </c>
      <c r="L29" s="125">
        <v>20900000000</v>
      </c>
      <c r="M29" s="125">
        <v>36900000000</v>
      </c>
      <c r="N29" s="298">
        <v>37600000000</v>
      </c>
      <c r="O29" s="28"/>
      <c r="P29" s="28"/>
      <c r="Q29" s="28"/>
      <c r="R29" s="28"/>
      <c r="S29" s="28"/>
      <c r="T29" s="28"/>
      <c r="U29" s="28"/>
      <c r="V29" s="28"/>
      <c r="W29" s="28"/>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41" t="s">
        <v>6201</v>
      </c>
      <c r="B30" s="41" t="s">
        <v>6202</v>
      </c>
      <c r="C30" s="34" t="s">
        <v>486</v>
      </c>
      <c r="D30" s="28"/>
      <c r="E30" s="125"/>
      <c r="F30" s="125"/>
      <c r="G30" s="125"/>
      <c r="H30" s="125"/>
      <c r="I30" s="125"/>
      <c r="J30" s="125"/>
      <c r="K30" s="125"/>
      <c r="L30" s="125"/>
      <c r="M30" s="125">
        <v>12500000000</v>
      </c>
      <c r="N30" s="298">
        <v>25000000000</v>
      </c>
      <c r="O30" s="28"/>
      <c r="P30" s="28"/>
      <c r="Q30" s="28"/>
      <c r="R30" s="28"/>
      <c r="S30" s="28"/>
      <c r="T30" s="28"/>
      <c r="U30" s="28"/>
      <c r="V30" s="28"/>
      <c r="W30" s="28"/>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3" t="s">
        <v>1738</v>
      </c>
      <c r="B31" s="13" t="s">
        <v>1738</v>
      </c>
      <c r="C31" s="58" t="s">
        <v>204</v>
      </c>
      <c r="D31" s="28"/>
      <c r="E31" s="178">
        <v>47600000000</v>
      </c>
      <c r="F31" s="178">
        <v>47900000000</v>
      </c>
      <c r="G31" s="178">
        <v>59000000000</v>
      </c>
      <c r="H31" s="298">
        <v>74700000000</v>
      </c>
      <c r="I31" s="125">
        <v>78700000000</v>
      </c>
      <c r="J31" s="125">
        <v>69400000000</v>
      </c>
      <c r="K31" s="125">
        <v>123900000000</v>
      </c>
      <c r="L31" s="125">
        <v>115100000000</v>
      </c>
      <c r="M31" s="125">
        <v>86300000000</v>
      </c>
      <c r="N31" s="298">
        <v>89900000000</v>
      </c>
      <c r="O31" s="28"/>
      <c r="P31" s="28"/>
      <c r="Q31" s="28"/>
      <c r="R31" s="28"/>
      <c r="S31" s="28"/>
      <c r="T31" s="28"/>
      <c r="U31" s="28"/>
      <c r="V31" s="28"/>
      <c r="W31" s="28"/>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t="s">
        <v>6203</v>
      </c>
      <c r="B32" t="s">
        <v>6204</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8">
        <v>263600000000.00003</v>
      </c>
      <c r="O32" s="28"/>
      <c r="P32" s="28"/>
      <c r="Q32" s="28"/>
      <c r="R32" s="28"/>
      <c r="S32" s="28"/>
      <c r="T32" s="28"/>
      <c r="U32" s="28"/>
      <c r="V32" s="28"/>
      <c r="W32" s="28"/>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t="s">
        <v>76</v>
      </c>
      <c r="B33" t="s">
        <v>542</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8">
        <v>-122200000000</v>
      </c>
      <c r="O33" s="28"/>
      <c r="P33" s="28"/>
      <c r="Q33" s="28"/>
      <c r="R33" s="28"/>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s="9" customFormat="1">
      <c r="A34" s="9" t="s">
        <v>592</v>
      </c>
      <c r="B34" s="9" t="s">
        <v>6205</v>
      </c>
      <c r="C34" s="9" t="s">
        <v>35</v>
      </c>
      <c r="E34" s="328">
        <f>E35+E36+E37</f>
        <v>-21400000000</v>
      </c>
      <c r="F34" s="328">
        <f t="shared" ref="F34:N34" si="5">F35+F36+F37</f>
        <v>19500000000</v>
      </c>
      <c r="G34" s="328">
        <f t="shared" si="5"/>
        <v>32700000000</v>
      </c>
      <c r="H34" s="328">
        <f t="shared" si="5"/>
        <v>42600000000</v>
      </c>
      <c r="I34" s="328">
        <f t="shared" si="5"/>
        <v>58400000000</v>
      </c>
      <c r="J34" s="328">
        <f t="shared" si="5"/>
        <v>27500000000</v>
      </c>
      <c r="K34" s="328">
        <f t="shared" si="5"/>
        <v>80300000000</v>
      </c>
      <c r="L34" s="328">
        <f t="shared" si="5"/>
        <v>70100000000</v>
      </c>
      <c r="M34" s="328">
        <f t="shared" si="5"/>
        <v>133300000000</v>
      </c>
      <c r="N34" s="328">
        <f t="shared" si="5"/>
        <v>116100000000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t="s">
        <v>117</v>
      </c>
      <c r="B35" t="s">
        <v>6206</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8">
        <v>18300000000</v>
      </c>
      <c r="O35" s="28"/>
      <c r="P35" s="28"/>
      <c r="Q35" s="28"/>
      <c r="R35" s="28"/>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t="s">
        <v>120</v>
      </c>
      <c r="B36" t="s">
        <v>6207</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8">
        <v>97800000000</v>
      </c>
      <c r="O36" s="28"/>
      <c r="P36" s="28"/>
      <c r="Q36" s="28"/>
      <c r="R36" s="28"/>
      <c r="S36" s="28"/>
      <c r="T36" s="28"/>
      <c r="U36" s="28"/>
      <c r="V36" s="28"/>
      <c r="W36" s="28"/>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t="s">
        <v>2428</v>
      </c>
      <c r="B37" t="s">
        <v>2428</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8">
        <v>0</v>
      </c>
      <c r="O37" s="28"/>
      <c r="P37" s="28"/>
      <c r="Q37" s="28"/>
      <c r="R37" s="28"/>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C38" s="34"/>
      <c r="D38" s="28"/>
      <c r="O38" s="28"/>
      <c r="P38" s="28"/>
      <c r="Q38" s="28"/>
      <c r="R38" s="28"/>
      <c r="S38" s="28"/>
      <c r="T38" s="28"/>
      <c r="U38" s="28"/>
      <c r="V38" s="28"/>
      <c r="W38" s="28"/>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C40" s="34"/>
      <c r="D40" s="28"/>
      <c r="O40" s="28"/>
      <c r="P40" s="28"/>
      <c r="Q40" s="28"/>
      <c r="R40" s="28"/>
      <c r="S40" s="28"/>
      <c r="T40" s="28"/>
      <c r="U40" s="28"/>
      <c r="V40" s="28"/>
      <c r="W40" s="28"/>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B41" t="s">
        <v>1828</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B42" t="s">
        <v>616</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B43" t="s">
        <v>1702</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B44" t="s">
        <v>617</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B45" t="s">
        <v>6208</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B46" t="s">
        <v>535</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6209</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457</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623</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O51" sqref="O5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6210</v>
      </c>
      <c r="B1" s="82" t="s">
        <v>6211</v>
      </c>
      <c r="C1" s="82"/>
      <c r="D1" s="27"/>
      <c r="E1" s="27"/>
      <c r="F1" s="27"/>
      <c r="G1" s="27"/>
      <c r="H1" s="27"/>
      <c r="I1" s="27"/>
      <c r="J1" s="27"/>
      <c r="K1" s="27"/>
      <c r="L1" s="27"/>
      <c r="M1" s="27"/>
      <c r="N1" s="27"/>
      <c r="O1" s="28"/>
      <c r="P1" s="28"/>
      <c r="Q1" s="28"/>
      <c r="R1" s="29"/>
      <c r="S1" s="28"/>
      <c r="T1" s="28"/>
      <c r="U1" s="28"/>
      <c r="V1" s="28"/>
      <c r="W1" s="28"/>
      <c r="X1" s="2"/>
    </row>
    <row r="2" spans="1:49">
      <c r="B2" s="30" t="s">
        <v>6212</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6213</v>
      </c>
      <c r="C6" s="9" t="s">
        <v>35</v>
      </c>
      <c r="D6" s="293">
        <v>245000000</v>
      </c>
      <c r="E6" s="293">
        <v>382000000</v>
      </c>
      <c r="F6" s="294">
        <v>560000000</v>
      </c>
      <c r="G6" s="294">
        <v>824000000</v>
      </c>
      <c r="H6" s="294">
        <v>1104000000</v>
      </c>
      <c r="I6" s="263">
        <v>1446000000</v>
      </c>
      <c r="J6" s="295">
        <v>2190000000</v>
      </c>
      <c r="K6" s="263">
        <v>2871000000</v>
      </c>
      <c r="L6" s="296">
        <v>3895000000</v>
      </c>
      <c r="M6" s="296">
        <v>4829000000</v>
      </c>
      <c r="N6" s="296">
        <v>5722000000</v>
      </c>
      <c r="O6" s="295">
        <v>7483000000</v>
      </c>
      <c r="P6" s="296">
        <v>9175000000</v>
      </c>
      <c r="Q6" s="296">
        <v>10023000000</v>
      </c>
      <c r="R6" s="296">
        <v>12951820000</v>
      </c>
      <c r="S6" s="296">
        <v>14472198000</v>
      </c>
      <c r="T6" s="296">
        <v>15687648000</v>
      </c>
      <c r="U6" s="296">
        <v>17159250000</v>
      </c>
      <c r="V6" s="296">
        <v>20089767000</v>
      </c>
      <c r="W6" s="296">
        <v>22527672000</v>
      </c>
      <c r="X6" s="296">
        <v>24834400000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c r="A7" s="43" t="s">
        <v>370</v>
      </c>
      <c r="B7" s="58" t="s">
        <v>4660</v>
      </c>
      <c r="C7" s="11" t="s">
        <v>38</v>
      </c>
      <c r="D7" s="293">
        <f>D8+D24</f>
        <v>245000000</v>
      </c>
      <c r="E7" s="293">
        <f>E8+E24</f>
        <v>382000000</v>
      </c>
      <c r="F7" s="293">
        <v>552000000</v>
      </c>
      <c r="G7" s="293">
        <v>810000000</v>
      </c>
      <c r="H7" s="293">
        <v>1063000000</v>
      </c>
      <c r="I7" s="178">
        <v>1393000000</v>
      </c>
      <c r="J7" s="125">
        <v>1754000000</v>
      </c>
      <c r="K7" s="178">
        <v>2621000000</v>
      </c>
      <c r="L7" s="210">
        <v>3610000000</v>
      </c>
      <c r="M7" s="210">
        <v>4120000000</v>
      </c>
      <c r="N7" s="210">
        <v>5153000000</v>
      </c>
      <c r="O7" s="125">
        <v>6792000000</v>
      </c>
      <c r="P7" s="210">
        <v>8069000000</v>
      </c>
      <c r="Q7" s="210">
        <v>9223000000</v>
      </c>
      <c r="R7" s="13"/>
      <c r="S7" s="298"/>
      <c r="T7" s="28"/>
      <c r="U7" s="28"/>
      <c r="V7" s="28"/>
      <c r="W7" s="28"/>
      <c r="X7" s="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99" t="s">
        <v>39</v>
      </c>
      <c r="B8" s="297" t="s">
        <v>4545</v>
      </c>
      <c r="C8" s="58" t="s">
        <v>41</v>
      </c>
      <c r="D8" s="293">
        <v>233000000</v>
      </c>
      <c r="E8" s="293">
        <v>353000000</v>
      </c>
      <c r="F8" s="293">
        <v>501000000</v>
      </c>
      <c r="G8" s="293">
        <v>713000000</v>
      </c>
      <c r="H8" s="293">
        <v>934000000</v>
      </c>
      <c r="I8" s="178">
        <v>1196000000</v>
      </c>
      <c r="J8" s="125">
        <v>1533000000</v>
      </c>
      <c r="K8" s="178">
        <v>2274000000</v>
      </c>
      <c r="L8" s="210">
        <v>3289000000</v>
      </c>
      <c r="M8" s="210">
        <v>3635000000</v>
      </c>
      <c r="N8" s="210">
        <v>4436000000</v>
      </c>
      <c r="O8" s="298">
        <v>5833000000</v>
      </c>
      <c r="P8" s="210">
        <v>6878000000</v>
      </c>
      <c r="Q8" s="210">
        <v>7868000000</v>
      </c>
      <c r="R8" s="210"/>
      <c r="S8" s="2604"/>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t="s">
        <v>4755</v>
      </c>
      <c r="B9" s="64" t="s">
        <v>6214</v>
      </c>
      <c r="C9" s="27" t="s">
        <v>552</v>
      </c>
      <c r="D9" s="293">
        <f>D10+D11</f>
        <v>33000000</v>
      </c>
      <c r="E9" s="293">
        <f>E10+E11</f>
        <v>47000000</v>
      </c>
      <c r="F9" s="293">
        <v>60000000</v>
      </c>
      <c r="G9" s="293">
        <v>75000000</v>
      </c>
      <c r="H9" s="293">
        <v>105000000</v>
      </c>
      <c r="I9" s="178">
        <v>151000000</v>
      </c>
      <c r="J9" s="125">
        <v>194000000</v>
      </c>
      <c r="K9" s="178">
        <v>305000000</v>
      </c>
      <c r="L9" s="210">
        <v>453000000</v>
      </c>
      <c r="M9" s="210">
        <v>609000000</v>
      </c>
      <c r="N9" s="210">
        <v>780000000</v>
      </c>
      <c r="O9" s="298">
        <v>987000000</v>
      </c>
      <c r="P9" s="210">
        <v>1217000000</v>
      </c>
      <c r="Q9" s="210">
        <v>1387000000</v>
      </c>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65" t="s">
        <v>630</v>
      </c>
      <c r="B10" s="65" t="s">
        <v>6215</v>
      </c>
      <c r="C10" s="27" t="s">
        <v>1503</v>
      </c>
      <c r="D10" s="293">
        <v>22000000</v>
      </c>
      <c r="E10" s="293">
        <v>33000000</v>
      </c>
      <c r="F10" s="293"/>
      <c r="G10" s="293"/>
      <c r="H10" s="293"/>
      <c r="I10" s="178"/>
      <c r="J10" s="293"/>
      <c r="K10" s="178"/>
      <c r="L10" s="210"/>
      <c r="M10" s="210"/>
      <c r="N10" s="210"/>
      <c r="O10" s="298"/>
      <c r="P10" s="210"/>
      <c r="Q10" s="210"/>
      <c r="R10" s="273"/>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65" t="s">
        <v>6216</v>
      </c>
      <c r="B11" s="65" t="s">
        <v>6217</v>
      </c>
      <c r="C11" s="27" t="s">
        <v>1503</v>
      </c>
      <c r="D11" s="293">
        <v>11000000</v>
      </c>
      <c r="E11" s="293">
        <v>14000000</v>
      </c>
      <c r="F11" s="293"/>
      <c r="G11" s="293"/>
      <c r="H11" s="293"/>
      <c r="I11" s="178"/>
      <c r="J11" s="293"/>
      <c r="K11" s="178"/>
      <c r="L11" s="210"/>
      <c r="M11" s="210"/>
      <c r="N11" s="210"/>
      <c r="O11" s="298"/>
      <c r="P11" s="210"/>
      <c r="Q11" s="210"/>
      <c r="R11" s="273"/>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64" t="s">
        <v>6218</v>
      </c>
      <c r="B12" s="64" t="s">
        <v>6219</v>
      </c>
      <c r="C12" s="27" t="s">
        <v>552</v>
      </c>
      <c r="D12" s="293">
        <v>30000000</v>
      </c>
      <c r="E12" s="293">
        <v>45000000</v>
      </c>
      <c r="F12" s="293">
        <v>65000000</v>
      </c>
      <c r="G12" s="293">
        <v>87000000</v>
      </c>
      <c r="H12" s="293">
        <v>120000000</v>
      </c>
      <c r="I12" s="178">
        <v>154000000</v>
      </c>
      <c r="J12" s="125">
        <v>189000000</v>
      </c>
      <c r="K12" s="178">
        <v>253000000</v>
      </c>
      <c r="L12" s="210">
        <v>346000000</v>
      </c>
      <c r="M12" s="210">
        <v>481000000</v>
      </c>
      <c r="N12" s="210">
        <v>567000000</v>
      </c>
      <c r="O12" s="298">
        <v>741000000</v>
      </c>
      <c r="P12" s="210">
        <v>930000000</v>
      </c>
      <c r="Q12" s="210">
        <v>1063000000</v>
      </c>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64" t="s">
        <v>6220</v>
      </c>
      <c r="B13" s="64" t="s">
        <v>6221</v>
      </c>
      <c r="C13" s="27" t="s">
        <v>552</v>
      </c>
      <c r="D13" s="293">
        <v>11000000</v>
      </c>
      <c r="E13" s="293">
        <v>15000000</v>
      </c>
      <c r="F13" s="293">
        <v>19000000</v>
      </c>
      <c r="G13" s="293">
        <v>28000000</v>
      </c>
      <c r="H13" s="293">
        <v>34000000</v>
      </c>
      <c r="I13" s="178">
        <v>61000000</v>
      </c>
      <c r="J13" s="125">
        <v>77000000</v>
      </c>
      <c r="K13" s="178">
        <v>92000000</v>
      </c>
      <c r="L13" s="210">
        <v>121000000</v>
      </c>
      <c r="M13" s="210">
        <v>143000000</v>
      </c>
      <c r="N13" s="210">
        <v>152000000</v>
      </c>
      <c r="O13" s="298">
        <v>171000000</v>
      </c>
      <c r="P13" s="210">
        <v>206000000</v>
      </c>
      <c r="Q13" s="210">
        <v>236000000</v>
      </c>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64" t="s">
        <v>47</v>
      </c>
      <c r="B14" s="64" t="s">
        <v>3166</v>
      </c>
      <c r="C14" s="27" t="s">
        <v>552</v>
      </c>
      <c r="D14" s="293">
        <f>D15+D16+D17</f>
        <v>131000000</v>
      </c>
      <c r="E14" s="293">
        <f>E15+E16+E17</f>
        <v>192000000</v>
      </c>
      <c r="F14" s="293">
        <v>231000000</v>
      </c>
      <c r="G14" s="293">
        <v>356000000</v>
      </c>
      <c r="H14" s="293">
        <v>482000000</v>
      </c>
      <c r="I14" s="178">
        <v>675000000</v>
      </c>
      <c r="J14" s="125">
        <v>902000000</v>
      </c>
      <c r="K14" s="178">
        <v>1398000000</v>
      </c>
      <c r="L14" s="210">
        <v>2081000000</v>
      </c>
      <c r="M14" s="210">
        <v>2122000000</v>
      </c>
      <c r="N14" s="210">
        <v>2582000000</v>
      </c>
      <c r="O14" s="298">
        <v>3472000000</v>
      </c>
      <c r="P14" s="210">
        <v>4074000000</v>
      </c>
      <c r="Q14" s="210">
        <v>4659000000</v>
      </c>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65" t="s">
        <v>6222</v>
      </c>
      <c r="B15" s="65" t="s">
        <v>6222</v>
      </c>
      <c r="C15" s="27" t="s">
        <v>6223</v>
      </c>
      <c r="D15" s="293">
        <v>59000000</v>
      </c>
      <c r="E15" s="293">
        <v>63000000</v>
      </c>
      <c r="F15" s="293"/>
      <c r="G15" s="293"/>
      <c r="H15" s="293"/>
      <c r="I15" s="178"/>
      <c r="J15" s="293"/>
      <c r="K15" s="178"/>
      <c r="L15" s="210"/>
      <c r="M15" s="210"/>
      <c r="N15" s="210"/>
      <c r="O15" s="298"/>
      <c r="P15" s="210"/>
      <c r="Q15" s="210"/>
      <c r="R15" s="273"/>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64" t="s">
        <v>6224</v>
      </c>
      <c r="B16" s="65" t="s">
        <v>162</v>
      </c>
      <c r="C16" s="27" t="s">
        <v>6223</v>
      </c>
      <c r="D16" s="293">
        <v>46000000</v>
      </c>
      <c r="E16" s="293">
        <v>86000000</v>
      </c>
      <c r="F16" s="293">
        <v>159000000</v>
      </c>
      <c r="G16" s="293">
        <v>248000000</v>
      </c>
      <c r="H16" s="125"/>
      <c r="I16" s="178">
        <v>492000000</v>
      </c>
      <c r="J16" s="125">
        <v>675000000</v>
      </c>
      <c r="K16" s="125"/>
      <c r="L16" s="125"/>
      <c r="M16" s="210">
        <v>1525000000</v>
      </c>
      <c r="N16" s="210">
        <v>1823000000</v>
      </c>
      <c r="O16" s="298">
        <v>2511000000</v>
      </c>
      <c r="P16" s="210">
        <v>2910000000</v>
      </c>
      <c r="Q16" s="210">
        <v>3327000000</v>
      </c>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65" t="s">
        <v>6225</v>
      </c>
      <c r="B17" s="65" t="s">
        <v>6226</v>
      </c>
      <c r="C17" s="27" t="s">
        <v>6223</v>
      </c>
      <c r="D17" s="293">
        <f>D18+D19</f>
        <v>26000000</v>
      </c>
      <c r="E17" s="293">
        <f>E18+E19</f>
        <v>43000000</v>
      </c>
      <c r="F17" s="293">
        <v>72000000</v>
      </c>
      <c r="G17" s="293">
        <v>108000000</v>
      </c>
      <c r="H17" s="293"/>
      <c r="I17" s="178">
        <v>183000000</v>
      </c>
      <c r="J17" s="125">
        <v>227000000</v>
      </c>
      <c r="K17" s="125"/>
      <c r="L17" s="125"/>
      <c r="M17" s="210">
        <v>597000000</v>
      </c>
      <c r="N17" s="210">
        <v>759000000</v>
      </c>
      <c r="O17" s="298">
        <v>962000000</v>
      </c>
      <c r="P17" s="210">
        <v>1164000000</v>
      </c>
      <c r="Q17" s="210">
        <v>1331000000</v>
      </c>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65" t="s">
        <v>6227</v>
      </c>
      <c r="B18" s="65" t="s">
        <v>6228</v>
      </c>
      <c r="C18" s="27" t="s">
        <v>6229</v>
      </c>
      <c r="D18" s="293">
        <v>9000000</v>
      </c>
      <c r="E18" s="293">
        <v>16000000</v>
      </c>
      <c r="F18" s="293"/>
      <c r="G18" s="293"/>
      <c r="H18" s="293"/>
      <c r="I18" s="178"/>
      <c r="J18" s="293"/>
      <c r="K18" s="293"/>
      <c r="L18" s="293"/>
      <c r="M18" s="210"/>
      <c r="N18" s="210"/>
      <c r="O18" s="298"/>
      <c r="P18" s="210"/>
      <c r="Q18" s="210"/>
      <c r="R18" s="273"/>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65" t="s">
        <v>6230</v>
      </c>
      <c r="B19" s="65" t="s">
        <v>6231</v>
      </c>
      <c r="C19" s="27" t="s">
        <v>6229</v>
      </c>
      <c r="D19" s="293">
        <v>17000000</v>
      </c>
      <c r="E19" s="293">
        <v>27000000</v>
      </c>
      <c r="F19" s="293"/>
      <c r="G19" s="293"/>
      <c r="H19" s="293"/>
      <c r="I19" s="178"/>
      <c r="J19" s="293"/>
      <c r="K19" s="293"/>
      <c r="L19" s="293"/>
      <c r="M19" s="210"/>
      <c r="N19" s="210"/>
      <c r="O19" s="298"/>
      <c r="P19" s="210"/>
      <c r="Q19" s="210"/>
      <c r="R19" s="273"/>
      <c r="S19" s="28"/>
      <c r="T19" s="28"/>
      <c r="U19" s="28"/>
      <c r="V19" s="28"/>
      <c r="W19" s="28"/>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64" t="s">
        <v>6232</v>
      </c>
      <c r="B20" s="64" t="s">
        <v>6233</v>
      </c>
      <c r="C20" s="27" t="s">
        <v>552</v>
      </c>
      <c r="D20" s="299">
        <f>D8-D9-D12-D13-D14-D23</f>
        <v>25000000</v>
      </c>
      <c r="E20" s="299">
        <f>E8-E9-E12-E13-E14-E23</f>
        <v>51000000</v>
      </c>
      <c r="F20" s="293">
        <v>123000000</v>
      </c>
      <c r="G20" s="293">
        <v>161000000</v>
      </c>
      <c r="H20" s="293">
        <v>185000000</v>
      </c>
      <c r="I20" s="178">
        <v>155000000</v>
      </c>
      <c r="J20" s="125">
        <v>171000000</v>
      </c>
      <c r="K20" s="125">
        <v>226000000</v>
      </c>
      <c r="L20" s="125">
        <v>288000000</v>
      </c>
      <c r="M20" s="210">
        <v>280000000</v>
      </c>
      <c r="N20" s="210">
        <v>355000000</v>
      </c>
      <c r="O20" s="298">
        <v>461000000</v>
      </c>
      <c r="P20" s="210">
        <v>452000000</v>
      </c>
      <c r="Q20" s="210">
        <v>523000000</v>
      </c>
      <c r="R20" s="273"/>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65" t="s">
        <v>6234</v>
      </c>
      <c r="B21" s="65" t="s">
        <v>6235</v>
      </c>
      <c r="C21" s="27" t="s">
        <v>3768</v>
      </c>
      <c r="D21" s="125"/>
      <c r="E21" s="125"/>
      <c r="F21" s="293">
        <v>63000000</v>
      </c>
      <c r="G21" s="293">
        <v>88000000</v>
      </c>
      <c r="H21" s="293"/>
      <c r="I21" s="178">
        <v>55000000</v>
      </c>
      <c r="J21" s="125">
        <v>87000000</v>
      </c>
      <c r="K21" s="125"/>
      <c r="L21" s="125"/>
      <c r="M21" s="210">
        <v>83000000</v>
      </c>
      <c r="N21" s="210"/>
      <c r="O21" s="298"/>
      <c r="P21" s="210"/>
      <c r="Q21" s="210"/>
      <c r="R21" s="273"/>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65" t="s">
        <v>1584</v>
      </c>
      <c r="B22" s="65" t="s">
        <v>5752</v>
      </c>
      <c r="C22" s="27" t="s">
        <v>3768</v>
      </c>
      <c r="D22" s="293"/>
      <c r="E22" s="293"/>
      <c r="F22" s="293">
        <v>60000000</v>
      </c>
      <c r="G22" s="293">
        <v>72000000</v>
      </c>
      <c r="H22" s="293"/>
      <c r="I22" s="178">
        <v>99000000</v>
      </c>
      <c r="J22" s="125">
        <v>84000000</v>
      </c>
      <c r="K22" s="125"/>
      <c r="L22" s="125"/>
      <c r="M22" s="210">
        <v>197000000</v>
      </c>
      <c r="N22" s="210"/>
      <c r="O22" s="298"/>
      <c r="P22" s="210"/>
      <c r="Q22" s="210"/>
      <c r="R22" s="273"/>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64" t="s">
        <v>2670</v>
      </c>
      <c r="B23" s="64" t="s">
        <v>6236</v>
      </c>
      <c r="C23" s="27" t="s">
        <v>552</v>
      </c>
      <c r="D23" s="293">
        <v>3000000</v>
      </c>
      <c r="E23" s="293">
        <v>3000000</v>
      </c>
      <c r="F23" s="293">
        <v>3000000</v>
      </c>
      <c r="G23" s="293">
        <v>7000000</v>
      </c>
      <c r="H23" s="125">
        <v>8000000</v>
      </c>
      <c r="I23" s="178"/>
      <c r="J23" s="125"/>
      <c r="K23" s="125"/>
      <c r="L23" s="125"/>
      <c r="M23" s="210"/>
      <c r="N23" s="210"/>
      <c r="O23" s="298"/>
      <c r="P23" s="210"/>
      <c r="Q23" s="210"/>
      <c r="R23" s="273"/>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297" t="s">
        <v>51</v>
      </c>
      <c r="B24" s="297" t="s">
        <v>4671</v>
      </c>
      <c r="C24" s="58" t="s">
        <v>41</v>
      </c>
      <c r="D24" s="293">
        <v>12000000</v>
      </c>
      <c r="E24" s="293">
        <v>29000000</v>
      </c>
      <c r="F24" s="293">
        <v>51000000</v>
      </c>
      <c r="G24" s="293">
        <v>97000000</v>
      </c>
      <c r="H24" s="125">
        <v>129000000</v>
      </c>
      <c r="I24" s="178">
        <v>197000000</v>
      </c>
      <c r="J24" s="125">
        <v>221000000</v>
      </c>
      <c r="K24" s="125">
        <v>347000000</v>
      </c>
      <c r="L24" s="210">
        <v>320000000</v>
      </c>
      <c r="M24" s="210">
        <v>485000000</v>
      </c>
      <c r="N24" s="210">
        <v>718000000</v>
      </c>
      <c r="O24" s="298">
        <v>960000000</v>
      </c>
      <c r="P24" s="210">
        <v>1191000000</v>
      </c>
      <c r="Q24" s="210">
        <v>1355000000</v>
      </c>
      <c r="R24" s="273"/>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t="s">
        <v>76</v>
      </c>
      <c r="B25" s="65" t="s">
        <v>6237</v>
      </c>
      <c r="C25" s="34"/>
      <c r="D25" s="293"/>
      <c r="E25" s="293"/>
      <c r="F25" s="293">
        <v>21000000</v>
      </c>
      <c r="G25" s="293"/>
      <c r="H25" s="293"/>
      <c r="I25" s="293"/>
      <c r="J25" s="293"/>
      <c r="K25" s="125">
        <v>218000000</v>
      </c>
      <c r="L25" s="210">
        <v>176000000</v>
      </c>
      <c r="M25" s="210">
        <v>270000000</v>
      </c>
      <c r="N25" s="210">
        <v>404000000</v>
      </c>
      <c r="O25" s="298">
        <v>457000000</v>
      </c>
      <c r="P25" s="210">
        <v>517000000</v>
      </c>
      <c r="Q25" s="210">
        <v>589000000</v>
      </c>
      <c r="R25" s="273"/>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s="9" customFormat="1">
      <c r="A26" s="55" t="s">
        <v>53</v>
      </c>
      <c r="B26" s="55" t="s">
        <v>53</v>
      </c>
      <c r="C26" s="137" t="s">
        <v>38</v>
      </c>
      <c r="D26" s="294">
        <v>0</v>
      </c>
      <c r="E26" s="294">
        <v>0</v>
      </c>
      <c r="F26" s="294">
        <v>8000000</v>
      </c>
      <c r="G26" s="294">
        <v>15000000</v>
      </c>
      <c r="H26" s="295">
        <v>41000000</v>
      </c>
      <c r="I26" s="263">
        <v>53000000</v>
      </c>
      <c r="J26" s="295">
        <v>436000000</v>
      </c>
      <c r="K26" s="295">
        <v>249000000</v>
      </c>
      <c r="L26" s="296">
        <v>286000000</v>
      </c>
      <c r="M26" s="296">
        <v>709000000</v>
      </c>
      <c r="N26" s="296">
        <v>568000000</v>
      </c>
      <c r="O26" s="168">
        <v>690000000</v>
      </c>
      <c r="P26" s="296">
        <v>1106000000</v>
      </c>
      <c r="Q26" s="296">
        <v>800000000</v>
      </c>
      <c r="S26" s="29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t="s">
        <v>6238</v>
      </c>
      <c r="B27" s="65" t="s">
        <v>6239</v>
      </c>
      <c r="C27" s="27" t="s">
        <v>1993</v>
      </c>
      <c r="D27" s="293"/>
      <c r="E27" s="293"/>
      <c r="F27" s="293"/>
      <c r="G27" s="293"/>
      <c r="H27" s="293"/>
      <c r="I27" s="178">
        <v>0</v>
      </c>
      <c r="J27" s="125">
        <v>59000000</v>
      </c>
      <c r="K27" s="125">
        <v>215000000</v>
      </c>
      <c r="L27" s="210">
        <v>135000000</v>
      </c>
      <c r="M27" s="210">
        <v>332000000</v>
      </c>
      <c r="N27" s="210">
        <v>367000000</v>
      </c>
      <c r="O27" s="298">
        <v>534000000</v>
      </c>
      <c r="P27" s="210">
        <v>868000000</v>
      </c>
      <c r="Q27" s="210">
        <v>628000000</v>
      </c>
      <c r="R27" s="273"/>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66" t="s">
        <v>566</v>
      </c>
      <c r="B28" s="66" t="s">
        <v>566</v>
      </c>
      <c r="C28" s="27" t="s">
        <v>1993</v>
      </c>
      <c r="D28" s="293"/>
      <c r="E28" s="293"/>
      <c r="F28" s="293"/>
      <c r="G28" s="293"/>
      <c r="H28" s="293"/>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3"/>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t="s">
        <v>76</v>
      </c>
      <c r="B29" s="58" t="s">
        <v>6240</v>
      </c>
      <c r="D29" s="293">
        <v>346000000</v>
      </c>
      <c r="E29" s="293">
        <v>462000000</v>
      </c>
      <c r="F29" s="293">
        <v>642000000</v>
      </c>
      <c r="G29" s="293">
        <v>908000000</v>
      </c>
      <c r="H29" s="125">
        <v>1250000000</v>
      </c>
      <c r="I29" s="178">
        <v>1655000000</v>
      </c>
      <c r="J29" s="125">
        <v>2032000000</v>
      </c>
      <c r="K29" s="125">
        <v>3661000000</v>
      </c>
      <c r="L29" s="210">
        <v>4786000000</v>
      </c>
      <c r="M29" s="210">
        <v>5907000000</v>
      </c>
      <c r="N29" s="210">
        <v>6457000000</v>
      </c>
      <c r="O29" s="298">
        <v>8127000000</v>
      </c>
      <c r="P29" s="210">
        <v>10340000000</v>
      </c>
      <c r="Q29" s="210">
        <v>10556000000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s="9" customFormat="1">
      <c r="A30" s="256" t="s">
        <v>71</v>
      </c>
      <c r="B30" s="55" t="s">
        <v>198</v>
      </c>
      <c r="C30" s="9" t="s">
        <v>35</v>
      </c>
      <c r="D30" s="294">
        <f>D31+D47+D51</f>
        <v>345000000</v>
      </c>
      <c r="E30" s="294">
        <f t="shared" ref="E30:Q30" si="1">E31+E47+E51</f>
        <v>461000000</v>
      </c>
      <c r="F30" s="294">
        <f t="shared" si="1"/>
        <v>641000000</v>
      </c>
      <c r="G30" s="294">
        <f t="shared" si="1"/>
        <v>908000000</v>
      </c>
      <c r="H30" s="294">
        <f t="shared" si="1"/>
        <v>1250000000</v>
      </c>
      <c r="I30" s="294">
        <f t="shared" si="1"/>
        <v>1655000000</v>
      </c>
      <c r="J30" s="294">
        <f t="shared" si="1"/>
        <v>2033000000</v>
      </c>
      <c r="K30" s="294">
        <f t="shared" si="1"/>
        <v>3662000000</v>
      </c>
      <c r="L30" s="294">
        <f t="shared" si="1"/>
        <v>4787000000</v>
      </c>
      <c r="M30" s="294">
        <f t="shared" si="1"/>
        <v>5908000000</v>
      </c>
      <c r="N30" s="294">
        <f t="shared" si="1"/>
        <v>6458000000</v>
      </c>
      <c r="O30" s="294">
        <f t="shared" si="1"/>
        <v>8206000000</v>
      </c>
      <c r="P30" s="294">
        <f t="shared" si="1"/>
        <v>10340000000</v>
      </c>
      <c r="Q30" s="294">
        <f t="shared" si="1"/>
        <v>10556000000</v>
      </c>
      <c r="R30" s="295">
        <f>R31+R47</f>
        <v>12906215000</v>
      </c>
      <c r="S30" s="2603">
        <v>15391836000</v>
      </c>
      <c r="T30" s="2603">
        <v>21461574000</v>
      </c>
      <c r="U30" s="2603">
        <v>21229875000</v>
      </c>
      <c r="V30" s="2603">
        <v>23817765000</v>
      </c>
      <c r="W30" s="2603">
        <v>23821491000</v>
      </c>
      <c r="X30" s="2603">
        <v>26344600000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03" t="s">
        <v>73</v>
      </c>
      <c r="B31" s="58" t="s">
        <v>3238</v>
      </c>
      <c r="C31" s="58" t="s">
        <v>201</v>
      </c>
      <c r="D31" s="293">
        <v>225000000</v>
      </c>
      <c r="E31" s="293">
        <v>332000000</v>
      </c>
      <c r="F31" s="293">
        <v>459000000</v>
      </c>
      <c r="G31" s="293">
        <v>597000000</v>
      </c>
      <c r="H31" s="125">
        <v>747000000</v>
      </c>
      <c r="I31" s="178">
        <v>1088000000</v>
      </c>
      <c r="J31" s="125">
        <v>1393000000</v>
      </c>
      <c r="K31" s="125">
        <v>1740000000</v>
      </c>
      <c r="L31" s="210">
        <v>2223000000</v>
      </c>
      <c r="M31" s="210">
        <v>3017000000</v>
      </c>
      <c r="N31" s="210">
        <v>3698000000</v>
      </c>
      <c r="O31" s="298">
        <v>4450000000</v>
      </c>
      <c r="P31" s="210">
        <v>6262000000</v>
      </c>
      <c r="Q31" s="210">
        <v>7061000000</v>
      </c>
      <c r="R31" s="2604">
        <v>8300110000</v>
      </c>
      <c r="S31" s="2604">
        <v>8712360000</v>
      </c>
      <c r="T31" s="2604">
        <v>9968193000</v>
      </c>
      <c r="U31" s="2604">
        <v>11460375000</v>
      </c>
      <c r="V31" s="2604">
        <v>13669326000</v>
      </c>
      <c r="W31" s="2604">
        <v>15449721000</v>
      </c>
      <c r="X31" s="2604">
        <v>17283400000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t="s">
        <v>83</v>
      </c>
      <c r="B32" s="64" t="s">
        <v>6241</v>
      </c>
      <c r="C32" s="58" t="s">
        <v>204</v>
      </c>
      <c r="D32" s="293">
        <f>D33+D34</f>
        <v>149000000</v>
      </c>
      <c r="E32" s="293">
        <f>E33+E34</f>
        <v>222000000</v>
      </c>
      <c r="F32" s="293">
        <v>290000000</v>
      </c>
      <c r="G32" s="293">
        <v>393000000</v>
      </c>
      <c r="H32" s="125">
        <v>514000000</v>
      </c>
      <c r="I32" s="178">
        <v>752000000</v>
      </c>
      <c r="J32" s="125">
        <v>967000000</v>
      </c>
      <c r="K32" s="125">
        <v>1197000000</v>
      </c>
      <c r="L32" s="210">
        <v>1525000000</v>
      </c>
      <c r="M32" s="210">
        <v>2009000000</v>
      </c>
      <c r="N32" s="210">
        <v>2414000000</v>
      </c>
      <c r="O32" s="298">
        <v>2964000000</v>
      </c>
      <c r="P32" s="210">
        <v>4204000000</v>
      </c>
      <c r="Q32" s="210">
        <v>4822000000</v>
      </c>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65" t="s">
        <v>1157</v>
      </c>
      <c r="B33" s="65" t="s">
        <v>1808</v>
      </c>
      <c r="C33" s="27" t="s">
        <v>6242</v>
      </c>
      <c r="D33" s="293">
        <v>67000000</v>
      </c>
      <c r="E33" s="293">
        <v>82000000</v>
      </c>
      <c r="F33" s="293">
        <v>108000000</v>
      </c>
      <c r="G33" s="293">
        <v>133000000</v>
      </c>
      <c r="H33" s="125">
        <v>168000000</v>
      </c>
      <c r="I33" s="178">
        <v>270000000</v>
      </c>
      <c r="J33" s="125">
        <v>384000000</v>
      </c>
      <c r="K33" s="125">
        <v>525000000</v>
      </c>
      <c r="L33" s="210">
        <v>726000000</v>
      </c>
      <c r="M33" s="210">
        <v>971000000</v>
      </c>
      <c r="N33" s="210">
        <v>1141000000</v>
      </c>
      <c r="O33" s="298">
        <v>1465000000</v>
      </c>
      <c r="P33" s="210">
        <v>1920000000</v>
      </c>
      <c r="Q33" s="210">
        <v>2268000000</v>
      </c>
      <c r="R33" s="273"/>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65" t="s">
        <v>3577</v>
      </c>
      <c r="B34" s="65" t="s">
        <v>3577</v>
      </c>
      <c r="C34" s="27" t="s">
        <v>6242</v>
      </c>
      <c r="D34" s="293">
        <v>82000000</v>
      </c>
      <c r="E34" s="293">
        <v>140000000</v>
      </c>
      <c r="F34" s="293">
        <v>182000000</v>
      </c>
      <c r="G34" s="293">
        <v>261000000</v>
      </c>
      <c r="H34" s="125">
        <v>346000000</v>
      </c>
      <c r="I34" s="178">
        <v>483000000</v>
      </c>
      <c r="J34" s="125">
        <v>583000000</v>
      </c>
      <c r="K34" s="125">
        <v>672000000</v>
      </c>
      <c r="L34" s="210">
        <v>799000000</v>
      </c>
      <c r="M34" s="210">
        <v>1038000000</v>
      </c>
      <c r="N34" s="210">
        <v>1274000000</v>
      </c>
      <c r="O34" s="298">
        <v>1499000000</v>
      </c>
      <c r="P34" s="210">
        <v>2284000000</v>
      </c>
      <c r="Q34" s="210">
        <v>2554000000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t="s">
        <v>76</v>
      </c>
      <c r="B35" s="65" t="s">
        <v>6243</v>
      </c>
      <c r="C35" s="27"/>
      <c r="D35" s="293"/>
      <c r="E35" s="293"/>
      <c r="F35" s="293"/>
      <c r="G35" s="293">
        <v>38000000</v>
      </c>
      <c r="H35" s="293"/>
      <c r="I35" s="293"/>
      <c r="J35" s="293"/>
      <c r="K35" s="125">
        <v>143000000</v>
      </c>
      <c r="L35" s="210">
        <v>222000000</v>
      </c>
      <c r="M35" s="210">
        <v>170000000</v>
      </c>
      <c r="N35" s="210">
        <v>362000000</v>
      </c>
      <c r="O35" s="298">
        <v>473000000</v>
      </c>
      <c r="P35" s="210">
        <v>517000000</v>
      </c>
      <c r="Q35" s="210">
        <v>589000000</v>
      </c>
      <c r="R35" s="273"/>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90</v>
      </c>
      <c r="B36" s="64" t="s">
        <v>751</v>
      </c>
      <c r="C36" s="58" t="s">
        <v>204</v>
      </c>
      <c r="D36" s="293">
        <v>24000000</v>
      </c>
      <c r="E36" s="293">
        <v>38000000</v>
      </c>
      <c r="F36" s="293">
        <v>63000000</v>
      </c>
      <c r="G36" s="293">
        <v>59000000</v>
      </c>
      <c r="H36" s="125">
        <v>43000000</v>
      </c>
      <c r="I36" s="178">
        <v>36000000</v>
      </c>
      <c r="J36" s="125">
        <v>46000000</v>
      </c>
      <c r="K36" s="125">
        <v>59000000</v>
      </c>
      <c r="L36" s="210">
        <v>54000000</v>
      </c>
      <c r="M36" s="210">
        <v>104000000</v>
      </c>
      <c r="N36" s="210">
        <v>121000000</v>
      </c>
      <c r="O36" s="298">
        <v>156000000</v>
      </c>
      <c r="P36" s="210">
        <v>323000000</v>
      </c>
      <c r="Q36" s="210">
        <v>225000000</v>
      </c>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5" t="s">
        <v>280</v>
      </c>
      <c r="B37" s="65" t="s">
        <v>280</v>
      </c>
      <c r="C37" s="27" t="s">
        <v>211</v>
      </c>
      <c r="D37" s="293"/>
      <c r="E37" s="293"/>
      <c r="F37" s="293">
        <v>44000000</v>
      </c>
      <c r="G37" s="293"/>
      <c r="H37" s="293"/>
      <c r="I37" s="293"/>
      <c r="J37" s="293"/>
      <c r="K37" s="125">
        <v>34000000</v>
      </c>
      <c r="L37" s="210">
        <v>53000000</v>
      </c>
      <c r="M37" s="210">
        <v>88000000</v>
      </c>
      <c r="N37" s="210">
        <v>100000000</v>
      </c>
      <c r="O37" s="298">
        <v>127000000</v>
      </c>
      <c r="P37" s="210">
        <v>167000000</v>
      </c>
      <c r="Q37" s="210">
        <v>160000000</v>
      </c>
      <c r="R37" s="273"/>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5" t="s">
        <v>209</v>
      </c>
      <c r="B38" s="65" t="s">
        <v>209</v>
      </c>
      <c r="C38" s="27" t="s">
        <v>211</v>
      </c>
      <c r="D38" s="293"/>
      <c r="E38" s="293"/>
      <c r="F38" s="293">
        <v>19000000</v>
      </c>
      <c r="G38" s="293"/>
      <c r="H38" s="293"/>
      <c r="I38" s="293"/>
      <c r="J38" s="293"/>
      <c r="K38" s="125">
        <v>25000000</v>
      </c>
      <c r="L38" s="210">
        <v>2000000</v>
      </c>
      <c r="M38" s="210">
        <v>15000000</v>
      </c>
      <c r="N38" s="210">
        <v>0</v>
      </c>
      <c r="O38" s="298">
        <v>29000000</v>
      </c>
      <c r="P38" s="210">
        <v>155000000</v>
      </c>
      <c r="Q38" s="210">
        <v>64000000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65" t="s">
        <v>6244</v>
      </c>
      <c r="B39" s="65" t="s">
        <v>6245</v>
      </c>
      <c r="C39" s="27" t="s">
        <v>6246</v>
      </c>
      <c r="D39" s="293"/>
      <c r="E39" s="293"/>
      <c r="F39" s="293"/>
      <c r="G39" s="293"/>
      <c r="H39" s="293"/>
      <c r="I39" s="293"/>
      <c r="J39" s="293"/>
      <c r="K39" s="293"/>
      <c r="L39" s="293"/>
      <c r="M39" s="293"/>
      <c r="N39" s="210"/>
      <c r="O39" s="298">
        <v>0</v>
      </c>
      <c r="P39" s="210">
        <v>26000000</v>
      </c>
      <c r="Q39" s="210">
        <v>41000000</v>
      </c>
      <c r="R39" s="273"/>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65" t="s">
        <v>6247</v>
      </c>
      <c r="B40" s="65" t="s">
        <v>6248</v>
      </c>
      <c r="C40" s="27" t="s">
        <v>6246</v>
      </c>
      <c r="D40" s="293"/>
      <c r="E40" s="293"/>
      <c r="F40" s="293"/>
      <c r="G40" s="293"/>
      <c r="H40" s="293"/>
      <c r="I40" s="293"/>
      <c r="J40" s="293"/>
      <c r="K40" s="293"/>
      <c r="L40" s="293"/>
      <c r="M40" s="293"/>
      <c r="N40" s="210"/>
      <c r="O40" s="298">
        <v>18000000</v>
      </c>
      <c r="P40" s="210">
        <v>14000000</v>
      </c>
      <c r="Q40" s="210">
        <v>24000000</v>
      </c>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65" t="s">
        <v>6249</v>
      </c>
      <c r="B41" s="65" t="s">
        <v>6249</v>
      </c>
      <c r="C41" s="27" t="s">
        <v>6246</v>
      </c>
      <c r="D41" s="293"/>
      <c r="E41" s="293"/>
      <c r="F41" s="293"/>
      <c r="G41" s="293"/>
      <c r="H41" s="293"/>
      <c r="I41" s="293"/>
      <c r="J41" s="293"/>
      <c r="K41" s="293"/>
      <c r="L41" s="293"/>
      <c r="M41" s="293"/>
      <c r="N41" s="210"/>
      <c r="O41" s="300">
        <f>O38-O39-O40</f>
        <v>11000000</v>
      </c>
      <c r="P41" s="300">
        <f>P38-P39-P40</f>
        <v>115000000</v>
      </c>
      <c r="Q41" s="210"/>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65" t="s">
        <v>6250</v>
      </c>
      <c r="B42" s="66" t="s">
        <v>6250</v>
      </c>
      <c r="C42" s="27" t="s">
        <v>211</v>
      </c>
      <c r="D42" s="293"/>
      <c r="E42" s="293"/>
      <c r="F42" s="293"/>
      <c r="G42" s="293"/>
      <c r="H42" s="293"/>
      <c r="I42" s="293"/>
      <c r="J42" s="293"/>
      <c r="K42" s="293"/>
      <c r="L42" s="293"/>
      <c r="M42" s="293"/>
      <c r="N42" s="210">
        <f>N36-N37-N38</f>
        <v>21000000</v>
      </c>
      <c r="O42" s="210"/>
      <c r="P42" s="210"/>
      <c r="Q42" s="210"/>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58" t="s">
        <v>2238</v>
      </c>
      <c r="B43" s="58" t="s">
        <v>6251</v>
      </c>
      <c r="C43" s="58" t="s">
        <v>204</v>
      </c>
      <c r="D43" s="293">
        <v>13000000</v>
      </c>
      <c r="E43" s="293">
        <v>12000000</v>
      </c>
      <c r="F43" s="293">
        <v>106000000</v>
      </c>
      <c r="G43" s="293">
        <f>G44+G45</f>
        <v>145000000</v>
      </c>
      <c r="H43" s="125">
        <v>189000000</v>
      </c>
      <c r="I43" s="125">
        <v>300000000</v>
      </c>
      <c r="J43" s="125">
        <v>380000000</v>
      </c>
      <c r="K43" s="125">
        <v>484000000</v>
      </c>
      <c r="L43" s="210">
        <v>643000000</v>
      </c>
      <c r="M43" s="210">
        <v>904000000</v>
      </c>
      <c r="N43" s="210">
        <v>1162000000</v>
      </c>
      <c r="O43" s="298">
        <v>1330000000</v>
      </c>
      <c r="P43" s="210">
        <v>1735000000</v>
      </c>
      <c r="Q43" s="210">
        <v>2014000000</v>
      </c>
      <c r="R43" s="273"/>
      <c r="S43" s="28"/>
      <c r="T43" s="28"/>
      <c r="U43" s="28"/>
      <c r="V43" s="28"/>
      <c r="W43" s="2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64" t="s">
        <v>4570</v>
      </c>
      <c r="B44" s="64" t="s">
        <v>4571</v>
      </c>
      <c r="C44" s="27" t="s">
        <v>6252</v>
      </c>
      <c r="D44" s="293"/>
      <c r="E44" s="293"/>
      <c r="F44" s="293">
        <v>89000000</v>
      </c>
      <c r="G44" s="293">
        <v>126000000</v>
      </c>
      <c r="H44" s="293"/>
      <c r="I44" s="125">
        <v>269000000</v>
      </c>
      <c r="J44" s="125">
        <v>346000000</v>
      </c>
      <c r="K44" s="125">
        <v>445000000</v>
      </c>
      <c r="L44" s="210">
        <v>593000000</v>
      </c>
      <c r="M44" s="210">
        <v>837000000</v>
      </c>
      <c r="N44" s="210">
        <v>1087000000</v>
      </c>
      <c r="O44" s="298">
        <v>1238000000</v>
      </c>
      <c r="P44" s="210">
        <v>1575000000</v>
      </c>
      <c r="Q44" s="210">
        <v>1812000000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64" t="s">
        <v>1996</v>
      </c>
      <c r="B45" s="64" t="s">
        <v>6253</v>
      </c>
      <c r="C45" s="27" t="s">
        <v>6252</v>
      </c>
      <c r="D45" s="293"/>
      <c r="E45" s="293"/>
      <c r="F45" s="293">
        <v>17000000</v>
      </c>
      <c r="G45" s="293">
        <v>19000000</v>
      </c>
      <c r="H45" s="293"/>
      <c r="I45" s="125">
        <v>31000000</v>
      </c>
      <c r="J45" s="125">
        <v>34000000</v>
      </c>
      <c r="K45" s="125">
        <v>39000000</v>
      </c>
      <c r="L45" s="210">
        <v>51000000</v>
      </c>
      <c r="M45" s="210">
        <v>68000000</v>
      </c>
      <c r="N45" s="210">
        <v>75000000</v>
      </c>
      <c r="O45" s="298">
        <v>92000000</v>
      </c>
      <c r="P45" s="210">
        <v>160000000</v>
      </c>
      <c r="Q45" s="210">
        <v>202000000</v>
      </c>
      <c r="R45" s="273"/>
      <c r="S45" s="28"/>
      <c r="T45" s="28"/>
      <c r="U45" s="28"/>
      <c r="V45" s="28"/>
      <c r="W45" s="2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58" t="s">
        <v>6254</v>
      </c>
      <c r="B46" s="58" t="s">
        <v>6255</v>
      </c>
      <c r="C46" s="58" t="s">
        <v>204</v>
      </c>
      <c r="D46" s="293">
        <v>40000000</v>
      </c>
      <c r="E46" s="293">
        <v>60000000</v>
      </c>
      <c r="F46" s="293"/>
      <c r="G46" s="293"/>
      <c r="H46" s="293"/>
      <c r="I46" s="293"/>
      <c r="J46" s="293"/>
      <c r="K46" s="293"/>
      <c r="L46" s="210"/>
      <c r="M46" s="210"/>
      <c r="N46" s="210"/>
      <c r="O46" s="298"/>
      <c r="P46" s="210"/>
      <c r="Q46" s="210"/>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58" t="s">
        <v>237</v>
      </c>
      <c r="B47" s="58" t="s">
        <v>4687</v>
      </c>
      <c r="C47" s="58" t="s">
        <v>201</v>
      </c>
      <c r="D47" s="125">
        <v>119000000</v>
      </c>
      <c r="E47" s="125">
        <v>127000000</v>
      </c>
      <c r="F47" s="293">
        <v>181000000</v>
      </c>
      <c r="G47" s="293">
        <v>310000000</v>
      </c>
      <c r="H47" s="125">
        <v>500000000</v>
      </c>
      <c r="I47" s="125">
        <v>562000000</v>
      </c>
      <c r="J47" s="125">
        <v>634000000</v>
      </c>
      <c r="K47" s="125">
        <v>1914000000</v>
      </c>
      <c r="L47" s="210">
        <v>2401000000</v>
      </c>
      <c r="M47" s="210">
        <v>2737000000</v>
      </c>
      <c r="N47" s="210">
        <v>2693000000</v>
      </c>
      <c r="O47" s="298">
        <v>3756000000</v>
      </c>
      <c r="P47" s="210">
        <v>4069000000</v>
      </c>
      <c r="Q47" s="210">
        <v>3486000000</v>
      </c>
      <c r="R47" s="273">
        <v>4606105000</v>
      </c>
      <c r="S47" s="273">
        <v>6679476000</v>
      </c>
      <c r="T47" s="273">
        <v>8170650000</v>
      </c>
      <c r="U47" s="273">
        <v>7264500000</v>
      </c>
      <c r="V47" s="273">
        <v>7732143999.999999</v>
      </c>
      <c r="W47" s="273">
        <v>8371770000</v>
      </c>
      <c r="X47" s="273">
        <v>8977300000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c r="A48" s="64" t="s">
        <v>6256</v>
      </c>
      <c r="B48" s="64" t="s">
        <v>6257</v>
      </c>
      <c r="C48" s="58" t="s">
        <v>241</v>
      </c>
      <c r="D48" s="293">
        <v>72000000</v>
      </c>
      <c r="E48" s="293">
        <v>54000000</v>
      </c>
      <c r="F48" s="293">
        <v>79000000</v>
      </c>
      <c r="G48" s="293">
        <v>128000000</v>
      </c>
      <c r="H48" s="125">
        <v>189000000</v>
      </c>
      <c r="I48" s="125">
        <v>243000000</v>
      </c>
      <c r="J48" s="125">
        <v>291000000</v>
      </c>
      <c r="K48" s="125">
        <v>1207000000</v>
      </c>
      <c r="L48" s="210">
        <v>1344000000</v>
      </c>
      <c r="M48" s="210">
        <v>1347000000</v>
      </c>
      <c r="N48" s="210">
        <v>1178000000</v>
      </c>
      <c r="O48" s="298">
        <v>1438000000</v>
      </c>
      <c r="P48" s="210">
        <v>1853000000</v>
      </c>
      <c r="Q48" s="210">
        <v>1414000000</v>
      </c>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t="s">
        <v>76</v>
      </c>
      <c r="B49" s="65" t="s">
        <v>6258</v>
      </c>
      <c r="C49" s="27"/>
      <c r="D49" s="125"/>
      <c r="E49" s="125"/>
      <c r="F49" s="293"/>
      <c r="G49" s="125"/>
      <c r="H49" s="293"/>
      <c r="I49" s="125">
        <v>0</v>
      </c>
      <c r="J49" s="125">
        <v>0</v>
      </c>
      <c r="K49" s="125"/>
      <c r="L49" s="125"/>
      <c r="M49" s="125"/>
      <c r="N49" s="210">
        <v>475000000</v>
      </c>
      <c r="O49" s="298">
        <v>646000000</v>
      </c>
      <c r="P49" s="210">
        <v>298000000</v>
      </c>
      <c r="Q49" s="210">
        <v>133000000</v>
      </c>
      <c r="R49" s="273"/>
      <c r="S49" s="28"/>
      <c r="T49" s="28"/>
      <c r="U49" s="28"/>
      <c r="V49" s="28"/>
      <c r="W49" s="2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64" t="s">
        <v>239</v>
      </c>
      <c r="B50" s="64" t="s">
        <v>3512</v>
      </c>
      <c r="C50" s="58" t="s">
        <v>241</v>
      </c>
      <c r="D50" s="125">
        <v>48000000</v>
      </c>
      <c r="E50" s="125">
        <v>74000000</v>
      </c>
      <c r="F50" s="293">
        <v>102000000</v>
      </c>
      <c r="G50" s="293">
        <v>182000000</v>
      </c>
      <c r="H50" s="125">
        <v>311000000</v>
      </c>
      <c r="I50" s="125">
        <v>318000000</v>
      </c>
      <c r="J50" s="125">
        <v>342000000</v>
      </c>
      <c r="K50" s="125">
        <v>707000000</v>
      </c>
      <c r="L50" s="125">
        <v>1057000000</v>
      </c>
      <c r="M50" s="210">
        <v>1390000000</v>
      </c>
      <c r="N50" s="210">
        <v>1515000000</v>
      </c>
      <c r="O50" s="298">
        <v>2317000000</v>
      </c>
      <c r="P50" s="210">
        <v>2216000000</v>
      </c>
      <c r="Q50" s="210">
        <v>2072000000</v>
      </c>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58" t="s">
        <v>3521</v>
      </c>
      <c r="B51" s="58" t="s">
        <v>3521</v>
      </c>
      <c r="C51" s="58" t="s">
        <v>201</v>
      </c>
      <c r="D51" s="125">
        <v>1000000</v>
      </c>
      <c r="E51" s="125">
        <v>2000000</v>
      </c>
      <c r="F51" s="293">
        <v>1000000</v>
      </c>
      <c r="G51" s="293">
        <v>1000000</v>
      </c>
      <c r="H51" s="125">
        <v>3000000</v>
      </c>
      <c r="I51" s="125">
        <v>5000000</v>
      </c>
      <c r="J51" s="125">
        <v>6000000</v>
      </c>
      <c r="K51" s="125">
        <v>8000000</v>
      </c>
      <c r="L51" s="210">
        <v>163000000</v>
      </c>
      <c r="M51" s="210">
        <v>154000000</v>
      </c>
      <c r="N51" s="210">
        <v>67000000</v>
      </c>
      <c r="O51" s="337">
        <v>0</v>
      </c>
      <c r="P51" s="210">
        <v>9000000</v>
      </c>
      <c r="Q51" s="210">
        <v>9000000</v>
      </c>
      <c r="R51" s="273">
        <f>R30-R31-R47</f>
        <v>0</v>
      </c>
      <c r="S51" s="273">
        <f>S30-S31-S47</f>
        <v>0</v>
      </c>
      <c r="T51" s="210">
        <f t="shared" ref="T51:X51" si="2">T30-T31-T47</f>
        <v>3322731000</v>
      </c>
      <c r="U51" s="210">
        <f t="shared" si="2"/>
        <v>2505000000</v>
      </c>
      <c r="V51" s="210">
        <f t="shared" si="2"/>
        <v>2416295000.000001</v>
      </c>
      <c r="W51" s="210">
        <f t="shared" si="2"/>
        <v>0</v>
      </c>
      <c r="X51" s="210">
        <f t="shared" si="2"/>
        <v>83900000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t="s">
        <v>76</v>
      </c>
      <c r="B52" s="58" t="s">
        <v>6259</v>
      </c>
      <c r="D52" s="125"/>
      <c r="E52" s="125"/>
      <c r="F52" s="293"/>
      <c r="G52" s="125"/>
      <c r="H52" s="125"/>
      <c r="I52" s="125">
        <v>16000000</v>
      </c>
      <c r="J52" s="125">
        <v>0</v>
      </c>
      <c r="K52" s="125">
        <v>-10000000</v>
      </c>
      <c r="L52" s="210">
        <v>79000000</v>
      </c>
      <c r="M52" s="210">
        <v>43000000</v>
      </c>
      <c r="N52" s="210">
        <v>185000000</v>
      </c>
      <c r="O52" s="298">
        <v>98000000</v>
      </c>
      <c r="P52" s="210"/>
      <c r="Q52" s="210" t="s">
        <v>78</v>
      </c>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t="s">
        <v>76</v>
      </c>
      <c r="B53" s="58" t="s">
        <v>6260</v>
      </c>
      <c r="C53" s="34"/>
      <c r="D53" s="125"/>
      <c r="E53" s="125"/>
      <c r="F53" s="293">
        <v>-82000000</v>
      </c>
      <c r="G53" s="293">
        <v>-84000000</v>
      </c>
      <c r="H53" s="125">
        <v>-146000000</v>
      </c>
      <c r="I53" s="125">
        <v>-209000000</v>
      </c>
      <c r="J53" s="125">
        <v>158000000</v>
      </c>
      <c r="K53" s="125">
        <v>-780000000</v>
      </c>
      <c r="L53" s="210">
        <v>-970000000</v>
      </c>
      <c r="M53" s="210">
        <v>-1121000000</v>
      </c>
      <c r="N53" s="210">
        <v>-920000000</v>
      </c>
      <c r="O53" s="298">
        <v>-741000000</v>
      </c>
      <c r="P53" s="210">
        <v>-1165000000</v>
      </c>
      <c r="Q53" s="210">
        <v>-534000000</v>
      </c>
      <c r="R53" s="273"/>
      <c r="S53" s="28"/>
      <c r="T53" s="28"/>
      <c r="U53" s="28"/>
      <c r="V53" s="28"/>
      <c r="W53" s="2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t="s">
        <v>76</v>
      </c>
      <c r="B54" s="58" t="s">
        <v>6261</v>
      </c>
      <c r="D54" s="125"/>
      <c r="E54" s="125"/>
      <c r="F54" s="293">
        <v>-3000000</v>
      </c>
      <c r="G54" s="293">
        <v>44000000</v>
      </c>
      <c r="H54" s="125">
        <v>43000000</v>
      </c>
      <c r="I54" s="125">
        <v>35000000</v>
      </c>
      <c r="J54" s="125">
        <v>70000000</v>
      </c>
      <c r="K54" s="125">
        <v>202000000</v>
      </c>
      <c r="L54" s="210">
        <v>239000000</v>
      </c>
      <c r="M54" s="210">
        <v>-107000000</v>
      </c>
      <c r="N54" s="210">
        <v>-110000000</v>
      </c>
      <c r="O54" s="298">
        <v>164000000</v>
      </c>
      <c r="P54" s="210">
        <v>-180000000</v>
      </c>
      <c r="Q54" s="210">
        <v>252000000</v>
      </c>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s="9" customFormat="1">
      <c r="A55" s="9" t="s">
        <v>592</v>
      </c>
      <c r="B55" s="55" t="s">
        <v>6262</v>
      </c>
      <c r="C55" s="9" t="s">
        <v>35</v>
      </c>
      <c r="D55" s="125">
        <v>101000000</v>
      </c>
      <c r="E55" s="125">
        <v>80000000</v>
      </c>
      <c r="F55" s="294">
        <v>82000000</v>
      </c>
      <c r="G55" s="294">
        <v>84000000</v>
      </c>
      <c r="H55" s="295">
        <v>146000000</v>
      </c>
      <c r="I55" s="295">
        <v>209000000</v>
      </c>
      <c r="J55" s="295">
        <v>-158000000</v>
      </c>
      <c r="K55" s="295">
        <v>780000000</v>
      </c>
      <c r="L55" s="296">
        <v>970000000</v>
      </c>
      <c r="M55" s="296">
        <v>1121000000</v>
      </c>
      <c r="N55" s="296">
        <v>920000000</v>
      </c>
      <c r="O55" s="168">
        <v>741000000</v>
      </c>
      <c r="P55" s="296">
        <v>1165000000</v>
      </c>
      <c r="Q55" s="296">
        <v>534000000</v>
      </c>
      <c r="R55" s="295">
        <f>R56+R63</f>
        <v>-820890000</v>
      </c>
      <c r="S55" s="295">
        <f t="shared" ref="S55:X55" si="3">S56+S63</f>
        <v>-48402000</v>
      </c>
      <c r="T55" s="295">
        <f t="shared" si="3"/>
        <v>5501571000</v>
      </c>
      <c r="U55" s="295">
        <f t="shared" si="3"/>
        <v>4070625000</v>
      </c>
      <c r="V55" s="295">
        <f t="shared" si="3"/>
        <v>3727998000</v>
      </c>
      <c r="W55" s="295">
        <f t="shared" si="3"/>
        <v>1446033000.0000002</v>
      </c>
      <c r="X55" s="295">
        <f t="shared" si="3"/>
        <v>1510200000</v>
      </c>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43" t="s">
        <v>117</v>
      </c>
      <c r="B56" s="58" t="s">
        <v>6263</v>
      </c>
      <c r="C56" s="11" t="s">
        <v>119</v>
      </c>
      <c r="D56" s="125">
        <v>118000000</v>
      </c>
      <c r="E56" s="125">
        <v>75000000</v>
      </c>
      <c r="F56" s="293">
        <v>86000000</v>
      </c>
      <c r="G56" s="293">
        <v>134000000</v>
      </c>
      <c r="H56" s="125">
        <v>249000000</v>
      </c>
      <c r="I56" s="125">
        <v>184000000</v>
      </c>
      <c r="J56" s="125">
        <v>145000000</v>
      </c>
      <c r="K56" s="125">
        <v>947000000</v>
      </c>
      <c r="L56" s="210">
        <v>1149000000</v>
      </c>
      <c r="M56" s="210">
        <v>859000000</v>
      </c>
      <c r="N56" s="210">
        <v>1020000000</v>
      </c>
      <c r="O56" s="298">
        <v>769000000</v>
      </c>
      <c r="P56" s="210">
        <v>650000000</v>
      </c>
      <c r="Q56" s="210">
        <v>271000000</v>
      </c>
      <c r="R56" s="2607">
        <v>-45605000</v>
      </c>
      <c r="S56" s="2607">
        <v>919638000</v>
      </c>
      <c r="T56" s="210">
        <v>1525188000</v>
      </c>
      <c r="U56" s="210">
        <v>3068625000</v>
      </c>
      <c r="V56" s="210">
        <v>3313776000</v>
      </c>
      <c r="W56" s="210">
        <v>3577029000</v>
      </c>
      <c r="X56" s="210">
        <v>2097500000</v>
      </c>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64" t="s">
        <v>415</v>
      </c>
      <c r="B57" s="64" t="s">
        <v>415</v>
      </c>
      <c r="C57" s="58" t="s">
        <v>264</v>
      </c>
      <c r="D57" s="125"/>
      <c r="E57" s="125"/>
      <c r="F57" s="293">
        <v>94000000</v>
      </c>
      <c r="G57" s="293">
        <v>128000000</v>
      </c>
      <c r="H57" s="125">
        <v>267000000</v>
      </c>
      <c r="I57" s="125">
        <v>261000000</v>
      </c>
      <c r="J57" s="125">
        <v>269000000</v>
      </c>
      <c r="K57" s="125">
        <v>1100000000</v>
      </c>
      <c r="L57" s="210">
        <v>1209000000</v>
      </c>
      <c r="M57" s="210">
        <v>1015000000</v>
      </c>
      <c r="N57" s="210">
        <v>1118000000</v>
      </c>
      <c r="O57" s="298">
        <v>905000000</v>
      </c>
      <c r="P57" s="210">
        <v>986000000</v>
      </c>
      <c r="Q57" s="210">
        <v>786000000</v>
      </c>
      <c r="R57" s="125"/>
      <c r="S57" s="125"/>
      <c r="T57" s="125"/>
      <c r="U57" s="125"/>
      <c r="V57" s="125"/>
      <c r="W57" s="125"/>
      <c r="X57" s="12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65" t="s">
        <v>1258</v>
      </c>
      <c r="B58" s="65" t="s">
        <v>3535</v>
      </c>
      <c r="C58" t="s">
        <v>499</v>
      </c>
      <c r="D58" s="125"/>
      <c r="E58" s="125"/>
      <c r="F58" s="293">
        <v>15000000</v>
      </c>
      <c r="G58" s="293">
        <v>0</v>
      </c>
      <c r="H58" s="125"/>
      <c r="I58" s="125">
        <v>18000000</v>
      </c>
      <c r="J58" s="125">
        <v>37000000</v>
      </c>
      <c r="K58" s="125">
        <v>0</v>
      </c>
      <c r="L58" s="210">
        <v>0</v>
      </c>
      <c r="M58" s="210">
        <v>0</v>
      </c>
      <c r="N58" s="210">
        <v>307000000</v>
      </c>
      <c r="O58" s="298">
        <v>0</v>
      </c>
      <c r="P58" s="210">
        <v>0</v>
      </c>
      <c r="Q58" s="210">
        <v>0</v>
      </c>
      <c r="R58" s="125"/>
      <c r="S58" s="125"/>
      <c r="T58" s="125"/>
      <c r="U58" s="125"/>
      <c r="V58" s="125"/>
      <c r="W58" s="125"/>
      <c r="X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65" t="s">
        <v>1253</v>
      </c>
      <c r="B59" s="65" t="s">
        <v>2509</v>
      </c>
      <c r="C59" t="s">
        <v>499</v>
      </c>
      <c r="D59" s="125"/>
      <c r="E59" s="125"/>
      <c r="F59" s="293">
        <v>79000000</v>
      </c>
      <c r="G59" s="293">
        <v>128000000</v>
      </c>
      <c r="H59" s="125"/>
      <c r="I59" s="125">
        <v>243000000</v>
      </c>
      <c r="J59" s="125">
        <v>232000000</v>
      </c>
      <c r="K59" s="125">
        <v>1100000000</v>
      </c>
      <c r="L59" s="210">
        <v>1209000000</v>
      </c>
      <c r="M59" s="210">
        <v>1015000000</v>
      </c>
      <c r="N59" s="210">
        <v>811000000</v>
      </c>
      <c r="O59" s="298">
        <v>905000000</v>
      </c>
      <c r="P59" s="210">
        <v>986000000</v>
      </c>
      <c r="Q59" s="210">
        <v>786000000</v>
      </c>
      <c r="R59" s="125"/>
      <c r="S59" s="125"/>
      <c r="T59" s="125"/>
      <c r="U59" s="125"/>
      <c r="V59" s="125"/>
      <c r="W59" s="125"/>
      <c r="X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64" t="s">
        <v>258</v>
      </c>
      <c r="B60" s="64" t="s">
        <v>258</v>
      </c>
      <c r="C60" s="58" t="s">
        <v>264</v>
      </c>
      <c r="D60" s="125"/>
      <c r="E60" s="125"/>
      <c r="F60" s="293">
        <v>-18000000</v>
      </c>
      <c r="G60" s="293">
        <v>-16000000</v>
      </c>
      <c r="H60" s="125">
        <v>-18000000</v>
      </c>
      <c r="I60" s="125">
        <v>-77000000</v>
      </c>
      <c r="J60" s="125">
        <v>-124000000</v>
      </c>
      <c r="K60" s="125">
        <v>-153000000</v>
      </c>
      <c r="L60" s="210">
        <v>-60000000</v>
      </c>
      <c r="M60" s="210">
        <v>-156000000</v>
      </c>
      <c r="N60" s="210">
        <v>-97000000</v>
      </c>
      <c r="O60" s="298">
        <v>-135000000</v>
      </c>
      <c r="P60" s="210">
        <v>-335000000</v>
      </c>
      <c r="Q60" s="210">
        <v>-515000000</v>
      </c>
      <c r="R60" s="125"/>
      <c r="S60" s="125"/>
      <c r="T60" s="125"/>
      <c r="U60" s="125"/>
      <c r="V60" s="125"/>
      <c r="W60" s="125"/>
      <c r="X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A61" s="64" t="s">
        <v>6264</v>
      </c>
      <c r="B61" s="64" t="s">
        <v>6265</v>
      </c>
      <c r="C61" s="58" t="s">
        <v>264</v>
      </c>
      <c r="D61" s="125"/>
      <c r="E61" s="125"/>
      <c r="F61" s="293">
        <v>80000000</v>
      </c>
      <c r="G61" s="293">
        <v>22000000</v>
      </c>
      <c r="H61" s="125"/>
      <c r="I61" s="125"/>
      <c r="J61" s="125"/>
      <c r="K61" s="125"/>
      <c r="L61" s="210"/>
      <c r="M61" s="210"/>
      <c r="N61" s="210"/>
      <c r="O61" s="298"/>
      <c r="P61" s="210"/>
      <c r="Q61" s="210"/>
      <c r="R61" s="125"/>
      <c r="S61" s="125"/>
      <c r="T61" s="125"/>
      <c r="U61" s="125"/>
      <c r="V61" s="125"/>
      <c r="W61" s="125"/>
      <c r="X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64" t="s">
        <v>421</v>
      </c>
      <c r="B62" s="88" t="s">
        <v>421</v>
      </c>
      <c r="C62" s="58" t="s">
        <v>264</v>
      </c>
      <c r="D62" s="125"/>
      <c r="E62" s="125"/>
      <c r="F62" s="301">
        <f>F56-F57-F60-F61</f>
        <v>-70000000</v>
      </c>
      <c r="G62" s="293"/>
      <c r="H62" s="125"/>
      <c r="I62" s="125"/>
      <c r="J62" s="125"/>
      <c r="K62" s="125"/>
      <c r="L62" s="210"/>
      <c r="M62" s="210"/>
      <c r="N62" s="210"/>
      <c r="O62" s="298"/>
      <c r="P62" s="210"/>
      <c r="Q62" s="210"/>
      <c r="R62" s="125"/>
      <c r="S62" s="125"/>
      <c r="T62" s="125"/>
      <c r="U62" s="2607"/>
      <c r="V62" s="2607"/>
      <c r="W62" s="2607"/>
      <c r="X62" s="2607"/>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58" t="s">
        <v>120</v>
      </c>
      <c r="B63" s="58" t="s">
        <v>4586</v>
      </c>
      <c r="C63" s="11" t="s">
        <v>119</v>
      </c>
      <c r="D63" s="125">
        <v>-18000000</v>
      </c>
      <c r="E63" s="125">
        <v>6000000</v>
      </c>
      <c r="F63" s="293">
        <v>-5000000</v>
      </c>
      <c r="G63" s="293">
        <v>-50000000</v>
      </c>
      <c r="H63" s="125">
        <v>-103000000</v>
      </c>
      <c r="I63" s="125">
        <v>24000000</v>
      </c>
      <c r="J63" s="125">
        <v>-303000000</v>
      </c>
      <c r="K63" s="125">
        <v>-166000000</v>
      </c>
      <c r="L63" s="210">
        <v>-179000000</v>
      </c>
      <c r="M63" s="210">
        <v>262000000</v>
      </c>
      <c r="N63" s="210">
        <v>-100000000</v>
      </c>
      <c r="O63" s="298">
        <v>-29000000</v>
      </c>
      <c r="P63" s="210">
        <v>515000000</v>
      </c>
      <c r="Q63" s="210">
        <v>263000000</v>
      </c>
      <c r="R63" s="125">
        <v>-775285000</v>
      </c>
      <c r="S63" s="125">
        <v>-968040000</v>
      </c>
      <c r="T63" s="125">
        <v>3976383000</v>
      </c>
      <c r="U63" s="2607">
        <v>1002000000</v>
      </c>
      <c r="V63" s="2607">
        <v>414222000</v>
      </c>
      <c r="W63" s="2607">
        <v>-2130995999.9999998</v>
      </c>
      <c r="X63" s="2607">
        <v>-587300000</v>
      </c>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214" t="s">
        <v>6266</v>
      </c>
      <c r="B64" s="64" t="s">
        <v>6267</v>
      </c>
      <c r="C64" s="90" t="s">
        <v>124</v>
      </c>
      <c r="D64" s="125"/>
      <c r="E64" s="125"/>
      <c r="F64" s="293">
        <v>-25000000</v>
      </c>
      <c r="G64" s="293">
        <v>-63000000</v>
      </c>
      <c r="H64" s="125">
        <v>-119000000</v>
      </c>
      <c r="I64" s="125">
        <v>-18000000</v>
      </c>
      <c r="J64" s="125">
        <v>-379000000</v>
      </c>
      <c r="K64" s="125">
        <v>-136000000</v>
      </c>
      <c r="L64" s="210">
        <v>-175000000</v>
      </c>
      <c r="M64" s="210">
        <v>84000000</v>
      </c>
      <c r="N64" s="210">
        <v>-253000000</v>
      </c>
      <c r="O64" s="298">
        <v>388000000</v>
      </c>
      <c r="P64" s="210">
        <v>365000000</v>
      </c>
      <c r="Q64" s="210">
        <v>157000000</v>
      </c>
      <c r="R64" s="125"/>
      <c r="S64" s="125"/>
      <c r="T64" s="125"/>
      <c r="U64" s="125"/>
      <c r="V64" s="125"/>
      <c r="W64" s="125"/>
      <c r="X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64" t="s">
        <v>2147</v>
      </c>
      <c r="B65" s="64" t="s">
        <v>1035</v>
      </c>
      <c r="C65" s="90" t="s">
        <v>124</v>
      </c>
      <c r="D65" s="125"/>
      <c r="E65" s="125"/>
      <c r="F65" s="293">
        <v>-1000000</v>
      </c>
      <c r="G65" s="293">
        <v>-10000000</v>
      </c>
      <c r="H65" s="125">
        <v>-9000000</v>
      </c>
      <c r="I65" s="125">
        <v>-9000000</v>
      </c>
      <c r="J65" s="125">
        <v>-3000000</v>
      </c>
      <c r="K65" s="125">
        <v>-47000000</v>
      </c>
      <c r="L65" s="210">
        <v>-57000000</v>
      </c>
      <c r="M65" s="210">
        <v>163000000</v>
      </c>
      <c r="N65" s="210">
        <v>-35000000</v>
      </c>
      <c r="O65" s="298">
        <v>24000000</v>
      </c>
      <c r="P65" s="210">
        <v>125000000</v>
      </c>
      <c r="Q65" s="210">
        <v>81000000</v>
      </c>
      <c r="R65" s="125"/>
      <c r="S65" s="125"/>
      <c r="T65" s="125"/>
      <c r="U65" s="125"/>
      <c r="V65" s="125"/>
      <c r="W65" s="125"/>
      <c r="X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64" t="s">
        <v>6268</v>
      </c>
      <c r="B66" s="64" t="s">
        <v>6269</v>
      </c>
      <c r="C66" s="90" t="s">
        <v>124</v>
      </c>
      <c r="D66" s="125">
        <v>17000000</v>
      </c>
      <c r="E66" s="125">
        <v>7000000</v>
      </c>
      <c r="F66" s="293">
        <v>31000000</v>
      </c>
      <c r="G66" s="293">
        <v>22000000</v>
      </c>
      <c r="H66" s="125">
        <v>25000000</v>
      </c>
      <c r="I66" s="125">
        <v>35000000</v>
      </c>
      <c r="J66" s="125">
        <v>57000000</v>
      </c>
      <c r="K66" s="125">
        <v>17000000</v>
      </c>
      <c r="L66" s="210">
        <v>53000000</v>
      </c>
      <c r="M66" s="210">
        <v>15000000</v>
      </c>
      <c r="N66" s="210">
        <v>187000000</v>
      </c>
      <c r="O66" s="298">
        <v>-440000000</v>
      </c>
      <c r="P66" s="210">
        <v>25000000</v>
      </c>
      <c r="Q66" s="210">
        <v>25000000</v>
      </c>
      <c r="R66" s="125"/>
      <c r="S66" s="125"/>
      <c r="T66" s="125"/>
      <c r="U66" s="125"/>
      <c r="V66" s="125"/>
      <c r="W66" s="125"/>
      <c r="X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64" t="s">
        <v>6270</v>
      </c>
      <c r="B67" s="64" t="s">
        <v>6271</v>
      </c>
      <c r="C67" s="90" t="s">
        <v>124</v>
      </c>
      <c r="D67" s="125"/>
      <c r="E67" s="125"/>
      <c r="F67" s="125"/>
      <c r="G67" s="125"/>
      <c r="H67" s="125"/>
      <c r="I67" s="125"/>
      <c r="J67" s="125"/>
      <c r="K67" s="125">
        <v>0</v>
      </c>
      <c r="L67" s="210">
        <v>0</v>
      </c>
      <c r="M67" s="210">
        <v>0</v>
      </c>
      <c r="N67" s="210">
        <v>0</v>
      </c>
      <c r="O67" s="298">
        <v>0</v>
      </c>
      <c r="P67" s="210">
        <v>0</v>
      </c>
      <c r="Q67" s="210">
        <v>0</v>
      </c>
      <c r="R67" s="125"/>
      <c r="S67" s="125"/>
      <c r="T67" s="125"/>
      <c r="U67" s="125"/>
      <c r="V67" s="125"/>
      <c r="W67" s="125"/>
      <c r="X67" s="12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A68" s="64" t="s">
        <v>6272</v>
      </c>
      <c r="B68" s="64" t="s">
        <v>6273</v>
      </c>
      <c r="C68" s="90" t="s">
        <v>124</v>
      </c>
      <c r="D68" s="125"/>
      <c r="E68" s="125"/>
      <c r="F68" s="293">
        <v>-10000000</v>
      </c>
      <c r="G68" s="125"/>
      <c r="H68" s="125"/>
      <c r="I68" s="125"/>
      <c r="J68" s="125"/>
      <c r="K68" s="125"/>
      <c r="L68" s="210"/>
      <c r="M68" s="210"/>
      <c r="N68" s="210"/>
      <c r="O68" s="298"/>
      <c r="P68" s="210"/>
      <c r="Q68" s="210"/>
      <c r="R68" s="125"/>
      <c r="S68" s="125"/>
      <c r="T68" s="125"/>
      <c r="U68" s="125"/>
      <c r="V68" s="125"/>
      <c r="W68" s="125"/>
      <c r="X68" s="12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A69" s="64" t="s">
        <v>2427</v>
      </c>
      <c r="B69" s="88" t="s">
        <v>2427</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B70" s="58" t="s">
        <v>614</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64"/>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64"/>
    </row>
    <row r="74" spans="1:49">
      <c r="B74" t="s">
        <v>450</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875</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6274</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6275</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3209</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6276</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6277</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876</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978</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05">
        <v>48402000000</v>
      </c>
      <c r="T90" s="2605">
        <v>54471000000</v>
      </c>
      <c r="U90" s="2605">
        <v>62625000000</v>
      </c>
      <c r="V90" s="2606">
        <v>69037000000</v>
      </c>
      <c r="W90" s="2605">
        <v>76107000000</v>
      </c>
      <c r="X90" s="2605">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27.290565033755694</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t="b">
        <f t="shared" si="25"/>
        <v>0</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Q6" activePane="bottomRight" state="frozen"/>
      <selection pane="topRight" activeCell="C1" sqref="C1"/>
      <selection pane="bottomLeft" activeCell="A6" sqref="A6"/>
      <selection pane="bottomRight" activeCell="U61" sqref="U61"/>
    </sheetView>
  </sheetViews>
  <sheetFormatPr defaultRowHeight="15.75"/>
  <cols>
    <col min="1" max="1" width="30.85546875" style="1602" customWidth="1"/>
    <col min="2" max="2" width="39.140625" style="1602" bestFit="1" customWidth="1"/>
    <col min="3" max="3" width="36.7109375" style="1602" customWidth="1"/>
    <col min="4" max="4" width="26.85546875" style="1602" bestFit="1" customWidth="1"/>
    <col min="5" max="5" width="21" style="1602" bestFit="1" customWidth="1"/>
    <col min="6" max="15" width="22.140625" style="1602" bestFit="1" customWidth="1"/>
    <col min="16" max="17" width="28.28515625" style="1602" bestFit="1" customWidth="1"/>
    <col min="18" max="18" width="28.28515625" style="2170" bestFit="1" customWidth="1"/>
    <col min="19" max="19" width="24.7109375" style="2170" bestFit="1" customWidth="1"/>
    <col min="20" max="21" width="27" style="2170" bestFit="1" customWidth="1"/>
    <col min="22" max="22" width="27.5703125" style="2170" bestFit="1" customWidth="1"/>
    <col min="23" max="25" width="27.5703125" style="1602" bestFit="1" customWidth="1"/>
  </cols>
  <sheetData>
    <row r="1" spans="1:25">
      <c r="A1" s="1602" t="s">
        <v>6278</v>
      </c>
      <c r="B1" s="1603" t="s">
        <v>6279</v>
      </c>
      <c r="C1" s="1603"/>
      <c r="D1" s="1604"/>
      <c r="E1" s="1604"/>
      <c r="F1" s="1604"/>
      <c r="G1" s="1604"/>
      <c r="H1" s="1604"/>
      <c r="I1" s="1604"/>
      <c r="J1" s="1604"/>
      <c r="K1" s="1604"/>
      <c r="L1" s="1604"/>
      <c r="M1" s="1604"/>
      <c r="N1" s="1604"/>
      <c r="O1" s="1605"/>
      <c r="P1" s="1605"/>
      <c r="Q1" s="1605"/>
      <c r="R1" s="2160"/>
      <c r="S1" s="2161"/>
      <c r="T1" s="2161"/>
      <c r="U1" s="2161"/>
      <c r="V1" s="2161"/>
      <c r="W1" s="1605"/>
      <c r="X1" s="1605"/>
    </row>
    <row r="2" spans="1:25">
      <c r="B2" s="1607" t="s">
        <v>6280</v>
      </c>
      <c r="C2" s="1607"/>
      <c r="D2" s="1605"/>
      <c r="E2" s="1605"/>
      <c r="F2" s="1605"/>
      <c r="G2" s="1605"/>
      <c r="H2" s="1605"/>
      <c r="I2" s="1605"/>
      <c r="J2" s="1605"/>
      <c r="K2" s="1605"/>
      <c r="L2" s="1605"/>
      <c r="M2" s="1605"/>
      <c r="N2" s="1605"/>
      <c r="O2" s="1605"/>
      <c r="P2" s="1605"/>
      <c r="Q2" s="1605"/>
      <c r="R2" s="2162"/>
      <c r="S2" s="2163"/>
      <c r="T2" s="2164"/>
      <c r="U2" s="2161"/>
      <c r="V2" s="2161"/>
      <c r="W2" s="1605"/>
      <c r="X2" s="1605"/>
    </row>
    <row r="3" spans="1:25">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2161">
        <v>2014</v>
      </c>
      <c r="S3" s="2161">
        <v>2015</v>
      </c>
      <c r="T3" s="2161">
        <v>2016</v>
      </c>
      <c r="U3" s="2161">
        <v>2017</v>
      </c>
      <c r="V3" s="2161">
        <v>2018</v>
      </c>
      <c r="W3" s="1605">
        <v>2019</v>
      </c>
      <c r="X3" s="1605">
        <v>2020</v>
      </c>
      <c r="Y3" s="1605">
        <v>2021</v>
      </c>
    </row>
    <row r="4" spans="1:25">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2160" t="s">
        <v>19</v>
      </c>
      <c r="S4" s="2161" t="s">
        <v>20</v>
      </c>
      <c r="T4" s="2161" t="s">
        <v>21</v>
      </c>
      <c r="U4" s="2161" t="s">
        <v>22</v>
      </c>
      <c r="V4" s="2161" t="s">
        <v>23</v>
      </c>
      <c r="W4" s="1605" t="s">
        <v>24</v>
      </c>
      <c r="X4" s="1605" t="s">
        <v>25</v>
      </c>
      <c r="Y4" s="1619" t="s">
        <v>26</v>
      </c>
    </row>
    <row r="5" spans="1:25">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2161" t="s">
        <v>30</v>
      </c>
      <c r="T5" s="2161" t="s">
        <v>368</v>
      </c>
      <c r="U5" s="2161" t="s">
        <v>32</v>
      </c>
      <c r="V5" s="2161" t="s">
        <v>32</v>
      </c>
      <c r="W5" s="1605" t="s">
        <v>32</v>
      </c>
      <c r="X5" s="1605" t="s">
        <v>32</v>
      </c>
      <c r="Y5" s="1602" t="s">
        <v>32</v>
      </c>
    </row>
    <row r="6" spans="1:25" s="848" customFormat="1">
      <c r="A6" s="1898" t="s">
        <v>33</v>
      </c>
      <c r="B6" s="1898" t="s">
        <v>4955</v>
      </c>
      <c r="C6" s="1899" t="s">
        <v>35</v>
      </c>
      <c r="D6" s="2177">
        <v>1079800000000</v>
      </c>
      <c r="E6" s="2177">
        <v>1215900000000</v>
      </c>
      <c r="F6" s="2177">
        <v>1428100000000</v>
      </c>
      <c r="G6" s="2177">
        <v>1839800000000</v>
      </c>
      <c r="H6" s="2177">
        <v>2156000000000</v>
      </c>
      <c r="I6" s="2177">
        <v>2795000000000</v>
      </c>
      <c r="J6" s="2177">
        <v>3036000000000</v>
      </c>
      <c r="K6" s="2177">
        <f>K7+K39</f>
        <v>3697000000000</v>
      </c>
      <c r="L6" s="2177">
        <v>5216000000000</v>
      </c>
      <c r="M6" s="2177">
        <v>5633000000000</v>
      </c>
      <c r="N6" s="2177">
        <v>6205000000000</v>
      </c>
      <c r="O6" s="2177">
        <v>7366000000000</v>
      </c>
      <c r="P6" s="2177">
        <v>9076000000000</v>
      </c>
      <c r="Q6" s="2177">
        <f>Q7+Q39</f>
        <v>10171000000000</v>
      </c>
      <c r="R6" s="2177">
        <f>R7+R39</f>
        <v>11770000000000</v>
      </c>
      <c r="S6" s="2177">
        <f>S7+S39</f>
        <v>11982000000000</v>
      </c>
      <c r="T6" s="2372">
        <f>T7+T39</f>
        <v>14402000000000</v>
      </c>
      <c r="U6" s="2372">
        <f t="shared" ref="U6:Y6" si="0">U7+U39</f>
        <v>17732000000000</v>
      </c>
      <c r="V6" s="2372">
        <f t="shared" si="0"/>
        <v>18938000000000</v>
      </c>
      <c r="W6" s="2372">
        <f t="shared" si="0"/>
        <v>21833000000000</v>
      </c>
      <c r="X6" s="2372">
        <f t="shared" si="0"/>
        <v>24928000000000</v>
      </c>
      <c r="Y6" s="1914">
        <f t="shared" si="0"/>
        <v>28058000000000</v>
      </c>
    </row>
    <row r="7" spans="1:25">
      <c r="A7" s="1602" t="s">
        <v>36</v>
      </c>
      <c r="B7" s="1612" t="s">
        <v>4956</v>
      </c>
      <c r="C7" s="1613" t="s">
        <v>38</v>
      </c>
      <c r="D7" s="2165">
        <v>772500000000</v>
      </c>
      <c r="E7" s="2165">
        <v>929600000000</v>
      </c>
      <c r="F7" s="2165">
        <v>1042900000000.0001</v>
      </c>
      <c r="G7" s="2165">
        <v>1217500000000</v>
      </c>
      <c r="H7" s="2165">
        <v>1459000000000</v>
      </c>
      <c r="I7" s="2165">
        <v>1774000000000</v>
      </c>
      <c r="J7" s="2165">
        <v>2125000000000</v>
      </c>
      <c r="K7" s="2166">
        <f>K8+K14</f>
        <v>2741000000000</v>
      </c>
      <c r="L7" s="2165">
        <v>3635000000000</v>
      </c>
      <c r="M7" s="2165">
        <v>4293000000000</v>
      </c>
      <c r="N7" s="2165">
        <v>4800000000000</v>
      </c>
      <c r="O7" s="2165">
        <v>5739000000000</v>
      </c>
      <c r="P7" s="2165">
        <v>7221000000000</v>
      </c>
      <c r="Q7" s="1891">
        <v>8443000000000</v>
      </c>
      <c r="R7" s="1891">
        <v>10182000000000</v>
      </c>
      <c r="S7" s="1891">
        <v>10958000000000</v>
      </c>
      <c r="T7" s="1633">
        <v>13907000000000</v>
      </c>
      <c r="U7" s="1633">
        <v>16640000000000</v>
      </c>
      <c r="V7" s="1633">
        <v>17940000000000</v>
      </c>
      <c r="W7" s="1636">
        <v>20331000000000</v>
      </c>
      <c r="X7" s="1636">
        <v>23330000000000</v>
      </c>
      <c r="Y7" s="1636">
        <v>26477000000000</v>
      </c>
    </row>
    <row r="8" spans="1:25">
      <c r="A8" s="1602" t="s">
        <v>39</v>
      </c>
      <c r="B8" s="1612" t="s">
        <v>3886</v>
      </c>
      <c r="C8" s="1613" t="s">
        <v>41</v>
      </c>
      <c r="D8" s="2165">
        <v>691900000000</v>
      </c>
      <c r="E8" s="2165">
        <v>827800000000</v>
      </c>
      <c r="F8" s="2165">
        <v>938500000000</v>
      </c>
      <c r="G8" s="2165">
        <v>1105700000000</v>
      </c>
      <c r="H8" s="2165">
        <v>1343000000000</v>
      </c>
      <c r="I8" s="2165">
        <v>1615000000000</v>
      </c>
      <c r="J8" s="2165">
        <v>1946000000000</v>
      </c>
      <c r="K8" s="2166">
        <f>K9+K10+K11+K12+K13</f>
        <v>2531000000000</v>
      </c>
      <c r="L8" s="2165">
        <v>3359000000000</v>
      </c>
      <c r="M8" s="2165">
        <v>4044000000000</v>
      </c>
      <c r="N8" s="2165">
        <v>4428000000000</v>
      </c>
      <c r="O8" s="2165">
        <v>5296000000000</v>
      </c>
      <c r="P8" s="2165">
        <v>6480000000000</v>
      </c>
      <c r="Q8" s="1891">
        <v>7730000000000</v>
      </c>
      <c r="R8" s="1891">
        <v>9294000000000</v>
      </c>
      <c r="S8" s="1891">
        <v>9892000000000</v>
      </c>
      <c r="T8" s="1633">
        <v>12411000000000</v>
      </c>
      <c r="U8" s="1633">
        <v>14055000000000</v>
      </c>
      <c r="V8" s="1633">
        <v>15323000000000</v>
      </c>
      <c r="W8" s="1636">
        <v>17406000000000</v>
      </c>
      <c r="X8" s="1636">
        <v>19897000000000</v>
      </c>
      <c r="Y8" s="1636">
        <v>22631000000000</v>
      </c>
    </row>
    <row r="9" spans="1:25">
      <c r="A9" s="1616" t="s">
        <v>1584</v>
      </c>
      <c r="B9" s="1616" t="s">
        <v>6281</v>
      </c>
      <c r="C9" s="1602" t="s">
        <v>44</v>
      </c>
      <c r="D9" s="2165">
        <v>87700000000</v>
      </c>
      <c r="E9" s="2165">
        <v>95600000000</v>
      </c>
      <c r="F9" s="2165">
        <v>88900000000</v>
      </c>
      <c r="G9" s="2165">
        <v>106400000000</v>
      </c>
      <c r="H9" s="2165">
        <v>137000000000</v>
      </c>
      <c r="I9" s="2165">
        <v>112000000000</v>
      </c>
      <c r="J9" s="2165">
        <v>191000000000</v>
      </c>
      <c r="K9" s="2165">
        <v>246000000000</v>
      </c>
      <c r="L9" s="2165">
        <v>289000000000</v>
      </c>
      <c r="M9" s="2165">
        <v>359000000000</v>
      </c>
      <c r="N9" s="2165">
        <v>367000000000</v>
      </c>
      <c r="O9" s="2165">
        <v>449000000000</v>
      </c>
      <c r="P9" s="2165">
        <v>498000000000</v>
      </c>
      <c r="Q9" s="1891">
        <v>584000000000</v>
      </c>
      <c r="R9" s="1891">
        <v>694000000000</v>
      </c>
      <c r="S9" s="1891">
        <v>784000000000</v>
      </c>
      <c r="T9" s="1633">
        <v>923000000000</v>
      </c>
      <c r="U9" s="1633">
        <v>998000000000</v>
      </c>
      <c r="V9" s="1633">
        <v>1063000000000</v>
      </c>
      <c r="W9" s="1636">
        <v>1188000000000</v>
      </c>
      <c r="X9" s="1636">
        <v>1333000000000</v>
      </c>
      <c r="Y9" s="1636">
        <v>1493000000000</v>
      </c>
    </row>
    <row r="10" spans="1:25">
      <c r="A10" s="1617" t="s">
        <v>4253</v>
      </c>
      <c r="B10" s="1616" t="s">
        <v>6282</v>
      </c>
      <c r="C10" s="1602" t="s">
        <v>44</v>
      </c>
      <c r="D10" s="2165">
        <v>223800000000</v>
      </c>
      <c r="E10" s="2165">
        <v>302000000000</v>
      </c>
      <c r="F10" s="2165">
        <v>352300000000</v>
      </c>
      <c r="G10" s="2165">
        <v>424300000000</v>
      </c>
      <c r="H10" s="2165">
        <v>504000000000</v>
      </c>
      <c r="I10" s="2165">
        <v>680000000000</v>
      </c>
      <c r="J10" s="2165">
        <v>803000000000</v>
      </c>
      <c r="K10" s="2165">
        <v>832000000000</v>
      </c>
      <c r="L10" s="2165">
        <v>1042000000000</v>
      </c>
      <c r="M10" s="2165">
        <v>1231000000000</v>
      </c>
      <c r="N10" s="2165">
        <v>1390000000000</v>
      </c>
      <c r="O10" s="2165">
        <v>1531000000000</v>
      </c>
      <c r="P10" s="2165">
        <v>1975000000000</v>
      </c>
      <c r="Q10" s="1891">
        <v>2146000000000</v>
      </c>
      <c r="R10" s="1891">
        <v>2189000000000</v>
      </c>
      <c r="S10" s="1891">
        <v>2439000000000</v>
      </c>
      <c r="T10" s="1633">
        <v>2960000000000</v>
      </c>
      <c r="U10" s="1633">
        <v>3915000000000</v>
      </c>
      <c r="V10" s="1633">
        <v>4260000000000</v>
      </c>
      <c r="W10" s="1636">
        <v>4899000000000</v>
      </c>
      <c r="X10" s="1636">
        <v>5721000000000</v>
      </c>
      <c r="Y10" s="1636">
        <v>6410000000000</v>
      </c>
    </row>
    <row r="11" spans="1:25">
      <c r="A11" s="1616" t="s">
        <v>553</v>
      </c>
      <c r="B11" s="1616" t="s">
        <v>553</v>
      </c>
      <c r="C11" s="1602" t="s">
        <v>44</v>
      </c>
      <c r="D11" s="2165">
        <v>88500000000</v>
      </c>
      <c r="E11" s="2165">
        <v>154800000000</v>
      </c>
      <c r="F11" s="2165">
        <v>177600000000</v>
      </c>
      <c r="G11" s="2165">
        <v>187300000000</v>
      </c>
      <c r="H11" s="2165">
        <v>215000000000</v>
      </c>
      <c r="I11" s="2165">
        <v>239000000000</v>
      </c>
      <c r="J11" s="2165">
        <v>262000000000</v>
      </c>
      <c r="K11" s="2165">
        <v>520000000000</v>
      </c>
      <c r="L11" s="2165">
        <v>661000000000</v>
      </c>
      <c r="M11" s="2165">
        <v>762000000000</v>
      </c>
      <c r="N11" s="2165">
        <v>838000000000</v>
      </c>
      <c r="O11" s="2165">
        <v>1052000000000</v>
      </c>
      <c r="P11" s="2165">
        <v>1029000000000</v>
      </c>
      <c r="Q11" s="1891">
        <v>1258000000000</v>
      </c>
      <c r="R11" s="1891">
        <v>1509000000000</v>
      </c>
      <c r="S11" s="1891">
        <v>1671000000000</v>
      </c>
      <c r="T11" s="1633">
        <v>2123000000000</v>
      </c>
      <c r="U11" s="1633">
        <v>2102000000000</v>
      </c>
      <c r="V11" s="1633">
        <v>2251000000000</v>
      </c>
      <c r="W11" s="1636">
        <v>2517000000000</v>
      </c>
      <c r="X11" s="1636">
        <v>2974000000000</v>
      </c>
      <c r="Y11" s="1636">
        <v>3332000000000</v>
      </c>
    </row>
    <row r="12" spans="1:25">
      <c r="A12" s="1617" t="s">
        <v>628</v>
      </c>
      <c r="B12" s="1616" t="s">
        <v>5965</v>
      </c>
      <c r="C12" s="1602" t="s">
        <v>44</v>
      </c>
      <c r="D12" s="2165">
        <v>205100000000</v>
      </c>
      <c r="E12" s="2165">
        <v>194000000000</v>
      </c>
      <c r="F12" s="2165">
        <v>228400000000</v>
      </c>
      <c r="G12" s="2165">
        <v>276000000000</v>
      </c>
      <c r="H12" s="2165">
        <v>364000000000</v>
      </c>
      <c r="I12" s="2165">
        <v>453000000000</v>
      </c>
      <c r="J12" s="2165">
        <v>554000000000</v>
      </c>
      <c r="K12" s="2165">
        <v>714000000000</v>
      </c>
      <c r="L12" s="2165">
        <v>984000000000</v>
      </c>
      <c r="M12" s="2165">
        <v>1229000000000</v>
      </c>
      <c r="N12" s="2165">
        <v>1334000000000</v>
      </c>
      <c r="O12" s="2165">
        <v>1660000000000</v>
      </c>
      <c r="P12" s="2165">
        <v>2247000000000</v>
      </c>
      <c r="Q12" s="1891">
        <v>3034000000000</v>
      </c>
      <c r="R12" s="1891">
        <v>3779000000000</v>
      </c>
      <c r="S12" s="1891">
        <v>3720000000000</v>
      </c>
      <c r="T12" s="1633">
        <v>4600000000000</v>
      </c>
      <c r="U12" s="1633">
        <v>4830000000000</v>
      </c>
      <c r="V12" s="1633">
        <v>5442000000000</v>
      </c>
      <c r="W12" s="1636">
        <v>6221000000000</v>
      </c>
      <c r="X12" s="1636">
        <v>6976000000000</v>
      </c>
      <c r="Y12" s="1636">
        <v>7986000000000</v>
      </c>
    </row>
    <row r="13" spans="1:25">
      <c r="A13" s="1616" t="s">
        <v>49</v>
      </c>
      <c r="B13" s="1616" t="s">
        <v>6283</v>
      </c>
      <c r="C13" s="1602" t="s">
        <v>44</v>
      </c>
      <c r="D13" s="2165">
        <v>86900000000</v>
      </c>
      <c r="E13" s="2165">
        <v>81400000000</v>
      </c>
      <c r="F13" s="2165">
        <v>91300000000</v>
      </c>
      <c r="G13" s="2165">
        <v>111700000000</v>
      </c>
      <c r="H13" s="2165">
        <v>123000000000</v>
      </c>
      <c r="I13" s="2165">
        <v>132000000000</v>
      </c>
      <c r="J13" s="2165">
        <v>137000000000</v>
      </c>
      <c r="K13" s="2165">
        <v>219000000000</v>
      </c>
      <c r="L13" s="2165">
        <v>383000000000</v>
      </c>
      <c r="M13" s="2165">
        <v>463000000000</v>
      </c>
      <c r="N13" s="2165">
        <v>499000000000</v>
      </c>
      <c r="O13" s="2165">
        <v>604000000000</v>
      </c>
      <c r="P13" s="2165">
        <v>732000000000</v>
      </c>
      <c r="Q13" s="1891">
        <v>707000000000</v>
      </c>
      <c r="R13" s="1891">
        <v>1124000000000</v>
      </c>
      <c r="S13" s="1891">
        <v>1279000000000</v>
      </c>
      <c r="T13" s="1633">
        <v>1805000000000</v>
      </c>
      <c r="U13" s="1633">
        <v>2211000000000</v>
      </c>
      <c r="V13" s="1633">
        <v>2307000000000</v>
      </c>
      <c r="W13" s="1636">
        <v>2580000000000</v>
      </c>
      <c r="X13" s="1636">
        <v>2893000000000</v>
      </c>
      <c r="Y13" s="1636">
        <v>3411000000000</v>
      </c>
    </row>
    <row r="14" spans="1:25">
      <c r="A14" s="1604" t="s">
        <v>51</v>
      </c>
      <c r="B14" s="1612" t="s">
        <v>4959</v>
      </c>
      <c r="C14" s="1613" t="s">
        <v>41</v>
      </c>
      <c r="D14" s="2165">
        <v>80500000000</v>
      </c>
      <c r="E14" s="2165">
        <v>101800000000</v>
      </c>
      <c r="F14" s="2165">
        <v>104500000000</v>
      </c>
      <c r="G14" s="2165">
        <v>111800000000</v>
      </c>
      <c r="H14" s="2165">
        <v>117000000000</v>
      </c>
      <c r="I14" s="2165">
        <v>158000000000</v>
      </c>
      <c r="J14" s="2165">
        <v>178000000000</v>
      </c>
      <c r="K14" s="2165">
        <v>210000000000</v>
      </c>
      <c r="L14" s="2165">
        <v>275000000000</v>
      </c>
      <c r="M14" s="2165">
        <v>249000000000</v>
      </c>
      <c r="N14" s="2165">
        <v>372000000000</v>
      </c>
      <c r="O14" s="2165">
        <v>443000000000</v>
      </c>
      <c r="P14" s="2165">
        <v>741000000000</v>
      </c>
      <c r="Q14" s="1891">
        <v>713000000000</v>
      </c>
      <c r="R14" s="1891">
        <v>888000000000</v>
      </c>
      <c r="S14" s="1891">
        <v>1066000000000</v>
      </c>
      <c r="T14" s="1633">
        <v>1496000000000</v>
      </c>
      <c r="U14" s="1633">
        <v>2585000000000</v>
      </c>
      <c r="V14" s="1633">
        <v>2616000000000</v>
      </c>
      <c r="W14" s="1636">
        <v>2926000000000</v>
      </c>
      <c r="X14" s="1636">
        <v>3433000000000</v>
      </c>
      <c r="Y14" s="1636">
        <v>3846000000000</v>
      </c>
    </row>
    <row r="15" spans="1:25">
      <c r="A15" s="1616" t="s">
        <v>6284</v>
      </c>
      <c r="B15" s="1616" t="s">
        <v>6285</v>
      </c>
      <c r="C15" s="1612" t="s">
        <v>192</v>
      </c>
      <c r="D15" s="2167"/>
      <c r="E15" s="2167"/>
      <c r="F15" s="2167"/>
      <c r="G15" s="2165"/>
      <c r="H15" s="2165"/>
      <c r="I15" s="2167"/>
      <c r="J15" s="2167"/>
      <c r="K15" s="2167"/>
      <c r="L15" s="2167"/>
      <c r="M15" s="2165"/>
      <c r="N15" s="2165">
        <v>138000000000</v>
      </c>
      <c r="O15" s="2165">
        <v>158000000000</v>
      </c>
      <c r="P15" s="2165">
        <v>196000000000</v>
      </c>
      <c r="Q15" s="1891">
        <v>221000000000</v>
      </c>
      <c r="R15" s="1891">
        <v>315000000000</v>
      </c>
      <c r="S15" s="1891">
        <v>360000000000</v>
      </c>
      <c r="T15" s="1633">
        <v>426000000000</v>
      </c>
      <c r="U15" s="1633">
        <v>512000000000</v>
      </c>
      <c r="V15" s="1633">
        <v>598000000000</v>
      </c>
      <c r="W15" s="1636">
        <v>669000000000</v>
      </c>
      <c r="X15" s="1636">
        <v>750000000000</v>
      </c>
      <c r="Y15" s="1636">
        <v>840000000000</v>
      </c>
    </row>
    <row r="16" spans="1:25">
      <c r="A16" s="1617" t="s">
        <v>649</v>
      </c>
      <c r="B16" s="1616" t="s">
        <v>50</v>
      </c>
      <c r="C16" s="1612" t="s">
        <v>192</v>
      </c>
      <c r="D16" s="2167"/>
      <c r="E16" s="2167"/>
      <c r="F16" s="2167"/>
      <c r="G16" s="2165"/>
      <c r="H16" s="2165"/>
      <c r="I16" s="2167"/>
      <c r="J16" s="2167"/>
      <c r="K16" s="2167"/>
      <c r="L16" s="2167"/>
      <c r="M16" s="2165">
        <v>249000000000</v>
      </c>
      <c r="N16" s="2165">
        <v>234000000000</v>
      </c>
      <c r="O16" s="2165">
        <v>285000000000</v>
      </c>
      <c r="P16" s="2165">
        <v>545000000000</v>
      </c>
      <c r="Q16" s="1891">
        <v>492000000000</v>
      </c>
      <c r="R16" s="1891">
        <v>573000000000</v>
      </c>
      <c r="S16" s="1891">
        <v>706000000000</v>
      </c>
      <c r="T16" s="1633">
        <v>1070000000000</v>
      </c>
      <c r="U16" s="1633">
        <v>2073000000000</v>
      </c>
      <c r="V16" s="1633">
        <v>2018000000000</v>
      </c>
      <c r="W16" s="1636">
        <v>2257000000000</v>
      </c>
      <c r="X16" s="1636">
        <v>2682000000000</v>
      </c>
      <c r="Y16" s="1636">
        <v>3005000000000</v>
      </c>
    </row>
    <row r="17" spans="1:25" s="848" customFormat="1">
      <c r="A17" s="1899" t="s">
        <v>71</v>
      </c>
      <c r="B17" s="1899" t="s">
        <v>72</v>
      </c>
      <c r="C17" s="1902" t="s">
        <v>35</v>
      </c>
      <c r="D17" s="2178">
        <v>1271900000000</v>
      </c>
      <c r="E17" s="2178">
        <v>1314800000000</v>
      </c>
      <c r="F17" s="2178">
        <v>1521900000000</v>
      </c>
      <c r="G17" s="2178">
        <v>1989500000000</v>
      </c>
      <c r="H17" s="2178">
        <v>2528000000000</v>
      </c>
      <c r="I17" s="2178">
        <v>3248000000000</v>
      </c>
      <c r="J17" s="2178">
        <v>3873000000000</v>
      </c>
      <c r="K17" s="2178">
        <v>4475000000000</v>
      </c>
      <c r="L17" s="2178">
        <v>5217000000000</v>
      </c>
      <c r="M17" s="2178">
        <v>6907000000000</v>
      </c>
      <c r="N17" s="2178">
        <v>8312000000000</v>
      </c>
      <c r="O17" s="2178">
        <v>9439000000000</v>
      </c>
      <c r="P17" s="2178">
        <v>10765000000000</v>
      </c>
      <c r="Q17" s="2176">
        <v>13543000000000</v>
      </c>
      <c r="R17" s="2176">
        <v>13958000000000</v>
      </c>
      <c r="S17" s="2176">
        <v>14604000000000</v>
      </c>
      <c r="T17" s="1901">
        <v>17760000000000</v>
      </c>
      <c r="U17" s="1901">
        <v>18890000000000</v>
      </c>
      <c r="V17" s="1901">
        <v>24035000000000</v>
      </c>
      <c r="W17" s="1914">
        <v>28078000000000</v>
      </c>
      <c r="X17" s="1914">
        <v>31857000000000</v>
      </c>
      <c r="Y17" s="1914">
        <v>34417000000000</v>
      </c>
    </row>
    <row r="18" spans="1:25">
      <c r="A18" s="1604" t="s">
        <v>73</v>
      </c>
      <c r="B18" s="1612" t="s">
        <v>6286</v>
      </c>
      <c r="C18" s="1613" t="s">
        <v>75</v>
      </c>
      <c r="D18" s="2165">
        <v>807600000000</v>
      </c>
      <c r="E18" s="2165">
        <v>986600000000</v>
      </c>
      <c r="F18" s="2165">
        <v>1171400000000</v>
      </c>
      <c r="G18" s="2165">
        <v>1488600000000</v>
      </c>
      <c r="H18" s="2165">
        <v>1886000000000</v>
      </c>
      <c r="I18" s="2165">
        <v>2300000000000</v>
      </c>
      <c r="J18" s="2165">
        <v>2920000000000</v>
      </c>
      <c r="K18" s="2165">
        <v>3296000000000</v>
      </c>
      <c r="L18" s="2165">
        <v>3398000000000</v>
      </c>
      <c r="M18" s="2165">
        <v>4681000000000</v>
      </c>
      <c r="N18" s="2165">
        <v>5700000000000</v>
      </c>
      <c r="O18" s="2165">
        <v>6690000000000</v>
      </c>
      <c r="P18" s="2165">
        <v>6990000000000</v>
      </c>
      <c r="Q18" s="1891">
        <v>9445000000000</v>
      </c>
      <c r="R18" s="1891">
        <v>10299000000000</v>
      </c>
      <c r="S18" s="1891">
        <v>10893000000000</v>
      </c>
      <c r="T18" s="1633">
        <v>13420000000000</v>
      </c>
      <c r="U18" s="1633">
        <v>11617000000000</v>
      </c>
      <c r="V18" s="1633">
        <v>13673000000000</v>
      </c>
      <c r="W18" s="1636">
        <v>16032000000000</v>
      </c>
      <c r="X18" s="1636">
        <v>18188000000000</v>
      </c>
      <c r="Y18" s="1636">
        <v>20487000000000</v>
      </c>
    </row>
    <row r="19" spans="1:25">
      <c r="A19" s="1616" t="s">
        <v>79</v>
      </c>
      <c r="B19" s="1616" t="s">
        <v>4966</v>
      </c>
      <c r="C19" s="1613" t="s">
        <v>81</v>
      </c>
      <c r="D19" s="2165">
        <v>285300000000</v>
      </c>
      <c r="E19" s="2165">
        <v>308100000000</v>
      </c>
      <c r="F19" s="2165">
        <v>342000000000</v>
      </c>
      <c r="G19" s="2165">
        <v>397800000000</v>
      </c>
      <c r="H19" s="2165">
        <v>463000000000</v>
      </c>
      <c r="I19" s="2165">
        <v>551000000000</v>
      </c>
      <c r="J19" s="2165">
        <v>657000000000</v>
      </c>
      <c r="K19" s="2165">
        <v>976000000000</v>
      </c>
      <c r="L19" s="2165">
        <v>1135000000000</v>
      </c>
      <c r="M19" s="2165">
        <v>1609000000000</v>
      </c>
      <c r="N19" s="2165">
        <v>1723000000000</v>
      </c>
      <c r="O19" s="2165">
        <v>2346000000000</v>
      </c>
      <c r="P19" s="2165">
        <v>2722000000000</v>
      </c>
      <c r="Q19" s="1891">
        <v>3350000000000</v>
      </c>
      <c r="R19" s="1891">
        <v>3969000000000</v>
      </c>
      <c r="S19" s="1891">
        <v>4618000000000</v>
      </c>
      <c r="T19" s="1633">
        <v>5627000000000</v>
      </c>
      <c r="U19" s="1633">
        <v>5599000000000</v>
      </c>
      <c r="V19" s="1633">
        <v>6276000000000</v>
      </c>
      <c r="W19" s="1636">
        <v>7154000000000</v>
      </c>
      <c r="X19" s="1636">
        <v>8022000000000</v>
      </c>
      <c r="Y19" s="1636">
        <v>8987000000000</v>
      </c>
    </row>
    <row r="20" spans="1:25">
      <c r="A20" s="1616"/>
      <c r="B20" s="1612" t="s">
        <v>6287</v>
      </c>
      <c r="C20" s="1613"/>
      <c r="D20" s="2165"/>
      <c r="E20" s="2165"/>
      <c r="F20" s="2165"/>
      <c r="G20" s="2165"/>
      <c r="H20" s="2165"/>
      <c r="I20" s="2165"/>
      <c r="J20" s="2165"/>
      <c r="K20" s="2165"/>
      <c r="L20" s="2165"/>
      <c r="M20" s="2165"/>
      <c r="N20" s="2165"/>
      <c r="O20" s="2165"/>
      <c r="P20" s="2165"/>
      <c r="Q20" s="1891"/>
      <c r="R20" s="1891"/>
      <c r="S20" s="1891" t="s">
        <v>78</v>
      </c>
      <c r="T20" s="1633"/>
      <c r="U20" s="1633"/>
      <c r="V20" s="1633"/>
      <c r="W20" s="1636"/>
      <c r="X20" s="1636"/>
      <c r="Y20" s="1636"/>
    </row>
    <row r="21" spans="1:25">
      <c r="A21" s="1616" t="s">
        <v>90</v>
      </c>
      <c r="B21" s="1616" t="s">
        <v>5976</v>
      </c>
      <c r="C21" s="1613" t="s">
        <v>81</v>
      </c>
      <c r="D21" s="2165">
        <v>127000000000</v>
      </c>
      <c r="E21" s="2165">
        <v>128100000000</v>
      </c>
      <c r="F21" s="2165">
        <v>121100000000</v>
      </c>
      <c r="G21" s="2165">
        <v>99800000000</v>
      </c>
      <c r="H21" s="2165">
        <v>109000000000</v>
      </c>
      <c r="I21" s="2165">
        <v>143000000000</v>
      </c>
      <c r="J21" s="2165">
        <v>219000000000</v>
      </c>
      <c r="K21" s="2165">
        <v>216000000000</v>
      </c>
      <c r="L21" s="2165">
        <v>265000000000</v>
      </c>
      <c r="M21" s="2165">
        <v>243000000000</v>
      </c>
      <c r="N21" s="2165">
        <v>249000000000</v>
      </c>
      <c r="O21" s="2165">
        <v>353000000000</v>
      </c>
      <c r="P21" s="2165">
        <v>436000000000</v>
      </c>
      <c r="Q21" s="1891">
        <v>767000000000</v>
      </c>
      <c r="R21" s="1891">
        <v>977000000000</v>
      </c>
      <c r="S21" s="1891">
        <v>1261000000000</v>
      </c>
      <c r="T21" s="1633">
        <v>1486000000000</v>
      </c>
      <c r="U21" s="1633">
        <v>1715000000000</v>
      </c>
      <c r="V21" s="1633">
        <v>1803000000000</v>
      </c>
      <c r="W21" s="1636">
        <v>2641000000000</v>
      </c>
      <c r="X21" s="1636">
        <v>3043000000000</v>
      </c>
      <c r="Y21" s="1636">
        <v>3548000000000</v>
      </c>
    </row>
    <row r="22" spans="1:25">
      <c r="A22" s="1602" t="s">
        <v>517</v>
      </c>
      <c r="B22" s="1620" t="s">
        <v>209</v>
      </c>
      <c r="C22" s="1612" t="s">
        <v>6288</v>
      </c>
      <c r="D22" s="2165">
        <v>81400000000</v>
      </c>
      <c r="E22" s="2165">
        <v>77800000000</v>
      </c>
      <c r="F22" s="2165">
        <v>64599999999.999992</v>
      </c>
      <c r="G22" s="2165">
        <v>57000000000</v>
      </c>
      <c r="H22" s="2165">
        <v>70000000000</v>
      </c>
      <c r="I22" s="2165">
        <v>87000000000</v>
      </c>
      <c r="J22" s="2165">
        <v>164000000000</v>
      </c>
      <c r="K22" s="2165">
        <v>185000000000</v>
      </c>
      <c r="L22" s="2165">
        <v>237000000000</v>
      </c>
      <c r="M22" s="2165">
        <v>208000000000</v>
      </c>
      <c r="N22" s="2165">
        <v>208000000000</v>
      </c>
      <c r="O22" s="2165">
        <v>285000000000</v>
      </c>
      <c r="P22" s="2165">
        <v>345000000000</v>
      </c>
      <c r="Q22" s="1891">
        <v>590000000000</v>
      </c>
      <c r="R22" s="1891">
        <v>743000000000</v>
      </c>
      <c r="S22" s="1891">
        <v>917000000000</v>
      </c>
      <c r="T22" s="1633">
        <v>1010000000000</v>
      </c>
      <c r="U22" s="1633">
        <v>1216000000000</v>
      </c>
      <c r="V22" s="1633">
        <v>1130000000000</v>
      </c>
      <c r="W22" s="1636">
        <v>1793000000000</v>
      </c>
      <c r="X22" s="1636">
        <v>2020000000000</v>
      </c>
      <c r="Y22" s="1636">
        <v>2333000000000</v>
      </c>
    </row>
    <row r="23" spans="1:25">
      <c r="A23" s="1602" t="s">
        <v>583</v>
      </c>
      <c r="B23" s="1620" t="s">
        <v>6289</v>
      </c>
      <c r="C23" s="1612" t="s">
        <v>6288</v>
      </c>
      <c r="D23" s="2165">
        <v>45600000000</v>
      </c>
      <c r="E23" s="2165">
        <v>50400000000</v>
      </c>
      <c r="F23" s="2165">
        <v>56500000000</v>
      </c>
      <c r="G23" s="2165">
        <v>42800000000</v>
      </c>
      <c r="H23" s="2165">
        <v>38000000000</v>
      </c>
      <c r="I23" s="2165">
        <v>56000000000</v>
      </c>
      <c r="J23" s="2165">
        <v>55000000000</v>
      </c>
      <c r="K23" s="2165">
        <v>31000000000</v>
      </c>
      <c r="L23" s="2165">
        <v>27000000000</v>
      </c>
      <c r="M23" s="2165">
        <v>35000000000</v>
      </c>
      <c r="N23" s="2165">
        <v>41000000000</v>
      </c>
      <c r="O23" s="2165">
        <v>68000000000</v>
      </c>
      <c r="P23" s="2165">
        <v>91000000000</v>
      </c>
      <c r="Q23" s="1891">
        <v>177000000000</v>
      </c>
      <c r="R23" s="1891">
        <v>234000000000</v>
      </c>
      <c r="S23" s="1891">
        <v>344000000000</v>
      </c>
      <c r="T23" s="1633">
        <v>477000000000</v>
      </c>
      <c r="U23" s="1633">
        <v>500000000000</v>
      </c>
      <c r="V23" s="1633">
        <v>673000000000</v>
      </c>
      <c r="W23" s="1636">
        <v>847000000000</v>
      </c>
      <c r="X23" s="1636">
        <v>1023000000000</v>
      </c>
      <c r="Y23" s="1636">
        <v>1214000000000</v>
      </c>
    </row>
    <row r="24" spans="1:25">
      <c r="A24" s="1616" t="s">
        <v>6290</v>
      </c>
      <c r="B24" s="1616" t="s">
        <v>6291</v>
      </c>
      <c r="C24" s="1613" t="s">
        <v>81</v>
      </c>
      <c r="D24" s="2165">
        <v>395300000000</v>
      </c>
      <c r="E24" s="2165">
        <v>550400000000</v>
      </c>
      <c r="F24" s="2165">
        <v>708300000000</v>
      </c>
      <c r="G24" s="2165">
        <v>991100000000</v>
      </c>
      <c r="H24" s="2165">
        <v>1314000000000</v>
      </c>
      <c r="I24" s="2165">
        <v>1606000000000</v>
      </c>
      <c r="J24" s="2165">
        <v>2044000000000</v>
      </c>
      <c r="K24" s="2165">
        <v>2105000000000</v>
      </c>
      <c r="L24" s="2165">
        <v>1998000000000</v>
      </c>
      <c r="M24" s="2165">
        <v>2830000000000</v>
      </c>
      <c r="N24" s="2165">
        <v>3728000000000</v>
      </c>
      <c r="O24" s="2165">
        <v>3991000000000</v>
      </c>
      <c r="P24" s="2165">
        <v>3831000000000</v>
      </c>
      <c r="Q24" s="1891">
        <v>5328000000000</v>
      </c>
      <c r="R24" s="1891">
        <v>5352000000000</v>
      </c>
      <c r="S24" s="1891">
        <v>5015000000000</v>
      </c>
      <c r="T24" s="1633">
        <v>6306000000000</v>
      </c>
      <c r="U24" s="1633">
        <v>4302000000000</v>
      </c>
      <c r="V24" s="1633">
        <v>5594000000000</v>
      </c>
      <c r="W24" s="1636">
        <v>6238000000000</v>
      </c>
      <c r="X24" s="1636">
        <v>7123000000000</v>
      </c>
      <c r="Y24" s="1636">
        <v>7952000000000</v>
      </c>
    </row>
    <row r="25" spans="1:25">
      <c r="A25" s="1602" t="s">
        <v>6292</v>
      </c>
      <c r="B25" s="1620" t="s">
        <v>6293</v>
      </c>
      <c r="C25" s="1612" t="s">
        <v>6294</v>
      </c>
      <c r="D25" s="2167"/>
      <c r="E25" s="2167"/>
      <c r="F25" s="2167"/>
      <c r="G25" s="2165"/>
      <c r="H25" s="2165"/>
      <c r="I25" s="2165"/>
      <c r="J25" s="2165"/>
      <c r="K25" s="2165">
        <v>18000000000</v>
      </c>
      <c r="L25" s="2165">
        <v>114000000000</v>
      </c>
      <c r="M25" s="2165" t="s">
        <v>599</v>
      </c>
      <c r="N25" s="2165" t="s">
        <v>599</v>
      </c>
      <c r="O25" s="2165" t="s">
        <v>599</v>
      </c>
      <c r="P25" s="2165" t="s">
        <v>599</v>
      </c>
      <c r="Q25" s="2165" t="s">
        <v>599</v>
      </c>
      <c r="R25" s="2165"/>
      <c r="S25" s="2165"/>
      <c r="T25" s="1896"/>
      <c r="U25" s="1896"/>
      <c r="V25" s="1896"/>
      <c r="W25" s="1636"/>
      <c r="X25" s="1636"/>
      <c r="Y25" s="1636"/>
    </row>
    <row r="26" spans="1:25">
      <c r="A26" s="1602" t="s">
        <v>6295</v>
      </c>
      <c r="B26" s="1620" t="s">
        <v>6296</v>
      </c>
      <c r="C26" s="1612" t="s">
        <v>6294</v>
      </c>
      <c r="D26" s="2167"/>
      <c r="E26" s="2167"/>
      <c r="F26" s="2167"/>
      <c r="G26" s="2165"/>
      <c r="H26" s="2165"/>
      <c r="I26" s="2165"/>
      <c r="J26" s="2165"/>
      <c r="K26" s="2165"/>
      <c r="L26" s="2165"/>
      <c r="M26" s="2165"/>
      <c r="N26" s="2165"/>
      <c r="O26" s="2165"/>
      <c r="P26" s="2165"/>
      <c r="Q26" s="2165"/>
      <c r="R26" s="2165"/>
      <c r="S26" s="2165">
        <v>75000000000</v>
      </c>
      <c r="T26" s="1896"/>
      <c r="U26" s="1896"/>
      <c r="V26" s="1896"/>
      <c r="W26" s="1636"/>
      <c r="X26" s="1636"/>
      <c r="Y26" s="1636"/>
    </row>
    <row r="27" spans="1:25">
      <c r="A27" s="1602" t="s">
        <v>6297</v>
      </c>
      <c r="B27" s="1620" t="s">
        <v>6298</v>
      </c>
      <c r="C27" s="1612" t="s">
        <v>6294</v>
      </c>
      <c r="D27" s="2167"/>
      <c r="E27" s="2167"/>
      <c r="F27" s="2167"/>
      <c r="G27" s="2165" t="s">
        <v>599</v>
      </c>
      <c r="H27" s="2165"/>
      <c r="I27" s="2167"/>
      <c r="J27" s="2167"/>
      <c r="K27" s="2167"/>
      <c r="L27" s="2167"/>
      <c r="M27" s="2167"/>
      <c r="N27" s="2165"/>
      <c r="O27" s="2165"/>
      <c r="P27" s="2165"/>
      <c r="Q27" s="2165"/>
      <c r="R27" s="2168"/>
      <c r="S27" s="2165">
        <v>0</v>
      </c>
      <c r="T27" s="1896"/>
      <c r="U27" s="1896"/>
      <c r="V27" s="1896"/>
      <c r="W27" s="1636"/>
      <c r="X27" s="1636"/>
      <c r="Y27" s="1636"/>
    </row>
    <row r="28" spans="1:25">
      <c r="A28" s="1602" t="s">
        <v>6299</v>
      </c>
      <c r="B28" s="1620" t="s">
        <v>6300</v>
      </c>
      <c r="C28" s="1612" t="s">
        <v>6294</v>
      </c>
      <c r="D28" s="2167"/>
      <c r="E28" s="2167"/>
      <c r="F28" s="2167"/>
      <c r="G28" s="2165"/>
      <c r="H28" s="2165"/>
      <c r="I28" s="2167"/>
      <c r="J28" s="2167"/>
      <c r="K28" s="2167"/>
      <c r="L28" s="2167"/>
      <c r="M28" s="2167"/>
      <c r="N28" s="2165"/>
      <c r="O28" s="2165"/>
      <c r="P28" s="2165"/>
      <c r="Q28" s="2165"/>
      <c r="R28" s="2168"/>
      <c r="S28" s="2165"/>
      <c r="T28" s="1896"/>
      <c r="U28" s="1896"/>
      <c r="V28" s="1896"/>
      <c r="W28" s="1636"/>
      <c r="X28" s="1636"/>
      <c r="Y28" s="1636"/>
    </row>
    <row r="29" spans="1:25">
      <c r="A29" s="1616" t="s">
        <v>6301</v>
      </c>
      <c r="B29" s="1620" t="s">
        <v>6302</v>
      </c>
      <c r="C29" s="1612" t="s">
        <v>6294</v>
      </c>
      <c r="D29" s="2167"/>
      <c r="E29" s="2167"/>
      <c r="F29" s="2167"/>
      <c r="G29" s="2165"/>
      <c r="H29" s="2165"/>
      <c r="I29" s="2167"/>
      <c r="J29" s="2167"/>
      <c r="K29" s="2165">
        <f t="shared" ref="K29" si="1">K24-K25-K26-K27-K28</f>
        <v>2087000000000</v>
      </c>
      <c r="L29" s="2165">
        <f t="shared" ref="L29" si="2">L24-L25-L26-L27-L28</f>
        <v>1884000000000</v>
      </c>
      <c r="M29" s="2167"/>
      <c r="N29" s="2165"/>
      <c r="O29" s="2165"/>
      <c r="P29" s="2165"/>
      <c r="Q29" s="2165"/>
      <c r="R29" s="2165"/>
      <c r="S29" s="2165">
        <f>S24-S25-S26-S27-S28</f>
        <v>4940000000000</v>
      </c>
      <c r="T29" s="1896"/>
      <c r="U29" s="1896"/>
      <c r="V29" s="1896"/>
      <c r="W29" s="1896"/>
      <c r="X29" s="1896"/>
      <c r="Y29" s="1636"/>
    </row>
    <row r="30" spans="1:25">
      <c r="A30" s="1612" t="s">
        <v>92</v>
      </c>
      <c r="B30" s="1612" t="s">
        <v>6303</v>
      </c>
      <c r="C30" s="1613" t="s">
        <v>75</v>
      </c>
      <c r="D30" s="2165">
        <v>359900000000</v>
      </c>
      <c r="E30" s="2165">
        <v>286300000000</v>
      </c>
      <c r="F30" s="2165">
        <v>291300000000</v>
      </c>
      <c r="G30" s="2165">
        <v>500900000000</v>
      </c>
      <c r="H30" s="2165">
        <v>642000000000</v>
      </c>
      <c r="I30" s="2165">
        <v>949000000000</v>
      </c>
      <c r="J30" s="2165">
        <v>953000000000</v>
      </c>
      <c r="K30" s="2165">
        <v>1179000000000</v>
      </c>
      <c r="L30" s="2165">
        <v>1819000000000</v>
      </c>
      <c r="M30" s="2165">
        <v>2226000000000</v>
      </c>
      <c r="N30" s="2165">
        <v>2611000000000</v>
      </c>
      <c r="O30" s="2165">
        <v>2749000000000</v>
      </c>
      <c r="P30" s="2165">
        <v>3775000000000</v>
      </c>
      <c r="Q30" s="1891">
        <v>4098000000000</v>
      </c>
      <c r="R30" s="1891">
        <v>3660000000000</v>
      </c>
      <c r="S30" s="1891">
        <v>3710000000000</v>
      </c>
      <c r="T30" s="1633">
        <v>4340000000000</v>
      </c>
      <c r="U30" s="1633">
        <v>7273000000000</v>
      </c>
      <c r="V30" s="1633">
        <v>10362000000000</v>
      </c>
      <c r="W30" s="1636">
        <v>12047000000000</v>
      </c>
      <c r="X30" s="1636">
        <v>13669000000000</v>
      </c>
      <c r="Y30" s="1636">
        <v>13930000000000</v>
      </c>
    </row>
    <row r="31" spans="1:25">
      <c r="A31" s="1619" t="s">
        <v>239</v>
      </c>
      <c r="B31" s="1616" t="s">
        <v>4977</v>
      </c>
      <c r="C31" s="1613" t="s">
        <v>95</v>
      </c>
      <c r="D31" s="2165">
        <v>19400000000</v>
      </c>
      <c r="E31" s="2165">
        <v>35100000000</v>
      </c>
      <c r="F31" s="2165">
        <v>50200000000</v>
      </c>
      <c r="G31" s="2165">
        <v>95700000000</v>
      </c>
      <c r="H31" s="2165">
        <v>133000000000</v>
      </c>
      <c r="I31" s="2165">
        <v>240000000000</v>
      </c>
      <c r="J31" s="2165">
        <v>296000000000</v>
      </c>
      <c r="K31" s="2165">
        <v>504000000000</v>
      </c>
      <c r="L31" s="2165">
        <v>567000000000</v>
      </c>
      <c r="M31" s="2165">
        <v>906000000000</v>
      </c>
      <c r="N31" s="2165">
        <v>1005000000000</v>
      </c>
      <c r="O31" s="2165">
        <v>985000000000</v>
      </c>
      <c r="P31" s="2165">
        <v>1872000000000</v>
      </c>
      <c r="Q31" s="1891">
        <v>1913000000000</v>
      </c>
      <c r="R31" s="1891">
        <v>1855000000000</v>
      </c>
      <c r="S31" s="1891">
        <v>2265000000000</v>
      </c>
      <c r="T31" s="1633">
        <v>2905000000000</v>
      </c>
      <c r="U31" s="1633">
        <v>5141000000000</v>
      </c>
      <c r="V31" s="1633">
        <v>7750000000000</v>
      </c>
      <c r="W31" s="1636">
        <v>7519000000000</v>
      </c>
      <c r="X31" s="1636">
        <v>8685000000000</v>
      </c>
      <c r="Y31" s="1636">
        <v>8948000000000</v>
      </c>
    </row>
    <row r="32" spans="1:25">
      <c r="A32" s="1602" t="s">
        <v>6292</v>
      </c>
      <c r="B32" s="1620" t="s">
        <v>6304</v>
      </c>
      <c r="C32" s="1612" t="s">
        <v>1234</v>
      </c>
      <c r="D32" s="2167"/>
      <c r="E32" s="2167"/>
      <c r="F32" s="2167"/>
      <c r="G32" s="2165"/>
      <c r="H32" s="2165"/>
      <c r="I32" s="2165">
        <v>0</v>
      </c>
      <c r="J32" s="2165">
        <v>0</v>
      </c>
      <c r="K32" s="2165">
        <v>105000000000</v>
      </c>
      <c r="L32" s="2165">
        <v>114000000000</v>
      </c>
      <c r="M32" s="2165"/>
      <c r="N32" s="2165">
        <v>0</v>
      </c>
      <c r="O32" s="2165">
        <v>0</v>
      </c>
      <c r="P32" s="2165">
        <v>0</v>
      </c>
      <c r="Q32" s="1891"/>
      <c r="R32" s="1891"/>
      <c r="S32" s="1891"/>
      <c r="T32" s="1633"/>
      <c r="U32" s="1633"/>
      <c r="V32" s="1633"/>
      <c r="W32" s="1636"/>
      <c r="X32" s="1636"/>
      <c r="Y32" s="1636"/>
    </row>
    <row r="33" spans="1:25">
      <c r="A33" s="2169" t="s">
        <v>5731</v>
      </c>
      <c r="B33" s="1620" t="s">
        <v>6305</v>
      </c>
      <c r="C33" s="1612" t="s">
        <v>1234</v>
      </c>
      <c r="D33" s="2167"/>
      <c r="E33" s="2167"/>
      <c r="F33" s="2167"/>
      <c r="G33" s="2165"/>
      <c r="H33" s="2165"/>
      <c r="I33" s="2165"/>
      <c r="J33" s="2165"/>
      <c r="K33" s="2165"/>
      <c r="L33" s="2165"/>
      <c r="M33" s="2165"/>
      <c r="N33" s="2165"/>
      <c r="O33" s="2165"/>
      <c r="P33" s="2165"/>
      <c r="Q33" s="1891"/>
      <c r="R33" s="1891"/>
      <c r="S33" s="1891">
        <v>58000000000</v>
      </c>
      <c r="T33" s="1633"/>
      <c r="U33" s="1633"/>
      <c r="V33" s="1633"/>
      <c r="W33" s="1636"/>
      <c r="X33" s="1636"/>
      <c r="Y33" s="1636"/>
    </row>
    <row r="34" spans="1:25">
      <c r="A34" s="1602" t="s">
        <v>6306</v>
      </c>
      <c r="B34" s="1620" t="s">
        <v>6307</v>
      </c>
      <c r="C34" s="1612" t="s">
        <v>1234</v>
      </c>
      <c r="D34" s="2167"/>
      <c r="E34" s="2167"/>
      <c r="F34" s="2167"/>
      <c r="G34" s="2165"/>
      <c r="H34" s="2165"/>
      <c r="I34" s="2165">
        <v>240000000000</v>
      </c>
      <c r="J34" s="2165">
        <v>296000000000</v>
      </c>
      <c r="K34" s="2165">
        <v>399000000000</v>
      </c>
      <c r="L34" s="2165">
        <v>453000000000</v>
      </c>
      <c r="M34" s="2165">
        <v>906000000000</v>
      </c>
      <c r="N34" s="2165">
        <v>1005000000000</v>
      </c>
      <c r="O34" s="2165">
        <v>985000000000</v>
      </c>
      <c r="P34" s="2165">
        <v>1872000000000</v>
      </c>
      <c r="Q34" s="1891"/>
      <c r="R34" s="1891"/>
      <c r="S34" s="1891">
        <f>S31-S33</f>
        <v>2207000000000</v>
      </c>
      <c r="T34" s="1633"/>
      <c r="U34" s="1633"/>
      <c r="V34" s="1633"/>
      <c r="W34" s="1633"/>
      <c r="X34" s="1633"/>
      <c r="Y34" s="1636"/>
    </row>
    <row r="35" spans="1:25">
      <c r="A35" s="1619" t="s">
        <v>395</v>
      </c>
      <c r="B35" s="1616" t="s">
        <v>6308</v>
      </c>
      <c r="C35" s="1613" t="s">
        <v>95</v>
      </c>
      <c r="D35" s="2165">
        <v>340500000000</v>
      </c>
      <c r="E35" s="2165">
        <v>251200000000</v>
      </c>
      <c r="F35" s="2165">
        <v>241100000000</v>
      </c>
      <c r="G35" s="2165">
        <v>405200000000</v>
      </c>
      <c r="H35" s="2165">
        <v>509000000000</v>
      </c>
      <c r="I35" s="2165">
        <v>709000000000</v>
      </c>
      <c r="J35" s="2165">
        <v>657000000000</v>
      </c>
      <c r="K35" s="2165">
        <v>675000000000</v>
      </c>
      <c r="L35" s="2165">
        <v>1252000000000</v>
      </c>
      <c r="M35" s="2165">
        <v>1320000000000</v>
      </c>
      <c r="N35" s="2165">
        <v>1607000000000</v>
      </c>
      <c r="O35" s="2165">
        <v>1764000000000</v>
      </c>
      <c r="P35" s="2165">
        <v>1902000000000</v>
      </c>
      <c r="Q35" s="1891">
        <v>2185000000000</v>
      </c>
      <c r="R35" s="1891">
        <v>1805000000000</v>
      </c>
      <c r="S35" s="1891">
        <v>1446000000000</v>
      </c>
      <c r="T35" s="1633">
        <v>1435000000000</v>
      </c>
      <c r="U35" s="1633">
        <v>2131000000000</v>
      </c>
      <c r="V35" s="1633">
        <v>2611000000000</v>
      </c>
      <c r="W35" s="1636">
        <v>4528000000000</v>
      </c>
      <c r="X35" s="1636">
        <v>4985000000000</v>
      </c>
      <c r="Y35" s="1636">
        <v>4982000000000</v>
      </c>
    </row>
    <row r="36" spans="1:25">
      <c r="A36" s="1616" t="s">
        <v>398</v>
      </c>
      <c r="B36" s="1616" t="s">
        <v>398</v>
      </c>
      <c r="C36" s="1613" t="s">
        <v>75</v>
      </c>
      <c r="D36" s="2166">
        <f>D17-D18-D30</f>
        <v>104400000000</v>
      </c>
      <c r="E36" s="2166">
        <f>E17-E18-E30</f>
        <v>41900000000</v>
      </c>
      <c r="F36" s="2166">
        <f>F17-F18-F30</f>
        <v>59200000000</v>
      </c>
      <c r="G36" s="2165"/>
      <c r="H36" s="2165"/>
      <c r="I36" s="2165"/>
      <c r="J36" s="2165"/>
      <c r="K36" s="2165"/>
      <c r="L36" s="2165"/>
      <c r="M36" s="2165"/>
      <c r="N36" s="2165"/>
      <c r="O36" s="2165"/>
      <c r="P36" s="2165"/>
      <c r="Q36" s="2165"/>
      <c r="R36" s="2165"/>
      <c r="S36" s="2165"/>
      <c r="T36" s="1896"/>
      <c r="U36" s="1896"/>
      <c r="V36" s="1896"/>
      <c r="W36" s="1636"/>
      <c r="X36" s="1636"/>
      <c r="Y36" s="1636"/>
    </row>
    <row r="37" spans="1:25">
      <c r="A37" s="1602" t="s">
        <v>76</v>
      </c>
      <c r="B37" s="1612" t="s">
        <v>6309</v>
      </c>
      <c r="C37" s="1612"/>
      <c r="D37" s="2165"/>
      <c r="E37" s="2165"/>
      <c r="F37" s="2165"/>
      <c r="G37" s="2165"/>
      <c r="H37" s="2165"/>
      <c r="I37" s="2167"/>
      <c r="J37" s="2167"/>
      <c r="K37" s="2167"/>
      <c r="L37" s="2165"/>
      <c r="M37" s="2165">
        <v>0</v>
      </c>
      <c r="N37" s="2165">
        <v>0</v>
      </c>
      <c r="O37" s="2165"/>
      <c r="P37" s="2165" t="s">
        <v>78</v>
      </c>
      <c r="Q37" s="1891"/>
      <c r="R37" s="1891"/>
      <c r="S37" s="1891" t="s">
        <v>78</v>
      </c>
      <c r="T37" s="1633"/>
      <c r="U37" s="1633"/>
      <c r="V37" s="1633"/>
      <c r="W37" s="1636"/>
      <c r="X37" s="1636"/>
      <c r="Y37" s="1636"/>
    </row>
    <row r="38" spans="1:25">
      <c r="A38" s="1602" t="s">
        <v>76</v>
      </c>
      <c r="B38" s="1612" t="s">
        <v>6310</v>
      </c>
      <c r="C38" s="1612"/>
      <c r="D38" s="2165">
        <v>-534400000000</v>
      </c>
      <c r="E38" s="2165">
        <v>-410700000000</v>
      </c>
      <c r="F38" s="2165">
        <v>-479500000000</v>
      </c>
      <c r="G38" s="2165">
        <v>-785500000000</v>
      </c>
      <c r="H38" s="2165">
        <v>-1069000000000</v>
      </c>
      <c r="I38" s="2165">
        <v>-1475000000000</v>
      </c>
      <c r="J38" s="2165">
        <v>-1748000000000</v>
      </c>
      <c r="K38" s="2165">
        <v>-1736000000000</v>
      </c>
      <c r="L38" s="2167">
        <v>-1583000000000</v>
      </c>
      <c r="M38" s="2165">
        <v>-2614000000000</v>
      </c>
      <c r="N38" s="2165">
        <v>-3512000000000</v>
      </c>
      <c r="O38" s="2165">
        <v>-3701000000000</v>
      </c>
      <c r="P38" s="2165">
        <v>-3543000000000</v>
      </c>
      <c r="Q38" s="1891">
        <v>-5100000000000</v>
      </c>
      <c r="R38" s="1891">
        <v>-3776000000000</v>
      </c>
      <c r="S38" s="1891">
        <v>-3646000000000</v>
      </c>
      <c r="T38" s="1633"/>
      <c r="U38" s="1633"/>
      <c r="V38" s="1633"/>
      <c r="W38" s="1636"/>
      <c r="X38" s="1636"/>
      <c r="Y38" s="1636"/>
    </row>
    <row r="39" spans="1:25" s="848" customFormat="1">
      <c r="A39" s="2179" t="s">
        <v>53</v>
      </c>
      <c r="B39" s="1902" t="s">
        <v>53</v>
      </c>
      <c r="C39" s="1904" t="s">
        <v>38</v>
      </c>
      <c r="D39" s="2178">
        <v>307300000000</v>
      </c>
      <c r="E39" s="2178">
        <v>286300000000</v>
      </c>
      <c r="F39" s="2178">
        <v>385200000000</v>
      </c>
      <c r="G39" s="2178">
        <v>622300000000</v>
      </c>
      <c r="H39" s="2178">
        <v>697000000000</v>
      </c>
      <c r="I39" s="2178">
        <v>1021000000000</v>
      </c>
      <c r="J39" s="2178">
        <v>911000000000</v>
      </c>
      <c r="K39" s="2178">
        <f>K40+K43+K44+K45+K46</f>
        <v>956000000000</v>
      </c>
      <c r="L39" s="2178">
        <v>1581000000000</v>
      </c>
      <c r="M39" s="2178">
        <v>1340000000000</v>
      </c>
      <c r="N39" s="2178">
        <v>1405000000000</v>
      </c>
      <c r="O39" s="2178">
        <v>1627000000000</v>
      </c>
      <c r="P39" s="2178">
        <v>1855000000000</v>
      </c>
      <c r="Q39" s="2176">
        <v>1728000000000</v>
      </c>
      <c r="R39" s="2176">
        <v>1588000000000</v>
      </c>
      <c r="S39" s="2176">
        <v>1024000000000</v>
      </c>
      <c r="T39" s="1901">
        <v>495000000000</v>
      </c>
      <c r="U39" s="1901">
        <v>1092000000000</v>
      </c>
      <c r="V39" s="1901">
        <v>998000000000</v>
      </c>
      <c r="W39" s="1914">
        <v>1502000000000</v>
      </c>
      <c r="X39" s="1914">
        <v>1598000000000</v>
      </c>
      <c r="Y39" s="1914">
        <v>1581000000000</v>
      </c>
    </row>
    <row r="40" spans="1:25">
      <c r="A40" s="1602" t="s">
        <v>1296</v>
      </c>
      <c r="B40" s="1616" t="s">
        <v>6311</v>
      </c>
      <c r="C40" s="1890" t="s">
        <v>57</v>
      </c>
      <c r="D40" s="2165">
        <v>94300000000</v>
      </c>
      <c r="E40" s="2165">
        <v>114000000000</v>
      </c>
      <c r="F40" s="2165">
        <v>183000000000</v>
      </c>
      <c r="G40" s="2165">
        <v>293900000000</v>
      </c>
      <c r="H40" s="2165">
        <v>371000000000</v>
      </c>
      <c r="I40" s="2165">
        <v>548000000000</v>
      </c>
      <c r="J40" s="2165">
        <v>507000000000</v>
      </c>
      <c r="K40" s="2165">
        <v>591000000000</v>
      </c>
      <c r="L40" s="2165">
        <v>832000000000</v>
      </c>
      <c r="M40" s="2165">
        <v>798000000000</v>
      </c>
      <c r="N40" s="2165">
        <v>924000000000</v>
      </c>
      <c r="O40" s="2165">
        <v>1062000000000</v>
      </c>
      <c r="P40" s="2165">
        <v>1021000000000</v>
      </c>
      <c r="Q40" s="1891">
        <v>818000000000</v>
      </c>
      <c r="R40" s="1891">
        <v>703000000000</v>
      </c>
      <c r="S40" s="1891">
        <v>510000000000</v>
      </c>
      <c r="T40" s="1633">
        <v>86000000000</v>
      </c>
      <c r="U40" s="1633">
        <v>359000000000</v>
      </c>
      <c r="V40" s="1633">
        <v>344000000000</v>
      </c>
      <c r="W40" s="1636">
        <v>447000000000</v>
      </c>
      <c r="X40" s="1636">
        <v>508000000000</v>
      </c>
      <c r="Y40" s="1636">
        <v>530000000000</v>
      </c>
    </row>
    <row r="41" spans="1:25">
      <c r="A41" s="1602" t="s">
        <v>6312</v>
      </c>
      <c r="B41" s="1620" t="s">
        <v>6313</v>
      </c>
      <c r="C41" s="1612" t="s">
        <v>6314</v>
      </c>
      <c r="D41" s="2167"/>
      <c r="E41" s="2167"/>
      <c r="F41" s="2167"/>
      <c r="G41" s="2165"/>
      <c r="H41" s="2165"/>
      <c r="I41" s="2167"/>
      <c r="J41" s="2167"/>
      <c r="K41" s="2167"/>
      <c r="L41" s="2165">
        <v>206000000000</v>
      </c>
      <c r="M41" s="2165">
        <v>194000000000</v>
      </c>
      <c r="N41" s="2165">
        <v>258000000000</v>
      </c>
      <c r="O41" s="2165">
        <v>335000000000</v>
      </c>
      <c r="P41" s="2165">
        <v>301000000000</v>
      </c>
      <c r="Q41" s="1891">
        <v>281000000000</v>
      </c>
      <c r="R41" s="1891">
        <v>189000000000</v>
      </c>
      <c r="S41" s="1891">
        <v>128000000000</v>
      </c>
      <c r="T41" s="1633">
        <v>86000000000</v>
      </c>
      <c r="U41" s="1633">
        <v>169000000000</v>
      </c>
      <c r="V41" s="1636">
        <v>201000000000</v>
      </c>
      <c r="W41" s="1636">
        <v>208000000000</v>
      </c>
      <c r="X41" s="1636">
        <v>256000000000</v>
      </c>
      <c r="Y41" s="1636">
        <v>264000000000</v>
      </c>
    </row>
    <row r="42" spans="1:25">
      <c r="A42" s="1602" t="s">
        <v>50</v>
      </c>
      <c r="B42" s="2328" t="s">
        <v>50</v>
      </c>
      <c r="C42" s="1612" t="s">
        <v>6314</v>
      </c>
      <c r="D42" s="2167"/>
      <c r="E42" s="2167"/>
      <c r="F42" s="2167"/>
      <c r="G42" s="2165"/>
      <c r="H42" s="2165"/>
      <c r="I42" s="2167"/>
      <c r="J42" s="2167"/>
      <c r="K42" s="2167"/>
      <c r="L42" s="2165">
        <f>L40-L41</f>
        <v>626000000000</v>
      </c>
      <c r="M42" s="2165">
        <f t="shared" ref="M42:S42" si="3">M40-M41</f>
        <v>604000000000</v>
      </c>
      <c r="N42" s="2165">
        <f t="shared" si="3"/>
        <v>666000000000</v>
      </c>
      <c r="O42" s="2165">
        <f t="shared" si="3"/>
        <v>727000000000</v>
      </c>
      <c r="P42" s="2165">
        <f t="shared" si="3"/>
        <v>720000000000</v>
      </c>
      <c r="Q42" s="2165">
        <f t="shared" si="3"/>
        <v>537000000000</v>
      </c>
      <c r="R42" s="2165">
        <f t="shared" si="3"/>
        <v>514000000000</v>
      </c>
      <c r="S42" s="2165">
        <f t="shared" si="3"/>
        <v>382000000000</v>
      </c>
      <c r="T42" s="1896">
        <f>T40-T41</f>
        <v>0</v>
      </c>
      <c r="U42" s="1896">
        <f t="shared" ref="U42:Y42" si="4">U40-U41</f>
        <v>190000000000</v>
      </c>
      <c r="V42" s="1896">
        <f t="shared" si="4"/>
        <v>143000000000</v>
      </c>
      <c r="W42" s="1896">
        <f t="shared" si="4"/>
        <v>239000000000</v>
      </c>
      <c r="X42" s="1896">
        <f t="shared" si="4"/>
        <v>252000000000</v>
      </c>
      <c r="Y42" s="1896">
        <f t="shared" si="4"/>
        <v>266000000000</v>
      </c>
    </row>
    <row r="43" spans="1:25">
      <c r="A43" s="1619" t="s">
        <v>564</v>
      </c>
      <c r="B43" s="1616" t="s">
        <v>1219</v>
      </c>
      <c r="C43" s="1890" t="s">
        <v>57</v>
      </c>
      <c r="D43" s="2165">
        <v>207500000000</v>
      </c>
      <c r="E43" s="2165">
        <v>123600000000</v>
      </c>
      <c r="F43" s="2165">
        <v>140200000000</v>
      </c>
      <c r="G43" s="2165">
        <v>255500000000</v>
      </c>
      <c r="H43" s="2165">
        <v>248000000000</v>
      </c>
      <c r="I43" s="2165">
        <v>400000000000</v>
      </c>
      <c r="J43" s="2165">
        <v>328000000000</v>
      </c>
      <c r="K43" s="2165">
        <v>242000000000</v>
      </c>
      <c r="L43" s="2165">
        <v>636000000000</v>
      </c>
      <c r="M43" s="2165">
        <v>462000000000</v>
      </c>
      <c r="N43" s="2165">
        <v>459000000000</v>
      </c>
      <c r="O43" s="2165">
        <v>566000000000</v>
      </c>
      <c r="P43" s="2165">
        <v>834000000000</v>
      </c>
      <c r="Q43" s="1891">
        <v>910000000000</v>
      </c>
      <c r="R43" s="1891">
        <v>885000000000</v>
      </c>
      <c r="S43" s="1891">
        <v>514000000000</v>
      </c>
      <c r="T43" s="1633">
        <v>409000000000</v>
      </c>
      <c r="U43" s="1633">
        <v>733000000000</v>
      </c>
      <c r="V43" s="1633">
        <v>653000000000</v>
      </c>
      <c r="W43" s="1636">
        <v>1055000000000</v>
      </c>
      <c r="X43" s="1636">
        <v>1090000000000</v>
      </c>
      <c r="Y43" s="1636">
        <v>1052000000000</v>
      </c>
    </row>
    <row r="44" spans="1:25">
      <c r="A44" s="1616" t="s">
        <v>6315</v>
      </c>
      <c r="B44" s="1616" t="s">
        <v>6316</v>
      </c>
      <c r="C44" s="1890" t="s">
        <v>57</v>
      </c>
      <c r="D44" s="2165">
        <v>5500000000</v>
      </c>
      <c r="E44" s="2165">
        <v>48700000000</v>
      </c>
      <c r="F44" s="2165">
        <v>62000000000</v>
      </c>
      <c r="G44" s="2165">
        <v>72900000000</v>
      </c>
      <c r="H44" s="2165">
        <v>77000000000</v>
      </c>
      <c r="I44" s="2165">
        <v>72000000000</v>
      </c>
      <c r="J44" s="2165">
        <v>76000000000</v>
      </c>
      <c r="K44" s="2165">
        <v>0</v>
      </c>
      <c r="L44" s="2165"/>
      <c r="M44" s="2165"/>
      <c r="N44" s="2165"/>
      <c r="O44" s="2165"/>
      <c r="P44" s="2165"/>
      <c r="Q44" s="2165"/>
      <c r="R44" s="2165"/>
      <c r="S44" s="2165"/>
      <c r="T44" s="1896"/>
      <c r="U44" s="1896"/>
      <c r="V44" s="1896"/>
      <c r="W44" s="1636"/>
      <c r="X44" s="1636"/>
      <c r="Y44" s="1636"/>
    </row>
    <row r="45" spans="1:25">
      <c r="A45" s="1616" t="s">
        <v>6317</v>
      </c>
      <c r="B45" s="1616" t="s">
        <v>6318</v>
      </c>
      <c r="C45" s="1890" t="s">
        <v>57</v>
      </c>
      <c r="D45" s="2167"/>
      <c r="E45" s="2167"/>
      <c r="F45" s="2167"/>
      <c r="G45" s="2165"/>
      <c r="H45" s="2165"/>
      <c r="I45" s="2165">
        <v>0</v>
      </c>
      <c r="J45" s="2165">
        <v>0</v>
      </c>
      <c r="K45" s="2165">
        <v>123000000000</v>
      </c>
      <c r="L45" s="2165">
        <v>114000000000</v>
      </c>
      <c r="M45" s="2165">
        <v>68000000000</v>
      </c>
      <c r="N45" s="2165">
        <v>22000000000</v>
      </c>
      <c r="O45" s="2165"/>
      <c r="P45" s="2165"/>
      <c r="Q45" s="2165"/>
      <c r="R45" s="2165"/>
      <c r="S45" s="2165"/>
      <c r="T45" s="1896"/>
      <c r="U45" s="1896"/>
      <c r="V45" s="1896"/>
      <c r="W45" s="1636"/>
      <c r="X45" s="1636"/>
      <c r="Y45" s="1636"/>
    </row>
    <row r="46" spans="1:25">
      <c r="A46" s="1616" t="s">
        <v>6319</v>
      </c>
      <c r="B46" s="1616" t="s">
        <v>6320</v>
      </c>
      <c r="C46" s="1890" t="s">
        <v>57</v>
      </c>
      <c r="D46" s="2167"/>
      <c r="E46" s="2167"/>
      <c r="F46" s="2167"/>
      <c r="G46" s="2165"/>
      <c r="H46" s="2165"/>
      <c r="I46" s="2167"/>
      <c r="J46" s="2167"/>
      <c r="K46" s="2167"/>
      <c r="L46" s="2165">
        <v>0</v>
      </c>
      <c r="M46" s="2165">
        <v>12000000000</v>
      </c>
      <c r="N46" s="2165"/>
      <c r="O46" s="2165"/>
      <c r="P46" s="2165"/>
      <c r="Q46" s="2165"/>
      <c r="R46" s="2165"/>
      <c r="S46" s="2165"/>
      <c r="T46" s="1896"/>
      <c r="U46" s="1896"/>
      <c r="V46" s="1896"/>
      <c r="W46" s="1636"/>
      <c r="X46" s="1636"/>
      <c r="Y46" s="1636"/>
    </row>
    <row r="47" spans="1:25">
      <c r="A47" s="1602" t="s">
        <v>76</v>
      </c>
      <c r="B47" s="1612" t="s">
        <v>6321</v>
      </c>
      <c r="C47" s="1612"/>
      <c r="D47" s="2167"/>
      <c r="E47" s="2167"/>
      <c r="F47" s="2167"/>
      <c r="G47" s="2165"/>
      <c r="H47" s="2165"/>
      <c r="I47" s="2167"/>
      <c r="J47" s="2167"/>
      <c r="K47" s="2167" t="s">
        <v>599</v>
      </c>
      <c r="L47" s="2167"/>
      <c r="M47" s="2167"/>
      <c r="N47" s="2167"/>
      <c r="O47" s="2165">
        <v>-297000000000</v>
      </c>
      <c r="P47" s="2165">
        <v>168000000000</v>
      </c>
      <c r="Q47" s="1891">
        <v>259000000000</v>
      </c>
      <c r="R47" s="1891">
        <v>-211000000000</v>
      </c>
      <c r="S47" s="1891">
        <v>-184000000000</v>
      </c>
      <c r="T47" s="1633"/>
      <c r="U47" s="1633"/>
      <c r="V47" s="1633"/>
      <c r="W47" s="1636"/>
      <c r="X47" s="1636"/>
      <c r="Y47" s="1636"/>
    </row>
    <row r="48" spans="1:25">
      <c r="A48" s="1602" t="s">
        <v>76</v>
      </c>
      <c r="B48" s="1612" t="s">
        <v>6322</v>
      </c>
      <c r="C48" s="1612"/>
      <c r="D48" s="2167"/>
      <c r="E48" s="2167"/>
      <c r="F48" s="2167"/>
      <c r="G48" s="2165"/>
      <c r="H48" s="2165"/>
      <c r="I48" s="2167"/>
      <c r="J48" s="2167"/>
      <c r="K48" s="2167"/>
      <c r="L48" s="2167"/>
      <c r="M48" s="2167"/>
      <c r="N48" s="2167"/>
      <c r="O48" s="2165">
        <v>49000000000</v>
      </c>
      <c r="P48" s="2165">
        <v>-550000000000</v>
      </c>
      <c r="Q48" s="1891">
        <v>-170000000000</v>
      </c>
      <c r="R48" s="1891">
        <v>-99000000000</v>
      </c>
      <c r="S48" s="1891">
        <v>-1000000000</v>
      </c>
      <c r="T48" s="1633">
        <v>-172000000000</v>
      </c>
      <c r="U48" s="1633">
        <v>-377000000000</v>
      </c>
      <c r="V48" s="1633">
        <v>0</v>
      </c>
      <c r="W48" s="1636">
        <v>0</v>
      </c>
      <c r="X48" s="1636">
        <v>0</v>
      </c>
      <c r="Y48" s="1636">
        <v>0</v>
      </c>
    </row>
    <row r="49" spans="1:25">
      <c r="A49" s="1602" t="s">
        <v>76</v>
      </c>
      <c r="B49" s="1612" t="s">
        <v>6323</v>
      </c>
      <c r="C49" s="1612"/>
      <c r="D49" s="2165">
        <v>35000000000</v>
      </c>
      <c r="E49" s="2165">
        <v>25400000000</v>
      </c>
      <c r="F49" s="2165">
        <v>600000000</v>
      </c>
      <c r="G49" s="2165">
        <v>13500000000</v>
      </c>
      <c r="H49" s="2165">
        <v>-28000000000</v>
      </c>
      <c r="I49" s="2165">
        <v>-87000000000</v>
      </c>
      <c r="J49" s="2165">
        <v>-87000000000</v>
      </c>
      <c r="K49" s="2165">
        <v>-171000000000</v>
      </c>
      <c r="L49" s="2167">
        <v>-365000000000</v>
      </c>
      <c r="M49" s="2167">
        <v>60000000000</v>
      </c>
      <c r="N49" s="2167">
        <v>167000000000</v>
      </c>
      <c r="O49" s="2165">
        <v>0</v>
      </c>
      <c r="P49" s="2165">
        <v>0</v>
      </c>
      <c r="Q49" s="2165">
        <v>0</v>
      </c>
      <c r="R49" s="2165">
        <v>0</v>
      </c>
      <c r="S49" s="2165"/>
      <c r="T49" s="1896"/>
      <c r="U49" s="1896"/>
      <c r="V49" s="1896"/>
      <c r="W49" s="1636"/>
      <c r="X49" s="1636"/>
      <c r="Y49" s="1636"/>
    </row>
    <row r="50" spans="1:25">
      <c r="A50" s="1602" t="s">
        <v>76</v>
      </c>
      <c r="B50" s="1612" t="s">
        <v>6324</v>
      </c>
      <c r="C50" s="1612"/>
      <c r="D50" s="2165">
        <v>-227100000000</v>
      </c>
      <c r="E50" s="2165">
        <v>-124300000000</v>
      </c>
      <c r="F50" s="2165">
        <v>-94300000000</v>
      </c>
      <c r="G50" s="2165">
        <v>-163200000000</v>
      </c>
      <c r="H50" s="2165">
        <v>-400000000000</v>
      </c>
      <c r="I50" s="2167">
        <v>-541000000000</v>
      </c>
      <c r="J50" s="2165">
        <v>-924000000000</v>
      </c>
      <c r="K50" s="2165">
        <v>-954000000000</v>
      </c>
      <c r="L50" s="2167">
        <v>-366000000000</v>
      </c>
      <c r="M50" s="2165">
        <v>-1215000000000</v>
      </c>
      <c r="N50" s="2167">
        <v>-1940000000000</v>
      </c>
      <c r="O50" s="2165">
        <v>-2321000000000</v>
      </c>
      <c r="P50" s="2165">
        <v>-2070000000000</v>
      </c>
      <c r="Q50" s="1891">
        <v>-3284000000000</v>
      </c>
      <c r="R50" s="1891">
        <v>-2498000000000</v>
      </c>
      <c r="S50" s="1891">
        <v>-2807000000000</v>
      </c>
      <c r="T50" s="1633"/>
      <c r="U50" s="1633"/>
      <c r="V50" s="1633"/>
      <c r="W50" s="1636"/>
      <c r="X50" s="1636"/>
      <c r="Y50" s="1636"/>
    </row>
    <row r="51" spans="1:25" s="848" customFormat="1">
      <c r="A51" s="1902" t="s">
        <v>115</v>
      </c>
      <c r="B51" s="1902" t="s">
        <v>115</v>
      </c>
      <c r="C51" s="1902" t="s">
        <v>35</v>
      </c>
      <c r="D51" s="2178">
        <v>227100000000</v>
      </c>
      <c r="E51" s="2178">
        <v>124300000000</v>
      </c>
      <c r="F51" s="2178">
        <v>94300000000</v>
      </c>
      <c r="G51" s="2178">
        <v>163200000000</v>
      </c>
      <c r="H51" s="2178">
        <v>400000000000</v>
      </c>
      <c r="I51" s="2178">
        <v>541000000000</v>
      </c>
      <c r="J51" s="2178">
        <v>924000000000</v>
      </c>
      <c r="K51" s="2178">
        <v>954000000000</v>
      </c>
      <c r="L51" s="2178">
        <v>366000000000</v>
      </c>
      <c r="M51" s="2178">
        <v>1215000000000</v>
      </c>
      <c r="N51" s="2178">
        <v>1940000000000</v>
      </c>
      <c r="O51" s="2178">
        <v>2321000000000</v>
      </c>
      <c r="P51" s="2178">
        <v>2070000000000</v>
      </c>
      <c r="Q51" s="2176">
        <v>3284000000000</v>
      </c>
      <c r="R51" s="2176">
        <v>2498000000000</v>
      </c>
      <c r="S51" s="2176">
        <v>2807000000000</v>
      </c>
      <c r="T51" s="2185">
        <v>3428000000000</v>
      </c>
      <c r="U51" s="2185">
        <f>U52+U60</f>
        <v>1764000000000</v>
      </c>
      <c r="V51" s="2185">
        <v>5098000000000</v>
      </c>
      <c r="W51" s="2186">
        <v>6245000000000</v>
      </c>
      <c r="X51" s="2186">
        <v>6929000000000</v>
      </c>
      <c r="Y51" s="2186">
        <v>6359000000000</v>
      </c>
    </row>
    <row r="52" spans="1:25">
      <c r="A52" s="1602" t="s">
        <v>117</v>
      </c>
      <c r="B52" s="1612" t="s">
        <v>6325</v>
      </c>
      <c r="C52" s="1613" t="s">
        <v>119</v>
      </c>
      <c r="D52" s="2165">
        <v>105400000000</v>
      </c>
      <c r="E52" s="2165">
        <v>90400000000</v>
      </c>
      <c r="F52" s="2165">
        <v>118500000000</v>
      </c>
      <c r="G52" s="2165">
        <v>199700000000</v>
      </c>
      <c r="H52" s="2165">
        <v>434000000000</v>
      </c>
      <c r="I52" s="2165">
        <v>396000000000</v>
      </c>
      <c r="J52" s="2165">
        <v>561000000000</v>
      </c>
      <c r="K52" s="2165">
        <v>717000000000</v>
      </c>
      <c r="L52" s="2165">
        <v>730000000000</v>
      </c>
      <c r="M52" s="2165">
        <v>956000000000</v>
      </c>
      <c r="N52" s="2165">
        <v>1380000000000</v>
      </c>
      <c r="O52" s="2165">
        <v>1077000000000</v>
      </c>
      <c r="P52" s="2165">
        <v>1735000000000</v>
      </c>
      <c r="Q52" s="1891">
        <v>2579000000000</v>
      </c>
      <c r="R52" s="1891">
        <v>2271000000000</v>
      </c>
      <c r="S52" s="1891">
        <v>2634000000000</v>
      </c>
      <c r="T52" s="1615">
        <v>1390000000000</v>
      </c>
      <c r="U52" s="1615">
        <f>U53+U59</f>
        <v>1902000000000</v>
      </c>
      <c r="V52" s="1615">
        <v>2990000000000</v>
      </c>
      <c r="W52" s="1614">
        <v>4524000000000</v>
      </c>
      <c r="X52" s="1614">
        <v>4559000000000</v>
      </c>
      <c r="Y52" s="1614">
        <v>4868000000000</v>
      </c>
    </row>
    <row r="53" spans="1:25">
      <c r="A53" s="1617" t="s">
        <v>444</v>
      </c>
      <c r="B53" s="1616" t="s">
        <v>6326</v>
      </c>
      <c r="C53" s="1612" t="s">
        <v>264</v>
      </c>
      <c r="D53" s="2165">
        <v>191200000000</v>
      </c>
      <c r="E53" s="2165">
        <v>172900000000</v>
      </c>
      <c r="F53" s="2165">
        <v>187400000000</v>
      </c>
      <c r="G53" s="2165">
        <v>301100000000</v>
      </c>
      <c r="H53" s="2165">
        <v>479000000000</v>
      </c>
      <c r="I53" s="2165">
        <v>503000000000</v>
      </c>
      <c r="J53" s="2165">
        <v>669000000000</v>
      </c>
      <c r="K53" s="2165">
        <v>746000000000</v>
      </c>
      <c r="L53" s="2165">
        <v>775000000000</v>
      </c>
      <c r="M53" s="2165">
        <v>984000000000</v>
      </c>
      <c r="N53" s="2165">
        <v>1448000000000</v>
      </c>
      <c r="O53" s="2165">
        <v>1119000000000</v>
      </c>
      <c r="P53" s="2165">
        <v>1816000000000</v>
      </c>
      <c r="Q53" s="1891">
        <v>2706000000000</v>
      </c>
      <c r="R53" s="1891">
        <v>2452000000000</v>
      </c>
      <c r="S53" s="1891">
        <v>2860000000000</v>
      </c>
      <c r="T53" s="125">
        <v>1946000000000</v>
      </c>
      <c r="U53" s="1615">
        <f>U54+U56+U57</f>
        <v>2805000000000</v>
      </c>
      <c r="V53" s="1615">
        <v>4173000000000</v>
      </c>
      <c r="W53" s="1614">
        <v>6271000000000</v>
      </c>
      <c r="X53" s="1614">
        <v>7041000000000</v>
      </c>
      <c r="Y53" s="1614">
        <v>7200000000000</v>
      </c>
    </row>
    <row r="54" spans="1:25">
      <c r="A54" s="1620" t="s">
        <v>1258</v>
      </c>
      <c r="B54" s="1620" t="s">
        <v>6327</v>
      </c>
      <c r="C54" s="1612" t="s">
        <v>6328</v>
      </c>
      <c r="D54" s="2165">
        <v>58200000000</v>
      </c>
      <c r="E54" s="2165">
        <v>45300000000</v>
      </c>
      <c r="F54" s="2165">
        <v>86500000000</v>
      </c>
      <c r="G54" s="2165">
        <v>151300000000</v>
      </c>
      <c r="H54" s="2165">
        <v>218000000000</v>
      </c>
      <c r="I54" s="2165">
        <v>194000000000</v>
      </c>
      <c r="J54" s="2165">
        <v>340000000000</v>
      </c>
      <c r="K54" s="2165">
        <v>313000000000</v>
      </c>
      <c r="L54" s="2165">
        <v>566000000000</v>
      </c>
      <c r="M54" s="2165">
        <v>495000000000</v>
      </c>
      <c r="N54" s="2165">
        <v>752000000000</v>
      </c>
      <c r="O54" s="2165">
        <v>394000000000</v>
      </c>
      <c r="P54" s="2165">
        <v>419000000000</v>
      </c>
      <c r="Q54" s="1891">
        <v>544000000000</v>
      </c>
      <c r="R54" s="1891">
        <v>734000000000</v>
      </c>
      <c r="S54" s="1891">
        <v>538000000000</v>
      </c>
      <c r="T54" s="125">
        <v>453000000000</v>
      </c>
      <c r="U54" s="1615">
        <v>257000000000</v>
      </c>
      <c r="V54" s="1615">
        <v>1153000000000</v>
      </c>
      <c r="W54" s="1614">
        <v>792000000000</v>
      </c>
      <c r="X54" s="1614">
        <v>746000000000</v>
      </c>
      <c r="Y54" s="1614">
        <v>1335000000000</v>
      </c>
    </row>
    <row r="55" spans="1:25">
      <c r="A55" s="1620" t="s">
        <v>76</v>
      </c>
      <c r="B55" s="1620" t="s">
        <v>6329</v>
      </c>
      <c r="C55" s="1612"/>
      <c r="D55" s="2165"/>
      <c r="E55" s="2165"/>
      <c r="F55" s="2165"/>
      <c r="G55" s="2165"/>
      <c r="H55" s="2165"/>
      <c r="I55" s="2167"/>
      <c r="J55" s="2167"/>
      <c r="K55" s="2167"/>
      <c r="L55" s="2165">
        <v>201000000000</v>
      </c>
      <c r="M55" s="2165">
        <v>163000000000</v>
      </c>
      <c r="N55" s="2165">
        <v>194000000000</v>
      </c>
      <c r="O55" s="2165">
        <v>221000000000</v>
      </c>
      <c r="P55" s="2165">
        <v>172000000000</v>
      </c>
      <c r="Q55" s="1891">
        <v>186000000000</v>
      </c>
      <c r="R55" s="1891">
        <v>208000000000</v>
      </c>
      <c r="S55" s="1891">
        <v>163000000000</v>
      </c>
      <c r="T55" s="1615"/>
      <c r="U55" s="1615"/>
      <c r="V55" s="1615"/>
      <c r="W55" s="1614"/>
      <c r="X55" s="1614"/>
      <c r="Y55" s="1614"/>
    </row>
    <row r="56" spans="1:25">
      <c r="A56" s="1620" t="s">
        <v>1253</v>
      </c>
      <c r="B56" s="1620" t="s">
        <v>1219</v>
      </c>
      <c r="C56" s="1612" t="s">
        <v>6328</v>
      </c>
      <c r="D56" s="2165">
        <v>133000000000</v>
      </c>
      <c r="E56" s="2165">
        <v>127600000000</v>
      </c>
      <c r="F56" s="2165">
        <v>100900000000</v>
      </c>
      <c r="G56" s="2165">
        <v>149700000000</v>
      </c>
      <c r="H56" s="2165">
        <v>261000000000</v>
      </c>
      <c r="I56" s="2167">
        <v>309000000000</v>
      </c>
      <c r="J56" s="2165">
        <v>329000000000</v>
      </c>
      <c r="K56" s="2165">
        <v>433000000000</v>
      </c>
      <c r="L56" s="2165">
        <v>209000000000</v>
      </c>
      <c r="M56" s="2165">
        <v>489000000000</v>
      </c>
      <c r="N56" s="2165">
        <v>696000000000</v>
      </c>
      <c r="O56" s="2165">
        <v>643000000000</v>
      </c>
      <c r="P56" s="2165">
        <v>595000000000</v>
      </c>
      <c r="Q56" s="1891">
        <v>734000000000</v>
      </c>
      <c r="R56" s="1891">
        <v>524000000000</v>
      </c>
      <c r="S56" s="1891">
        <v>641000000000</v>
      </c>
      <c r="T56" s="125">
        <v>778000000000</v>
      </c>
      <c r="U56" s="1891">
        <v>1294000000000</v>
      </c>
      <c r="V56" s="1891">
        <v>1402000000000</v>
      </c>
      <c r="W56" s="2396">
        <v>2930000000000</v>
      </c>
      <c r="X56" s="2396">
        <v>3286000000000</v>
      </c>
      <c r="Y56" s="2396">
        <v>3172000000000</v>
      </c>
    </row>
    <row r="57" spans="1:25">
      <c r="A57" s="1620" t="s">
        <v>6330</v>
      </c>
      <c r="B57" s="1620" t="s">
        <v>6331</v>
      </c>
      <c r="C57" s="1612" t="s">
        <v>6328</v>
      </c>
      <c r="D57" s="2165"/>
      <c r="E57" s="2165"/>
      <c r="F57" s="2165"/>
      <c r="G57" s="2165"/>
      <c r="H57" s="2165"/>
      <c r="I57" s="2167"/>
      <c r="J57" s="2167"/>
      <c r="K57" s="2167"/>
      <c r="L57" s="2165">
        <v>0</v>
      </c>
      <c r="M57" s="2165">
        <v>0</v>
      </c>
      <c r="N57" s="2165">
        <v>0</v>
      </c>
      <c r="O57" s="2165">
        <v>82000000000</v>
      </c>
      <c r="P57" s="2165">
        <v>801000000000</v>
      </c>
      <c r="Q57" s="1891">
        <v>1428000000000</v>
      </c>
      <c r="R57" s="1891">
        <v>1195000000000</v>
      </c>
      <c r="S57" s="1891">
        <v>1682000000000</v>
      </c>
      <c r="T57" s="125">
        <v>715000000000</v>
      </c>
      <c r="U57" s="1891">
        <v>1254000000000</v>
      </c>
      <c r="V57" s="1891">
        <v>1618000000000</v>
      </c>
      <c r="W57" s="2396">
        <v>2549000000000</v>
      </c>
      <c r="X57" s="2396">
        <v>3009000000000</v>
      </c>
      <c r="Y57" s="2396">
        <v>2693000000000</v>
      </c>
    </row>
    <row r="58" spans="1:25">
      <c r="A58" s="1602" t="s">
        <v>76</v>
      </c>
      <c r="B58" s="1620" t="s">
        <v>6332</v>
      </c>
      <c r="C58" s="1612"/>
      <c r="D58" s="2165"/>
      <c r="E58" s="2165"/>
      <c r="F58" s="2165"/>
      <c r="G58" s="2165"/>
      <c r="H58" s="2165"/>
      <c r="I58" s="2167"/>
      <c r="J58" s="2167"/>
      <c r="K58" s="2167"/>
      <c r="L58" s="2167"/>
      <c r="M58" s="2167"/>
      <c r="N58" s="2165" t="s">
        <v>78</v>
      </c>
      <c r="O58" s="2165" t="s">
        <v>78</v>
      </c>
      <c r="P58" s="2165" t="s">
        <v>78</v>
      </c>
      <c r="Q58" s="1891">
        <v>365000000000</v>
      </c>
      <c r="R58" s="1891">
        <v>750000000000</v>
      </c>
      <c r="S58" s="1891">
        <v>627000000000</v>
      </c>
      <c r="T58" s="1891"/>
      <c r="U58" s="1891"/>
      <c r="V58" s="1891"/>
      <c r="W58" s="2396"/>
      <c r="X58" s="2396"/>
      <c r="Y58" s="2396"/>
    </row>
    <row r="59" spans="1:25">
      <c r="A59" s="1617" t="s">
        <v>258</v>
      </c>
      <c r="B59" s="1616" t="s">
        <v>258</v>
      </c>
      <c r="C59" s="1612" t="s">
        <v>264</v>
      </c>
      <c r="D59" s="2165">
        <v>-85800000000</v>
      </c>
      <c r="E59" s="2165">
        <v>-82500000000</v>
      </c>
      <c r="F59" s="2165">
        <v>-68900000000</v>
      </c>
      <c r="G59" s="2165">
        <v>-101300000000</v>
      </c>
      <c r="H59" s="2165">
        <v>-45000000000</v>
      </c>
      <c r="I59" s="2165">
        <v>-107000000000</v>
      </c>
      <c r="J59" s="2165">
        <v>-108000000000</v>
      </c>
      <c r="K59" s="2165">
        <v>-30000000000</v>
      </c>
      <c r="L59" s="2165">
        <v>-45000000000</v>
      </c>
      <c r="M59" s="2165">
        <v>-27000000000</v>
      </c>
      <c r="N59" s="2165">
        <v>-68000000000</v>
      </c>
      <c r="O59" s="2165">
        <v>-43000000000</v>
      </c>
      <c r="P59" s="2165">
        <v>-80000000000</v>
      </c>
      <c r="Q59" s="1891">
        <v>-127000000000</v>
      </c>
      <c r="R59" s="1891">
        <v>-181000000000</v>
      </c>
      <c r="S59" s="1891">
        <v>-227000000000</v>
      </c>
      <c r="T59" s="125">
        <v>-556000000000</v>
      </c>
      <c r="U59" s="1891">
        <v>-903000000000</v>
      </c>
      <c r="V59" s="1891">
        <v>-1183000000000</v>
      </c>
      <c r="W59" s="2396">
        <v>-1747000000000</v>
      </c>
      <c r="X59" s="2396">
        <v>-2482000000000</v>
      </c>
      <c r="Y59" s="2396">
        <v>-2332000000000</v>
      </c>
    </row>
    <row r="60" spans="1:25">
      <c r="A60" s="1602" t="s">
        <v>120</v>
      </c>
      <c r="B60" s="1612" t="s">
        <v>6333</v>
      </c>
      <c r="C60" s="1613" t="s">
        <v>119</v>
      </c>
      <c r="D60" s="2165">
        <f>D62+D63+D67</f>
        <v>21100000000</v>
      </c>
      <c r="E60" s="2165">
        <f t="shared" ref="E60:P60" si="5">E62+E63+E67</f>
        <v>24200000000</v>
      </c>
      <c r="F60" s="2165">
        <f t="shared" si="5"/>
        <v>-22600000000</v>
      </c>
      <c r="G60" s="2165">
        <f t="shared" si="5"/>
        <v>-36300000000</v>
      </c>
      <c r="H60" s="2165">
        <f t="shared" si="5"/>
        <v>10000000000</v>
      </c>
      <c r="I60" s="2165">
        <f t="shared" si="5"/>
        <v>145000000000</v>
      </c>
      <c r="J60" s="2165">
        <f t="shared" si="5"/>
        <v>382000000000</v>
      </c>
      <c r="K60" s="2165">
        <f t="shared" si="5"/>
        <v>237000000000</v>
      </c>
      <c r="L60" s="2165">
        <f t="shared" si="5"/>
        <v>-346000000000</v>
      </c>
      <c r="M60" s="2165">
        <f t="shared" si="5"/>
        <v>259000000000</v>
      </c>
      <c r="N60" s="2165">
        <f t="shared" si="5"/>
        <v>560000000000</v>
      </c>
      <c r="O60" s="2165">
        <f t="shared" si="5"/>
        <v>1244000000000</v>
      </c>
      <c r="P60" s="2165">
        <f t="shared" si="5"/>
        <v>334000000000</v>
      </c>
      <c r="Q60" s="1891">
        <v>705000000000</v>
      </c>
      <c r="R60" s="1891">
        <v>227000000000</v>
      </c>
      <c r="S60" s="1891">
        <v>173000000000</v>
      </c>
      <c r="T60" s="1891">
        <v>2038000000000</v>
      </c>
      <c r="U60" s="1891">
        <v>-138000000000</v>
      </c>
      <c r="V60" s="1891">
        <v>2108000000000</v>
      </c>
      <c r="W60" s="2396">
        <v>1721000000000</v>
      </c>
      <c r="X60" s="2396">
        <v>2370000000000</v>
      </c>
      <c r="Y60" s="2396">
        <v>1490000000000</v>
      </c>
    </row>
    <row r="61" spans="1:25">
      <c r="A61" s="1602" t="s">
        <v>76</v>
      </c>
      <c r="B61" s="1620" t="s">
        <v>6334</v>
      </c>
      <c r="C61" s="1612"/>
      <c r="D61" s="2167">
        <v>0</v>
      </c>
      <c r="E61" s="2167">
        <v>0</v>
      </c>
      <c r="F61" s="2167">
        <v>0</v>
      </c>
      <c r="G61" s="2165"/>
      <c r="H61" s="2165"/>
      <c r="I61" s="2167"/>
      <c r="J61" s="2167"/>
      <c r="K61" s="2167"/>
      <c r="L61" s="2167"/>
      <c r="M61" s="2165">
        <v>214000000000</v>
      </c>
      <c r="N61" s="2165">
        <v>560000000000</v>
      </c>
      <c r="O61" s="2165">
        <v>1244000000000</v>
      </c>
      <c r="P61" s="2165">
        <v>335000000000</v>
      </c>
      <c r="Q61" s="1891">
        <v>1069000000000</v>
      </c>
      <c r="R61" s="1891">
        <v>977000000000</v>
      </c>
      <c r="S61" s="1891">
        <v>800000000000</v>
      </c>
      <c r="T61" s="1891"/>
      <c r="U61" s="1891"/>
      <c r="V61" s="1891"/>
      <c r="W61" s="2396"/>
      <c r="X61" s="2396"/>
      <c r="Y61" s="2396"/>
    </row>
    <row r="62" spans="1:25">
      <c r="A62" s="1602" t="s">
        <v>122</v>
      </c>
      <c r="B62" s="1616" t="s">
        <v>6335</v>
      </c>
      <c r="C62" s="1612" t="s">
        <v>124</v>
      </c>
      <c r="D62" s="2165">
        <v>-27400000000</v>
      </c>
      <c r="E62" s="2165">
        <v>-18700000000</v>
      </c>
      <c r="F62" s="2165">
        <v>-59200000000</v>
      </c>
      <c r="G62" s="2165">
        <v>-10300000000</v>
      </c>
      <c r="H62" s="2165"/>
      <c r="I62" s="2165">
        <v>97000000000</v>
      </c>
      <c r="J62" s="2165">
        <v>127000000000</v>
      </c>
      <c r="K62" s="2165">
        <v>25000000000</v>
      </c>
      <c r="L62" s="2165">
        <v>-346000000000</v>
      </c>
      <c r="M62" s="2165">
        <v>214000000000</v>
      </c>
      <c r="N62" s="2165">
        <v>585000000000</v>
      </c>
      <c r="O62" s="2165">
        <v>1259000000000</v>
      </c>
      <c r="P62" s="2165">
        <v>10000000000</v>
      </c>
      <c r="Q62" s="1891">
        <v>668000000000</v>
      </c>
      <c r="R62" s="1891">
        <v>955000000000</v>
      </c>
      <c r="S62" s="1891">
        <v>488000000000</v>
      </c>
      <c r="T62" s="125">
        <v>1522000000000</v>
      </c>
      <c r="U62" s="1891">
        <v>-1057000000000</v>
      </c>
      <c r="V62" s="1891">
        <v>1238000000000</v>
      </c>
      <c r="W62" s="2396">
        <v>1048000000000</v>
      </c>
      <c r="X62" s="2396">
        <v>1266000000000</v>
      </c>
      <c r="Y62" s="2396">
        <v>753000000000</v>
      </c>
    </row>
    <row r="63" spans="1:25">
      <c r="A63" s="1602" t="s">
        <v>428</v>
      </c>
      <c r="B63" s="1616" t="s">
        <v>6336</v>
      </c>
      <c r="C63" s="1612" t="s">
        <v>124</v>
      </c>
      <c r="D63" s="2165">
        <v>36500000000</v>
      </c>
      <c r="E63" s="2165">
        <v>16200000000</v>
      </c>
      <c r="F63" s="2165">
        <v>36600000000</v>
      </c>
      <c r="G63" s="2165">
        <v>-26000000000</v>
      </c>
      <c r="H63" s="2165"/>
      <c r="I63" s="2165">
        <v>48000000000</v>
      </c>
      <c r="J63" s="2165">
        <v>222000000000</v>
      </c>
      <c r="K63" s="2165">
        <v>212000000000</v>
      </c>
      <c r="L63" s="2165"/>
      <c r="M63" s="2165">
        <v>0</v>
      </c>
      <c r="N63" s="2165">
        <v>-25000000000</v>
      </c>
      <c r="O63" s="2165">
        <v>-15000000000</v>
      </c>
      <c r="P63" s="2165">
        <v>324000000000</v>
      </c>
      <c r="Q63" s="1891">
        <v>401000000000</v>
      </c>
      <c r="R63" s="1891">
        <v>21000000000</v>
      </c>
      <c r="S63" s="1891">
        <v>312000000000</v>
      </c>
      <c r="T63" s="125">
        <v>777000000000</v>
      </c>
      <c r="U63" s="1891">
        <v>946000000000</v>
      </c>
      <c r="V63" s="1891">
        <v>870000000000</v>
      </c>
      <c r="W63" s="2396">
        <v>673000000000</v>
      </c>
      <c r="X63" s="2396">
        <v>1105000000000</v>
      </c>
      <c r="Y63" s="2396">
        <v>737000000000</v>
      </c>
    </row>
    <row r="64" spans="1:25">
      <c r="A64" s="1620" t="s">
        <v>6337</v>
      </c>
      <c r="B64" s="1620" t="s">
        <v>6338</v>
      </c>
      <c r="C64" s="1612" t="s">
        <v>124</v>
      </c>
      <c r="D64" s="2165"/>
      <c r="E64" s="2165"/>
      <c r="F64" s="2165"/>
      <c r="G64" s="2165"/>
      <c r="H64" s="2165"/>
      <c r="I64" s="2167"/>
      <c r="J64" s="2167"/>
      <c r="K64" s="2167"/>
      <c r="L64" s="2167"/>
      <c r="M64" s="2165"/>
      <c r="N64" s="2165"/>
      <c r="O64" s="2165"/>
      <c r="P64" s="2165"/>
      <c r="Q64" s="1891">
        <v>-365000000000</v>
      </c>
      <c r="R64" s="1891">
        <v>-750000000000</v>
      </c>
      <c r="S64" s="1891">
        <v>-627000000000</v>
      </c>
      <c r="T64" s="125">
        <v>-261000000000</v>
      </c>
      <c r="U64" s="1891">
        <v>-27000000000</v>
      </c>
      <c r="V64" s="1891">
        <v>0</v>
      </c>
      <c r="W64" s="2396">
        <v>0</v>
      </c>
      <c r="X64" s="2396">
        <v>0</v>
      </c>
      <c r="Y64" s="2396">
        <v>0</v>
      </c>
    </row>
    <row r="65" spans="1:25">
      <c r="A65" s="1602" t="s">
        <v>76</v>
      </c>
      <c r="B65" s="1620" t="s">
        <v>6339</v>
      </c>
      <c r="C65" s="1612"/>
      <c r="D65" s="2165"/>
      <c r="E65" s="2165"/>
      <c r="F65" s="2165"/>
      <c r="G65" s="2165"/>
      <c r="H65" s="2165" t="s">
        <v>599</v>
      </c>
      <c r="I65" s="2167"/>
      <c r="J65" s="2167"/>
      <c r="K65" s="2167"/>
      <c r="L65" s="2167"/>
      <c r="M65" s="2165">
        <v>0</v>
      </c>
      <c r="N65" s="2165"/>
      <c r="O65" s="2165"/>
      <c r="P65" s="2165"/>
      <c r="Q65" s="2165"/>
      <c r="R65" s="2165"/>
      <c r="S65" s="2165"/>
      <c r="T65" s="2165"/>
      <c r="U65" s="2165"/>
      <c r="V65" s="2165"/>
      <c r="W65" s="2165"/>
      <c r="X65" s="2165"/>
      <c r="Y65" s="2165"/>
    </row>
    <row r="66" spans="1:25">
      <c r="A66" s="1620" t="s">
        <v>2738</v>
      </c>
      <c r="B66" s="2328" t="s">
        <v>2869</v>
      </c>
      <c r="C66" s="1613" t="s">
        <v>119</v>
      </c>
      <c r="D66" s="2165">
        <f>D68+D69</f>
        <v>100600000000</v>
      </c>
      <c r="E66" s="2165">
        <f t="shared" ref="E66:P66" si="6">E68+E69</f>
        <v>9700000000</v>
      </c>
      <c r="F66" s="2165">
        <f t="shared" si="6"/>
        <v>-1600000000</v>
      </c>
      <c r="G66" s="2165">
        <f t="shared" si="6"/>
        <v>-200000000</v>
      </c>
      <c r="H66" s="2165">
        <f t="shared" si="6"/>
        <v>-44000000000</v>
      </c>
      <c r="I66" s="2165">
        <f t="shared" si="6"/>
        <v>0</v>
      </c>
      <c r="J66" s="2165">
        <f t="shared" si="6"/>
        <v>-19000000000</v>
      </c>
      <c r="K66" s="2165">
        <f t="shared" si="6"/>
        <v>0</v>
      </c>
      <c r="L66" s="2165">
        <f t="shared" si="6"/>
        <v>-18000000000</v>
      </c>
      <c r="M66" s="2165">
        <f t="shared" si="6"/>
        <v>0</v>
      </c>
      <c r="N66" s="2165">
        <f t="shared" si="6"/>
        <v>0</v>
      </c>
      <c r="O66" s="2165">
        <f t="shared" si="6"/>
        <v>0</v>
      </c>
      <c r="P66" s="2165">
        <f t="shared" si="6"/>
        <v>1000000000</v>
      </c>
      <c r="Q66" s="2165">
        <v>0</v>
      </c>
      <c r="R66" s="2165">
        <v>0</v>
      </c>
      <c r="S66" s="2165"/>
      <c r="T66" s="2165"/>
      <c r="U66" s="2165"/>
      <c r="V66" s="2165"/>
      <c r="W66" s="2165"/>
      <c r="X66" s="2165"/>
      <c r="Y66" s="2165"/>
    </row>
    <row r="67" spans="1:25">
      <c r="A67" s="1612" t="s">
        <v>1096</v>
      </c>
      <c r="B67" s="1612" t="s">
        <v>6340</v>
      </c>
      <c r="C67" s="1612" t="s">
        <v>124</v>
      </c>
      <c r="D67" s="2165">
        <v>12000000000</v>
      </c>
      <c r="E67" s="2165">
        <v>26700000000</v>
      </c>
      <c r="F67" s="2165">
        <v>0</v>
      </c>
      <c r="G67" s="2165">
        <v>0</v>
      </c>
      <c r="H67" s="2165">
        <v>10000000000</v>
      </c>
      <c r="I67" s="2167">
        <v>0</v>
      </c>
      <c r="J67" s="2165">
        <v>33000000000</v>
      </c>
      <c r="K67" s="2165">
        <v>0</v>
      </c>
      <c r="L67" s="1602">
        <v>0</v>
      </c>
      <c r="M67" s="2165">
        <v>45000000000</v>
      </c>
      <c r="N67" s="2165"/>
      <c r="O67" s="2165"/>
      <c r="P67" s="2165"/>
      <c r="Q67" s="2165"/>
      <c r="R67" s="2165"/>
      <c r="S67" s="2165"/>
      <c r="T67" s="2165"/>
      <c r="U67" s="2165"/>
      <c r="V67" s="2165"/>
      <c r="W67" s="2165"/>
      <c r="X67" s="2165"/>
      <c r="Y67" s="2165"/>
    </row>
    <row r="68" spans="1:25">
      <c r="A68" s="1612" t="s">
        <v>6341</v>
      </c>
      <c r="B68" s="1612" t="s">
        <v>6342</v>
      </c>
      <c r="C68" s="1613" t="s">
        <v>6343</v>
      </c>
      <c r="D68" s="2165">
        <v>0</v>
      </c>
      <c r="E68" s="2165">
        <v>0</v>
      </c>
      <c r="F68" s="2165">
        <v>-1600000000</v>
      </c>
      <c r="G68" s="2165">
        <v>-300000000</v>
      </c>
      <c r="H68" s="2165">
        <v>0</v>
      </c>
      <c r="I68" s="2167">
        <v>0</v>
      </c>
      <c r="J68" s="2165">
        <v>-19000000000</v>
      </c>
      <c r="K68" s="2165">
        <v>0</v>
      </c>
      <c r="L68" s="2167">
        <v>-15000000000</v>
      </c>
      <c r="M68" s="2165">
        <v>0</v>
      </c>
      <c r="N68" s="2165"/>
      <c r="O68" s="2165"/>
      <c r="P68" s="2165"/>
      <c r="Q68" s="2165"/>
      <c r="R68" s="2165"/>
      <c r="S68" s="2165"/>
      <c r="T68" s="2165"/>
      <c r="U68" s="2165"/>
      <c r="V68" s="2165"/>
      <c r="W68" s="1624"/>
      <c r="X68" s="1624"/>
    </row>
    <row r="69" spans="1:25">
      <c r="A69" s="1602" t="s">
        <v>6344</v>
      </c>
      <c r="B69" s="2329" t="s">
        <v>6344</v>
      </c>
      <c r="C69" s="1613" t="s">
        <v>6343</v>
      </c>
      <c r="D69" s="1624">
        <f>D51-D52-D60-D68</f>
        <v>100600000000</v>
      </c>
      <c r="E69" s="1624">
        <f t="shared" ref="E69:P69" si="7">E51-E52-E60-E68</f>
        <v>9700000000</v>
      </c>
      <c r="F69" s="1624">
        <f t="shared" si="7"/>
        <v>0</v>
      </c>
      <c r="G69" s="1624">
        <f t="shared" si="7"/>
        <v>100000000</v>
      </c>
      <c r="H69" s="1624">
        <f t="shared" si="7"/>
        <v>-44000000000</v>
      </c>
      <c r="I69" s="1624">
        <f t="shared" si="7"/>
        <v>0</v>
      </c>
      <c r="J69" s="1624">
        <f t="shared" si="7"/>
        <v>0</v>
      </c>
      <c r="K69" s="1624">
        <f t="shared" si="7"/>
        <v>0</v>
      </c>
      <c r="L69" s="1624">
        <f t="shared" si="7"/>
        <v>-3000000000</v>
      </c>
      <c r="M69" s="1624">
        <f t="shared" si="7"/>
        <v>0</v>
      </c>
      <c r="N69" s="1624">
        <f t="shared" si="7"/>
        <v>0</v>
      </c>
      <c r="O69" s="1624">
        <f t="shared" si="7"/>
        <v>0</v>
      </c>
      <c r="P69" s="1624">
        <f t="shared" si="7"/>
        <v>1000000000</v>
      </c>
      <c r="W69" s="1624"/>
      <c r="X69" s="1624"/>
    </row>
    <row r="70" spans="1:25">
      <c r="B70" s="1612" t="s">
        <v>6345</v>
      </c>
      <c r="C70" s="1612"/>
      <c r="D70" s="1624"/>
      <c r="E70" s="1624"/>
      <c r="F70" s="1624"/>
      <c r="G70" s="1624"/>
      <c r="H70" s="1624"/>
      <c r="I70" s="1624"/>
      <c r="J70" s="1624"/>
      <c r="K70" s="1624"/>
      <c r="L70" s="1624"/>
      <c r="M70" s="1624"/>
      <c r="N70" s="1624"/>
      <c r="O70" s="1624"/>
      <c r="P70" s="1624"/>
      <c r="W70" s="1624"/>
      <c r="X70" s="1624"/>
    </row>
    <row r="71" spans="1:25">
      <c r="B71" s="1612" t="s">
        <v>6346</v>
      </c>
      <c r="D71" s="1624"/>
      <c r="E71" s="1624"/>
      <c r="F71" s="1624"/>
      <c r="G71" s="1624"/>
      <c r="H71" s="1624"/>
      <c r="I71" s="1624"/>
      <c r="J71" s="1624"/>
      <c r="K71" s="1624"/>
      <c r="L71" s="1624"/>
      <c r="M71" s="1624"/>
      <c r="N71" s="1624"/>
      <c r="O71" s="1624"/>
      <c r="P71" s="1624"/>
      <c r="S71" s="2171">
        <v>30193014000000</v>
      </c>
      <c r="T71" s="2171">
        <v>36491338000000.008</v>
      </c>
      <c r="U71" s="2171">
        <v>42730352000000.008</v>
      </c>
      <c r="V71" s="2171">
        <v>49263894000000</v>
      </c>
      <c r="W71" s="1624">
        <v>56722512000000</v>
      </c>
      <c r="X71" s="1624">
        <v>64911885000000</v>
      </c>
    </row>
    <row r="73" spans="1:25">
      <c r="D73" s="1602" t="s">
        <v>139</v>
      </c>
      <c r="E73" s="1602" t="s">
        <v>139</v>
      </c>
      <c r="F73" s="1602" t="s">
        <v>139</v>
      </c>
      <c r="G73" s="1602" t="s">
        <v>139</v>
      </c>
      <c r="H73" s="1602" t="s">
        <v>139</v>
      </c>
      <c r="I73" s="1602" t="s">
        <v>139</v>
      </c>
      <c r="J73" s="1602" t="s">
        <v>139</v>
      </c>
      <c r="K73" s="1602" t="s">
        <v>139</v>
      </c>
      <c r="L73" s="1602" t="s">
        <v>139</v>
      </c>
      <c r="M73" s="1602" t="s">
        <v>139</v>
      </c>
      <c r="N73" s="1602" t="s">
        <v>139</v>
      </c>
      <c r="O73" s="1602" t="s">
        <v>139</v>
      </c>
      <c r="P73" s="1602" t="s">
        <v>139</v>
      </c>
      <c r="Q73" s="1602" t="s">
        <v>139</v>
      </c>
      <c r="R73" s="1602" t="s">
        <v>139</v>
      </c>
      <c r="S73" s="1602" t="s">
        <v>139</v>
      </c>
      <c r="T73" s="1602" t="s">
        <v>139</v>
      </c>
      <c r="U73" s="1602" t="s">
        <v>139</v>
      </c>
      <c r="V73" s="1602" t="s">
        <v>139</v>
      </c>
      <c r="W73" s="1602" t="s">
        <v>139</v>
      </c>
      <c r="X73" s="1602" t="s">
        <v>139</v>
      </c>
      <c r="Y73" s="1602" t="s">
        <v>139</v>
      </c>
    </row>
    <row r="75" spans="1:25">
      <c r="B75" s="1602" t="s">
        <v>1700</v>
      </c>
      <c r="D75" s="1624">
        <f t="shared" ref="D75:V75" si="8">D6-D7-D39</f>
        <v>0</v>
      </c>
      <c r="E75" s="1624">
        <f t="shared" si="8"/>
        <v>0</v>
      </c>
      <c r="F75" s="1624">
        <f t="shared" si="8"/>
        <v>0</v>
      </c>
      <c r="G75" s="1624">
        <f t="shared" si="8"/>
        <v>0</v>
      </c>
      <c r="H75" s="1624">
        <f t="shared" si="8"/>
        <v>0</v>
      </c>
      <c r="I75" s="1624">
        <f t="shared" si="8"/>
        <v>0</v>
      </c>
      <c r="J75" s="1624">
        <f t="shared" si="8"/>
        <v>0</v>
      </c>
      <c r="K75" s="1624">
        <f t="shared" si="8"/>
        <v>0</v>
      </c>
      <c r="L75" s="1624">
        <f t="shared" si="8"/>
        <v>0</v>
      </c>
      <c r="M75" s="1624">
        <f t="shared" si="8"/>
        <v>0</v>
      </c>
      <c r="N75" s="1624">
        <f t="shared" si="8"/>
        <v>0</v>
      </c>
      <c r="O75" s="1624">
        <f t="shared" si="8"/>
        <v>0</v>
      </c>
      <c r="P75" s="1624">
        <f t="shared" si="8"/>
        <v>0</v>
      </c>
      <c r="Q75" s="1624">
        <f t="shared" si="8"/>
        <v>0</v>
      </c>
      <c r="R75" s="1624">
        <f t="shared" si="8"/>
        <v>0</v>
      </c>
      <c r="S75" s="1624">
        <f t="shared" si="8"/>
        <v>0</v>
      </c>
      <c r="T75" s="1624">
        <f t="shared" si="8"/>
        <v>0</v>
      </c>
      <c r="U75" s="1624">
        <f t="shared" si="8"/>
        <v>0</v>
      </c>
      <c r="V75" s="1624">
        <f t="shared" si="8"/>
        <v>0</v>
      </c>
      <c r="W75" s="1624">
        <f t="shared" ref="W75:X75" si="9">W6-W7-W39</f>
        <v>0</v>
      </c>
      <c r="X75" s="1636">
        <f t="shared" si="9"/>
        <v>0</v>
      </c>
      <c r="Y75" s="1636">
        <f t="shared" ref="Y75" si="10">Y6-Y7-Y39</f>
        <v>0</v>
      </c>
    </row>
    <row r="76" spans="1:25">
      <c r="B76" s="1602" t="s">
        <v>6347</v>
      </c>
      <c r="D76" s="2097">
        <f>D7-D8-D14</f>
        <v>100000000</v>
      </c>
      <c r="E76" s="2097">
        <f t="shared" ref="E76:V76" si="11">E7-E8-E14</f>
        <v>0</v>
      </c>
      <c r="F76" s="2097">
        <f t="shared" si="11"/>
        <v>-99999999.99987793</v>
      </c>
      <c r="G76" s="2097">
        <f t="shared" si="11"/>
        <v>0</v>
      </c>
      <c r="H76" s="2097">
        <f t="shared" si="11"/>
        <v>-1000000000</v>
      </c>
      <c r="I76" s="2097">
        <f t="shared" si="11"/>
        <v>1000000000</v>
      </c>
      <c r="J76" s="2097">
        <f t="shared" si="11"/>
        <v>1000000000</v>
      </c>
      <c r="K76" s="2097">
        <f t="shared" si="11"/>
        <v>0</v>
      </c>
      <c r="L76" s="2097">
        <f t="shared" si="11"/>
        <v>1000000000</v>
      </c>
      <c r="M76" s="2097">
        <f t="shared" si="11"/>
        <v>0</v>
      </c>
      <c r="N76" s="2097">
        <f t="shared" si="11"/>
        <v>0</v>
      </c>
      <c r="O76" s="2097">
        <f t="shared" si="11"/>
        <v>0</v>
      </c>
      <c r="P76" s="2097">
        <f t="shared" si="11"/>
        <v>0</v>
      </c>
      <c r="Q76" s="2097">
        <f t="shared" si="11"/>
        <v>0</v>
      </c>
      <c r="R76" s="2097">
        <f t="shared" si="11"/>
        <v>0</v>
      </c>
      <c r="S76" s="2097">
        <f t="shared" si="11"/>
        <v>0</v>
      </c>
      <c r="T76" s="2097">
        <f t="shared" si="11"/>
        <v>0</v>
      </c>
      <c r="U76" s="2097">
        <f t="shared" si="11"/>
        <v>0</v>
      </c>
      <c r="V76" s="2097">
        <f t="shared" si="11"/>
        <v>1000000000</v>
      </c>
      <c r="W76" s="2097">
        <f t="shared" ref="W76:X76" si="12">W7-W8-W14</f>
        <v>-1000000000</v>
      </c>
      <c r="X76" s="1636">
        <f t="shared" si="12"/>
        <v>0</v>
      </c>
      <c r="Y76" s="1636">
        <f t="shared" ref="Y76" si="13">Y7-Y8-Y14</f>
        <v>0</v>
      </c>
    </row>
    <row r="77" spans="1:25">
      <c r="B77" s="1602" t="s">
        <v>142</v>
      </c>
      <c r="D77" s="2172">
        <f>D8-D9-D10-D11-D12-D13</f>
        <v>-100000000</v>
      </c>
      <c r="E77" s="2172">
        <f t="shared" ref="E77:V77" si="14">E8-E9-E10-E11-E12-E13</f>
        <v>0</v>
      </c>
      <c r="F77" s="2172">
        <f t="shared" si="14"/>
        <v>0</v>
      </c>
      <c r="G77" s="2172">
        <f t="shared" si="14"/>
        <v>0</v>
      </c>
      <c r="H77" s="2172">
        <f t="shared" si="14"/>
        <v>0</v>
      </c>
      <c r="I77" s="2172">
        <f t="shared" si="14"/>
        <v>-1000000000</v>
      </c>
      <c r="J77" s="2172">
        <f t="shared" si="14"/>
        <v>-1000000000</v>
      </c>
      <c r="K77" s="2172">
        <f>K8-K9-K10-K11-K12-K13</f>
        <v>0</v>
      </c>
      <c r="L77" s="2172">
        <f t="shared" si="14"/>
        <v>0</v>
      </c>
      <c r="M77" s="2172">
        <f t="shared" si="14"/>
        <v>0</v>
      </c>
      <c r="N77" s="2172">
        <f t="shared" si="14"/>
        <v>0</v>
      </c>
      <c r="O77" s="2172">
        <f t="shared" si="14"/>
        <v>0</v>
      </c>
      <c r="P77" s="2172">
        <f t="shared" si="14"/>
        <v>-1000000000</v>
      </c>
      <c r="Q77" s="2172">
        <f t="shared" si="14"/>
        <v>1000000000</v>
      </c>
      <c r="R77" s="2172">
        <f t="shared" si="14"/>
        <v>-1000000000</v>
      </c>
      <c r="S77" s="2172">
        <f t="shared" si="14"/>
        <v>-1000000000</v>
      </c>
      <c r="T77" s="2172">
        <f t="shared" si="14"/>
        <v>0</v>
      </c>
      <c r="U77" s="2172">
        <f t="shared" si="14"/>
        <v>-1000000000</v>
      </c>
      <c r="V77" s="2172">
        <f t="shared" si="14"/>
        <v>0</v>
      </c>
      <c r="W77" s="2172">
        <f t="shared" ref="W77:X77" si="15">W8-W9-W10-W11-W12-W13</f>
        <v>1000000000</v>
      </c>
      <c r="X77" s="1636">
        <f t="shared" si="15"/>
        <v>0</v>
      </c>
      <c r="Y77" s="1636">
        <f t="shared" ref="Y77" si="16">Y8-Y9-Y10-Y11-Y12-Y13</f>
        <v>-1000000000</v>
      </c>
    </row>
    <row r="78" spans="1:25">
      <c r="B78" s="1602" t="s">
        <v>360</v>
      </c>
      <c r="D78" s="2173">
        <f>D14-D15-D16</f>
        <v>80500000000</v>
      </c>
      <c r="E78" s="2173">
        <f t="shared" ref="E78:V78" si="17">E14-E15-E16</f>
        <v>101800000000</v>
      </c>
      <c r="F78" s="2173">
        <f t="shared" si="17"/>
        <v>104500000000</v>
      </c>
      <c r="G78" s="2173">
        <f t="shared" si="17"/>
        <v>111800000000</v>
      </c>
      <c r="H78" s="2173">
        <f t="shared" si="17"/>
        <v>117000000000</v>
      </c>
      <c r="I78" s="2173">
        <f t="shared" si="17"/>
        <v>158000000000</v>
      </c>
      <c r="J78" s="2173">
        <f t="shared" si="17"/>
        <v>178000000000</v>
      </c>
      <c r="K78" s="2173">
        <f t="shared" si="17"/>
        <v>210000000000</v>
      </c>
      <c r="L78" s="2173">
        <f t="shared" si="17"/>
        <v>275000000000</v>
      </c>
      <c r="M78" s="2097">
        <f t="shared" si="17"/>
        <v>0</v>
      </c>
      <c r="N78" s="2097">
        <f t="shared" si="17"/>
        <v>0</v>
      </c>
      <c r="O78" s="2097">
        <f t="shared" si="17"/>
        <v>0</v>
      </c>
      <c r="P78" s="2097">
        <f t="shared" si="17"/>
        <v>0</v>
      </c>
      <c r="Q78" s="2097">
        <f t="shared" si="17"/>
        <v>0</v>
      </c>
      <c r="R78" s="2097">
        <f t="shared" si="17"/>
        <v>0</v>
      </c>
      <c r="S78" s="2097">
        <f t="shared" si="17"/>
        <v>0</v>
      </c>
      <c r="T78" s="2097">
        <f t="shared" si="17"/>
        <v>0</v>
      </c>
      <c r="U78" s="2097">
        <f t="shared" si="17"/>
        <v>0</v>
      </c>
      <c r="V78" s="2097">
        <f t="shared" si="17"/>
        <v>0</v>
      </c>
      <c r="W78" s="2097">
        <f t="shared" ref="W78:X78" si="18">W14-W15-W16</f>
        <v>0</v>
      </c>
      <c r="X78" s="1636">
        <f t="shared" si="18"/>
        <v>1000000000</v>
      </c>
      <c r="Y78" s="1636">
        <f t="shared" ref="Y78" si="19">Y14-Y15-Y16</f>
        <v>1000000000</v>
      </c>
    </row>
    <row r="79" spans="1:25">
      <c r="B79" s="1602" t="s">
        <v>145</v>
      </c>
      <c r="D79" s="1626">
        <f>D17-D18-D30-D36</f>
        <v>0</v>
      </c>
      <c r="E79" s="1626">
        <f>E17-E18-E30-E36</f>
        <v>0</v>
      </c>
      <c r="F79" s="1626">
        <f>F17-F18-F30-F36</f>
        <v>0</v>
      </c>
      <c r="G79" s="1626">
        <f t="shared" ref="G79:V79" si="20">G17-G18-G30</f>
        <v>0</v>
      </c>
      <c r="H79" s="1626">
        <f t="shared" si="20"/>
        <v>0</v>
      </c>
      <c r="I79" s="1626">
        <f t="shared" si="20"/>
        <v>-1000000000</v>
      </c>
      <c r="J79" s="1626">
        <f t="shared" si="20"/>
        <v>0</v>
      </c>
      <c r="K79" s="1626">
        <f t="shared" si="20"/>
        <v>0</v>
      </c>
      <c r="L79" s="1626">
        <f t="shared" si="20"/>
        <v>0</v>
      </c>
      <c r="M79" s="1626">
        <f t="shared" si="20"/>
        <v>0</v>
      </c>
      <c r="N79" s="1626">
        <f t="shared" si="20"/>
        <v>1000000000</v>
      </c>
      <c r="O79" s="1626">
        <f t="shared" si="20"/>
        <v>0</v>
      </c>
      <c r="P79" s="1626">
        <f t="shared" si="20"/>
        <v>0</v>
      </c>
      <c r="Q79" s="1626">
        <f t="shared" si="20"/>
        <v>0</v>
      </c>
      <c r="R79" s="1626">
        <f t="shared" si="20"/>
        <v>-1000000000</v>
      </c>
      <c r="S79" s="1626">
        <f t="shared" si="20"/>
        <v>1000000000</v>
      </c>
      <c r="T79" s="1626">
        <f t="shared" si="20"/>
        <v>0</v>
      </c>
      <c r="U79" s="1626">
        <f t="shared" si="20"/>
        <v>0</v>
      </c>
      <c r="V79" s="1626">
        <f t="shared" si="20"/>
        <v>0</v>
      </c>
      <c r="W79" s="1626">
        <f t="shared" ref="W79:X79" si="21">W17-W18-W30</f>
        <v>-1000000000</v>
      </c>
      <c r="X79" s="1636">
        <f t="shared" si="21"/>
        <v>0</v>
      </c>
      <c r="Y79" s="1636">
        <f t="shared" ref="Y79" si="22">Y17-Y18-Y30</f>
        <v>0</v>
      </c>
    </row>
    <row r="80" spans="1:25">
      <c r="B80" s="1602" t="s">
        <v>361</v>
      </c>
      <c r="D80" s="1626">
        <f>D18-D19-D21-D24</f>
        <v>0</v>
      </c>
      <c r="E80" s="1626">
        <f t="shared" ref="E80:V80" si="23">E18-E19-E21-E24</f>
        <v>0</v>
      </c>
      <c r="F80" s="1626">
        <f t="shared" si="23"/>
        <v>0</v>
      </c>
      <c r="G80" s="1626">
        <f t="shared" si="23"/>
        <v>-100000000</v>
      </c>
      <c r="H80" s="1626">
        <f t="shared" si="23"/>
        <v>0</v>
      </c>
      <c r="I80" s="1626">
        <f t="shared" si="23"/>
        <v>0</v>
      </c>
      <c r="J80" s="1626">
        <f t="shared" si="23"/>
        <v>0</v>
      </c>
      <c r="K80" s="1626">
        <f t="shared" si="23"/>
        <v>-1000000000</v>
      </c>
      <c r="L80" s="1626">
        <f t="shared" si="23"/>
        <v>0</v>
      </c>
      <c r="M80" s="1626">
        <f t="shared" si="23"/>
        <v>-1000000000</v>
      </c>
      <c r="N80" s="1626">
        <f t="shared" si="23"/>
        <v>0</v>
      </c>
      <c r="O80" s="1626">
        <f t="shared" si="23"/>
        <v>0</v>
      </c>
      <c r="P80" s="1626">
        <f t="shared" si="23"/>
        <v>1000000000</v>
      </c>
      <c r="Q80" s="1626">
        <f t="shared" si="23"/>
        <v>0</v>
      </c>
      <c r="R80" s="1626">
        <f t="shared" si="23"/>
        <v>1000000000</v>
      </c>
      <c r="S80" s="1626">
        <f>S18-S19-S21-S24</f>
        <v>-1000000000</v>
      </c>
      <c r="T80" s="1626">
        <f t="shared" si="23"/>
        <v>1000000000</v>
      </c>
      <c r="U80" s="1626">
        <f t="shared" si="23"/>
        <v>1000000000</v>
      </c>
      <c r="V80" s="1626">
        <f t="shared" si="23"/>
        <v>0</v>
      </c>
      <c r="W80" s="1626">
        <f t="shared" ref="W80:X80" si="24">W18-W19-W21-W24</f>
        <v>-1000000000</v>
      </c>
      <c r="X80" s="1636">
        <f t="shared" si="24"/>
        <v>0</v>
      </c>
      <c r="Y80" s="1636">
        <f t="shared" ref="Y80" si="25">Y18-Y19-Y21-Y24</f>
        <v>0</v>
      </c>
    </row>
    <row r="81" spans="2:25">
      <c r="B81" s="1602" t="s">
        <v>5189</v>
      </c>
      <c r="D81" s="1624">
        <f t="shared" ref="D81:V81" si="26">D30-D31-D35</f>
        <v>0</v>
      </c>
      <c r="E81" s="1624">
        <f t="shared" si="26"/>
        <v>0</v>
      </c>
      <c r="F81" s="1624">
        <f t="shared" si="26"/>
        <v>0</v>
      </c>
      <c r="G81" s="1624">
        <f t="shared" si="26"/>
        <v>0</v>
      </c>
      <c r="H81" s="1624">
        <f t="shared" si="26"/>
        <v>0</v>
      </c>
      <c r="I81" s="1624">
        <f t="shared" si="26"/>
        <v>0</v>
      </c>
      <c r="J81" s="1624">
        <f t="shared" si="26"/>
        <v>0</v>
      </c>
      <c r="K81" s="1624">
        <f t="shared" si="26"/>
        <v>0</v>
      </c>
      <c r="L81" s="1624">
        <f t="shared" si="26"/>
        <v>0</v>
      </c>
      <c r="M81" s="1624">
        <f t="shared" si="26"/>
        <v>0</v>
      </c>
      <c r="N81" s="1624">
        <f t="shared" si="26"/>
        <v>-1000000000</v>
      </c>
      <c r="O81" s="1624">
        <f t="shared" si="26"/>
        <v>0</v>
      </c>
      <c r="P81" s="1624">
        <f t="shared" si="26"/>
        <v>1000000000</v>
      </c>
      <c r="Q81" s="1624">
        <f t="shared" si="26"/>
        <v>0</v>
      </c>
      <c r="R81" s="1624">
        <f t="shared" si="26"/>
        <v>0</v>
      </c>
      <c r="S81" s="1624">
        <f t="shared" si="26"/>
        <v>-1000000000</v>
      </c>
      <c r="T81" s="1624">
        <f t="shared" si="26"/>
        <v>0</v>
      </c>
      <c r="U81" s="1624">
        <f t="shared" si="26"/>
        <v>1000000000</v>
      </c>
      <c r="V81" s="1624">
        <f t="shared" si="26"/>
        <v>1000000000</v>
      </c>
      <c r="W81" s="1624">
        <f t="shared" ref="W81:X81" si="27">W30-W31-W35</f>
        <v>0</v>
      </c>
      <c r="X81" s="1636">
        <f t="shared" si="27"/>
        <v>-1000000000</v>
      </c>
      <c r="Y81" s="1636">
        <f t="shared" ref="Y81" si="28">Y30-Y31-Y35</f>
        <v>0</v>
      </c>
    </row>
    <row r="82" spans="2:25">
      <c r="B82" s="2174" t="s">
        <v>6348</v>
      </c>
      <c r="D82" s="1624"/>
      <c r="E82" s="1624"/>
      <c r="F82" s="1624"/>
      <c r="G82" s="1624"/>
      <c r="H82" s="1624"/>
      <c r="I82" s="1624"/>
      <c r="J82" s="1624"/>
      <c r="K82" s="1624"/>
      <c r="L82" s="1624"/>
      <c r="M82" s="1624"/>
      <c r="N82" s="1624"/>
      <c r="O82" s="1624"/>
      <c r="P82" s="1624"/>
      <c r="Q82" s="1624"/>
      <c r="R82" s="1624"/>
      <c r="S82" s="1624">
        <f>S24-S25-S26-S27-S28-S29</f>
        <v>0</v>
      </c>
      <c r="T82" s="1918">
        <f t="shared" ref="T82:X82" si="29">T24-T25-T26-T27-T28-T29</f>
        <v>6306000000000</v>
      </c>
      <c r="U82" s="1918">
        <f t="shared" si="29"/>
        <v>4302000000000</v>
      </c>
      <c r="V82" s="1918">
        <f t="shared" si="29"/>
        <v>5594000000000</v>
      </c>
      <c r="W82" s="1918">
        <f t="shared" si="29"/>
        <v>6238000000000</v>
      </c>
      <c r="X82" s="2373">
        <f t="shared" si="29"/>
        <v>7123000000000</v>
      </c>
      <c r="Y82" s="2373">
        <f t="shared" ref="Y82" si="30">Y24-Y25-Y26-Y27-Y28-Y29</f>
        <v>7952000000000</v>
      </c>
    </row>
    <row r="83" spans="2:25">
      <c r="B83" s="1602" t="s">
        <v>1492</v>
      </c>
      <c r="D83" s="1627">
        <f>D31-D32-D34</f>
        <v>19400000000</v>
      </c>
      <c r="E83" s="1627">
        <f t="shared" ref="E83:Q83" si="31">E31-E32-E34</f>
        <v>35100000000</v>
      </c>
      <c r="F83" s="1627">
        <f t="shared" si="31"/>
        <v>50200000000</v>
      </c>
      <c r="G83" s="1627">
        <f t="shared" si="31"/>
        <v>95700000000</v>
      </c>
      <c r="H83" s="1627">
        <f t="shared" si="31"/>
        <v>133000000000</v>
      </c>
      <c r="I83" s="1624">
        <f t="shared" si="31"/>
        <v>0</v>
      </c>
      <c r="J83" s="1624">
        <f t="shared" si="31"/>
        <v>0</v>
      </c>
      <c r="K83" s="1624">
        <f t="shared" si="31"/>
        <v>0</v>
      </c>
      <c r="L83" s="1624">
        <f t="shared" si="31"/>
        <v>0</v>
      </c>
      <c r="M83" s="1624">
        <f t="shared" si="31"/>
        <v>0</v>
      </c>
      <c r="N83" s="1624">
        <f t="shared" si="31"/>
        <v>0</v>
      </c>
      <c r="O83" s="1624">
        <f t="shared" si="31"/>
        <v>0</v>
      </c>
      <c r="P83" s="1624">
        <f t="shared" si="31"/>
        <v>0</v>
      </c>
      <c r="Q83" s="1918">
        <f t="shared" si="31"/>
        <v>1913000000000</v>
      </c>
      <c r="R83" s="1918">
        <f>R31-R32-R34</f>
        <v>1855000000000</v>
      </c>
      <c r="S83" s="1918">
        <f>S31-S32-S33-S34</f>
        <v>0</v>
      </c>
      <c r="T83" s="1918">
        <f t="shared" ref="T83:X83" si="32">T31-T32-T33-T34</f>
        <v>2905000000000</v>
      </c>
      <c r="U83" s="1918">
        <f t="shared" si="32"/>
        <v>5141000000000</v>
      </c>
      <c r="V83" s="1918">
        <f>V31-V32-V33-V34</f>
        <v>7750000000000</v>
      </c>
      <c r="W83" s="1918">
        <f t="shared" si="32"/>
        <v>7519000000000</v>
      </c>
      <c r="X83" s="2373">
        <f t="shared" si="32"/>
        <v>8685000000000</v>
      </c>
      <c r="Y83" s="2373">
        <f t="shared" ref="Y83" si="33">Y31-Y32-Y33-Y34</f>
        <v>8948000000000</v>
      </c>
    </row>
    <row r="84" spans="2:25">
      <c r="B84" s="1602" t="s">
        <v>143</v>
      </c>
      <c r="D84" s="1624">
        <f t="shared" ref="D84:V84" si="34">D39-D40-D43-D44-D45-D46</f>
        <v>0</v>
      </c>
      <c r="E84" s="1624">
        <f t="shared" si="34"/>
        <v>0</v>
      </c>
      <c r="F84" s="1624">
        <f t="shared" si="34"/>
        <v>0</v>
      </c>
      <c r="G84" s="1624">
        <f t="shared" si="34"/>
        <v>0</v>
      </c>
      <c r="H84" s="1624">
        <f t="shared" si="34"/>
        <v>1000000000</v>
      </c>
      <c r="I84" s="1624">
        <f t="shared" si="34"/>
        <v>1000000000</v>
      </c>
      <c r="J84" s="1624">
        <f t="shared" si="34"/>
        <v>0</v>
      </c>
      <c r="K84" s="1624">
        <f>K39-K40-K43-K44-K45-K46</f>
        <v>0</v>
      </c>
      <c r="L84" s="1624">
        <f t="shared" si="34"/>
        <v>-1000000000</v>
      </c>
      <c r="M84" s="1624">
        <f t="shared" si="34"/>
        <v>0</v>
      </c>
      <c r="N84" s="1624">
        <f t="shared" si="34"/>
        <v>0</v>
      </c>
      <c r="O84" s="1624">
        <f t="shared" si="34"/>
        <v>-1000000000</v>
      </c>
      <c r="P84" s="1624">
        <f t="shared" si="34"/>
        <v>0</v>
      </c>
      <c r="Q84" s="1624">
        <f t="shared" si="34"/>
        <v>0</v>
      </c>
      <c r="R84" s="1624">
        <f t="shared" si="34"/>
        <v>0</v>
      </c>
      <c r="S84" s="1624">
        <f t="shared" si="34"/>
        <v>0</v>
      </c>
      <c r="T84" s="1624">
        <f t="shared" si="34"/>
        <v>0</v>
      </c>
      <c r="U84" s="1624">
        <f t="shared" si="34"/>
        <v>0</v>
      </c>
      <c r="V84" s="1624">
        <f t="shared" si="34"/>
        <v>1000000000</v>
      </c>
      <c r="W84" s="1624">
        <f t="shared" ref="W84:X84" si="35">W39-W40-W43-W44-W45-W46</f>
        <v>0</v>
      </c>
      <c r="X84" s="1636">
        <f t="shared" si="35"/>
        <v>0</v>
      </c>
      <c r="Y84" s="1636">
        <f t="shared" ref="Y84" si="36">Y39-Y40-Y43-Y44-Y45-Y46</f>
        <v>-1000000000</v>
      </c>
    </row>
    <row r="85" spans="2:25">
      <c r="B85" s="1602" t="s">
        <v>148</v>
      </c>
      <c r="D85" s="1624">
        <f>D51-D52-D60-D66</f>
        <v>0</v>
      </c>
      <c r="E85" s="1624">
        <f t="shared" ref="E85:V85" si="37">E51-E52-E60-E66</f>
        <v>0</v>
      </c>
      <c r="F85" s="1624">
        <f t="shared" si="37"/>
        <v>0</v>
      </c>
      <c r="G85" s="1624">
        <f t="shared" si="37"/>
        <v>0</v>
      </c>
      <c r="H85" s="1624">
        <f t="shared" si="37"/>
        <v>0</v>
      </c>
      <c r="I85" s="1624">
        <f t="shared" si="37"/>
        <v>0</v>
      </c>
      <c r="J85" s="1624">
        <f t="shared" si="37"/>
        <v>0</v>
      </c>
      <c r="K85" s="1624">
        <f t="shared" si="37"/>
        <v>0</v>
      </c>
      <c r="L85" s="1624">
        <f t="shared" si="37"/>
        <v>0</v>
      </c>
      <c r="M85" s="1624">
        <f t="shared" si="37"/>
        <v>0</v>
      </c>
      <c r="N85" s="1624">
        <f t="shared" si="37"/>
        <v>0</v>
      </c>
      <c r="O85" s="1624">
        <f t="shared" si="37"/>
        <v>0</v>
      </c>
      <c r="P85" s="1624">
        <f t="shared" si="37"/>
        <v>0</v>
      </c>
      <c r="Q85" s="1624">
        <f t="shared" si="37"/>
        <v>0</v>
      </c>
      <c r="R85" s="1624">
        <f t="shared" si="37"/>
        <v>0</v>
      </c>
      <c r="S85" s="1624">
        <f t="shared" si="37"/>
        <v>0</v>
      </c>
      <c r="T85" s="1624">
        <f t="shared" si="37"/>
        <v>0</v>
      </c>
      <c r="U85" s="1624">
        <f t="shared" si="37"/>
        <v>0</v>
      </c>
      <c r="V85" s="1624">
        <f t="shared" si="37"/>
        <v>0</v>
      </c>
      <c r="W85" s="1624">
        <f t="shared" ref="W85:X85" si="38">W51-W52-W60-W66</f>
        <v>0</v>
      </c>
      <c r="X85" s="1636">
        <f t="shared" si="38"/>
        <v>0</v>
      </c>
      <c r="Y85" s="1636">
        <f t="shared" ref="Y85" si="39">Y51-Y52-Y60-Y66</f>
        <v>1000000000</v>
      </c>
    </row>
    <row r="86" spans="2:25">
      <c r="B86" s="1602" t="s">
        <v>528</v>
      </c>
      <c r="D86" s="1624">
        <f>D52-D53-D59</f>
        <v>0</v>
      </c>
      <c r="E86" s="1624">
        <f t="shared" ref="E86:V86" si="40">E52-E53-E59</f>
        <v>0</v>
      </c>
      <c r="F86" s="1624">
        <f t="shared" si="40"/>
        <v>0</v>
      </c>
      <c r="G86" s="1624">
        <f t="shared" si="40"/>
        <v>-100000000</v>
      </c>
      <c r="H86" s="1624">
        <f t="shared" si="40"/>
        <v>0</v>
      </c>
      <c r="I86" s="1624">
        <f t="shared" si="40"/>
        <v>0</v>
      </c>
      <c r="J86" s="1624">
        <f t="shared" si="40"/>
        <v>0</v>
      </c>
      <c r="K86" s="1624">
        <f t="shared" si="40"/>
        <v>1000000000</v>
      </c>
      <c r="L86" s="1624">
        <f t="shared" si="40"/>
        <v>0</v>
      </c>
      <c r="M86" s="1624">
        <f t="shared" si="40"/>
        <v>-1000000000</v>
      </c>
      <c r="N86" s="1624">
        <f t="shared" si="40"/>
        <v>0</v>
      </c>
      <c r="O86" s="1624">
        <f t="shared" si="40"/>
        <v>1000000000</v>
      </c>
      <c r="P86" s="1624">
        <f t="shared" si="40"/>
        <v>-1000000000</v>
      </c>
      <c r="Q86" s="1624">
        <f t="shared" si="40"/>
        <v>0</v>
      </c>
      <c r="R86" s="1624">
        <f t="shared" si="40"/>
        <v>0</v>
      </c>
      <c r="S86" s="1624">
        <f t="shared" si="40"/>
        <v>1000000000</v>
      </c>
      <c r="T86" s="1918">
        <f t="shared" si="40"/>
        <v>0</v>
      </c>
      <c r="U86" s="1918">
        <f t="shared" si="40"/>
        <v>0</v>
      </c>
      <c r="V86" s="1918">
        <f t="shared" si="40"/>
        <v>0</v>
      </c>
      <c r="W86" s="1918">
        <f t="shared" ref="W86:X86" si="41">W52-W53-W59</f>
        <v>0</v>
      </c>
      <c r="X86" s="2373">
        <f t="shared" si="41"/>
        <v>0</v>
      </c>
      <c r="Y86" s="2373">
        <f t="shared" ref="Y86" si="42">Y52-Y53-Y59</f>
        <v>0</v>
      </c>
    </row>
    <row r="87" spans="2:25">
      <c r="B87" s="1602" t="s">
        <v>1705</v>
      </c>
      <c r="D87" s="1624">
        <f>D53-D54-D56-D57</f>
        <v>0</v>
      </c>
      <c r="E87" s="1624">
        <f t="shared" ref="E87:V87" si="43">E53-E54-E56-E57</f>
        <v>0</v>
      </c>
      <c r="F87" s="1624">
        <f t="shared" si="43"/>
        <v>0</v>
      </c>
      <c r="G87" s="1624">
        <f t="shared" si="43"/>
        <v>100000000</v>
      </c>
      <c r="H87" s="1624">
        <f t="shared" si="43"/>
        <v>0</v>
      </c>
      <c r="I87" s="1624">
        <f t="shared" si="43"/>
        <v>0</v>
      </c>
      <c r="J87" s="1624">
        <f t="shared" si="43"/>
        <v>0</v>
      </c>
      <c r="K87" s="1624">
        <f t="shared" si="43"/>
        <v>0</v>
      </c>
      <c r="L87" s="1624">
        <f t="shared" si="43"/>
        <v>0</v>
      </c>
      <c r="M87" s="1624">
        <f t="shared" si="43"/>
        <v>0</v>
      </c>
      <c r="N87" s="1624">
        <f t="shared" si="43"/>
        <v>0</v>
      </c>
      <c r="O87" s="1624">
        <f t="shared" si="43"/>
        <v>0</v>
      </c>
      <c r="P87" s="1624">
        <f t="shared" si="43"/>
        <v>1000000000</v>
      </c>
      <c r="Q87" s="1624">
        <f t="shared" si="43"/>
        <v>0</v>
      </c>
      <c r="R87" s="1624">
        <f t="shared" si="43"/>
        <v>-1000000000</v>
      </c>
      <c r="S87" s="1624">
        <f t="shared" si="43"/>
        <v>-1000000000</v>
      </c>
      <c r="T87" s="1624">
        <f t="shared" si="43"/>
        <v>0</v>
      </c>
      <c r="U87" s="1624">
        <f t="shared" si="43"/>
        <v>0</v>
      </c>
      <c r="V87" s="1624">
        <f t="shared" si="43"/>
        <v>0</v>
      </c>
      <c r="W87" s="1624">
        <f t="shared" ref="W87:X87" si="44">W53-W54-W56-W57</f>
        <v>0</v>
      </c>
      <c r="X87" s="1636">
        <f t="shared" si="44"/>
        <v>0</v>
      </c>
      <c r="Y87" s="1636">
        <f t="shared" ref="Y87" si="45">Y53-Y54-Y56-Y57</f>
        <v>0</v>
      </c>
    </row>
    <row r="88" spans="2:25">
      <c r="B88" s="1602" t="s">
        <v>362</v>
      </c>
      <c r="D88" s="1624">
        <f t="shared" ref="D88:P88" si="46">D60-D62-D63-D67-D64</f>
        <v>0</v>
      </c>
      <c r="E88" s="1624">
        <f t="shared" si="46"/>
        <v>0</v>
      </c>
      <c r="F88" s="1624">
        <f t="shared" si="46"/>
        <v>0</v>
      </c>
      <c r="G88" s="1624">
        <f t="shared" si="46"/>
        <v>0</v>
      </c>
      <c r="H88" s="1624">
        <f t="shared" si="46"/>
        <v>0</v>
      </c>
      <c r="I88" s="1624">
        <f t="shared" si="46"/>
        <v>0</v>
      </c>
      <c r="J88" s="1624">
        <f t="shared" si="46"/>
        <v>0</v>
      </c>
      <c r="K88" s="1624">
        <f t="shared" si="46"/>
        <v>0</v>
      </c>
      <c r="L88" s="1624">
        <f t="shared" si="46"/>
        <v>0</v>
      </c>
      <c r="M88" s="1624">
        <f t="shared" si="46"/>
        <v>0</v>
      </c>
      <c r="N88" s="1624">
        <f t="shared" si="46"/>
        <v>0</v>
      </c>
      <c r="O88" s="1624">
        <f t="shared" si="46"/>
        <v>0</v>
      </c>
      <c r="P88" s="1624">
        <f t="shared" si="46"/>
        <v>0</v>
      </c>
      <c r="Q88" s="1624">
        <f t="shared" ref="Q88:V88" si="47">Q60-Q62-Q63-Q67-Q64</f>
        <v>1000000000</v>
      </c>
      <c r="R88" s="1624">
        <f t="shared" si="47"/>
        <v>1000000000</v>
      </c>
      <c r="S88" s="1624">
        <f t="shared" si="47"/>
        <v>0</v>
      </c>
      <c r="T88" s="1918">
        <f t="shared" si="47"/>
        <v>0</v>
      </c>
      <c r="U88" s="1918">
        <f>U60-U62-U63-U67-U64</f>
        <v>0</v>
      </c>
      <c r="V88" s="1918">
        <f t="shared" si="47"/>
        <v>0</v>
      </c>
      <c r="W88" s="1918">
        <f t="shared" ref="W88:X88" si="48">W60-W62-W63-W67-W64</f>
        <v>0</v>
      </c>
      <c r="X88" s="2373">
        <f t="shared" si="48"/>
        <v>-1000000000</v>
      </c>
      <c r="Y88" s="2373">
        <f t="shared" ref="Y88" si="49">Y60-Y62-Y63-Y67-Y64</f>
        <v>0</v>
      </c>
    </row>
    <row r="89" spans="2:25">
      <c r="B89" s="1602" t="s">
        <v>4379</v>
      </c>
      <c r="D89" s="1624">
        <f>D66-D68-D69</f>
        <v>0</v>
      </c>
      <c r="E89" s="1624">
        <f t="shared" ref="E89:V89" si="50">E66-E68-E69</f>
        <v>0</v>
      </c>
      <c r="F89" s="1624">
        <f t="shared" si="50"/>
        <v>0</v>
      </c>
      <c r="G89" s="1624">
        <f t="shared" si="50"/>
        <v>0</v>
      </c>
      <c r="H89" s="1624">
        <f t="shared" si="50"/>
        <v>0</v>
      </c>
      <c r="I89" s="1624">
        <f t="shared" si="50"/>
        <v>0</v>
      </c>
      <c r="J89" s="1624">
        <f t="shared" si="50"/>
        <v>0</v>
      </c>
      <c r="K89" s="1624">
        <f t="shared" si="50"/>
        <v>0</v>
      </c>
      <c r="L89" s="1624">
        <f t="shared" si="50"/>
        <v>0</v>
      </c>
      <c r="M89" s="1624">
        <f t="shared" si="50"/>
        <v>0</v>
      </c>
      <c r="N89" s="1624">
        <f t="shared" si="50"/>
        <v>0</v>
      </c>
      <c r="O89" s="1624">
        <f t="shared" si="50"/>
        <v>0</v>
      </c>
      <c r="P89" s="1624">
        <f t="shared" si="50"/>
        <v>0</v>
      </c>
      <c r="Q89" s="1624">
        <f t="shared" si="50"/>
        <v>0</v>
      </c>
      <c r="R89" s="1624">
        <f t="shared" si="50"/>
        <v>0</v>
      </c>
      <c r="S89" s="1624">
        <f t="shared" si="50"/>
        <v>0</v>
      </c>
      <c r="T89" s="1624">
        <f t="shared" si="50"/>
        <v>0</v>
      </c>
      <c r="U89" s="1624">
        <f t="shared" si="50"/>
        <v>0</v>
      </c>
      <c r="V89" s="1624">
        <f t="shared" si="50"/>
        <v>0</v>
      </c>
      <c r="W89" s="1624">
        <f t="shared" ref="W89:X89" si="51">W66-W68-W69</f>
        <v>0</v>
      </c>
      <c r="X89" s="1636">
        <f t="shared" si="51"/>
        <v>0</v>
      </c>
      <c r="Y89" s="1636">
        <f t="shared" ref="Y89" si="52">Y66-Y68-Y69</f>
        <v>0</v>
      </c>
    </row>
    <row r="91" spans="2:25">
      <c r="D91" s="1624"/>
    </row>
    <row r="92" spans="2:25">
      <c r="B92" s="1602" t="s">
        <v>623</v>
      </c>
      <c r="D92" s="1892">
        <v>8152789000000</v>
      </c>
      <c r="E92" s="1892">
        <v>9100274000000</v>
      </c>
      <c r="F92" s="1892">
        <v>10444507000000</v>
      </c>
      <c r="G92" s="1892">
        <v>12107060000000</v>
      </c>
      <c r="H92" s="1892">
        <v>13971591000000</v>
      </c>
      <c r="I92" s="1892">
        <v>15965293000000</v>
      </c>
      <c r="J92" s="1892">
        <v>17941268000000</v>
      </c>
      <c r="K92" s="1892">
        <v>20978701000000</v>
      </c>
      <c r="L92" s="1892">
        <v>24651687000000</v>
      </c>
      <c r="M92" s="1892">
        <v>28212647000000</v>
      </c>
      <c r="N92" s="1892">
        <v>32293479000000</v>
      </c>
      <c r="O92" s="1892">
        <v>37532962000000</v>
      </c>
      <c r="P92" s="1892">
        <v>44717663000000</v>
      </c>
      <c r="Q92" s="1892">
        <v>53174678000000</v>
      </c>
      <c r="R92" s="1892">
        <v>60128824000000</v>
      </c>
      <c r="S92" s="2175">
        <v>85291000000000</v>
      </c>
      <c r="T92" s="2175">
        <v>96794000000000</v>
      </c>
      <c r="U92" s="2175">
        <v>109006000000000</v>
      </c>
      <c r="V92" s="2175">
        <v>122547000000000</v>
      </c>
      <c r="W92" s="2175">
        <v>137676000000000</v>
      </c>
      <c r="X92" s="2175">
        <v>154185000000000</v>
      </c>
      <c r="Y92" s="21">
        <v>169746000000000</v>
      </c>
    </row>
    <row r="93" spans="2:25">
      <c r="B93" s="1602" t="s">
        <v>151</v>
      </c>
      <c r="D93" s="1602">
        <f t="shared" ref="D93:R93" si="53">(D6/D92)*100</f>
        <v>13.244547356738904</v>
      </c>
      <c r="E93" s="1602">
        <f t="shared" si="53"/>
        <v>13.361136159196965</v>
      </c>
      <c r="F93" s="1602">
        <f t="shared" si="53"/>
        <v>13.673215978504299</v>
      </c>
      <c r="G93" s="1602">
        <f t="shared" si="53"/>
        <v>15.196092197445127</v>
      </c>
      <c r="H93" s="1602">
        <f t="shared" si="53"/>
        <v>15.431313441683198</v>
      </c>
      <c r="I93" s="1602">
        <f t="shared" si="53"/>
        <v>17.506725369838186</v>
      </c>
      <c r="J93" s="1602">
        <f t="shared" si="53"/>
        <v>16.921880883781458</v>
      </c>
      <c r="K93" s="1602">
        <f t="shared" si="53"/>
        <v>17.622635452976805</v>
      </c>
      <c r="L93" s="1602">
        <f t="shared" si="53"/>
        <v>21.158795339239866</v>
      </c>
      <c r="M93" s="1602">
        <f t="shared" si="53"/>
        <v>19.966222949587113</v>
      </c>
      <c r="N93" s="1602">
        <f t="shared" si="53"/>
        <v>19.214405484153627</v>
      </c>
      <c r="O93" s="1602">
        <f t="shared" si="53"/>
        <v>19.625416187510062</v>
      </c>
      <c r="P93" s="1602">
        <f t="shared" si="53"/>
        <v>20.296230596844918</v>
      </c>
      <c r="Q93" s="1602">
        <f t="shared" si="53"/>
        <v>19.127525323237503</v>
      </c>
      <c r="R93" s="1602">
        <f t="shared" si="53"/>
        <v>19.574638612589528</v>
      </c>
      <c r="S93" s="1602">
        <f t="shared" ref="S93:X93" si="54">(S6/S92)*100</f>
        <v>14.04837556131362</v>
      </c>
      <c r="T93" s="1602">
        <f t="shared" si="54"/>
        <v>14.879021426947952</v>
      </c>
      <c r="U93" s="1602">
        <f t="shared" si="54"/>
        <v>16.266994477368218</v>
      </c>
      <c r="V93" s="1602">
        <f t="shared" si="54"/>
        <v>15.453662676360908</v>
      </c>
      <c r="W93" s="1602">
        <f t="shared" si="54"/>
        <v>15.858246898515354</v>
      </c>
      <c r="X93" s="1602">
        <f t="shared" si="54"/>
        <v>16.167590881084411</v>
      </c>
      <c r="Y93" s="1602">
        <f t="shared" ref="Y93" si="55">(Y6/Y92)*100</f>
        <v>16.529402754704087</v>
      </c>
    </row>
    <row r="94" spans="2:25">
      <c r="B94" s="1602" t="s">
        <v>152</v>
      </c>
      <c r="D94" s="1602">
        <f t="shared" ref="D94:X94" si="56">(D17/D92)*100</f>
        <v>15.60079624285628</v>
      </c>
      <c r="E94" s="1602">
        <f t="shared" si="56"/>
        <v>14.447916623169807</v>
      </c>
      <c r="F94" s="1602">
        <f t="shared" si="56"/>
        <v>14.571295705962953</v>
      </c>
      <c r="G94" s="1602">
        <f t="shared" si="56"/>
        <v>16.432560836404544</v>
      </c>
      <c r="H94" s="1602">
        <f t="shared" si="56"/>
        <v>18.093859174663788</v>
      </c>
      <c r="I94" s="1602">
        <f t="shared" si="56"/>
        <v>20.344130232999795</v>
      </c>
      <c r="J94" s="1602">
        <f t="shared" si="56"/>
        <v>21.587102985140181</v>
      </c>
      <c r="K94" s="1602">
        <f t="shared" si="56"/>
        <v>21.331158683275959</v>
      </c>
      <c r="L94" s="1602">
        <f t="shared" si="56"/>
        <v>21.162851856751224</v>
      </c>
      <c r="M94" s="1602">
        <f t="shared" si="56"/>
        <v>24.481928264299341</v>
      </c>
      <c r="N94" s="1602">
        <f t="shared" si="56"/>
        <v>25.738942527684923</v>
      </c>
      <c r="O94" s="1602">
        <f t="shared" si="56"/>
        <v>25.148561416495717</v>
      </c>
      <c r="P94" s="1602">
        <f t="shared" si="56"/>
        <v>24.073261610294796</v>
      </c>
      <c r="Q94" s="1602">
        <f t="shared" si="56"/>
        <v>25.468889534225291</v>
      </c>
      <c r="R94" s="1602">
        <f t="shared" si="56"/>
        <v>23.2134924175467</v>
      </c>
      <c r="S94" s="1602">
        <f t="shared" si="56"/>
        <v>17.122556893458864</v>
      </c>
      <c r="T94" s="1602">
        <f t="shared" si="56"/>
        <v>18.348244725912764</v>
      </c>
      <c r="U94" s="1602">
        <f t="shared" si="56"/>
        <v>17.329321321762105</v>
      </c>
      <c r="V94" s="1602">
        <f t="shared" si="56"/>
        <v>19.612883220315471</v>
      </c>
      <c r="W94" s="1602">
        <f t="shared" si="56"/>
        <v>20.394258984863011</v>
      </c>
      <c r="X94" s="1602">
        <f t="shared" si="56"/>
        <v>20.661542951648993</v>
      </c>
      <c r="Y94" s="1602">
        <f>(Y17/Y92)*100</f>
        <v>20.275588231828731</v>
      </c>
    </row>
    <row r="96" spans="2:25">
      <c r="B96" s="1602" t="s">
        <v>153</v>
      </c>
      <c r="T96" s="2171"/>
      <c r="U96" s="2171"/>
      <c r="V96" s="2171"/>
      <c r="W96" s="2171"/>
      <c r="X96" s="2171"/>
      <c r="Y96" s="2171"/>
    </row>
    <row r="97" spans="20:25">
      <c r="T97" s="2171"/>
      <c r="U97" s="2171"/>
      <c r="V97" s="2171"/>
      <c r="W97" s="2171"/>
      <c r="X97" s="2171"/>
      <c r="Y97" s="2171"/>
    </row>
    <row r="98" spans="20:25">
      <c r="T98" s="2171"/>
      <c r="U98" s="2171"/>
      <c r="V98" s="2171"/>
      <c r="W98" s="2171"/>
      <c r="X98" s="2171"/>
      <c r="Y98" s="2171"/>
    </row>
    <row r="99" spans="20:25">
      <c r="T99" s="2171"/>
      <c r="U99" s="2171"/>
      <c r="V99" s="2171"/>
      <c r="W99" s="2171"/>
      <c r="X99" s="2171"/>
      <c r="Y99" s="2171"/>
    </row>
    <row r="100" spans="20:25">
      <c r="T100" s="2171"/>
      <c r="U100" s="2171"/>
      <c r="V100" s="2171"/>
      <c r="W100" s="2171"/>
      <c r="X100" s="2171"/>
      <c r="Y100" s="2171"/>
    </row>
    <row r="101" spans="20:25">
      <c r="T101" s="2171"/>
      <c r="U101" s="2171"/>
      <c r="V101" s="2171"/>
      <c r="W101" s="2171"/>
      <c r="X101" s="2171"/>
      <c r="Y101" s="2171"/>
    </row>
    <row r="102" spans="20:25">
      <c r="T102" s="2171"/>
      <c r="U102" s="2171"/>
      <c r="V102" s="2171"/>
      <c r="W102" s="2171"/>
      <c r="X102" s="2171"/>
      <c r="Y102" s="2171"/>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P6" activePane="bottomRight" state="frozen"/>
      <selection pane="topRight" activeCell="R7" sqref="R7"/>
      <selection pane="bottomLeft" activeCell="R7" sqref="R7"/>
      <selection pane="bottomRight" activeCell="S60" sqref="S60"/>
    </sheetView>
  </sheetViews>
  <sheetFormatPr defaultRowHeight="15"/>
  <cols>
    <col min="1" max="1" width="39" bestFit="1" customWidth="1"/>
    <col min="2" max="2" width="70.85546875" bestFit="1" customWidth="1"/>
    <col min="3" max="3" width="25.140625" bestFit="1" customWidth="1"/>
    <col min="12" max="13" width="22.5703125" bestFit="1" customWidth="1"/>
    <col min="14" max="14" width="23" bestFit="1" customWidth="1"/>
    <col min="15" max="15" width="23.42578125" bestFit="1" customWidth="1"/>
    <col min="16" max="22" width="22.5703125" bestFit="1" customWidth="1"/>
    <col min="23" max="26" width="26.140625" bestFit="1" customWidth="1"/>
  </cols>
  <sheetData>
    <row r="1" spans="1:26" ht="17.25">
      <c r="A1" s="2374" t="s">
        <v>6349</v>
      </c>
      <c r="B1" s="548" t="s">
        <v>6350</v>
      </c>
      <c r="C1" s="548"/>
      <c r="D1" s="549"/>
      <c r="E1" s="549"/>
      <c r="F1" s="549"/>
      <c r="G1" s="549"/>
      <c r="H1" s="549"/>
      <c r="I1" s="549"/>
      <c r="J1" s="549"/>
      <c r="K1" s="549"/>
      <c r="L1" s="549"/>
      <c r="M1" s="549"/>
      <c r="N1" s="549"/>
      <c r="O1" s="550"/>
      <c r="P1" s="550"/>
      <c r="Q1" s="550"/>
      <c r="R1" s="551"/>
      <c r="S1" s="550"/>
      <c r="T1" s="550"/>
      <c r="U1" s="550"/>
      <c r="V1" s="550"/>
      <c r="W1" s="550"/>
      <c r="X1" s="537"/>
      <c r="Y1" s="537"/>
      <c r="Z1" s="534"/>
    </row>
    <row r="2" spans="1:26" ht="15.75">
      <c r="A2" s="534"/>
      <c r="B2" s="552" t="s">
        <v>6351</v>
      </c>
      <c r="C2" s="552"/>
      <c r="D2" s="550"/>
      <c r="E2" s="550"/>
      <c r="F2" s="550"/>
      <c r="G2" s="550"/>
      <c r="H2" s="550"/>
      <c r="I2" s="550"/>
      <c r="J2" s="550"/>
      <c r="K2" s="550"/>
      <c r="L2" s="550"/>
      <c r="M2" s="550"/>
      <c r="N2" s="550"/>
      <c r="O2" s="550"/>
      <c r="P2" s="550"/>
      <c r="Q2" s="550"/>
      <c r="R2" s="553"/>
      <c r="S2" s="554"/>
      <c r="T2" s="555"/>
      <c r="U2" s="550"/>
      <c r="V2" s="550"/>
      <c r="W2" s="550"/>
      <c r="X2" s="537"/>
      <c r="Y2" s="537"/>
      <c r="Z2" s="534"/>
    </row>
    <row r="3" spans="1:26" ht="15.75">
      <c r="A3" s="53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c r="Y3" s="537">
        <v>2021</v>
      </c>
      <c r="Z3" s="537">
        <v>2022</v>
      </c>
    </row>
    <row r="4" spans="1:26" ht="15.75">
      <c r="A4" s="53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c r="Y4" s="537" t="s">
        <v>3185</v>
      </c>
      <c r="Z4" s="534" t="s">
        <v>27</v>
      </c>
    </row>
    <row r="5" spans="1:26" ht="15.75">
      <c r="A5" s="534" t="s">
        <v>157</v>
      </c>
      <c r="B5" s="556" t="s">
        <v>29</v>
      </c>
      <c r="C5" s="556"/>
      <c r="D5" s="550" t="s">
        <v>30</v>
      </c>
      <c r="E5" s="550" t="s">
        <v>30</v>
      </c>
      <c r="F5" s="550" t="s">
        <v>30</v>
      </c>
      <c r="G5" s="550" t="s">
        <v>30</v>
      </c>
      <c r="H5" s="550" t="s">
        <v>30</v>
      </c>
      <c r="I5" s="549" t="s">
        <v>31</v>
      </c>
      <c r="J5" s="549" t="s">
        <v>30</v>
      </c>
      <c r="K5" s="549" t="s">
        <v>30</v>
      </c>
      <c r="L5" s="549" t="s">
        <v>30</v>
      </c>
      <c r="M5" s="549" t="s">
        <v>30</v>
      </c>
      <c r="N5" s="549" t="s">
        <v>30</v>
      </c>
      <c r="O5" s="549" t="s">
        <v>30</v>
      </c>
      <c r="P5" s="549" t="s">
        <v>30</v>
      </c>
      <c r="Q5" s="549" t="s">
        <v>30</v>
      </c>
      <c r="R5" s="549" t="s">
        <v>30</v>
      </c>
      <c r="S5" s="549" t="s">
        <v>30</v>
      </c>
      <c r="T5" s="550" t="s">
        <v>32</v>
      </c>
      <c r="U5" s="550" t="s">
        <v>32</v>
      </c>
      <c r="V5" s="550" t="s">
        <v>32</v>
      </c>
      <c r="W5" s="550" t="s">
        <v>32</v>
      </c>
      <c r="X5" s="537" t="s">
        <v>32</v>
      </c>
      <c r="Y5" s="537" t="s">
        <v>32</v>
      </c>
      <c r="Z5" s="534" t="s">
        <v>32</v>
      </c>
    </row>
    <row r="6" spans="1:26" s="15" customFormat="1" ht="15.75">
      <c r="A6" s="2375" t="s">
        <v>33</v>
      </c>
      <c r="B6" s="2376" t="s">
        <v>1500</v>
      </c>
      <c r="C6" s="559" t="s">
        <v>35</v>
      </c>
      <c r="D6" s="2377"/>
      <c r="E6" s="2377"/>
      <c r="F6" s="2377"/>
      <c r="G6" s="2377"/>
      <c r="H6" s="2377"/>
      <c r="I6" s="2378"/>
      <c r="J6" s="2378"/>
      <c r="K6" s="2378"/>
      <c r="L6" s="2379">
        <f>((L7+L14))</f>
        <v>1957244000000</v>
      </c>
      <c r="M6" s="2379">
        <f t="shared" ref="M6:Z6" si="0">((M7+M14))</f>
        <v>1882666188000</v>
      </c>
      <c r="N6" s="2379">
        <f t="shared" si="0"/>
        <v>2194097780500</v>
      </c>
      <c r="O6" s="2379">
        <f t="shared" si="0"/>
        <v>2357475099500</v>
      </c>
      <c r="P6" s="2379">
        <f t="shared" si="0"/>
        <v>2590638498000</v>
      </c>
      <c r="Q6" s="2379">
        <f t="shared" si="0"/>
        <v>2844506028000</v>
      </c>
      <c r="R6" s="2379">
        <f t="shared" si="0"/>
        <v>2809693954000</v>
      </c>
      <c r="S6" s="2379">
        <f t="shared" si="0"/>
        <v>3044630847999.9995</v>
      </c>
      <c r="T6" s="2379">
        <f t="shared" si="0"/>
        <v>3180029010000</v>
      </c>
      <c r="U6" s="2379">
        <f t="shared" si="0"/>
        <v>3330539297999.9995</v>
      </c>
      <c r="V6" s="2379">
        <f t="shared" si="0"/>
        <v>3532838374000</v>
      </c>
      <c r="W6" s="2380">
        <f t="shared" si="0"/>
        <v>3743360956000</v>
      </c>
      <c r="X6" s="2380">
        <f t="shared" si="0"/>
        <v>3926871447000</v>
      </c>
      <c r="Y6" s="2380">
        <f t="shared" si="0"/>
        <v>4118578080000</v>
      </c>
      <c r="Z6" s="2380">
        <f t="shared" si="0"/>
        <v>4331799753000</v>
      </c>
    </row>
    <row r="7" spans="1:26" ht="17.25">
      <c r="A7" s="502" t="s">
        <v>36</v>
      </c>
      <c r="B7" s="380" t="s">
        <v>36</v>
      </c>
      <c r="C7" s="865" t="s">
        <v>38</v>
      </c>
      <c r="D7" s="550"/>
      <c r="E7" s="550"/>
      <c r="F7" s="550"/>
      <c r="G7" s="550"/>
      <c r="H7" s="550"/>
      <c r="I7" s="550"/>
      <c r="J7" s="550"/>
      <c r="K7" s="550"/>
      <c r="L7" s="866">
        <v>1957244000000</v>
      </c>
      <c r="M7" s="866">
        <v>1882666188000</v>
      </c>
      <c r="N7" s="1943">
        <f>N8+N13+N15</f>
        <v>2194097780500</v>
      </c>
      <c r="O7" s="866">
        <v>2357475099500</v>
      </c>
      <c r="P7" s="1943">
        <f>P8+P13+P15</f>
        <v>2590638498000</v>
      </c>
      <c r="Q7" s="866">
        <v>2844506028000</v>
      </c>
      <c r="R7" s="866">
        <v>2809693954000</v>
      </c>
      <c r="S7" s="866">
        <v>3044630847999.9995</v>
      </c>
      <c r="T7" s="1943">
        <f>T8+T13+T15</f>
        <v>3180029010000</v>
      </c>
      <c r="U7" s="866">
        <v>3330539297999.9995</v>
      </c>
      <c r="V7" s="866">
        <v>3532838374000</v>
      </c>
      <c r="W7" s="900">
        <v>3743360956000</v>
      </c>
      <c r="X7" s="900">
        <v>3926871447000</v>
      </c>
      <c r="Y7" s="900">
        <v>4118578080000</v>
      </c>
      <c r="Z7" s="897">
        <v>4331799753000</v>
      </c>
    </row>
    <row r="8" spans="1:26" ht="15.75">
      <c r="A8" s="380" t="s">
        <v>39</v>
      </c>
      <c r="B8" s="380" t="s">
        <v>943</v>
      </c>
      <c r="C8" s="380" t="s">
        <v>41</v>
      </c>
      <c r="D8" s="550"/>
      <c r="E8" s="550"/>
      <c r="F8" s="550"/>
      <c r="G8" s="550"/>
      <c r="H8" s="550"/>
      <c r="I8" s="550"/>
      <c r="J8" s="550"/>
      <c r="K8" s="550"/>
      <c r="L8" s="866">
        <f>L9+L10+L11+L12</f>
        <v>1591404000000</v>
      </c>
      <c r="M8" s="866">
        <f>M9+M10+M11+M12</f>
        <v>1520614998000</v>
      </c>
      <c r="N8" s="1943">
        <f>N9+N10+N11+N12</f>
        <v>1721825612500</v>
      </c>
      <c r="O8" s="866">
        <v>1961085481000</v>
      </c>
      <c r="P8" s="1943">
        <f>P9+P10+P11+P12</f>
        <v>2110477052250</v>
      </c>
      <c r="Q8" s="866">
        <v>2355405444000</v>
      </c>
      <c r="R8" s="866">
        <v>2258258692000</v>
      </c>
      <c r="S8" s="866">
        <v>2419394156000.0005</v>
      </c>
      <c r="T8" s="1943">
        <f>T9+T10+T11+T12</f>
        <v>2506779625000</v>
      </c>
      <c r="U8" s="866">
        <v>2615766024000</v>
      </c>
      <c r="V8" s="866">
        <v>2781510756000</v>
      </c>
      <c r="W8" s="900">
        <v>2954401472000.0005</v>
      </c>
      <c r="X8" s="900">
        <v>3099234864000.0005</v>
      </c>
      <c r="Y8" s="900">
        <v>3250536960000.0005</v>
      </c>
      <c r="Z8" s="897">
        <v>3418819536000.0005</v>
      </c>
    </row>
    <row r="9" spans="1:26" ht="15.75">
      <c r="A9" s="566" t="s">
        <v>317</v>
      </c>
      <c r="B9" s="566" t="s">
        <v>6352</v>
      </c>
      <c r="C9" s="424" t="s">
        <v>5659</v>
      </c>
      <c r="D9" s="550"/>
      <c r="E9" s="550"/>
      <c r="F9" s="550"/>
      <c r="G9" s="550"/>
      <c r="H9" s="550"/>
      <c r="I9" s="550"/>
      <c r="J9" s="550"/>
      <c r="K9" s="550"/>
      <c r="L9" s="866">
        <v>713388000000</v>
      </c>
      <c r="M9" s="866">
        <v>651692142000</v>
      </c>
      <c r="N9" s="866">
        <v>678891241499.99988</v>
      </c>
      <c r="O9" s="866">
        <v>834504460000</v>
      </c>
      <c r="P9" s="866">
        <v>870990529500</v>
      </c>
      <c r="Q9" s="866">
        <v>939587964000</v>
      </c>
      <c r="R9" s="866">
        <v>879670537000</v>
      </c>
      <c r="S9" s="866">
        <v>897078732000</v>
      </c>
      <c r="T9" s="866">
        <v>916765120000</v>
      </c>
      <c r="U9" s="866">
        <v>973308288000</v>
      </c>
      <c r="V9" s="866">
        <v>1023084416000</v>
      </c>
      <c r="W9" s="900">
        <v>1074327808000</v>
      </c>
      <c r="X9" s="900">
        <v>1126994496000</v>
      </c>
      <c r="Y9" s="900">
        <v>1182013440000</v>
      </c>
      <c r="Z9" s="897">
        <v>1243207104000</v>
      </c>
    </row>
    <row r="10" spans="1:26" ht="15.75">
      <c r="A10" s="566" t="s">
        <v>47</v>
      </c>
      <c r="B10" s="566" t="s">
        <v>3101</v>
      </c>
      <c r="C10" s="424" t="s">
        <v>5659</v>
      </c>
      <c r="D10" s="550"/>
      <c r="E10" s="550"/>
      <c r="F10" s="550"/>
      <c r="G10" s="550"/>
      <c r="H10" s="550"/>
      <c r="I10" s="550"/>
      <c r="J10" s="550"/>
      <c r="K10" s="550"/>
      <c r="L10" s="866">
        <v>749972000000</v>
      </c>
      <c r="M10" s="866">
        <v>742204939499.99988</v>
      </c>
      <c r="N10" s="866">
        <v>915027325500</v>
      </c>
      <c r="O10" s="866">
        <v>980542740500</v>
      </c>
      <c r="P10" s="866">
        <v>1049655253500</v>
      </c>
      <c r="Q10" s="866">
        <v>1261364664000</v>
      </c>
      <c r="R10" s="866">
        <v>1221035223000.0002</v>
      </c>
      <c r="S10" s="866">
        <v>1359210200000</v>
      </c>
      <c r="T10" s="866">
        <v>1432445500000</v>
      </c>
      <c r="U10" s="866">
        <v>1475170373999.9998</v>
      </c>
      <c r="V10" s="866">
        <v>1550612317999.9998</v>
      </c>
      <c r="W10" s="900">
        <v>1628278083999.9998</v>
      </c>
      <c r="X10" s="900">
        <v>1708101032999.9998</v>
      </c>
      <c r="Y10" s="900">
        <v>1791489119999.9998</v>
      </c>
      <c r="Z10" s="897">
        <v>1884235766999.9998</v>
      </c>
    </row>
    <row r="11" spans="1:26" ht="15.75">
      <c r="A11" s="566" t="s">
        <v>643</v>
      </c>
      <c r="B11" s="566" t="s">
        <v>840</v>
      </c>
      <c r="C11" s="424" t="s">
        <v>5659</v>
      </c>
      <c r="D11" s="550"/>
      <c r="E11" s="550"/>
      <c r="F11" s="550"/>
      <c r="G11" s="550"/>
      <c r="H11" s="550"/>
      <c r="I11" s="550"/>
      <c r="J11" s="550"/>
      <c r="K11" s="550"/>
      <c r="L11" s="866">
        <v>100606000000</v>
      </c>
      <c r="M11" s="866">
        <v>81461517750</v>
      </c>
      <c r="N11" s="866">
        <v>88551031500</v>
      </c>
      <c r="O11" s="866">
        <v>93881751750.000015</v>
      </c>
      <c r="P11" s="866">
        <v>122831997750</v>
      </c>
      <c r="Q11" s="866">
        <v>115839612000.00002</v>
      </c>
      <c r="R11" s="866">
        <v>105035288000</v>
      </c>
      <c r="S11" s="866">
        <v>95144713999.999985</v>
      </c>
      <c r="T11" s="866">
        <v>100271184999.99998</v>
      </c>
      <c r="U11" s="866">
        <v>106455593999.99998</v>
      </c>
      <c r="V11" s="866">
        <v>111899857999.99998</v>
      </c>
      <c r="W11" s="900">
        <v>117504603999.99998</v>
      </c>
      <c r="X11" s="900">
        <v>123265022999.99998</v>
      </c>
      <c r="Y11" s="900">
        <v>129282719999.99998</v>
      </c>
      <c r="Z11" s="897">
        <v>135975776999.99998</v>
      </c>
    </row>
    <row r="12" spans="1:26" ht="15.75">
      <c r="A12" s="566" t="s">
        <v>3172</v>
      </c>
      <c r="B12" s="566" t="s">
        <v>6353</v>
      </c>
      <c r="C12" s="424" t="s">
        <v>5659</v>
      </c>
      <c r="D12" s="550"/>
      <c r="E12" s="550"/>
      <c r="F12" s="550"/>
      <c r="G12" s="550"/>
      <c r="H12" s="550"/>
      <c r="I12" s="550"/>
      <c r="J12" s="550"/>
      <c r="K12" s="550"/>
      <c r="L12" s="866">
        <v>27438000000</v>
      </c>
      <c r="M12" s="866">
        <v>45256398750</v>
      </c>
      <c r="N12" s="866">
        <v>39356013999.999992</v>
      </c>
      <c r="O12" s="866">
        <v>52156528750</v>
      </c>
      <c r="P12" s="866">
        <v>66999271500</v>
      </c>
      <c r="Q12" s="866">
        <v>38613204000</v>
      </c>
      <c r="R12" s="866">
        <v>52517644000</v>
      </c>
      <c r="S12" s="866">
        <f>S8-S9-S10-S11</f>
        <v>67960510000.000504</v>
      </c>
      <c r="T12" s="866">
        <v>57297820000</v>
      </c>
      <c r="U12" s="866">
        <v>60831768000</v>
      </c>
      <c r="V12" s="866">
        <f>V8-SUM(V9:V11)</f>
        <v>95914164000</v>
      </c>
      <c r="W12" s="900">
        <f t="shared" ref="W12:X12" si="1">W8-SUM(W9:W11)</f>
        <v>134290976000.00049</v>
      </c>
      <c r="X12" s="900">
        <f t="shared" si="1"/>
        <v>140874312000.00049</v>
      </c>
      <c r="Y12" s="900">
        <f t="shared" ref="Y12" si="2">Y8-SUM(Y9:Y11)</f>
        <v>147751680000.00049</v>
      </c>
      <c r="Z12" s="900">
        <f t="shared" ref="Z12" si="3">Z8-SUM(Z9:Z11)</f>
        <v>155400888000.00049</v>
      </c>
    </row>
    <row r="13" spans="1:26" ht="15.75">
      <c r="A13" s="380" t="s">
        <v>558</v>
      </c>
      <c r="B13" s="380" t="s">
        <v>6354</v>
      </c>
      <c r="C13" s="380" t="s">
        <v>41</v>
      </c>
      <c r="D13" s="550"/>
      <c r="E13" s="550"/>
      <c r="F13" s="550"/>
      <c r="G13" s="550"/>
      <c r="H13" s="550"/>
      <c r="I13" s="550"/>
      <c r="J13" s="550"/>
      <c r="K13" s="550"/>
      <c r="L13" s="866">
        <v>82314000000</v>
      </c>
      <c r="M13" s="866">
        <v>81461517750</v>
      </c>
      <c r="N13" s="866">
        <v>127907045499.99997</v>
      </c>
      <c r="O13" s="866">
        <v>93881751750.000015</v>
      </c>
      <c r="P13" s="866">
        <v>89332361999.999985</v>
      </c>
      <c r="Q13" s="866">
        <v>102968544000</v>
      </c>
      <c r="R13" s="866">
        <v>144423521000</v>
      </c>
      <c r="S13" s="866">
        <v>163105224000</v>
      </c>
      <c r="T13" s="866">
        <v>143244550000</v>
      </c>
      <c r="U13" s="866">
        <v>152079420000</v>
      </c>
      <c r="V13" s="866">
        <v>159856940000</v>
      </c>
      <c r="W13" s="900">
        <v>167863720000</v>
      </c>
      <c r="X13" s="900">
        <v>176092890000</v>
      </c>
      <c r="Y13" s="900">
        <v>184689600000</v>
      </c>
      <c r="Z13" s="897">
        <v>194251110000</v>
      </c>
    </row>
    <row r="14" spans="1:26" ht="15.75">
      <c r="A14" s="380" t="s">
        <v>53</v>
      </c>
      <c r="B14" s="380" t="s">
        <v>53</v>
      </c>
      <c r="C14" s="865" t="s">
        <v>38</v>
      </c>
      <c r="D14" s="550"/>
      <c r="E14" s="550"/>
      <c r="F14" s="550"/>
      <c r="G14" s="550"/>
      <c r="H14" s="550"/>
      <c r="I14" s="550"/>
      <c r="J14" s="550"/>
      <c r="K14" s="550"/>
      <c r="L14" s="866">
        <v>0</v>
      </c>
      <c r="M14" s="866">
        <v>0</v>
      </c>
      <c r="N14" s="866">
        <v>0</v>
      </c>
      <c r="O14" s="866">
        <v>0</v>
      </c>
      <c r="P14" s="866">
        <v>0</v>
      </c>
      <c r="Q14" s="866"/>
      <c r="R14" s="866"/>
      <c r="S14" s="866"/>
      <c r="T14" s="866"/>
      <c r="U14" s="866"/>
      <c r="V14" s="866"/>
      <c r="W14" s="900"/>
      <c r="X14" s="900"/>
      <c r="Y14" s="900"/>
      <c r="Z14" s="897"/>
    </row>
    <row r="15" spans="1:26" ht="15.75">
      <c r="A15" s="380" t="s">
        <v>560</v>
      </c>
      <c r="B15" s="380" t="s">
        <v>6355</v>
      </c>
      <c r="C15" s="380" t="s">
        <v>41</v>
      </c>
      <c r="D15" s="550"/>
      <c r="E15" s="550"/>
      <c r="F15" s="550"/>
      <c r="G15" s="550"/>
      <c r="H15" s="550"/>
      <c r="I15" s="550"/>
      <c r="J15" s="550"/>
      <c r="K15" s="550"/>
      <c r="L15" s="866">
        <v>283526000000</v>
      </c>
      <c r="M15" s="866">
        <v>280589672250</v>
      </c>
      <c r="N15" s="866">
        <v>344365122500</v>
      </c>
      <c r="O15" s="866">
        <v>302507866750</v>
      </c>
      <c r="P15" s="866">
        <v>390829083750</v>
      </c>
      <c r="Q15" s="866">
        <f>Q7-Q8-Q13</f>
        <v>386132040000</v>
      </c>
      <c r="R15" s="866">
        <v>407011741000</v>
      </c>
      <c r="S15" s="866">
        <v>462131468000.00006</v>
      </c>
      <c r="T15" s="866">
        <v>530004835000.00006</v>
      </c>
      <c r="U15" s="866">
        <v>562693854000.00012</v>
      </c>
      <c r="V15" s="866">
        <v>591470678000.00012</v>
      </c>
      <c r="W15" s="900">
        <v>621095764000.00012</v>
      </c>
      <c r="X15" s="900">
        <v>651543693000.00012</v>
      </c>
      <c r="Y15" s="900">
        <v>683351520000.00012</v>
      </c>
      <c r="Z15" s="897">
        <v>718729107000.00012</v>
      </c>
    </row>
    <row r="16" spans="1:26" s="15" customFormat="1" ht="15.75">
      <c r="A16" s="559" t="s">
        <v>198</v>
      </c>
      <c r="B16" s="559" t="s">
        <v>6356</v>
      </c>
      <c r="C16" s="2381" t="s">
        <v>35</v>
      </c>
      <c r="D16" s="2377"/>
      <c r="E16" s="2377"/>
      <c r="F16" s="2377"/>
      <c r="G16" s="2377"/>
      <c r="H16" s="2377"/>
      <c r="I16" s="2377"/>
      <c r="J16" s="2377"/>
      <c r="K16" s="2377"/>
      <c r="L16" s="2379">
        <v>1938952000000</v>
      </c>
      <c r="M16" s="2379">
        <v>2172307140000</v>
      </c>
      <c r="N16" s="2379">
        <f>N17+N23</f>
        <v>2292487815500</v>
      </c>
      <c r="O16" s="2379">
        <v>2420062934000</v>
      </c>
      <c r="P16" s="1943">
        <f>P17+P23</f>
        <v>2780469767250</v>
      </c>
      <c r="Q16" s="2379">
        <v>2780150688000.0005</v>
      </c>
      <c r="R16" s="1943">
        <v>2914729242000</v>
      </c>
      <c r="S16" s="2382">
        <v>3031038746000</v>
      </c>
      <c r="T16" s="2382">
        <v>3122731190000</v>
      </c>
      <c r="U16" s="2382">
        <f>U17+U23</f>
        <v>3589074312000</v>
      </c>
      <c r="V16" s="2382">
        <v>3820580866000</v>
      </c>
      <c r="W16" s="2383">
        <v>4045515652000.0005</v>
      </c>
      <c r="X16" s="2380">
        <v>4243838649000.0005</v>
      </c>
      <c r="Y16" s="2380">
        <v>4451019360000</v>
      </c>
      <c r="Z16" s="2384">
        <v>4681451751000</v>
      </c>
    </row>
    <row r="17" spans="1:26" ht="17.25">
      <c r="A17" s="2385" t="s">
        <v>476</v>
      </c>
      <c r="B17" s="380" t="s">
        <v>382</v>
      </c>
      <c r="C17" s="380" t="s">
        <v>201</v>
      </c>
      <c r="D17" s="550"/>
      <c r="E17" s="550"/>
      <c r="F17" s="550"/>
      <c r="G17" s="550"/>
      <c r="H17" s="550"/>
      <c r="I17" s="550"/>
      <c r="J17" s="550"/>
      <c r="K17" s="550"/>
      <c r="L17" s="866">
        <v>1710302000000</v>
      </c>
      <c r="M17" s="866">
        <v>1882666188000</v>
      </c>
      <c r="N17" s="866">
        <v>1948122693000</v>
      </c>
      <c r="O17" s="866">
        <v>2096692455750</v>
      </c>
      <c r="P17" s="1943">
        <f>P18+P19+P20+P21+P22</f>
        <v>2400807228750</v>
      </c>
      <c r="Q17" s="866">
        <v>2419760784000</v>
      </c>
      <c r="R17" s="1943">
        <v>2533976323000</v>
      </c>
      <c r="S17" s="866">
        <v>2541723074000</v>
      </c>
      <c r="T17" s="2386">
        <f>SUM(T18:T22)</f>
        <v>2793268725000</v>
      </c>
      <c r="U17" s="2386">
        <f>SUM(U18:U22)</f>
        <v>2995964574000</v>
      </c>
      <c r="V17" s="866">
        <v>3197138800000</v>
      </c>
      <c r="W17" s="900">
        <v>3390847143999.9995</v>
      </c>
      <c r="X17" s="900">
        <v>3592294956000</v>
      </c>
      <c r="Y17" s="900">
        <v>3804605760000.0005</v>
      </c>
      <c r="Z17" s="897">
        <v>4020997977000</v>
      </c>
    </row>
    <row r="18" spans="1:26" ht="15.75">
      <c r="A18" s="566" t="s">
        <v>797</v>
      </c>
      <c r="B18" s="566" t="s">
        <v>6357</v>
      </c>
      <c r="C18" s="380" t="s">
        <v>81</v>
      </c>
      <c r="D18" s="550"/>
      <c r="E18" s="550"/>
      <c r="F18" s="550"/>
      <c r="G18" s="550"/>
      <c r="H18" s="550"/>
      <c r="I18" s="550"/>
      <c r="J18" s="550"/>
      <c r="K18" s="550"/>
      <c r="L18" s="864"/>
      <c r="M18" s="866">
        <v>760307498999.99988</v>
      </c>
      <c r="N18" s="866">
        <v>846154300999.99976</v>
      </c>
      <c r="O18" s="866">
        <v>740622708250</v>
      </c>
      <c r="P18" s="866">
        <v>882157074750.00024</v>
      </c>
      <c r="Q18" s="866">
        <v>849490488000</v>
      </c>
      <c r="R18" s="866">
        <v>853411715000</v>
      </c>
      <c r="S18" s="866">
        <v>897078732000</v>
      </c>
      <c r="T18" s="866">
        <v>959738485000</v>
      </c>
      <c r="U18" s="866">
        <v>1018932114000</v>
      </c>
      <c r="V18" s="866">
        <v>1071041498000.0001</v>
      </c>
      <c r="W18" s="900">
        <v>1124686924000</v>
      </c>
      <c r="X18" s="900">
        <v>1179822363000</v>
      </c>
      <c r="Y18" s="900">
        <v>1237420320000</v>
      </c>
      <c r="Z18" s="897">
        <v>1301482437000</v>
      </c>
    </row>
    <row r="19" spans="1:26" ht="15.75">
      <c r="A19" s="566" t="s">
        <v>6358</v>
      </c>
      <c r="B19" s="566" t="s">
        <v>6359</v>
      </c>
      <c r="C19" s="380" t="s">
        <v>81</v>
      </c>
      <c r="D19" s="550"/>
      <c r="E19" s="550"/>
      <c r="F19" s="550"/>
      <c r="G19" s="550"/>
      <c r="H19" s="550"/>
      <c r="I19" s="550"/>
      <c r="J19" s="550"/>
      <c r="K19" s="550"/>
      <c r="L19" s="864"/>
      <c r="M19" s="866">
        <v>660743421749.99988</v>
      </c>
      <c r="N19" s="866">
        <v>728086259000</v>
      </c>
      <c r="O19" s="866">
        <v>646740956499.99988</v>
      </c>
      <c r="P19" s="866">
        <v>736991986499.99988</v>
      </c>
      <c r="Q19" s="866">
        <v>746521944000</v>
      </c>
      <c r="R19" s="866">
        <v>814023482000</v>
      </c>
      <c r="S19" s="866">
        <v>829118222000</v>
      </c>
      <c r="T19" s="866">
        <v>902440665000</v>
      </c>
      <c r="U19" s="866">
        <v>958100346000</v>
      </c>
      <c r="V19" s="866">
        <v>1007098722000</v>
      </c>
      <c r="W19" s="900">
        <v>1057541436000</v>
      </c>
      <c r="X19" s="900">
        <v>1109385207000</v>
      </c>
      <c r="Y19" s="900">
        <v>1163544480000</v>
      </c>
      <c r="Z19" s="897">
        <v>1223781993000</v>
      </c>
    </row>
    <row r="20" spans="1:26" ht="15.75">
      <c r="A20" s="566" t="s">
        <v>91</v>
      </c>
      <c r="B20" s="566" t="s">
        <v>91</v>
      </c>
      <c r="C20" s="380" t="s">
        <v>81</v>
      </c>
      <c r="D20" s="550"/>
      <c r="E20" s="550"/>
      <c r="F20" s="550"/>
      <c r="G20" s="550"/>
      <c r="H20" s="550"/>
      <c r="I20" s="550"/>
      <c r="J20" s="550"/>
      <c r="K20" s="550"/>
      <c r="L20" s="864"/>
      <c r="M20" s="866">
        <v>99564077250.000015</v>
      </c>
      <c r="N20" s="866">
        <v>127907045499.99997</v>
      </c>
      <c r="O20" s="866">
        <v>135606974749.99997</v>
      </c>
      <c r="P20" s="866">
        <v>145165088249.99997</v>
      </c>
      <c r="Q20" s="866">
        <v>141581748000</v>
      </c>
      <c r="R20" s="866">
        <v>144423521000</v>
      </c>
      <c r="S20" s="866">
        <v>135921020000</v>
      </c>
      <c r="T20" s="866">
        <v>128920095000.00002</v>
      </c>
      <c r="U20" s="866">
        <v>182495304000</v>
      </c>
      <c r="V20" s="866">
        <v>223799715999.99997</v>
      </c>
      <c r="W20" s="900">
        <v>251795580000</v>
      </c>
      <c r="X20" s="900">
        <v>281748624000</v>
      </c>
      <c r="Y20" s="900">
        <v>313972320000</v>
      </c>
      <c r="Z20" s="897">
        <v>330226887000</v>
      </c>
    </row>
    <row r="21" spans="1:26" ht="15.75">
      <c r="A21" s="566" t="s">
        <v>806</v>
      </c>
      <c r="B21" s="566" t="s">
        <v>6360</v>
      </c>
      <c r="C21" s="380" t="s">
        <v>81</v>
      </c>
      <c r="D21" s="550"/>
      <c r="E21" s="550"/>
      <c r="F21" s="550"/>
      <c r="G21" s="550"/>
      <c r="H21" s="550"/>
      <c r="I21" s="550"/>
      <c r="J21" s="550"/>
      <c r="K21" s="550"/>
      <c r="L21" s="864"/>
      <c r="M21" s="866">
        <v>244384553249.99994</v>
      </c>
      <c r="N21" s="866">
        <v>118068042000</v>
      </c>
      <c r="O21" s="866">
        <v>239920032250</v>
      </c>
      <c r="P21" s="866">
        <v>279163631249.99994</v>
      </c>
      <c r="Q21" s="866">
        <v>270292428000.00003</v>
      </c>
      <c r="R21" s="866">
        <v>288847042000</v>
      </c>
      <c r="S21" s="866">
        <v>312618346000</v>
      </c>
      <c r="T21" s="866">
        <v>372435830000.00006</v>
      </c>
      <c r="U21" s="866">
        <v>410614434000.00006</v>
      </c>
      <c r="V21" s="866">
        <v>447599431999.99994</v>
      </c>
      <c r="W21" s="900">
        <v>486804787999.99994</v>
      </c>
      <c r="X21" s="900">
        <v>528278670000</v>
      </c>
      <c r="Y21" s="900">
        <v>572537760000</v>
      </c>
      <c r="Z21" s="897">
        <v>621603552000</v>
      </c>
    </row>
    <row r="22" spans="1:26" ht="15.75">
      <c r="A22" s="566" t="s">
        <v>6361</v>
      </c>
      <c r="B22" s="566" t="s">
        <v>6362</v>
      </c>
      <c r="C22" s="380" t="s">
        <v>81</v>
      </c>
      <c r="D22" s="550"/>
      <c r="E22" s="550"/>
      <c r="F22" s="550"/>
      <c r="G22" s="550"/>
      <c r="H22" s="550"/>
      <c r="I22" s="550"/>
      <c r="J22" s="550"/>
      <c r="K22" s="550"/>
      <c r="L22" s="864"/>
      <c r="M22" s="866">
        <v>117666636750</v>
      </c>
      <c r="N22" s="866">
        <v>127907045499.99997</v>
      </c>
      <c r="O22" s="866">
        <v>333801784000</v>
      </c>
      <c r="P22" s="866">
        <v>357329447999.99994</v>
      </c>
      <c r="Q22" s="866">
        <v>411874176000</v>
      </c>
      <c r="R22" s="866">
        <v>433270563000</v>
      </c>
      <c r="S22" s="866">
        <v>366986754000.00006</v>
      </c>
      <c r="T22" s="866">
        <v>429733650000</v>
      </c>
      <c r="U22" s="866">
        <v>425822375999.99994</v>
      </c>
      <c r="V22" s="866">
        <v>447599431999.99994</v>
      </c>
      <c r="W22" s="900">
        <v>470018415999.99994</v>
      </c>
      <c r="X22" s="900">
        <v>493060091999.99994</v>
      </c>
      <c r="Y22" s="900">
        <v>517130879999.99994</v>
      </c>
      <c r="Z22" s="897">
        <v>543903107999.99994</v>
      </c>
    </row>
    <row r="23" spans="1:26" ht="15.75">
      <c r="A23" s="424" t="s">
        <v>237</v>
      </c>
      <c r="B23" s="380" t="s">
        <v>5306</v>
      </c>
      <c r="C23" s="380" t="s">
        <v>201</v>
      </c>
      <c r="D23" s="550"/>
      <c r="E23" s="550"/>
      <c r="F23" s="550"/>
      <c r="G23" s="550"/>
      <c r="H23" s="550"/>
      <c r="I23" s="550"/>
      <c r="J23" s="550"/>
      <c r="K23" s="550"/>
      <c r="L23" s="866">
        <v>228650000000</v>
      </c>
      <c r="M23" s="866">
        <v>289640952000</v>
      </c>
      <c r="N23" s="866">
        <v>344365122500</v>
      </c>
      <c r="O23" s="866">
        <v>323370478249.99994</v>
      </c>
      <c r="P23" s="866">
        <v>379662538499.99994</v>
      </c>
      <c r="Q23" s="866">
        <v>360389903999.99994</v>
      </c>
      <c r="R23" s="866">
        <v>380752919000</v>
      </c>
      <c r="S23" s="866">
        <v>489315672000.00006</v>
      </c>
      <c r="T23" s="866">
        <v>329462465000</v>
      </c>
      <c r="U23" s="866">
        <v>593109738000</v>
      </c>
      <c r="V23" s="866">
        <v>623442066000</v>
      </c>
      <c r="W23" s="900">
        <v>654668508000</v>
      </c>
      <c r="X23" s="900">
        <v>651543693000.00012</v>
      </c>
      <c r="Y23" s="900">
        <v>646413600000.00012</v>
      </c>
      <c r="Z23" s="897">
        <v>660453774000</v>
      </c>
    </row>
    <row r="24" spans="1:26" ht="15.75">
      <c r="A24" s="424"/>
      <c r="B24" s="1954" t="s">
        <v>6363</v>
      </c>
      <c r="C24" s="380"/>
      <c r="D24" s="550"/>
      <c r="E24" s="550"/>
      <c r="F24" s="550"/>
      <c r="G24" s="550"/>
      <c r="H24" s="550"/>
      <c r="I24" s="550"/>
      <c r="J24" s="550"/>
      <c r="K24" s="550"/>
      <c r="L24" s="866"/>
      <c r="M24" s="866"/>
      <c r="N24" s="866"/>
      <c r="O24" s="866"/>
      <c r="P24" s="866"/>
      <c r="Q24" s="866">
        <v>399003108000</v>
      </c>
      <c r="R24" s="866">
        <v>380752919000</v>
      </c>
      <c r="S24" s="866">
        <v>489315672000.00006</v>
      </c>
      <c r="T24" s="866">
        <v>558653745000</v>
      </c>
      <c r="U24" s="866">
        <v>593109738000</v>
      </c>
      <c r="V24" s="866">
        <v>623442066000</v>
      </c>
      <c r="W24" s="900">
        <v>654668508000</v>
      </c>
      <c r="X24" s="900">
        <v>651543693000.00012</v>
      </c>
      <c r="Y24" s="900">
        <v>646413600000.00012</v>
      </c>
      <c r="Z24" s="897">
        <v>660453774000</v>
      </c>
    </row>
    <row r="25" spans="1:26" ht="15.75">
      <c r="A25" s="424"/>
      <c r="B25" s="1954" t="s">
        <v>6364</v>
      </c>
      <c r="C25" s="380"/>
      <c r="D25" s="550"/>
      <c r="E25" s="550"/>
      <c r="F25" s="550"/>
      <c r="G25" s="550"/>
      <c r="H25" s="550"/>
      <c r="I25" s="550"/>
      <c r="J25" s="550"/>
      <c r="K25" s="550"/>
      <c r="L25" s="866"/>
      <c r="M25" s="866"/>
      <c r="N25" s="866"/>
      <c r="O25" s="866"/>
      <c r="P25" s="866"/>
      <c r="Q25" s="866">
        <v>-38613204000</v>
      </c>
      <c r="R25" s="866">
        <v>0</v>
      </c>
      <c r="S25" s="866">
        <v>0</v>
      </c>
      <c r="T25" s="866">
        <v>-243515735000.00003</v>
      </c>
      <c r="U25" s="866">
        <v>0</v>
      </c>
      <c r="V25" s="866">
        <v>0</v>
      </c>
      <c r="W25" s="900">
        <v>0</v>
      </c>
      <c r="X25" s="900">
        <v>0</v>
      </c>
      <c r="Y25" s="900">
        <v>0</v>
      </c>
      <c r="Z25" s="897">
        <v>0</v>
      </c>
    </row>
    <row r="26" spans="1:26" ht="15.75">
      <c r="A26" s="534"/>
      <c r="B26" s="380" t="s">
        <v>6365</v>
      </c>
      <c r="C26" s="556"/>
      <c r="D26" s="550"/>
      <c r="E26" s="550"/>
      <c r="F26" s="550"/>
      <c r="G26" s="550"/>
      <c r="H26" s="550"/>
      <c r="I26" s="550"/>
      <c r="J26" s="550"/>
      <c r="K26" s="550"/>
      <c r="L26" s="866">
        <v>9146000000</v>
      </c>
      <c r="M26" s="866">
        <v>-289640952000</v>
      </c>
      <c r="N26" s="866">
        <v>-78712027999.999985</v>
      </c>
      <c r="O26" s="866">
        <v>-62587834500</v>
      </c>
      <c r="P26" s="866">
        <v>-200997814499.99997</v>
      </c>
      <c r="Q26" s="866">
        <v>64355340000</v>
      </c>
      <c r="R26" s="866">
        <v>-105035288000</v>
      </c>
      <c r="S26" s="866">
        <v>13592102000</v>
      </c>
      <c r="T26" s="866">
        <v>85946730000</v>
      </c>
      <c r="U26" s="866">
        <v>-243327072000</v>
      </c>
      <c r="V26" s="866">
        <v>-287742492000.00006</v>
      </c>
      <c r="W26" s="900">
        <v>-318941068000</v>
      </c>
      <c r="X26" s="900">
        <v>-334576491000</v>
      </c>
      <c r="Y26" s="900">
        <v>-332441280000.00006</v>
      </c>
      <c r="Z26" s="897">
        <v>-349651998000.00006</v>
      </c>
    </row>
    <row r="27" spans="1:26" ht="15.75">
      <c r="A27" s="534"/>
      <c r="B27" s="380" t="s">
        <v>6366</v>
      </c>
      <c r="C27" s="556"/>
      <c r="D27" s="550"/>
      <c r="E27" s="550"/>
      <c r="F27" s="550"/>
      <c r="G27" s="550"/>
      <c r="H27" s="550"/>
      <c r="I27" s="550"/>
      <c r="J27" s="550"/>
      <c r="K27" s="550"/>
      <c r="L27" s="2387"/>
      <c r="M27" s="866">
        <v>-99564077250.000015</v>
      </c>
      <c r="N27" s="866">
        <v>29517010500</v>
      </c>
      <c r="O27" s="866">
        <v>41725223000</v>
      </c>
      <c r="P27" s="866">
        <v>11166545249.999998</v>
      </c>
      <c r="Q27" s="866">
        <v>-12871068000</v>
      </c>
      <c r="R27" s="866">
        <v>52517644000</v>
      </c>
      <c r="S27" s="866">
        <v>326210448000</v>
      </c>
      <c r="T27" s="866">
        <v>372435830000.00006</v>
      </c>
      <c r="U27" s="866">
        <v>76039710000</v>
      </c>
      <c r="V27" s="866">
        <v>0</v>
      </c>
      <c r="W27" s="900">
        <v>-33572744000</v>
      </c>
      <c r="X27" s="900">
        <v>-17609289000</v>
      </c>
      <c r="Y27" s="900">
        <v>18468960000</v>
      </c>
      <c r="Z27" s="897">
        <v>38850222000</v>
      </c>
    </row>
    <row r="28" spans="1:26" ht="17.25">
      <c r="A28" s="534"/>
      <c r="B28" s="424" t="s">
        <v>6367</v>
      </c>
      <c r="C28" s="556"/>
      <c r="D28" s="550"/>
      <c r="E28" s="550"/>
      <c r="F28" s="550"/>
      <c r="G28" s="550"/>
      <c r="H28" s="550"/>
      <c r="I28" s="550"/>
      <c r="J28" s="550"/>
      <c r="K28" s="550"/>
      <c r="L28" s="866">
        <v>73168000000</v>
      </c>
      <c r="M28" s="864"/>
      <c r="N28" s="864"/>
      <c r="O28" s="864"/>
      <c r="P28" s="864"/>
      <c r="Q28" s="864"/>
      <c r="R28" s="864"/>
      <c r="S28" s="864"/>
      <c r="T28" s="864"/>
      <c r="U28" s="864"/>
      <c r="V28" s="864"/>
      <c r="W28" s="864"/>
      <c r="X28" s="864"/>
      <c r="Y28" s="864"/>
      <c r="Z28" s="534"/>
    </row>
    <row r="29" spans="1:26" ht="17.25">
      <c r="A29" s="534"/>
      <c r="B29" s="424" t="s">
        <v>6368</v>
      </c>
      <c r="C29" s="556"/>
      <c r="D29" s="550"/>
      <c r="E29" s="550"/>
      <c r="F29" s="550"/>
      <c r="G29" s="550"/>
      <c r="H29" s="550"/>
      <c r="I29" s="550"/>
      <c r="J29" s="550"/>
      <c r="K29" s="550"/>
      <c r="L29" s="866">
        <v>64022000000</v>
      </c>
      <c r="M29" s="864"/>
      <c r="N29" s="864"/>
      <c r="O29" s="864"/>
      <c r="P29" s="864"/>
      <c r="Q29" s="864"/>
      <c r="R29" s="864"/>
      <c r="S29" s="864"/>
      <c r="T29" s="864"/>
      <c r="U29" s="864"/>
      <c r="V29" s="864"/>
      <c r="W29" s="864"/>
      <c r="X29" s="864"/>
      <c r="Y29" s="864"/>
      <c r="Z29" s="534"/>
    </row>
    <row r="30" spans="1:26" s="15" customFormat="1" ht="15.75">
      <c r="A30" s="2375" t="s">
        <v>115</v>
      </c>
      <c r="B30" s="2375" t="s">
        <v>115</v>
      </c>
      <c r="C30" s="2375" t="s">
        <v>35</v>
      </c>
      <c r="D30" s="2377"/>
      <c r="E30" s="2377"/>
      <c r="F30" s="2377"/>
      <c r="G30" s="2377"/>
      <c r="H30" s="2377"/>
      <c r="I30" s="2377"/>
      <c r="J30" s="2377"/>
      <c r="K30" s="2377"/>
      <c r="L30" s="2379">
        <v>-78127000000</v>
      </c>
      <c r="M30" s="2388">
        <v>209144000000</v>
      </c>
      <c r="N30" s="2388">
        <v>136395999999.99998</v>
      </c>
      <c r="O30" s="2388">
        <v>648000000</v>
      </c>
      <c r="P30" s="2388">
        <v>111462000000</v>
      </c>
      <c r="Q30" s="2388">
        <v>-46508000000</v>
      </c>
      <c r="R30" s="2388">
        <v>110683000000</v>
      </c>
      <c r="S30" s="2388">
        <v>-33987000000</v>
      </c>
      <c r="T30" s="2388">
        <v>52111000000</v>
      </c>
      <c r="U30" s="2388">
        <v>63869000000</v>
      </c>
      <c r="V30" s="2388">
        <v>71400000000</v>
      </c>
      <c r="W30" s="2388">
        <v>78831000000</v>
      </c>
      <c r="X30" s="2388">
        <v>86181000000</v>
      </c>
      <c r="Y30" s="2388">
        <v>93106000000</v>
      </c>
      <c r="Z30" s="2389">
        <f>Z16-Z6</f>
        <v>349651998000</v>
      </c>
    </row>
    <row r="31" spans="1:26" ht="15.75">
      <c r="A31" s="534"/>
      <c r="B31" s="380"/>
      <c r="C31" s="556"/>
      <c r="D31" s="550"/>
      <c r="E31" s="550"/>
      <c r="F31" s="550"/>
      <c r="G31" s="550"/>
      <c r="H31" s="550"/>
      <c r="I31" s="550"/>
      <c r="J31" s="550"/>
      <c r="K31" s="550"/>
      <c r="L31" s="550"/>
      <c r="M31" s="550"/>
      <c r="N31" s="550"/>
      <c r="O31" s="550"/>
      <c r="P31" s="550"/>
      <c r="Q31" s="550"/>
      <c r="R31" s="550"/>
      <c r="S31" s="550"/>
      <c r="T31" s="550"/>
      <c r="U31" s="550"/>
      <c r="V31" s="550"/>
      <c r="W31" s="550"/>
      <c r="X31" s="550"/>
      <c r="Y31" s="550"/>
      <c r="Z31" s="534"/>
    </row>
    <row r="32" spans="1:26" ht="15.75">
      <c r="A32" s="534"/>
      <c r="B32" s="380"/>
      <c r="C32" s="556"/>
      <c r="D32" s="550"/>
      <c r="E32" s="550"/>
      <c r="F32" s="550"/>
      <c r="G32" s="550"/>
      <c r="H32" s="550"/>
      <c r="I32" s="550"/>
      <c r="J32" s="550"/>
      <c r="K32" s="550"/>
      <c r="L32" s="534" t="s">
        <v>139</v>
      </c>
      <c r="M32" s="534" t="s">
        <v>139</v>
      </c>
      <c r="N32" s="534" t="s">
        <v>139</v>
      </c>
      <c r="O32" s="534" t="s">
        <v>139</v>
      </c>
      <c r="P32" s="534" t="s">
        <v>139</v>
      </c>
      <c r="Q32" s="534" t="s">
        <v>139</v>
      </c>
      <c r="R32" s="534" t="s">
        <v>139</v>
      </c>
      <c r="S32" s="534" t="s">
        <v>139</v>
      </c>
      <c r="T32" s="534" t="s">
        <v>139</v>
      </c>
      <c r="U32" s="534" t="s">
        <v>139</v>
      </c>
      <c r="V32" s="534" t="s">
        <v>139</v>
      </c>
      <c r="W32" s="534" t="s">
        <v>139</v>
      </c>
      <c r="X32" s="534" t="s">
        <v>139</v>
      </c>
      <c r="Y32" s="534" t="s">
        <v>139</v>
      </c>
      <c r="Z32" s="534" t="s">
        <v>139</v>
      </c>
    </row>
    <row r="33" spans="1:26" ht="15.75">
      <c r="A33" s="534"/>
      <c r="B33" s="380"/>
      <c r="C33" s="556"/>
      <c r="D33" s="550"/>
      <c r="E33" s="550"/>
      <c r="F33" s="550"/>
      <c r="G33" s="550"/>
      <c r="H33" s="550"/>
      <c r="I33" s="550"/>
      <c r="J33" s="550"/>
      <c r="K33" s="550"/>
      <c r="L33" s="534" t="s">
        <v>1760</v>
      </c>
      <c r="M33" s="534" t="s">
        <v>1760</v>
      </c>
      <c r="N33" s="534" t="s">
        <v>1760</v>
      </c>
      <c r="O33" s="534" t="s">
        <v>1760</v>
      </c>
      <c r="P33" s="534" t="s">
        <v>1760</v>
      </c>
      <c r="Q33" s="534"/>
      <c r="R33" s="534"/>
      <c r="S33" s="534"/>
      <c r="T33" s="534"/>
      <c r="U33" s="534"/>
      <c r="V33" s="534"/>
      <c r="W33" s="534"/>
      <c r="X33" s="534"/>
      <c r="Y33" s="534"/>
      <c r="Z33" s="534"/>
    </row>
    <row r="34" spans="1:26" ht="15.75">
      <c r="A34" s="534"/>
      <c r="B34" s="380"/>
      <c r="C34" s="556"/>
      <c r="D34" s="550"/>
      <c r="E34" s="550"/>
      <c r="F34" s="550"/>
      <c r="G34" s="550"/>
      <c r="H34" s="550"/>
      <c r="I34" s="550"/>
      <c r="J34" s="550"/>
      <c r="K34" s="550"/>
      <c r="L34" s="550"/>
      <c r="M34" s="550"/>
      <c r="N34" s="550"/>
      <c r="O34" s="550"/>
      <c r="P34" s="550"/>
      <c r="Q34" s="550"/>
      <c r="R34" s="550"/>
      <c r="S34" s="550"/>
      <c r="T34" s="550"/>
      <c r="U34" s="550"/>
      <c r="V34" s="550"/>
      <c r="W34" s="550"/>
      <c r="X34" s="550"/>
      <c r="Y34" s="550"/>
      <c r="Z34" s="534"/>
    </row>
    <row r="35" spans="1:26" ht="15.75">
      <c r="A35" s="534"/>
      <c r="B35" s="380"/>
      <c r="C35" s="556"/>
      <c r="D35" s="550"/>
      <c r="E35" s="550"/>
      <c r="F35" s="550"/>
      <c r="G35" s="550"/>
      <c r="H35" s="550"/>
      <c r="I35" s="550"/>
      <c r="J35" s="550"/>
      <c r="K35" s="550"/>
      <c r="L35" s="550"/>
      <c r="M35" s="550"/>
      <c r="N35" s="550"/>
      <c r="O35" s="550"/>
      <c r="P35" s="550"/>
      <c r="Q35" s="550"/>
      <c r="R35" s="550"/>
      <c r="S35" s="550"/>
      <c r="T35" s="550"/>
      <c r="U35" s="550"/>
      <c r="V35" s="550"/>
      <c r="W35" s="550"/>
      <c r="X35" s="550"/>
      <c r="Y35" s="550"/>
      <c r="Z35" s="534"/>
    </row>
    <row r="36" spans="1:26" ht="15.75">
      <c r="A36" s="534"/>
      <c r="B36" s="380"/>
      <c r="C36" s="556"/>
      <c r="D36" s="550"/>
      <c r="E36" s="550"/>
      <c r="F36" s="550"/>
      <c r="G36" s="550"/>
      <c r="H36" s="550"/>
      <c r="I36" s="550"/>
      <c r="J36" s="550"/>
      <c r="K36" s="550"/>
      <c r="L36" s="550"/>
      <c r="M36" s="550"/>
      <c r="N36" s="550"/>
      <c r="O36" s="550"/>
      <c r="P36" s="550"/>
      <c r="Q36" s="550"/>
      <c r="R36" s="550"/>
      <c r="S36" s="550"/>
      <c r="T36" s="550"/>
      <c r="U36" s="550"/>
      <c r="V36" s="550"/>
      <c r="W36" s="550"/>
      <c r="X36" s="550"/>
      <c r="Y36" s="550"/>
      <c r="Z36" s="534"/>
    </row>
    <row r="37" spans="1:26" ht="15.75">
      <c r="A37" s="534"/>
      <c r="B37" s="380" t="s">
        <v>823</v>
      </c>
      <c r="C37" s="556"/>
      <c r="D37" s="550"/>
      <c r="E37" s="550"/>
      <c r="F37" s="550"/>
      <c r="G37" s="550"/>
      <c r="H37" s="550"/>
      <c r="I37" s="550"/>
      <c r="J37" s="550"/>
      <c r="K37" s="550"/>
      <c r="L37" s="2390">
        <f>L6-L7-L14</f>
        <v>0</v>
      </c>
      <c r="M37" s="2390">
        <f t="shared" ref="M37:X37" si="4">M6-M7-M14</f>
        <v>0</v>
      </c>
      <c r="N37" s="2390">
        <f t="shared" si="4"/>
        <v>0</v>
      </c>
      <c r="O37" s="2390">
        <f t="shared" si="4"/>
        <v>0</v>
      </c>
      <c r="P37" s="2390">
        <f t="shared" si="4"/>
        <v>0</v>
      </c>
      <c r="Q37" s="2390">
        <f t="shared" si="4"/>
        <v>0</v>
      </c>
      <c r="R37" s="2390">
        <f t="shared" si="4"/>
        <v>0</v>
      </c>
      <c r="S37" s="2390">
        <f t="shared" si="4"/>
        <v>0</v>
      </c>
      <c r="T37" s="2390">
        <f t="shared" si="4"/>
        <v>0</v>
      </c>
      <c r="U37" s="2390">
        <f t="shared" si="4"/>
        <v>0</v>
      </c>
      <c r="V37" s="2390">
        <f t="shared" si="4"/>
        <v>0</v>
      </c>
      <c r="W37" s="2390">
        <f t="shared" si="4"/>
        <v>0</v>
      </c>
      <c r="X37" s="2390">
        <f t="shared" si="4"/>
        <v>0</v>
      </c>
      <c r="Y37" s="2390">
        <f>Y6-Y7-Y14</f>
        <v>0</v>
      </c>
      <c r="Z37" s="2390">
        <f>Z6-Z7-Z14</f>
        <v>0</v>
      </c>
    </row>
    <row r="38" spans="1:26" ht="15.75">
      <c r="A38" s="534"/>
      <c r="B38" s="380" t="s">
        <v>450</v>
      </c>
      <c r="C38" s="556"/>
      <c r="D38" s="550"/>
      <c r="E38" s="550"/>
      <c r="F38" s="550"/>
      <c r="G38" s="550"/>
      <c r="H38" s="550"/>
      <c r="I38" s="550"/>
      <c r="J38" s="550"/>
      <c r="K38" s="550"/>
      <c r="L38" s="2390">
        <f>L7-L8-L15-L13</f>
        <v>0</v>
      </c>
      <c r="M38" s="2390">
        <f t="shared" ref="M38:W38" si="5">M7-M8-M15-M13</f>
        <v>0</v>
      </c>
      <c r="N38" s="2390">
        <f t="shared" si="5"/>
        <v>0</v>
      </c>
      <c r="O38" s="2390">
        <f t="shared" si="5"/>
        <v>0</v>
      </c>
      <c r="P38" s="2390">
        <f t="shared" si="5"/>
        <v>0</v>
      </c>
      <c r="Q38" s="2390">
        <f t="shared" si="5"/>
        <v>0</v>
      </c>
      <c r="R38" s="2390">
        <f t="shared" si="5"/>
        <v>0</v>
      </c>
      <c r="S38" s="2390">
        <f t="shared" si="5"/>
        <v>-1.03759765625E-3</v>
      </c>
      <c r="T38" s="2390">
        <f t="shared" si="5"/>
        <v>0</v>
      </c>
      <c r="U38" s="2390">
        <f t="shared" si="5"/>
        <v>-6.103515625E-4</v>
      </c>
      <c r="V38" s="2390">
        <f t="shared" si="5"/>
        <v>0</v>
      </c>
      <c r="W38" s="2390">
        <f t="shared" si="5"/>
        <v>-6.103515625E-4</v>
      </c>
      <c r="X38" s="2390">
        <f>X7-X8-X15-X13</f>
        <v>-6.103515625E-4</v>
      </c>
      <c r="Y38" s="2390">
        <f>Y7-Y8-Y15-Y13</f>
        <v>-6.103515625E-4</v>
      </c>
      <c r="Z38" s="2390">
        <f>Z7-Z8-Z15-Z13</f>
        <v>-6.103515625E-4</v>
      </c>
    </row>
    <row r="39" spans="1:26" ht="15.75">
      <c r="A39" s="534"/>
      <c r="B39" s="534" t="s">
        <v>451</v>
      </c>
      <c r="C39" s="534"/>
      <c r="D39" s="534"/>
      <c r="E39" s="534"/>
      <c r="F39" s="534"/>
      <c r="G39" s="534"/>
      <c r="H39" s="534"/>
      <c r="I39" s="534"/>
      <c r="J39" s="534"/>
      <c r="K39" s="534"/>
      <c r="L39" s="571">
        <f>L8-L9-L10-L11-L12</f>
        <v>0</v>
      </c>
      <c r="M39" s="571">
        <f t="shared" ref="M39:X39" si="6">M8-M9-M10-M11-M12</f>
        <v>1.220703125E-4</v>
      </c>
      <c r="N39" s="571">
        <f t="shared" si="6"/>
        <v>1.2969970703125E-4</v>
      </c>
      <c r="O39" s="571">
        <f t="shared" si="6"/>
        <v>0</v>
      </c>
      <c r="P39" s="571">
        <f>P8-P9-P10-P11-P12</f>
        <v>0</v>
      </c>
      <c r="Q39" s="571">
        <f t="shared" si="6"/>
        <v>0</v>
      </c>
      <c r="R39" s="571">
        <f t="shared" si="6"/>
        <v>-2.44140625E-4</v>
      </c>
      <c r="S39" s="571">
        <f t="shared" si="6"/>
        <v>0</v>
      </c>
      <c r="T39" s="571">
        <f>T8-T9-T10-T11-T12</f>
        <v>0</v>
      </c>
      <c r="U39" s="571">
        <f t="shared" si="6"/>
        <v>2.593994140625E-4</v>
      </c>
      <c r="V39" s="571">
        <f t="shared" si="6"/>
        <v>2.593994140625E-4</v>
      </c>
      <c r="W39" s="571">
        <f t="shared" si="6"/>
        <v>2.593994140625E-4</v>
      </c>
      <c r="X39" s="571">
        <f t="shared" si="6"/>
        <v>2.44140625E-4</v>
      </c>
      <c r="Y39" s="571">
        <f>Y8-Y9-Y10-Y11-Y12</f>
        <v>2.44140625E-4</v>
      </c>
      <c r="Z39" s="571">
        <f>Z8-Z9-Z10-Z11-Z12</f>
        <v>2.44140625E-4</v>
      </c>
    </row>
    <row r="40" spans="1:26" ht="15.75">
      <c r="A40" s="534"/>
      <c r="B40" s="380" t="s">
        <v>2267</v>
      </c>
      <c r="C40" s="534"/>
      <c r="D40" s="534"/>
      <c r="E40" s="534"/>
      <c r="F40" s="534"/>
      <c r="G40" s="534"/>
      <c r="H40" s="534"/>
      <c r="I40" s="534"/>
      <c r="J40" s="534"/>
      <c r="K40" s="534"/>
      <c r="L40" s="571">
        <f>L16-L17-L23</f>
        <v>0</v>
      </c>
      <c r="M40" s="571">
        <f t="shared" ref="M40:X40" si="7">M16-M17-M23</f>
        <v>0</v>
      </c>
      <c r="N40" s="571">
        <f>N16-N17-N23</f>
        <v>0</v>
      </c>
      <c r="O40" s="571">
        <f t="shared" si="7"/>
        <v>0</v>
      </c>
      <c r="P40" s="571">
        <f t="shared" si="7"/>
        <v>0</v>
      </c>
      <c r="Q40" s="571">
        <f t="shared" si="7"/>
        <v>5.4931640625E-4</v>
      </c>
      <c r="R40" s="571">
        <f t="shared" si="7"/>
        <v>0</v>
      </c>
      <c r="S40" s="571">
        <f t="shared" si="7"/>
        <v>0</v>
      </c>
      <c r="T40" s="571">
        <f t="shared" si="7"/>
        <v>0</v>
      </c>
      <c r="U40" s="571">
        <f t="shared" si="7"/>
        <v>0</v>
      </c>
      <c r="V40" s="571">
        <f t="shared" si="7"/>
        <v>0</v>
      </c>
      <c r="W40" s="571">
        <f>W16-W17-W23</f>
        <v>9.765625E-4</v>
      </c>
      <c r="X40" s="571">
        <f t="shared" si="7"/>
        <v>0</v>
      </c>
      <c r="Y40" s="571">
        <f>Y16-Y17-Y23</f>
        <v>0</v>
      </c>
      <c r="Z40" s="571">
        <f>Z16-Z17-Z23</f>
        <v>0</v>
      </c>
    </row>
    <row r="41" spans="1:26" ht="15.75">
      <c r="A41" s="534"/>
      <c r="B41" s="380" t="s">
        <v>6369</v>
      </c>
      <c r="C41" s="534"/>
      <c r="D41" s="534"/>
      <c r="E41" s="534"/>
      <c r="F41" s="534"/>
      <c r="G41" s="534"/>
      <c r="H41" s="534"/>
      <c r="I41" s="534"/>
      <c r="J41" s="534"/>
      <c r="K41" s="534"/>
      <c r="L41" s="576">
        <f>L17-L18-L19-L20-L21-L22</f>
        <v>1710302000000</v>
      </c>
      <c r="M41" s="571">
        <f t="shared" ref="M41:X41" si="8">M17-M18-M19-M20-M21-M22</f>
        <v>1.8310546875E-4</v>
      </c>
      <c r="N41" s="571">
        <f t="shared" si="8"/>
        <v>3.0517578125E-4</v>
      </c>
      <c r="O41" s="571">
        <f t="shared" si="8"/>
        <v>0</v>
      </c>
      <c r="P41" s="571">
        <f t="shared" si="8"/>
        <v>0</v>
      </c>
      <c r="Q41" s="571">
        <f t="shared" si="8"/>
        <v>0</v>
      </c>
      <c r="R41" s="571">
        <f t="shared" si="8"/>
        <v>0</v>
      </c>
      <c r="S41" s="571">
        <f t="shared" si="8"/>
        <v>0</v>
      </c>
      <c r="T41" s="571">
        <f t="shared" si="8"/>
        <v>0</v>
      </c>
      <c r="U41" s="571">
        <f>U17-U18-U19-U20-U21-U22</f>
        <v>0</v>
      </c>
      <c r="V41" s="571">
        <f t="shared" si="8"/>
        <v>0</v>
      </c>
      <c r="W41" s="571">
        <f t="shared" si="8"/>
        <v>0</v>
      </c>
      <c r="X41" s="571">
        <f t="shared" si="8"/>
        <v>0</v>
      </c>
      <c r="Y41" s="571">
        <f>Y17-Y18-Y19-Y20-Y21-Y22</f>
        <v>5.4931640625E-4</v>
      </c>
      <c r="Z41" s="571">
        <f>Z17-Z18-Z19-Z20-Z21-Z22</f>
        <v>0</v>
      </c>
    </row>
    <row r="42" spans="1:26">
      <c r="C42" s="267"/>
    </row>
    <row r="43" spans="1:26">
      <c r="B43" t="s">
        <v>299</v>
      </c>
      <c r="D43" s="267">
        <v>4922731000000</v>
      </c>
      <c r="E43" s="267">
        <v>5133502000000</v>
      </c>
      <c r="F43" s="267">
        <v>5450643000000</v>
      </c>
      <c r="G43" s="267">
        <v>5917369000000</v>
      </c>
      <c r="H43" s="267">
        <v>6489476000000</v>
      </c>
      <c r="I43" s="267">
        <v>7092893000000</v>
      </c>
      <c r="J43" s="267">
        <v>7844939000000</v>
      </c>
      <c r="K43" s="267">
        <v>8525197000000</v>
      </c>
      <c r="L43" s="267">
        <v>9080466000000</v>
      </c>
      <c r="M43" s="267">
        <v>9041551000000</v>
      </c>
      <c r="N43" s="267">
        <v>10104821000000</v>
      </c>
      <c r="O43" s="267">
        <v>10540134000000</v>
      </c>
      <c r="P43" s="267">
        <v>11375349000000</v>
      </c>
      <c r="Q43" s="267">
        <v>11898710000000</v>
      </c>
      <c r="R43" s="267">
        <v>12141096000000</v>
      </c>
      <c r="S43" s="546">
        <v>13537485000000</v>
      </c>
      <c r="T43" s="546">
        <v>14072061000000</v>
      </c>
      <c r="U43" s="546">
        <v>14818796000000</v>
      </c>
      <c r="V43" s="546">
        <v>15555563000000</v>
      </c>
      <c r="W43" s="546">
        <v>16374205000000</v>
      </c>
      <c r="X43" s="546">
        <v>17263307000000</v>
      </c>
      <c r="Y43" s="546">
        <v>18219924000000</v>
      </c>
    </row>
    <row r="44" spans="1:26">
      <c r="L44" s="364">
        <f t="shared" ref="L44:Y44" si="9">(L6/L43)*100</f>
        <v>21.554444452520389</v>
      </c>
      <c r="M44" s="364">
        <f t="shared" si="9"/>
        <v>20.822380894605359</v>
      </c>
      <c r="N44" s="364">
        <f t="shared" si="9"/>
        <v>21.713376026156229</v>
      </c>
      <c r="O44" s="364">
        <f t="shared" si="9"/>
        <v>22.366652070078047</v>
      </c>
      <c r="P44" s="364">
        <f t="shared" si="9"/>
        <v>22.774145197655034</v>
      </c>
      <c r="Q44" s="364">
        <f t="shared" si="9"/>
        <v>23.906003491134754</v>
      </c>
      <c r="R44" s="364">
        <f t="shared" si="9"/>
        <v>23.14201250035417</v>
      </c>
      <c r="S44" s="364">
        <f t="shared" si="9"/>
        <v>22.49037282774459</v>
      </c>
      <c r="T44" s="364">
        <f t="shared" si="9"/>
        <v>22.598175277949689</v>
      </c>
      <c r="U44" s="364">
        <f t="shared" si="9"/>
        <v>22.475100527735179</v>
      </c>
      <c r="V44" s="364">
        <f t="shared" si="9"/>
        <v>22.711092963976938</v>
      </c>
      <c r="W44" s="364">
        <f t="shared" si="9"/>
        <v>22.86132948744687</v>
      </c>
      <c r="X44" s="364">
        <f t="shared" si="9"/>
        <v>22.746924717263038</v>
      </c>
      <c r="Y44" s="364">
        <f t="shared" si="9"/>
        <v>22.604803840016018</v>
      </c>
    </row>
    <row r="45" spans="1:26">
      <c r="L45" s="364">
        <f t="shared" ref="L45:Y45" si="10">(L16/L43)*100</f>
        <v>21.353001046422069</v>
      </c>
      <c r="M45" s="364">
        <f t="shared" si="10"/>
        <v>24.025824109160034</v>
      </c>
      <c r="N45" s="364">
        <f t="shared" si="10"/>
        <v>22.68707001836054</v>
      </c>
      <c r="O45" s="364">
        <f t="shared" si="10"/>
        <v>22.960456992292507</v>
      </c>
      <c r="P45" s="364">
        <f t="shared" si="10"/>
        <v>24.442940319896998</v>
      </c>
      <c r="Q45" s="364">
        <f t="shared" si="10"/>
        <v>23.365143683643023</v>
      </c>
      <c r="R45" s="364">
        <f t="shared" si="10"/>
        <v>24.007134462984229</v>
      </c>
      <c r="S45" s="364">
        <f t="shared" si="10"/>
        <v>22.389969377620734</v>
      </c>
      <c r="T45" s="364">
        <f t="shared" si="10"/>
        <v>22.191000948617265</v>
      </c>
      <c r="U45" s="364">
        <f t="shared" si="10"/>
        <v>24.219743034454353</v>
      </c>
      <c r="V45" s="364">
        <f t="shared" si="10"/>
        <v>24.560865241585919</v>
      </c>
      <c r="W45" s="364">
        <f t="shared" si="10"/>
        <v>24.706638594056937</v>
      </c>
      <c r="X45" s="364">
        <f t="shared" si="10"/>
        <v>24.58299935811835</v>
      </c>
      <c r="Y45" s="364">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J6" activePane="bottomRight" state="frozen"/>
      <selection pane="topRight" activeCell="D1" sqref="D1"/>
      <selection pane="bottomLeft" activeCell="A6" sqref="A6"/>
      <selection pane="bottomRight" activeCell="V52" sqref="V52"/>
    </sheetView>
  </sheetViews>
  <sheetFormatPr defaultRowHeight="15.75"/>
  <cols>
    <col min="1" max="1" width="34.28515625" style="1602" bestFit="1" customWidth="1"/>
    <col min="2" max="2" width="58.140625" style="1602" bestFit="1" customWidth="1"/>
    <col min="3" max="3" width="22.42578125" style="1602" bestFit="1" customWidth="1"/>
    <col min="4" max="4" width="14.85546875" style="1602" bestFit="1" customWidth="1"/>
    <col min="5" max="6" width="14" style="1602" bestFit="1" customWidth="1"/>
    <col min="7" max="7" width="15.7109375" style="1602" bestFit="1" customWidth="1"/>
    <col min="8" max="10" width="16.85546875" style="1602" bestFit="1" customWidth="1"/>
    <col min="11" max="12" width="18.7109375" style="1602" bestFit="1" customWidth="1"/>
    <col min="13" max="16" width="18.42578125" style="1602" bestFit="1" customWidth="1"/>
    <col min="17" max="18" width="19.140625" style="1602" bestFit="1" customWidth="1"/>
    <col min="19" max="19" width="18.7109375" style="1602" bestFit="1" customWidth="1"/>
    <col min="20" max="22" width="19.140625" style="1602" bestFit="1" customWidth="1"/>
    <col min="23" max="23" width="19" style="1602" bestFit="1" customWidth="1"/>
    <col min="24" max="24" width="19.140625" style="1602" bestFit="1" customWidth="1"/>
    <col min="25" max="25" width="19.140625" style="1602" customWidth="1"/>
    <col min="26" max="26" width="20.7109375" style="1602" customWidth="1"/>
    <col min="27" max="27" width="16.140625" style="1602" bestFit="1" customWidth="1"/>
    <col min="28" max="28" width="8.85546875" style="1602"/>
  </cols>
  <sheetData>
    <row r="1" spans="1:28">
      <c r="A1" s="1602" t="s">
        <v>6370</v>
      </c>
      <c r="B1" s="1603" t="s">
        <v>6371</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8">
      <c r="B2" s="1607" t="s">
        <v>5834</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8">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row>
    <row r="4" spans="1:28">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row>
    <row r="5" spans="1:28">
      <c r="A5" s="1602" t="s">
        <v>28</v>
      </c>
      <c r="B5" s="1611" t="s">
        <v>29</v>
      </c>
      <c r="C5" s="1611"/>
      <c r="D5" s="1605" t="s">
        <v>30</v>
      </c>
      <c r="E5" s="2087" t="s">
        <v>30</v>
      </c>
      <c r="F5" s="2087" t="s">
        <v>30</v>
      </c>
      <c r="G5" s="2087" t="s">
        <v>30</v>
      </c>
      <c r="H5" s="2087" t="s">
        <v>30</v>
      </c>
      <c r="I5" s="2180" t="s">
        <v>31</v>
      </c>
      <c r="J5" s="2180" t="s">
        <v>30</v>
      </c>
      <c r="K5" s="2180" t="s">
        <v>30</v>
      </c>
      <c r="L5" s="2180" t="s">
        <v>30</v>
      </c>
      <c r="M5" s="2180" t="s">
        <v>30</v>
      </c>
      <c r="N5" s="2087" t="s">
        <v>31</v>
      </c>
      <c r="O5" s="2087" t="s">
        <v>31</v>
      </c>
      <c r="P5" s="2087" t="s">
        <v>31</v>
      </c>
      <c r="Q5" s="2087" t="s">
        <v>31</v>
      </c>
      <c r="R5" s="2087" t="s">
        <v>30</v>
      </c>
      <c r="S5" s="2087" t="s">
        <v>30</v>
      </c>
      <c r="T5" s="2087" t="s">
        <v>32</v>
      </c>
      <c r="U5" s="2087" t="s">
        <v>32</v>
      </c>
      <c r="V5" s="2087" t="s">
        <v>32</v>
      </c>
      <c r="W5" s="1605" t="s">
        <v>32</v>
      </c>
      <c r="X5" s="1605" t="s">
        <v>32</v>
      </c>
      <c r="Y5" s="1605" t="s">
        <v>32</v>
      </c>
    </row>
    <row r="6" spans="1:28" s="848" customFormat="1">
      <c r="A6" s="1902" t="s">
        <v>6372</v>
      </c>
      <c r="B6" s="1902" t="s">
        <v>36</v>
      </c>
      <c r="C6" s="1902" t="s">
        <v>35</v>
      </c>
      <c r="D6" s="1899"/>
      <c r="E6" s="2185">
        <v>58700000</v>
      </c>
      <c r="F6" s="2185">
        <v>54000000</v>
      </c>
      <c r="G6" s="2185">
        <v>81300000</v>
      </c>
      <c r="H6" s="2185">
        <v>105400000</v>
      </c>
      <c r="I6" s="2185">
        <v>337000000</v>
      </c>
      <c r="J6" s="2185">
        <f>J7+J20</f>
        <v>517000000</v>
      </c>
      <c r="K6" s="2185">
        <f>K7+K20</f>
        <v>1044000000</v>
      </c>
      <c r="L6" s="2185">
        <f>L7+L20</f>
        <v>2444000000</v>
      </c>
      <c r="M6" s="2185">
        <v>2064900000</v>
      </c>
      <c r="N6" s="2185">
        <v>2737000000</v>
      </c>
      <c r="O6" s="2185">
        <v>3853600000</v>
      </c>
      <c r="P6" s="2185">
        <v>4351200000</v>
      </c>
      <c r="Q6" s="2185">
        <f>Q7+Q20</f>
        <v>3697600000</v>
      </c>
      <c r="R6" s="2185">
        <v>2555000000</v>
      </c>
      <c r="S6" s="2185">
        <f>S7+S20</f>
        <v>1673500000</v>
      </c>
      <c r="T6" s="2185">
        <f>T7+T20</f>
        <v>924700000</v>
      </c>
      <c r="U6" s="2185">
        <v>1309300000</v>
      </c>
      <c r="V6" s="2185">
        <f>V7+V20</f>
        <v>1070600000</v>
      </c>
      <c r="W6" s="2185">
        <f t="shared" ref="W6:X6" si="0">W7+W20</f>
        <v>1065500000</v>
      </c>
      <c r="X6" s="2185">
        <f t="shared" si="0"/>
        <v>935800000</v>
      </c>
      <c r="Y6" s="2084"/>
      <c r="Z6" s="1899"/>
      <c r="AA6" s="1899"/>
      <c r="AB6" s="1899"/>
    </row>
    <row r="7" spans="1:28">
      <c r="A7" s="1612" t="s">
        <v>2391</v>
      </c>
      <c r="B7" s="1907" t="s">
        <v>3444</v>
      </c>
      <c r="C7" s="1613" t="s">
        <v>38</v>
      </c>
      <c r="E7" s="1615">
        <f>E8+E14</f>
        <v>27200000</v>
      </c>
      <c r="F7" s="1615">
        <f t="shared" ref="F7:U7" si="1">F8+F14</f>
        <v>31300000</v>
      </c>
      <c r="G7" s="1615">
        <f t="shared" si="1"/>
        <v>48800000</v>
      </c>
      <c r="H7" s="1615">
        <f t="shared" si="1"/>
        <v>70600000</v>
      </c>
      <c r="I7" s="1615">
        <f t="shared" si="1"/>
        <v>303000000</v>
      </c>
      <c r="J7" s="1615">
        <f t="shared" si="1"/>
        <v>516000000</v>
      </c>
      <c r="K7" s="1615">
        <f t="shared" si="1"/>
        <v>1033000000</v>
      </c>
      <c r="L7" s="1615">
        <f t="shared" si="1"/>
        <v>2443000000</v>
      </c>
      <c r="M7" s="1615">
        <f t="shared" si="1"/>
        <v>1783100000</v>
      </c>
      <c r="N7" s="1615">
        <f t="shared" si="1"/>
        <v>2427700000</v>
      </c>
      <c r="O7" s="1615">
        <f t="shared" si="1"/>
        <v>3569700000</v>
      </c>
      <c r="P7" s="1615">
        <f t="shared" si="1"/>
        <v>4097300000</v>
      </c>
      <c r="Q7" s="1615">
        <f t="shared" si="1"/>
        <v>3437300000</v>
      </c>
      <c r="R7" s="1615">
        <f t="shared" si="1"/>
        <v>2284700000</v>
      </c>
      <c r="S7" s="1615">
        <f t="shared" si="1"/>
        <v>1450800000</v>
      </c>
      <c r="T7" s="1615">
        <f t="shared" si="1"/>
        <v>755500000</v>
      </c>
      <c r="U7" s="1615">
        <f t="shared" si="1"/>
        <v>1152700000</v>
      </c>
      <c r="V7" s="1615">
        <f>V8+V15+V19</f>
        <v>910600000</v>
      </c>
      <c r="W7" s="1615">
        <f t="shared" ref="W7:X7" si="2">W8+W15+W19</f>
        <v>900900000</v>
      </c>
      <c r="X7" s="1615">
        <f t="shared" si="2"/>
        <v>764000000</v>
      </c>
      <c r="Y7" s="1615"/>
    </row>
    <row r="8" spans="1:28">
      <c r="A8" s="2181" t="s">
        <v>2436</v>
      </c>
      <c r="B8" s="1612" t="s">
        <v>6373</v>
      </c>
      <c r="C8" s="1612" t="s">
        <v>41</v>
      </c>
      <c r="D8" s="1605"/>
      <c r="E8" s="1615">
        <v>13100000</v>
      </c>
      <c r="F8" s="1615">
        <v>10800000</v>
      </c>
      <c r="G8" s="1615">
        <v>29500000</v>
      </c>
      <c r="H8" s="1615">
        <v>41400000</v>
      </c>
      <c r="I8" s="1615">
        <v>266000000</v>
      </c>
      <c r="J8" s="1615">
        <v>482000000</v>
      </c>
      <c r="K8" s="1615">
        <v>993000000</v>
      </c>
      <c r="L8" s="1615">
        <v>2399000000</v>
      </c>
      <c r="M8" s="1615">
        <v>1691700000</v>
      </c>
      <c r="N8" s="1615">
        <v>2331300000</v>
      </c>
      <c r="O8" s="1615">
        <v>3461300000</v>
      </c>
      <c r="P8" s="1615">
        <v>3959900000</v>
      </c>
      <c r="Q8" s="1615">
        <v>3286400000</v>
      </c>
      <c r="R8" s="1615">
        <v>2116699999.9999998</v>
      </c>
      <c r="S8" s="1615">
        <f>S10+S12</f>
        <v>1280600000</v>
      </c>
      <c r="T8" s="1615">
        <f>T10+T12</f>
        <v>540100000</v>
      </c>
      <c r="U8" s="1615">
        <v>965500000</v>
      </c>
      <c r="V8" s="1615">
        <v>695700000</v>
      </c>
      <c r="W8" s="1615">
        <v>672000000</v>
      </c>
      <c r="X8" s="1615">
        <v>582800000</v>
      </c>
      <c r="Y8" s="1624"/>
      <c r="Z8" s="1624"/>
      <c r="AA8" s="1624"/>
    </row>
    <row r="9" spans="1:28">
      <c r="A9" s="1616" t="s">
        <v>39</v>
      </c>
      <c r="B9" s="1616" t="s">
        <v>40</v>
      </c>
      <c r="C9" s="1602" t="s">
        <v>1630</v>
      </c>
      <c r="D9" s="1605"/>
      <c r="E9" s="1615">
        <v>9900000</v>
      </c>
      <c r="F9" s="1615">
        <v>6500000</v>
      </c>
      <c r="G9" s="1615">
        <v>26400000</v>
      </c>
      <c r="H9" s="1615">
        <v>38000000</v>
      </c>
      <c r="I9" s="1615"/>
      <c r="J9" s="1615"/>
      <c r="K9" s="1615"/>
      <c r="L9" s="1615"/>
      <c r="M9" s="1615"/>
      <c r="N9" s="1615"/>
      <c r="O9" s="1615"/>
      <c r="P9" s="1615"/>
      <c r="Q9" s="1615"/>
      <c r="R9" s="1615"/>
      <c r="S9" s="1615"/>
      <c r="T9" s="1615"/>
      <c r="U9" s="1615"/>
      <c r="V9" s="1615"/>
      <c r="W9" s="1615"/>
      <c r="X9" s="1615"/>
      <c r="Y9" s="1624"/>
      <c r="Z9" s="1624"/>
    </row>
    <row r="10" spans="1:28">
      <c r="A10" s="1616" t="s">
        <v>6374</v>
      </c>
      <c r="B10" s="1616" t="s">
        <v>6375</v>
      </c>
      <c r="C10" s="1602" t="s">
        <v>1630</v>
      </c>
      <c r="D10" s="1605"/>
      <c r="E10" s="1614"/>
      <c r="F10" s="1614"/>
      <c r="G10" s="1614"/>
      <c r="H10" s="1614"/>
      <c r="I10" s="1615">
        <v>265000000</v>
      </c>
      <c r="J10" s="1615">
        <v>469000000</v>
      </c>
      <c r="K10" s="1615">
        <v>956000000</v>
      </c>
      <c r="L10" s="1615">
        <v>2284000000</v>
      </c>
      <c r="M10" s="1615">
        <v>1660200000</v>
      </c>
      <c r="N10" s="1615">
        <v>2110199999.9999998</v>
      </c>
      <c r="O10" s="1615">
        <v>3240100000</v>
      </c>
      <c r="P10" s="1615">
        <v>3559100000</v>
      </c>
      <c r="Q10" s="1615">
        <v>3041800000</v>
      </c>
      <c r="R10" s="1615">
        <v>1817000000</v>
      </c>
      <c r="S10" s="1615">
        <v>978900000</v>
      </c>
      <c r="T10" s="1615">
        <v>223900000</v>
      </c>
      <c r="U10" s="1615">
        <v>300000000</v>
      </c>
      <c r="V10" s="1615">
        <v>80200000</v>
      </c>
      <c r="W10" s="1615">
        <v>85300000</v>
      </c>
      <c r="X10" s="1615">
        <v>30900000</v>
      </c>
      <c r="Y10" s="1624"/>
      <c r="Z10" s="1624"/>
      <c r="AA10" s="1624"/>
    </row>
    <row r="11" spans="1:28">
      <c r="A11" s="1616" t="s">
        <v>6376</v>
      </c>
      <c r="B11" s="1616" t="s">
        <v>6376</v>
      </c>
      <c r="C11" s="1602" t="s">
        <v>1630</v>
      </c>
      <c r="D11" s="1605"/>
      <c r="E11" s="1615">
        <v>3000000</v>
      </c>
      <c r="F11" s="1615">
        <v>4200000</v>
      </c>
      <c r="G11" s="1615">
        <v>3000000</v>
      </c>
      <c r="H11" s="1615">
        <v>3300000</v>
      </c>
      <c r="I11" s="1615"/>
      <c r="J11" s="1615"/>
      <c r="K11" s="1615"/>
      <c r="L11" s="1615"/>
      <c r="M11" s="1615"/>
      <c r="N11" s="1615"/>
      <c r="O11" s="1615"/>
      <c r="P11" s="1615"/>
      <c r="Q11" s="1615"/>
      <c r="R11" s="1615"/>
      <c r="S11" s="1615"/>
      <c r="T11" s="1615"/>
      <c r="U11" s="1615"/>
      <c r="V11" s="1615"/>
      <c r="W11" s="1615"/>
      <c r="X11" s="1615"/>
      <c r="Y11" s="1624"/>
    </row>
    <row r="12" spans="1:28">
      <c r="A12" s="1617" t="s">
        <v>90</v>
      </c>
      <c r="B12" s="1616" t="s">
        <v>91</v>
      </c>
      <c r="C12" s="1602" t="s">
        <v>1630</v>
      </c>
      <c r="D12" s="1605"/>
      <c r="E12" s="1615">
        <v>100000</v>
      </c>
      <c r="F12" s="1615">
        <v>100000</v>
      </c>
      <c r="G12" s="1615">
        <v>100000</v>
      </c>
      <c r="H12" s="1615">
        <v>100000</v>
      </c>
      <c r="I12" s="1615">
        <v>1000000</v>
      </c>
      <c r="J12" s="1615">
        <v>13000000</v>
      </c>
      <c r="K12" s="1615">
        <v>37000000</v>
      </c>
      <c r="L12" s="1615">
        <v>115000000</v>
      </c>
      <c r="M12" s="1615">
        <v>31500000</v>
      </c>
      <c r="N12" s="1615">
        <v>221100000</v>
      </c>
      <c r="O12" s="1615">
        <v>221200000</v>
      </c>
      <c r="P12" s="1615">
        <v>400800000</v>
      </c>
      <c r="Q12" s="1615"/>
      <c r="R12" s="1615">
        <v>299800000</v>
      </c>
      <c r="S12" s="1615">
        <v>301700000</v>
      </c>
      <c r="T12" s="1615">
        <v>316200000</v>
      </c>
      <c r="U12" s="1615">
        <v>665500000</v>
      </c>
      <c r="V12" s="1615">
        <f>V8-V10</f>
        <v>615500000</v>
      </c>
      <c r="W12" s="1615">
        <f t="shared" ref="W12:X12" si="3">W8-W10</f>
        <v>586700000</v>
      </c>
      <c r="X12" s="1615">
        <f t="shared" si="3"/>
        <v>551900000</v>
      </c>
      <c r="Y12" s="1624"/>
    </row>
    <row r="13" spans="1:28">
      <c r="A13" s="1617" t="s">
        <v>6377</v>
      </c>
      <c r="B13" s="1616" t="s">
        <v>6378</v>
      </c>
      <c r="C13" s="1602" t="s">
        <v>1630</v>
      </c>
      <c r="D13" s="1605"/>
      <c r="E13" s="1615"/>
      <c r="F13" s="1615"/>
      <c r="G13" s="1615"/>
      <c r="H13" s="1615"/>
      <c r="I13" s="1615"/>
      <c r="J13" s="1615"/>
      <c r="K13" s="1615"/>
      <c r="L13" s="1615"/>
      <c r="M13" s="1615"/>
      <c r="N13" s="1615"/>
      <c r="O13" s="1615"/>
      <c r="P13" s="1615"/>
      <c r="Q13" s="1615">
        <v>244600000</v>
      </c>
      <c r="R13" s="1615"/>
      <c r="S13" s="1615"/>
      <c r="T13" s="1615"/>
      <c r="U13" s="1615"/>
      <c r="V13" s="1615"/>
      <c r="W13" s="1615"/>
      <c r="X13" s="1615"/>
      <c r="Y13" s="1624"/>
    </row>
    <row r="14" spans="1:28">
      <c r="A14" s="1602" t="s">
        <v>6379</v>
      </c>
      <c r="B14" s="1612" t="s">
        <v>6380</v>
      </c>
      <c r="C14" s="1612" t="s">
        <v>41</v>
      </c>
      <c r="D14" s="1605"/>
      <c r="E14" s="1615">
        <v>14100000</v>
      </c>
      <c r="F14" s="1615">
        <v>20500000</v>
      </c>
      <c r="G14" s="1615">
        <v>19300000</v>
      </c>
      <c r="H14" s="1615">
        <v>29200000</v>
      </c>
      <c r="I14" s="1615">
        <v>37000000</v>
      </c>
      <c r="J14" s="1615">
        <v>34000000</v>
      </c>
      <c r="K14" s="1615">
        <v>40000000</v>
      </c>
      <c r="L14" s="1615">
        <f>L15+L19</f>
        <v>44000000</v>
      </c>
      <c r="M14" s="1615">
        <f t="shared" ref="M14:Q14" si="4">M15+M19</f>
        <v>91400000</v>
      </c>
      <c r="N14" s="1615">
        <f t="shared" si="4"/>
        <v>96400000</v>
      </c>
      <c r="O14" s="1615">
        <f t="shared" si="4"/>
        <v>108400000</v>
      </c>
      <c r="P14" s="1615">
        <f t="shared" si="4"/>
        <v>137400000</v>
      </c>
      <c r="Q14" s="1615">
        <f t="shared" si="4"/>
        <v>150900000</v>
      </c>
      <c r="R14" s="1615">
        <v>168000000</v>
      </c>
      <c r="S14" s="1615">
        <v>170200000</v>
      </c>
      <c r="T14" s="1615">
        <v>215400000</v>
      </c>
      <c r="U14" s="1615">
        <v>187200000</v>
      </c>
      <c r="V14" s="1615">
        <f>V15+V19</f>
        <v>214900000</v>
      </c>
      <c r="W14" s="1615">
        <f t="shared" ref="W14:X14" si="5">W15+W19</f>
        <v>228900000</v>
      </c>
      <c r="X14" s="1615">
        <f t="shared" si="5"/>
        <v>181200000</v>
      </c>
      <c r="Y14" s="1615"/>
    </row>
    <row r="15" spans="1:28">
      <c r="A15" s="1616" t="s">
        <v>371</v>
      </c>
      <c r="B15" s="1616" t="s">
        <v>371</v>
      </c>
      <c r="C15" s="1602" t="s">
        <v>1906</v>
      </c>
      <c r="D15" s="1605"/>
      <c r="E15" s="1614">
        <f>E16+E17</f>
        <v>12200000</v>
      </c>
      <c r="F15" s="1614">
        <f t="shared" ref="F15:L15" si="6">F16+F17</f>
        <v>18100000</v>
      </c>
      <c r="G15" s="1614">
        <f t="shared" si="6"/>
        <v>17000000</v>
      </c>
      <c r="H15" s="1614">
        <f t="shared" si="6"/>
        <v>24700000</v>
      </c>
      <c r="I15" s="1614">
        <f t="shared" si="6"/>
        <v>30000000</v>
      </c>
      <c r="J15" s="1614">
        <f t="shared" si="6"/>
        <v>25000000</v>
      </c>
      <c r="K15" s="1614">
        <f t="shared" si="6"/>
        <v>31000000</v>
      </c>
      <c r="L15" s="1614">
        <f t="shared" si="6"/>
        <v>38000000</v>
      </c>
      <c r="M15" s="1615">
        <v>43500000</v>
      </c>
      <c r="N15" s="1615">
        <v>50200000</v>
      </c>
      <c r="O15" s="1615">
        <v>78400000</v>
      </c>
      <c r="P15" s="1615">
        <v>98500000</v>
      </c>
      <c r="Q15" s="1615">
        <f>Q16+Q17+Q18</f>
        <v>104500000</v>
      </c>
      <c r="R15" s="2187">
        <f>R16+R17+R18</f>
        <v>123700000</v>
      </c>
      <c r="S15" s="2187">
        <f t="shared" ref="S15:U15" si="7">S16+S17+S18</f>
        <v>119500000</v>
      </c>
      <c r="T15" s="2187">
        <f t="shared" si="7"/>
        <v>154800000</v>
      </c>
      <c r="U15" s="2187">
        <f t="shared" si="7"/>
        <v>137900000</v>
      </c>
      <c r="V15" s="1615">
        <f>V16+V17+V18</f>
        <v>154900000</v>
      </c>
      <c r="W15" s="1615">
        <f t="shared" ref="W15:X15" si="8">W16+W17+W18</f>
        <v>165400000</v>
      </c>
      <c r="X15" s="1615">
        <f t="shared" si="8"/>
        <v>114300000</v>
      </c>
      <c r="Y15" s="1624"/>
    </row>
    <row r="16" spans="1:28">
      <c r="A16" s="1620" t="s">
        <v>1291</v>
      </c>
      <c r="B16" s="1620" t="s">
        <v>5379</v>
      </c>
      <c r="C16" s="1602" t="s">
        <v>6381</v>
      </c>
      <c r="D16" s="1605"/>
      <c r="E16" s="1615">
        <v>600000</v>
      </c>
      <c r="F16" s="1615">
        <v>5400000</v>
      </c>
      <c r="G16" s="1615">
        <v>5300000</v>
      </c>
      <c r="H16" s="1615">
        <v>6600000</v>
      </c>
      <c r="I16" s="1615">
        <v>11000000</v>
      </c>
      <c r="J16" s="1615">
        <v>9000000</v>
      </c>
      <c r="K16" s="1615">
        <v>12000000</v>
      </c>
      <c r="L16" s="1615">
        <v>19000000</v>
      </c>
      <c r="M16" s="1615">
        <v>13300000</v>
      </c>
      <c r="N16" s="1615">
        <v>18200000</v>
      </c>
      <c r="O16" s="1615">
        <v>27800000</v>
      </c>
      <c r="P16" s="1615">
        <v>37200000</v>
      </c>
      <c r="Q16" s="1615">
        <v>40200000</v>
      </c>
      <c r="R16" s="1615">
        <v>53000000</v>
      </c>
      <c r="S16" s="1615">
        <v>53300000</v>
      </c>
      <c r="T16" s="1615">
        <v>74700000</v>
      </c>
      <c r="U16" s="1615">
        <v>61900000</v>
      </c>
      <c r="V16" s="1615">
        <v>69100000</v>
      </c>
      <c r="W16" s="1615">
        <v>73500000</v>
      </c>
      <c r="X16" s="1615">
        <v>78100000</v>
      </c>
      <c r="Y16" s="1624"/>
      <c r="Z16" s="1624"/>
      <c r="AA16" s="1624"/>
    </row>
    <row r="17" spans="1:28">
      <c r="A17" s="1620" t="s">
        <v>47</v>
      </c>
      <c r="B17" s="1620" t="s">
        <v>6382</v>
      </c>
      <c r="C17" s="1602" t="s">
        <v>6381</v>
      </c>
      <c r="D17" s="1605"/>
      <c r="E17" s="1615">
        <v>11600000</v>
      </c>
      <c r="F17" s="1615">
        <v>12700000</v>
      </c>
      <c r="G17" s="1615">
        <v>11700000</v>
      </c>
      <c r="H17" s="1615">
        <v>18100000</v>
      </c>
      <c r="I17" s="1615">
        <v>19000000</v>
      </c>
      <c r="J17" s="1615">
        <v>16000000</v>
      </c>
      <c r="K17" s="1615">
        <v>19000000</v>
      </c>
      <c r="L17" s="1615">
        <v>19000000</v>
      </c>
      <c r="M17" s="1615">
        <v>23900000</v>
      </c>
      <c r="N17" s="1615">
        <v>26500000</v>
      </c>
      <c r="O17" s="1615">
        <v>34200000</v>
      </c>
      <c r="P17" s="1615">
        <v>47900000</v>
      </c>
      <c r="Q17" s="1615">
        <v>51800000</v>
      </c>
      <c r="R17" s="1615">
        <v>57300000</v>
      </c>
      <c r="S17" s="1615">
        <v>54100000</v>
      </c>
      <c r="T17" s="1615">
        <v>65900000.000000007</v>
      </c>
      <c r="U17" s="1615">
        <v>61200000</v>
      </c>
      <c r="V17" s="1615">
        <v>70000000</v>
      </c>
      <c r="W17" s="1615">
        <v>75000000</v>
      </c>
      <c r="X17" s="1615">
        <v>18100000</v>
      </c>
      <c r="Y17" s="1624"/>
      <c r="Z17" s="1624"/>
      <c r="AA17" s="1624"/>
    </row>
    <row r="18" spans="1:28">
      <c r="A18" s="1620" t="s">
        <v>2448</v>
      </c>
      <c r="B18" s="1620" t="s">
        <v>6383</v>
      </c>
      <c r="C18" s="1602" t="s">
        <v>6381</v>
      </c>
      <c r="D18" s="1605"/>
      <c r="E18" s="1614"/>
      <c r="F18" s="1614"/>
      <c r="G18" s="1614"/>
      <c r="H18" s="1614"/>
      <c r="I18" s="1614"/>
      <c r="J18" s="1614"/>
      <c r="K18" s="1614"/>
      <c r="L18" s="1614"/>
      <c r="M18" s="1615">
        <v>6300000</v>
      </c>
      <c r="N18" s="1615">
        <v>5500000</v>
      </c>
      <c r="O18" s="1615">
        <v>16399999.999999998</v>
      </c>
      <c r="P18" s="1615">
        <v>13400000</v>
      </c>
      <c r="Q18" s="1615">
        <v>12500000</v>
      </c>
      <c r="R18" s="1615">
        <v>13400000</v>
      </c>
      <c r="S18" s="1615">
        <v>12100000</v>
      </c>
      <c r="T18" s="1615">
        <v>14200000</v>
      </c>
      <c r="U18" s="1615">
        <v>14800000</v>
      </c>
      <c r="V18" s="1615">
        <v>15800000</v>
      </c>
      <c r="W18" s="1615">
        <v>16900000</v>
      </c>
      <c r="X18" s="1615">
        <v>18100000</v>
      </c>
      <c r="Y18" s="1624"/>
      <c r="Z18" s="1624"/>
      <c r="AA18" s="1624"/>
    </row>
    <row r="19" spans="1:28">
      <c r="A19" s="1612" t="s">
        <v>560</v>
      </c>
      <c r="B19" s="1612" t="s">
        <v>5384</v>
      </c>
      <c r="C19" s="1602" t="s">
        <v>1906</v>
      </c>
      <c r="D19" s="1605"/>
      <c r="E19" s="1615">
        <v>1900000</v>
      </c>
      <c r="F19" s="1615">
        <v>2400000</v>
      </c>
      <c r="G19" s="1615">
        <v>2300000</v>
      </c>
      <c r="H19" s="1615">
        <v>4500000</v>
      </c>
      <c r="I19" s="1615">
        <v>7000000</v>
      </c>
      <c r="J19" s="1615">
        <v>9000000</v>
      </c>
      <c r="K19" s="1615">
        <v>9000000</v>
      </c>
      <c r="L19" s="1615">
        <v>6000000</v>
      </c>
      <c r="M19" s="1615">
        <v>47900000</v>
      </c>
      <c r="N19" s="1615">
        <v>46200000</v>
      </c>
      <c r="O19" s="1615">
        <v>30000000</v>
      </c>
      <c r="P19" s="1615">
        <v>38900000</v>
      </c>
      <c r="Q19" s="1615">
        <v>46400000</v>
      </c>
      <c r="R19" s="2187">
        <f t="shared" ref="R19:S19" si="9">R14-R15</f>
        <v>44300000</v>
      </c>
      <c r="S19" s="2187">
        <f t="shared" si="9"/>
        <v>50700000</v>
      </c>
      <c r="T19" s="2187">
        <f>T14-T15</f>
        <v>60600000</v>
      </c>
      <c r="U19" s="2187">
        <f>U14-U15</f>
        <v>49300000</v>
      </c>
      <c r="V19" s="1615">
        <v>60000000</v>
      </c>
      <c r="W19" s="1615">
        <v>63500000</v>
      </c>
      <c r="X19" s="1615">
        <v>66900000.000000007</v>
      </c>
      <c r="Y19" s="1624"/>
      <c r="Z19" s="1624"/>
      <c r="AA19" s="1624"/>
    </row>
    <row r="20" spans="1:28" s="848" customFormat="1" ht="18" customHeight="1">
      <c r="A20" s="1902" t="s">
        <v>53</v>
      </c>
      <c r="B20" s="1902" t="s">
        <v>53</v>
      </c>
      <c r="C20" s="1904" t="s">
        <v>38</v>
      </c>
      <c r="D20" s="1899"/>
      <c r="E20" s="2185">
        <v>31600000</v>
      </c>
      <c r="F20" s="2185">
        <v>22700000</v>
      </c>
      <c r="G20" s="2185">
        <v>32500000</v>
      </c>
      <c r="H20" s="2185">
        <v>34800000</v>
      </c>
      <c r="I20" s="2185">
        <v>34000000</v>
      </c>
      <c r="J20" s="2185">
        <v>1000000</v>
      </c>
      <c r="K20" s="2185">
        <v>11000000</v>
      </c>
      <c r="L20" s="2186">
        <v>1000000</v>
      </c>
      <c r="M20" s="2185">
        <v>281800000</v>
      </c>
      <c r="N20" s="2185">
        <v>309300000</v>
      </c>
      <c r="O20" s="2185">
        <v>283900000</v>
      </c>
      <c r="P20" s="2185">
        <v>253800000</v>
      </c>
      <c r="Q20" s="2185">
        <v>260300000</v>
      </c>
      <c r="R20" s="2185">
        <v>270300000</v>
      </c>
      <c r="S20" s="2185">
        <v>222700000</v>
      </c>
      <c r="T20" s="2185">
        <v>169200000</v>
      </c>
      <c r="U20" s="2185">
        <v>156600000</v>
      </c>
      <c r="V20" s="2185">
        <v>160000000</v>
      </c>
      <c r="W20" s="2185">
        <v>164600000</v>
      </c>
      <c r="X20" s="2185">
        <v>171800000</v>
      </c>
      <c r="Y20" s="1624"/>
      <c r="Z20" s="1624"/>
      <c r="AA20" s="1624"/>
      <c r="AB20" s="1899"/>
    </row>
    <row r="21" spans="1:28" s="848" customFormat="1">
      <c r="A21" s="1902" t="s">
        <v>198</v>
      </c>
      <c r="B21" s="1902" t="s">
        <v>535</v>
      </c>
      <c r="C21" s="1902" t="s">
        <v>35</v>
      </c>
      <c r="D21" s="1899"/>
      <c r="E21" s="2185">
        <v>51300000</v>
      </c>
      <c r="F21" s="2185">
        <v>52600000</v>
      </c>
      <c r="G21" s="2185">
        <v>68500000</v>
      </c>
      <c r="H21" s="2185">
        <v>64400000.000000007</v>
      </c>
      <c r="I21" s="2185">
        <v>70000000</v>
      </c>
      <c r="J21" s="2185">
        <v>93000000</v>
      </c>
      <c r="K21" s="2185">
        <v>173000000</v>
      </c>
      <c r="L21" s="2185">
        <f>L22+L28+L29+L33+L34</f>
        <v>533000000</v>
      </c>
      <c r="M21" s="2185">
        <v>1032599999.9999999</v>
      </c>
      <c r="N21" s="2185">
        <v>1137200000</v>
      </c>
      <c r="O21" s="2185">
        <v>1379600000</v>
      </c>
      <c r="P21" s="2185">
        <v>1389700000</v>
      </c>
      <c r="Q21" s="2185">
        <v>1341700000</v>
      </c>
      <c r="R21" s="2185">
        <v>1607700000</v>
      </c>
      <c r="S21" s="2185">
        <v>1558700000</v>
      </c>
      <c r="T21" s="2185">
        <v>1780200000</v>
      </c>
      <c r="U21" s="2185">
        <v>1379800000</v>
      </c>
      <c r="V21" s="2185">
        <f>V22+V29+V34</f>
        <v>2032500000</v>
      </c>
      <c r="W21" s="2185">
        <f t="shared" ref="W21:X21" si="10">W22+W29+W34</f>
        <v>2183300000</v>
      </c>
      <c r="X21" s="2185">
        <f t="shared" si="10"/>
        <v>1973200000</v>
      </c>
      <c r="Y21" s="2084"/>
      <c r="Z21" s="1899"/>
      <c r="AA21" s="1899"/>
      <c r="AB21" s="1899"/>
    </row>
    <row r="22" spans="1:28">
      <c r="A22" s="1612" t="s">
        <v>73</v>
      </c>
      <c r="B22" s="1612" t="s">
        <v>3895</v>
      </c>
      <c r="C22" s="1612" t="s">
        <v>201</v>
      </c>
      <c r="D22" s="1605"/>
      <c r="E22" s="1615">
        <v>29600000</v>
      </c>
      <c r="F22" s="1615">
        <v>41100000</v>
      </c>
      <c r="G22" s="1615">
        <v>53300000</v>
      </c>
      <c r="H22" s="1615">
        <v>53100000</v>
      </c>
      <c r="I22" s="1615">
        <v>56000000</v>
      </c>
      <c r="J22" s="1615">
        <v>66000000</v>
      </c>
      <c r="K22" s="1615">
        <v>134000000</v>
      </c>
      <c r="L22" s="1615">
        <v>358000000</v>
      </c>
      <c r="M22" s="1615">
        <v>394200000</v>
      </c>
      <c r="N22" s="1615">
        <v>506100000</v>
      </c>
      <c r="O22" s="1615">
        <v>507700000</v>
      </c>
      <c r="P22" s="1615">
        <v>674100000</v>
      </c>
      <c r="Q22" s="1615">
        <v>730800000</v>
      </c>
      <c r="R22" s="1615">
        <v>912700000</v>
      </c>
      <c r="S22" s="1615">
        <v>1029000000</v>
      </c>
      <c r="T22" s="1615">
        <v>1001500000</v>
      </c>
      <c r="U22" s="1615">
        <v>922500000</v>
      </c>
      <c r="V22" s="1615">
        <f>V23+V24+V25+V27</f>
        <v>1028400000</v>
      </c>
      <c r="W22" s="1615">
        <f t="shared" ref="W22:X22" si="11">W23+W24+W25+W27</f>
        <v>1059300000</v>
      </c>
      <c r="X22" s="1615">
        <f t="shared" si="11"/>
        <v>1110900000</v>
      </c>
      <c r="Y22" s="1624"/>
    </row>
    <row r="23" spans="1:28">
      <c r="A23" s="1616" t="s">
        <v>79</v>
      </c>
      <c r="B23" s="1616" t="s">
        <v>4966</v>
      </c>
      <c r="C23" s="1612" t="s">
        <v>204</v>
      </c>
      <c r="E23" s="1615">
        <v>13900000</v>
      </c>
      <c r="F23" s="1615">
        <v>18800000</v>
      </c>
      <c r="G23" s="1615">
        <v>21600000</v>
      </c>
      <c r="H23" s="1615">
        <v>23800000</v>
      </c>
      <c r="I23" s="1615">
        <v>25000000</v>
      </c>
      <c r="J23" s="1615">
        <v>26000000</v>
      </c>
      <c r="K23" s="1615">
        <v>40000000</v>
      </c>
      <c r="L23" s="1615">
        <v>53000000</v>
      </c>
      <c r="M23" s="1615">
        <v>87300000</v>
      </c>
      <c r="N23" s="1615">
        <v>91500000</v>
      </c>
      <c r="O23" s="1615">
        <v>111600000</v>
      </c>
      <c r="P23" s="1615">
        <v>130300000.00000001</v>
      </c>
      <c r="Q23" s="1615">
        <v>141800000</v>
      </c>
      <c r="R23" s="1615">
        <v>162500000</v>
      </c>
      <c r="S23" s="1615">
        <v>173400000</v>
      </c>
      <c r="T23" s="1615">
        <v>179000000</v>
      </c>
      <c r="U23" s="1615">
        <v>183700000</v>
      </c>
      <c r="V23" s="1615">
        <v>210100000</v>
      </c>
      <c r="W23" s="1615">
        <v>215200000</v>
      </c>
      <c r="X23" s="1615">
        <v>225300000</v>
      </c>
      <c r="Y23" s="1624"/>
      <c r="Z23" s="1624"/>
      <c r="AA23" s="1624"/>
    </row>
    <row r="24" spans="1:28">
      <c r="A24" s="1616" t="s">
        <v>339</v>
      </c>
      <c r="B24" s="1616" t="s">
        <v>6384</v>
      </c>
      <c r="C24" s="1612" t="s">
        <v>204</v>
      </c>
      <c r="D24" s="1605"/>
      <c r="E24" s="1614"/>
      <c r="F24" s="1614"/>
      <c r="G24" s="1615">
        <v>0</v>
      </c>
      <c r="H24" s="1615">
        <v>0</v>
      </c>
      <c r="I24" s="1615">
        <v>0</v>
      </c>
      <c r="J24" s="1615">
        <v>0</v>
      </c>
      <c r="K24" s="1615">
        <v>12000000</v>
      </c>
      <c r="L24" s="1615">
        <v>88000000</v>
      </c>
      <c r="M24" s="1615">
        <v>94100000</v>
      </c>
      <c r="N24" s="1615">
        <v>168700000</v>
      </c>
      <c r="O24" s="1615">
        <v>142600000</v>
      </c>
      <c r="P24" s="1615">
        <v>215100000</v>
      </c>
      <c r="Q24" s="1615">
        <v>197000000</v>
      </c>
      <c r="R24" s="1615">
        <v>291500000</v>
      </c>
      <c r="S24" s="1615">
        <v>432400000</v>
      </c>
      <c r="T24" s="1615">
        <v>470600000</v>
      </c>
      <c r="U24" s="1615">
        <v>400200000</v>
      </c>
      <c r="V24" s="1615">
        <v>421400000</v>
      </c>
      <c r="W24" s="1615">
        <v>432000000</v>
      </c>
      <c r="X24" s="1615">
        <v>450500000</v>
      </c>
      <c r="Y24" s="1624"/>
      <c r="Z24" s="1624"/>
      <c r="AA24" s="1624"/>
    </row>
    <row r="25" spans="1:28">
      <c r="A25" s="1616" t="s">
        <v>83</v>
      </c>
      <c r="B25" s="1616" t="s">
        <v>6385</v>
      </c>
      <c r="C25" s="1612" t="s">
        <v>204</v>
      </c>
      <c r="E25" s="1615">
        <v>15700000</v>
      </c>
      <c r="F25" s="1615">
        <v>22200000</v>
      </c>
      <c r="G25" s="1615">
        <v>25300000</v>
      </c>
      <c r="H25" s="1615">
        <v>22800000</v>
      </c>
      <c r="I25" s="1615">
        <v>26000000</v>
      </c>
      <c r="J25" s="1615">
        <v>34000000</v>
      </c>
      <c r="K25" s="1615">
        <v>64000000</v>
      </c>
      <c r="L25" s="1615">
        <v>154000000</v>
      </c>
      <c r="M25" s="1615">
        <v>172800000</v>
      </c>
      <c r="N25" s="1615">
        <v>215000000</v>
      </c>
      <c r="O25" s="1615">
        <v>208000000</v>
      </c>
      <c r="P25" s="1615">
        <v>224600000</v>
      </c>
      <c r="Q25" s="1615">
        <v>293600000</v>
      </c>
      <c r="R25" s="1615">
        <v>458700000</v>
      </c>
      <c r="S25" s="1615">
        <v>423100000</v>
      </c>
      <c r="T25" s="1615">
        <v>352000000</v>
      </c>
      <c r="U25" s="1615">
        <v>338400000</v>
      </c>
      <c r="V25" s="1615">
        <v>394200000</v>
      </c>
      <c r="W25" s="1615">
        <v>404400000</v>
      </c>
      <c r="X25" s="1615">
        <v>422400000</v>
      </c>
      <c r="Y25" s="1624"/>
      <c r="Z25" s="1624"/>
      <c r="AA25" s="1624"/>
    </row>
    <row r="26" spans="1:28">
      <c r="A26" s="1616" t="s">
        <v>215</v>
      </c>
      <c r="B26" s="1620" t="s">
        <v>6386</v>
      </c>
      <c r="C26" s="1612" t="s">
        <v>204</v>
      </c>
      <c r="D26" s="1605"/>
      <c r="E26" s="1614"/>
      <c r="F26" s="1614"/>
      <c r="G26" s="1615">
        <v>6400000</v>
      </c>
      <c r="H26" s="1615">
        <v>6600000</v>
      </c>
      <c r="I26" s="1615">
        <v>5000000</v>
      </c>
      <c r="J26" s="1615">
        <v>6000000</v>
      </c>
      <c r="K26" s="1615">
        <v>17000000</v>
      </c>
      <c r="L26" s="1615">
        <v>63000000</v>
      </c>
      <c r="M26" s="1615">
        <v>40000000</v>
      </c>
      <c r="N26" s="1615">
        <v>30900000</v>
      </c>
      <c r="O26" s="1615">
        <v>45500000</v>
      </c>
      <c r="P26" s="1615">
        <v>104100000</v>
      </c>
      <c r="Q26" s="1615">
        <v>98400000</v>
      </c>
      <c r="R26" s="1615"/>
      <c r="S26" s="1615"/>
      <c r="T26" s="1615"/>
      <c r="U26" s="1615"/>
      <c r="V26" s="1615"/>
      <c r="W26" s="1615"/>
      <c r="X26" s="1615"/>
      <c r="Y26" s="1624"/>
    </row>
    <row r="27" spans="1:28">
      <c r="A27" s="1616" t="s">
        <v>90</v>
      </c>
      <c r="B27" s="1620" t="s">
        <v>6387</v>
      </c>
      <c r="C27" s="1612" t="s">
        <v>204</v>
      </c>
      <c r="D27" s="1605"/>
      <c r="E27" s="1614"/>
      <c r="F27" s="1614"/>
      <c r="G27" s="1615"/>
      <c r="H27" s="1615"/>
      <c r="I27" s="1615"/>
      <c r="J27" s="1615"/>
      <c r="K27" s="1615"/>
      <c r="L27" s="1615"/>
      <c r="M27" s="1615"/>
      <c r="N27" s="1615"/>
      <c r="O27" s="1615"/>
      <c r="P27" s="1615"/>
      <c r="Q27" s="1615"/>
      <c r="R27" s="1615"/>
      <c r="S27" s="1615"/>
      <c r="T27" s="1615"/>
      <c r="U27" s="1615">
        <v>100000</v>
      </c>
      <c r="V27" s="1615">
        <v>2700000</v>
      </c>
      <c r="W27" s="1615">
        <v>7700000</v>
      </c>
      <c r="X27" s="1615">
        <v>12700000</v>
      </c>
      <c r="Y27" s="1624"/>
      <c r="Z27" s="1624"/>
      <c r="AA27" s="1624"/>
    </row>
    <row r="28" spans="1:28">
      <c r="A28" s="1612" t="s">
        <v>6388</v>
      </c>
      <c r="B28" s="1612" t="s">
        <v>6389</v>
      </c>
      <c r="C28" s="1612" t="s">
        <v>201</v>
      </c>
      <c r="D28" s="1605"/>
      <c r="E28" s="1614"/>
      <c r="F28" s="1614"/>
      <c r="G28" s="1615"/>
      <c r="H28" s="1615"/>
      <c r="I28" s="1615"/>
      <c r="J28" s="1615"/>
      <c r="K28" s="1615"/>
      <c r="L28" s="1615"/>
      <c r="M28" s="1615"/>
      <c r="N28" s="1615"/>
      <c r="O28" s="1615"/>
      <c r="P28" s="1615"/>
      <c r="Q28" s="1615"/>
      <c r="R28" s="1615"/>
      <c r="S28" s="1615"/>
      <c r="T28" s="1615"/>
      <c r="U28" s="1615"/>
      <c r="V28" s="1615"/>
      <c r="W28" s="1615"/>
      <c r="X28" s="1615"/>
      <c r="Y28" s="1624"/>
    </row>
    <row r="29" spans="1:28">
      <c r="A29" s="1612" t="s">
        <v>237</v>
      </c>
      <c r="B29" s="1612" t="s">
        <v>3898</v>
      </c>
      <c r="C29" s="1612" t="s">
        <v>201</v>
      </c>
      <c r="E29" s="1615">
        <v>21700000</v>
      </c>
      <c r="F29" s="1615">
        <v>11500000</v>
      </c>
      <c r="G29" s="1615">
        <v>4700000</v>
      </c>
      <c r="H29" s="1615">
        <v>2400000</v>
      </c>
      <c r="I29" s="1615">
        <v>3000000</v>
      </c>
      <c r="J29" s="1615">
        <v>16000000</v>
      </c>
      <c r="K29" s="1615">
        <v>21000000</v>
      </c>
      <c r="L29" s="1615">
        <v>175000000</v>
      </c>
      <c r="M29" s="1615">
        <v>356600000</v>
      </c>
      <c r="N29" s="1615">
        <v>321800000</v>
      </c>
      <c r="O29" s="1615">
        <v>588000000</v>
      </c>
      <c r="P29" s="1615">
        <v>461800000</v>
      </c>
      <c r="Q29" s="1615">
        <v>350600000</v>
      </c>
      <c r="R29" s="1615">
        <v>424600000</v>
      </c>
      <c r="S29" s="1615">
        <v>306900000</v>
      </c>
      <c r="T29" s="1615">
        <v>609500000</v>
      </c>
      <c r="U29" s="1615">
        <v>300700000</v>
      </c>
      <c r="V29" s="1615">
        <v>844100000</v>
      </c>
      <c r="W29" s="1615">
        <v>959400000</v>
      </c>
      <c r="X29" s="1615">
        <v>690500000</v>
      </c>
      <c r="Y29" s="1624"/>
      <c r="Z29" s="1624"/>
      <c r="AA29" s="1624"/>
    </row>
    <row r="30" spans="1:28">
      <c r="A30" s="1616" t="s">
        <v>6390</v>
      </c>
      <c r="B30" s="1616" t="s">
        <v>6391</v>
      </c>
      <c r="C30" s="1613" t="s">
        <v>95</v>
      </c>
      <c r="D30" s="1605"/>
      <c r="E30" s="1614"/>
      <c r="F30" s="1614"/>
      <c r="G30" s="1614"/>
      <c r="H30" s="1614"/>
      <c r="I30" s="1614"/>
      <c r="J30" s="1615">
        <v>3000000</v>
      </c>
      <c r="K30" s="1615">
        <v>9000000</v>
      </c>
      <c r="L30" s="1615">
        <v>47000000</v>
      </c>
      <c r="M30" s="1615"/>
      <c r="N30" s="1615"/>
      <c r="O30" s="1615"/>
      <c r="P30" s="1615"/>
      <c r="Q30" s="1615"/>
      <c r="R30" s="1615"/>
      <c r="S30" s="1615"/>
      <c r="T30" s="1615"/>
      <c r="U30" s="1615"/>
      <c r="V30" s="1615"/>
      <c r="W30" s="1615"/>
      <c r="X30" s="1615"/>
      <c r="Y30" s="1624"/>
    </row>
    <row r="31" spans="1:28">
      <c r="A31" s="1616" t="s">
        <v>6392</v>
      </c>
      <c r="B31" s="1616" t="s">
        <v>6393</v>
      </c>
      <c r="C31" s="1613" t="s">
        <v>95</v>
      </c>
      <c r="E31" s="1615"/>
      <c r="F31" s="1615"/>
      <c r="G31" s="1614"/>
      <c r="H31" s="1614"/>
      <c r="I31" s="1614"/>
      <c r="J31" s="1615">
        <v>2000000</v>
      </c>
      <c r="K31" s="1615">
        <v>12000000</v>
      </c>
      <c r="L31" s="1615">
        <v>114000000</v>
      </c>
      <c r="M31" s="1615"/>
      <c r="N31" s="1615"/>
      <c r="O31" s="1615"/>
      <c r="P31" s="1615"/>
      <c r="Q31" s="1615"/>
      <c r="R31" s="1615"/>
      <c r="S31" s="1615"/>
      <c r="T31" s="1615"/>
      <c r="U31" s="1615"/>
      <c r="V31" s="1615"/>
      <c r="W31" s="1615"/>
      <c r="X31" s="1615"/>
      <c r="Y31" s="1624"/>
    </row>
    <row r="32" spans="1:28">
      <c r="A32" s="1616" t="s">
        <v>3956</v>
      </c>
      <c r="B32" s="1616" t="s">
        <v>6394</v>
      </c>
      <c r="C32" s="1613" t="s">
        <v>95</v>
      </c>
      <c r="D32" s="1605"/>
      <c r="E32" s="1614"/>
      <c r="F32" s="1614"/>
      <c r="G32" s="1614"/>
      <c r="H32" s="1614"/>
      <c r="I32" s="1614"/>
      <c r="J32" s="1615">
        <v>11000000</v>
      </c>
      <c r="K32" s="1615">
        <v>0</v>
      </c>
      <c r="L32" s="1615">
        <v>14000000</v>
      </c>
      <c r="M32" s="1615"/>
      <c r="N32" s="1615"/>
      <c r="O32" s="1615"/>
      <c r="P32" s="1615"/>
      <c r="Q32" s="1615"/>
      <c r="R32" s="1615"/>
      <c r="S32" s="1615"/>
      <c r="T32" s="1615"/>
      <c r="U32" s="1615"/>
      <c r="V32" s="1615"/>
      <c r="W32" s="1615"/>
      <c r="X32" s="1615"/>
      <c r="Y32" s="1624"/>
    </row>
    <row r="33" spans="1:28">
      <c r="A33" s="1612" t="s">
        <v>6395</v>
      </c>
      <c r="B33" s="1612" t="s">
        <v>6396</v>
      </c>
      <c r="C33" s="1612" t="s">
        <v>201</v>
      </c>
      <c r="E33" s="1614"/>
      <c r="F33" s="1614"/>
      <c r="G33" s="1615">
        <v>10500000</v>
      </c>
      <c r="H33" s="1615">
        <v>8900000</v>
      </c>
      <c r="I33" s="1614">
        <v>11000000</v>
      </c>
      <c r="J33" s="1615">
        <v>11000000</v>
      </c>
      <c r="K33" s="1615">
        <v>18000000</v>
      </c>
      <c r="L33" s="1615"/>
      <c r="M33" s="1615"/>
      <c r="N33" s="1615"/>
      <c r="O33" s="1615"/>
      <c r="P33" s="1615"/>
      <c r="Q33" s="1615"/>
      <c r="R33" s="1615"/>
      <c r="S33" s="1615"/>
      <c r="T33" s="1615"/>
      <c r="U33" s="1615"/>
      <c r="V33" s="1615"/>
      <c r="W33" s="1615"/>
      <c r="X33" s="1615"/>
      <c r="Y33" s="1624"/>
    </row>
    <row r="34" spans="1:28">
      <c r="A34" s="1612" t="s">
        <v>6397</v>
      </c>
      <c r="B34" s="1612" t="s">
        <v>6398</v>
      </c>
      <c r="C34" s="1612" t="s">
        <v>201</v>
      </c>
      <c r="E34" s="1614"/>
      <c r="F34" s="1614"/>
      <c r="G34" s="1614"/>
      <c r="H34" s="1614"/>
      <c r="I34" s="1614"/>
      <c r="J34" s="1614"/>
      <c r="K34" s="1614"/>
      <c r="L34" s="1614"/>
      <c r="M34" s="1615">
        <v>281800000</v>
      </c>
      <c r="N34" s="1615">
        <v>309300000</v>
      </c>
      <c r="O34" s="1615">
        <v>283900000</v>
      </c>
      <c r="P34" s="1615">
        <v>253800000</v>
      </c>
      <c r="Q34" s="1615">
        <v>260300000</v>
      </c>
      <c r="R34" s="1615">
        <v>270300000</v>
      </c>
      <c r="S34" s="1615">
        <v>222700000</v>
      </c>
      <c r="T34" s="1615">
        <v>169200000</v>
      </c>
      <c r="U34" s="1615">
        <v>156600000</v>
      </c>
      <c r="V34" s="1615">
        <v>160000000</v>
      </c>
      <c r="W34" s="1615">
        <v>164600000</v>
      </c>
      <c r="X34" s="1615">
        <v>171800000</v>
      </c>
      <c r="Y34" s="1624"/>
      <c r="Z34" s="1624"/>
      <c r="AA34" s="1624"/>
    </row>
    <row r="35" spans="1:28">
      <c r="A35" s="1602" t="s">
        <v>76</v>
      </c>
      <c r="B35" s="1612" t="s">
        <v>3902</v>
      </c>
      <c r="C35" s="1612"/>
      <c r="E35" s="1615">
        <v>7400000</v>
      </c>
      <c r="F35" s="1615">
        <v>1400000</v>
      </c>
      <c r="G35" s="1615">
        <v>12800000</v>
      </c>
      <c r="H35" s="1615">
        <v>40900000</v>
      </c>
      <c r="I35" s="1614">
        <v>266000000</v>
      </c>
      <c r="J35" s="1615">
        <v>424000000</v>
      </c>
      <c r="K35" s="1615">
        <v>872000000</v>
      </c>
      <c r="L35" s="1615">
        <v>1912000000</v>
      </c>
      <c r="M35" s="1615">
        <v>1032300000</v>
      </c>
      <c r="N35" s="1615">
        <v>1599800000</v>
      </c>
      <c r="O35" s="1615">
        <v>2474000000</v>
      </c>
      <c r="P35" s="1615">
        <v>2961500000</v>
      </c>
      <c r="Q35" s="1615">
        <v>2356100000</v>
      </c>
      <c r="R35" s="1615">
        <v>947400000</v>
      </c>
      <c r="S35" s="1615">
        <v>115000000</v>
      </c>
      <c r="T35" s="1615">
        <v>-855200000</v>
      </c>
      <c r="U35" s="1615">
        <v>-70600000</v>
      </c>
      <c r="V35" s="1615"/>
      <c r="W35" s="1615"/>
      <c r="X35" s="1615"/>
      <c r="Y35" s="1624"/>
    </row>
    <row r="36" spans="1:28">
      <c r="A36" s="1602" t="s">
        <v>76</v>
      </c>
      <c r="B36" s="1612" t="s">
        <v>6399</v>
      </c>
      <c r="C36" s="1612"/>
      <c r="E36" s="1614"/>
      <c r="F36" s="1614"/>
      <c r="G36" s="1614"/>
      <c r="H36" s="1614"/>
      <c r="I36" s="1614"/>
      <c r="J36" s="1614"/>
      <c r="K36" s="1614"/>
      <c r="L36" s="1614"/>
      <c r="M36" s="1615">
        <v>1179700000</v>
      </c>
      <c r="N36" s="1615">
        <v>1520300000</v>
      </c>
      <c r="O36" s="1615">
        <v>2406300000</v>
      </c>
      <c r="P36" s="1615">
        <v>2904900000</v>
      </c>
      <c r="Q36" s="1615">
        <v>2556400000</v>
      </c>
      <c r="R36" s="1615"/>
      <c r="S36" s="1615"/>
      <c r="T36" s="1615"/>
      <c r="U36" s="1615"/>
      <c r="V36" s="1615"/>
      <c r="W36" s="1615"/>
      <c r="X36" s="1615"/>
      <c r="Y36" s="1624"/>
    </row>
    <row r="37" spans="1:28">
      <c r="A37" s="1602" t="s">
        <v>76</v>
      </c>
      <c r="B37" s="1612" t="s">
        <v>6400</v>
      </c>
      <c r="C37" s="1612"/>
      <c r="E37" s="1614"/>
      <c r="F37" s="1614"/>
      <c r="G37" s="1614"/>
      <c r="H37" s="1614"/>
      <c r="I37" s="1614">
        <v>1000000</v>
      </c>
      <c r="J37" s="1615">
        <v>-58000000</v>
      </c>
      <c r="K37" s="1615">
        <v>-121000000</v>
      </c>
      <c r="L37" s="1615">
        <v>-487000000</v>
      </c>
      <c r="M37" s="1615">
        <v>-659400000</v>
      </c>
      <c r="N37" s="1615">
        <v>-731600000</v>
      </c>
      <c r="O37" s="1615">
        <v>-987300000</v>
      </c>
      <c r="P37" s="1615">
        <v>-998500000</v>
      </c>
      <c r="Q37" s="1615">
        <v>-930300000</v>
      </c>
      <c r="R37" s="1615">
        <v>-1169400000</v>
      </c>
      <c r="S37" s="1615">
        <v>-1165700000</v>
      </c>
      <c r="T37" s="1615">
        <v>-1395600000</v>
      </c>
      <c r="U37" s="1615">
        <v>-1036000000</v>
      </c>
      <c r="V37" s="1615"/>
      <c r="W37" s="1615"/>
      <c r="X37" s="1615"/>
      <c r="Y37" s="1624"/>
    </row>
    <row r="38" spans="1:28" s="848" customFormat="1">
      <c r="A38" s="1902" t="s">
        <v>115</v>
      </c>
      <c r="B38" s="1902" t="s">
        <v>115</v>
      </c>
      <c r="C38" s="1902" t="s">
        <v>35</v>
      </c>
      <c r="D38" s="1899"/>
      <c r="E38" s="2185">
        <v>-7400000</v>
      </c>
      <c r="F38" s="2185">
        <v>-1400000</v>
      </c>
      <c r="G38" s="2185">
        <v>-12800000</v>
      </c>
      <c r="H38" s="2185">
        <v>-40900000</v>
      </c>
      <c r="I38" s="2186">
        <v>-1000000</v>
      </c>
      <c r="J38" s="2185">
        <v>58000000</v>
      </c>
      <c r="K38" s="2185">
        <v>121000000</v>
      </c>
      <c r="L38" s="2185">
        <v>487000000</v>
      </c>
      <c r="M38" s="2185">
        <f>M41+M42+M43+M44</f>
        <v>660000000</v>
      </c>
      <c r="N38" s="2185">
        <f>N41+N42+N43+N44</f>
        <v>731600000</v>
      </c>
      <c r="O38" s="2185">
        <f>O41+O42+O43+O44</f>
        <v>987400000</v>
      </c>
      <c r="P38" s="2185">
        <f>P41+P42+P43+P44</f>
        <v>998500000</v>
      </c>
      <c r="Q38" s="2185">
        <v>930300000</v>
      </c>
      <c r="R38" s="2185">
        <v>1191200000</v>
      </c>
      <c r="S38" s="2185">
        <v>1148100000</v>
      </c>
      <c r="T38" s="2185">
        <v>1428300000</v>
      </c>
      <c r="U38" s="2185">
        <v>1036000000</v>
      </c>
      <c r="V38" s="2185">
        <f>V39+V44</f>
        <v>1653400000</v>
      </c>
      <c r="W38" s="2185">
        <f t="shared" ref="W38:X38" si="12">W39+W44</f>
        <v>1785400000</v>
      </c>
      <c r="X38" s="2185">
        <f t="shared" si="12"/>
        <v>1553400000</v>
      </c>
      <c r="Y38" s="2084"/>
      <c r="Z38" s="1899"/>
      <c r="AA38" s="1899"/>
      <c r="AB38" s="1899"/>
    </row>
    <row r="39" spans="1:28">
      <c r="A39" s="1612" t="s">
        <v>120</v>
      </c>
      <c r="B39" s="1907" t="s">
        <v>120</v>
      </c>
      <c r="C39" s="1613" t="s">
        <v>119</v>
      </c>
      <c r="E39" s="1615"/>
      <c r="F39" s="1615"/>
      <c r="G39" s="1615"/>
      <c r="H39" s="1615"/>
      <c r="I39" s="1615">
        <f>I40+I43</f>
        <v>-1000000</v>
      </c>
      <c r="J39" s="1615">
        <f t="shared" ref="J39:U39" si="13">J40+J43</f>
        <v>58000000</v>
      </c>
      <c r="K39" s="1615">
        <f t="shared" si="13"/>
        <v>121000000</v>
      </c>
      <c r="L39" s="1615">
        <f t="shared" si="13"/>
        <v>487000000</v>
      </c>
      <c r="M39" s="1615">
        <f t="shared" si="13"/>
        <v>660000000</v>
      </c>
      <c r="N39" s="1615">
        <f t="shared" si="13"/>
        <v>731600000</v>
      </c>
      <c r="O39" s="1615">
        <f t="shared" si="13"/>
        <v>987400000</v>
      </c>
      <c r="P39" s="1615">
        <f t="shared" si="13"/>
        <v>998500000</v>
      </c>
      <c r="Q39" s="1615">
        <f t="shared" si="13"/>
        <v>924000000</v>
      </c>
      <c r="R39" s="1615">
        <f t="shared" si="13"/>
        <v>1175300000</v>
      </c>
      <c r="S39" s="1615">
        <f t="shared" si="13"/>
        <v>1124100000</v>
      </c>
      <c r="T39" s="1615">
        <f t="shared" si="13"/>
        <v>1397600000</v>
      </c>
      <c r="U39" s="1615">
        <f t="shared" si="13"/>
        <v>1026000000</v>
      </c>
      <c r="V39" s="1615">
        <f>V40+V43</f>
        <v>1435900000</v>
      </c>
      <c r="W39" s="1615">
        <f t="shared" ref="W39:X39" si="14">W40+W43</f>
        <v>1562800000</v>
      </c>
      <c r="X39" s="1615">
        <f t="shared" si="14"/>
        <v>1330900000</v>
      </c>
      <c r="Y39" s="1615"/>
    </row>
    <row r="40" spans="1:28">
      <c r="A40" s="1612" t="s">
        <v>6401</v>
      </c>
      <c r="B40" s="1612" t="s">
        <v>6402</v>
      </c>
      <c r="C40" s="1612" t="s">
        <v>124</v>
      </c>
      <c r="E40" s="1615"/>
      <c r="F40" s="1615"/>
      <c r="G40" s="1615"/>
      <c r="H40" s="1615"/>
      <c r="I40" s="1615">
        <f>I41+I42</f>
        <v>0</v>
      </c>
      <c r="J40" s="1615">
        <f t="shared" ref="J40:Q40" si="15">J41+J42</f>
        <v>0</v>
      </c>
      <c r="K40" s="1615">
        <f t="shared" si="15"/>
        <v>260000000</v>
      </c>
      <c r="L40" s="1615">
        <f t="shared" si="15"/>
        <v>396000000</v>
      </c>
      <c r="M40" s="1615">
        <f t="shared" si="15"/>
        <v>512000000</v>
      </c>
      <c r="N40" s="1615">
        <f t="shared" si="15"/>
        <v>811000000</v>
      </c>
      <c r="O40" s="1615">
        <f t="shared" si="15"/>
        <v>1055000000</v>
      </c>
      <c r="P40" s="1615">
        <f t="shared" si="15"/>
        <v>1055000000</v>
      </c>
      <c r="Q40" s="1615">
        <f t="shared" si="15"/>
        <v>730000000</v>
      </c>
      <c r="R40" s="1615">
        <v>732000000</v>
      </c>
      <c r="S40" s="1615">
        <v>1278500000</v>
      </c>
      <c r="T40" s="1615">
        <v>1244800000</v>
      </c>
      <c r="U40" s="1615">
        <v>1026000000</v>
      </c>
      <c r="V40" s="1615">
        <f>V41+V42</f>
        <v>1435900000</v>
      </c>
      <c r="W40" s="1615">
        <f t="shared" ref="W40:X40" si="16">W41+W42</f>
        <v>1562800000</v>
      </c>
      <c r="X40" s="1615">
        <f t="shared" si="16"/>
        <v>1330900000</v>
      </c>
      <c r="Y40" s="1615"/>
    </row>
    <row r="41" spans="1:28">
      <c r="A41" s="2182" t="s">
        <v>6403</v>
      </c>
      <c r="B41" s="1616" t="s">
        <v>6404</v>
      </c>
      <c r="C41" s="1612" t="s">
        <v>6405</v>
      </c>
      <c r="E41" s="1614"/>
      <c r="F41" s="1614"/>
      <c r="G41" s="1614"/>
      <c r="H41" s="1614"/>
      <c r="I41" s="1614"/>
      <c r="J41" s="1614"/>
      <c r="K41" s="1614"/>
      <c r="L41" s="1614"/>
      <c r="M41" s="1615">
        <v>408000000</v>
      </c>
      <c r="N41" s="1615">
        <v>502000000</v>
      </c>
      <c r="O41" s="1615">
        <v>734000000</v>
      </c>
      <c r="P41" s="1615">
        <v>734000000</v>
      </c>
      <c r="Q41" s="1615">
        <v>730000000</v>
      </c>
      <c r="R41" s="1615">
        <v>632300000</v>
      </c>
      <c r="S41" s="1615">
        <v>638500000</v>
      </c>
      <c r="T41" s="1615">
        <v>544800000</v>
      </c>
      <c r="U41" s="1615">
        <v>481600000</v>
      </c>
      <c r="V41" s="1615">
        <v>482700000</v>
      </c>
      <c r="W41" s="1615">
        <v>458700000</v>
      </c>
      <c r="X41" s="1615">
        <v>430400000</v>
      </c>
      <c r="Y41" s="1624"/>
      <c r="Z41" s="1624"/>
      <c r="AA41" s="1624"/>
    </row>
    <row r="42" spans="1:28">
      <c r="A42" s="1616" t="s">
        <v>6406</v>
      </c>
      <c r="B42" s="1616" t="s">
        <v>6407</v>
      </c>
      <c r="C42" s="1612" t="s">
        <v>6405</v>
      </c>
      <c r="E42" s="1614"/>
      <c r="F42" s="1614"/>
      <c r="G42" s="1614"/>
      <c r="H42" s="1614"/>
      <c r="I42" s="1614"/>
      <c r="J42" s="1615">
        <v>0</v>
      </c>
      <c r="K42" s="1615">
        <v>260000000</v>
      </c>
      <c r="L42" s="1615">
        <v>396000000</v>
      </c>
      <c r="M42" s="1615">
        <v>104000000</v>
      </c>
      <c r="N42" s="1615">
        <v>309000000</v>
      </c>
      <c r="O42" s="1615">
        <v>321000000</v>
      </c>
      <c r="P42" s="1615">
        <v>321000000</v>
      </c>
      <c r="Q42" s="1615">
        <v>0</v>
      </c>
      <c r="R42" s="1615">
        <v>99700000</v>
      </c>
      <c r="S42" s="1615">
        <v>640000000</v>
      </c>
      <c r="T42" s="1615">
        <v>700000000</v>
      </c>
      <c r="U42" s="1615">
        <v>544400000</v>
      </c>
      <c r="V42" s="1615">
        <v>953200000</v>
      </c>
      <c r="W42" s="1615">
        <v>1104100000</v>
      </c>
      <c r="X42" s="1615">
        <v>900500000</v>
      </c>
      <c r="Y42" s="1624"/>
      <c r="Z42" s="1624"/>
      <c r="AA42" s="1624"/>
    </row>
    <row r="43" spans="1:28">
      <c r="A43" s="1616" t="s">
        <v>6408</v>
      </c>
      <c r="B43" s="1616" t="s">
        <v>6409</v>
      </c>
      <c r="C43" s="1612" t="s">
        <v>124</v>
      </c>
      <c r="E43" s="1615"/>
      <c r="F43" s="1615"/>
      <c r="G43" s="1614"/>
      <c r="H43" s="1614"/>
      <c r="I43" s="1614">
        <v>-1000000</v>
      </c>
      <c r="J43" s="1615">
        <v>58000000</v>
      </c>
      <c r="K43" s="1615">
        <v>-139000000</v>
      </c>
      <c r="L43" s="1615">
        <v>91000000</v>
      </c>
      <c r="M43" s="1615">
        <v>148000000</v>
      </c>
      <c r="N43" s="1615">
        <v>-79400000</v>
      </c>
      <c r="O43" s="1615">
        <v>-67600000</v>
      </c>
      <c r="P43" s="1615">
        <v>-56500000</v>
      </c>
      <c r="Q43" s="1615">
        <v>194000000</v>
      </c>
      <c r="R43" s="1615">
        <v>443300000</v>
      </c>
      <c r="S43" s="1615">
        <v>-154400000</v>
      </c>
      <c r="T43" s="1615">
        <v>152800000</v>
      </c>
      <c r="U43" s="1615">
        <v>0</v>
      </c>
      <c r="V43" s="1615">
        <v>0</v>
      </c>
      <c r="W43" s="1624">
        <v>0</v>
      </c>
      <c r="X43" s="1624">
        <v>0</v>
      </c>
      <c r="Y43" s="1624"/>
    </row>
    <row r="44" spans="1:28">
      <c r="A44" s="1612" t="s">
        <v>7077</v>
      </c>
      <c r="B44" s="1616" t="s">
        <v>2546</v>
      </c>
      <c r="C44" s="1613" t="s">
        <v>119</v>
      </c>
      <c r="E44" s="1614"/>
      <c r="F44" s="1614"/>
      <c r="G44" s="1614"/>
      <c r="H44" s="1614"/>
      <c r="I44" s="1614"/>
      <c r="J44" s="1614"/>
      <c r="K44" s="1614"/>
      <c r="L44" s="1614"/>
      <c r="M44" s="1615">
        <v>0</v>
      </c>
      <c r="N44" s="1615">
        <v>0</v>
      </c>
      <c r="O44" s="1615">
        <v>0</v>
      </c>
      <c r="P44" s="1615">
        <v>0</v>
      </c>
      <c r="Q44" s="1615">
        <v>6300000</v>
      </c>
      <c r="R44" s="1615">
        <v>15900000</v>
      </c>
      <c r="S44" s="1615">
        <v>24000000</v>
      </c>
      <c r="T44" s="1615">
        <v>30600000</v>
      </c>
      <c r="U44" s="1615">
        <v>10000000</v>
      </c>
      <c r="V44" s="1615">
        <v>217500000</v>
      </c>
      <c r="W44" s="1615">
        <v>222600000</v>
      </c>
      <c r="X44" s="1615">
        <v>222500000</v>
      </c>
      <c r="Y44" s="1624"/>
    </row>
    <row r="45" spans="1:28">
      <c r="A45" s="1612"/>
      <c r="B45" s="1616" t="s">
        <v>7076</v>
      </c>
      <c r="C45" s="1613"/>
      <c r="E45" s="1614"/>
      <c r="F45" s="1614"/>
      <c r="G45" s="1614"/>
      <c r="H45" s="1614"/>
      <c r="I45" s="1614"/>
      <c r="J45" s="1614"/>
      <c r="K45" s="1614"/>
      <c r="L45" s="1614"/>
      <c r="M45" s="1615"/>
      <c r="N45" s="1615"/>
      <c r="O45" s="1615"/>
      <c r="P45" s="1615"/>
      <c r="Q45" s="1615"/>
      <c r="R45" s="1615"/>
      <c r="S45" s="1615"/>
      <c r="T45" s="1615"/>
      <c r="U45" s="1615"/>
      <c r="V45" s="1615"/>
      <c r="W45" s="1624"/>
      <c r="X45" s="1624"/>
      <c r="Y45" s="1624"/>
    </row>
    <row r="46" spans="1:28">
      <c r="B46" s="1616" t="s">
        <v>135</v>
      </c>
      <c r="C46" s="1612"/>
      <c r="E46" s="1615"/>
      <c r="F46" s="1615"/>
      <c r="G46" s="1614"/>
      <c r="H46" s="1614"/>
      <c r="I46" s="1614"/>
      <c r="J46" s="1614"/>
      <c r="K46" s="1614"/>
      <c r="L46" s="1614"/>
      <c r="M46" s="1615"/>
      <c r="N46" s="1615"/>
      <c r="O46" s="1615"/>
      <c r="P46" s="1615"/>
      <c r="Q46" s="1615"/>
      <c r="R46" s="1615"/>
      <c r="S46" s="1615"/>
      <c r="T46" s="1615"/>
      <c r="U46" s="1615"/>
      <c r="V46" s="1615"/>
      <c r="W46" s="2175"/>
      <c r="X46" s="2175"/>
      <c r="Y46" s="1624"/>
    </row>
    <row r="47" spans="1:28">
      <c r="A47" s="1616"/>
      <c r="B47" s="1612" t="s">
        <v>6410</v>
      </c>
      <c r="C47" s="1612"/>
      <c r="E47" s="1615"/>
      <c r="F47" s="1615"/>
      <c r="G47" s="1614"/>
      <c r="H47" s="1614"/>
      <c r="I47" s="1614"/>
      <c r="J47" s="1614"/>
      <c r="K47" s="1614"/>
      <c r="L47" s="1614"/>
      <c r="M47" s="1615"/>
      <c r="N47" s="1615"/>
      <c r="O47" s="1615"/>
      <c r="P47" s="1615"/>
      <c r="Q47" s="1615">
        <v>14952000000</v>
      </c>
      <c r="R47" s="1615">
        <v>16539000000</v>
      </c>
      <c r="S47" s="1615">
        <v>16217000000</v>
      </c>
      <c r="T47" s="1615">
        <v>15844000000</v>
      </c>
      <c r="U47" s="1615">
        <v>15043000000</v>
      </c>
      <c r="V47" s="1615"/>
      <c r="W47" s="2175"/>
      <c r="X47" s="2175"/>
      <c r="Y47" s="1624"/>
    </row>
    <row r="48" spans="1:28">
      <c r="B48" s="1612"/>
      <c r="C48" s="1612"/>
      <c r="E48" s="2183"/>
      <c r="F48" s="2183"/>
      <c r="G48" s="2183"/>
      <c r="H48" s="2183"/>
      <c r="I48" s="2183"/>
      <c r="J48" s="2183"/>
      <c r="K48" s="2183"/>
      <c r="L48" s="2183"/>
      <c r="M48" s="2183"/>
      <c r="N48" s="2183"/>
      <c r="O48" s="2183"/>
      <c r="P48" s="2183"/>
      <c r="Q48" s="2183"/>
      <c r="R48" s="2183"/>
      <c r="S48" s="2183"/>
      <c r="T48" s="2183"/>
      <c r="U48" s="2183"/>
      <c r="V48" s="2183"/>
      <c r="W48" s="1624"/>
      <c r="X48" s="1624"/>
      <c r="Y48" s="1624"/>
    </row>
    <row r="49" spans="2:25">
      <c r="B49" s="2184"/>
      <c r="C49" s="1612"/>
      <c r="E49" s="1602" t="s">
        <v>139</v>
      </c>
      <c r="F49" s="1602" t="s">
        <v>139</v>
      </c>
      <c r="G49" s="1602" t="s">
        <v>139</v>
      </c>
      <c r="H49" s="1602" t="s">
        <v>139</v>
      </c>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2" t="s">
        <v>139</v>
      </c>
      <c r="X49" s="1602" t="s">
        <v>139</v>
      </c>
      <c r="Y49" s="1602" t="s">
        <v>139</v>
      </c>
    </row>
    <row r="50" spans="2:25">
      <c r="B50" s="1616"/>
      <c r="C50" s="1612"/>
      <c r="M50" s="1621"/>
      <c r="N50" s="1621"/>
      <c r="O50" s="1621"/>
      <c r="P50" s="1621"/>
      <c r="Q50" s="1621"/>
      <c r="R50" s="1621"/>
      <c r="S50" s="2188"/>
      <c r="T50" s="1621"/>
      <c r="U50" s="1621"/>
      <c r="V50" s="1621"/>
      <c r="W50" s="1621"/>
      <c r="X50" s="1621"/>
      <c r="Y50" s="1621"/>
    </row>
    <row r="51" spans="2:25">
      <c r="B51" s="1602" t="s">
        <v>616</v>
      </c>
      <c r="C51" s="1612"/>
      <c r="E51" s="1624">
        <f t="shared" ref="E51:Y51" si="17">E6-E7-E20</f>
        <v>-100000</v>
      </c>
      <c r="F51" s="1624">
        <f t="shared" si="17"/>
        <v>0</v>
      </c>
      <c r="G51" s="1624">
        <f t="shared" si="17"/>
        <v>0</v>
      </c>
      <c r="H51" s="1624">
        <f t="shared" si="17"/>
        <v>0</v>
      </c>
      <c r="I51" s="1624">
        <f t="shared" si="17"/>
        <v>0</v>
      </c>
      <c r="J51" s="1624">
        <f>J6-J7-J20</f>
        <v>0</v>
      </c>
      <c r="K51" s="1624">
        <f t="shared" si="17"/>
        <v>0</v>
      </c>
      <c r="L51" s="1624">
        <f>L6-L7-L20</f>
        <v>0</v>
      </c>
      <c r="M51" s="1624">
        <f t="shared" si="17"/>
        <v>0</v>
      </c>
      <c r="N51" s="1624">
        <f t="shared" si="17"/>
        <v>0</v>
      </c>
      <c r="O51" s="1624">
        <f t="shared" si="17"/>
        <v>0</v>
      </c>
      <c r="P51" s="1624">
        <f t="shared" si="17"/>
        <v>100000</v>
      </c>
      <c r="Q51" s="1624">
        <f t="shared" si="17"/>
        <v>0</v>
      </c>
      <c r="R51" s="1624">
        <f t="shared" si="17"/>
        <v>0</v>
      </c>
      <c r="S51" s="1624">
        <f t="shared" si="17"/>
        <v>0</v>
      </c>
      <c r="T51" s="1624">
        <f t="shared" si="17"/>
        <v>0</v>
      </c>
      <c r="U51" s="1624">
        <f t="shared" si="17"/>
        <v>0</v>
      </c>
      <c r="V51" s="1624">
        <f t="shared" si="17"/>
        <v>0</v>
      </c>
      <c r="W51" s="1624">
        <f t="shared" si="17"/>
        <v>0</v>
      </c>
      <c r="X51" s="1624">
        <f t="shared" si="17"/>
        <v>0</v>
      </c>
      <c r="Y51" s="1624">
        <f t="shared" si="17"/>
        <v>0</v>
      </c>
    </row>
    <row r="52" spans="2:25">
      <c r="B52" s="1602" t="s">
        <v>616</v>
      </c>
      <c r="C52" s="1612"/>
      <c r="E52" s="1624">
        <f t="shared" ref="E52:Y52" si="18">E7-E8-E14</f>
        <v>0</v>
      </c>
      <c r="F52" s="1624">
        <f t="shared" si="18"/>
        <v>0</v>
      </c>
      <c r="G52" s="1624">
        <f t="shared" si="18"/>
        <v>0</v>
      </c>
      <c r="H52" s="1624">
        <f t="shared" si="18"/>
        <v>0</v>
      </c>
      <c r="I52" s="1624">
        <f t="shared" si="18"/>
        <v>0</v>
      </c>
      <c r="J52" s="1624">
        <f t="shared" si="18"/>
        <v>0</v>
      </c>
      <c r="K52" s="1624">
        <f t="shared" si="18"/>
        <v>0</v>
      </c>
      <c r="L52" s="1624">
        <f t="shared" si="18"/>
        <v>0</v>
      </c>
      <c r="M52" s="1624">
        <f t="shared" si="18"/>
        <v>0</v>
      </c>
      <c r="N52" s="1624">
        <f t="shared" si="18"/>
        <v>0</v>
      </c>
      <c r="O52" s="1624">
        <f t="shared" si="18"/>
        <v>0</v>
      </c>
      <c r="P52" s="1624">
        <f t="shared" si="18"/>
        <v>0</v>
      </c>
      <c r="Q52" s="1624">
        <f t="shared" si="18"/>
        <v>0</v>
      </c>
      <c r="R52" s="1624">
        <f t="shared" si="18"/>
        <v>2.384185791015625E-7</v>
      </c>
      <c r="S52" s="1624">
        <f t="shared" si="18"/>
        <v>0</v>
      </c>
      <c r="T52" s="1624">
        <f t="shared" si="18"/>
        <v>0</v>
      </c>
      <c r="U52" s="1624">
        <f t="shared" si="18"/>
        <v>0</v>
      </c>
      <c r="V52" s="1624">
        <f t="shared" si="18"/>
        <v>0</v>
      </c>
      <c r="W52" s="1624">
        <f t="shared" si="18"/>
        <v>0</v>
      </c>
      <c r="X52" s="1624">
        <f t="shared" si="18"/>
        <v>0</v>
      </c>
      <c r="Y52" s="1624">
        <f t="shared" si="18"/>
        <v>0</v>
      </c>
    </row>
    <row r="53" spans="2:25">
      <c r="B53" s="1602" t="s">
        <v>6411</v>
      </c>
      <c r="C53" s="1612"/>
      <c r="E53" s="1624">
        <f t="shared" ref="E53:P53" si="19">E8-E9-E10-E11-E12</f>
        <v>100000</v>
      </c>
      <c r="F53" s="1624">
        <f t="shared" si="19"/>
        <v>0</v>
      </c>
      <c r="G53" s="1624">
        <f t="shared" si="19"/>
        <v>0</v>
      </c>
      <c r="H53" s="1624">
        <f t="shared" si="19"/>
        <v>0</v>
      </c>
      <c r="I53" s="1624">
        <f t="shared" si="19"/>
        <v>0</v>
      </c>
      <c r="J53" s="1624">
        <f t="shared" si="19"/>
        <v>0</v>
      </c>
      <c r="K53" s="1624">
        <f t="shared" si="19"/>
        <v>0</v>
      </c>
      <c r="L53" s="1624">
        <f t="shared" si="19"/>
        <v>0</v>
      </c>
      <c r="M53" s="1624">
        <f t="shared" si="19"/>
        <v>0</v>
      </c>
      <c r="N53" s="1624">
        <f t="shared" si="19"/>
        <v>2.384185791015625E-7</v>
      </c>
      <c r="O53" s="1624">
        <f t="shared" si="19"/>
        <v>0</v>
      </c>
      <c r="P53" s="1624">
        <f t="shared" si="19"/>
        <v>0</v>
      </c>
      <c r="Q53" s="1624">
        <f t="shared" ref="Q53:Y53" si="20">Q8-Q9-Q10-Q11-Q12-Q13</f>
        <v>0</v>
      </c>
      <c r="R53" s="1624">
        <f t="shared" si="20"/>
        <v>-100000.00000023842</v>
      </c>
      <c r="S53" s="1624">
        <f t="shared" si="20"/>
        <v>0</v>
      </c>
      <c r="T53" s="1624">
        <f>T8-T9-T10-T11-T12-T13</f>
        <v>0</v>
      </c>
      <c r="U53" s="1624">
        <f t="shared" si="20"/>
        <v>0</v>
      </c>
      <c r="V53" s="1624">
        <f t="shared" si="20"/>
        <v>0</v>
      </c>
      <c r="W53" s="1624">
        <f t="shared" si="20"/>
        <v>0</v>
      </c>
      <c r="X53" s="1624">
        <f t="shared" si="20"/>
        <v>0</v>
      </c>
      <c r="Y53" s="1624">
        <f t="shared" si="20"/>
        <v>0</v>
      </c>
    </row>
    <row r="54" spans="2:25">
      <c r="B54" s="1602" t="s">
        <v>6412</v>
      </c>
      <c r="C54" s="1612"/>
      <c r="E54" s="1624">
        <f t="shared" ref="E54:Y54" si="21">E14-E15-E19</f>
        <v>0</v>
      </c>
      <c r="F54" s="1624">
        <f t="shared" si="21"/>
        <v>0</v>
      </c>
      <c r="G54" s="1624">
        <f t="shared" si="21"/>
        <v>0</v>
      </c>
      <c r="H54" s="1624">
        <f t="shared" si="21"/>
        <v>0</v>
      </c>
      <c r="I54" s="1624">
        <f t="shared" si="21"/>
        <v>0</v>
      </c>
      <c r="J54" s="1624">
        <f t="shared" si="21"/>
        <v>0</v>
      </c>
      <c r="K54" s="1624">
        <f t="shared" si="21"/>
        <v>0</v>
      </c>
      <c r="L54" s="1624">
        <f>L14-L15-L19</f>
        <v>0</v>
      </c>
      <c r="M54" s="1624">
        <f t="shared" si="21"/>
        <v>0</v>
      </c>
      <c r="N54" s="1624">
        <f t="shared" si="21"/>
        <v>0</v>
      </c>
      <c r="O54" s="1624">
        <f t="shared" si="21"/>
        <v>0</v>
      </c>
      <c r="P54" s="1624">
        <f t="shared" si="21"/>
        <v>0</v>
      </c>
      <c r="Q54" s="1624">
        <f t="shared" si="21"/>
        <v>0</v>
      </c>
      <c r="R54" s="1624">
        <f t="shared" si="21"/>
        <v>0</v>
      </c>
      <c r="S54" s="1624">
        <f t="shared" si="21"/>
        <v>0</v>
      </c>
      <c r="T54" s="1624">
        <f t="shared" si="21"/>
        <v>0</v>
      </c>
      <c r="U54" s="1624">
        <f t="shared" si="21"/>
        <v>0</v>
      </c>
      <c r="V54" s="1624">
        <f t="shared" si="21"/>
        <v>0</v>
      </c>
      <c r="W54" s="1624">
        <f t="shared" si="21"/>
        <v>0</v>
      </c>
      <c r="X54" s="1624">
        <f t="shared" si="21"/>
        <v>0</v>
      </c>
      <c r="Y54" s="1624">
        <f t="shared" si="21"/>
        <v>0</v>
      </c>
    </row>
    <row r="55" spans="2:25">
      <c r="B55" s="1602" t="s">
        <v>617</v>
      </c>
      <c r="C55" s="1612"/>
      <c r="E55" s="1624">
        <f t="shared" ref="E55:Y55" si="22">E15-E16-E17-E18</f>
        <v>0</v>
      </c>
      <c r="F55" s="1624">
        <f t="shared" si="22"/>
        <v>0</v>
      </c>
      <c r="G55" s="1624">
        <f t="shared" si="22"/>
        <v>0</v>
      </c>
      <c r="H55" s="1624">
        <f t="shared" si="22"/>
        <v>0</v>
      </c>
      <c r="I55" s="1624">
        <f t="shared" si="22"/>
        <v>0</v>
      </c>
      <c r="J55" s="1624">
        <f t="shared" si="22"/>
        <v>0</v>
      </c>
      <c r="K55" s="1624">
        <f t="shared" si="22"/>
        <v>0</v>
      </c>
      <c r="L55" s="1624">
        <f t="shared" si="22"/>
        <v>0</v>
      </c>
      <c r="M55" s="1624">
        <f t="shared" si="22"/>
        <v>0</v>
      </c>
      <c r="N55" s="1624">
        <f t="shared" si="22"/>
        <v>0</v>
      </c>
      <c r="O55" s="1624">
        <f t="shared" si="22"/>
        <v>0</v>
      </c>
      <c r="P55" s="1624">
        <f t="shared" si="22"/>
        <v>0</v>
      </c>
      <c r="Q55" s="1624">
        <f t="shared" si="22"/>
        <v>0</v>
      </c>
      <c r="R55" s="1624">
        <f t="shared" si="22"/>
        <v>0</v>
      </c>
      <c r="S55" s="1624">
        <f t="shared" si="22"/>
        <v>0</v>
      </c>
      <c r="T55" s="1624">
        <f t="shared" si="22"/>
        <v>0</v>
      </c>
      <c r="U55" s="1624">
        <f t="shared" si="22"/>
        <v>0</v>
      </c>
      <c r="V55" s="1624">
        <f t="shared" si="22"/>
        <v>0</v>
      </c>
      <c r="W55" s="1624">
        <f t="shared" si="22"/>
        <v>0</v>
      </c>
      <c r="X55" s="1624">
        <f t="shared" si="22"/>
        <v>0</v>
      </c>
      <c r="Y55" s="1624">
        <f t="shared" si="22"/>
        <v>0</v>
      </c>
    </row>
    <row r="56" spans="2:25">
      <c r="B56" s="1602" t="s">
        <v>6413</v>
      </c>
      <c r="C56" s="1612"/>
      <c r="E56" s="1624">
        <f t="shared" ref="E56:R56" si="23">E21-E22-E29-E34-E33</f>
        <v>0</v>
      </c>
      <c r="F56" s="1624">
        <f t="shared" si="23"/>
        <v>0</v>
      </c>
      <c r="G56" s="1624">
        <f t="shared" si="23"/>
        <v>0</v>
      </c>
      <c r="H56" s="1624">
        <f t="shared" si="23"/>
        <v>0</v>
      </c>
      <c r="I56" s="1624">
        <f t="shared" si="23"/>
        <v>0</v>
      </c>
      <c r="J56" s="1624">
        <f t="shared" si="23"/>
        <v>0</v>
      </c>
      <c r="K56" s="1624">
        <f t="shared" si="23"/>
        <v>0</v>
      </c>
      <c r="L56" s="1624">
        <f t="shared" si="23"/>
        <v>0</v>
      </c>
      <c r="M56" s="1624">
        <f t="shared" si="23"/>
        <v>-1.1920928955078125E-7</v>
      </c>
      <c r="N56" s="1624">
        <f t="shared" si="23"/>
        <v>0</v>
      </c>
      <c r="O56" s="1624">
        <f t="shared" si="23"/>
        <v>0</v>
      </c>
      <c r="P56" s="1624">
        <f t="shared" si="23"/>
        <v>0</v>
      </c>
      <c r="Q56" s="1624">
        <f t="shared" si="23"/>
        <v>0</v>
      </c>
      <c r="R56" s="1624">
        <f t="shared" si="23"/>
        <v>100000</v>
      </c>
      <c r="S56" s="1624">
        <f>S21-S22-S28-S29-S34-S33</f>
        <v>100000</v>
      </c>
      <c r="T56" s="1624">
        <f t="shared" ref="T56:Y56" si="24">T21-T22-T29-T34-T33</f>
        <v>0</v>
      </c>
      <c r="U56" s="1624">
        <f t="shared" si="24"/>
        <v>0</v>
      </c>
      <c r="V56" s="1624">
        <f t="shared" si="24"/>
        <v>0</v>
      </c>
      <c r="W56" s="1624">
        <f t="shared" si="24"/>
        <v>0</v>
      </c>
      <c r="X56" s="1624">
        <f t="shared" si="24"/>
        <v>0</v>
      </c>
      <c r="Y56" s="1624">
        <f t="shared" si="24"/>
        <v>0</v>
      </c>
    </row>
    <row r="57" spans="2:25">
      <c r="B57" s="1602" t="s">
        <v>3211</v>
      </c>
      <c r="C57" s="1612"/>
      <c r="E57" s="1627">
        <f t="shared" ref="E57:Y57" si="25">E29-E30-E31-E32</f>
        <v>21700000</v>
      </c>
      <c r="F57" s="1627">
        <f t="shared" si="25"/>
        <v>11500000</v>
      </c>
      <c r="G57" s="1627">
        <f t="shared" si="25"/>
        <v>4700000</v>
      </c>
      <c r="H57" s="1627">
        <f t="shared" si="25"/>
        <v>2400000</v>
      </c>
      <c r="I57" s="1627">
        <f t="shared" si="25"/>
        <v>3000000</v>
      </c>
      <c r="J57" s="1624">
        <f t="shared" si="25"/>
        <v>0</v>
      </c>
      <c r="K57" s="1624">
        <f t="shared" si="25"/>
        <v>0</v>
      </c>
      <c r="L57" s="1624">
        <f t="shared" si="25"/>
        <v>0</v>
      </c>
      <c r="M57" s="1627">
        <f t="shared" si="25"/>
        <v>356600000</v>
      </c>
      <c r="N57" s="1627">
        <f t="shared" si="25"/>
        <v>321800000</v>
      </c>
      <c r="O57" s="1627">
        <f t="shared" si="25"/>
        <v>588000000</v>
      </c>
      <c r="P57" s="1627">
        <f t="shared" si="25"/>
        <v>461800000</v>
      </c>
      <c r="Q57" s="1627">
        <f t="shared" si="25"/>
        <v>350600000</v>
      </c>
      <c r="R57" s="1627">
        <f t="shared" si="25"/>
        <v>424600000</v>
      </c>
      <c r="S57" s="1627">
        <f t="shared" si="25"/>
        <v>306900000</v>
      </c>
      <c r="T57" s="1627">
        <f t="shared" si="25"/>
        <v>609500000</v>
      </c>
      <c r="U57" s="1627">
        <f t="shared" si="25"/>
        <v>300700000</v>
      </c>
      <c r="V57" s="1627">
        <f t="shared" si="25"/>
        <v>844100000</v>
      </c>
      <c r="W57" s="1627">
        <f t="shared" si="25"/>
        <v>959400000</v>
      </c>
      <c r="X57" s="1627">
        <f t="shared" si="25"/>
        <v>690500000</v>
      </c>
      <c r="Y57" s="1627">
        <f t="shared" si="25"/>
        <v>0</v>
      </c>
    </row>
    <row r="58" spans="2:25">
      <c r="B58" s="1602" t="s">
        <v>148</v>
      </c>
      <c r="C58" s="1612"/>
      <c r="E58" s="1627">
        <f t="shared" ref="E58:Y58" si="26">E38-E39-E44</f>
        <v>-7400000</v>
      </c>
      <c r="F58" s="1627">
        <f t="shared" si="26"/>
        <v>-1400000</v>
      </c>
      <c r="G58" s="1627">
        <f t="shared" si="26"/>
        <v>-12800000</v>
      </c>
      <c r="H58" s="1627">
        <f t="shared" si="26"/>
        <v>-40900000</v>
      </c>
      <c r="I58" s="1624">
        <f t="shared" si="26"/>
        <v>0</v>
      </c>
      <c r="J58" s="1624">
        <f t="shared" si="26"/>
        <v>0</v>
      </c>
      <c r="K58" s="1624">
        <f t="shared" si="26"/>
        <v>0</v>
      </c>
      <c r="L58" s="1624">
        <f t="shared" si="26"/>
        <v>0</v>
      </c>
      <c r="M58" s="1624">
        <f t="shared" si="26"/>
        <v>0</v>
      </c>
      <c r="N58" s="1624">
        <f t="shared" si="26"/>
        <v>0</v>
      </c>
      <c r="O58" s="1624">
        <f t="shared" si="26"/>
        <v>0</v>
      </c>
      <c r="P58" s="1624">
        <f t="shared" si="26"/>
        <v>0</v>
      </c>
      <c r="Q58" s="1624">
        <f t="shared" si="26"/>
        <v>0</v>
      </c>
      <c r="R58" s="1624">
        <f t="shared" si="26"/>
        <v>0</v>
      </c>
      <c r="S58" s="1624">
        <f t="shared" si="26"/>
        <v>0</v>
      </c>
      <c r="T58" s="1624">
        <f t="shared" si="26"/>
        <v>100000</v>
      </c>
      <c r="U58" s="1624">
        <f t="shared" si="26"/>
        <v>0</v>
      </c>
      <c r="V58" s="1624">
        <f t="shared" si="26"/>
        <v>0</v>
      </c>
      <c r="W58" s="1624">
        <f t="shared" si="26"/>
        <v>0</v>
      </c>
      <c r="X58" s="1624">
        <f t="shared" si="26"/>
        <v>0</v>
      </c>
      <c r="Y58" s="1624">
        <f t="shared" si="26"/>
        <v>0</v>
      </c>
    </row>
    <row r="59" spans="2:25">
      <c r="B59" s="1602" t="s">
        <v>6414</v>
      </c>
      <c r="E59" s="1624">
        <f t="shared" ref="E59:Y59" si="27">E39-E40-E43</f>
        <v>0</v>
      </c>
      <c r="F59" s="1624">
        <f t="shared" si="27"/>
        <v>0</v>
      </c>
      <c r="G59" s="1624">
        <f t="shared" si="27"/>
        <v>0</v>
      </c>
      <c r="H59" s="1624">
        <f t="shared" si="27"/>
        <v>0</v>
      </c>
      <c r="I59" s="1624">
        <f t="shared" si="27"/>
        <v>0</v>
      </c>
      <c r="J59" s="1624">
        <f t="shared" si="27"/>
        <v>0</v>
      </c>
      <c r="K59" s="1624">
        <f t="shared" si="27"/>
        <v>0</v>
      </c>
      <c r="L59" s="1624">
        <f t="shared" si="27"/>
        <v>0</v>
      </c>
      <c r="M59" s="1624">
        <f t="shared" si="27"/>
        <v>0</v>
      </c>
      <c r="N59" s="1624">
        <f t="shared" si="27"/>
        <v>0</v>
      </c>
      <c r="O59" s="1624">
        <f t="shared" si="27"/>
        <v>0</v>
      </c>
      <c r="P59" s="1624">
        <f t="shared" si="27"/>
        <v>0</v>
      </c>
      <c r="Q59" s="1624">
        <f t="shared" si="27"/>
        <v>0</v>
      </c>
      <c r="R59" s="1624">
        <f t="shared" si="27"/>
        <v>0</v>
      </c>
      <c r="S59" s="1624">
        <f t="shared" si="27"/>
        <v>0</v>
      </c>
      <c r="T59" s="1624">
        <f t="shared" si="27"/>
        <v>0</v>
      </c>
      <c r="U59" s="1624">
        <f t="shared" si="27"/>
        <v>0</v>
      </c>
      <c r="V59" s="1624">
        <f t="shared" si="27"/>
        <v>0</v>
      </c>
      <c r="W59" s="1624">
        <f t="shared" si="27"/>
        <v>0</v>
      </c>
      <c r="X59" s="1624">
        <f t="shared" si="27"/>
        <v>0</v>
      </c>
      <c r="Y59" s="1624">
        <f t="shared" si="27"/>
        <v>0</v>
      </c>
    </row>
    <row r="60" spans="2:25">
      <c r="B60" s="1602" t="s">
        <v>6415</v>
      </c>
      <c r="E60" s="1624">
        <f t="shared" ref="E60:Y60" si="28">E40-E41-E42</f>
        <v>0</v>
      </c>
      <c r="F60" s="1624">
        <f t="shared" si="28"/>
        <v>0</v>
      </c>
      <c r="G60" s="1624">
        <f t="shared" si="28"/>
        <v>0</v>
      </c>
      <c r="H60" s="1624">
        <f t="shared" si="28"/>
        <v>0</v>
      </c>
      <c r="I60" s="1624">
        <f t="shared" si="28"/>
        <v>0</v>
      </c>
      <c r="J60" s="1624">
        <f t="shared" si="28"/>
        <v>0</v>
      </c>
      <c r="K60" s="1624">
        <f t="shared" si="28"/>
        <v>0</v>
      </c>
      <c r="L60" s="1624">
        <f t="shared" si="28"/>
        <v>0</v>
      </c>
      <c r="M60" s="1624">
        <f t="shared" si="28"/>
        <v>0</v>
      </c>
      <c r="N60" s="1624">
        <f t="shared" si="28"/>
        <v>0</v>
      </c>
      <c r="O60" s="1624">
        <f t="shared" si="28"/>
        <v>0</v>
      </c>
      <c r="P60" s="1624">
        <f t="shared" si="28"/>
        <v>0</v>
      </c>
      <c r="Q60" s="1624">
        <f t="shared" si="28"/>
        <v>0</v>
      </c>
      <c r="R60" s="1624">
        <f t="shared" si="28"/>
        <v>0</v>
      </c>
      <c r="S60" s="1624">
        <f t="shared" si="28"/>
        <v>0</v>
      </c>
      <c r="T60" s="1624">
        <f t="shared" si="28"/>
        <v>0</v>
      </c>
      <c r="U60" s="1624">
        <f t="shared" si="28"/>
        <v>0</v>
      </c>
      <c r="V60" s="1624">
        <f t="shared" si="28"/>
        <v>0</v>
      </c>
      <c r="W60" s="1624">
        <f t="shared" si="28"/>
        <v>0</v>
      </c>
      <c r="X60" s="1624">
        <f t="shared" si="28"/>
        <v>0</v>
      </c>
      <c r="Y60" s="1624">
        <f t="shared" si="28"/>
        <v>0</v>
      </c>
    </row>
    <row r="61" spans="2:25">
      <c r="D61" s="1624"/>
      <c r="Q61" s="1631"/>
      <c r="R61" s="1631"/>
      <c r="S61" s="1631"/>
      <c r="T61" s="1631"/>
      <c r="U61" s="1631"/>
      <c r="V61" s="1631"/>
      <c r="W61" s="1631"/>
      <c r="X61" s="1631"/>
      <c r="Y61" s="1631"/>
    </row>
    <row r="62" spans="2:25">
      <c r="B62" s="1602" t="s">
        <v>724</v>
      </c>
      <c r="E62" s="1602">
        <v>487000000</v>
      </c>
      <c r="F62" s="1602">
        <v>480000000</v>
      </c>
      <c r="G62" s="1602">
        <v>501000000</v>
      </c>
      <c r="H62" s="1602">
        <v>1090000000</v>
      </c>
      <c r="I62" s="1602">
        <v>1814000000</v>
      </c>
      <c r="J62" s="1602">
        <v>2826000000</v>
      </c>
      <c r="K62" s="1602">
        <v>2964000000</v>
      </c>
      <c r="L62" s="1602">
        <v>3298000000</v>
      </c>
      <c r="M62" s="1602">
        <v>4215000000</v>
      </c>
      <c r="N62" s="1602">
        <v>5726000000</v>
      </c>
      <c r="O62" s="1602">
        <v>5579000000</v>
      </c>
      <c r="P62" s="1602">
        <v>4941000000</v>
      </c>
      <c r="Q62" s="1631">
        <v>5596000000</v>
      </c>
      <c r="R62" s="1631">
        <v>4362000000</v>
      </c>
      <c r="S62" s="1631">
        <v>2620000000</v>
      </c>
      <c r="T62" s="1631">
        <v>2100000000</v>
      </c>
      <c r="U62" s="1631">
        <v>2371000000</v>
      </c>
      <c r="V62" s="1631">
        <v>2592000000</v>
      </c>
      <c r="W62" s="1631">
        <v>2750000000</v>
      </c>
      <c r="X62" s="1631">
        <v>2938000000</v>
      </c>
      <c r="Y62" s="1631">
        <v>3099000000</v>
      </c>
    </row>
    <row r="63" spans="2:25">
      <c r="B63" s="1602" t="s">
        <v>151</v>
      </c>
      <c r="E63" s="1602">
        <f t="shared" ref="E63:Y63" si="29">(E6/E62)*100</f>
        <v>12.053388090349076</v>
      </c>
      <c r="F63" s="1602">
        <f t="shared" si="29"/>
        <v>11.25</v>
      </c>
      <c r="G63" s="1602">
        <f t="shared" si="29"/>
        <v>16.227544910179642</v>
      </c>
      <c r="H63" s="1602">
        <f t="shared" si="29"/>
        <v>9.6697247706422012</v>
      </c>
      <c r="I63" s="1602">
        <f t="shared" si="29"/>
        <v>18.577728776185225</v>
      </c>
      <c r="J63" s="2097">
        <f t="shared" si="29"/>
        <v>18.294409058740268</v>
      </c>
      <c r="K63" s="2097">
        <f t="shared" si="29"/>
        <v>35.222672064777328</v>
      </c>
      <c r="L63" s="2097">
        <f t="shared" si="29"/>
        <v>74.105518496058224</v>
      </c>
      <c r="M63" s="2097">
        <f t="shared" si="29"/>
        <v>48.989323843416372</v>
      </c>
      <c r="N63" s="2097">
        <f t="shared" si="29"/>
        <v>47.799511002444987</v>
      </c>
      <c r="O63" s="2097">
        <f t="shared" si="29"/>
        <v>69.073310629145013</v>
      </c>
      <c r="P63" s="2097">
        <f t="shared" si="29"/>
        <v>88.063145112325429</v>
      </c>
      <c r="Q63" s="2097">
        <f t="shared" si="29"/>
        <v>66.075768406004286</v>
      </c>
      <c r="R63" s="2097">
        <f t="shared" si="29"/>
        <v>58.574048601558914</v>
      </c>
      <c r="S63" s="2097">
        <f t="shared" si="29"/>
        <v>63.874045801526712</v>
      </c>
      <c r="T63" s="2097">
        <f t="shared" si="29"/>
        <v>44.033333333333339</v>
      </c>
      <c r="U63" s="2097">
        <f t="shared" si="29"/>
        <v>55.221425558835932</v>
      </c>
      <c r="V63" s="2097">
        <f t="shared" si="29"/>
        <v>41.304012345679013</v>
      </c>
      <c r="W63" s="2097">
        <f t="shared" si="29"/>
        <v>38.745454545454542</v>
      </c>
      <c r="X63" s="2097">
        <f t="shared" si="29"/>
        <v>31.851599727705921</v>
      </c>
      <c r="Y63" s="2097">
        <f t="shared" si="29"/>
        <v>0</v>
      </c>
    </row>
    <row r="64" spans="2:25">
      <c r="B64" s="1602" t="s">
        <v>152</v>
      </c>
      <c r="E64" s="1602">
        <f t="shared" ref="E64:Y64" si="30">(E21/E62)*100</f>
        <v>10.533880903490759</v>
      </c>
      <c r="F64" s="1602">
        <f t="shared" si="30"/>
        <v>10.958333333333334</v>
      </c>
      <c r="G64" s="1602">
        <f t="shared" si="30"/>
        <v>13.672654690618764</v>
      </c>
      <c r="H64" s="1602">
        <f t="shared" si="30"/>
        <v>5.9082568807339451</v>
      </c>
      <c r="I64" s="1602">
        <f t="shared" si="30"/>
        <v>3.8588754134509373</v>
      </c>
      <c r="J64" s="2097">
        <f t="shared" si="30"/>
        <v>3.2908704883227178</v>
      </c>
      <c r="K64" s="2097">
        <f t="shared" si="30"/>
        <v>5.8367071524966265</v>
      </c>
      <c r="L64" s="2097">
        <f t="shared" si="30"/>
        <v>16.161309884778653</v>
      </c>
      <c r="M64" s="2097">
        <f t="shared" si="30"/>
        <v>24.498220640569393</v>
      </c>
      <c r="N64" s="2097">
        <f t="shared" si="30"/>
        <v>19.86028641285365</v>
      </c>
      <c r="O64" s="2097">
        <f t="shared" si="30"/>
        <v>24.728445958056998</v>
      </c>
      <c r="P64" s="2097">
        <f t="shared" si="30"/>
        <v>28.125885448289822</v>
      </c>
      <c r="Q64" s="2097">
        <f t="shared" si="30"/>
        <v>23.976054324517513</v>
      </c>
      <c r="R64" s="2097">
        <f t="shared" si="30"/>
        <v>36.856946354883078</v>
      </c>
      <c r="S64" s="2097">
        <f t="shared" si="30"/>
        <v>59.492366412213741</v>
      </c>
      <c r="T64" s="2097">
        <f t="shared" si="30"/>
        <v>84.771428571428572</v>
      </c>
      <c r="U64" s="2097">
        <f t="shared" si="30"/>
        <v>58.194854491775629</v>
      </c>
      <c r="V64" s="2097">
        <f t="shared" si="30"/>
        <v>78.414351851851848</v>
      </c>
      <c r="W64" s="2097">
        <f t="shared" si="30"/>
        <v>79.392727272727271</v>
      </c>
      <c r="X64" s="2097">
        <f t="shared" si="30"/>
        <v>67.161334240980267</v>
      </c>
      <c r="Y64" s="2097">
        <f t="shared" si="30"/>
        <v>0</v>
      </c>
    </row>
    <row r="67" spans="5:25">
      <c r="E67" s="1602">
        <f t="shared" ref="E67:Y67" si="31">(E20/E6)*100</f>
        <v>53.833049403747864</v>
      </c>
      <c r="F67" s="1602">
        <f t="shared" si="31"/>
        <v>42.037037037037038</v>
      </c>
      <c r="G67" s="1602">
        <f t="shared" si="31"/>
        <v>39.975399753997543</v>
      </c>
      <c r="H67" s="1602">
        <f t="shared" si="31"/>
        <v>33.017077798861486</v>
      </c>
      <c r="I67" s="1602">
        <f t="shared" si="31"/>
        <v>10.089020771513352</v>
      </c>
      <c r="J67" s="1602">
        <f t="shared" si="31"/>
        <v>0.19342359767891684</v>
      </c>
      <c r="K67" s="1602">
        <f t="shared" si="31"/>
        <v>1.053639846743295</v>
      </c>
      <c r="L67" s="1602">
        <f t="shared" si="31"/>
        <v>4.0916530278232409E-2</v>
      </c>
      <c r="M67" s="1602">
        <f t="shared" si="31"/>
        <v>13.647149983050028</v>
      </c>
      <c r="N67" s="2097">
        <f t="shared" si="31"/>
        <v>11.300694190719767</v>
      </c>
      <c r="O67" s="2097">
        <f t="shared" si="31"/>
        <v>7.3671372223375542</v>
      </c>
      <c r="P67" s="2097">
        <f t="shared" si="31"/>
        <v>5.8328736900165472</v>
      </c>
      <c r="Q67" s="2097">
        <f t="shared" si="31"/>
        <v>7.0397014279532666</v>
      </c>
      <c r="R67" s="2097">
        <f t="shared" si="31"/>
        <v>10.579256360078277</v>
      </c>
      <c r="S67" s="2097">
        <f t="shared" si="31"/>
        <v>13.307439498057963</v>
      </c>
      <c r="T67" s="2097">
        <f t="shared" si="31"/>
        <v>18.297826322050394</v>
      </c>
      <c r="U67" s="2097">
        <f t="shared" si="31"/>
        <v>11.96058962804552</v>
      </c>
      <c r="V67" s="2097">
        <f t="shared" si="31"/>
        <v>14.944890715486641</v>
      </c>
      <c r="W67" s="2097">
        <f t="shared" si="31"/>
        <v>15.448146410136088</v>
      </c>
      <c r="X67" s="2097">
        <f t="shared" si="31"/>
        <v>18.358623637529387</v>
      </c>
      <c r="Y67" s="2097" t="e">
        <f t="shared" si="31"/>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N6" activePane="bottomRight" state="frozen"/>
      <selection pane="topRight" activeCell="D1" sqref="D1"/>
      <selection pane="bottomLeft" activeCell="A6" sqref="A6"/>
      <selection pane="bottomRight" activeCell="O13" sqref="O13"/>
    </sheetView>
  </sheetViews>
  <sheetFormatPr defaultRowHeight="15"/>
  <cols>
    <col min="1" max="1" width="38.140625" style="1978" bestFit="1" customWidth="1"/>
    <col min="2" max="2" width="56" style="1978" bestFit="1" customWidth="1"/>
    <col min="3" max="3" width="28.28515625" style="1978" bestFit="1" customWidth="1"/>
    <col min="4" max="6" width="17.85546875" style="1978" bestFit="1" customWidth="1"/>
    <col min="7" max="7" width="14.5703125" style="1978" bestFit="1" customWidth="1"/>
    <col min="8" max="15" width="18.42578125" style="1978" bestFit="1" customWidth="1"/>
    <col min="16" max="17" width="17" style="1978" bestFit="1" customWidth="1"/>
    <col min="18" max="20" width="16.28515625" style="1978" bestFit="1" customWidth="1"/>
    <col min="21" max="21" width="24.5703125" style="1978" bestFit="1" customWidth="1"/>
    <col min="22" max="22" width="25" style="1978" bestFit="1" customWidth="1"/>
    <col min="23" max="24" width="25.28515625" style="1978" bestFit="1" customWidth="1"/>
    <col min="25" max="26" width="17" style="1978" bestFit="1" customWidth="1"/>
    <col min="27" max="27" width="15.7109375" style="1978" bestFit="1" customWidth="1"/>
    <col min="28" max="28" width="16.28515625" bestFit="1" customWidth="1"/>
  </cols>
  <sheetData>
    <row r="1" spans="1:43">
      <c r="A1" s="1565" t="s">
        <v>6416</v>
      </c>
      <c r="B1" s="1974" t="s">
        <v>6417</v>
      </c>
      <c r="C1" s="1974"/>
      <c r="D1" s="1975"/>
      <c r="E1" s="1975"/>
      <c r="F1" s="1975"/>
      <c r="G1" s="1975"/>
      <c r="H1" s="1975"/>
      <c r="I1" s="1975"/>
      <c r="J1" s="1975"/>
      <c r="K1" s="1975"/>
      <c r="L1" s="1975"/>
      <c r="M1" s="1975"/>
      <c r="N1" s="1975"/>
      <c r="O1" s="1976"/>
      <c r="P1" s="1976"/>
      <c r="Q1" s="1976"/>
      <c r="R1" s="1977"/>
      <c r="S1" s="1976"/>
      <c r="T1" s="1976"/>
      <c r="U1" s="1976"/>
      <c r="V1" s="1976"/>
      <c r="W1" s="1976"/>
      <c r="X1" s="1976"/>
    </row>
    <row r="2" spans="1:43">
      <c r="B2" s="1979" t="s">
        <v>6418</v>
      </c>
      <c r="C2" s="1979"/>
      <c r="D2" s="1976"/>
      <c r="E2" s="1976"/>
      <c r="F2" s="1976"/>
      <c r="G2" s="1976"/>
      <c r="H2" s="1976"/>
      <c r="I2" s="1976"/>
      <c r="J2" s="1976"/>
      <c r="K2" s="1976"/>
      <c r="L2" s="1976"/>
      <c r="M2" s="1976"/>
      <c r="N2" s="1976"/>
      <c r="O2" s="1976"/>
      <c r="P2" s="1976"/>
      <c r="Q2" s="1976"/>
      <c r="R2" s="1980"/>
      <c r="S2" s="1981"/>
      <c r="T2" s="1982"/>
      <c r="U2" s="1976"/>
      <c r="V2" s="1976"/>
      <c r="W2" s="1976"/>
      <c r="X2" s="1976"/>
    </row>
    <row r="3" spans="1:43">
      <c r="B3" s="1983" t="s">
        <v>3</v>
      </c>
      <c r="C3" s="1983"/>
      <c r="D3" s="1976">
        <v>2000</v>
      </c>
      <c r="E3" s="1976">
        <v>2001</v>
      </c>
      <c r="F3" s="1976">
        <v>2002</v>
      </c>
      <c r="G3" s="1976">
        <v>2003</v>
      </c>
      <c r="H3" s="1976">
        <v>2004</v>
      </c>
      <c r="I3" s="1976">
        <v>2005</v>
      </c>
      <c r="J3" s="1976">
        <v>2006</v>
      </c>
      <c r="K3" s="1976">
        <v>2007</v>
      </c>
      <c r="L3" s="1976">
        <v>2008</v>
      </c>
      <c r="M3" s="1976">
        <v>2009</v>
      </c>
      <c r="N3" s="1976">
        <v>2010</v>
      </c>
      <c r="O3" s="1976">
        <v>2011</v>
      </c>
      <c r="P3" s="1976">
        <v>2012</v>
      </c>
      <c r="Q3" s="1976">
        <v>2013</v>
      </c>
      <c r="R3" s="1976">
        <v>2014</v>
      </c>
      <c r="S3" s="1976">
        <v>2015</v>
      </c>
      <c r="T3" s="1976">
        <v>2016</v>
      </c>
      <c r="U3" s="1976">
        <v>2017</v>
      </c>
      <c r="V3" s="1976">
        <v>2018</v>
      </c>
      <c r="W3" s="1976">
        <v>2019</v>
      </c>
      <c r="X3" s="1976">
        <v>2020</v>
      </c>
      <c r="Y3" s="1976">
        <v>2021</v>
      </c>
      <c r="Z3" s="1976">
        <v>2022</v>
      </c>
    </row>
    <row r="4" spans="1:43">
      <c r="B4" s="1983" t="s">
        <v>4</v>
      </c>
      <c r="C4" s="1983"/>
      <c r="D4" s="1976" t="s">
        <v>5</v>
      </c>
      <c r="E4" s="1976" t="s">
        <v>6</v>
      </c>
      <c r="F4" s="1976" t="s">
        <v>7</v>
      </c>
      <c r="G4" s="1976" t="s">
        <v>8</v>
      </c>
      <c r="H4" s="1976" t="s">
        <v>9</v>
      </c>
      <c r="I4" s="1976" t="s">
        <v>10</v>
      </c>
      <c r="J4" s="1976" t="s">
        <v>11</v>
      </c>
      <c r="K4" s="1976" t="s">
        <v>12</v>
      </c>
      <c r="L4" s="1976" t="s">
        <v>13</v>
      </c>
      <c r="M4" s="1976" t="s">
        <v>14</v>
      </c>
      <c r="N4" s="1976" t="s">
        <v>15</v>
      </c>
      <c r="O4" s="1976" t="s">
        <v>16</v>
      </c>
      <c r="P4" s="1976" t="s">
        <v>17</v>
      </c>
      <c r="Q4" s="1976" t="s">
        <v>18</v>
      </c>
      <c r="R4" s="1977" t="s">
        <v>19</v>
      </c>
      <c r="S4" s="1976" t="s">
        <v>20</v>
      </c>
      <c r="T4" s="1976" t="s">
        <v>21</v>
      </c>
      <c r="U4" s="1976" t="s">
        <v>22</v>
      </c>
      <c r="V4" s="1976" t="s">
        <v>23</v>
      </c>
      <c r="W4" s="1976" t="s">
        <v>24</v>
      </c>
      <c r="X4" s="1976" t="s">
        <v>25</v>
      </c>
      <c r="Y4" s="2193" t="s">
        <v>26</v>
      </c>
      <c r="Z4" s="2193" t="s">
        <v>27</v>
      </c>
    </row>
    <row r="5" spans="1:43">
      <c r="A5" s="1978" t="s">
        <v>28</v>
      </c>
      <c r="B5" s="1983" t="s">
        <v>29</v>
      </c>
      <c r="C5" s="1983"/>
      <c r="D5" s="1976" t="s">
        <v>30</v>
      </c>
      <c r="E5" s="2189" t="s">
        <v>30</v>
      </c>
      <c r="F5" s="2189" t="s">
        <v>30</v>
      </c>
      <c r="G5" s="2189" t="s">
        <v>30</v>
      </c>
      <c r="H5" s="2189" t="s">
        <v>30</v>
      </c>
      <c r="I5" s="1990" t="s">
        <v>31</v>
      </c>
      <c r="J5" s="1990" t="s">
        <v>30</v>
      </c>
      <c r="K5" s="1990" t="s">
        <v>30</v>
      </c>
      <c r="L5" s="1990" t="s">
        <v>30</v>
      </c>
      <c r="M5" s="1990" t="s">
        <v>30</v>
      </c>
      <c r="N5" s="2189" t="s">
        <v>31</v>
      </c>
      <c r="O5" s="2189" t="s">
        <v>31</v>
      </c>
      <c r="P5" s="2189" t="s">
        <v>31</v>
      </c>
      <c r="Q5" s="2198" t="s">
        <v>31</v>
      </c>
      <c r="R5" s="2189" t="s">
        <v>30</v>
      </c>
      <c r="S5" s="2189" t="s">
        <v>30</v>
      </c>
      <c r="T5" s="2189" t="s">
        <v>30</v>
      </c>
      <c r="U5" s="2189" t="s">
        <v>369</v>
      </c>
      <c r="V5" s="2189" t="s">
        <v>32</v>
      </c>
      <c r="W5" s="1976" t="s">
        <v>32</v>
      </c>
      <c r="X5" s="1976" t="s">
        <v>32</v>
      </c>
      <c r="Y5" s="1976" t="s">
        <v>32</v>
      </c>
      <c r="Z5" s="1976" t="s">
        <v>32</v>
      </c>
    </row>
    <row r="6" spans="1:43" s="848" customFormat="1">
      <c r="A6" s="2052" t="s">
        <v>6419</v>
      </c>
      <c r="B6" s="2052" t="s">
        <v>6420</v>
      </c>
      <c r="C6" s="2052" t="s">
        <v>35</v>
      </c>
      <c r="D6" s="2052"/>
      <c r="E6" s="2052"/>
      <c r="F6" s="2199"/>
      <c r="G6" s="2200">
        <v>170800000000</v>
      </c>
      <c r="H6" s="2200">
        <v>179600000000</v>
      </c>
      <c r="I6" s="2200">
        <v>188000000000</v>
      </c>
      <c r="J6" s="2201">
        <v>211900000000</v>
      </c>
      <c r="K6" s="2201">
        <v>223700000000</v>
      </c>
      <c r="L6" s="2200">
        <v>241000000000</v>
      </c>
      <c r="M6" s="2200">
        <v>275200000000</v>
      </c>
      <c r="N6" s="2200">
        <v>321300000000</v>
      </c>
      <c r="O6" s="2200">
        <f>O7+O12</f>
        <v>362300000000</v>
      </c>
      <c r="P6" s="2200">
        <v>383500000000</v>
      </c>
      <c r="Q6" s="2200">
        <v>449100000000</v>
      </c>
      <c r="R6" s="2205">
        <v>466800000000</v>
      </c>
      <c r="S6" s="2205">
        <v>539500000000</v>
      </c>
      <c r="T6" s="2205">
        <v>571300000000</v>
      </c>
      <c r="U6" s="2581">
        <f>U7+U12</f>
        <v>595700000000</v>
      </c>
      <c r="V6" s="2581">
        <f t="shared" ref="V6:X6" si="0">V7+V12</f>
        <v>723500000000</v>
      </c>
      <c r="W6" s="2581">
        <f t="shared" si="0"/>
        <v>755700000000</v>
      </c>
      <c r="X6" s="2581">
        <f t="shared" si="0"/>
        <v>822400000000</v>
      </c>
      <c r="Y6" s="2582"/>
      <c r="Z6" s="2582"/>
      <c r="AA6" s="2583"/>
      <c r="AB6" s="2520"/>
      <c r="AC6" s="2520"/>
      <c r="AD6" s="2520"/>
      <c r="AE6" s="2520"/>
      <c r="AF6" s="2520"/>
      <c r="AG6" s="2520"/>
      <c r="AH6" s="2520"/>
      <c r="AI6" s="2520"/>
      <c r="AJ6" s="916"/>
      <c r="AK6" s="916"/>
      <c r="AL6" s="916"/>
      <c r="AM6" s="916"/>
      <c r="AN6" s="916"/>
      <c r="AO6" s="916"/>
      <c r="AP6" s="916"/>
      <c r="AQ6" s="916"/>
    </row>
    <row r="7" spans="1:43">
      <c r="A7" s="1985" t="s">
        <v>159</v>
      </c>
      <c r="B7" s="1985" t="s">
        <v>6421</v>
      </c>
      <c r="C7" s="1984" t="s">
        <v>38</v>
      </c>
      <c r="D7" s="1985"/>
      <c r="E7" s="1985"/>
      <c r="F7" s="1976"/>
      <c r="G7" s="2190">
        <v>165300000000</v>
      </c>
      <c r="H7" s="2190">
        <v>171700000000</v>
      </c>
      <c r="I7" s="2190">
        <v>174900000000</v>
      </c>
      <c r="J7" s="2191">
        <v>195900000000</v>
      </c>
      <c r="K7" s="2191">
        <v>203300000000</v>
      </c>
      <c r="L7" s="2190">
        <v>220700000000</v>
      </c>
      <c r="M7" s="2190">
        <v>252400000000</v>
      </c>
      <c r="N7" s="2190">
        <v>289100000000</v>
      </c>
      <c r="O7" s="2190">
        <f>O8+O11</f>
        <v>306500000000</v>
      </c>
      <c r="P7" s="2190">
        <v>351700000000</v>
      </c>
      <c r="Q7" s="2190">
        <v>386400000000</v>
      </c>
      <c r="R7" s="2206">
        <v>413900000000</v>
      </c>
      <c r="S7" s="2206">
        <v>482300000000</v>
      </c>
      <c r="T7" s="2206">
        <v>495700000000</v>
      </c>
      <c r="U7" s="125">
        <f>U8+U11</f>
        <v>507200000000</v>
      </c>
      <c r="V7" s="125">
        <f t="shared" ref="V7:X7" si="1">V8+V11</f>
        <v>606500000000</v>
      </c>
      <c r="W7" s="125">
        <f t="shared" si="1"/>
        <v>632000000000</v>
      </c>
      <c r="X7" s="125">
        <f t="shared" si="1"/>
        <v>688200000000</v>
      </c>
      <c r="Y7" s="2582"/>
      <c r="Z7" s="2582"/>
      <c r="AA7" s="2583"/>
      <c r="AB7" s="2520"/>
      <c r="AC7" s="2520"/>
      <c r="AD7" s="2520"/>
      <c r="AE7" s="2520"/>
      <c r="AF7" s="2520"/>
      <c r="AG7" s="2520"/>
      <c r="AH7" s="2520"/>
      <c r="AI7" s="2520"/>
      <c r="AJ7" s="365"/>
      <c r="AK7" s="365"/>
      <c r="AL7" s="365"/>
      <c r="AM7" s="365"/>
      <c r="AN7" s="365"/>
      <c r="AO7" s="365"/>
      <c r="AP7" s="365"/>
      <c r="AQ7" s="365"/>
    </row>
    <row r="8" spans="1:43">
      <c r="A8" s="1986" t="s">
        <v>39</v>
      </c>
      <c r="B8" s="1986" t="s">
        <v>6422</v>
      </c>
      <c r="C8" s="1985" t="s">
        <v>41</v>
      </c>
      <c r="D8" s="1985"/>
      <c r="E8" s="1985"/>
      <c r="G8" s="2190">
        <v>148700000000</v>
      </c>
      <c r="H8" s="2190">
        <v>161000000000</v>
      </c>
      <c r="I8" s="2190">
        <v>162100000000</v>
      </c>
      <c r="J8" s="2191">
        <v>179100000000</v>
      </c>
      <c r="K8" s="2191">
        <v>195900000000</v>
      </c>
      <c r="L8" s="2190">
        <v>211200000000</v>
      </c>
      <c r="M8" s="2190">
        <v>229000000000</v>
      </c>
      <c r="N8" s="2190">
        <v>238900000000</v>
      </c>
      <c r="O8" s="2190">
        <f>O9+O10</f>
        <v>281400000000</v>
      </c>
      <c r="P8" s="2190">
        <v>307900000000</v>
      </c>
      <c r="Q8" s="2190">
        <v>338400000000</v>
      </c>
      <c r="R8" s="2206">
        <v>369600000000</v>
      </c>
      <c r="S8" s="2206">
        <v>427600000000</v>
      </c>
      <c r="T8" s="2206">
        <v>444700000000</v>
      </c>
      <c r="U8" s="125">
        <f>U9+U10</f>
        <v>449000000000</v>
      </c>
      <c r="V8" s="125">
        <f t="shared" ref="V8:X8" si="2">V9+V10</f>
        <v>518300000000</v>
      </c>
      <c r="W8" s="125">
        <f t="shared" si="2"/>
        <v>553100000000</v>
      </c>
      <c r="X8" s="125">
        <f t="shared" si="2"/>
        <v>602600000000</v>
      </c>
      <c r="Y8" s="2582"/>
      <c r="Z8" s="2582"/>
      <c r="AA8" s="2583"/>
      <c r="AB8" s="2520"/>
      <c r="AC8" s="2520"/>
      <c r="AD8" s="2520"/>
      <c r="AE8" s="2520"/>
      <c r="AF8" s="2520"/>
      <c r="AG8" s="2520"/>
      <c r="AH8" s="2520"/>
      <c r="AI8" s="2520"/>
      <c r="AJ8" s="365"/>
      <c r="AK8" s="365"/>
      <c r="AL8" s="365"/>
      <c r="AM8" s="365"/>
      <c r="AN8" s="365"/>
      <c r="AO8" s="365"/>
      <c r="AP8" s="365"/>
      <c r="AQ8" s="365"/>
    </row>
    <row r="9" spans="1:43">
      <c r="A9" s="1987" t="s">
        <v>6423</v>
      </c>
      <c r="B9" s="1987" t="s">
        <v>6424</v>
      </c>
      <c r="C9" s="1978" t="s">
        <v>44</v>
      </c>
      <c r="D9" s="1985"/>
      <c r="E9" s="1985"/>
      <c r="G9" s="2190">
        <v>84300000000</v>
      </c>
      <c r="H9" s="2190">
        <v>92000000000</v>
      </c>
      <c r="I9" s="2190">
        <v>81000000000</v>
      </c>
      <c r="J9" s="2191">
        <v>86800000000</v>
      </c>
      <c r="K9" s="2191">
        <v>89700000000</v>
      </c>
      <c r="L9" s="2190">
        <v>91200000000</v>
      </c>
      <c r="M9" s="2190">
        <v>105700000000</v>
      </c>
      <c r="N9" s="2190">
        <v>105700000000</v>
      </c>
      <c r="O9" s="2190">
        <v>118500000000</v>
      </c>
      <c r="P9" s="2190">
        <v>139000000000</v>
      </c>
      <c r="Q9" s="2190">
        <v>154600000000</v>
      </c>
      <c r="R9" s="2206">
        <v>175000000000</v>
      </c>
      <c r="S9" s="2206">
        <v>213600000000</v>
      </c>
      <c r="T9" s="2206">
        <v>238000000000</v>
      </c>
      <c r="U9" s="125">
        <v>247200000000</v>
      </c>
      <c r="V9" s="125">
        <v>297900000000</v>
      </c>
      <c r="W9" s="125">
        <v>318000000000</v>
      </c>
      <c r="X9" s="125">
        <v>344900000000</v>
      </c>
      <c r="Y9" s="2582"/>
      <c r="Z9" s="2582"/>
      <c r="AA9" s="2582"/>
      <c r="AB9" s="2582"/>
      <c r="AC9" s="2520"/>
      <c r="AD9" s="2520"/>
      <c r="AE9" s="2520"/>
      <c r="AF9" s="2520"/>
      <c r="AG9" s="2520"/>
      <c r="AH9" s="2520"/>
      <c r="AI9" s="2520"/>
      <c r="AJ9" s="365"/>
      <c r="AK9" s="365"/>
      <c r="AL9" s="365"/>
      <c r="AM9" s="365"/>
      <c r="AN9" s="365"/>
      <c r="AO9" s="365"/>
      <c r="AP9" s="365"/>
      <c r="AQ9" s="365"/>
    </row>
    <row r="10" spans="1:43">
      <c r="A10" s="1987" t="s">
        <v>6425</v>
      </c>
      <c r="B10" s="1987" t="s">
        <v>6426</v>
      </c>
      <c r="C10" s="1978" t="s">
        <v>44</v>
      </c>
      <c r="D10" s="1985"/>
      <c r="E10" s="1985"/>
      <c r="G10" s="2190">
        <v>64400000000.000008</v>
      </c>
      <c r="H10" s="2190">
        <v>68900000000</v>
      </c>
      <c r="I10" s="2190">
        <v>81000000000</v>
      </c>
      <c r="J10" s="2191">
        <v>92300000000</v>
      </c>
      <c r="K10" s="2191">
        <v>106200000000</v>
      </c>
      <c r="L10" s="2190">
        <v>120000000000</v>
      </c>
      <c r="M10" s="2190">
        <v>123300000000</v>
      </c>
      <c r="N10" s="2190">
        <v>133199999999.99998</v>
      </c>
      <c r="O10" s="2190">
        <v>162900000000</v>
      </c>
      <c r="P10" s="2190">
        <v>168900000000</v>
      </c>
      <c r="Q10" s="2190">
        <v>183800000000</v>
      </c>
      <c r="R10" s="2206">
        <v>194600000000</v>
      </c>
      <c r="S10" s="2206">
        <v>214000000000</v>
      </c>
      <c r="T10" s="2206">
        <v>206800000000</v>
      </c>
      <c r="U10" s="125">
        <v>201800000000</v>
      </c>
      <c r="V10" s="125">
        <v>220400000000</v>
      </c>
      <c r="W10" s="125">
        <v>235100000000</v>
      </c>
      <c r="X10" s="125">
        <v>257700000000</v>
      </c>
      <c r="Y10" s="2582"/>
      <c r="Z10" s="2582"/>
      <c r="AA10" s="2582"/>
      <c r="AB10" s="2582"/>
      <c r="AC10" s="2520"/>
      <c r="AD10" s="2520"/>
      <c r="AE10" s="2520"/>
      <c r="AF10" s="2520"/>
      <c r="AG10" s="2520"/>
      <c r="AH10" s="2520"/>
      <c r="AI10" s="2520"/>
      <c r="AJ10" s="365"/>
      <c r="AK10" s="365"/>
      <c r="AL10" s="365"/>
      <c r="AM10" s="365"/>
      <c r="AN10" s="365"/>
      <c r="AO10" s="365"/>
      <c r="AP10" s="365"/>
      <c r="AQ10" s="365"/>
    </row>
    <row r="11" spans="1:43">
      <c r="A11" s="1986" t="s">
        <v>51</v>
      </c>
      <c r="B11" s="1986" t="s">
        <v>6427</v>
      </c>
      <c r="C11" s="1985" t="s">
        <v>41</v>
      </c>
      <c r="D11" s="1985"/>
      <c r="E11" s="1985"/>
      <c r="G11" s="2190">
        <v>16500000000</v>
      </c>
      <c r="H11" s="2190">
        <v>10700000000</v>
      </c>
      <c r="I11" s="2190">
        <v>12800000000</v>
      </c>
      <c r="J11" s="2191">
        <v>16800000000</v>
      </c>
      <c r="K11" s="2191">
        <v>7400000000</v>
      </c>
      <c r="L11" s="2190">
        <v>9400000000</v>
      </c>
      <c r="M11" s="2190">
        <v>23400000000</v>
      </c>
      <c r="N11" s="2190">
        <v>50200000000</v>
      </c>
      <c r="O11" s="2190">
        <v>25100000000</v>
      </c>
      <c r="P11" s="2190">
        <v>43900000000</v>
      </c>
      <c r="Q11" s="2190">
        <v>48000000000</v>
      </c>
      <c r="R11" s="2206">
        <v>44300000000</v>
      </c>
      <c r="S11" s="2206">
        <v>54700000000</v>
      </c>
      <c r="T11" s="2206">
        <v>50900000000</v>
      </c>
      <c r="U11" s="125">
        <v>58200000000</v>
      </c>
      <c r="V11" s="125">
        <v>88200000000</v>
      </c>
      <c r="W11" s="125">
        <v>78900000000</v>
      </c>
      <c r="X11" s="125">
        <v>85600000000</v>
      </c>
      <c r="Y11" s="2582"/>
      <c r="Z11" s="2582"/>
      <c r="AA11" s="2582"/>
      <c r="AB11" s="2582"/>
      <c r="AC11" s="2520"/>
      <c r="AD11" s="2520"/>
      <c r="AE11" s="2520"/>
      <c r="AF11" s="2520"/>
      <c r="AG11" s="2520"/>
      <c r="AH11" s="2520"/>
      <c r="AI11" s="2520"/>
      <c r="AJ11" s="365"/>
      <c r="AK11" s="365"/>
      <c r="AL11" s="365"/>
      <c r="AM11" s="365"/>
      <c r="AN11" s="365"/>
      <c r="AO11" s="365"/>
      <c r="AP11" s="365"/>
      <c r="AQ11" s="365"/>
    </row>
    <row r="12" spans="1:43" s="848" customFormat="1">
      <c r="A12" s="2199" t="s">
        <v>795</v>
      </c>
      <c r="B12" s="2052" t="s">
        <v>6428</v>
      </c>
      <c r="C12" s="2202" t="s">
        <v>38</v>
      </c>
      <c r="D12" s="2052"/>
      <c r="E12" s="2052"/>
      <c r="F12" s="2199"/>
      <c r="G12" s="2200">
        <v>5500000000</v>
      </c>
      <c r="H12" s="2200">
        <v>7900000000</v>
      </c>
      <c r="I12" s="2200">
        <v>13100000000</v>
      </c>
      <c r="J12" s="2201">
        <v>16000000000</v>
      </c>
      <c r="K12" s="2201">
        <v>20400000000</v>
      </c>
      <c r="L12" s="2200">
        <v>20300000000</v>
      </c>
      <c r="M12" s="2200">
        <v>22800000000</v>
      </c>
      <c r="N12" s="2200">
        <v>32200000000.000004</v>
      </c>
      <c r="O12" s="2200">
        <v>55800000000</v>
      </c>
      <c r="P12" s="2200">
        <v>31700000000</v>
      </c>
      <c r="Q12" s="2200">
        <v>62800000000</v>
      </c>
      <c r="R12" s="2205">
        <v>52900000000</v>
      </c>
      <c r="S12" s="2205">
        <v>57200000000</v>
      </c>
      <c r="T12" s="2205">
        <v>75600000000</v>
      </c>
      <c r="U12" s="2581">
        <v>88500000000</v>
      </c>
      <c r="V12" s="2581">
        <v>117000000000</v>
      </c>
      <c r="W12" s="2581">
        <v>123700000000</v>
      </c>
      <c r="X12" s="2581">
        <v>134199999999.99998</v>
      </c>
      <c r="Y12" s="2582"/>
      <c r="Z12" s="2582"/>
      <c r="AA12" s="2583"/>
      <c r="AB12" s="2520"/>
      <c r="AC12" s="2520"/>
      <c r="AD12" s="2520"/>
      <c r="AE12" s="2520"/>
      <c r="AF12" s="2520"/>
      <c r="AG12" s="2520"/>
      <c r="AH12" s="2520"/>
      <c r="AI12" s="2520"/>
      <c r="AJ12" s="916"/>
      <c r="AK12" s="916"/>
      <c r="AL12" s="916"/>
      <c r="AM12" s="916"/>
      <c r="AN12" s="916"/>
      <c r="AO12" s="916"/>
      <c r="AP12" s="916"/>
      <c r="AQ12" s="916"/>
    </row>
    <row r="13" spans="1:43" s="848" customFormat="1">
      <c r="A13" s="2052" t="s">
        <v>198</v>
      </c>
      <c r="B13" s="2052" t="s">
        <v>6429</v>
      </c>
      <c r="C13" s="2052" t="s">
        <v>35</v>
      </c>
      <c r="D13" s="2052"/>
      <c r="E13" s="2052"/>
      <c r="F13" s="2199"/>
      <c r="G13" s="2200">
        <v>147000000000</v>
      </c>
      <c r="H13" s="2200">
        <v>169800000000</v>
      </c>
      <c r="I13" s="2200">
        <v>215000000000</v>
      </c>
      <c r="J13" s="2201">
        <v>255900000000</v>
      </c>
      <c r="K13" s="2201">
        <v>246500000000</v>
      </c>
      <c r="L13" s="2200">
        <v>253100000000</v>
      </c>
      <c r="M13" s="2200">
        <v>317300000000</v>
      </c>
      <c r="N13" s="2200">
        <v>354400000000</v>
      </c>
      <c r="O13" s="2200">
        <f>O16+O29</f>
        <v>422110000000</v>
      </c>
      <c r="P13" s="2200">
        <f t="shared" ref="P13:Q13" si="3">P16+P29</f>
        <v>527900000000</v>
      </c>
      <c r="Q13" s="2200">
        <f t="shared" si="3"/>
        <v>548900000000</v>
      </c>
      <c r="R13" s="2210">
        <f>R16+R29</f>
        <v>621500000000</v>
      </c>
      <c r="S13" s="2210">
        <f>S16+S29</f>
        <v>757700000000</v>
      </c>
      <c r="T13" s="2205">
        <v>823900000000</v>
      </c>
      <c r="U13" s="2581">
        <f>U16+U29</f>
        <v>603400000000</v>
      </c>
      <c r="V13" s="2581">
        <f t="shared" ref="V13:X13" si="4">V16+V29</f>
        <v>815300000000</v>
      </c>
      <c r="W13" s="2581">
        <f t="shared" si="4"/>
        <v>772500000000</v>
      </c>
      <c r="X13" s="2581">
        <f t="shared" si="4"/>
        <v>833000000000</v>
      </c>
      <c r="Y13" s="2582"/>
      <c r="Z13" s="2582"/>
      <c r="AA13" s="2583"/>
      <c r="AB13" s="2520"/>
      <c r="AC13" s="2520"/>
      <c r="AD13" s="2520"/>
      <c r="AE13" s="2520"/>
      <c r="AF13" s="2520"/>
      <c r="AG13" s="2520"/>
      <c r="AH13" s="2520"/>
      <c r="AI13" s="2520"/>
      <c r="AJ13" s="916"/>
      <c r="AK13" s="916"/>
      <c r="AL13" s="916"/>
      <c r="AM13" s="916"/>
      <c r="AN13" s="916"/>
      <c r="AO13" s="916"/>
      <c r="AP13" s="916"/>
      <c r="AQ13" s="916"/>
    </row>
    <row r="14" spans="1:43">
      <c r="A14" s="1978" t="s">
        <v>76</v>
      </c>
      <c r="B14" s="1985" t="s">
        <v>6430</v>
      </c>
      <c r="C14" s="1985"/>
      <c r="D14" s="1985"/>
      <c r="E14" s="1985"/>
      <c r="F14" s="1985"/>
      <c r="G14" s="2190"/>
      <c r="H14" s="2190"/>
      <c r="I14" s="2190"/>
      <c r="J14" s="2191">
        <v>208200000000</v>
      </c>
      <c r="K14" s="2191">
        <v>200500000000</v>
      </c>
      <c r="L14" s="2190">
        <v>214800000000</v>
      </c>
      <c r="M14" s="2190">
        <v>259100000000.00003</v>
      </c>
      <c r="N14" s="2190">
        <v>262000000000</v>
      </c>
      <c r="O14" s="2190">
        <v>334400000000</v>
      </c>
      <c r="P14" s="2190">
        <v>405100000000</v>
      </c>
      <c r="Q14" s="2190">
        <v>425000000000</v>
      </c>
      <c r="R14" s="2206">
        <v>484700000000</v>
      </c>
      <c r="S14" s="2206">
        <v>561500000000</v>
      </c>
      <c r="T14" s="2206">
        <v>614500000000</v>
      </c>
      <c r="U14" s="125"/>
      <c r="V14" s="125"/>
      <c r="W14" s="125"/>
      <c r="X14" s="125"/>
      <c r="Y14" s="2582"/>
      <c r="Z14" s="2582"/>
      <c r="AA14" s="2583"/>
      <c r="AB14" s="2520"/>
      <c r="AC14" s="2520"/>
      <c r="AD14" s="2520"/>
      <c r="AE14" s="2520"/>
      <c r="AF14" s="2520"/>
      <c r="AG14" s="2520"/>
      <c r="AH14" s="2520"/>
      <c r="AI14" s="2520"/>
      <c r="AJ14" s="365"/>
      <c r="AK14" s="365"/>
      <c r="AL14" s="365"/>
      <c r="AM14" s="365"/>
      <c r="AN14" s="365"/>
      <c r="AO14" s="365"/>
      <c r="AP14" s="365"/>
      <c r="AQ14" s="365"/>
    </row>
    <row r="15" spans="1:43">
      <c r="A15" s="1978" t="s">
        <v>76</v>
      </c>
      <c r="B15" s="1985" t="s">
        <v>6431</v>
      </c>
      <c r="D15" s="1985"/>
      <c r="E15" s="1985"/>
      <c r="F15" s="1985"/>
      <c r="G15" s="2190"/>
      <c r="H15" s="2190"/>
      <c r="I15" s="2190"/>
      <c r="J15" s="2190"/>
      <c r="K15" s="2190"/>
      <c r="L15" s="2190"/>
      <c r="M15" s="2190" t="s">
        <v>78</v>
      </c>
      <c r="N15" s="2190" t="s">
        <v>78</v>
      </c>
      <c r="O15" s="2190">
        <v>3400000000</v>
      </c>
      <c r="P15" s="2190"/>
      <c r="Q15" s="2190"/>
      <c r="R15" s="2206"/>
      <c r="S15" s="2206"/>
      <c r="T15" s="2206"/>
      <c r="U15" s="125"/>
      <c r="V15" s="125"/>
      <c r="W15" s="125"/>
      <c r="X15" s="125"/>
      <c r="Y15" s="2582"/>
      <c r="Z15" s="2582"/>
      <c r="AA15" s="2583"/>
      <c r="AB15" s="2520"/>
      <c r="AC15" s="2520"/>
      <c r="AD15" s="2520"/>
      <c r="AE15" s="2520"/>
      <c r="AF15" s="2520"/>
      <c r="AG15" s="2520"/>
      <c r="AH15" s="2520"/>
      <c r="AI15" s="2520"/>
      <c r="AJ15" s="365"/>
      <c r="AK15" s="365"/>
      <c r="AL15" s="365"/>
      <c r="AM15" s="365"/>
      <c r="AN15" s="365"/>
      <c r="AO15" s="365"/>
      <c r="AP15" s="365"/>
      <c r="AQ15" s="365"/>
    </row>
    <row r="16" spans="1:43">
      <c r="A16" s="2193" t="s">
        <v>73</v>
      </c>
      <c r="B16" s="1985" t="s">
        <v>6432</v>
      </c>
      <c r="C16" s="1985" t="s">
        <v>201</v>
      </c>
      <c r="D16" s="1985"/>
      <c r="E16" s="1985"/>
      <c r="F16" s="1985"/>
      <c r="G16" s="2190">
        <v>136800000000.00002</v>
      </c>
      <c r="H16" s="2190">
        <v>153900000000</v>
      </c>
      <c r="I16" s="2190">
        <v>184100000000</v>
      </c>
      <c r="J16" s="2191">
        <v>214300000000</v>
      </c>
      <c r="K16" s="2191">
        <v>222400000000</v>
      </c>
      <c r="L16" s="2190">
        <v>208200000000</v>
      </c>
      <c r="M16" s="2190">
        <v>235000000000</v>
      </c>
      <c r="N16" s="2190">
        <v>230800000000</v>
      </c>
      <c r="O16" s="2190">
        <f>O17+O25</f>
        <v>277810000000</v>
      </c>
      <c r="P16" s="2190">
        <f t="shared" ref="P16:Q16" si="5">P17+P25</f>
        <v>352800000000</v>
      </c>
      <c r="Q16" s="2190">
        <f t="shared" si="5"/>
        <v>371400000000</v>
      </c>
      <c r="R16" s="2206">
        <v>365300000000</v>
      </c>
      <c r="S16" s="2206">
        <f>S17+S24+S25</f>
        <v>438100000000</v>
      </c>
      <c r="T16" s="2206">
        <v>456700000000</v>
      </c>
      <c r="U16" s="125">
        <f>U17+U25</f>
        <v>429000000000</v>
      </c>
      <c r="V16" s="125">
        <f t="shared" ref="V16:X16" si="6">V17+V25</f>
        <v>515500000000</v>
      </c>
      <c r="W16" s="125">
        <f t="shared" si="6"/>
        <v>559400000000</v>
      </c>
      <c r="X16" s="125">
        <f t="shared" si="6"/>
        <v>599800000000</v>
      </c>
      <c r="Y16" s="2582"/>
      <c r="Z16" s="2582"/>
      <c r="AA16" s="2583"/>
      <c r="AB16" s="2520"/>
      <c r="AC16" s="2520"/>
      <c r="AD16" s="2520"/>
      <c r="AE16" s="2520"/>
      <c r="AF16" s="2520"/>
      <c r="AG16" s="2520"/>
      <c r="AH16" s="2520"/>
      <c r="AI16" s="2520"/>
      <c r="AJ16" s="365"/>
      <c r="AK16" s="365"/>
      <c r="AL16" s="365"/>
      <c r="AM16" s="365"/>
      <c r="AN16" s="365"/>
      <c r="AO16" s="365"/>
      <c r="AP16" s="365"/>
      <c r="AQ16" s="365"/>
    </row>
    <row r="17" spans="1:43">
      <c r="A17" s="1986" t="s">
        <v>6433</v>
      </c>
      <c r="B17" s="1986" t="s">
        <v>6434</v>
      </c>
      <c r="C17" s="1985" t="s">
        <v>204</v>
      </c>
      <c r="D17" s="1985"/>
      <c r="E17" s="1985"/>
      <c r="F17" s="1985"/>
      <c r="G17" s="2190">
        <v>118900000000</v>
      </c>
      <c r="H17" s="2190">
        <v>136000000000</v>
      </c>
      <c r="I17" s="2190">
        <v>166800000000</v>
      </c>
      <c r="J17" s="2191">
        <v>184700000000</v>
      </c>
      <c r="K17" s="2191">
        <v>186500000000</v>
      </c>
      <c r="L17" s="2190">
        <v>192500000000</v>
      </c>
      <c r="M17" s="2190">
        <v>221100000000</v>
      </c>
      <c r="N17" s="2190">
        <v>215700000000</v>
      </c>
      <c r="O17" s="2190">
        <f>O18+O19+O20</f>
        <v>266300000000</v>
      </c>
      <c r="P17" s="2190">
        <f t="shared" ref="P17:Q17" si="7">P18+P19+P20</f>
        <v>334200000000</v>
      </c>
      <c r="Q17" s="2190">
        <f t="shared" si="7"/>
        <v>348000000000</v>
      </c>
      <c r="R17" s="2206">
        <v>331400000000</v>
      </c>
      <c r="S17" s="2206">
        <v>379000000000</v>
      </c>
      <c r="T17" s="2206">
        <v>393800000000</v>
      </c>
      <c r="U17" s="125">
        <f>U18+U19+U20</f>
        <v>380400000000</v>
      </c>
      <c r="V17" s="125">
        <f t="shared" ref="V17:X17" si="8">V18+V19+V20</f>
        <v>444500000000</v>
      </c>
      <c r="W17" s="125">
        <f t="shared" si="8"/>
        <v>479000000000</v>
      </c>
      <c r="X17" s="125">
        <f t="shared" si="8"/>
        <v>520100000000</v>
      </c>
      <c r="Y17" s="2582"/>
      <c r="Z17" s="2582"/>
      <c r="AA17" s="2583"/>
      <c r="AB17" s="2520"/>
      <c r="AC17" s="2520"/>
      <c r="AD17" s="2520"/>
      <c r="AE17" s="2520"/>
      <c r="AF17" s="2520"/>
      <c r="AG17" s="2520"/>
      <c r="AH17" s="2520"/>
      <c r="AI17" s="2520"/>
      <c r="AJ17" s="365"/>
      <c r="AK17" s="365"/>
      <c r="AL17" s="365"/>
      <c r="AM17" s="365"/>
      <c r="AN17" s="365"/>
      <c r="AO17" s="365"/>
      <c r="AP17" s="365"/>
      <c r="AQ17" s="365"/>
    </row>
    <row r="18" spans="1:43">
      <c r="A18" s="1986" t="s">
        <v>79</v>
      </c>
      <c r="B18" s="1986" t="s">
        <v>6435</v>
      </c>
      <c r="C18" s="1985" t="s">
        <v>6436</v>
      </c>
      <c r="D18" s="1985"/>
      <c r="E18" s="1985"/>
      <c r="F18" s="1985"/>
      <c r="G18" s="2190">
        <v>51700000000</v>
      </c>
      <c r="H18" s="2190">
        <v>51700000000</v>
      </c>
      <c r="I18" s="2190">
        <v>49200000000</v>
      </c>
      <c r="J18" s="2191">
        <v>59300000000</v>
      </c>
      <c r="K18" s="2191">
        <v>64300000000</v>
      </c>
      <c r="L18" s="2190">
        <v>69100000000</v>
      </c>
      <c r="M18" s="2190">
        <v>94200000000</v>
      </c>
      <c r="N18" s="2190">
        <v>82600000000</v>
      </c>
      <c r="O18" s="2190">
        <v>104700000000</v>
      </c>
      <c r="P18" s="2190">
        <v>120400000000</v>
      </c>
      <c r="Q18" s="2190">
        <v>130600000000</v>
      </c>
      <c r="R18" s="2206">
        <v>143400000000</v>
      </c>
      <c r="S18" s="2206">
        <v>171700000000</v>
      </c>
      <c r="T18" s="2206">
        <v>182700000000</v>
      </c>
      <c r="U18" s="125">
        <v>192800000000</v>
      </c>
      <c r="V18" s="125">
        <v>204000000000</v>
      </c>
      <c r="W18" s="125">
        <v>219700000000</v>
      </c>
      <c r="X18" s="125">
        <v>238500000000</v>
      </c>
      <c r="Y18" s="2582"/>
      <c r="Z18" s="2582"/>
      <c r="AA18" s="2582"/>
      <c r="AB18" s="2582"/>
      <c r="AC18" s="2520"/>
      <c r="AD18" s="2520"/>
      <c r="AE18" s="2520"/>
      <c r="AF18" s="2520"/>
      <c r="AG18" s="2520"/>
      <c r="AH18" s="2520"/>
      <c r="AI18" s="2520"/>
      <c r="AJ18" s="365"/>
      <c r="AK18" s="365"/>
      <c r="AL18" s="365"/>
      <c r="AM18" s="365"/>
      <c r="AN18" s="365"/>
      <c r="AO18" s="365"/>
      <c r="AP18" s="365"/>
      <c r="AQ18" s="365"/>
    </row>
    <row r="19" spans="1:43">
      <c r="A19" s="1986" t="s">
        <v>83</v>
      </c>
      <c r="B19" s="1986" t="s">
        <v>6437</v>
      </c>
      <c r="C19" s="1985" t="s">
        <v>6436</v>
      </c>
      <c r="D19" s="1985"/>
      <c r="E19" s="1985"/>
      <c r="F19" s="1985"/>
      <c r="G19" s="2190">
        <v>38400000000</v>
      </c>
      <c r="H19" s="2190">
        <v>37200000000</v>
      </c>
      <c r="I19" s="2190">
        <v>46900000000</v>
      </c>
      <c r="J19" s="2191">
        <v>66700000000</v>
      </c>
      <c r="K19" s="2191">
        <v>53600000000</v>
      </c>
      <c r="L19" s="2190">
        <v>58600000000</v>
      </c>
      <c r="M19" s="2190">
        <v>64500000000</v>
      </c>
      <c r="N19" s="2190">
        <v>59500000000</v>
      </c>
      <c r="O19" s="2190">
        <v>63700000000</v>
      </c>
      <c r="P19" s="2190">
        <v>88500000000</v>
      </c>
      <c r="Q19" s="2190">
        <v>74800000000</v>
      </c>
      <c r="R19" s="2206">
        <v>63400000000</v>
      </c>
      <c r="S19" s="2206">
        <v>89400000000</v>
      </c>
      <c r="T19" s="2206">
        <v>100300000000</v>
      </c>
      <c r="U19" s="125">
        <v>84300000000</v>
      </c>
      <c r="V19" s="125">
        <v>114700000000</v>
      </c>
      <c r="W19" s="125">
        <v>123300000000</v>
      </c>
      <c r="X19" s="125">
        <v>133800000000.00002</v>
      </c>
      <c r="Y19" s="2582"/>
      <c r="Z19" s="2582"/>
      <c r="AA19" s="2582"/>
      <c r="AB19" s="2582"/>
      <c r="AC19" s="2520"/>
      <c r="AD19" s="2520"/>
      <c r="AE19" s="2520"/>
      <c r="AF19" s="2520"/>
      <c r="AG19" s="2520"/>
      <c r="AH19" s="2520"/>
      <c r="AI19" s="2520"/>
      <c r="AJ19" s="365"/>
      <c r="AK19" s="365"/>
      <c r="AL19" s="365"/>
      <c r="AM19" s="365"/>
      <c r="AN19" s="365"/>
      <c r="AO19" s="365"/>
      <c r="AP19" s="365"/>
      <c r="AQ19" s="365"/>
    </row>
    <row r="20" spans="1:43">
      <c r="A20" s="1986" t="s">
        <v>2238</v>
      </c>
      <c r="B20" s="1986" t="s">
        <v>6438</v>
      </c>
      <c r="C20" s="1985" t="s">
        <v>6436</v>
      </c>
      <c r="D20" s="1985"/>
      <c r="E20" s="1985"/>
      <c r="F20" s="1985"/>
      <c r="G20" s="2190">
        <v>16899999999.999998</v>
      </c>
      <c r="H20" s="2190">
        <v>21400000000</v>
      </c>
      <c r="I20" s="2190">
        <v>26600000000</v>
      </c>
      <c r="J20" s="2191">
        <v>44000000000</v>
      </c>
      <c r="K20" s="2191">
        <v>62000000000</v>
      </c>
      <c r="L20" s="2190">
        <v>49100000000</v>
      </c>
      <c r="M20" s="2190">
        <v>59200000000</v>
      </c>
      <c r="N20" s="2190">
        <v>69400000000</v>
      </c>
      <c r="O20" s="2190">
        <v>97900000000</v>
      </c>
      <c r="P20" s="2190">
        <v>125300000000</v>
      </c>
      <c r="Q20" s="2190">
        <v>142600000000</v>
      </c>
      <c r="R20" s="2206">
        <v>124600000000</v>
      </c>
      <c r="S20" s="2206">
        <v>115900000000</v>
      </c>
      <c r="T20" s="2206">
        <v>110800000000</v>
      </c>
      <c r="U20" s="125">
        <v>103300000000</v>
      </c>
      <c r="V20" s="125">
        <v>125800000000</v>
      </c>
      <c r="W20" s="125">
        <v>136000000000</v>
      </c>
      <c r="X20" s="125">
        <v>147800000000</v>
      </c>
      <c r="Y20" s="2582"/>
      <c r="Z20" s="2582"/>
      <c r="AA20" s="2582"/>
      <c r="AB20" s="2582"/>
      <c r="AC20" s="2520"/>
      <c r="AD20" s="2520"/>
      <c r="AE20" s="2520"/>
      <c r="AF20" s="2520"/>
      <c r="AG20" s="2520"/>
      <c r="AH20" s="2520"/>
      <c r="AI20" s="2520"/>
      <c r="AJ20" s="365"/>
      <c r="AK20" s="365"/>
      <c r="AL20" s="365"/>
      <c r="AM20" s="365"/>
      <c r="AN20" s="365"/>
      <c r="AO20" s="365"/>
      <c r="AP20" s="365"/>
      <c r="AQ20" s="365"/>
    </row>
    <row r="21" spans="1:43">
      <c r="A21" s="1978" t="s">
        <v>76</v>
      </c>
      <c r="B21" s="1987" t="s">
        <v>6439</v>
      </c>
      <c r="D21" s="1985"/>
      <c r="E21" s="1985"/>
      <c r="F21" s="1985"/>
      <c r="G21" s="2190"/>
      <c r="H21" s="2190"/>
      <c r="I21" s="2190"/>
      <c r="J21" s="2190"/>
      <c r="K21" s="2190"/>
      <c r="L21" s="2190"/>
      <c r="M21" s="2190" t="s">
        <v>78</v>
      </c>
      <c r="N21" s="2190">
        <v>3700000000</v>
      </c>
      <c r="O21" s="2190">
        <v>32500000000</v>
      </c>
      <c r="P21" s="2190">
        <v>42500000000</v>
      </c>
      <c r="Q21" s="2190">
        <v>40400000000</v>
      </c>
      <c r="R21" s="2206"/>
      <c r="S21" s="2206"/>
      <c r="T21" s="2206"/>
      <c r="U21" s="125"/>
      <c r="V21" s="125"/>
      <c r="W21" s="125"/>
      <c r="X21" s="125"/>
      <c r="Y21" s="2582"/>
      <c r="Z21" s="2582"/>
      <c r="AA21" s="2583"/>
      <c r="AB21" s="2520"/>
      <c r="AC21" s="2520"/>
      <c r="AD21" s="2520"/>
      <c r="AE21" s="2520"/>
      <c r="AF21" s="2520"/>
      <c r="AG21" s="2520"/>
      <c r="AH21" s="2520"/>
      <c r="AI21" s="2520"/>
      <c r="AJ21" s="365"/>
      <c r="AK21" s="365"/>
      <c r="AL21" s="365"/>
      <c r="AM21" s="365"/>
      <c r="AN21" s="365"/>
      <c r="AO21" s="365"/>
      <c r="AP21" s="365"/>
      <c r="AQ21" s="365"/>
    </row>
    <row r="22" spans="1:43">
      <c r="A22" s="1986" t="s">
        <v>6440</v>
      </c>
      <c r="B22" s="1986" t="s">
        <v>6441</v>
      </c>
      <c r="C22" s="1985" t="s">
        <v>6436</v>
      </c>
      <c r="D22" s="1985"/>
      <c r="E22" s="1985"/>
      <c r="F22" s="1985"/>
      <c r="G22" s="2190">
        <v>7400000000</v>
      </c>
      <c r="H22" s="2190">
        <v>5000000000</v>
      </c>
      <c r="I22" s="2190">
        <v>8199999999.999999</v>
      </c>
      <c r="J22" s="2191"/>
      <c r="K22" s="2191"/>
      <c r="L22" s="2191"/>
      <c r="M22" s="2190"/>
      <c r="N22" s="2190"/>
      <c r="O22" s="2190"/>
      <c r="P22" s="2190"/>
      <c r="Q22" s="2190"/>
      <c r="R22" s="2206"/>
      <c r="S22" s="2206"/>
      <c r="T22" s="2206"/>
      <c r="U22" s="125"/>
      <c r="V22" s="125"/>
      <c r="W22" s="125"/>
      <c r="X22" s="125"/>
      <c r="Y22" s="2582"/>
      <c r="Z22" s="2582"/>
      <c r="AA22" s="2583"/>
      <c r="AB22" s="2520"/>
      <c r="AC22" s="2520"/>
      <c r="AD22" s="2520"/>
      <c r="AE22" s="2520"/>
      <c r="AF22" s="2520"/>
      <c r="AG22" s="2520"/>
      <c r="AH22" s="2520"/>
      <c r="AI22" s="2520"/>
      <c r="AJ22" s="365"/>
      <c r="AK22" s="365"/>
      <c r="AL22" s="365"/>
      <c r="AM22" s="365"/>
      <c r="AN22" s="365"/>
      <c r="AO22" s="365"/>
      <c r="AP22" s="365"/>
      <c r="AQ22" s="365"/>
    </row>
    <row r="23" spans="1:43">
      <c r="A23" s="1986" t="s">
        <v>398</v>
      </c>
      <c r="B23" s="1986" t="s">
        <v>6442</v>
      </c>
      <c r="C23" s="1985" t="s">
        <v>6436</v>
      </c>
      <c r="D23" s="1985"/>
      <c r="E23" s="1985"/>
      <c r="F23" s="1985"/>
      <c r="G23" s="2192">
        <f t="shared" ref="G23:L23" si="9">G17-G18-G19-G20-G22</f>
        <v>4500000000.0000019</v>
      </c>
      <c r="H23" s="2190">
        <f t="shared" si="9"/>
        <v>20700000000</v>
      </c>
      <c r="I23" s="2190">
        <f t="shared" si="9"/>
        <v>35900000000</v>
      </c>
      <c r="J23" s="2190">
        <f t="shared" si="9"/>
        <v>14700000000</v>
      </c>
      <c r="K23" s="2204">
        <f t="shared" si="9"/>
        <v>6600000000</v>
      </c>
      <c r="L23" s="2204">
        <f t="shared" si="9"/>
        <v>15700000000</v>
      </c>
      <c r="M23" s="2204">
        <f t="shared" ref="M23:N23" si="10">M17-M18-M19-M20-M22</f>
        <v>3200000000</v>
      </c>
      <c r="N23" s="2204">
        <f t="shared" si="10"/>
        <v>4200000000</v>
      </c>
      <c r="O23" s="2204"/>
      <c r="P23" s="2204"/>
      <c r="Q23" s="2204"/>
      <c r="R23" s="2206"/>
      <c r="S23" s="2204">
        <f>S17-S18-S19-S20-S22</f>
        <v>2000000000</v>
      </c>
      <c r="T23" s="2206"/>
      <c r="U23" s="125"/>
      <c r="V23" s="125"/>
      <c r="W23" s="125"/>
      <c r="X23" s="125"/>
      <c r="Y23" s="2582"/>
      <c r="Z23" s="2582"/>
      <c r="AA23" s="2583"/>
      <c r="AB23" s="2520"/>
      <c r="AC23" s="2520"/>
      <c r="AD23" s="2520"/>
      <c r="AE23" s="2520"/>
      <c r="AF23" s="2520"/>
      <c r="AG23" s="2520"/>
      <c r="AH23" s="2520"/>
      <c r="AI23" s="2520"/>
      <c r="AJ23" s="365"/>
      <c r="AK23" s="365"/>
      <c r="AL23" s="365"/>
      <c r="AM23" s="365"/>
      <c r="AN23" s="365"/>
      <c r="AO23" s="365"/>
      <c r="AP23" s="365"/>
      <c r="AQ23" s="365"/>
    </row>
    <row r="24" spans="1:43">
      <c r="A24" s="1986" t="s">
        <v>6443</v>
      </c>
      <c r="B24" s="1986" t="s">
        <v>6444</v>
      </c>
      <c r="C24" s="1985" t="s">
        <v>204</v>
      </c>
      <c r="D24" s="1985"/>
      <c r="E24" s="1985"/>
      <c r="F24" s="1985"/>
      <c r="G24" s="2190"/>
      <c r="H24" s="2190"/>
      <c r="I24" s="2190">
        <v>5700000000</v>
      </c>
      <c r="J24" s="2191">
        <v>7300000000</v>
      </c>
      <c r="K24" s="2191">
        <v>10200000000</v>
      </c>
      <c r="L24" s="2190">
        <v>4800000000</v>
      </c>
      <c r="M24" s="2190">
        <v>0</v>
      </c>
      <c r="N24" s="2190">
        <v>0</v>
      </c>
      <c r="O24" s="2190"/>
      <c r="P24" s="2190"/>
      <c r="Q24" s="2190"/>
      <c r="R24" s="2206"/>
      <c r="S24" s="2206"/>
      <c r="T24" s="2206"/>
      <c r="U24" s="125"/>
      <c r="V24" s="125"/>
      <c r="W24" s="125"/>
      <c r="X24" s="125"/>
      <c r="Y24" s="2582"/>
      <c r="Z24" s="2582"/>
      <c r="AA24" s="2583"/>
      <c r="AB24" s="2520"/>
      <c r="AC24" s="2520"/>
      <c r="AD24" s="2520"/>
      <c r="AE24" s="2520"/>
      <c r="AF24" s="2520"/>
      <c r="AG24" s="2520"/>
      <c r="AH24" s="2520"/>
      <c r="AI24" s="2520"/>
      <c r="AJ24" s="365"/>
      <c r="AK24" s="365"/>
      <c r="AL24" s="365"/>
      <c r="AM24" s="365"/>
      <c r="AN24" s="365"/>
      <c r="AO24" s="365"/>
      <c r="AP24" s="365"/>
      <c r="AQ24" s="365"/>
    </row>
    <row r="25" spans="1:43">
      <c r="A25" s="1986" t="s">
        <v>91</v>
      </c>
      <c r="B25" s="1986" t="s">
        <v>91</v>
      </c>
      <c r="C25" s="1985" t="s">
        <v>204</v>
      </c>
      <c r="D25" s="1985"/>
      <c r="E25" s="1985"/>
      <c r="F25" s="1985"/>
      <c r="G25" s="2190">
        <v>17900000000</v>
      </c>
      <c r="H25" s="2190">
        <v>17900000000</v>
      </c>
      <c r="I25" s="2190">
        <v>11600000000</v>
      </c>
      <c r="J25" s="2191">
        <v>22200000000</v>
      </c>
      <c r="K25" s="2191">
        <v>25700000000</v>
      </c>
      <c r="L25" s="2190">
        <v>10900000000</v>
      </c>
      <c r="M25" s="2190">
        <v>13900000000</v>
      </c>
      <c r="N25" s="2190">
        <v>15100000000</v>
      </c>
      <c r="O25" s="2190">
        <v>11510000000</v>
      </c>
      <c r="P25" s="2190">
        <v>18600000000</v>
      </c>
      <c r="Q25" s="2190">
        <v>23400000000</v>
      </c>
      <c r="R25" s="2206">
        <v>33900000000</v>
      </c>
      <c r="S25" s="2206">
        <v>59100000000</v>
      </c>
      <c r="T25" s="2206">
        <v>62900000000</v>
      </c>
      <c r="U25" s="125">
        <f>U27+U28</f>
        <v>48600000000</v>
      </c>
      <c r="V25" s="125">
        <f t="shared" ref="V25:X25" si="11">V27+V28</f>
        <v>71000000000</v>
      </c>
      <c r="W25" s="125">
        <f t="shared" si="11"/>
        <v>80400000000</v>
      </c>
      <c r="X25" s="125">
        <f t="shared" si="11"/>
        <v>79700000000</v>
      </c>
      <c r="Y25" s="2582"/>
      <c r="Z25" s="2582"/>
      <c r="AA25" s="2583"/>
      <c r="AB25" s="2520"/>
      <c r="AC25" s="2520"/>
      <c r="AD25" s="2520"/>
      <c r="AE25" s="2520"/>
      <c r="AF25" s="2520"/>
      <c r="AG25" s="2520"/>
      <c r="AH25" s="2520"/>
      <c r="AI25" s="2520"/>
      <c r="AJ25" s="365"/>
      <c r="AK25" s="365"/>
      <c r="AL25" s="365"/>
      <c r="AM25" s="365"/>
      <c r="AN25" s="365"/>
      <c r="AO25" s="365"/>
      <c r="AP25" s="365"/>
      <c r="AQ25" s="365"/>
    </row>
    <row r="26" spans="1:43">
      <c r="A26" s="2203" t="s">
        <v>2372</v>
      </c>
      <c r="B26" s="2203" t="s">
        <v>2204</v>
      </c>
      <c r="C26" s="2053" t="s">
        <v>204</v>
      </c>
      <c r="D26" s="1985"/>
      <c r="E26" s="1985"/>
      <c r="F26" s="1985"/>
      <c r="G26" s="2190"/>
      <c r="H26" s="2190"/>
      <c r="I26" s="2190"/>
      <c r="J26" s="2191"/>
      <c r="K26" s="2191"/>
      <c r="L26" s="2190"/>
      <c r="M26" s="2190"/>
      <c r="N26" s="2190"/>
      <c r="O26" s="2204"/>
      <c r="P26" s="2204"/>
      <c r="Q26" s="2204"/>
      <c r="R26" s="2206"/>
      <c r="S26" s="2206"/>
      <c r="T26" s="2206"/>
      <c r="U26" s="125"/>
      <c r="V26" s="125"/>
      <c r="W26" s="125"/>
      <c r="X26" s="125"/>
      <c r="Y26" s="2582"/>
      <c r="Z26" s="2582"/>
      <c r="AA26" s="2583"/>
      <c r="AB26" s="2520"/>
      <c r="AC26" s="2520"/>
      <c r="AD26" s="2520"/>
      <c r="AE26" s="2520"/>
      <c r="AF26" s="2520"/>
      <c r="AG26" s="2520"/>
      <c r="AH26" s="2520"/>
      <c r="AI26" s="2520"/>
      <c r="AJ26" s="365"/>
      <c r="AK26" s="365"/>
      <c r="AL26" s="365"/>
      <c r="AM26" s="365"/>
      <c r="AN26" s="365"/>
      <c r="AO26" s="365"/>
      <c r="AP26" s="365"/>
      <c r="AQ26" s="365"/>
    </row>
    <row r="27" spans="1:43">
      <c r="A27" s="1987" t="s">
        <v>209</v>
      </c>
      <c r="B27" s="1987" t="s">
        <v>6445</v>
      </c>
      <c r="C27" s="1985" t="s">
        <v>211</v>
      </c>
      <c r="D27" s="1985"/>
      <c r="E27" s="1985"/>
      <c r="F27" s="1985"/>
      <c r="G27" s="2190">
        <v>4600000000</v>
      </c>
      <c r="H27" s="2190">
        <v>4900000000</v>
      </c>
      <c r="I27" s="2190">
        <v>700000000</v>
      </c>
      <c r="J27" s="2191">
        <v>500000000</v>
      </c>
      <c r="K27" s="2191">
        <v>2900000000</v>
      </c>
      <c r="L27" s="2190">
        <v>4600000000</v>
      </c>
      <c r="M27" s="2190">
        <v>9100000000</v>
      </c>
      <c r="N27" s="2190">
        <v>10100000000</v>
      </c>
      <c r="O27" s="2190">
        <v>9590000000</v>
      </c>
      <c r="P27" s="2190">
        <v>12800000000</v>
      </c>
      <c r="Q27" s="2190">
        <v>16700000000</v>
      </c>
      <c r="R27" s="2206">
        <v>25100000000</v>
      </c>
      <c r="S27" s="2206">
        <v>44900000000</v>
      </c>
      <c r="T27" s="2206">
        <v>54100000000</v>
      </c>
      <c r="U27" s="125">
        <v>38700000000</v>
      </c>
      <c r="V27" s="125">
        <v>56900000000</v>
      </c>
      <c r="W27" s="125">
        <v>70600000000</v>
      </c>
      <c r="X27" s="125">
        <v>68400000000.000008</v>
      </c>
      <c r="Y27" s="2582"/>
      <c r="Z27" s="2582"/>
      <c r="AA27" s="2582"/>
      <c r="AB27" s="2582"/>
      <c r="AC27" s="2520"/>
      <c r="AD27" s="2520"/>
      <c r="AE27" s="2520"/>
      <c r="AF27" s="2520"/>
      <c r="AG27" s="2520"/>
      <c r="AH27" s="2520"/>
      <c r="AI27" s="2520"/>
      <c r="AJ27" s="365"/>
      <c r="AK27" s="365"/>
      <c r="AL27" s="365"/>
      <c r="AM27" s="365"/>
      <c r="AN27" s="365"/>
      <c r="AO27" s="365"/>
      <c r="AP27" s="365"/>
      <c r="AQ27" s="365"/>
    </row>
    <row r="28" spans="1:43">
      <c r="A28" s="1987" t="s">
        <v>583</v>
      </c>
      <c r="B28" s="1987" t="s">
        <v>6446</v>
      </c>
      <c r="C28" s="1985" t="s">
        <v>211</v>
      </c>
      <c r="D28" s="1985"/>
      <c r="E28" s="1985"/>
      <c r="F28" s="1985"/>
      <c r="G28" s="2190">
        <v>13200000000</v>
      </c>
      <c r="H28" s="2190">
        <v>13000000000</v>
      </c>
      <c r="I28" s="2190">
        <v>10900000000</v>
      </c>
      <c r="J28" s="2191">
        <v>21800000000</v>
      </c>
      <c r="K28" s="2191">
        <v>22800000000</v>
      </c>
      <c r="L28" s="2190">
        <v>6300000000</v>
      </c>
      <c r="M28" s="2190">
        <v>4800000000</v>
      </c>
      <c r="N28" s="2190">
        <v>5000000000</v>
      </c>
      <c r="O28" s="2190">
        <v>1920000000</v>
      </c>
      <c r="P28" s="2190">
        <v>5800000000</v>
      </c>
      <c r="Q28" s="2190">
        <v>6700000000</v>
      </c>
      <c r="R28" s="2206">
        <v>8800000000</v>
      </c>
      <c r="S28" s="2206">
        <v>14200000000</v>
      </c>
      <c r="T28" s="2206">
        <v>8800000000</v>
      </c>
      <c r="U28" s="125">
        <v>9900000000</v>
      </c>
      <c r="V28" s="125">
        <v>14100000000</v>
      </c>
      <c r="W28" s="125">
        <v>9800000000</v>
      </c>
      <c r="X28" s="125">
        <v>11300000000</v>
      </c>
      <c r="Y28" s="2582"/>
      <c r="Z28" s="2582"/>
      <c r="AA28" s="2582"/>
      <c r="AB28" s="2582"/>
      <c r="AC28" s="2520"/>
      <c r="AD28" s="2520"/>
      <c r="AE28" s="2520"/>
      <c r="AF28" s="2520"/>
      <c r="AG28" s="2520"/>
      <c r="AH28" s="2520"/>
      <c r="AI28" s="2520"/>
      <c r="AJ28" s="365"/>
      <c r="AK28" s="365"/>
      <c r="AL28" s="365"/>
      <c r="AM28" s="365"/>
      <c r="AN28" s="365"/>
      <c r="AO28" s="365"/>
      <c r="AP28" s="365"/>
      <c r="AQ28" s="365"/>
    </row>
    <row r="29" spans="1:43">
      <c r="A29" s="1985" t="s">
        <v>904</v>
      </c>
      <c r="B29" s="1985" t="s">
        <v>6448</v>
      </c>
      <c r="C29" s="1985" t="s">
        <v>201</v>
      </c>
      <c r="D29" s="1985"/>
      <c r="E29" s="1985"/>
      <c r="F29" s="1985"/>
      <c r="G29" s="2190">
        <v>10300000000</v>
      </c>
      <c r="H29" s="2190">
        <v>15800000000</v>
      </c>
      <c r="I29" s="2190">
        <v>30900000000</v>
      </c>
      <c r="J29" s="2191">
        <v>41600000000</v>
      </c>
      <c r="K29" s="2191">
        <v>24100000000</v>
      </c>
      <c r="L29" s="2190">
        <v>44900000000</v>
      </c>
      <c r="M29" s="2190">
        <v>82300000000</v>
      </c>
      <c r="N29" s="2190">
        <v>123600000000</v>
      </c>
      <c r="O29" s="2190">
        <f>O30+O31</f>
        <v>144300000000</v>
      </c>
      <c r="P29" s="2190">
        <v>175100000000</v>
      </c>
      <c r="Q29" s="2190">
        <v>177500000000</v>
      </c>
      <c r="R29" s="2206">
        <v>256200000000</v>
      </c>
      <c r="S29" s="2206">
        <v>319600000000</v>
      </c>
      <c r="T29" s="2206">
        <v>367300000000</v>
      </c>
      <c r="U29" s="125">
        <f>U30+U31</f>
        <v>174400000000</v>
      </c>
      <c r="V29" s="125">
        <f t="shared" ref="V29:X29" si="12">V30+V31</f>
        <v>299800000000</v>
      </c>
      <c r="W29" s="125">
        <f t="shared" si="12"/>
        <v>213100000000</v>
      </c>
      <c r="X29" s="125">
        <f t="shared" si="12"/>
        <v>233200000000</v>
      </c>
      <c r="Y29" s="2582"/>
      <c r="Z29" s="2582"/>
      <c r="AA29" s="2583"/>
      <c r="AB29" s="2520"/>
      <c r="AC29" s="2520"/>
      <c r="AD29" s="2520"/>
      <c r="AE29" s="2520"/>
      <c r="AF29" s="2520"/>
      <c r="AG29" s="2520"/>
      <c r="AH29" s="2520"/>
      <c r="AI29" s="2520"/>
      <c r="AJ29" s="365"/>
      <c r="AK29" s="365"/>
      <c r="AL29" s="365"/>
      <c r="AM29" s="365"/>
      <c r="AN29" s="365"/>
      <c r="AO29" s="365"/>
      <c r="AP29" s="365"/>
      <c r="AQ29" s="365"/>
    </row>
    <row r="30" spans="1:43">
      <c r="A30" s="1986" t="s">
        <v>239</v>
      </c>
      <c r="B30" s="1986" t="s">
        <v>2767</v>
      </c>
      <c r="C30" s="1984" t="s">
        <v>95</v>
      </c>
      <c r="D30" s="1985"/>
      <c r="E30" s="1985"/>
      <c r="F30" s="1985"/>
      <c r="G30" s="2190">
        <v>2400000000</v>
      </c>
      <c r="H30" s="2190">
        <v>3100000000</v>
      </c>
      <c r="I30" s="2190">
        <v>13600000000</v>
      </c>
      <c r="J30" s="2191">
        <v>23500000000</v>
      </c>
      <c r="K30" s="2191">
        <v>14000000000</v>
      </c>
      <c r="L30" s="2190">
        <v>22300000000</v>
      </c>
      <c r="M30" s="2190">
        <v>37900000000</v>
      </c>
      <c r="N30" s="2190">
        <v>46200000000</v>
      </c>
      <c r="O30" s="2190">
        <v>68200000000</v>
      </c>
      <c r="P30" s="2190">
        <v>70900000000</v>
      </c>
      <c r="Q30" s="2190">
        <v>76900000000</v>
      </c>
      <c r="R30" s="2206">
        <v>152900000000</v>
      </c>
      <c r="S30" s="2206">
        <v>181100000000</v>
      </c>
      <c r="T30" s="2206">
        <v>220800000000</v>
      </c>
      <c r="U30" s="125">
        <v>104400000000</v>
      </c>
      <c r="V30" s="125">
        <v>89800000000</v>
      </c>
      <c r="W30" s="125">
        <v>60000000000</v>
      </c>
      <c r="X30" s="125">
        <v>68000000000</v>
      </c>
      <c r="Y30" s="2582"/>
      <c r="Z30" s="2582"/>
      <c r="AA30" s="2582"/>
      <c r="AB30" s="2582"/>
      <c r="AC30" s="2520"/>
      <c r="AD30" s="2520"/>
      <c r="AE30" s="2520"/>
      <c r="AF30" s="2520"/>
      <c r="AG30" s="2520"/>
      <c r="AH30" s="2520"/>
      <c r="AI30" s="2520"/>
      <c r="AJ30" s="365"/>
      <c r="AK30" s="365"/>
      <c r="AL30" s="365"/>
      <c r="AM30" s="365"/>
      <c r="AN30" s="365"/>
      <c r="AO30" s="365"/>
      <c r="AP30" s="365"/>
      <c r="AQ30" s="365"/>
    </row>
    <row r="31" spans="1:43">
      <c r="A31" s="1986" t="s">
        <v>242</v>
      </c>
      <c r="B31" s="1986" t="s">
        <v>6164</v>
      </c>
      <c r="C31" s="1984" t="s">
        <v>95</v>
      </c>
      <c r="D31" s="1985"/>
      <c r="E31" s="1985"/>
      <c r="F31" s="1985"/>
      <c r="G31" s="2190">
        <v>7800000000</v>
      </c>
      <c r="H31" s="2190">
        <v>12800000000</v>
      </c>
      <c r="I31" s="2190">
        <v>17300000000</v>
      </c>
      <c r="J31" s="2191">
        <v>18200000000</v>
      </c>
      <c r="K31" s="2191">
        <v>10100000000</v>
      </c>
      <c r="L31" s="2190">
        <v>22600000000</v>
      </c>
      <c r="M31" s="2190">
        <v>44400000000</v>
      </c>
      <c r="N31" s="2191">
        <v>77300000000</v>
      </c>
      <c r="O31" s="2191">
        <v>76100000000</v>
      </c>
      <c r="P31" s="2191">
        <v>104200000000</v>
      </c>
      <c r="Q31" s="2190">
        <v>100600000000</v>
      </c>
      <c r="R31" s="2211">
        <v>103200000000</v>
      </c>
      <c r="S31" s="2211">
        <v>138500000000</v>
      </c>
      <c r="T31" s="2211">
        <v>146500000000</v>
      </c>
      <c r="U31" s="125">
        <v>70000000000</v>
      </c>
      <c r="V31" s="125">
        <v>210000000000</v>
      </c>
      <c r="W31" s="125">
        <v>153100000000</v>
      </c>
      <c r="X31" s="125">
        <v>165200000000</v>
      </c>
      <c r="Y31" s="2582"/>
      <c r="Z31" s="2582"/>
      <c r="AA31" s="2582"/>
      <c r="AB31" s="2582"/>
      <c r="AC31" s="2520"/>
      <c r="AD31" s="2520"/>
      <c r="AE31" s="2520"/>
      <c r="AF31" s="2520"/>
      <c r="AG31" s="2520"/>
      <c r="AH31" s="2520"/>
      <c r="AI31" s="2520"/>
      <c r="AJ31" s="365"/>
      <c r="AK31" s="365"/>
      <c r="AL31" s="365"/>
      <c r="AM31" s="365"/>
      <c r="AN31" s="365"/>
      <c r="AO31" s="365"/>
      <c r="AP31" s="365"/>
      <c r="AQ31" s="365"/>
    </row>
    <row r="32" spans="1:43">
      <c r="A32" s="1978" t="s">
        <v>76</v>
      </c>
      <c r="B32" s="1985" t="s">
        <v>6449</v>
      </c>
      <c r="D32" s="1985"/>
      <c r="E32" s="1985"/>
      <c r="F32" s="1985"/>
      <c r="G32" s="2190"/>
      <c r="H32" s="2190"/>
      <c r="I32" s="2190"/>
      <c r="J32" s="2190"/>
      <c r="K32" s="2191">
        <v>-19100000000</v>
      </c>
      <c r="L32" s="2190">
        <v>12500000000</v>
      </c>
      <c r="M32" s="2190">
        <v>17400000000</v>
      </c>
      <c r="N32" s="2191"/>
      <c r="O32" s="2191"/>
      <c r="P32" s="2191"/>
      <c r="Q32" s="2190"/>
      <c r="R32" s="2211">
        <v>400000000</v>
      </c>
      <c r="S32" s="2211">
        <v>1400000000</v>
      </c>
      <c r="T32" s="2211">
        <v>-100000000</v>
      </c>
      <c r="U32" s="125"/>
      <c r="V32" s="125"/>
      <c r="W32" s="125"/>
      <c r="X32" s="125"/>
      <c r="Y32" s="2582"/>
      <c r="Z32" s="2582"/>
      <c r="AA32" s="2583"/>
      <c r="AB32" s="2520"/>
      <c r="AC32" s="2520"/>
      <c r="AD32" s="2520"/>
      <c r="AE32" s="2520"/>
      <c r="AF32" s="2520"/>
      <c r="AG32" s="2520"/>
      <c r="AH32" s="2520"/>
      <c r="AI32" s="2520"/>
      <c r="AJ32" s="365"/>
      <c r="AK32" s="365"/>
      <c r="AL32" s="365"/>
      <c r="AM32" s="365"/>
      <c r="AN32" s="365"/>
      <c r="AO32" s="365"/>
      <c r="AP32" s="365"/>
      <c r="AQ32" s="365"/>
    </row>
    <row r="33" spans="1:43">
      <c r="A33" s="1978" t="s">
        <v>76</v>
      </c>
      <c r="B33" s="1985" t="s">
        <v>6450</v>
      </c>
      <c r="C33" s="1985"/>
      <c r="D33" s="1985"/>
      <c r="E33" s="1985"/>
      <c r="F33" s="1985"/>
      <c r="G33" s="2190">
        <v>43900000000</v>
      </c>
      <c r="H33" s="2190">
        <v>32700000000.000004</v>
      </c>
      <c r="I33" s="2190">
        <v>-5500000000</v>
      </c>
      <c r="J33" s="2191">
        <v>-12300000000</v>
      </c>
      <c r="K33" s="2191">
        <v>2800000000</v>
      </c>
      <c r="L33" s="2190">
        <v>5800000000</v>
      </c>
      <c r="M33" s="2190">
        <v>-6700000000</v>
      </c>
      <c r="N33" s="2190">
        <v>27200000000</v>
      </c>
      <c r="O33" s="2190">
        <v>-27900000000</v>
      </c>
      <c r="P33" s="2190">
        <v>-53300000000</v>
      </c>
      <c r="Q33" s="2190">
        <v>-38600000000</v>
      </c>
      <c r="R33" s="2206">
        <v>-70800000000</v>
      </c>
      <c r="S33" s="2206">
        <v>-79200000000</v>
      </c>
      <c r="T33" s="2206">
        <v>-118800000000</v>
      </c>
      <c r="U33" s="125"/>
      <c r="V33" s="125"/>
      <c r="W33" s="125"/>
      <c r="X33" s="125"/>
      <c r="Y33" s="2582"/>
      <c r="Z33" s="2582"/>
      <c r="AA33" s="2583"/>
      <c r="AB33" s="2520"/>
      <c r="AC33" s="2520"/>
      <c r="AD33" s="2520"/>
      <c r="AE33" s="2520"/>
      <c r="AF33" s="2520"/>
      <c r="AG33" s="2520"/>
      <c r="AH33" s="2520"/>
      <c r="AI33" s="2520"/>
      <c r="AJ33" s="365"/>
      <c r="AK33" s="365"/>
      <c r="AL33" s="365"/>
      <c r="AM33" s="365"/>
      <c r="AN33" s="365"/>
      <c r="AO33" s="365"/>
      <c r="AP33" s="365"/>
      <c r="AQ33" s="365"/>
    </row>
    <row r="34" spans="1:43">
      <c r="A34" s="1978" t="s">
        <v>76</v>
      </c>
      <c r="B34" s="1985" t="s">
        <v>6451</v>
      </c>
      <c r="C34" s="1985"/>
      <c r="D34" s="1985"/>
      <c r="E34" s="1985"/>
      <c r="F34" s="1985"/>
      <c r="G34" s="2190">
        <v>23700000000</v>
      </c>
      <c r="H34" s="2190">
        <v>9800000000</v>
      </c>
      <c r="I34" s="2190">
        <v>-27000000000</v>
      </c>
      <c r="J34" s="2191">
        <v>-44100000000</v>
      </c>
      <c r="K34" s="2191">
        <v>-22800000000</v>
      </c>
      <c r="L34" s="2190">
        <v>-12300000000</v>
      </c>
      <c r="M34" s="2190">
        <v>-42100000000</v>
      </c>
      <c r="N34" s="2190">
        <v>-33000000000</v>
      </c>
      <c r="O34" s="2190">
        <v>-59700000000</v>
      </c>
      <c r="P34" s="2190">
        <v>-144700000000</v>
      </c>
      <c r="Q34" s="2190">
        <v>-99400000000</v>
      </c>
      <c r="R34" s="2206"/>
      <c r="S34" s="2206"/>
      <c r="T34" s="2206"/>
      <c r="U34" s="125"/>
      <c r="V34" s="125"/>
      <c r="W34" s="125"/>
      <c r="X34" s="125"/>
      <c r="Y34" s="2582"/>
      <c r="Z34" s="2582"/>
      <c r="AA34" s="2583"/>
      <c r="AB34" s="2520"/>
      <c r="AC34" s="2520"/>
      <c r="AD34" s="2520"/>
      <c r="AE34" s="2520"/>
      <c r="AF34" s="2520"/>
      <c r="AG34" s="2520"/>
      <c r="AH34" s="2520"/>
      <c r="AI34" s="2520"/>
      <c r="AJ34" s="365"/>
      <c r="AK34" s="365"/>
      <c r="AL34" s="365"/>
      <c r="AM34" s="365"/>
      <c r="AN34" s="365"/>
      <c r="AO34" s="365"/>
      <c r="AP34" s="365"/>
      <c r="AQ34" s="365"/>
    </row>
    <row r="35" spans="1:43">
      <c r="A35" s="1978" t="s">
        <v>76</v>
      </c>
      <c r="B35" s="1985" t="s">
        <v>6452</v>
      </c>
      <c r="C35" s="1985"/>
      <c r="D35" s="1985"/>
      <c r="E35" s="1985"/>
      <c r="F35" s="1985"/>
      <c r="G35" s="2190"/>
      <c r="H35" s="2190"/>
      <c r="I35" s="2190"/>
      <c r="J35" s="2190"/>
      <c r="K35" s="2190"/>
      <c r="L35" s="2190">
        <v>-32600000000</v>
      </c>
      <c r="M35" s="2190">
        <v>-64900000000.000008</v>
      </c>
      <c r="N35" s="2190">
        <v>-65200000000</v>
      </c>
      <c r="O35" s="2190">
        <v>-115400000000</v>
      </c>
      <c r="P35" s="2190">
        <v>-176400000000</v>
      </c>
      <c r="Q35" s="2190">
        <v>-162200000000</v>
      </c>
      <c r="R35" s="2206"/>
      <c r="S35" s="2206"/>
      <c r="T35" s="2206"/>
      <c r="U35" s="125"/>
      <c r="V35" s="125"/>
      <c r="W35" s="125"/>
      <c r="X35" s="125"/>
      <c r="Y35" s="2582"/>
      <c r="Z35" s="2582"/>
      <c r="AA35" s="2583"/>
      <c r="AB35" s="2520"/>
      <c r="AC35" s="2520"/>
      <c r="AD35" s="2520"/>
      <c r="AE35" s="2520"/>
      <c r="AF35" s="2520"/>
      <c r="AG35" s="2520"/>
      <c r="AH35" s="2520"/>
      <c r="AI35" s="2520"/>
      <c r="AJ35" s="365"/>
      <c r="AK35" s="365"/>
      <c r="AL35" s="365"/>
      <c r="AM35" s="365"/>
      <c r="AN35" s="365"/>
      <c r="AO35" s="365"/>
      <c r="AP35" s="365"/>
      <c r="AQ35" s="365"/>
    </row>
    <row r="36" spans="1:43">
      <c r="A36" s="1978" t="s">
        <v>76</v>
      </c>
      <c r="B36" s="1985" t="s">
        <v>6453</v>
      </c>
      <c r="C36" s="1989"/>
      <c r="D36" s="1985"/>
      <c r="E36" s="1985"/>
      <c r="F36" s="1985"/>
      <c r="G36" s="2190">
        <v>14700000000</v>
      </c>
      <c r="H36" s="2190">
        <v>17100000000.000002</v>
      </c>
      <c r="I36" s="2190">
        <v>31100000000</v>
      </c>
      <c r="J36" s="2191">
        <v>16000000000</v>
      </c>
      <c r="K36" s="2191">
        <v>11300000000</v>
      </c>
      <c r="L36" s="2190">
        <v>300000000</v>
      </c>
      <c r="M36" s="2190">
        <v>-15600000000</v>
      </c>
      <c r="N36" s="2190">
        <v>-35200000000</v>
      </c>
      <c r="O36" s="2190">
        <v>-2400000000</v>
      </c>
      <c r="P36" s="2190">
        <v>-11700000000</v>
      </c>
      <c r="Q36" s="2190">
        <v>-14300000000</v>
      </c>
      <c r="R36" s="2206">
        <v>-26000000000</v>
      </c>
      <c r="S36" s="2206">
        <v>28300000000</v>
      </c>
      <c r="T36" s="2206">
        <v>0</v>
      </c>
      <c r="U36" s="125"/>
      <c r="V36" s="125"/>
      <c r="W36" s="125"/>
      <c r="X36" s="125"/>
      <c r="Y36" s="2582"/>
      <c r="Z36" s="2582"/>
      <c r="AA36" s="2583"/>
      <c r="AB36" s="2520"/>
      <c r="AC36" s="2520"/>
      <c r="AD36" s="2520"/>
      <c r="AE36" s="2520"/>
      <c r="AF36" s="2520"/>
      <c r="AG36" s="2520"/>
      <c r="AH36" s="2520"/>
      <c r="AI36" s="2520"/>
      <c r="AJ36" s="365"/>
      <c r="AK36" s="365"/>
      <c r="AL36" s="365"/>
      <c r="AM36" s="365"/>
      <c r="AN36" s="365"/>
      <c r="AO36" s="365"/>
      <c r="AP36" s="365"/>
      <c r="AQ36" s="365"/>
    </row>
    <row r="37" spans="1:43">
      <c r="A37" s="1978" t="s">
        <v>76</v>
      </c>
      <c r="B37" s="1985" t="s">
        <v>6454</v>
      </c>
      <c r="C37" s="1985"/>
      <c r="D37" s="1985"/>
      <c r="E37" s="1985"/>
      <c r="F37" s="1985"/>
      <c r="G37" s="2190">
        <v>38500000000</v>
      </c>
      <c r="H37" s="2190">
        <v>26900000000</v>
      </c>
      <c r="I37" s="2190">
        <v>4099999999.9999995</v>
      </c>
      <c r="J37" s="2191"/>
      <c r="K37" s="2191"/>
      <c r="L37" s="2190"/>
      <c r="M37" s="2190"/>
      <c r="N37" s="2190"/>
      <c r="O37" s="2190"/>
      <c r="P37" s="2190"/>
      <c r="Q37" s="2190"/>
      <c r="R37" s="2206">
        <v>-180000000000</v>
      </c>
      <c r="S37" s="2206">
        <v>-191300000000</v>
      </c>
      <c r="T37" s="2206">
        <v>-252600000000</v>
      </c>
      <c r="U37" s="125"/>
      <c r="V37" s="125"/>
      <c r="W37" s="125"/>
      <c r="X37" s="125"/>
      <c r="Y37" s="2582"/>
      <c r="Z37" s="2582"/>
      <c r="AA37" s="2583"/>
      <c r="AB37" s="2520"/>
      <c r="AC37" s="2520"/>
      <c r="AD37" s="2520"/>
      <c r="AE37" s="2520"/>
      <c r="AF37" s="2520"/>
      <c r="AG37" s="2520"/>
      <c r="AH37" s="2520"/>
      <c r="AI37" s="2520"/>
      <c r="AJ37" s="365"/>
      <c r="AK37" s="365"/>
      <c r="AL37" s="365"/>
      <c r="AM37" s="365"/>
      <c r="AN37" s="365"/>
      <c r="AO37" s="365"/>
      <c r="AP37" s="365"/>
      <c r="AQ37" s="365"/>
    </row>
    <row r="38" spans="1:43">
      <c r="A38" s="1978" t="s">
        <v>76</v>
      </c>
      <c r="B38" s="1985" t="s">
        <v>6455</v>
      </c>
      <c r="C38" s="1985"/>
      <c r="D38" s="1985"/>
      <c r="E38" s="1985"/>
      <c r="F38" s="1985"/>
      <c r="G38" s="2190"/>
      <c r="H38" s="2190"/>
      <c r="I38" s="2190"/>
      <c r="J38" s="2191">
        <v>-28100000000</v>
      </c>
      <c r="K38" s="2191">
        <v>-11400000000</v>
      </c>
      <c r="L38" s="2190">
        <v>-12000000000</v>
      </c>
      <c r="M38" s="2190">
        <v>-58900000000</v>
      </c>
      <c r="N38" s="2190">
        <v>-68200000000</v>
      </c>
      <c r="O38" s="2190">
        <v>-62100000000</v>
      </c>
      <c r="P38" s="2190">
        <v>-156200000000</v>
      </c>
      <c r="Q38" s="2190">
        <v>-113700000000</v>
      </c>
      <c r="R38" s="2206"/>
      <c r="S38" s="2206"/>
      <c r="T38" s="2206"/>
      <c r="U38" s="125"/>
      <c r="V38" s="125"/>
      <c r="W38" s="125"/>
      <c r="X38" s="125"/>
      <c r="Y38" s="2582"/>
      <c r="Z38" s="2582"/>
      <c r="AA38" s="2583"/>
      <c r="AB38" s="2520"/>
      <c r="AC38" s="2520"/>
      <c r="AD38" s="2520"/>
      <c r="AE38" s="2520"/>
      <c r="AF38" s="2520"/>
      <c r="AG38" s="2520"/>
      <c r="AH38" s="2520"/>
      <c r="AI38" s="2520"/>
      <c r="AJ38" s="365"/>
      <c r="AK38" s="365"/>
      <c r="AL38" s="365"/>
      <c r="AM38" s="365"/>
      <c r="AN38" s="365"/>
      <c r="AO38" s="365"/>
      <c r="AP38" s="365"/>
      <c r="AQ38" s="365"/>
    </row>
    <row r="39" spans="1:43">
      <c r="A39" s="1978" t="s">
        <v>76</v>
      </c>
      <c r="B39" s="1985" t="s">
        <v>6452</v>
      </c>
      <c r="C39" s="1985"/>
      <c r="D39" s="1985"/>
      <c r="E39" s="1985"/>
      <c r="F39" s="1985"/>
      <c r="G39" s="2190"/>
      <c r="H39" s="2190"/>
      <c r="I39" s="2190"/>
      <c r="J39" s="2190"/>
      <c r="K39" s="2190"/>
      <c r="L39" s="2190">
        <v>-32299999999.999996</v>
      </c>
      <c r="M39" s="2190">
        <v>-80500000000</v>
      </c>
      <c r="N39" s="2190">
        <v>-100400000000</v>
      </c>
      <c r="O39" s="2190">
        <v>-117800000000</v>
      </c>
      <c r="P39" s="2190">
        <v>-188100000000</v>
      </c>
      <c r="Q39" s="2190">
        <v>-176400000000</v>
      </c>
      <c r="R39" s="2206">
        <v>-233900000000</v>
      </c>
      <c r="S39" s="2206">
        <v>-248500000000</v>
      </c>
      <c r="T39" s="2206">
        <v>-328200000000</v>
      </c>
      <c r="U39" s="2190"/>
      <c r="V39" s="2190"/>
      <c r="W39" s="2195"/>
      <c r="X39" s="2195"/>
      <c r="Y39" s="2582"/>
      <c r="Z39" s="2582"/>
      <c r="AA39" s="2583"/>
      <c r="AB39" s="2520"/>
      <c r="AC39" s="2520"/>
      <c r="AD39" s="2520"/>
      <c r="AE39" s="2520"/>
      <c r="AF39" s="2520"/>
      <c r="AG39" s="2520"/>
      <c r="AH39" s="2520"/>
      <c r="AI39" s="2520"/>
      <c r="AJ39" s="365"/>
      <c r="AK39" s="365"/>
      <c r="AL39" s="365"/>
      <c r="AM39" s="365"/>
      <c r="AN39" s="365"/>
      <c r="AO39" s="365"/>
      <c r="AP39" s="365"/>
      <c r="AQ39" s="365"/>
    </row>
    <row r="40" spans="1:43" s="848" customFormat="1">
      <c r="A40" s="2052" t="s">
        <v>115</v>
      </c>
      <c r="B40" s="2052" t="s">
        <v>115</v>
      </c>
      <c r="C40" s="2052" t="s">
        <v>35</v>
      </c>
      <c r="D40" s="2052"/>
      <c r="E40" s="2052"/>
      <c r="F40" s="2199"/>
      <c r="G40" s="2200">
        <v>-38500000000</v>
      </c>
      <c r="H40" s="2200">
        <v>-26900000000</v>
      </c>
      <c r="I40" s="2200">
        <v>1800000000</v>
      </c>
      <c r="J40" s="2201">
        <v>35700000000</v>
      </c>
      <c r="K40" s="2201">
        <v>12200000000</v>
      </c>
      <c r="L40" s="2201">
        <v>-20300000000</v>
      </c>
      <c r="M40" s="2200">
        <v>16800000000</v>
      </c>
      <c r="N40" s="2200">
        <v>16899999999.999998</v>
      </c>
      <c r="O40" s="2200">
        <v>4000000000</v>
      </c>
      <c r="P40" s="2200">
        <v>146600000000</v>
      </c>
      <c r="Q40" s="2200">
        <v>100100000000</v>
      </c>
      <c r="R40" s="2205">
        <v>313000000000</v>
      </c>
      <c r="S40" s="2205">
        <v>369800000000</v>
      </c>
      <c r="T40" s="2205">
        <v>322600000000</v>
      </c>
      <c r="U40" s="2581">
        <f>U41+U50</f>
        <v>106400000000</v>
      </c>
      <c r="V40" s="2581">
        <f t="shared" ref="V40:X40" si="13">V41+V50</f>
        <v>275300000000</v>
      </c>
      <c r="W40" s="2581">
        <f t="shared" si="13"/>
        <v>115700000000</v>
      </c>
      <c r="X40" s="2581">
        <f t="shared" si="13"/>
        <v>144800000000</v>
      </c>
      <c r="Y40" s="2582"/>
      <c r="Z40" s="2582"/>
      <c r="AA40" s="2583"/>
      <c r="AB40" s="2520"/>
      <c r="AC40" s="2520"/>
      <c r="AD40" s="2520"/>
      <c r="AE40" s="2520"/>
      <c r="AF40" s="2520"/>
      <c r="AG40" s="2520"/>
      <c r="AH40" s="2520"/>
      <c r="AI40" s="2520"/>
      <c r="AJ40" s="916"/>
      <c r="AK40" s="916"/>
      <c r="AL40" s="916"/>
      <c r="AM40" s="916"/>
      <c r="AN40" s="916"/>
      <c r="AO40" s="916"/>
      <c r="AP40" s="916"/>
      <c r="AQ40" s="916"/>
    </row>
    <row r="41" spans="1:43">
      <c r="A41" s="2194" t="s">
        <v>120</v>
      </c>
      <c r="B41" s="1985" t="s">
        <v>6456</v>
      </c>
      <c r="C41" s="1984" t="s">
        <v>119</v>
      </c>
      <c r="D41" s="1985"/>
      <c r="E41" s="1985"/>
      <c r="F41" s="1985"/>
      <c r="G41" s="2190">
        <v>-41400000000</v>
      </c>
      <c r="H41" s="2190">
        <v>-31600000000</v>
      </c>
      <c r="I41" s="2190">
        <v>-7300000000</v>
      </c>
      <c r="J41" s="2191">
        <v>27400000000</v>
      </c>
      <c r="K41" s="2191">
        <v>12200000000</v>
      </c>
      <c r="L41" s="2190">
        <v>-12600000000</v>
      </c>
      <c r="M41" s="2190">
        <v>14000000000</v>
      </c>
      <c r="N41" s="2190">
        <v>-12300000000</v>
      </c>
      <c r="O41" s="2190">
        <v>-16300000000</v>
      </c>
      <c r="P41" s="2190">
        <v>85100000000</v>
      </c>
      <c r="Q41" s="2190">
        <v>79700000000</v>
      </c>
      <c r="R41" s="2206">
        <v>217800000000</v>
      </c>
      <c r="S41" s="2206">
        <v>235700000000</v>
      </c>
      <c r="T41" s="2206">
        <v>184400000000</v>
      </c>
      <c r="U41" s="2190">
        <f>U42+U46</f>
        <v>27300000000</v>
      </c>
      <c r="V41" s="2190">
        <f t="shared" ref="V41:X41" si="14">V42+V46</f>
        <v>48000000000</v>
      </c>
      <c r="W41" s="2190">
        <f t="shared" si="14"/>
        <v>-58800000000</v>
      </c>
      <c r="X41" s="2190">
        <f t="shared" si="14"/>
        <v>-43800000000</v>
      </c>
      <c r="Y41" s="2582"/>
      <c r="Z41" s="2582"/>
      <c r="AA41" s="2583"/>
      <c r="AB41" s="2520"/>
      <c r="AC41" s="2520"/>
      <c r="AD41" s="2520"/>
      <c r="AE41" s="2520"/>
      <c r="AF41" s="2520"/>
      <c r="AG41" s="2520"/>
      <c r="AH41" s="2520"/>
      <c r="AI41" s="2520"/>
      <c r="AJ41" s="365"/>
      <c r="AK41" s="365"/>
      <c r="AL41" s="365"/>
      <c r="AM41" s="365"/>
      <c r="AN41" s="365"/>
      <c r="AO41" s="365"/>
      <c r="AP41" s="365"/>
      <c r="AQ41" s="365"/>
    </row>
    <row r="42" spans="1:43">
      <c r="A42" s="2194" t="s">
        <v>122</v>
      </c>
      <c r="B42" s="1986" t="s">
        <v>6457</v>
      </c>
      <c r="C42" s="1985" t="s">
        <v>124</v>
      </c>
      <c r="D42" s="1985"/>
      <c r="E42" s="1985"/>
      <c r="F42" s="1985"/>
      <c r="G42" s="2190">
        <v>-17800000000</v>
      </c>
      <c r="H42" s="2190">
        <v>-9200000000</v>
      </c>
      <c r="I42" s="2190">
        <v>-3700000000</v>
      </c>
      <c r="J42" s="2191">
        <v>-20300000000</v>
      </c>
      <c r="K42" s="2191">
        <v>5800000000</v>
      </c>
      <c r="L42" s="2190">
        <v>45800000000</v>
      </c>
      <c r="M42" s="2190">
        <v>14700000000</v>
      </c>
      <c r="N42" s="2190">
        <v>5400000000</v>
      </c>
      <c r="O42" s="2190">
        <v>-31800000000</v>
      </c>
      <c r="P42" s="2190">
        <v>34400000000</v>
      </c>
      <c r="Q42" s="2190">
        <v>-36500000000</v>
      </c>
      <c r="R42" s="2206">
        <v>163500000000</v>
      </c>
      <c r="S42" s="2206">
        <v>150300000000</v>
      </c>
      <c r="T42" s="2206">
        <v>-3600000000</v>
      </c>
      <c r="U42" s="125">
        <v>-17800000000</v>
      </c>
      <c r="V42" s="2190">
        <v>0</v>
      </c>
      <c r="W42" s="2191">
        <v>0</v>
      </c>
      <c r="X42" s="2191">
        <v>0</v>
      </c>
      <c r="Y42" s="2582"/>
      <c r="Z42" s="2582"/>
      <c r="AA42" s="2582"/>
      <c r="AB42" s="2582"/>
      <c r="AC42" s="2520"/>
      <c r="AD42" s="2520"/>
      <c r="AE42" s="2520"/>
      <c r="AF42" s="2520"/>
      <c r="AG42" s="2520"/>
      <c r="AH42" s="2520"/>
      <c r="AI42" s="2520"/>
      <c r="AJ42" s="365"/>
      <c r="AK42" s="365"/>
      <c r="AL42" s="365"/>
      <c r="AM42" s="365"/>
      <c r="AN42" s="365"/>
      <c r="AO42" s="365"/>
      <c r="AP42" s="365"/>
      <c r="AQ42" s="365"/>
    </row>
    <row r="43" spans="1:43">
      <c r="A43" s="1978" t="s">
        <v>76</v>
      </c>
      <c r="B43" s="1986" t="s">
        <v>6458</v>
      </c>
      <c r="C43" s="1985"/>
      <c r="D43" s="1985"/>
      <c r="E43" s="1985"/>
      <c r="F43" s="1985"/>
      <c r="G43" s="2190">
        <v>-7000000000</v>
      </c>
      <c r="H43" s="2190">
        <v>-8500000000</v>
      </c>
      <c r="I43" s="2190">
        <v>-6000000000</v>
      </c>
      <c r="J43" s="2191"/>
      <c r="K43" s="2191"/>
      <c r="L43" s="2190"/>
      <c r="M43" s="2190"/>
      <c r="N43" s="2190"/>
      <c r="O43" s="2190"/>
      <c r="P43" s="2190"/>
      <c r="Q43" s="2190"/>
      <c r="R43" s="2206"/>
      <c r="S43" s="2206"/>
      <c r="T43" s="2206"/>
      <c r="U43" s="2190"/>
      <c r="V43" s="2190"/>
      <c r="W43" s="2190"/>
      <c r="X43" s="2190"/>
      <c r="Y43" s="2582"/>
      <c r="Z43" s="2582"/>
      <c r="AA43" s="2583"/>
      <c r="AB43" s="2520"/>
      <c r="AC43" s="2520"/>
      <c r="AD43" s="2520"/>
      <c r="AE43" s="2520"/>
      <c r="AF43" s="2520"/>
      <c r="AG43" s="2520"/>
      <c r="AH43" s="2520"/>
      <c r="AI43" s="2520"/>
      <c r="AJ43" s="365"/>
      <c r="AK43" s="365"/>
      <c r="AL43" s="365"/>
      <c r="AM43" s="365"/>
      <c r="AN43" s="365"/>
      <c r="AO43" s="365"/>
      <c r="AP43" s="365"/>
      <c r="AQ43" s="365"/>
    </row>
    <row r="44" spans="1:43">
      <c r="A44" s="1978" t="s">
        <v>76</v>
      </c>
      <c r="B44" s="1987" t="s">
        <v>6459</v>
      </c>
      <c r="C44" s="1987"/>
      <c r="D44" s="1985"/>
      <c r="E44" s="1985"/>
      <c r="F44" s="1985"/>
      <c r="G44" s="2190">
        <v>-11200000000</v>
      </c>
      <c r="H44" s="2190">
        <v>-12500000000</v>
      </c>
      <c r="I44" s="2190">
        <v>6100000000</v>
      </c>
      <c r="J44" s="2191"/>
      <c r="K44" s="2191">
        <v>10000000000</v>
      </c>
      <c r="L44" s="2190">
        <v>-29100000000</v>
      </c>
      <c r="M44" s="2190"/>
      <c r="N44" s="2190"/>
      <c r="O44" s="2190"/>
      <c r="P44" s="2190"/>
      <c r="Q44" s="2190"/>
      <c r="R44" s="2206"/>
      <c r="S44" s="2206"/>
      <c r="T44" s="2206"/>
      <c r="U44" s="2190"/>
      <c r="V44" s="2190"/>
      <c r="W44" s="2190"/>
      <c r="X44" s="2190"/>
      <c r="Y44" s="2582"/>
      <c r="Z44" s="2582"/>
      <c r="AA44" s="2583"/>
      <c r="AB44" s="2520"/>
      <c r="AC44" s="2520"/>
      <c r="AD44" s="2520"/>
      <c r="AE44" s="2520"/>
      <c r="AF44" s="2520"/>
      <c r="AG44" s="2520"/>
      <c r="AH44" s="2520"/>
      <c r="AI44" s="2520"/>
      <c r="AJ44" s="365"/>
      <c r="AK44" s="365"/>
      <c r="AL44" s="365"/>
      <c r="AM44" s="365"/>
      <c r="AN44" s="365"/>
      <c r="AO44" s="365"/>
      <c r="AP44" s="365"/>
      <c r="AQ44" s="365"/>
    </row>
    <row r="45" spans="1:43">
      <c r="A45" s="1978" t="s">
        <v>76</v>
      </c>
      <c r="B45" s="1987" t="s">
        <v>6460</v>
      </c>
      <c r="C45" s="1987"/>
      <c r="D45" s="1985"/>
      <c r="E45" s="1985"/>
      <c r="F45" s="1985"/>
      <c r="G45" s="2190">
        <v>400000000</v>
      </c>
      <c r="H45" s="2190">
        <v>11900000000</v>
      </c>
      <c r="I45" s="2190">
        <v>-3800000000</v>
      </c>
      <c r="J45" s="2191"/>
      <c r="K45" s="2191">
        <v>-600000000</v>
      </c>
      <c r="L45" s="2190">
        <v>75800000000</v>
      </c>
      <c r="M45" s="2190"/>
      <c r="N45" s="2190"/>
      <c r="O45" s="2190"/>
      <c r="P45" s="2190"/>
      <c r="Q45" s="2190"/>
      <c r="R45" s="2206"/>
      <c r="S45" s="2206"/>
      <c r="T45" s="2206"/>
      <c r="U45" s="2190"/>
      <c r="V45" s="2190"/>
      <c r="W45" s="2190"/>
      <c r="X45" s="2190"/>
      <c r="Y45" s="2582"/>
      <c r="Z45" s="2582"/>
      <c r="AA45" s="2583"/>
      <c r="AB45" s="2520"/>
      <c r="AC45" s="2520"/>
      <c r="AD45" s="2520"/>
      <c r="AE45" s="2520"/>
      <c r="AF45" s="2520"/>
      <c r="AG45" s="2520"/>
      <c r="AH45" s="2520"/>
      <c r="AI45" s="2520"/>
      <c r="AJ45" s="365"/>
      <c r="AK45" s="365"/>
      <c r="AL45" s="365"/>
      <c r="AM45" s="365"/>
      <c r="AN45" s="365"/>
      <c r="AO45" s="365"/>
      <c r="AP45" s="365"/>
      <c r="AQ45" s="365"/>
    </row>
    <row r="46" spans="1:43">
      <c r="A46" s="2194" t="s">
        <v>428</v>
      </c>
      <c r="B46" s="1986" t="s">
        <v>6461</v>
      </c>
      <c r="C46" s="1985" t="s">
        <v>124</v>
      </c>
      <c r="D46" s="1985"/>
      <c r="E46" s="1985"/>
      <c r="F46" s="1985"/>
      <c r="G46" s="2190">
        <v>-23700000000</v>
      </c>
      <c r="H46" s="2190">
        <v>-22400000000</v>
      </c>
      <c r="I46" s="2190">
        <v>4099999999.9999995</v>
      </c>
      <c r="J46" s="2191">
        <v>47700000000</v>
      </c>
      <c r="K46" s="2191">
        <v>6400000000</v>
      </c>
      <c r="L46" s="2190">
        <v>-58300000000</v>
      </c>
      <c r="M46" s="2190">
        <v>-700000000</v>
      </c>
      <c r="N46" s="2190">
        <v>-17800000000</v>
      </c>
      <c r="O46" s="2190">
        <v>15500000000</v>
      </c>
      <c r="P46" s="2190">
        <v>50600000000</v>
      </c>
      <c r="Q46" s="2190">
        <v>116200000000</v>
      </c>
      <c r="R46" s="2206">
        <v>54300000000</v>
      </c>
      <c r="S46" s="2206">
        <v>85400000000</v>
      </c>
      <c r="T46" s="2206">
        <v>187900000000</v>
      </c>
      <c r="U46" s="125">
        <v>45100000000</v>
      </c>
      <c r="V46" s="125">
        <v>48000000000</v>
      </c>
      <c r="W46" s="125">
        <v>-58800000000</v>
      </c>
      <c r="X46" s="125">
        <v>-43800000000</v>
      </c>
      <c r="Y46" s="2582"/>
      <c r="Z46" s="2582"/>
      <c r="AA46" s="2582"/>
      <c r="AB46" s="2582"/>
      <c r="AC46" s="2520"/>
      <c r="AD46" s="2520"/>
      <c r="AE46" s="2520"/>
      <c r="AF46" s="2520"/>
      <c r="AG46" s="2520"/>
      <c r="AH46" s="2520"/>
      <c r="AI46" s="2520"/>
      <c r="AJ46" s="365"/>
      <c r="AK46" s="365"/>
      <c r="AL46" s="365"/>
      <c r="AM46" s="365"/>
      <c r="AN46" s="365"/>
      <c r="AO46" s="365"/>
      <c r="AP46" s="365"/>
      <c r="AQ46" s="365"/>
    </row>
    <row r="47" spans="1:43">
      <c r="A47" s="1978" t="s">
        <v>76</v>
      </c>
      <c r="B47" s="1987" t="s">
        <v>6462</v>
      </c>
      <c r="C47" s="1985"/>
      <c r="D47" s="1985"/>
      <c r="E47" s="1985"/>
      <c r="F47" s="1985"/>
      <c r="G47" s="2190"/>
      <c r="H47" s="2190"/>
      <c r="I47" s="2190"/>
      <c r="J47" s="2190"/>
      <c r="K47" s="2190"/>
      <c r="L47" s="2190"/>
      <c r="M47" s="2190"/>
      <c r="N47" s="2190" t="s">
        <v>78</v>
      </c>
      <c r="O47" s="2190" t="s">
        <v>78</v>
      </c>
      <c r="P47" s="2190">
        <v>3000000000</v>
      </c>
      <c r="Q47" s="2190">
        <v>11700000000</v>
      </c>
      <c r="R47" s="2206"/>
      <c r="S47" s="2206"/>
      <c r="T47" s="2206"/>
      <c r="U47" s="2190"/>
      <c r="V47" s="2190"/>
      <c r="W47" s="2190"/>
      <c r="X47" s="2190"/>
      <c r="Y47" s="2582"/>
      <c r="Z47" s="2582"/>
      <c r="AA47" s="2583"/>
      <c r="AB47" s="2520"/>
      <c r="AC47" s="2520"/>
      <c r="AD47" s="2520"/>
      <c r="AE47" s="2520"/>
      <c r="AF47" s="2520"/>
      <c r="AG47" s="2520"/>
      <c r="AH47" s="2520"/>
      <c r="AI47" s="2520"/>
      <c r="AJ47" s="365"/>
      <c r="AK47" s="365"/>
      <c r="AL47" s="365"/>
      <c r="AM47" s="365"/>
      <c r="AN47" s="365"/>
      <c r="AO47" s="365"/>
      <c r="AP47" s="365"/>
      <c r="AQ47" s="365"/>
    </row>
    <row r="48" spans="1:43">
      <c r="A48" s="2194" t="s">
        <v>76</v>
      </c>
      <c r="B48" s="1987" t="s">
        <v>6463</v>
      </c>
      <c r="C48" s="1985"/>
      <c r="D48" s="1985"/>
      <c r="E48" s="1985"/>
      <c r="F48" s="1985"/>
      <c r="G48" s="2190"/>
      <c r="H48" s="2190"/>
      <c r="I48" s="2190"/>
      <c r="J48" s="2190"/>
      <c r="K48" s="2190"/>
      <c r="L48" s="2190">
        <v>-8199999999.999999</v>
      </c>
      <c r="M48" s="2190"/>
      <c r="N48" s="2190"/>
      <c r="O48" s="2190"/>
      <c r="P48" s="2190"/>
      <c r="Q48" s="2190"/>
      <c r="R48" s="2206"/>
      <c r="S48" s="2206"/>
      <c r="T48" s="2206"/>
      <c r="U48" s="2190"/>
      <c r="V48" s="2190"/>
      <c r="W48" s="2190"/>
      <c r="X48" s="2190"/>
      <c r="Y48" s="2582"/>
      <c r="Z48" s="2582"/>
      <c r="AA48" s="2583"/>
      <c r="AB48" s="2520"/>
      <c r="AC48" s="2520"/>
      <c r="AD48" s="2520"/>
      <c r="AE48" s="2520"/>
      <c r="AF48" s="2520"/>
      <c r="AG48" s="2520"/>
      <c r="AH48" s="2520"/>
      <c r="AI48" s="2520"/>
      <c r="AJ48" s="365"/>
      <c r="AK48" s="365"/>
      <c r="AL48" s="365"/>
      <c r="AM48" s="365"/>
      <c r="AN48" s="365"/>
      <c r="AO48" s="365"/>
      <c r="AP48" s="365"/>
      <c r="AQ48" s="365"/>
    </row>
    <row r="49" spans="1:43">
      <c r="A49" s="1978" t="s">
        <v>258</v>
      </c>
      <c r="B49" s="1987" t="s">
        <v>6464</v>
      </c>
      <c r="C49" s="1985" t="s">
        <v>124</v>
      </c>
      <c r="D49" s="1985"/>
      <c r="E49" s="1985"/>
      <c r="F49" s="1985"/>
      <c r="G49" s="2190"/>
      <c r="H49" s="2190"/>
      <c r="I49" s="2190">
        <v>-7700000000</v>
      </c>
      <c r="J49" s="2191"/>
      <c r="K49" s="2191"/>
      <c r="L49" s="2192"/>
      <c r="M49" s="2190"/>
      <c r="N49" s="2190"/>
      <c r="O49" s="2190"/>
      <c r="P49" s="2190"/>
      <c r="Q49" s="2190"/>
      <c r="R49" s="2206"/>
      <c r="S49" s="2206"/>
      <c r="T49" s="2206"/>
      <c r="U49" s="2190"/>
      <c r="V49" s="2190"/>
      <c r="W49" s="2190"/>
      <c r="X49" s="2190"/>
      <c r="Y49" s="2582"/>
      <c r="Z49" s="2582"/>
      <c r="AA49" s="2583"/>
      <c r="AB49" s="2520"/>
      <c r="AC49" s="2520"/>
      <c r="AD49" s="2520"/>
      <c r="AE49" s="2520"/>
      <c r="AF49" s="2520"/>
      <c r="AG49" s="2520"/>
      <c r="AH49" s="2520"/>
      <c r="AI49" s="2520"/>
      <c r="AJ49" s="365"/>
      <c r="AK49" s="365"/>
      <c r="AL49" s="365"/>
      <c r="AM49" s="365"/>
      <c r="AN49" s="365"/>
      <c r="AO49" s="365"/>
      <c r="AP49" s="365"/>
      <c r="AQ49" s="365"/>
    </row>
    <row r="50" spans="1:43">
      <c r="A50" s="2194" t="s">
        <v>117</v>
      </c>
      <c r="B50" s="1985" t="s">
        <v>6465</v>
      </c>
      <c r="C50" s="1984" t="s">
        <v>119</v>
      </c>
      <c r="D50" s="1985"/>
      <c r="E50" s="1985"/>
      <c r="F50" s="1985"/>
      <c r="G50" s="2190">
        <v>2900000000</v>
      </c>
      <c r="H50" s="2190">
        <v>4700000000</v>
      </c>
      <c r="I50" s="2190">
        <v>9100000000</v>
      </c>
      <c r="J50" s="2191">
        <v>8300000000.000001</v>
      </c>
      <c r="K50" s="2191">
        <v>0</v>
      </c>
      <c r="L50" s="2190">
        <v>-7800000000</v>
      </c>
      <c r="M50" s="2190">
        <v>2800000000</v>
      </c>
      <c r="N50" s="2190">
        <v>29200000000</v>
      </c>
      <c r="O50" s="2190">
        <v>20300000000</v>
      </c>
      <c r="P50" s="2190">
        <v>61500000000</v>
      </c>
      <c r="Q50" s="2190">
        <v>20500000000</v>
      </c>
      <c r="R50" s="2206">
        <v>95200000000</v>
      </c>
      <c r="S50" s="2206">
        <v>134199999999.99998</v>
      </c>
      <c r="T50" s="2206">
        <v>138300000000</v>
      </c>
      <c r="U50" s="125">
        <v>79100000000</v>
      </c>
      <c r="V50" s="125">
        <v>227300000000</v>
      </c>
      <c r="W50" s="125">
        <v>174500000000</v>
      </c>
      <c r="X50" s="125">
        <v>188600000000</v>
      </c>
      <c r="Y50" s="2208"/>
      <c r="Z50" s="2208"/>
      <c r="AA50" s="2208"/>
      <c r="AB50" s="2208"/>
      <c r="AC50" s="365"/>
      <c r="AD50" s="365"/>
      <c r="AE50" s="365"/>
      <c r="AF50" s="365"/>
      <c r="AG50" s="365"/>
      <c r="AH50" s="365"/>
      <c r="AI50" s="365"/>
      <c r="AJ50" s="365"/>
      <c r="AK50" s="365"/>
      <c r="AL50" s="365"/>
      <c r="AM50" s="365"/>
      <c r="AN50" s="365"/>
      <c r="AO50" s="365"/>
      <c r="AP50" s="365"/>
      <c r="AQ50" s="365"/>
    </row>
    <row r="51" spans="1:43">
      <c r="A51" s="1986" t="s">
        <v>1104</v>
      </c>
      <c r="B51" s="1986" t="s">
        <v>1104</v>
      </c>
      <c r="C51" s="1985" t="s">
        <v>264</v>
      </c>
      <c r="D51" s="1985"/>
      <c r="E51" s="1985"/>
      <c r="F51" s="1985"/>
      <c r="G51" s="2190">
        <v>3300000000</v>
      </c>
      <c r="H51" s="2190">
        <v>4900000000</v>
      </c>
      <c r="I51" s="2190">
        <v>9900000000</v>
      </c>
      <c r="J51" s="2191">
        <v>9500000000</v>
      </c>
      <c r="K51" s="2191">
        <v>2000000000</v>
      </c>
      <c r="L51" s="2190">
        <v>7100000000</v>
      </c>
      <c r="M51" s="2190"/>
      <c r="N51" s="2190"/>
      <c r="O51" s="2190"/>
      <c r="P51" s="2190"/>
      <c r="Q51" s="2190"/>
      <c r="R51" s="2206"/>
      <c r="S51" s="2206"/>
      <c r="T51" s="2206"/>
      <c r="U51" s="2206"/>
      <c r="V51" s="2206"/>
      <c r="W51" s="2206"/>
      <c r="X51" s="2206"/>
      <c r="Y51" s="2207"/>
      <c r="Z51" s="2207"/>
      <c r="AB51" s="365"/>
      <c r="AC51" s="365"/>
      <c r="AD51" s="365"/>
      <c r="AE51" s="365"/>
      <c r="AF51" s="365"/>
      <c r="AG51" s="365"/>
      <c r="AH51" s="365"/>
      <c r="AI51" s="365"/>
      <c r="AJ51" s="365"/>
      <c r="AK51" s="365"/>
      <c r="AL51" s="365"/>
      <c r="AM51" s="365"/>
      <c r="AN51" s="365"/>
      <c r="AO51" s="365"/>
      <c r="AP51" s="365"/>
      <c r="AQ51" s="365"/>
    </row>
    <row r="52" spans="1:43">
      <c r="A52" s="1986" t="s">
        <v>258</v>
      </c>
      <c r="B52" s="1986" t="s">
        <v>258</v>
      </c>
      <c r="C52" s="1985" t="s">
        <v>264</v>
      </c>
      <c r="D52" s="1985"/>
      <c r="E52" s="1985"/>
      <c r="F52" s="1985"/>
      <c r="G52" s="2190">
        <v>-33600000000</v>
      </c>
      <c r="H52" s="2190">
        <v>-33500000000</v>
      </c>
      <c r="I52" s="2190">
        <v>-19400000000</v>
      </c>
      <c r="J52" s="2191">
        <v>-19600000000</v>
      </c>
      <c r="K52" s="2191">
        <v>-19900000000</v>
      </c>
      <c r="L52" s="2190">
        <v>-24700000000</v>
      </c>
      <c r="M52" s="2190"/>
      <c r="N52" s="2190"/>
      <c r="O52" s="2190"/>
      <c r="P52" s="2190"/>
      <c r="Q52" s="2190"/>
      <c r="R52" s="2206"/>
      <c r="S52" s="2206"/>
      <c r="T52" s="2206"/>
      <c r="U52" s="2206"/>
      <c r="V52" s="2206"/>
      <c r="W52" s="2206"/>
      <c r="X52" s="2206"/>
      <c r="Y52" s="2207"/>
      <c r="Z52" s="2207"/>
      <c r="AB52" s="365"/>
      <c r="AC52" s="365"/>
      <c r="AD52" s="365"/>
      <c r="AE52" s="365"/>
      <c r="AF52" s="365"/>
      <c r="AG52" s="365"/>
      <c r="AH52" s="365"/>
      <c r="AI52" s="365"/>
      <c r="AJ52" s="365"/>
      <c r="AK52" s="365"/>
      <c r="AL52" s="365"/>
      <c r="AM52" s="365"/>
      <c r="AN52" s="365"/>
      <c r="AO52" s="365"/>
      <c r="AP52" s="365"/>
      <c r="AQ52" s="365"/>
    </row>
    <row r="53" spans="1:43">
      <c r="A53" s="1986" t="s">
        <v>6466</v>
      </c>
      <c r="B53" s="1986" t="s">
        <v>6467</v>
      </c>
      <c r="C53" s="1985" t="s">
        <v>264</v>
      </c>
      <c r="D53" s="1985"/>
      <c r="E53" s="1985"/>
      <c r="F53" s="1985"/>
      <c r="G53" s="2190">
        <v>33299999999.999996</v>
      </c>
      <c r="H53" s="2190">
        <v>33299999999.999996</v>
      </c>
      <c r="I53" s="2190">
        <v>18600000000</v>
      </c>
      <c r="J53" s="2191">
        <v>18400000000</v>
      </c>
      <c r="K53" s="2191">
        <v>17900000000</v>
      </c>
      <c r="L53" s="2192">
        <f>L50-L51-L52</f>
        <v>9800000000</v>
      </c>
      <c r="M53" s="2190"/>
      <c r="N53" s="2190"/>
      <c r="O53" s="2190"/>
      <c r="P53" s="2190"/>
      <c r="Q53" s="2190"/>
      <c r="R53" s="2206"/>
      <c r="S53" s="2206"/>
      <c r="T53" s="2206"/>
      <c r="U53" s="2206"/>
      <c r="V53" s="2206"/>
      <c r="W53" s="2206"/>
      <c r="X53" s="2206"/>
      <c r="Y53" s="2207"/>
      <c r="Z53" s="2207"/>
      <c r="AB53" s="365"/>
      <c r="AC53" s="365"/>
      <c r="AD53" s="365"/>
      <c r="AE53" s="365"/>
      <c r="AF53" s="365"/>
      <c r="AG53" s="365"/>
      <c r="AH53" s="365"/>
      <c r="AI53" s="365"/>
      <c r="AJ53" s="365"/>
      <c r="AK53" s="365"/>
      <c r="AL53" s="365"/>
      <c r="AM53" s="365"/>
      <c r="AN53" s="365"/>
      <c r="AO53" s="365"/>
      <c r="AP53" s="365"/>
      <c r="AQ53" s="365"/>
    </row>
    <row r="54" spans="1:43">
      <c r="B54" s="1985" t="s">
        <v>6468</v>
      </c>
      <c r="C54" s="1985"/>
      <c r="D54" s="1985"/>
      <c r="E54" s="1985"/>
      <c r="F54" s="1985"/>
      <c r="G54" s="2190"/>
      <c r="H54" s="2190"/>
      <c r="I54" s="2190"/>
      <c r="J54" s="2190"/>
      <c r="K54" s="2191">
        <v>0</v>
      </c>
      <c r="L54" s="2190">
        <v>32299999999.999996</v>
      </c>
      <c r="M54" s="2190">
        <v>41000000000</v>
      </c>
      <c r="N54" s="2190">
        <v>41100000000</v>
      </c>
      <c r="O54" s="2190">
        <v>46100000000</v>
      </c>
      <c r="P54" s="2190">
        <v>16300000000</v>
      </c>
      <c r="Q54" s="2190">
        <v>9000000000</v>
      </c>
      <c r="R54" s="2206"/>
      <c r="S54" s="2206"/>
      <c r="T54" s="2206"/>
      <c r="U54" s="2206"/>
      <c r="V54" s="2206"/>
      <c r="W54" s="2206"/>
      <c r="X54" s="2206"/>
      <c r="Y54" s="2208"/>
      <c r="Z54" s="2208"/>
      <c r="AA54" s="1697"/>
      <c r="AB54" s="365"/>
      <c r="AC54" s="365"/>
      <c r="AD54" s="365"/>
      <c r="AE54" s="365"/>
      <c r="AF54" s="365"/>
      <c r="AG54" s="365"/>
      <c r="AH54" s="365"/>
      <c r="AI54" s="365"/>
      <c r="AJ54" s="365"/>
      <c r="AK54" s="365"/>
      <c r="AL54" s="365"/>
      <c r="AM54" s="365"/>
      <c r="AN54" s="365"/>
      <c r="AO54" s="365"/>
      <c r="AP54" s="365"/>
      <c r="AQ54" s="365"/>
    </row>
    <row r="55" spans="1:43">
      <c r="B55" s="1986" t="s">
        <v>6469</v>
      </c>
      <c r="C55" s="1985"/>
      <c r="D55" s="1985"/>
      <c r="E55" s="1985"/>
      <c r="F55" s="1985"/>
      <c r="G55" s="2190"/>
      <c r="H55" s="2190"/>
      <c r="I55" s="2190"/>
      <c r="J55" s="2190"/>
      <c r="K55" s="2191">
        <v>0</v>
      </c>
      <c r="L55" s="2190">
        <v>21700000000</v>
      </c>
      <c r="M55" s="2190">
        <v>19400000000</v>
      </c>
      <c r="N55" s="2190">
        <v>11000000000</v>
      </c>
      <c r="O55" s="2190">
        <v>17300000000</v>
      </c>
      <c r="P55" s="2190">
        <v>0</v>
      </c>
      <c r="Q55" s="2190">
        <v>0</v>
      </c>
      <c r="R55" s="2206"/>
      <c r="S55" s="2206"/>
      <c r="T55" s="2206"/>
      <c r="U55" s="2206"/>
      <c r="V55" s="2206"/>
      <c r="W55" s="2206"/>
      <c r="X55" s="2206"/>
      <c r="Y55" s="2208"/>
      <c r="Z55" s="2208"/>
      <c r="AA55" s="1697"/>
      <c r="AB55" s="365"/>
      <c r="AC55" s="365"/>
      <c r="AD55" s="365"/>
      <c r="AE55" s="365"/>
      <c r="AF55" s="365"/>
      <c r="AG55" s="365"/>
      <c r="AH55" s="365"/>
      <c r="AI55" s="365"/>
      <c r="AJ55" s="365"/>
      <c r="AK55" s="365"/>
      <c r="AL55" s="365"/>
      <c r="AM55" s="365"/>
      <c r="AN55" s="365"/>
      <c r="AO55" s="365"/>
      <c r="AP55" s="365"/>
      <c r="AQ55" s="365"/>
    </row>
    <row r="56" spans="1:43">
      <c r="B56" s="1986" t="s">
        <v>6470</v>
      </c>
      <c r="C56" s="1985"/>
      <c r="D56" s="1985"/>
      <c r="E56" s="1985"/>
      <c r="F56" s="1985"/>
      <c r="G56" s="2190"/>
      <c r="H56" s="2190"/>
      <c r="I56" s="2190"/>
      <c r="J56" s="2190"/>
      <c r="K56" s="2191">
        <v>0</v>
      </c>
      <c r="L56" s="2190">
        <v>10500000000</v>
      </c>
      <c r="M56" s="2190">
        <v>21600000000</v>
      </c>
      <c r="N56" s="2190">
        <v>30100000000</v>
      </c>
      <c r="O56" s="2190">
        <v>28900000000</v>
      </c>
      <c r="P56" s="2190">
        <v>16300000000</v>
      </c>
      <c r="Q56" s="2190">
        <v>9000000000</v>
      </c>
      <c r="R56" s="2206"/>
      <c r="S56" s="2206"/>
      <c r="T56" s="2206"/>
      <c r="U56" s="2206"/>
      <c r="V56" s="2206"/>
      <c r="W56" s="2209"/>
      <c r="X56" s="2209"/>
      <c r="Y56" s="2208"/>
      <c r="Z56" s="2208"/>
      <c r="AA56" s="1697"/>
      <c r="AB56" s="365"/>
      <c r="AC56" s="365"/>
      <c r="AD56" s="365"/>
      <c r="AE56" s="365"/>
      <c r="AF56" s="365"/>
      <c r="AG56" s="365"/>
      <c r="AH56" s="365"/>
      <c r="AI56" s="365"/>
      <c r="AJ56" s="365"/>
      <c r="AK56" s="365"/>
      <c r="AL56" s="365"/>
      <c r="AM56" s="365"/>
      <c r="AN56" s="365"/>
      <c r="AO56" s="365"/>
      <c r="AP56" s="365"/>
      <c r="AQ56" s="365"/>
    </row>
    <row r="57" spans="1:43">
      <c r="B57" s="1985" t="s">
        <v>6471</v>
      </c>
      <c r="C57" s="1985"/>
      <c r="D57" s="1985"/>
      <c r="E57" s="1985"/>
      <c r="F57" s="1985"/>
      <c r="G57" s="2190"/>
      <c r="H57" s="2190"/>
      <c r="I57" s="2190"/>
      <c r="J57" s="2191">
        <v>0</v>
      </c>
      <c r="K57" s="2191">
        <v>-800000000</v>
      </c>
      <c r="L57" s="2190">
        <v>0</v>
      </c>
      <c r="M57" s="2190">
        <v>1000000000</v>
      </c>
      <c r="N57" s="2190">
        <v>10300000000</v>
      </c>
      <c r="O57" s="2190">
        <v>11900000000</v>
      </c>
      <c r="P57" s="2190">
        <v>-6700000000</v>
      </c>
      <c r="Q57" s="2190">
        <v>4600000000</v>
      </c>
      <c r="R57" s="2206">
        <v>-80100000000</v>
      </c>
      <c r="S57" s="2206">
        <v>-121300000000</v>
      </c>
      <c r="T57" s="2206">
        <v>5600000000</v>
      </c>
      <c r="U57" s="2206"/>
      <c r="V57" s="2206"/>
      <c r="W57" s="2209"/>
      <c r="X57" s="2209"/>
      <c r="Y57" s="2208"/>
      <c r="Z57" s="2208"/>
      <c r="AA57" s="1697"/>
      <c r="AB57" s="365"/>
      <c r="AC57" s="365"/>
      <c r="AD57" s="365"/>
      <c r="AE57" s="365"/>
      <c r="AF57" s="365"/>
      <c r="AG57" s="365"/>
      <c r="AH57" s="365"/>
      <c r="AI57" s="365"/>
      <c r="AJ57" s="365"/>
      <c r="AK57" s="365"/>
      <c r="AL57" s="365"/>
      <c r="AM57" s="365"/>
      <c r="AN57" s="365"/>
      <c r="AO57" s="365"/>
      <c r="AP57" s="365"/>
      <c r="AQ57" s="365"/>
    </row>
    <row r="58" spans="1:43">
      <c r="B58" s="1985" t="s">
        <v>1560</v>
      </c>
      <c r="C58" s="1985"/>
      <c r="D58" s="1985"/>
      <c r="E58" s="1985"/>
      <c r="F58" s="1985"/>
      <c r="G58" s="2190">
        <v>0</v>
      </c>
      <c r="H58" s="2190">
        <v>0</v>
      </c>
      <c r="I58" s="2190">
        <v>-5800000000</v>
      </c>
      <c r="J58" s="2191"/>
      <c r="K58" s="2191"/>
      <c r="L58" s="2190"/>
      <c r="M58" s="2190"/>
      <c r="N58" s="2190"/>
      <c r="O58" s="2190"/>
      <c r="P58" s="2190"/>
      <c r="Q58" s="2190"/>
      <c r="R58" s="2206"/>
      <c r="S58" s="2206"/>
      <c r="T58" s="2206"/>
      <c r="U58" s="2206"/>
      <c r="V58" s="2206"/>
      <c r="W58" s="2209"/>
      <c r="X58" s="2209"/>
      <c r="Y58" s="2208"/>
      <c r="Z58" s="2208"/>
      <c r="AA58" s="1697"/>
      <c r="AB58" s="365"/>
      <c r="AC58" s="365"/>
      <c r="AD58" s="365"/>
      <c r="AE58" s="365"/>
      <c r="AF58" s="365"/>
      <c r="AG58" s="365"/>
      <c r="AH58" s="365"/>
      <c r="AI58" s="365"/>
      <c r="AJ58" s="365"/>
      <c r="AK58" s="365"/>
      <c r="AL58" s="365"/>
      <c r="AM58" s="365"/>
      <c r="AN58" s="365"/>
      <c r="AO58" s="365"/>
      <c r="AP58" s="365"/>
      <c r="AQ58" s="365"/>
    </row>
    <row r="59" spans="1:43">
      <c r="B59" s="1985"/>
      <c r="C59" s="1985"/>
      <c r="D59" s="1985"/>
      <c r="E59" s="1985"/>
      <c r="F59" s="1985"/>
      <c r="G59" s="1990"/>
      <c r="H59" s="1990"/>
      <c r="I59" s="1990"/>
      <c r="J59" s="1990"/>
      <c r="K59" s="1990"/>
      <c r="L59" s="1990"/>
      <c r="M59" s="1990"/>
      <c r="N59" s="1990"/>
      <c r="O59" s="1990"/>
      <c r="P59" s="1990"/>
      <c r="Q59" s="1990"/>
      <c r="R59" s="1990"/>
      <c r="S59" s="1990"/>
      <c r="T59" s="1990"/>
      <c r="U59" s="1990"/>
      <c r="V59" s="1990"/>
      <c r="W59" s="1988"/>
      <c r="X59" s="1988"/>
    </row>
    <row r="60" spans="1:43">
      <c r="B60" s="1985"/>
      <c r="C60" s="1985"/>
      <c r="D60" s="1985"/>
      <c r="E60" s="1985"/>
      <c r="F60" s="1985"/>
      <c r="G60" s="1978" t="s">
        <v>139</v>
      </c>
      <c r="H60" s="1978" t="s">
        <v>139</v>
      </c>
      <c r="I60" s="1978" t="s">
        <v>139</v>
      </c>
      <c r="J60" s="1978" t="s">
        <v>139</v>
      </c>
      <c r="K60" s="1978" t="s">
        <v>139</v>
      </c>
      <c r="L60" s="1978" t="s">
        <v>139</v>
      </c>
      <c r="M60" s="1978" t="s">
        <v>139</v>
      </c>
      <c r="N60" s="1978" t="s">
        <v>139</v>
      </c>
      <c r="O60" s="1978" t="s">
        <v>139</v>
      </c>
      <c r="P60" s="1978" t="s">
        <v>139</v>
      </c>
      <c r="Q60" s="1978" t="s">
        <v>139</v>
      </c>
      <c r="R60" s="1978" t="s">
        <v>139</v>
      </c>
      <c r="S60" s="1978" t="s">
        <v>139</v>
      </c>
      <c r="T60" s="1978" t="s">
        <v>139</v>
      </c>
      <c r="U60" s="1978" t="s">
        <v>139</v>
      </c>
      <c r="V60" s="1978" t="s">
        <v>139</v>
      </c>
      <c r="W60" s="1978" t="s">
        <v>139</v>
      </c>
      <c r="X60" s="1978" t="s">
        <v>139</v>
      </c>
    </row>
    <row r="61" spans="1:43">
      <c r="B61" s="1985"/>
      <c r="C61" s="1985"/>
      <c r="D61" s="1985"/>
      <c r="E61" s="1985"/>
      <c r="F61" s="1985"/>
      <c r="G61" s="1985"/>
      <c r="H61" s="1985"/>
      <c r="I61" s="1985"/>
      <c r="J61" s="1985"/>
      <c r="K61" s="1985"/>
      <c r="L61" s="1988"/>
      <c r="M61" s="1988"/>
      <c r="N61" s="1988"/>
      <c r="O61" s="1988"/>
      <c r="P61" s="1988"/>
      <c r="Q61" s="1988"/>
      <c r="R61" s="1988"/>
      <c r="S61" s="1988"/>
      <c r="T61" s="1988"/>
      <c r="U61" s="1988"/>
      <c r="V61" s="1988"/>
      <c r="W61" s="1988"/>
      <c r="X61" s="1988"/>
    </row>
    <row r="62" spans="1:43">
      <c r="B62" s="1978" t="s">
        <v>6472</v>
      </c>
      <c r="C62" s="1985"/>
      <c r="D62" s="1992"/>
      <c r="E62" s="1992"/>
      <c r="F62" s="1992"/>
      <c r="G62" s="1992">
        <f>G6-G7-G12</f>
        <v>0</v>
      </c>
      <c r="H62" s="1992">
        <f>H6-H7-H12</f>
        <v>0</v>
      </c>
      <c r="I62" s="1992">
        <f t="shared" ref="I62:U62" si="15">I6-I7-I12</f>
        <v>0</v>
      </c>
      <c r="J62" s="1992">
        <f t="shared" si="15"/>
        <v>0</v>
      </c>
      <c r="K62" s="1992">
        <f t="shared" si="15"/>
        <v>0</v>
      </c>
      <c r="L62" s="1992">
        <f t="shared" si="15"/>
        <v>0</v>
      </c>
      <c r="M62" s="1992">
        <f t="shared" si="15"/>
        <v>0</v>
      </c>
      <c r="N62" s="1992">
        <f t="shared" si="15"/>
        <v>0</v>
      </c>
      <c r="O62" s="1992">
        <f>O6-O7-O12</f>
        <v>0</v>
      </c>
      <c r="P62" s="1992">
        <f t="shared" si="15"/>
        <v>100000000</v>
      </c>
      <c r="Q62" s="1992">
        <f t="shared" si="15"/>
        <v>-100000000</v>
      </c>
      <c r="R62" s="2207">
        <f t="shared" si="15"/>
        <v>0</v>
      </c>
      <c r="S62" s="2207">
        <f t="shared" si="15"/>
        <v>0</v>
      </c>
      <c r="T62" s="2207">
        <f t="shared" si="15"/>
        <v>0</v>
      </c>
      <c r="U62" s="2207">
        <f t="shared" si="15"/>
        <v>0</v>
      </c>
      <c r="V62" s="2207">
        <f>V6-V7-V12</f>
        <v>0</v>
      </c>
      <c r="W62" s="2207">
        <f>W6-W7-W12</f>
        <v>0</v>
      </c>
      <c r="X62" s="2207">
        <f>X6-X7-X12</f>
        <v>0</v>
      </c>
      <c r="Y62" s="2584"/>
      <c r="Z62" s="2584"/>
    </row>
    <row r="63" spans="1:43">
      <c r="B63" s="1978" t="s">
        <v>141</v>
      </c>
      <c r="C63" s="1985"/>
      <c r="D63" s="1992"/>
      <c r="E63" s="1992"/>
      <c r="F63" s="1992"/>
      <c r="G63" s="1992">
        <f t="shared" ref="G63:V63" si="16">G7-G8-G11</f>
        <v>100000000</v>
      </c>
      <c r="H63" s="1992">
        <f t="shared" si="16"/>
        <v>0</v>
      </c>
      <c r="I63" s="1992">
        <f t="shared" si="16"/>
        <v>0</v>
      </c>
      <c r="J63" s="1992">
        <f t="shared" si="16"/>
        <v>0</v>
      </c>
      <c r="K63" s="1992">
        <f t="shared" si="16"/>
        <v>0</v>
      </c>
      <c r="L63" s="1992">
        <f t="shared" si="16"/>
        <v>100000000</v>
      </c>
      <c r="M63" s="1992">
        <f t="shared" si="16"/>
        <v>0</v>
      </c>
      <c r="N63" s="1992">
        <f t="shared" si="16"/>
        <v>0</v>
      </c>
      <c r="O63" s="1992">
        <f t="shared" si="16"/>
        <v>0</v>
      </c>
      <c r="P63" s="1992">
        <f t="shared" si="16"/>
        <v>-100000000</v>
      </c>
      <c r="Q63" s="1992">
        <f t="shared" si="16"/>
        <v>0</v>
      </c>
      <c r="R63" s="2207">
        <f t="shared" si="16"/>
        <v>0</v>
      </c>
      <c r="S63" s="2207">
        <f t="shared" si="16"/>
        <v>0</v>
      </c>
      <c r="T63" s="2207">
        <f t="shared" si="16"/>
        <v>100000000</v>
      </c>
      <c r="U63" s="2207">
        <f t="shared" si="16"/>
        <v>0</v>
      </c>
      <c r="V63" s="2207">
        <f t="shared" si="16"/>
        <v>0</v>
      </c>
      <c r="W63" s="2207">
        <f>W7-W8-W11</f>
        <v>0</v>
      </c>
      <c r="X63" s="2207">
        <f>X7-X8-X11</f>
        <v>0</v>
      </c>
      <c r="Y63" s="2584"/>
      <c r="Z63" s="2584"/>
    </row>
    <row r="64" spans="1:43">
      <c r="B64" s="1978" t="s">
        <v>142</v>
      </c>
      <c r="C64" s="1985"/>
      <c r="D64" s="1992"/>
      <c r="E64" s="1992"/>
      <c r="F64" s="1992"/>
      <c r="G64" s="1992">
        <f>G8-G9-G10</f>
        <v>0</v>
      </c>
      <c r="H64" s="1992">
        <f t="shared" ref="H64:V64" si="17">H8-H9-H10</f>
        <v>100000000</v>
      </c>
      <c r="I64" s="1992">
        <f t="shared" si="17"/>
        <v>100000000</v>
      </c>
      <c r="J64" s="1992">
        <f t="shared" si="17"/>
        <v>0</v>
      </c>
      <c r="K64" s="1992">
        <f t="shared" si="17"/>
        <v>0</v>
      </c>
      <c r="L64" s="1992">
        <f t="shared" si="17"/>
        <v>0</v>
      </c>
      <c r="M64" s="1992">
        <f t="shared" si="17"/>
        <v>0</v>
      </c>
      <c r="N64" s="1992">
        <f t="shared" si="17"/>
        <v>0</v>
      </c>
      <c r="O64" s="1992">
        <f t="shared" si="17"/>
        <v>0</v>
      </c>
      <c r="P64" s="1992">
        <f t="shared" si="17"/>
        <v>0</v>
      </c>
      <c r="Q64" s="1992">
        <f t="shared" si="17"/>
        <v>0</v>
      </c>
      <c r="R64" s="2207">
        <f t="shared" si="17"/>
        <v>0</v>
      </c>
      <c r="S64" s="2207">
        <f t="shared" si="17"/>
        <v>0</v>
      </c>
      <c r="T64" s="2207">
        <f t="shared" si="17"/>
        <v>-100000000</v>
      </c>
      <c r="U64" s="2207">
        <f t="shared" si="17"/>
        <v>0</v>
      </c>
      <c r="V64" s="2207">
        <f t="shared" si="17"/>
        <v>0</v>
      </c>
      <c r="W64" s="2207">
        <f>W8-W9-W10</f>
        <v>0</v>
      </c>
      <c r="X64" s="2207">
        <f>X8-X9-X10</f>
        <v>0</v>
      </c>
      <c r="Y64" s="2584"/>
      <c r="Z64" s="2584"/>
    </row>
    <row r="65" spans="2:26">
      <c r="B65" s="1978" t="s">
        <v>145</v>
      </c>
      <c r="C65" s="1985"/>
      <c r="D65" s="1991"/>
      <c r="E65" s="1991"/>
      <c r="F65" s="1991"/>
      <c r="G65" s="1991">
        <f>G13-G16-G29</f>
        <v>-100000000.00001526</v>
      </c>
      <c r="H65" s="1991">
        <f t="shared" ref="H65:V65" si="18">H13-H16-H29</f>
        <v>100000000</v>
      </c>
      <c r="I65" s="1991">
        <f t="shared" si="18"/>
        <v>0</v>
      </c>
      <c r="J65" s="1991">
        <f t="shared" si="18"/>
        <v>0</v>
      </c>
      <c r="K65" s="1991">
        <f t="shared" si="18"/>
        <v>0</v>
      </c>
      <c r="L65" s="1991">
        <f t="shared" si="18"/>
        <v>0</v>
      </c>
      <c r="M65" s="1991">
        <f t="shared" si="18"/>
        <v>0</v>
      </c>
      <c r="N65" s="1991">
        <f t="shared" si="18"/>
        <v>0</v>
      </c>
      <c r="O65" s="1991">
        <f t="shared" si="18"/>
        <v>0</v>
      </c>
      <c r="P65" s="2195">
        <f t="shared" si="18"/>
        <v>0</v>
      </c>
      <c r="Q65" s="2195">
        <f>Q13-Q16-Q29</f>
        <v>0</v>
      </c>
      <c r="R65" s="2207">
        <f t="shared" si="18"/>
        <v>0</v>
      </c>
      <c r="S65" s="2207">
        <f t="shared" si="18"/>
        <v>0</v>
      </c>
      <c r="T65" s="2207">
        <f t="shared" si="18"/>
        <v>-100000000</v>
      </c>
      <c r="U65" s="2207">
        <f t="shared" si="18"/>
        <v>0</v>
      </c>
      <c r="V65" s="2207">
        <f t="shared" si="18"/>
        <v>0</v>
      </c>
      <c r="W65" s="2207">
        <f>W13-W16-W29</f>
        <v>0</v>
      </c>
      <c r="X65" s="2207">
        <f>X13-X16-X29</f>
        <v>0</v>
      </c>
      <c r="Y65" s="2584"/>
      <c r="Z65" s="2584"/>
    </row>
    <row r="66" spans="2:26">
      <c r="B66" s="1978" t="s">
        <v>361</v>
      </c>
      <c r="C66" s="1985"/>
      <c r="D66" s="1992"/>
      <c r="E66" s="1992"/>
      <c r="F66" s="1992"/>
      <c r="G66" s="1992">
        <f t="shared" ref="G66:N66" si="19">G16-G17-G24-G25-G26</f>
        <v>1.52587890625E-5</v>
      </c>
      <c r="H66" s="1992">
        <f t="shared" si="19"/>
        <v>0</v>
      </c>
      <c r="I66" s="1992">
        <f t="shared" si="19"/>
        <v>0</v>
      </c>
      <c r="J66" s="1992">
        <f t="shared" si="19"/>
        <v>100000000</v>
      </c>
      <c r="K66" s="1992">
        <f t="shared" si="19"/>
        <v>0</v>
      </c>
      <c r="L66" s="1992">
        <f t="shared" si="19"/>
        <v>0</v>
      </c>
      <c r="M66" s="1992">
        <f t="shared" si="19"/>
        <v>0</v>
      </c>
      <c r="N66" s="1992">
        <f t="shared" si="19"/>
        <v>0</v>
      </c>
      <c r="O66" s="1992">
        <f>O16-O17-O24-O25-O26</f>
        <v>0</v>
      </c>
      <c r="P66" s="1992">
        <f t="shared" ref="P66:V66" si="20">P16-P17-P24-P25-P26</f>
        <v>0</v>
      </c>
      <c r="Q66" s="1992">
        <f t="shared" si="20"/>
        <v>0</v>
      </c>
      <c r="R66" s="2207">
        <f t="shared" si="20"/>
        <v>0</v>
      </c>
      <c r="S66" s="2207">
        <f t="shared" si="20"/>
        <v>0</v>
      </c>
      <c r="T66" s="2207">
        <f t="shared" si="20"/>
        <v>0</v>
      </c>
      <c r="U66" s="2207">
        <f t="shared" si="20"/>
        <v>0</v>
      </c>
      <c r="V66" s="2207">
        <f t="shared" si="20"/>
        <v>0</v>
      </c>
      <c r="W66" s="2207">
        <f>W16-W17-W24-W25-W26</f>
        <v>0</v>
      </c>
      <c r="X66" s="2207">
        <f>X16-X17-X24-X25-X26</f>
        <v>0</v>
      </c>
      <c r="Y66" s="2584"/>
      <c r="Z66" s="2584"/>
    </row>
    <row r="67" spans="2:26">
      <c r="B67" s="1978" t="s">
        <v>6473</v>
      </c>
      <c r="C67" s="1985"/>
      <c r="D67" s="1992"/>
      <c r="E67" s="1992"/>
      <c r="F67" s="1992"/>
      <c r="G67" s="1992">
        <f>G17-G18-G19-G20-G22-G23</f>
        <v>0</v>
      </c>
      <c r="H67" s="1992">
        <f t="shared" ref="H67:V67" si="21">H17-H18-H19-H20-H22-H23</f>
        <v>0</v>
      </c>
      <c r="I67" s="1992">
        <f t="shared" si="21"/>
        <v>0</v>
      </c>
      <c r="J67" s="1992">
        <f t="shared" si="21"/>
        <v>0</v>
      </c>
      <c r="K67" s="1992">
        <f t="shared" si="21"/>
        <v>0</v>
      </c>
      <c r="L67" s="1992">
        <f t="shared" si="21"/>
        <v>0</v>
      </c>
      <c r="M67" s="1992">
        <f t="shared" si="21"/>
        <v>0</v>
      </c>
      <c r="N67" s="1992">
        <f t="shared" si="21"/>
        <v>0</v>
      </c>
      <c r="O67" s="1992">
        <f t="shared" si="21"/>
        <v>0</v>
      </c>
      <c r="P67" s="1992">
        <f t="shared" si="21"/>
        <v>0</v>
      </c>
      <c r="Q67" s="1992">
        <f t="shared" si="21"/>
        <v>0</v>
      </c>
      <c r="R67" s="2207">
        <f t="shared" si="21"/>
        <v>0</v>
      </c>
      <c r="S67" s="2207">
        <f t="shared" si="21"/>
        <v>0</v>
      </c>
      <c r="T67" s="2207">
        <f t="shared" si="21"/>
        <v>0</v>
      </c>
      <c r="U67" s="2207">
        <f t="shared" si="21"/>
        <v>0</v>
      </c>
      <c r="V67" s="2207">
        <f t="shared" si="21"/>
        <v>0</v>
      </c>
      <c r="W67" s="2207">
        <f>W17-W18-W19-W20-W22-W23</f>
        <v>0</v>
      </c>
      <c r="X67" s="2207">
        <f>X17-X18-X19-X20-X22-X23</f>
        <v>0</v>
      </c>
      <c r="Y67" s="2584"/>
      <c r="Z67" s="2584"/>
    </row>
    <row r="68" spans="2:26">
      <c r="B68" s="1978" t="s">
        <v>291</v>
      </c>
      <c r="C68" s="1985"/>
      <c r="D68" s="1992"/>
      <c r="E68" s="1992"/>
      <c r="F68" s="1992"/>
      <c r="G68" s="1992">
        <f>G25-G27-G28</f>
        <v>100000000</v>
      </c>
      <c r="H68" s="1992">
        <f t="shared" ref="H68:V68" si="22">H25-H27-H28</f>
        <v>0</v>
      </c>
      <c r="I68" s="1992">
        <f t="shared" si="22"/>
        <v>0</v>
      </c>
      <c r="J68" s="1992">
        <f t="shared" si="22"/>
        <v>-100000000</v>
      </c>
      <c r="K68" s="1992">
        <f t="shared" si="22"/>
        <v>0</v>
      </c>
      <c r="L68" s="1992">
        <f t="shared" si="22"/>
        <v>0</v>
      </c>
      <c r="M68" s="1992">
        <f t="shared" si="22"/>
        <v>0</v>
      </c>
      <c r="N68" s="1992">
        <f t="shared" si="22"/>
        <v>0</v>
      </c>
      <c r="O68" s="1992">
        <f t="shared" si="22"/>
        <v>0</v>
      </c>
      <c r="P68" s="1992">
        <f t="shared" si="22"/>
        <v>0</v>
      </c>
      <c r="Q68" s="1992">
        <f t="shared" si="22"/>
        <v>0</v>
      </c>
      <c r="R68" s="2207">
        <f t="shared" si="22"/>
        <v>0</v>
      </c>
      <c r="S68" s="2207">
        <f t="shared" si="22"/>
        <v>0</v>
      </c>
      <c r="T68" s="2207">
        <f t="shared" si="22"/>
        <v>0</v>
      </c>
      <c r="U68" s="2207">
        <f t="shared" si="22"/>
        <v>0</v>
      </c>
      <c r="V68" s="2207">
        <f t="shared" si="22"/>
        <v>0</v>
      </c>
      <c r="W68" s="2207">
        <f>W25-W27-W28</f>
        <v>0</v>
      </c>
      <c r="X68" s="2207">
        <f>X25-X27-X28</f>
        <v>0</v>
      </c>
      <c r="Y68" s="2584"/>
      <c r="Z68" s="2584"/>
    </row>
    <row r="69" spans="2:26">
      <c r="B69" s="1978" t="s">
        <v>6474</v>
      </c>
      <c r="C69" s="1985"/>
      <c r="D69" s="1992"/>
      <c r="E69" s="1992"/>
      <c r="F69" s="1992"/>
      <c r="G69" s="1992">
        <f t="shared" ref="G69:V69" si="23">G29-G30-G31</f>
        <v>100000000</v>
      </c>
      <c r="H69" s="1992">
        <f t="shared" si="23"/>
        <v>-100000000</v>
      </c>
      <c r="I69" s="1992">
        <f t="shared" si="23"/>
        <v>0</v>
      </c>
      <c r="J69" s="1992">
        <f t="shared" si="23"/>
        <v>-100000000</v>
      </c>
      <c r="K69" s="1992">
        <f t="shared" si="23"/>
        <v>0</v>
      </c>
      <c r="L69" s="1992">
        <f t="shared" si="23"/>
        <v>0</v>
      </c>
      <c r="M69" s="1992">
        <f t="shared" si="23"/>
        <v>0</v>
      </c>
      <c r="N69" s="1992">
        <f t="shared" si="23"/>
        <v>100000000</v>
      </c>
      <c r="O69" s="1992">
        <f t="shared" si="23"/>
        <v>0</v>
      </c>
      <c r="P69" s="1992">
        <f t="shared" si="23"/>
        <v>0</v>
      </c>
      <c r="Q69" s="1992">
        <f t="shared" si="23"/>
        <v>0</v>
      </c>
      <c r="R69" s="2207">
        <f t="shared" si="23"/>
        <v>100000000</v>
      </c>
      <c r="S69" s="2207">
        <f t="shared" si="23"/>
        <v>0</v>
      </c>
      <c r="T69" s="2207">
        <f t="shared" si="23"/>
        <v>0</v>
      </c>
      <c r="U69" s="2207">
        <f t="shared" si="23"/>
        <v>0</v>
      </c>
      <c r="V69" s="2207">
        <f t="shared" si="23"/>
        <v>0</v>
      </c>
      <c r="W69" s="2207">
        <f>W29-W30-W31</f>
        <v>0</v>
      </c>
      <c r="X69" s="2207">
        <f>X29-X30-X31</f>
        <v>0</v>
      </c>
      <c r="Y69" s="2584"/>
      <c r="Z69" s="2584"/>
    </row>
    <row r="70" spans="2:26">
      <c r="B70" s="1978" t="s">
        <v>148</v>
      </c>
      <c r="C70" s="1985"/>
      <c r="D70" s="1992"/>
      <c r="E70" s="1992"/>
      <c r="F70" s="1992"/>
      <c r="G70" s="1992">
        <f>G40-G41-G50</f>
        <v>0</v>
      </c>
      <c r="H70" s="1992">
        <f>H40-H41-H50</f>
        <v>0</v>
      </c>
      <c r="I70" s="1992">
        <f>I40-I41-I50</f>
        <v>0</v>
      </c>
      <c r="J70" s="1992">
        <f>J40-J41-J50</f>
        <v>0</v>
      </c>
      <c r="K70" s="1992">
        <f t="shared" ref="K70:U70" si="24">K40-K41-K50</f>
        <v>0</v>
      </c>
      <c r="L70" s="1992">
        <f>L40-L41-L50</f>
        <v>100000000</v>
      </c>
      <c r="M70" s="1992">
        <f t="shared" si="24"/>
        <v>0</v>
      </c>
      <c r="N70" s="1992">
        <f t="shared" si="24"/>
        <v>0</v>
      </c>
      <c r="O70" s="1992">
        <f t="shared" si="24"/>
        <v>0</v>
      </c>
      <c r="P70" s="1992">
        <f t="shared" si="24"/>
        <v>0</v>
      </c>
      <c r="Q70" s="1992">
        <f>Q40-Q41-Q50</f>
        <v>-100000000</v>
      </c>
      <c r="R70" s="2207">
        <f t="shared" si="24"/>
        <v>0</v>
      </c>
      <c r="S70" s="2207">
        <f t="shared" si="24"/>
        <v>-99999999.999984741</v>
      </c>
      <c r="T70" s="2207">
        <f t="shared" si="24"/>
        <v>-100000000</v>
      </c>
      <c r="U70" s="2207">
        <f t="shared" si="24"/>
        <v>0</v>
      </c>
      <c r="V70" s="2207">
        <f>V40-V41-V50</f>
        <v>0</v>
      </c>
      <c r="W70" s="2207">
        <f>W40-W41-W50</f>
        <v>0</v>
      </c>
      <c r="X70" s="2207">
        <f>X40-X41-X50</f>
        <v>0</v>
      </c>
      <c r="Y70" s="2584"/>
      <c r="Z70" s="2584"/>
    </row>
    <row r="71" spans="2:26">
      <c r="B71" s="1978" t="s">
        <v>149</v>
      </c>
      <c r="D71" s="1993"/>
      <c r="E71" s="1993"/>
      <c r="F71" s="1993"/>
      <c r="G71" s="1993">
        <f>G41-G42-G46-G49</f>
        <v>100000000</v>
      </c>
      <c r="H71" s="1993">
        <f>H41-H42-H46-H49</f>
        <v>0</v>
      </c>
      <c r="I71" s="1993">
        <f>I41-I42-I46-I49</f>
        <v>0</v>
      </c>
      <c r="J71" s="1993">
        <f t="shared" ref="J71:V71" si="25">J41-J42-J46-J49</f>
        <v>0</v>
      </c>
      <c r="K71" s="1993">
        <f t="shared" si="25"/>
        <v>0</v>
      </c>
      <c r="L71" s="1993">
        <f>L41-L42-L46-L49</f>
        <v>-100000000</v>
      </c>
      <c r="M71" s="1993">
        <f t="shared" si="25"/>
        <v>0</v>
      </c>
      <c r="N71" s="1993">
        <f t="shared" si="25"/>
        <v>100000000</v>
      </c>
      <c r="O71" s="1993">
        <f t="shared" si="25"/>
        <v>0</v>
      </c>
      <c r="P71" s="1993">
        <f t="shared" si="25"/>
        <v>100000000</v>
      </c>
      <c r="Q71" s="1993">
        <f t="shared" si="25"/>
        <v>0</v>
      </c>
      <c r="R71" s="2207">
        <f t="shared" si="25"/>
        <v>0</v>
      </c>
      <c r="S71" s="2207">
        <f t="shared" si="25"/>
        <v>0</v>
      </c>
      <c r="T71" s="2207">
        <f t="shared" si="25"/>
        <v>100000000</v>
      </c>
      <c r="U71" s="2207">
        <f t="shared" si="25"/>
        <v>0</v>
      </c>
      <c r="V71" s="2207">
        <f t="shared" si="25"/>
        <v>0</v>
      </c>
      <c r="W71" s="2207">
        <f>W41-W42-W46-W49</f>
        <v>0</v>
      </c>
      <c r="X71" s="2207">
        <f>X41-X42-X46-X49</f>
        <v>0</v>
      </c>
      <c r="Y71" s="2584"/>
      <c r="Z71" s="2584"/>
    </row>
    <row r="72" spans="2:26">
      <c r="B72" s="1978" t="s">
        <v>978</v>
      </c>
      <c r="G72" s="1993">
        <f>G50-G51-G52-G53</f>
        <v>-99999999.999996185</v>
      </c>
      <c r="H72" s="1993">
        <f t="shared" ref="H72:V72" si="26">H50-H51-H52-H53</f>
        <v>0</v>
      </c>
      <c r="I72" s="1993">
        <f t="shared" si="26"/>
        <v>0</v>
      </c>
      <c r="J72" s="1993">
        <f t="shared" si="26"/>
        <v>0</v>
      </c>
      <c r="K72" s="1993">
        <f>K50-K51-K52-K53</f>
        <v>0</v>
      </c>
      <c r="L72" s="1993">
        <f>L50-L51-L52-L53</f>
        <v>0</v>
      </c>
      <c r="M72" s="1994">
        <f>M50-M51-M52-M53</f>
        <v>2800000000</v>
      </c>
      <c r="N72" s="1994">
        <f t="shared" si="26"/>
        <v>29200000000</v>
      </c>
      <c r="O72" s="1994">
        <f t="shared" si="26"/>
        <v>20300000000</v>
      </c>
      <c r="P72" s="1994">
        <f t="shared" si="26"/>
        <v>61500000000</v>
      </c>
      <c r="Q72" s="1994">
        <f t="shared" si="26"/>
        <v>20500000000</v>
      </c>
      <c r="R72" s="2212">
        <f t="shared" si="26"/>
        <v>95200000000</v>
      </c>
      <c r="S72" s="2212">
        <f t="shared" si="26"/>
        <v>134199999999.99998</v>
      </c>
      <c r="T72" s="2212">
        <f t="shared" si="26"/>
        <v>138300000000</v>
      </c>
      <c r="U72" s="2212">
        <f t="shared" si="26"/>
        <v>79100000000</v>
      </c>
      <c r="V72" s="2212">
        <f t="shared" si="26"/>
        <v>227300000000</v>
      </c>
      <c r="W72" s="2212">
        <f>W50-W51-W52-W53</f>
        <v>174500000000</v>
      </c>
      <c r="X72" s="2212">
        <f>X50-X51-X52-X53</f>
        <v>188600000000</v>
      </c>
      <c r="Y72" s="2584"/>
      <c r="Z72" s="2584"/>
    </row>
    <row r="73" spans="2:26">
      <c r="Y73" s="2585"/>
      <c r="Z73" s="2585"/>
    </row>
    <row r="74" spans="2:26">
      <c r="D74" s="1995"/>
    </row>
    <row r="75" spans="2:26">
      <c r="B75" s="1978" t="s">
        <v>150</v>
      </c>
      <c r="F75" s="2196"/>
      <c r="G75" s="1978">
        <v>971559000000</v>
      </c>
      <c r="H75" s="2196">
        <v>1022074000000</v>
      </c>
      <c r="I75" s="2196">
        <v>1114311000000</v>
      </c>
      <c r="J75" s="2196">
        <v>1150417000000</v>
      </c>
      <c r="K75" s="2196">
        <v>1207931000000</v>
      </c>
      <c r="L75" s="2196">
        <v>1414861000000</v>
      </c>
      <c r="M75" s="2196">
        <v>1493526000000</v>
      </c>
      <c r="N75" s="2196">
        <v>1571487000000</v>
      </c>
      <c r="O75" s="2196">
        <v>1772342000000</v>
      </c>
      <c r="P75" s="2197">
        <v>1999000000000</v>
      </c>
      <c r="Q75" s="2197">
        <v>2149000000000</v>
      </c>
      <c r="R75" s="2197">
        <v>2259000000000</v>
      </c>
      <c r="S75" s="2197">
        <v>2443000000000</v>
      </c>
      <c r="T75" s="2197">
        <v>2628000000000</v>
      </c>
      <c r="U75" s="125">
        <v>2769500000000</v>
      </c>
      <c r="V75" s="125">
        <v>2957500000000</v>
      </c>
      <c r="W75" s="125">
        <v>3179700000000</v>
      </c>
      <c r="X75" s="125">
        <v>3448700000000</v>
      </c>
      <c r="Y75" s="2207"/>
      <c r="Z75" s="2207"/>
    </row>
    <row r="76" spans="2:26">
      <c r="B76" s="1978" t="s">
        <v>151</v>
      </c>
      <c r="G76" s="1992">
        <f t="shared" ref="G76:O76" si="27">(G6/G75)*100</f>
        <v>17.57999256864483</v>
      </c>
      <c r="H76" s="1992">
        <f t="shared" si="27"/>
        <v>17.572113173801508</v>
      </c>
      <c r="I76" s="1992">
        <f t="shared" si="27"/>
        <v>16.871412020522097</v>
      </c>
      <c r="J76" s="1992">
        <f t="shared" si="27"/>
        <v>18.419407919041532</v>
      </c>
      <c r="K76" s="1992">
        <f t="shared" si="27"/>
        <v>18.519269726499278</v>
      </c>
      <c r="L76" s="1992">
        <f t="shared" si="27"/>
        <v>17.033475373199206</v>
      </c>
      <c r="M76" s="1992">
        <f t="shared" si="27"/>
        <v>18.426194120490706</v>
      </c>
      <c r="N76" s="1992">
        <f t="shared" si="27"/>
        <v>20.44560343165422</v>
      </c>
      <c r="O76" s="1992">
        <f t="shared" si="27"/>
        <v>20.441878599051424</v>
      </c>
      <c r="P76" s="1992">
        <f t="shared" ref="P76:X76" si="28">(P6/P75)*100</f>
        <v>19.184592296148072</v>
      </c>
      <c r="Q76" s="1992">
        <f t="shared" si="28"/>
        <v>20.898092135877153</v>
      </c>
      <c r="R76" s="1992">
        <f t="shared" si="28"/>
        <v>20.664010624169986</v>
      </c>
      <c r="S76" s="1992">
        <f t="shared" si="28"/>
        <v>22.083503888661483</v>
      </c>
      <c r="T76" s="1992">
        <f t="shared" si="28"/>
        <v>21.738964992389651</v>
      </c>
      <c r="U76" s="1992">
        <f t="shared" si="28"/>
        <v>21.509297707167356</v>
      </c>
      <c r="V76" s="1992">
        <f t="shared" si="28"/>
        <v>24.463229078613693</v>
      </c>
      <c r="W76" s="1992">
        <f t="shared" si="28"/>
        <v>23.766393055948672</v>
      </c>
      <c r="X76" s="1992">
        <f t="shared" si="28"/>
        <v>23.846666859976224</v>
      </c>
      <c r="Y76" s="1992"/>
      <c r="Z76" s="1992"/>
    </row>
    <row r="77" spans="2:26">
      <c r="B77" s="1978" t="s">
        <v>152</v>
      </c>
      <c r="G77" s="1992">
        <f>(G13/G75)*100</f>
        <v>15.130321473013991</v>
      </c>
      <c r="H77" s="1992">
        <f t="shared" ref="H77:O77" si="29">(H13/H75)*100</f>
        <v>16.613278490598528</v>
      </c>
      <c r="I77" s="1992">
        <f t="shared" si="29"/>
        <v>19.294433959639633</v>
      </c>
      <c r="J77" s="1992">
        <f t="shared" si="29"/>
        <v>22.244108006053455</v>
      </c>
      <c r="K77" s="1992">
        <f t="shared" si="29"/>
        <v>20.406794758972161</v>
      </c>
      <c r="L77" s="1992">
        <f t="shared" si="29"/>
        <v>17.888683057911695</v>
      </c>
      <c r="M77" s="1992">
        <f t="shared" si="29"/>
        <v>21.245026869301238</v>
      </c>
      <c r="N77" s="1992">
        <f t="shared" si="29"/>
        <v>22.55188875250002</v>
      </c>
      <c r="O77" s="1992">
        <f t="shared" si="29"/>
        <v>23.816509454721494</v>
      </c>
      <c r="P77" s="1992">
        <f t="shared" ref="P77:X77" si="30">(P13/P75)*100</f>
        <v>26.408204102051023</v>
      </c>
      <c r="Q77" s="1992">
        <f t="shared" si="30"/>
        <v>25.542112610516522</v>
      </c>
      <c r="R77" s="1992">
        <f t="shared" si="30"/>
        <v>27.512173528109784</v>
      </c>
      <c r="S77" s="1992">
        <f t="shared" si="30"/>
        <v>31.01514531313958</v>
      </c>
      <c r="T77" s="1992">
        <f t="shared" si="30"/>
        <v>31.350837138508368</v>
      </c>
      <c r="U77" s="1992">
        <f t="shared" si="30"/>
        <v>21.787326232171871</v>
      </c>
      <c r="V77" s="1992">
        <f t="shared" si="30"/>
        <v>27.567202028740489</v>
      </c>
      <c r="W77" s="1992">
        <f t="shared" si="30"/>
        <v>24.294744787244081</v>
      </c>
      <c r="X77" s="1992">
        <f t="shared" si="30"/>
        <v>24.154029054426303</v>
      </c>
      <c r="Y77" s="1992"/>
      <c r="Z77" s="1992"/>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D83"/>
  <sheetViews>
    <sheetView zoomScale="70" zoomScaleNormal="70" workbookViewId="0">
      <pane xSplit="3" ySplit="5" topLeftCell="G6" activePane="bottomRight" state="frozen"/>
      <selection pane="topRight" activeCell="D1" sqref="D1"/>
      <selection pane="bottomLeft" activeCell="A6" sqref="A6"/>
      <selection pane="bottomRight" activeCell="G17" sqref="G17"/>
    </sheetView>
  </sheetViews>
  <sheetFormatPr defaultRowHeight="15"/>
  <cols>
    <col min="1" max="1" width="41.85546875" style="2222" bestFit="1" customWidth="1"/>
    <col min="2" max="2" width="48.42578125" style="2222" bestFit="1" customWidth="1"/>
    <col min="3" max="3" width="22.42578125" style="2222" bestFit="1" customWidth="1"/>
    <col min="4" max="4" width="13.7109375" style="2222" bestFit="1" customWidth="1"/>
    <col min="5" max="5" width="9" style="2222" bestFit="1" customWidth="1"/>
    <col min="6" max="6" width="15" style="2222" bestFit="1" customWidth="1"/>
    <col min="7" max="7" width="13.7109375" style="2222" bestFit="1" customWidth="1"/>
    <col min="8" max="9" width="14.42578125" style="2222" bestFit="1" customWidth="1"/>
    <col min="10" max="11" width="13.7109375" style="2222" bestFit="1" customWidth="1"/>
    <col min="12" max="12" width="14.28515625" style="2222" bestFit="1" customWidth="1"/>
    <col min="13" max="14" width="13.7109375" style="2222" bestFit="1" customWidth="1"/>
    <col min="15" max="15" width="15.28515625" style="2222" bestFit="1" customWidth="1"/>
    <col min="16" max="16" width="13.5703125" style="2222" customWidth="1"/>
    <col min="17" max="19" width="13.85546875" style="2222" customWidth="1"/>
    <col min="20" max="20" width="13.7109375" style="2222" bestFit="1" customWidth="1"/>
    <col min="21" max="21" width="15.28515625" style="2222" bestFit="1" customWidth="1"/>
    <col min="22" max="23" width="15.5703125" style="2222" bestFit="1" customWidth="1"/>
    <col min="24" max="24" width="9" style="2222" bestFit="1" customWidth="1"/>
    <col min="25" max="28" width="8.85546875" style="2222"/>
  </cols>
  <sheetData>
    <row r="1" spans="1:28">
      <c r="A1" s="2213" t="s">
        <v>6475</v>
      </c>
      <c r="B1" s="2219" t="s">
        <v>6476</v>
      </c>
      <c r="C1" s="2219"/>
      <c r="D1" s="2220"/>
      <c r="E1" s="2220"/>
      <c r="F1" s="2220"/>
      <c r="G1" s="2220"/>
      <c r="H1" s="2220"/>
      <c r="I1" s="2220"/>
      <c r="J1" s="2220"/>
      <c r="K1" s="2220"/>
      <c r="L1" s="2220"/>
      <c r="M1" s="2220"/>
      <c r="N1" s="2220"/>
      <c r="O1" s="2214"/>
      <c r="P1" s="2214"/>
      <c r="Q1" s="2214"/>
      <c r="R1" s="2221"/>
      <c r="S1" s="2214"/>
      <c r="T1" s="2214"/>
      <c r="U1" s="2214"/>
      <c r="V1" s="2214"/>
      <c r="W1" s="2214"/>
      <c r="X1" s="2214"/>
    </row>
    <row r="2" spans="1:28">
      <c r="B2" s="2223" t="s">
        <v>6477</v>
      </c>
      <c r="C2" s="2223"/>
      <c r="D2" s="2214"/>
      <c r="E2" s="2214"/>
      <c r="F2" s="2214"/>
      <c r="G2" s="2214"/>
      <c r="H2" s="2214"/>
      <c r="I2" s="2214"/>
      <c r="J2" s="2214"/>
      <c r="K2" s="2214"/>
      <c r="L2" s="2214"/>
      <c r="M2" s="2214"/>
      <c r="N2" s="2214"/>
      <c r="O2" s="2214"/>
      <c r="P2" s="2214"/>
      <c r="Q2" s="2214"/>
      <c r="R2" s="2224"/>
      <c r="S2" s="2225"/>
      <c r="T2" s="2226"/>
      <c r="U2" s="2214"/>
      <c r="V2" s="2214"/>
      <c r="W2" s="2214"/>
      <c r="X2" s="2214"/>
    </row>
    <row r="3" spans="1:28">
      <c r="B3" s="2227" t="s">
        <v>3</v>
      </c>
      <c r="C3" s="2227"/>
      <c r="D3" s="2214">
        <v>2000</v>
      </c>
      <c r="E3" s="2214">
        <v>2001</v>
      </c>
      <c r="F3" s="2214">
        <v>2002</v>
      </c>
      <c r="G3" s="2214">
        <v>2003</v>
      </c>
      <c r="H3" s="2214">
        <v>2004</v>
      </c>
      <c r="I3" s="2214">
        <v>2005</v>
      </c>
      <c r="J3" s="2214">
        <v>2006</v>
      </c>
      <c r="K3" s="2214">
        <v>2007</v>
      </c>
      <c r="L3" s="2214">
        <v>2008</v>
      </c>
      <c r="M3" s="2214">
        <v>2009</v>
      </c>
      <c r="N3" s="2214">
        <v>2010</v>
      </c>
      <c r="O3" s="2214">
        <v>2011</v>
      </c>
      <c r="P3" s="2214">
        <v>2012</v>
      </c>
      <c r="Q3" s="2214">
        <v>2013</v>
      </c>
      <c r="R3" s="2214">
        <v>2014</v>
      </c>
      <c r="S3" s="2214">
        <v>2015</v>
      </c>
      <c r="T3" s="2214">
        <v>2016</v>
      </c>
      <c r="U3" s="2214">
        <v>2017</v>
      </c>
      <c r="V3" s="2214">
        <v>2018</v>
      </c>
      <c r="W3" s="2214">
        <v>2019</v>
      </c>
      <c r="X3" s="2214">
        <v>2020</v>
      </c>
    </row>
    <row r="4" spans="1:28">
      <c r="B4" s="2227" t="s">
        <v>4</v>
      </c>
      <c r="C4" s="2227"/>
      <c r="D4" s="2214" t="s">
        <v>5</v>
      </c>
      <c r="E4" s="2214" t="s">
        <v>6</v>
      </c>
      <c r="F4" s="2214" t="s">
        <v>7</v>
      </c>
      <c r="G4" s="2214" t="s">
        <v>8</v>
      </c>
      <c r="H4" s="2214" t="s">
        <v>9</v>
      </c>
      <c r="I4" s="2214" t="s">
        <v>10</v>
      </c>
      <c r="J4" s="2214" t="s">
        <v>11</v>
      </c>
      <c r="K4" s="2214" t="s">
        <v>12</v>
      </c>
      <c r="L4" s="2214" t="s">
        <v>13</v>
      </c>
      <c r="M4" s="2214" t="s">
        <v>14</v>
      </c>
      <c r="N4" s="2214" t="s">
        <v>15</v>
      </c>
      <c r="O4" s="2214" t="s">
        <v>16</v>
      </c>
      <c r="P4" s="2214" t="s">
        <v>17</v>
      </c>
      <c r="Q4" s="2214" t="s">
        <v>18</v>
      </c>
      <c r="R4" s="2221" t="s">
        <v>19</v>
      </c>
      <c r="S4" s="2214" t="s">
        <v>20</v>
      </c>
      <c r="T4" s="2214" t="s">
        <v>21</v>
      </c>
      <c r="U4" s="2214" t="s">
        <v>22</v>
      </c>
      <c r="V4" s="2214" t="s">
        <v>23</v>
      </c>
      <c r="W4" s="2214" t="s">
        <v>24</v>
      </c>
      <c r="X4" s="2214" t="s">
        <v>25</v>
      </c>
    </row>
    <row r="5" spans="1:28">
      <c r="A5" s="2222" t="s">
        <v>28</v>
      </c>
      <c r="B5" s="2227" t="s">
        <v>29</v>
      </c>
      <c r="C5" s="2227"/>
      <c r="D5" s="2214" t="s">
        <v>30</v>
      </c>
      <c r="E5" s="2214" t="s">
        <v>30</v>
      </c>
      <c r="F5" s="2214" t="s">
        <v>30</v>
      </c>
      <c r="G5" s="2214" t="s">
        <v>30</v>
      </c>
      <c r="H5" s="2214" t="s">
        <v>30</v>
      </c>
      <c r="I5" s="2220" t="s">
        <v>31</v>
      </c>
      <c r="J5" s="2220" t="s">
        <v>30</v>
      </c>
      <c r="K5" s="2220" t="s">
        <v>30</v>
      </c>
      <c r="L5" s="2220" t="s">
        <v>2555</v>
      </c>
      <c r="M5" s="2220" t="s">
        <v>30</v>
      </c>
      <c r="N5" s="2220" t="s">
        <v>30</v>
      </c>
      <c r="O5" s="2220" t="s">
        <v>30</v>
      </c>
      <c r="P5" s="2220" t="s">
        <v>30</v>
      </c>
      <c r="Q5" s="2220" t="s">
        <v>30</v>
      </c>
      <c r="R5" s="2220" t="s">
        <v>30</v>
      </c>
      <c r="S5" s="2220" t="s">
        <v>30</v>
      </c>
      <c r="T5" s="2220" t="s">
        <v>30</v>
      </c>
      <c r="U5" s="2214" t="s">
        <v>369</v>
      </c>
      <c r="V5" s="2214" t="s">
        <v>32</v>
      </c>
      <c r="W5" s="2214" t="s">
        <v>32</v>
      </c>
      <c r="X5" s="2214" t="s">
        <v>32</v>
      </c>
    </row>
    <row r="6" spans="1:28" s="848" customFormat="1">
      <c r="A6" s="2239" t="s">
        <v>33</v>
      </c>
      <c r="B6" s="2239" t="s">
        <v>6478</v>
      </c>
      <c r="C6" s="2239" t="s">
        <v>35</v>
      </c>
      <c r="D6" s="2239"/>
      <c r="E6" s="2240"/>
      <c r="F6" s="2241">
        <v>95200000</v>
      </c>
      <c r="G6" s="2241">
        <v>99300000</v>
      </c>
      <c r="H6" s="2242">
        <v>111000000</v>
      </c>
      <c r="I6" s="2242">
        <v>122100000</v>
      </c>
      <c r="J6" s="2241">
        <f>J7+J16</f>
        <v>154500000</v>
      </c>
      <c r="K6" s="2241">
        <f t="shared" ref="K6:W6" si="0">K7+K16</f>
        <v>171000000</v>
      </c>
      <c r="L6" s="2241">
        <f t="shared" si="0"/>
        <v>171200000</v>
      </c>
      <c r="M6" s="2241">
        <f t="shared" si="0"/>
        <v>192100000</v>
      </c>
      <c r="N6" s="2241">
        <f t="shared" si="0"/>
        <v>205400000</v>
      </c>
      <c r="O6" s="2241">
        <f t="shared" si="0"/>
        <v>205400000</v>
      </c>
      <c r="P6" s="2241">
        <f t="shared" si="0"/>
        <v>219500000</v>
      </c>
      <c r="Q6" s="2241">
        <f t="shared" si="0"/>
        <v>258800000</v>
      </c>
      <c r="R6" s="2241">
        <f t="shared" si="0"/>
        <v>303000000</v>
      </c>
      <c r="S6" s="2241">
        <f t="shared" si="0"/>
        <v>295000000</v>
      </c>
      <c r="T6" s="2241">
        <f t="shared" si="0"/>
        <v>363800000</v>
      </c>
      <c r="U6" s="2241">
        <f t="shared" si="0"/>
        <v>418700000</v>
      </c>
      <c r="V6" s="2241">
        <f t="shared" si="0"/>
        <v>532100000</v>
      </c>
      <c r="W6" s="2241">
        <f t="shared" si="0"/>
        <v>550100000</v>
      </c>
      <c r="X6" s="2240"/>
      <c r="Y6" s="2243"/>
      <c r="Z6" s="2243"/>
      <c r="AA6" s="2243"/>
      <c r="AB6" s="2243"/>
    </row>
    <row r="7" spans="1:28">
      <c r="A7" s="2228" t="s">
        <v>370</v>
      </c>
      <c r="B7" s="2228" t="s">
        <v>6479</v>
      </c>
      <c r="C7" s="2229" t="s">
        <v>38</v>
      </c>
      <c r="D7" s="2228"/>
      <c r="E7" s="2214"/>
      <c r="F7" s="2230">
        <v>93200000</v>
      </c>
      <c r="G7" s="2230">
        <v>96400000</v>
      </c>
      <c r="H7" s="2231">
        <v>105900000</v>
      </c>
      <c r="I7" s="2231">
        <v>116600000</v>
      </c>
      <c r="J7" s="2230">
        <f>J8+J14+J15</f>
        <v>144600000</v>
      </c>
      <c r="K7" s="2230">
        <f t="shared" ref="K7:W7" si="1">K8+K14+K15</f>
        <v>148400000</v>
      </c>
      <c r="L7" s="2230">
        <f t="shared" si="1"/>
        <v>162500000</v>
      </c>
      <c r="M7" s="2230">
        <f t="shared" si="1"/>
        <v>143500000</v>
      </c>
      <c r="N7" s="2230">
        <f t="shared" si="1"/>
        <v>151100000</v>
      </c>
      <c r="O7" s="2230">
        <f t="shared" si="1"/>
        <v>151100000</v>
      </c>
      <c r="P7" s="2230">
        <f t="shared" si="1"/>
        <v>144500000</v>
      </c>
      <c r="Q7" s="2230">
        <f t="shared" si="1"/>
        <v>155600000</v>
      </c>
      <c r="R7" s="2230">
        <f t="shared" si="1"/>
        <v>165700000</v>
      </c>
      <c r="S7" s="2230">
        <f t="shared" si="1"/>
        <v>189800000</v>
      </c>
      <c r="T7" s="2230">
        <f t="shared" si="1"/>
        <v>217800000</v>
      </c>
      <c r="U7" s="2230">
        <f t="shared" si="1"/>
        <v>239300000</v>
      </c>
      <c r="V7" s="2230">
        <f t="shared" si="1"/>
        <v>280700000</v>
      </c>
      <c r="W7" s="2230">
        <f t="shared" si="1"/>
        <v>282600000</v>
      </c>
      <c r="X7" s="2214"/>
    </row>
    <row r="8" spans="1:28">
      <c r="A8" s="2233" t="s">
        <v>39</v>
      </c>
      <c r="B8" s="2233" t="s">
        <v>6480</v>
      </c>
      <c r="C8" s="2683" t="s">
        <v>41</v>
      </c>
      <c r="D8" s="2228"/>
      <c r="E8" s="2214"/>
      <c r="F8" s="2232">
        <v>74500000</v>
      </c>
      <c r="G8" s="2232">
        <v>80700000</v>
      </c>
      <c r="H8" s="2231">
        <v>86100000</v>
      </c>
      <c r="I8" s="2231">
        <v>98400000</v>
      </c>
      <c r="J8" s="2230">
        <f>J9+J10+J11+J12+J13</f>
        <v>122200000</v>
      </c>
      <c r="K8" s="2231">
        <v>126100000</v>
      </c>
      <c r="L8" s="2231">
        <v>138000000</v>
      </c>
      <c r="M8" s="2231">
        <v>116200000</v>
      </c>
      <c r="N8" s="2231">
        <v>133000000</v>
      </c>
      <c r="O8" s="2231">
        <v>133000000</v>
      </c>
      <c r="P8" s="2231">
        <v>126900000</v>
      </c>
      <c r="Q8" s="2231">
        <v>135700000</v>
      </c>
      <c r="R8" s="2231">
        <v>141900000</v>
      </c>
      <c r="S8" s="2231">
        <v>160900000</v>
      </c>
      <c r="T8" s="2231">
        <v>181200000</v>
      </c>
      <c r="U8" s="2231">
        <v>200800000</v>
      </c>
      <c r="V8" s="2250">
        <v>238600000</v>
      </c>
      <c r="W8" s="2250">
        <v>241000000</v>
      </c>
      <c r="X8" s="2214"/>
    </row>
    <row r="9" spans="1:28">
      <c r="A9" s="2234" t="s">
        <v>317</v>
      </c>
      <c r="B9" s="2234" t="s">
        <v>6481</v>
      </c>
      <c r="C9" s="2220" t="s">
        <v>44</v>
      </c>
      <c r="D9" s="2228"/>
      <c r="E9" s="2214"/>
      <c r="F9" s="2230"/>
      <c r="G9" s="2230"/>
      <c r="H9" s="2230"/>
      <c r="I9" s="2230"/>
      <c r="J9" s="2230">
        <v>26900000</v>
      </c>
      <c r="K9" s="2231">
        <v>26400000</v>
      </c>
      <c r="L9" s="2231">
        <v>26800000</v>
      </c>
      <c r="M9" s="2231">
        <v>28100000</v>
      </c>
      <c r="N9" s="2231">
        <v>38300000</v>
      </c>
      <c r="O9" s="2231">
        <v>38300000</v>
      </c>
      <c r="P9" s="2231">
        <v>25300000</v>
      </c>
      <c r="Q9" s="2231">
        <v>30300000</v>
      </c>
      <c r="R9" s="2231">
        <v>28800000</v>
      </c>
      <c r="S9" s="2231">
        <v>37400000</v>
      </c>
      <c r="T9" s="2231">
        <v>35800000</v>
      </c>
      <c r="U9" s="2231">
        <v>34700000</v>
      </c>
      <c r="V9" s="2250">
        <v>38100000</v>
      </c>
      <c r="W9" s="2250">
        <v>38100000</v>
      </c>
      <c r="X9" s="2214"/>
    </row>
    <row r="10" spans="1:28">
      <c r="A10" s="2234" t="s">
        <v>6482</v>
      </c>
      <c r="B10" s="2234" t="s">
        <v>6483</v>
      </c>
      <c r="C10" s="2220" t="s">
        <v>44</v>
      </c>
      <c r="D10" s="2228"/>
      <c r="E10" s="2214"/>
      <c r="F10" s="2230"/>
      <c r="G10" s="2230"/>
      <c r="H10" s="2230"/>
      <c r="I10" s="2230"/>
      <c r="J10" s="2230">
        <v>0</v>
      </c>
      <c r="K10" s="2231">
        <v>100000</v>
      </c>
      <c r="L10" s="2231"/>
      <c r="M10" s="2231"/>
      <c r="N10" s="2231"/>
      <c r="O10" s="2230"/>
      <c r="P10" s="2230"/>
      <c r="Q10" s="2230">
        <v>700000</v>
      </c>
      <c r="R10" s="2230">
        <v>100000</v>
      </c>
      <c r="S10" s="2230">
        <v>200000</v>
      </c>
      <c r="T10" s="2230">
        <v>300000</v>
      </c>
      <c r="U10" s="2230">
        <v>300000</v>
      </c>
      <c r="V10" s="2250">
        <v>900000</v>
      </c>
      <c r="W10" s="2250">
        <v>900000</v>
      </c>
      <c r="X10" s="2214"/>
    </row>
    <row r="11" spans="1:28">
      <c r="A11" s="2234" t="s">
        <v>6484</v>
      </c>
      <c r="B11" s="2234" t="s">
        <v>6485</v>
      </c>
      <c r="C11" s="2220" t="s">
        <v>44</v>
      </c>
      <c r="D11" s="2228"/>
      <c r="E11" s="2214"/>
      <c r="F11" s="2231"/>
      <c r="G11" s="2231"/>
      <c r="H11" s="2231"/>
      <c r="I11" s="2231"/>
      <c r="J11" s="2230">
        <v>52700000</v>
      </c>
      <c r="K11" s="2231">
        <v>51600000</v>
      </c>
      <c r="L11" s="2231">
        <v>70500000</v>
      </c>
      <c r="M11" s="2231">
        <v>72400000</v>
      </c>
      <c r="N11" s="2231">
        <v>81900000</v>
      </c>
      <c r="O11" s="2231">
        <v>81900000</v>
      </c>
      <c r="P11" s="2231">
        <v>87800000</v>
      </c>
      <c r="Q11" s="2231">
        <v>89900000</v>
      </c>
      <c r="R11" s="2231">
        <v>97900000</v>
      </c>
      <c r="S11" s="2231">
        <v>105700000</v>
      </c>
      <c r="T11" s="2231">
        <v>124300000</v>
      </c>
      <c r="U11" s="2231">
        <v>139400000</v>
      </c>
      <c r="V11" s="2250">
        <v>163000000</v>
      </c>
      <c r="W11" s="2250">
        <v>170000000</v>
      </c>
      <c r="X11" s="2214"/>
    </row>
    <row r="12" spans="1:28">
      <c r="A12" s="2234" t="s">
        <v>1050</v>
      </c>
      <c r="B12" s="2234" t="s">
        <v>2996</v>
      </c>
      <c r="C12" s="2220" t="s">
        <v>44</v>
      </c>
      <c r="D12" s="2228"/>
      <c r="E12" s="2214"/>
      <c r="F12" s="2231"/>
      <c r="G12" s="2231"/>
      <c r="H12" s="2231"/>
      <c r="I12" s="2231"/>
      <c r="J12" s="2230">
        <v>41900000</v>
      </c>
      <c r="K12" s="2231">
        <v>47500000</v>
      </c>
      <c r="L12" s="2231">
        <v>40600000</v>
      </c>
      <c r="M12" s="2231"/>
      <c r="N12" s="2231"/>
      <c r="O12" s="2230"/>
      <c r="P12" s="2230"/>
      <c r="Q12" s="2230">
        <v>14700000</v>
      </c>
      <c r="R12" s="2230">
        <v>15100000</v>
      </c>
      <c r="S12" s="2230">
        <v>17600000</v>
      </c>
      <c r="T12" s="2230">
        <v>19900000</v>
      </c>
      <c r="U12" s="2230">
        <v>26400000</v>
      </c>
      <c r="V12" s="2250">
        <v>36600000</v>
      </c>
      <c r="W12" s="2250">
        <v>32000000</v>
      </c>
      <c r="X12" s="2214"/>
    </row>
    <row r="13" spans="1:28">
      <c r="A13" s="2234" t="s">
        <v>2670</v>
      </c>
      <c r="B13" s="2234" t="s">
        <v>2797</v>
      </c>
      <c r="C13" s="2220" t="s">
        <v>44</v>
      </c>
      <c r="D13" s="2228"/>
      <c r="E13" s="2214"/>
      <c r="F13" s="2231"/>
      <c r="G13" s="2231"/>
      <c r="H13" s="2231"/>
      <c r="I13" s="2231"/>
      <c r="J13" s="2230">
        <v>700000</v>
      </c>
      <c r="K13" s="2231">
        <v>500000</v>
      </c>
      <c r="L13" s="2231">
        <f>L8-L9-L10-L11-L12</f>
        <v>100000</v>
      </c>
      <c r="M13" s="2231">
        <f t="shared" ref="M13:P13" si="2">M8-M9-M10-M11-M12</f>
        <v>15700000</v>
      </c>
      <c r="N13" s="2231">
        <f t="shared" si="2"/>
        <v>12800000</v>
      </c>
      <c r="O13" s="2231">
        <f t="shared" si="2"/>
        <v>12800000</v>
      </c>
      <c r="P13" s="2231">
        <f t="shared" si="2"/>
        <v>13800000</v>
      </c>
      <c r="Q13" s="2231">
        <v>0</v>
      </c>
      <c r="R13" s="2231">
        <v>0</v>
      </c>
      <c r="S13" s="2231">
        <v>0</v>
      </c>
      <c r="T13" s="2231">
        <v>900000</v>
      </c>
      <c r="U13" s="2231">
        <v>0</v>
      </c>
      <c r="V13" s="2250">
        <v>0</v>
      </c>
      <c r="W13" s="2250">
        <v>0</v>
      </c>
      <c r="X13" s="2214"/>
    </row>
    <row r="14" spans="1:28">
      <c r="A14" s="2686" t="s">
        <v>51</v>
      </c>
      <c r="B14" s="2686" t="s">
        <v>6486</v>
      </c>
      <c r="C14" s="2683" t="s">
        <v>41</v>
      </c>
      <c r="D14" s="2228"/>
      <c r="E14" s="2214"/>
      <c r="F14" s="2230">
        <v>18700000</v>
      </c>
      <c r="G14" s="2230">
        <v>15700000</v>
      </c>
      <c r="H14" s="2231">
        <v>19700000</v>
      </c>
      <c r="I14" s="2231">
        <v>18200000</v>
      </c>
      <c r="J14" s="2230">
        <v>22400000</v>
      </c>
      <c r="K14" s="2231">
        <v>22300000</v>
      </c>
      <c r="L14" s="2231">
        <v>24500000</v>
      </c>
      <c r="M14" s="2231">
        <v>27300000</v>
      </c>
      <c r="N14" s="2231">
        <v>16100000.000000002</v>
      </c>
      <c r="O14" s="2231">
        <v>16100000.000000002</v>
      </c>
      <c r="P14" s="2231">
        <v>17400000</v>
      </c>
      <c r="Q14" s="2231"/>
      <c r="R14" s="2231"/>
      <c r="S14" s="2231"/>
      <c r="T14" s="2231"/>
      <c r="U14" s="2231"/>
      <c r="V14" s="2250"/>
      <c r="W14" s="2250"/>
      <c r="X14" s="2214"/>
    </row>
    <row r="15" spans="1:28">
      <c r="A15" s="2683" t="s">
        <v>3104</v>
      </c>
      <c r="B15" s="2683" t="s">
        <v>3104</v>
      </c>
      <c r="C15" s="2683" t="s">
        <v>41</v>
      </c>
      <c r="D15" s="2228"/>
      <c r="E15" s="2214"/>
      <c r="F15" s="2230"/>
      <c r="G15" s="2230"/>
      <c r="H15" s="2231"/>
      <c r="I15" s="2231"/>
      <c r="J15" s="2230"/>
      <c r="K15" s="2231"/>
      <c r="L15" s="2231"/>
      <c r="M15" s="2231"/>
      <c r="N15" s="2231">
        <v>2000000</v>
      </c>
      <c r="O15" s="2231">
        <v>2000000</v>
      </c>
      <c r="P15" s="2231">
        <v>200000</v>
      </c>
      <c r="Q15" s="2231">
        <v>19900000</v>
      </c>
      <c r="R15" s="2231">
        <v>23800000</v>
      </c>
      <c r="S15" s="2231">
        <v>28900000</v>
      </c>
      <c r="T15" s="2231">
        <v>36600000</v>
      </c>
      <c r="U15" s="2231">
        <v>38500000</v>
      </c>
      <c r="V15" s="2250">
        <v>42100000</v>
      </c>
      <c r="W15" s="2250">
        <v>41600000</v>
      </c>
      <c r="X15" s="2214"/>
    </row>
    <row r="16" spans="1:28" s="848" customFormat="1">
      <c r="A16" s="2239" t="s">
        <v>795</v>
      </c>
      <c r="B16" s="2239" t="s">
        <v>6487</v>
      </c>
      <c r="C16" s="2244" t="s">
        <v>38</v>
      </c>
      <c r="D16" s="2239"/>
      <c r="E16" s="2240"/>
      <c r="F16" s="2241">
        <v>2000000</v>
      </c>
      <c r="G16" s="2241">
        <v>2900000</v>
      </c>
      <c r="H16" s="2242">
        <v>5200000</v>
      </c>
      <c r="I16" s="2242">
        <v>5500000</v>
      </c>
      <c r="J16" s="2241">
        <v>9900000</v>
      </c>
      <c r="K16" s="2242">
        <v>22600000</v>
      </c>
      <c r="L16" s="2242">
        <v>8700000</v>
      </c>
      <c r="M16" s="2242">
        <v>48600000</v>
      </c>
      <c r="N16" s="2242">
        <f>N20+N21</f>
        <v>54300000</v>
      </c>
      <c r="O16" s="2242">
        <f>O20+O21</f>
        <v>54300000</v>
      </c>
      <c r="P16" s="2242">
        <v>75000000</v>
      </c>
      <c r="Q16" s="2242">
        <v>103200000</v>
      </c>
      <c r="R16" s="2242">
        <v>137300000</v>
      </c>
      <c r="S16" s="2242">
        <v>105200000</v>
      </c>
      <c r="T16" s="2242">
        <v>146000000</v>
      </c>
      <c r="U16" s="2242">
        <v>179400000</v>
      </c>
      <c r="V16" s="2249">
        <v>251400000</v>
      </c>
      <c r="W16" s="2249">
        <v>267500000</v>
      </c>
      <c r="X16" s="2240"/>
      <c r="Y16" s="2243"/>
      <c r="Z16" s="2243"/>
      <c r="AA16" s="2243"/>
      <c r="AB16" s="2243"/>
    </row>
    <row r="17" spans="1:30" s="848" customFormat="1">
      <c r="A17" s="2245" t="s">
        <v>6488</v>
      </c>
      <c r="B17" s="2245" t="s">
        <v>6488</v>
      </c>
      <c r="C17" s="2246" t="s">
        <v>57</v>
      </c>
      <c r="D17" s="2228"/>
      <c r="E17" s="2214"/>
      <c r="F17" s="2230"/>
      <c r="G17" s="2230"/>
      <c r="H17" s="2231"/>
      <c r="I17" s="2231"/>
      <c r="J17" s="2230"/>
      <c r="K17" s="2231"/>
      <c r="L17" s="2231"/>
      <c r="M17" s="2231"/>
      <c r="N17" s="2231"/>
      <c r="O17" s="2231"/>
      <c r="P17" s="2231"/>
      <c r="Q17" s="2231">
        <v>12600000</v>
      </c>
      <c r="R17" s="2231">
        <v>32100000</v>
      </c>
      <c r="S17" s="2231">
        <v>14500000</v>
      </c>
      <c r="T17" s="2231">
        <v>24100000</v>
      </c>
      <c r="U17" s="2231">
        <v>27600000</v>
      </c>
      <c r="V17" s="2680">
        <v>34400000</v>
      </c>
      <c r="W17" s="2680">
        <v>34400000</v>
      </c>
      <c r="X17" s="2681"/>
      <c r="Y17" s="2682"/>
      <c r="Z17" s="2682"/>
      <c r="AA17" s="2682"/>
      <c r="AB17" s="2682"/>
      <c r="AC17" s="2463"/>
      <c r="AD17" s="2463"/>
    </row>
    <row r="18" spans="1:30" s="848" customFormat="1">
      <c r="A18" s="2245" t="s">
        <v>6489</v>
      </c>
      <c r="B18" s="2245" t="s">
        <v>6489</v>
      </c>
      <c r="C18" s="2246" t="s">
        <v>57</v>
      </c>
      <c r="D18" s="2228"/>
      <c r="E18" s="2214"/>
      <c r="F18" s="2230"/>
      <c r="G18" s="2230"/>
      <c r="H18" s="2231"/>
      <c r="I18" s="2231"/>
      <c r="J18" s="2230"/>
      <c r="K18" s="2231"/>
      <c r="L18" s="2231"/>
      <c r="M18" s="2231"/>
      <c r="N18" s="2231"/>
      <c r="O18" s="2231"/>
      <c r="P18" s="2231"/>
      <c r="Q18" s="2231">
        <v>27200000</v>
      </c>
      <c r="R18" s="2231">
        <v>33400000</v>
      </c>
      <c r="S18" s="2231">
        <v>33100000</v>
      </c>
      <c r="T18" s="2231">
        <v>30500000</v>
      </c>
      <c r="U18" s="2231">
        <v>20100000</v>
      </c>
      <c r="V18" s="2680">
        <v>3600000</v>
      </c>
      <c r="W18" s="2680">
        <v>0</v>
      </c>
      <c r="X18" s="2681"/>
      <c r="Y18" s="2682"/>
      <c r="Z18" s="2682"/>
      <c r="AA18" s="2682"/>
      <c r="AB18" s="2682"/>
      <c r="AC18" s="2463"/>
      <c r="AD18" s="2463"/>
    </row>
    <row r="19" spans="1:30" s="848" customFormat="1">
      <c r="A19" s="2245" t="s">
        <v>6490</v>
      </c>
      <c r="B19" s="2245" t="s">
        <v>6490</v>
      </c>
      <c r="C19" s="2246" t="s">
        <v>57</v>
      </c>
      <c r="D19" s="2228"/>
      <c r="E19" s="2214"/>
      <c r="F19" s="2230"/>
      <c r="G19" s="2230"/>
      <c r="H19" s="2231"/>
      <c r="I19" s="2231"/>
      <c r="J19" s="2230"/>
      <c r="K19" s="2231"/>
      <c r="L19" s="2231"/>
      <c r="M19" s="2231"/>
      <c r="N19" s="2231"/>
      <c r="O19" s="2231"/>
      <c r="P19" s="2231"/>
      <c r="Q19" s="2231">
        <v>63400000</v>
      </c>
      <c r="R19" s="2231">
        <v>71800000</v>
      </c>
      <c r="S19" s="2231">
        <v>57600000</v>
      </c>
      <c r="T19" s="2231">
        <v>91400000</v>
      </c>
      <c r="U19" s="2231">
        <v>131699999.99999999</v>
      </c>
      <c r="V19" s="2680">
        <v>213400000</v>
      </c>
      <c r="W19" s="2680">
        <v>233100000</v>
      </c>
      <c r="X19" s="2681"/>
      <c r="Y19" s="2682"/>
      <c r="Z19" s="2682"/>
      <c r="AA19" s="2682"/>
      <c r="AB19" s="2682"/>
      <c r="AC19" s="2463"/>
      <c r="AD19" s="2463"/>
    </row>
    <row r="20" spans="1:30">
      <c r="A20" s="2228" t="s">
        <v>564</v>
      </c>
      <c r="B20" s="2228" t="s">
        <v>6491</v>
      </c>
      <c r="C20" s="2228" t="s">
        <v>57</v>
      </c>
      <c r="D20" s="2228"/>
      <c r="E20" s="2214"/>
      <c r="F20" s="2231"/>
      <c r="G20" s="2231"/>
      <c r="H20" s="2231"/>
      <c r="I20" s="2231"/>
      <c r="J20" s="2231"/>
      <c r="K20" s="2231"/>
      <c r="L20" s="2231">
        <v>8700000</v>
      </c>
      <c r="M20" s="2231">
        <v>35200000</v>
      </c>
      <c r="N20" s="2231">
        <v>30700000</v>
      </c>
      <c r="O20" s="2231">
        <v>30700000</v>
      </c>
      <c r="P20" s="2231">
        <v>37900000</v>
      </c>
      <c r="Q20" s="2231"/>
      <c r="R20" s="2231"/>
      <c r="S20" s="2231"/>
      <c r="T20" s="2231"/>
      <c r="U20" s="2231"/>
      <c r="V20" s="2250"/>
      <c r="W20" s="2250"/>
      <c r="X20" s="2214"/>
      <c r="AB20" s="2682"/>
      <c r="AC20" s="2463"/>
      <c r="AD20" s="2463"/>
    </row>
    <row r="21" spans="1:30">
      <c r="A21" s="2228" t="s">
        <v>262</v>
      </c>
      <c r="B21" s="2228" t="s">
        <v>6492</v>
      </c>
      <c r="C21" s="2228" t="s">
        <v>57</v>
      </c>
      <c r="D21" s="2228"/>
      <c r="E21" s="2214"/>
      <c r="F21" s="2231"/>
      <c r="G21" s="2231"/>
      <c r="H21" s="2231"/>
      <c r="I21" s="2231"/>
      <c r="J21" s="2231"/>
      <c r="K21" s="2231"/>
      <c r="L21" s="2231">
        <v>0</v>
      </c>
      <c r="M21" s="2231">
        <v>13400000</v>
      </c>
      <c r="N21" s="2231">
        <v>23600000</v>
      </c>
      <c r="O21" s="2231">
        <v>23600000</v>
      </c>
      <c r="P21" s="2231">
        <v>37100000</v>
      </c>
      <c r="Q21" s="2231"/>
      <c r="R21" s="2231"/>
      <c r="S21" s="2231"/>
      <c r="T21" s="2231"/>
      <c r="U21" s="2231"/>
      <c r="V21" s="2250"/>
      <c r="W21" s="2250"/>
      <c r="X21" s="2214"/>
    </row>
    <row r="22" spans="1:30">
      <c r="A22" s="2228"/>
      <c r="B22" s="2228" t="s">
        <v>6493</v>
      </c>
      <c r="D22" s="2228"/>
      <c r="E22" s="2214"/>
      <c r="F22" s="2230">
        <v>100000000</v>
      </c>
      <c r="G22" s="2230">
        <v>109800000</v>
      </c>
      <c r="H22" s="2231">
        <v>109800000</v>
      </c>
      <c r="I22" s="2231">
        <v>111600000</v>
      </c>
      <c r="J22" s="2230">
        <v>170700000</v>
      </c>
      <c r="K22" s="2231">
        <v>164600000</v>
      </c>
      <c r="L22" s="2231">
        <v>161500000</v>
      </c>
      <c r="M22" s="2231">
        <v>230200000</v>
      </c>
      <c r="N22" s="2231">
        <v>261100000.00000003</v>
      </c>
      <c r="O22" s="2231">
        <v>261100000.00000003</v>
      </c>
      <c r="P22" s="2231">
        <v>241500000</v>
      </c>
      <c r="Q22" s="2231">
        <f>Q24</f>
        <v>268300000</v>
      </c>
      <c r="R22" s="2231">
        <f t="shared" ref="R22:W22" si="3">R24</f>
        <v>251400000</v>
      </c>
      <c r="S22" s="2231">
        <f t="shared" si="3"/>
        <v>317800000</v>
      </c>
      <c r="T22" s="2231">
        <f t="shared" si="3"/>
        <v>367600000</v>
      </c>
      <c r="U22" s="2231">
        <f t="shared" si="3"/>
        <v>422600000</v>
      </c>
      <c r="V22" s="2250">
        <f t="shared" si="3"/>
        <v>554700000</v>
      </c>
      <c r="W22" s="2250">
        <f t="shared" si="3"/>
        <v>569400000</v>
      </c>
      <c r="X22" s="2214"/>
    </row>
    <row r="23" spans="1:30">
      <c r="A23" s="2228"/>
      <c r="B23" s="2228" t="s">
        <v>6494</v>
      </c>
      <c r="D23" s="2228"/>
      <c r="E23" s="2214"/>
      <c r="F23" s="2230"/>
      <c r="G23" s="2230"/>
      <c r="H23" s="2231"/>
      <c r="I23" s="2231"/>
      <c r="J23" s="2230"/>
      <c r="K23" s="2231"/>
      <c r="L23" s="2231"/>
      <c r="M23" s="2231"/>
      <c r="N23" s="2231"/>
      <c r="O23" s="2231">
        <v>249900000</v>
      </c>
      <c r="P23" s="2231">
        <v>232400000</v>
      </c>
      <c r="Q23" s="2231"/>
      <c r="R23" s="2231"/>
      <c r="S23" s="2231"/>
      <c r="T23" s="2231"/>
      <c r="U23" s="2231"/>
      <c r="V23" s="2250"/>
      <c r="W23" s="2250"/>
      <c r="X23" s="2214"/>
    </row>
    <row r="24" spans="1:30" s="848" customFormat="1">
      <c r="A24" s="2239" t="s">
        <v>198</v>
      </c>
      <c r="B24" s="2239" t="s">
        <v>6494</v>
      </c>
      <c r="C24" s="2239" t="s">
        <v>35</v>
      </c>
      <c r="D24" s="2239"/>
      <c r="E24" s="2240"/>
      <c r="F24" s="2241">
        <v>99400000</v>
      </c>
      <c r="G24" s="2241">
        <v>100300000</v>
      </c>
      <c r="H24" s="2242">
        <v>110700000</v>
      </c>
      <c r="I24" s="2242">
        <v>112600000</v>
      </c>
      <c r="J24" s="2241">
        <f>J25+J35+J36+J38</f>
        <v>171600000</v>
      </c>
      <c r="K24" s="2241">
        <f>K25+K35+K36+K38</f>
        <v>164600000</v>
      </c>
      <c r="L24" s="2241">
        <f>L25+L35+L36+L38</f>
        <v>161500000</v>
      </c>
      <c r="M24" s="2242">
        <f>M25+M35+M36+M38</f>
        <v>230100000</v>
      </c>
      <c r="N24" s="2242">
        <f t="shared" ref="N24:P24" si="4">N25+N35+N36+N38</f>
        <v>261200000</v>
      </c>
      <c r="O24" s="2242">
        <f>O25+O35+O36+O38</f>
        <v>261200000</v>
      </c>
      <c r="P24" s="2242">
        <f t="shared" si="4"/>
        <v>241500000</v>
      </c>
      <c r="Q24" s="2242">
        <f>Q25+Q35+Q38+Q36</f>
        <v>268300000</v>
      </c>
      <c r="R24" s="2242">
        <v>251400000</v>
      </c>
      <c r="S24" s="2242">
        <v>317800000</v>
      </c>
      <c r="T24" s="2242">
        <v>367600000</v>
      </c>
      <c r="U24" s="2242">
        <v>422600000</v>
      </c>
      <c r="V24" s="2249">
        <v>554700000</v>
      </c>
      <c r="W24" s="2249">
        <v>569400000</v>
      </c>
      <c r="X24" s="2240"/>
      <c r="Y24" s="2243"/>
      <c r="Z24" s="2243"/>
      <c r="AA24" s="2243"/>
      <c r="AB24" s="2243"/>
    </row>
    <row r="25" spans="1:30">
      <c r="A25" s="2228" t="s">
        <v>73</v>
      </c>
      <c r="B25" s="2228" t="s">
        <v>6495</v>
      </c>
      <c r="C25" s="2228" t="s">
        <v>201</v>
      </c>
      <c r="D25" s="2228"/>
      <c r="E25" s="2214"/>
      <c r="F25" s="2230">
        <v>82200000</v>
      </c>
      <c r="G25" s="2230">
        <v>91300000</v>
      </c>
      <c r="H25" s="2231">
        <v>101700000</v>
      </c>
      <c r="I25" s="2231">
        <v>107900000</v>
      </c>
      <c r="J25" s="2230">
        <v>167000000</v>
      </c>
      <c r="K25" s="2231">
        <v>158400000</v>
      </c>
      <c r="L25" s="2231">
        <v>158500000</v>
      </c>
      <c r="M25" s="2231">
        <v>183800000</v>
      </c>
      <c r="N25" s="2231">
        <v>175600000</v>
      </c>
      <c r="O25" s="2231">
        <v>175600000</v>
      </c>
      <c r="P25" s="2231">
        <v>187800000</v>
      </c>
      <c r="Q25" s="2231">
        <f>Q26+Q27+Q28+Q30+Q31+Q32+Q33+Q34</f>
        <v>204200000</v>
      </c>
      <c r="R25" s="2231">
        <v>223700000</v>
      </c>
      <c r="S25" s="2231">
        <v>267000000</v>
      </c>
      <c r="T25" s="2231">
        <v>284400000</v>
      </c>
      <c r="U25" s="2214">
        <v>320700000</v>
      </c>
      <c r="V25" s="2250">
        <v>408100000</v>
      </c>
      <c r="W25" s="2250">
        <v>414400000</v>
      </c>
      <c r="X25" s="2214"/>
    </row>
    <row r="26" spans="1:30">
      <c r="A26" s="2233" t="s">
        <v>79</v>
      </c>
      <c r="B26" s="2233" t="s">
        <v>6496</v>
      </c>
      <c r="C26" s="2228" t="s">
        <v>204</v>
      </c>
      <c r="D26" s="2228"/>
      <c r="E26" s="2214"/>
      <c r="F26" s="2230">
        <v>44000000</v>
      </c>
      <c r="G26" s="2230">
        <v>44300000</v>
      </c>
      <c r="H26" s="2231">
        <v>45700000</v>
      </c>
      <c r="I26" s="2231">
        <v>49700000</v>
      </c>
      <c r="J26" s="2230">
        <v>90800000</v>
      </c>
      <c r="K26" s="2231">
        <v>80100000</v>
      </c>
      <c r="L26" s="2231">
        <v>70200000</v>
      </c>
      <c r="M26" s="2231">
        <v>82700000</v>
      </c>
      <c r="N26" s="2231">
        <v>91800000</v>
      </c>
      <c r="O26" s="2231">
        <v>91800000</v>
      </c>
      <c r="P26" s="2231">
        <v>83600000</v>
      </c>
      <c r="Q26" s="2231">
        <v>87500000</v>
      </c>
      <c r="R26" s="2231">
        <v>92200000</v>
      </c>
      <c r="S26" s="2231">
        <v>98400000</v>
      </c>
      <c r="T26" s="2231">
        <v>108500000</v>
      </c>
      <c r="U26" s="2214">
        <v>123600000</v>
      </c>
      <c r="V26" s="2250">
        <v>135900000</v>
      </c>
      <c r="W26" s="2250">
        <v>136200000</v>
      </c>
      <c r="X26" s="2214"/>
    </row>
    <row r="27" spans="1:30">
      <c r="A27" s="2233" t="s">
        <v>6497</v>
      </c>
      <c r="B27" s="2233" t="s">
        <v>6498</v>
      </c>
      <c r="C27" s="2228" t="s">
        <v>204</v>
      </c>
      <c r="D27" s="2228"/>
      <c r="E27" s="2214"/>
      <c r="F27" s="2230">
        <v>1700000</v>
      </c>
      <c r="G27" s="2230">
        <v>1500000</v>
      </c>
      <c r="H27" s="2231">
        <v>1500000</v>
      </c>
      <c r="I27" s="2231">
        <v>2600000</v>
      </c>
      <c r="J27" s="2230">
        <v>3800000</v>
      </c>
      <c r="K27" s="2231">
        <v>5800000</v>
      </c>
      <c r="L27" s="2231">
        <v>4400000</v>
      </c>
      <c r="M27" s="2231"/>
      <c r="N27" s="2231"/>
      <c r="O27" s="2231"/>
      <c r="P27" s="2231"/>
      <c r="Q27" s="2231">
        <v>7400000</v>
      </c>
      <c r="R27" s="2231">
        <v>9200000</v>
      </c>
      <c r="S27" s="2231">
        <v>26400000</v>
      </c>
      <c r="T27" s="2232">
        <v>18700000</v>
      </c>
      <c r="U27" s="2214">
        <v>14500000</v>
      </c>
      <c r="V27" s="2250">
        <v>12700000</v>
      </c>
      <c r="W27" s="2250">
        <v>12700000</v>
      </c>
      <c r="X27" s="2214"/>
    </row>
    <row r="28" spans="1:30">
      <c r="A28" s="2233" t="s">
        <v>6499</v>
      </c>
      <c r="B28" s="2233" t="s">
        <v>6500</v>
      </c>
      <c r="C28" s="2228" t="s">
        <v>204</v>
      </c>
      <c r="D28" s="2228"/>
      <c r="E28" s="2214"/>
      <c r="F28" s="2230">
        <v>2300000</v>
      </c>
      <c r="G28" s="2230">
        <v>2300000</v>
      </c>
      <c r="H28" s="2231">
        <v>3200000</v>
      </c>
      <c r="I28" s="2231">
        <v>3800000</v>
      </c>
      <c r="J28" s="2230">
        <v>3300000</v>
      </c>
      <c r="K28" s="2231">
        <v>3200000</v>
      </c>
      <c r="L28" s="2231">
        <v>4200000</v>
      </c>
      <c r="M28" s="2231"/>
      <c r="N28" s="2231"/>
      <c r="O28" s="2231"/>
      <c r="P28" s="2231"/>
      <c r="Q28" s="2231">
        <v>7100000</v>
      </c>
      <c r="R28" s="2231">
        <v>7100000</v>
      </c>
      <c r="S28" s="2231">
        <v>7200000</v>
      </c>
      <c r="T28" s="2232">
        <v>7900000</v>
      </c>
      <c r="U28" s="2214">
        <v>8100000</v>
      </c>
      <c r="V28" s="2250">
        <v>8400000</v>
      </c>
      <c r="W28" s="2250">
        <v>8500000</v>
      </c>
      <c r="X28" s="2214"/>
    </row>
    <row r="29" spans="1:30">
      <c r="A29" s="2687"/>
      <c r="B29" s="2687" t="s">
        <v>6501</v>
      </c>
      <c r="C29" s="2683"/>
      <c r="D29" s="2228"/>
      <c r="E29" s="2214"/>
      <c r="F29" s="2230"/>
      <c r="G29" s="2230"/>
      <c r="H29" s="2230"/>
      <c r="I29" s="2230"/>
      <c r="J29" s="2230"/>
      <c r="K29" s="2230"/>
      <c r="L29" s="2231">
        <v>2400000</v>
      </c>
      <c r="M29" s="2231"/>
      <c r="N29" s="2231"/>
      <c r="O29" s="2231"/>
      <c r="P29" s="2231"/>
      <c r="Q29" s="2231">
        <v>5300000</v>
      </c>
      <c r="R29" s="2231">
        <v>5700000</v>
      </c>
      <c r="S29" s="2231">
        <v>5900000</v>
      </c>
      <c r="T29" s="2232">
        <v>6400000</v>
      </c>
      <c r="U29" s="2214">
        <v>6700000</v>
      </c>
      <c r="V29" s="2250">
        <v>6600000</v>
      </c>
      <c r="W29" s="2250">
        <v>6700000</v>
      </c>
      <c r="X29" s="2214"/>
    </row>
    <row r="30" spans="1:30">
      <c r="A30" s="2687" t="s">
        <v>5284</v>
      </c>
      <c r="B30" s="2687" t="s">
        <v>5284</v>
      </c>
      <c r="C30" s="2683" t="s">
        <v>204</v>
      </c>
      <c r="D30" s="2228"/>
      <c r="E30" s="2214"/>
      <c r="F30" s="2230"/>
      <c r="G30" s="2230"/>
      <c r="H30" s="2230"/>
      <c r="I30" s="2230"/>
      <c r="J30" s="2230"/>
      <c r="K30" s="2230"/>
      <c r="L30" s="2231"/>
      <c r="M30" s="2231"/>
      <c r="N30" s="2231"/>
      <c r="O30" s="2231"/>
      <c r="P30" s="2231"/>
      <c r="Q30" s="2231">
        <v>79500000</v>
      </c>
      <c r="R30" s="2231">
        <v>84600000</v>
      </c>
      <c r="S30" s="2231">
        <v>96800000</v>
      </c>
      <c r="T30" s="2232">
        <v>107300000</v>
      </c>
      <c r="U30" s="2214">
        <v>122700000</v>
      </c>
      <c r="V30" s="2250">
        <v>171600000</v>
      </c>
      <c r="W30" s="2250">
        <v>198800000</v>
      </c>
      <c r="X30" s="2214"/>
    </row>
    <row r="31" spans="1:30">
      <c r="A31" s="2687" t="s">
        <v>215</v>
      </c>
      <c r="B31" s="2687" t="s">
        <v>215</v>
      </c>
      <c r="C31" s="2683" t="s">
        <v>204</v>
      </c>
      <c r="D31" s="2228"/>
      <c r="E31" s="2214"/>
      <c r="F31" s="2230"/>
      <c r="G31" s="2230"/>
      <c r="H31" s="2230"/>
      <c r="I31" s="2230"/>
      <c r="J31" s="2230"/>
      <c r="K31" s="2230"/>
      <c r="L31" s="2231"/>
      <c r="M31" s="2231"/>
      <c r="N31" s="2231"/>
      <c r="O31" s="2231"/>
      <c r="P31" s="2231"/>
      <c r="Q31" s="2231">
        <v>800000</v>
      </c>
      <c r="R31" s="2231">
        <v>100000</v>
      </c>
      <c r="S31" s="2231">
        <v>100000</v>
      </c>
      <c r="T31" s="2232">
        <v>600000</v>
      </c>
      <c r="U31" s="2214">
        <v>900000</v>
      </c>
      <c r="V31" s="2250">
        <v>900000</v>
      </c>
      <c r="W31" s="2250">
        <v>900000</v>
      </c>
      <c r="X31" s="2214"/>
    </row>
    <row r="32" spans="1:30">
      <c r="A32" s="2687" t="s">
        <v>53</v>
      </c>
      <c r="B32" s="2687" t="s">
        <v>53</v>
      </c>
      <c r="C32" s="2683" t="s">
        <v>204</v>
      </c>
      <c r="D32" s="2228"/>
      <c r="E32" s="2214"/>
      <c r="F32" s="2230"/>
      <c r="G32" s="2230"/>
      <c r="H32" s="2230"/>
      <c r="I32" s="2230"/>
      <c r="J32" s="2230"/>
      <c r="K32" s="2230"/>
      <c r="L32" s="2231"/>
      <c r="M32" s="2231"/>
      <c r="N32" s="2231"/>
      <c r="O32" s="2231"/>
      <c r="P32" s="2231"/>
      <c r="Q32" s="2231">
        <v>2500000</v>
      </c>
      <c r="R32" s="2231">
        <v>3100000</v>
      </c>
      <c r="S32" s="2231">
        <v>3700000</v>
      </c>
      <c r="T32" s="2232">
        <v>3700000</v>
      </c>
      <c r="U32" s="2214">
        <v>3700000</v>
      </c>
      <c r="V32" s="2250">
        <v>2500000</v>
      </c>
      <c r="W32" s="2250">
        <v>2200000</v>
      </c>
      <c r="X32" s="2214"/>
    </row>
    <row r="33" spans="1:28">
      <c r="A33" s="2687" t="s">
        <v>3108</v>
      </c>
      <c r="B33" s="2687" t="s">
        <v>3108</v>
      </c>
      <c r="C33" s="2683" t="s">
        <v>204</v>
      </c>
      <c r="D33" s="2228"/>
      <c r="E33" s="2214"/>
      <c r="F33" s="2230"/>
      <c r="G33" s="2230"/>
      <c r="H33" s="2230"/>
      <c r="I33" s="2230"/>
      <c r="J33" s="2230"/>
      <c r="K33" s="2230"/>
      <c r="L33" s="2231"/>
      <c r="M33" s="2231"/>
      <c r="N33" s="2231"/>
      <c r="O33" s="2231"/>
      <c r="P33" s="2231"/>
      <c r="Q33" s="2231">
        <v>13800000</v>
      </c>
      <c r="R33" s="2231">
        <v>16399999.999999998</v>
      </c>
      <c r="S33" s="2231">
        <v>19300000</v>
      </c>
      <c r="T33" s="2232">
        <v>20800000</v>
      </c>
      <c r="U33" s="2214">
        <v>22100000</v>
      </c>
      <c r="V33" s="2250">
        <v>24500000</v>
      </c>
      <c r="W33" s="2250">
        <v>24900000</v>
      </c>
      <c r="X33" s="2214"/>
    </row>
    <row r="34" spans="1:28">
      <c r="A34" s="2233" t="s">
        <v>6502</v>
      </c>
      <c r="B34" s="2233" t="s">
        <v>6503</v>
      </c>
      <c r="C34" s="2228" t="s">
        <v>204</v>
      </c>
      <c r="D34" s="2228"/>
      <c r="E34" s="2214"/>
      <c r="F34" s="2230">
        <v>34200000</v>
      </c>
      <c r="G34" s="2230">
        <v>43200000</v>
      </c>
      <c r="H34" s="2231">
        <v>51300000</v>
      </c>
      <c r="I34" s="2231">
        <v>51800000</v>
      </c>
      <c r="J34" s="2230">
        <v>69000000</v>
      </c>
      <c r="K34" s="2231">
        <v>69400000</v>
      </c>
      <c r="L34" s="2231">
        <v>79700000</v>
      </c>
      <c r="M34" s="2231">
        <f>M25-M26</f>
        <v>101100000</v>
      </c>
      <c r="N34" s="2231">
        <f t="shared" ref="N34:P34" si="5">N25-N26</f>
        <v>83800000</v>
      </c>
      <c r="O34" s="2231">
        <f t="shared" si="5"/>
        <v>83800000</v>
      </c>
      <c r="P34" s="2231">
        <f t="shared" si="5"/>
        <v>104200000</v>
      </c>
      <c r="Q34" s="2231">
        <v>5600000</v>
      </c>
      <c r="R34" s="2231">
        <v>10900000</v>
      </c>
      <c r="S34" s="2231">
        <v>15100000</v>
      </c>
      <c r="T34" s="2231">
        <v>16900000</v>
      </c>
      <c r="U34" s="2231">
        <v>25100000</v>
      </c>
      <c r="V34" s="2250">
        <v>51600000</v>
      </c>
      <c r="W34" s="2250">
        <v>30200000</v>
      </c>
      <c r="X34" s="2214"/>
    </row>
    <row r="35" spans="1:28">
      <c r="A35" s="2228" t="s">
        <v>237</v>
      </c>
      <c r="B35" s="2228" t="s">
        <v>6504</v>
      </c>
      <c r="C35" s="2228" t="s">
        <v>201</v>
      </c>
      <c r="D35" s="2228"/>
      <c r="F35" s="2230">
        <f>F24-F25-F36</f>
        <v>10200000</v>
      </c>
      <c r="G35" s="2230">
        <v>8600000</v>
      </c>
      <c r="H35" s="2231">
        <v>3900000</v>
      </c>
      <c r="I35" s="2231">
        <v>4300000</v>
      </c>
      <c r="J35" s="2230">
        <v>4600000</v>
      </c>
      <c r="K35" s="2231">
        <v>5600000</v>
      </c>
      <c r="L35" s="2231">
        <v>3000000</v>
      </c>
      <c r="M35" s="2231">
        <v>18400000</v>
      </c>
      <c r="N35" s="2231">
        <v>74400000</v>
      </c>
      <c r="O35" s="2231">
        <v>74400000</v>
      </c>
      <c r="P35" s="2231">
        <v>44700000</v>
      </c>
      <c r="Q35" s="2231">
        <v>64099999.999999993</v>
      </c>
      <c r="R35" s="2231">
        <v>27700000</v>
      </c>
      <c r="S35" s="2231">
        <v>50800000</v>
      </c>
      <c r="T35" s="2231">
        <v>83200000</v>
      </c>
      <c r="U35" s="2214">
        <v>101900000</v>
      </c>
      <c r="V35" s="2250">
        <v>146600000</v>
      </c>
      <c r="W35" s="2250">
        <v>155000000</v>
      </c>
      <c r="X35" s="2214"/>
    </row>
    <row r="36" spans="1:28">
      <c r="A36" s="2228" t="s">
        <v>398</v>
      </c>
      <c r="B36" s="2228" t="s">
        <v>398</v>
      </c>
      <c r="C36" s="2228" t="s">
        <v>201</v>
      </c>
      <c r="D36" s="2228"/>
      <c r="E36" s="2214"/>
      <c r="F36" s="2230">
        <v>7000000</v>
      </c>
      <c r="G36" s="2230">
        <f>G24-G25-G35</f>
        <v>400000</v>
      </c>
      <c r="H36" s="2230">
        <f>H24-H25-H35</f>
        <v>5100000</v>
      </c>
      <c r="I36" s="2230">
        <f>I24-I25-I35</f>
        <v>400000</v>
      </c>
      <c r="J36" s="2230"/>
      <c r="K36" s="2230"/>
      <c r="L36" s="2230"/>
      <c r="M36" s="2230"/>
      <c r="N36" s="2230"/>
      <c r="O36" s="2230"/>
      <c r="P36" s="2230"/>
      <c r="V36" s="2251"/>
      <c r="W36" s="2251"/>
      <c r="X36" s="2214"/>
    </row>
    <row r="37" spans="1:28">
      <c r="A37" s="2228"/>
      <c r="B37" s="2228" t="s">
        <v>6505</v>
      </c>
      <c r="C37" s="2228"/>
      <c r="D37" s="2228"/>
      <c r="E37" s="2214"/>
      <c r="F37" s="2231"/>
      <c r="G37" s="2231"/>
      <c r="H37" s="2231"/>
      <c r="I37" s="2231"/>
      <c r="J37" s="2231"/>
      <c r="K37" s="2231"/>
      <c r="L37" s="2231">
        <v>0</v>
      </c>
      <c r="M37" s="2231"/>
      <c r="N37" s="2231"/>
      <c r="O37" s="2231"/>
      <c r="P37" s="2231"/>
      <c r="Q37" s="2231"/>
      <c r="R37" s="2231"/>
      <c r="S37" s="2231"/>
      <c r="T37" s="2232"/>
      <c r="U37" s="2214"/>
      <c r="V37" s="2250"/>
      <c r="W37" s="2250"/>
      <c r="X37" s="2214"/>
    </row>
    <row r="38" spans="1:28">
      <c r="A38" s="2228" t="s">
        <v>612</v>
      </c>
      <c r="B38" s="2228" t="s">
        <v>6506</v>
      </c>
      <c r="C38" s="2228" t="s">
        <v>201</v>
      </c>
      <c r="D38" s="2228"/>
      <c r="E38" s="2214"/>
      <c r="F38" s="2231"/>
      <c r="G38" s="2231"/>
      <c r="H38" s="2231"/>
      <c r="I38" s="2231"/>
      <c r="J38" s="2767">
        <v>0</v>
      </c>
      <c r="K38" s="2231">
        <v>600000</v>
      </c>
      <c r="L38" s="2231">
        <v>0</v>
      </c>
      <c r="M38" s="2231">
        <v>27900000</v>
      </c>
      <c r="N38" s="2231">
        <v>11200000</v>
      </c>
      <c r="O38" s="2231">
        <v>11200000</v>
      </c>
      <c r="P38" s="2231">
        <v>9000000</v>
      </c>
      <c r="Q38" s="2231"/>
      <c r="R38" s="2231"/>
      <c r="S38" s="2231"/>
      <c r="T38" s="2231"/>
      <c r="U38" s="2214"/>
      <c r="V38" s="2250"/>
      <c r="W38" s="2250"/>
      <c r="X38" s="2214"/>
    </row>
    <row r="39" spans="1:28">
      <c r="A39" s="2228"/>
      <c r="B39" s="2228" t="s">
        <v>810</v>
      </c>
      <c r="C39" s="2228"/>
      <c r="D39" s="2228"/>
      <c r="E39" s="2214"/>
      <c r="F39" s="2231"/>
      <c r="G39" s="2231"/>
      <c r="H39" s="2231"/>
      <c r="I39" s="2231"/>
      <c r="J39" s="2230"/>
      <c r="K39" s="2231"/>
      <c r="L39" s="2231"/>
      <c r="M39" s="2231"/>
      <c r="N39" s="2231"/>
      <c r="O39" s="2231"/>
      <c r="P39" s="2231"/>
      <c r="Q39" s="2230">
        <v>54500000</v>
      </c>
      <c r="R39" s="2230">
        <v>79300000</v>
      </c>
      <c r="S39" s="2230">
        <v>28000000</v>
      </c>
      <c r="T39" s="2232">
        <v>79500000</v>
      </c>
      <c r="U39" s="2214">
        <v>98000000</v>
      </c>
      <c r="V39" s="2250">
        <v>124000000</v>
      </c>
      <c r="W39" s="2250">
        <v>135600000</v>
      </c>
      <c r="X39" s="2214"/>
    </row>
    <row r="40" spans="1:28">
      <c r="A40" s="2228"/>
      <c r="B40" s="2228" t="s">
        <v>6507</v>
      </c>
      <c r="C40" s="2228"/>
      <c r="D40" s="2228"/>
      <c r="E40" s="2214"/>
      <c r="F40" s="2231"/>
      <c r="G40" s="2231"/>
      <c r="H40" s="2231"/>
      <c r="I40" s="2231"/>
      <c r="J40" s="2231"/>
      <c r="K40" s="2231"/>
      <c r="L40" s="2231">
        <v>10100000</v>
      </c>
      <c r="M40" s="2231">
        <v>-15700000</v>
      </c>
      <c r="N40" s="2231">
        <v>-5200000</v>
      </c>
      <c r="O40" s="2231">
        <v>-5200000</v>
      </c>
      <c r="P40" s="2231">
        <v>-9500000</v>
      </c>
      <c r="Q40" s="2231"/>
      <c r="R40" s="2231"/>
      <c r="S40" s="2231"/>
      <c r="T40" s="2231"/>
      <c r="U40" s="2214"/>
      <c r="V40" s="2250"/>
      <c r="W40" s="2250"/>
      <c r="X40" s="2214"/>
    </row>
    <row r="41" spans="1:28">
      <c r="A41" s="2228"/>
      <c r="B41" s="2228" t="s">
        <v>6508</v>
      </c>
      <c r="C41" s="2228"/>
      <c r="D41" s="2228"/>
      <c r="E41" s="2214"/>
      <c r="F41" s="2230">
        <v>-4700000</v>
      </c>
      <c r="G41" s="2230">
        <v>-10500000</v>
      </c>
      <c r="H41" s="2231">
        <v>1300000</v>
      </c>
      <c r="I41" s="2231">
        <v>10500000</v>
      </c>
      <c r="J41" s="2230">
        <v>-16100000.000000002</v>
      </c>
      <c r="K41" s="2231">
        <v>6400000</v>
      </c>
      <c r="L41" s="2231">
        <v>9700000</v>
      </c>
      <c r="M41" s="2231">
        <v>-38000000</v>
      </c>
      <c r="N41" s="2231">
        <v>-57300000</v>
      </c>
      <c r="O41" s="2231">
        <v>-57300000</v>
      </c>
      <c r="P41" s="2231">
        <v>-22100000</v>
      </c>
      <c r="Q41" s="2231">
        <v>-9600000</v>
      </c>
      <c r="R41" s="2231">
        <v>51600000</v>
      </c>
      <c r="S41" s="2231">
        <v>-22800000</v>
      </c>
      <c r="T41" s="2231">
        <v>-3800000</v>
      </c>
      <c r="U41" s="2214">
        <v>-3900000</v>
      </c>
      <c r="V41" s="2250">
        <v>-22600000</v>
      </c>
      <c r="W41" s="2250">
        <v>-19400000</v>
      </c>
      <c r="X41" s="2214"/>
    </row>
    <row r="42" spans="1:28">
      <c r="A42" s="2228"/>
      <c r="B42" s="2228" t="s">
        <v>6509</v>
      </c>
      <c r="C42" s="2228"/>
      <c r="D42" s="2228"/>
      <c r="E42" s="2214"/>
      <c r="F42" s="2231"/>
      <c r="G42" s="2231"/>
      <c r="H42" s="2231"/>
      <c r="I42" s="2231"/>
      <c r="J42" s="2231"/>
      <c r="K42" s="2231"/>
      <c r="L42" s="2231"/>
      <c r="M42" s="2231"/>
      <c r="N42" s="2231"/>
      <c r="O42" s="2231"/>
      <c r="P42" s="2231"/>
      <c r="Q42" s="2231"/>
      <c r="R42" s="2231"/>
      <c r="S42" s="2231"/>
      <c r="T42" s="2232"/>
      <c r="U42" s="2214"/>
      <c r="V42" s="2250"/>
      <c r="W42" s="2250"/>
      <c r="X42" s="2214"/>
    </row>
    <row r="43" spans="1:28">
      <c r="A43" s="2228"/>
      <c r="B43" s="2228" t="s">
        <v>6510</v>
      </c>
      <c r="C43" s="2228"/>
      <c r="D43" s="2228"/>
      <c r="E43" s="2214"/>
      <c r="F43" s="2231"/>
      <c r="G43" s="2231"/>
      <c r="H43" s="2231"/>
      <c r="I43" s="2231"/>
      <c r="J43" s="2231"/>
      <c r="K43" s="2231"/>
      <c r="L43" s="2231">
        <v>9700000</v>
      </c>
      <c r="M43" s="2231"/>
      <c r="N43" s="2231"/>
      <c r="O43" s="2231"/>
      <c r="P43" s="2231"/>
      <c r="Q43" s="2231"/>
      <c r="R43" s="2231"/>
      <c r="S43" s="2231"/>
      <c r="T43" s="2232"/>
      <c r="U43" s="2214"/>
      <c r="V43" s="2250"/>
      <c r="W43" s="2250"/>
      <c r="X43" s="2214"/>
    </row>
    <row r="44" spans="1:28">
      <c r="A44" s="2228"/>
      <c r="B44" s="2228" t="s">
        <v>6511</v>
      </c>
      <c r="C44" s="2228"/>
      <c r="D44" s="2228"/>
      <c r="E44" s="2214"/>
      <c r="F44" s="2231"/>
      <c r="G44" s="2231"/>
      <c r="H44" s="2231"/>
      <c r="I44" s="2231"/>
      <c r="J44" s="2231"/>
      <c r="K44" s="2231"/>
      <c r="L44" s="2231">
        <v>13800000</v>
      </c>
      <c r="M44" s="2231">
        <v>-32500000</v>
      </c>
      <c r="N44" s="2231">
        <v>-50800000</v>
      </c>
      <c r="O44" s="2231">
        <v>-50800000</v>
      </c>
      <c r="P44" s="2231">
        <v>-15600000</v>
      </c>
      <c r="Q44" s="2231">
        <v>-2500000</v>
      </c>
      <c r="R44" s="2231">
        <v>58700000</v>
      </c>
      <c r="S44" s="2231">
        <v>-15600000</v>
      </c>
      <c r="T44" s="2231">
        <v>4099999.9999999995</v>
      </c>
      <c r="U44" s="2214">
        <v>4200000</v>
      </c>
      <c r="V44" s="2250">
        <v>-14200000</v>
      </c>
      <c r="W44" s="2250">
        <v>-10800000</v>
      </c>
      <c r="X44" s="2214"/>
    </row>
    <row r="45" spans="1:28">
      <c r="A45" s="2228"/>
      <c r="B45" s="2228" t="s">
        <v>6512</v>
      </c>
      <c r="C45" s="2228"/>
      <c r="D45" s="2228"/>
      <c r="E45" s="2214"/>
      <c r="F45" s="2231"/>
      <c r="G45" s="2231"/>
      <c r="H45" s="2231"/>
      <c r="I45" s="2231"/>
      <c r="J45" s="2231"/>
      <c r="K45" s="2231"/>
      <c r="L45" s="2231"/>
      <c r="M45" s="2231"/>
      <c r="N45" s="2231"/>
      <c r="O45" s="2231">
        <v>-103600000</v>
      </c>
      <c r="P45" s="2231">
        <v>-90600000</v>
      </c>
      <c r="Q45" s="2231"/>
      <c r="R45" s="2231"/>
      <c r="S45" s="2231"/>
      <c r="T45" s="2231"/>
      <c r="U45" s="2214"/>
      <c r="V45" s="2250"/>
      <c r="W45" s="2250"/>
      <c r="X45" s="2214"/>
    </row>
    <row r="46" spans="1:28" s="848" customFormat="1">
      <c r="A46" s="2243" t="s">
        <v>592</v>
      </c>
      <c r="B46" s="2239" t="s">
        <v>6513</v>
      </c>
      <c r="C46" s="2239" t="s">
        <v>35</v>
      </c>
      <c r="D46" s="2239"/>
      <c r="E46" s="2240"/>
      <c r="F46" s="2241">
        <v>4700000</v>
      </c>
      <c r="G46" s="2241">
        <v>10500000</v>
      </c>
      <c r="H46" s="2242">
        <v>-1300000</v>
      </c>
      <c r="I46" s="2242">
        <v>-10500000</v>
      </c>
      <c r="J46" s="2242">
        <v>16100000.000000002</v>
      </c>
      <c r="K46" s="2242">
        <v>-6400000</v>
      </c>
      <c r="L46" s="2242">
        <v>-9700000</v>
      </c>
      <c r="M46" s="2242">
        <v>38000000</v>
      </c>
      <c r="N46" s="2242">
        <v>57300000</v>
      </c>
      <c r="O46" s="2242">
        <v>57300000</v>
      </c>
      <c r="P46" s="2242">
        <v>22100000</v>
      </c>
      <c r="Q46" s="2242">
        <f>Q47+Q48+Q52</f>
        <v>9600000</v>
      </c>
      <c r="R46" s="2242">
        <f t="shared" ref="R46:W46" si="6">R47+R48+R52</f>
        <v>-51600000</v>
      </c>
      <c r="S46" s="2242">
        <f t="shared" si="6"/>
        <v>22800000</v>
      </c>
      <c r="T46" s="2242">
        <f t="shared" si="6"/>
        <v>3800000</v>
      </c>
      <c r="U46" s="2242">
        <f t="shared" si="6"/>
        <v>3900000</v>
      </c>
      <c r="V46" s="2242">
        <f t="shared" si="6"/>
        <v>22600000</v>
      </c>
      <c r="W46" s="2242">
        <f t="shared" si="6"/>
        <v>19400000</v>
      </c>
      <c r="X46" s="2240"/>
      <c r="Y46" s="2243"/>
      <c r="Z46" s="2243"/>
      <c r="AA46" s="2243"/>
      <c r="AB46" s="2243"/>
    </row>
    <row r="47" spans="1:28" s="2463" customFormat="1">
      <c r="A47" s="2682" t="s">
        <v>688</v>
      </c>
      <c r="B47" s="2683" t="s">
        <v>688</v>
      </c>
      <c r="C47" s="2228" t="s">
        <v>252</v>
      </c>
      <c r="D47" s="2683"/>
      <c r="E47" s="2681"/>
      <c r="F47" s="2684"/>
      <c r="G47" s="2684"/>
      <c r="H47" s="2685"/>
      <c r="I47" s="2685"/>
      <c r="J47" s="2685"/>
      <c r="K47" s="2685"/>
      <c r="L47" s="2685"/>
      <c r="M47" s="2685"/>
      <c r="N47" s="2685"/>
      <c r="O47" s="2685"/>
      <c r="P47" s="2685"/>
      <c r="Q47" s="2685">
        <v>5300000</v>
      </c>
      <c r="R47" s="2685">
        <v>-48600000</v>
      </c>
      <c r="S47" s="2685">
        <v>15700000</v>
      </c>
      <c r="T47" s="2685">
        <v>-16000000</v>
      </c>
      <c r="U47" s="2681">
        <v>-3200000</v>
      </c>
      <c r="V47">
        <v>-15200000</v>
      </c>
      <c r="W47" s="2680">
        <v>-16500000</v>
      </c>
      <c r="X47" s="2681"/>
      <c r="Y47" s="2682"/>
      <c r="Z47" s="2682"/>
      <c r="AA47" s="2682"/>
      <c r="AB47" s="2682"/>
    </row>
    <row r="48" spans="1:28">
      <c r="A48" s="2222" t="s">
        <v>117</v>
      </c>
      <c r="B48" s="2228" t="s">
        <v>6514</v>
      </c>
      <c r="C48" s="2228" t="s">
        <v>252</v>
      </c>
      <c r="D48" s="2228"/>
      <c r="E48" s="2214"/>
      <c r="F48" s="2230">
        <v>13900000</v>
      </c>
      <c r="G48" s="2230">
        <v>4900000</v>
      </c>
      <c r="H48" s="2231">
        <v>12700000</v>
      </c>
      <c r="I48" s="2231">
        <v>1400000</v>
      </c>
      <c r="J48" s="2231">
        <v>2300000</v>
      </c>
      <c r="K48" s="2231">
        <v>800000</v>
      </c>
      <c r="L48" s="2231">
        <v>1400000</v>
      </c>
      <c r="M48" s="2231">
        <v>24700000</v>
      </c>
      <c r="N48" s="2231">
        <v>65500000</v>
      </c>
      <c r="O48" s="2231">
        <v>65500000</v>
      </c>
      <c r="P48" s="2231">
        <v>41200000</v>
      </c>
      <c r="Q48" s="2231">
        <v>2900000</v>
      </c>
      <c r="R48" s="2231">
        <v>-1800000</v>
      </c>
      <c r="S48" s="2231">
        <v>-3200000</v>
      </c>
      <c r="T48" s="2231">
        <v>1600000</v>
      </c>
      <c r="U48" s="2214">
        <v>2400000</v>
      </c>
      <c r="V48" s="2250">
        <v>35900000</v>
      </c>
      <c r="W48" s="2250">
        <v>36600000</v>
      </c>
      <c r="X48" s="2214"/>
    </row>
    <row r="49" spans="1:24">
      <c r="A49" s="2233" t="s">
        <v>415</v>
      </c>
      <c r="B49" s="2233" t="s">
        <v>415</v>
      </c>
      <c r="C49" s="2228" t="s">
        <v>264</v>
      </c>
      <c r="D49" s="2228"/>
      <c r="E49" s="2214"/>
      <c r="F49" s="2230">
        <v>16300000</v>
      </c>
      <c r="G49" s="2231"/>
      <c r="H49" s="2231">
        <v>17800000</v>
      </c>
      <c r="I49" s="2231">
        <v>6100000</v>
      </c>
      <c r="J49" s="2231">
        <v>6900000</v>
      </c>
      <c r="K49" s="2231">
        <v>5800000</v>
      </c>
      <c r="L49" s="2231"/>
      <c r="M49" s="2231"/>
      <c r="N49" s="2231"/>
      <c r="O49" s="2231"/>
      <c r="P49" s="2231"/>
      <c r="Q49" s="2231"/>
      <c r="R49" s="2231"/>
      <c r="S49" s="2231"/>
      <c r="T49" s="2231"/>
      <c r="U49" s="2231"/>
      <c r="V49" s="2231"/>
      <c r="W49" s="2231"/>
      <c r="X49" s="2214"/>
    </row>
    <row r="50" spans="1:24">
      <c r="A50" s="2233" t="s">
        <v>3573</v>
      </c>
      <c r="B50" s="2233" t="s">
        <v>3573</v>
      </c>
      <c r="C50" s="2228" t="s">
        <v>264</v>
      </c>
      <c r="D50" s="2228"/>
      <c r="E50" s="2214"/>
      <c r="F50" s="2230">
        <v>-2400000</v>
      </c>
      <c r="G50" s="2231"/>
      <c r="H50" s="2231">
        <v>-5100000</v>
      </c>
      <c r="I50" s="2231">
        <v>-4700000</v>
      </c>
      <c r="J50" s="2231">
        <v>-4600000</v>
      </c>
      <c r="K50" s="2231">
        <v>-5000000</v>
      </c>
      <c r="L50" s="2231"/>
      <c r="M50" s="2231"/>
      <c r="N50" s="2231"/>
      <c r="O50" s="2231"/>
      <c r="P50" s="2231"/>
      <c r="Q50" s="2231"/>
      <c r="R50" s="2231"/>
      <c r="S50" s="2231"/>
      <c r="T50" s="2232"/>
      <c r="U50" s="2214"/>
      <c r="V50" s="2250"/>
      <c r="W50" s="2250"/>
      <c r="X50" s="2214"/>
    </row>
    <row r="51" spans="1:24">
      <c r="A51" s="2233" t="s">
        <v>6515</v>
      </c>
      <c r="B51" s="2233" t="s">
        <v>6516</v>
      </c>
      <c r="C51" s="2228" t="s">
        <v>264</v>
      </c>
      <c r="D51" s="2228"/>
      <c r="E51" s="2214"/>
      <c r="F51" s="2231"/>
      <c r="G51" s="2231"/>
      <c r="H51" s="2231">
        <v>0</v>
      </c>
      <c r="I51" s="2231">
        <v>0</v>
      </c>
      <c r="J51" s="2231">
        <v>0</v>
      </c>
      <c r="K51" s="2231">
        <v>0</v>
      </c>
      <c r="L51" s="2231"/>
      <c r="M51" s="2231"/>
      <c r="N51" s="2231"/>
      <c r="O51" s="2231"/>
      <c r="P51" s="2231"/>
      <c r="Q51" s="2231"/>
      <c r="R51" s="2231"/>
      <c r="S51" s="2231"/>
      <c r="T51" s="2232"/>
      <c r="U51" s="2214"/>
      <c r="V51" s="2250"/>
      <c r="W51" s="2250"/>
      <c r="X51" s="2214"/>
    </row>
    <row r="52" spans="1:24">
      <c r="A52" s="2222" t="s">
        <v>120</v>
      </c>
      <c r="B52" s="2228" t="s">
        <v>6517</v>
      </c>
      <c r="C52" s="2228" t="s">
        <v>252</v>
      </c>
      <c r="D52" s="2228"/>
      <c r="E52" s="2214"/>
      <c r="F52" s="2230">
        <v>-9200000</v>
      </c>
      <c r="G52" s="2230">
        <v>5700000</v>
      </c>
      <c r="H52" s="2231">
        <v>-14000000</v>
      </c>
      <c r="I52" s="2231">
        <v>-11900000</v>
      </c>
      <c r="J52" s="2231">
        <v>13900000</v>
      </c>
      <c r="K52" s="2231">
        <v>-7100000</v>
      </c>
      <c r="L52" s="2231">
        <v>-11100000</v>
      </c>
      <c r="M52" s="2231">
        <v>13300000</v>
      </c>
      <c r="N52" s="2231">
        <v>-8199999.9999999991</v>
      </c>
      <c r="O52" s="2231">
        <v>-8199999.9999999991</v>
      </c>
      <c r="P52" s="2231">
        <v>-19100000</v>
      </c>
      <c r="Q52" s="2231">
        <v>1400000</v>
      </c>
      <c r="R52" s="2231">
        <v>-1200000</v>
      </c>
      <c r="S52" s="2231">
        <v>10300000</v>
      </c>
      <c r="T52" s="2231">
        <v>18200000</v>
      </c>
      <c r="U52" s="2214">
        <v>4700000</v>
      </c>
      <c r="V52" s="2250">
        <v>1900000</v>
      </c>
      <c r="W52" s="2250">
        <v>-700000</v>
      </c>
      <c r="X52" s="2214"/>
    </row>
    <row r="53" spans="1:24">
      <c r="A53" s="2233" t="s">
        <v>6518</v>
      </c>
      <c r="B53" s="2233" t="s">
        <v>6519</v>
      </c>
      <c r="C53" s="2228" t="s">
        <v>124</v>
      </c>
      <c r="D53" s="2228"/>
      <c r="E53" s="2214"/>
      <c r="F53" s="2231"/>
      <c r="G53" s="2231"/>
      <c r="H53" s="2231"/>
      <c r="I53" s="2231"/>
      <c r="J53" s="2231">
        <v>-1400000</v>
      </c>
      <c r="K53" s="2231">
        <v>-1600000</v>
      </c>
      <c r="L53" s="2231"/>
      <c r="M53" s="2231"/>
      <c r="N53" s="2231"/>
      <c r="O53" s="2231"/>
      <c r="P53" s="2231"/>
      <c r="Q53" s="2231"/>
      <c r="R53" s="2231"/>
      <c r="S53" s="2231"/>
      <c r="T53" s="2214"/>
      <c r="U53" s="2214"/>
      <c r="V53" s="2250"/>
      <c r="W53" s="2250"/>
      <c r="X53" s="2214"/>
    </row>
    <row r="54" spans="1:24">
      <c r="A54" s="2233" t="s">
        <v>6520</v>
      </c>
      <c r="B54" s="2233" t="s">
        <v>6521</v>
      </c>
      <c r="C54" s="2228" t="s">
        <v>124</v>
      </c>
      <c r="D54" s="2228"/>
      <c r="E54" s="2214"/>
      <c r="F54" s="2231"/>
      <c r="G54" s="2231"/>
      <c r="H54" s="2231"/>
      <c r="I54" s="2231"/>
      <c r="J54" s="2231">
        <v>0</v>
      </c>
      <c r="K54" s="2231">
        <v>0</v>
      </c>
      <c r="L54" s="2231"/>
      <c r="M54" s="2231"/>
      <c r="N54" s="2231"/>
      <c r="O54" s="2231"/>
      <c r="P54" s="2231"/>
      <c r="Q54" s="2231"/>
      <c r="R54" s="2231"/>
      <c r="S54" s="2231"/>
      <c r="T54" s="2214"/>
      <c r="U54" s="2214"/>
      <c r="V54" s="2250"/>
      <c r="W54" s="2250"/>
      <c r="X54" s="2214"/>
    </row>
    <row r="55" spans="1:24">
      <c r="A55" s="2233" t="s">
        <v>6522</v>
      </c>
      <c r="B55" s="2233" t="s">
        <v>6523</v>
      </c>
      <c r="C55" s="2228" t="s">
        <v>124</v>
      </c>
      <c r="D55" s="2228"/>
      <c r="E55" s="2214"/>
      <c r="F55" s="2231"/>
      <c r="G55" s="2231"/>
      <c r="H55" s="2231"/>
      <c r="I55" s="2231"/>
      <c r="J55" s="2231">
        <v>0</v>
      </c>
      <c r="K55" s="2231">
        <v>0</v>
      </c>
      <c r="L55" s="2231"/>
      <c r="M55" s="2231"/>
      <c r="N55" s="2231"/>
      <c r="O55" s="2231"/>
      <c r="P55" s="2231"/>
      <c r="Q55" s="2231"/>
      <c r="R55" s="2231"/>
      <c r="S55" s="2231"/>
      <c r="T55" s="2214"/>
      <c r="U55" s="2214"/>
      <c r="V55" s="2250"/>
      <c r="W55" s="2250"/>
      <c r="X55" s="2214"/>
    </row>
    <row r="56" spans="1:24">
      <c r="A56" s="2233" t="s">
        <v>50</v>
      </c>
      <c r="B56" s="2233" t="s">
        <v>50</v>
      </c>
      <c r="C56" s="2228" t="s">
        <v>124</v>
      </c>
      <c r="D56" s="2228"/>
      <c r="E56" s="2214"/>
      <c r="F56" s="2231"/>
      <c r="G56" s="2231"/>
      <c r="H56" s="2231"/>
      <c r="I56" s="2231"/>
      <c r="J56" s="2231">
        <v>15300000</v>
      </c>
      <c r="K56" s="2231">
        <v>-5500000</v>
      </c>
      <c r="L56" s="2231"/>
      <c r="M56" s="2231"/>
      <c r="N56" s="2231"/>
      <c r="O56" s="2231"/>
      <c r="P56" s="2231"/>
      <c r="Q56" s="2231"/>
      <c r="R56" s="2231"/>
      <c r="S56" s="2231"/>
      <c r="T56" s="2214"/>
      <c r="U56" s="2214"/>
      <c r="V56" s="2250"/>
      <c r="W56" s="2250"/>
      <c r="X56" s="2214"/>
    </row>
    <row r="57" spans="1:24">
      <c r="A57" s="2228"/>
      <c r="B57" s="2228" t="s">
        <v>6524</v>
      </c>
      <c r="C57" s="2228"/>
      <c r="D57" s="2228"/>
      <c r="E57" s="2214"/>
      <c r="F57" s="2230">
        <v>0</v>
      </c>
      <c r="G57" s="2231"/>
      <c r="H57" s="2231"/>
      <c r="I57" s="2231"/>
      <c r="J57" s="2231">
        <v>0</v>
      </c>
      <c r="K57" s="2231">
        <v>0</v>
      </c>
      <c r="L57" s="2231"/>
      <c r="M57" s="2231"/>
      <c r="N57" s="2231"/>
      <c r="O57" s="2231"/>
      <c r="P57" s="2231"/>
      <c r="Q57" s="2231"/>
      <c r="R57" s="2231"/>
      <c r="S57" s="2231"/>
      <c r="T57" s="2214"/>
      <c r="U57" s="2214"/>
      <c r="V57" s="2250"/>
      <c r="W57" s="2250"/>
      <c r="X57" s="2214"/>
    </row>
    <row r="58" spans="1:24">
      <c r="B58" s="2228"/>
      <c r="C58" s="2228"/>
      <c r="D58" s="2228"/>
      <c r="E58" s="2214"/>
      <c r="F58" s="2228"/>
      <c r="G58" s="2228"/>
      <c r="H58" s="2228"/>
      <c r="I58" s="2228"/>
      <c r="J58" s="2228"/>
      <c r="K58" s="2228"/>
      <c r="L58" s="2235"/>
      <c r="M58" s="2235"/>
      <c r="N58" s="2235"/>
      <c r="O58" s="2235"/>
      <c r="P58" s="2235"/>
      <c r="Q58" s="2235"/>
      <c r="R58" s="2235"/>
      <c r="S58" s="2235"/>
      <c r="T58" s="2214"/>
      <c r="U58" s="2214"/>
      <c r="V58" s="2250"/>
      <c r="W58" s="2250"/>
      <c r="X58" s="2214"/>
    </row>
    <row r="59" spans="1:24">
      <c r="B59" s="2228"/>
      <c r="C59" s="2228"/>
      <c r="D59" s="2228"/>
      <c r="E59" s="2214"/>
      <c r="F59" s="2222" t="s">
        <v>139</v>
      </c>
      <c r="G59" s="2222" t="s">
        <v>139</v>
      </c>
      <c r="H59" s="2222" t="s">
        <v>139</v>
      </c>
      <c r="I59" s="2222" t="s">
        <v>139</v>
      </c>
      <c r="J59" s="2222" t="s">
        <v>139</v>
      </c>
      <c r="K59" s="2222" t="s">
        <v>139</v>
      </c>
      <c r="L59" s="2222" t="s">
        <v>139</v>
      </c>
      <c r="M59" s="2222" t="s">
        <v>139</v>
      </c>
      <c r="N59" s="2222" t="s">
        <v>139</v>
      </c>
      <c r="O59" s="2222" t="s">
        <v>139</v>
      </c>
      <c r="P59" s="2222" t="s">
        <v>139</v>
      </c>
      <c r="Q59" s="2222" t="s">
        <v>139</v>
      </c>
      <c r="R59" s="2222" t="s">
        <v>139</v>
      </c>
      <c r="S59" s="2222" t="s">
        <v>139</v>
      </c>
      <c r="T59" s="2222" t="s">
        <v>139</v>
      </c>
      <c r="U59" s="2222" t="s">
        <v>139</v>
      </c>
      <c r="V59" s="2251" t="s">
        <v>139</v>
      </c>
      <c r="W59" s="2251" t="s">
        <v>139</v>
      </c>
      <c r="X59" s="2214"/>
    </row>
    <row r="60" spans="1:24">
      <c r="V60" s="2251"/>
      <c r="W60" s="2251"/>
    </row>
    <row r="61" spans="1:24">
      <c r="B61" s="2222" t="s">
        <v>4319</v>
      </c>
      <c r="F61" s="2236">
        <f t="shared" ref="F61:W61" si="7">F6-F7-F16</f>
        <v>0</v>
      </c>
      <c r="G61" s="2236">
        <f t="shared" si="7"/>
        <v>0</v>
      </c>
      <c r="H61" s="2236">
        <f t="shared" si="7"/>
        <v>-100000</v>
      </c>
      <c r="I61" s="2236">
        <f t="shared" si="7"/>
        <v>0</v>
      </c>
      <c r="J61" s="2236">
        <f t="shared" si="7"/>
        <v>0</v>
      </c>
      <c r="K61" s="2236">
        <f t="shared" si="7"/>
        <v>0</v>
      </c>
      <c r="L61" s="2236">
        <f t="shared" si="7"/>
        <v>0</v>
      </c>
      <c r="M61" s="2236">
        <f t="shared" si="7"/>
        <v>0</v>
      </c>
      <c r="N61" s="2236">
        <f t="shared" si="7"/>
        <v>0</v>
      </c>
      <c r="O61" s="2236">
        <f t="shared" si="7"/>
        <v>0</v>
      </c>
      <c r="P61" s="2236">
        <f t="shared" si="7"/>
        <v>0</v>
      </c>
      <c r="Q61" s="2236">
        <f t="shared" si="7"/>
        <v>0</v>
      </c>
      <c r="R61" s="2236">
        <f t="shared" si="7"/>
        <v>0</v>
      </c>
      <c r="S61" s="2236">
        <f t="shared" si="7"/>
        <v>0</v>
      </c>
      <c r="T61" s="2236">
        <f t="shared" si="7"/>
        <v>0</v>
      </c>
      <c r="U61" s="2236">
        <f t="shared" si="7"/>
        <v>0</v>
      </c>
      <c r="V61" s="2251">
        <f t="shared" si="7"/>
        <v>0</v>
      </c>
      <c r="W61" s="2251">
        <f t="shared" si="7"/>
        <v>0</v>
      </c>
    </row>
    <row r="62" spans="1:24">
      <c r="B62" s="2222" t="s">
        <v>141</v>
      </c>
      <c r="F62" s="2236" t="e">
        <f>F7-#REF!-#REF!</f>
        <v>#REF!</v>
      </c>
      <c r="G62" s="2236" t="e">
        <f>G7-#REF!-#REF!</f>
        <v>#REF!</v>
      </c>
      <c r="H62" s="2236" t="e">
        <f>H7-#REF!-#REF!</f>
        <v>#REF!</v>
      </c>
      <c r="I62" s="2236" t="e">
        <f>I7-#REF!-#REF!</f>
        <v>#REF!</v>
      </c>
      <c r="J62" s="2236" t="e">
        <f>J7-#REF!-#REF!</f>
        <v>#REF!</v>
      </c>
      <c r="K62" s="2236" t="e">
        <f>K7-#REF!-#REF!</f>
        <v>#REF!</v>
      </c>
      <c r="L62" s="2236" t="e">
        <f>L7-#REF!-#REF!</f>
        <v>#REF!</v>
      </c>
      <c r="M62" s="2236" t="e">
        <f>M7-#REF!-#REF!</f>
        <v>#REF!</v>
      </c>
      <c r="N62" s="2236" t="e">
        <f>N7-#REF!-#REF!</f>
        <v>#REF!</v>
      </c>
      <c r="O62" s="2236" t="e">
        <f>O7-#REF!-#REF!</f>
        <v>#REF!</v>
      </c>
      <c r="P62" s="2236" t="e">
        <f>P7-#REF!-#REF!</f>
        <v>#REF!</v>
      </c>
      <c r="Q62" s="2236" t="e">
        <f>Q7-#REF!-#REF!-Q15</f>
        <v>#REF!</v>
      </c>
      <c r="R62" s="2236" t="e">
        <f>R7-#REF!-#REF!-R15</f>
        <v>#REF!</v>
      </c>
      <c r="S62" s="2236" t="e">
        <f>S7-#REF!-#REF!-S15</f>
        <v>#REF!</v>
      </c>
      <c r="T62" s="2236" t="e">
        <f>T7-#REF!-#REF!-T15</f>
        <v>#REF!</v>
      </c>
      <c r="U62" s="2236" t="e">
        <f>U7-#REF!-#REF!-U15</f>
        <v>#REF!</v>
      </c>
      <c r="V62" s="2251" t="e">
        <f>V7-#REF!-#REF!-V15</f>
        <v>#REF!</v>
      </c>
      <c r="W62" s="2251" t="e">
        <f>W7-#REF!-#REF!-W15</f>
        <v>#REF!</v>
      </c>
    </row>
    <row r="63" spans="1:24">
      <c r="B63" s="2222" t="s">
        <v>524</v>
      </c>
      <c r="F63" s="2236" t="e">
        <f>#REF!-F8-F14</f>
        <v>#REF!</v>
      </c>
      <c r="G63" s="2236" t="e">
        <f>#REF!-G8-G14</f>
        <v>#REF!</v>
      </c>
      <c r="H63" s="2236" t="e">
        <f>#REF!-H8-H14</f>
        <v>#REF!</v>
      </c>
      <c r="I63" s="2236" t="e">
        <f>#REF!-I8-I14</f>
        <v>#REF!</v>
      </c>
      <c r="J63" s="2236" t="e">
        <f>#REF!-J8-J14</f>
        <v>#REF!</v>
      </c>
      <c r="K63" s="2236" t="e">
        <f>#REF!-K8-K14</f>
        <v>#REF!</v>
      </c>
      <c r="L63" s="2236" t="e">
        <f>#REF!-L8-L14</f>
        <v>#REF!</v>
      </c>
      <c r="M63" s="2236" t="e">
        <f>#REF!-M8-M14</f>
        <v>#REF!</v>
      </c>
      <c r="N63" s="2236" t="e">
        <f>#REF!-N8-N14</f>
        <v>#REF!</v>
      </c>
      <c r="O63" s="2236" t="e">
        <f>#REF!-O8-O14</f>
        <v>#REF!</v>
      </c>
      <c r="P63" s="2236" t="e">
        <f>#REF!-P8-P14</f>
        <v>#REF!</v>
      </c>
      <c r="Q63" s="2236" t="e">
        <f>#REF!-Q8-Q14</f>
        <v>#REF!</v>
      </c>
      <c r="R63" s="2236" t="e">
        <f>#REF!-R8-R14</f>
        <v>#REF!</v>
      </c>
      <c r="S63" s="2236" t="e">
        <f>#REF!-S8-S14</f>
        <v>#REF!</v>
      </c>
      <c r="T63" s="2236" t="e">
        <f>#REF!-T8-T14</f>
        <v>#REF!</v>
      </c>
      <c r="U63" s="2236" t="e">
        <f>#REF!-U8-U14</f>
        <v>#REF!</v>
      </c>
      <c r="V63" s="2251" t="e">
        <f>#REF!-V8-V14</f>
        <v>#REF!</v>
      </c>
      <c r="W63" s="2251" t="e">
        <f>#REF!-W8-W14</f>
        <v>#REF!</v>
      </c>
    </row>
    <row r="64" spans="1:24">
      <c r="B64" s="2222" t="s">
        <v>142</v>
      </c>
      <c r="F64" s="2237">
        <f t="shared" ref="F64:W64" si="8">F8-F9-F10-F11-F12-F13</f>
        <v>74500000</v>
      </c>
      <c r="G64" s="2237">
        <f t="shared" si="8"/>
        <v>80700000</v>
      </c>
      <c r="H64" s="2237">
        <f t="shared" si="8"/>
        <v>86100000</v>
      </c>
      <c r="I64" s="2237">
        <f t="shared" si="8"/>
        <v>98400000</v>
      </c>
      <c r="J64" s="2236">
        <f t="shared" si="8"/>
        <v>0</v>
      </c>
      <c r="K64" s="2236">
        <f t="shared" si="8"/>
        <v>0</v>
      </c>
      <c r="L64" s="2236">
        <f t="shared" si="8"/>
        <v>0</v>
      </c>
      <c r="M64" s="2236">
        <f t="shared" si="8"/>
        <v>0</v>
      </c>
      <c r="N64" s="2236">
        <f t="shared" si="8"/>
        <v>0</v>
      </c>
      <c r="O64" s="2236">
        <f t="shared" si="8"/>
        <v>0</v>
      </c>
      <c r="P64" s="2236">
        <f t="shared" si="8"/>
        <v>0</v>
      </c>
      <c r="Q64" s="2236">
        <f t="shared" si="8"/>
        <v>100000</v>
      </c>
      <c r="R64" s="2236">
        <f t="shared" si="8"/>
        <v>0</v>
      </c>
      <c r="S64" s="2236">
        <f t="shared" si="8"/>
        <v>0</v>
      </c>
      <c r="T64" s="2236">
        <f t="shared" si="8"/>
        <v>0</v>
      </c>
      <c r="U64" s="2236">
        <f t="shared" si="8"/>
        <v>0</v>
      </c>
      <c r="V64" s="2251">
        <f t="shared" si="8"/>
        <v>0</v>
      </c>
      <c r="W64" s="2251">
        <f t="shared" si="8"/>
        <v>0</v>
      </c>
    </row>
    <row r="65" spans="2:24">
      <c r="B65" s="2222" t="s">
        <v>143</v>
      </c>
      <c r="F65" s="2237">
        <f t="shared" ref="F65:P65" si="9">F16-F20-F21</f>
        <v>2000000</v>
      </c>
      <c r="G65" s="2237">
        <f t="shared" si="9"/>
        <v>2900000</v>
      </c>
      <c r="H65" s="2237">
        <f t="shared" si="9"/>
        <v>5200000</v>
      </c>
      <c r="I65" s="2237">
        <f t="shared" si="9"/>
        <v>5500000</v>
      </c>
      <c r="J65" s="2237">
        <f t="shared" si="9"/>
        <v>9900000</v>
      </c>
      <c r="K65" s="2237">
        <f t="shared" si="9"/>
        <v>22600000</v>
      </c>
      <c r="L65" s="2236">
        <f t="shared" si="9"/>
        <v>0</v>
      </c>
      <c r="M65" s="2236">
        <f t="shared" si="9"/>
        <v>0</v>
      </c>
      <c r="N65" s="2236">
        <f t="shared" si="9"/>
        <v>0</v>
      </c>
      <c r="O65" s="2236">
        <f t="shared" si="9"/>
        <v>0</v>
      </c>
      <c r="P65" s="2236">
        <f t="shared" si="9"/>
        <v>0</v>
      </c>
      <c r="Q65" s="2236">
        <f>Q16-Q20-Q21-Q17-Q18-Q19</f>
        <v>0</v>
      </c>
      <c r="R65" s="2236">
        <f t="shared" ref="R65:U65" si="10">R16-R20-R21-R17-R18-R19</f>
        <v>0</v>
      </c>
      <c r="S65" s="2236">
        <f t="shared" si="10"/>
        <v>0</v>
      </c>
      <c r="T65" s="2236">
        <f t="shared" si="10"/>
        <v>0</v>
      </c>
      <c r="U65" s="2236">
        <f t="shared" si="10"/>
        <v>0</v>
      </c>
      <c r="V65" s="2251">
        <f t="shared" ref="V65:W65" si="11">V16-V20-V21-V17-V18-V19</f>
        <v>0</v>
      </c>
      <c r="W65" s="2251">
        <f t="shared" si="11"/>
        <v>0</v>
      </c>
    </row>
    <row r="66" spans="2:24">
      <c r="B66" s="2222" t="s">
        <v>145</v>
      </c>
      <c r="F66" s="2236">
        <f>F24-F25-F36-F35-F38</f>
        <v>0</v>
      </c>
      <c r="G66" s="2236">
        <f t="shared" ref="G66:U66" si="12">G24-G25-G35-G36-G38</f>
        <v>0</v>
      </c>
      <c r="H66" s="2236">
        <f t="shared" si="12"/>
        <v>0</v>
      </c>
      <c r="I66" s="2236">
        <f t="shared" si="12"/>
        <v>0</v>
      </c>
      <c r="J66" s="2236">
        <f t="shared" si="12"/>
        <v>0</v>
      </c>
      <c r="K66" s="2236">
        <f t="shared" si="12"/>
        <v>0</v>
      </c>
      <c r="L66" s="2236">
        <f t="shared" si="12"/>
        <v>0</v>
      </c>
      <c r="M66" s="2236">
        <f>M24-M25-M35-M36-M38</f>
        <v>0</v>
      </c>
      <c r="N66" s="2236">
        <f t="shared" si="12"/>
        <v>0</v>
      </c>
      <c r="O66" s="2236">
        <f t="shared" si="12"/>
        <v>0</v>
      </c>
      <c r="P66" s="2236">
        <f t="shared" si="12"/>
        <v>0</v>
      </c>
      <c r="Q66" s="2236">
        <f t="shared" si="12"/>
        <v>7.4505805969238281E-9</v>
      </c>
      <c r="R66" s="2236">
        <f t="shared" si="12"/>
        <v>0</v>
      </c>
      <c r="S66" s="2236">
        <f t="shared" si="12"/>
        <v>0</v>
      </c>
      <c r="T66" s="2236">
        <f t="shared" si="12"/>
        <v>0</v>
      </c>
      <c r="U66" s="2236">
        <f t="shared" si="12"/>
        <v>0</v>
      </c>
      <c r="V66" s="2251">
        <f t="shared" ref="V66:W66" si="13">V24-V25-V35-V36-V38</f>
        <v>0</v>
      </c>
      <c r="W66" s="2251">
        <f t="shared" si="13"/>
        <v>0</v>
      </c>
    </row>
    <row r="67" spans="2:24">
      <c r="B67" s="2222" t="s">
        <v>289</v>
      </c>
      <c r="F67" s="2236">
        <f t="shared" ref="F67:P67" si="14">F25-F26-F27-F28-F34</f>
        <v>0</v>
      </c>
      <c r="G67" s="2236">
        <f t="shared" si="14"/>
        <v>0</v>
      </c>
      <c r="H67" s="2236">
        <f t="shared" si="14"/>
        <v>0</v>
      </c>
      <c r="I67" s="2236">
        <f t="shared" si="14"/>
        <v>0</v>
      </c>
      <c r="J67" s="2236">
        <f t="shared" si="14"/>
        <v>100000</v>
      </c>
      <c r="K67" s="2236">
        <f t="shared" si="14"/>
        <v>-100000</v>
      </c>
      <c r="L67" s="2236">
        <f t="shared" si="14"/>
        <v>0</v>
      </c>
      <c r="M67" s="2236">
        <f t="shared" si="14"/>
        <v>0</v>
      </c>
      <c r="N67" s="2236">
        <f t="shared" si="14"/>
        <v>0</v>
      </c>
      <c r="O67" s="2236">
        <f t="shared" si="14"/>
        <v>0</v>
      </c>
      <c r="P67" s="2236">
        <f t="shared" si="14"/>
        <v>0</v>
      </c>
      <c r="Q67" s="2236">
        <f>Q25-Q26-Q27-Q28-Q34-Q30-Q31-Q32-Q33</f>
        <v>0</v>
      </c>
      <c r="R67" s="2236">
        <f t="shared" ref="R67:W67" si="15">R25-R26-R27-R28-R34-R30-R31-R32-R33</f>
        <v>100000.00000000186</v>
      </c>
      <c r="S67" s="2236">
        <f t="shared" si="15"/>
        <v>0</v>
      </c>
      <c r="T67" s="2236">
        <f t="shared" si="15"/>
        <v>0</v>
      </c>
      <c r="U67" s="2236">
        <f t="shared" si="15"/>
        <v>0</v>
      </c>
      <c r="V67" s="2251">
        <f t="shared" si="15"/>
        <v>0</v>
      </c>
      <c r="W67" s="2251">
        <f t="shared" si="15"/>
        <v>0</v>
      </c>
    </row>
    <row r="68" spans="2:24">
      <c r="B68" s="2222" t="s">
        <v>148</v>
      </c>
      <c r="F68" s="2236">
        <f t="shared" ref="F68:P68" si="16">F46-F48-F52</f>
        <v>0</v>
      </c>
      <c r="G68" s="2236">
        <f t="shared" si="16"/>
        <v>-100000</v>
      </c>
      <c r="H68" s="2236">
        <f t="shared" si="16"/>
        <v>0</v>
      </c>
      <c r="I68" s="2236">
        <f t="shared" si="16"/>
        <v>0</v>
      </c>
      <c r="J68" s="2236">
        <f t="shared" si="16"/>
        <v>-99999.999999998137</v>
      </c>
      <c r="K68" s="2236">
        <f t="shared" si="16"/>
        <v>-100000</v>
      </c>
      <c r="L68" s="2236">
        <f t="shared" si="16"/>
        <v>0</v>
      </c>
      <c r="M68" s="2236">
        <f t="shared" si="16"/>
        <v>0</v>
      </c>
      <c r="N68" s="2236">
        <f t="shared" si="16"/>
        <v>0</v>
      </c>
      <c r="O68" s="2236">
        <f t="shared" si="16"/>
        <v>0</v>
      </c>
      <c r="P68" s="2236">
        <f t="shared" si="16"/>
        <v>0</v>
      </c>
      <c r="Q68" s="2236">
        <f>Q46-Q47-Q48-Q52</f>
        <v>0</v>
      </c>
      <c r="R68" s="2236">
        <f t="shared" ref="R68:W68" si="17">R46-R47-R48-R52</f>
        <v>0</v>
      </c>
      <c r="S68" s="2236">
        <f t="shared" si="17"/>
        <v>0</v>
      </c>
      <c r="T68" s="2236">
        <f t="shared" si="17"/>
        <v>0</v>
      </c>
      <c r="U68" s="2236">
        <f t="shared" si="17"/>
        <v>0</v>
      </c>
      <c r="V68" s="2236">
        <f t="shared" si="17"/>
        <v>0</v>
      </c>
      <c r="W68" s="2236">
        <f t="shared" si="17"/>
        <v>0</v>
      </c>
    </row>
    <row r="69" spans="2:24">
      <c r="B69" s="2222" t="s">
        <v>528</v>
      </c>
      <c r="F69" s="2236">
        <f>F48-F49-F50-F51</f>
        <v>0</v>
      </c>
      <c r="G69" s="2237">
        <f t="shared" ref="G69:S69" si="18">G48-G49-G50-G51</f>
        <v>4900000</v>
      </c>
      <c r="H69" s="2236">
        <f t="shared" si="18"/>
        <v>0</v>
      </c>
      <c r="I69" s="2236">
        <f t="shared" si="18"/>
        <v>0</v>
      </c>
      <c r="J69" s="2236">
        <f t="shared" si="18"/>
        <v>0</v>
      </c>
      <c r="K69" s="2236">
        <f t="shared" si="18"/>
        <v>0</v>
      </c>
      <c r="L69" s="2237">
        <f t="shared" si="18"/>
        <v>1400000</v>
      </c>
      <c r="M69" s="2237">
        <f t="shared" si="18"/>
        <v>24700000</v>
      </c>
      <c r="N69" s="2237">
        <f t="shared" si="18"/>
        <v>65500000</v>
      </c>
      <c r="O69" s="2237">
        <f t="shared" si="18"/>
        <v>65500000</v>
      </c>
      <c r="P69" s="2237">
        <f t="shared" si="18"/>
        <v>41200000</v>
      </c>
      <c r="Q69" s="2247">
        <f>Q48-Q49-Q50-Q51</f>
        <v>2900000</v>
      </c>
      <c r="R69" s="2247">
        <f t="shared" si="18"/>
        <v>-1800000</v>
      </c>
      <c r="S69" s="2247">
        <f t="shared" si="18"/>
        <v>-3200000</v>
      </c>
      <c r="T69" s="2247">
        <f>T48-T49-T50-T51</f>
        <v>1600000</v>
      </c>
      <c r="U69" s="2247">
        <f>U48-U49-U50-U51</f>
        <v>2400000</v>
      </c>
      <c r="V69" s="2252">
        <f t="shared" ref="V69:W69" si="19">V48-V49-V50-V51</f>
        <v>35900000</v>
      </c>
      <c r="W69" s="2252">
        <f t="shared" si="19"/>
        <v>36600000</v>
      </c>
    </row>
    <row r="70" spans="2:24">
      <c r="B70" s="2222" t="s">
        <v>362</v>
      </c>
      <c r="F70" s="2237">
        <f>F52-F53-F54-F55-F56</f>
        <v>-9200000</v>
      </c>
      <c r="G70" s="2237">
        <f t="shared" ref="G70:S70" si="20">G52-G53-G54-G55-G56</f>
        <v>5700000</v>
      </c>
      <c r="H70" s="2237">
        <f t="shared" si="20"/>
        <v>-14000000</v>
      </c>
      <c r="I70" s="2237">
        <f t="shared" si="20"/>
        <v>-11900000</v>
      </c>
      <c r="J70" s="2236">
        <f t="shared" si="20"/>
        <v>0</v>
      </c>
      <c r="K70" s="2236">
        <f t="shared" si="20"/>
        <v>0</v>
      </c>
      <c r="L70" s="2237">
        <f t="shared" si="20"/>
        <v>-11100000</v>
      </c>
      <c r="M70" s="2237">
        <f t="shared" si="20"/>
        <v>13300000</v>
      </c>
      <c r="N70" s="2237">
        <f t="shared" si="20"/>
        <v>-8199999.9999999991</v>
      </c>
      <c r="O70" s="2237">
        <f t="shared" si="20"/>
        <v>-8199999.9999999991</v>
      </c>
      <c r="P70" s="2237">
        <f t="shared" si="20"/>
        <v>-19100000</v>
      </c>
      <c r="Q70" s="2247">
        <f t="shared" si="20"/>
        <v>1400000</v>
      </c>
      <c r="R70" s="2247">
        <f t="shared" si="20"/>
        <v>-1200000</v>
      </c>
      <c r="S70" s="2247">
        <f t="shared" si="20"/>
        <v>10300000</v>
      </c>
      <c r="T70" s="2247">
        <f>T52-T53-T54-T55-T56</f>
        <v>18200000</v>
      </c>
      <c r="U70" s="2247">
        <f>U52-U53-U54-U55-U56</f>
        <v>4700000</v>
      </c>
      <c r="V70" s="2252">
        <f t="shared" ref="V70:W70" si="21">V52-V53-V54-V55-V56</f>
        <v>1900000</v>
      </c>
      <c r="W70" s="2252">
        <f t="shared" si="21"/>
        <v>-700000</v>
      </c>
    </row>
    <row r="71" spans="2:24" ht="15.75" thickBot="1">
      <c r="D71" s="2236"/>
    </row>
    <row r="72" spans="2:24" ht="15.75" thickBot="1">
      <c r="B72" s="2222" t="s">
        <v>623</v>
      </c>
      <c r="D72" s="2215"/>
      <c r="E72" s="2216"/>
      <c r="F72" s="2216">
        <v>422000000</v>
      </c>
      <c r="G72" s="2216">
        <v>459000000</v>
      </c>
      <c r="H72" s="2216">
        <v>493000000</v>
      </c>
      <c r="I72" s="2216">
        <v>553000000</v>
      </c>
      <c r="J72" s="2216">
        <v>599000000</v>
      </c>
      <c r="K72" s="2216">
        <v>631000000</v>
      </c>
      <c r="L72" s="2216">
        <v>662000000</v>
      </c>
      <c r="M72" s="2216">
        <v>688000000</v>
      </c>
      <c r="N72" s="2216">
        <v>744000000</v>
      </c>
      <c r="O72" s="2238">
        <v>774800000</v>
      </c>
      <c r="P72" s="2238">
        <v>800600000</v>
      </c>
      <c r="Q72" s="2238">
        <v>779300000</v>
      </c>
      <c r="R72" s="2238">
        <v>803700000</v>
      </c>
      <c r="S72" s="2238">
        <v>846100000</v>
      </c>
      <c r="T72" s="2238">
        <v>889400000</v>
      </c>
      <c r="U72" s="2238">
        <v>941800000</v>
      </c>
      <c r="V72" s="2217">
        <v>993800000</v>
      </c>
      <c r="W72" s="2218">
        <v>1045099999.9999999</v>
      </c>
    </row>
    <row r="73" spans="2:24">
      <c r="B73" s="2222" t="s">
        <v>151</v>
      </c>
      <c r="F73" s="2222">
        <f t="shared" ref="F73:W73" si="22">(F6/F72)*100</f>
        <v>22.559241706161139</v>
      </c>
      <c r="G73" s="2222">
        <f t="shared" si="22"/>
        <v>21.633986928104576</v>
      </c>
      <c r="H73" s="2222">
        <f t="shared" si="22"/>
        <v>22.515212981744423</v>
      </c>
      <c r="I73" s="2222">
        <f t="shared" si="22"/>
        <v>22.079566003616634</v>
      </c>
      <c r="J73" s="2222">
        <f t="shared" si="22"/>
        <v>25.79298831385643</v>
      </c>
      <c r="K73" s="2248">
        <f t="shared" si="22"/>
        <v>27.099841521394612</v>
      </c>
      <c r="L73" s="2248">
        <f t="shared" si="22"/>
        <v>25.861027190332326</v>
      </c>
      <c r="M73" s="2248">
        <f t="shared" si="22"/>
        <v>27.921511627906977</v>
      </c>
      <c r="N73" s="2248">
        <f t="shared" si="22"/>
        <v>27.607526881720428</v>
      </c>
      <c r="O73" s="2248">
        <f t="shared" si="22"/>
        <v>26.51006711409396</v>
      </c>
      <c r="P73" s="2248">
        <f t="shared" si="22"/>
        <v>27.416937297027228</v>
      </c>
      <c r="Q73" s="2248">
        <f t="shared" si="22"/>
        <v>33.209290388810473</v>
      </c>
      <c r="R73" s="2248">
        <f t="shared" si="22"/>
        <v>37.700634565136241</v>
      </c>
      <c r="S73" s="2248">
        <f t="shared" si="22"/>
        <v>34.865855099869989</v>
      </c>
      <c r="T73" s="2248">
        <f t="shared" si="22"/>
        <v>40.90398021137846</v>
      </c>
      <c r="U73" s="2248">
        <f t="shared" si="22"/>
        <v>44.45742195795286</v>
      </c>
      <c r="V73" s="2248">
        <f t="shared" si="22"/>
        <v>53.541960152948278</v>
      </c>
      <c r="W73" s="2248">
        <f t="shared" si="22"/>
        <v>52.636111376901738</v>
      </c>
    </row>
    <row r="74" spans="2:24">
      <c r="B74" s="2222" t="s">
        <v>152</v>
      </c>
      <c r="F74" s="2222">
        <f>(F22/F72)*100</f>
        <v>23.696682464454977</v>
      </c>
      <c r="G74" s="2222">
        <f t="shared" ref="G74:S74" si="23">(G22/G72)*100</f>
        <v>23.921568627450981</v>
      </c>
      <c r="H74" s="2222">
        <f t="shared" si="23"/>
        <v>22.271805273833671</v>
      </c>
      <c r="I74" s="2222">
        <f t="shared" si="23"/>
        <v>20.180831826401445</v>
      </c>
      <c r="J74" s="2222">
        <f t="shared" si="23"/>
        <v>28.497495826377296</v>
      </c>
      <c r="K74" s="2248">
        <f t="shared" si="23"/>
        <v>26.085578446909668</v>
      </c>
      <c r="L74" s="2248">
        <f t="shared" si="23"/>
        <v>24.395770392749245</v>
      </c>
      <c r="M74" s="2248">
        <f t="shared" si="23"/>
        <v>33.459302325581397</v>
      </c>
      <c r="N74" s="2248">
        <f t="shared" si="23"/>
        <v>35.094086021505383</v>
      </c>
      <c r="O74" s="2248">
        <f t="shared" si="23"/>
        <v>33.699019101703669</v>
      </c>
      <c r="P74" s="2248">
        <f t="shared" si="23"/>
        <v>30.164876342742943</v>
      </c>
      <c r="Q74" s="2248">
        <f t="shared" si="23"/>
        <v>34.428333119466188</v>
      </c>
      <c r="R74" s="2248">
        <f t="shared" si="23"/>
        <v>31.280328480776408</v>
      </c>
      <c r="S74" s="2248">
        <f t="shared" si="23"/>
        <v>37.56057203640232</v>
      </c>
      <c r="T74" s="2248">
        <f>(T22/T72)*100</f>
        <v>41.33123454013942</v>
      </c>
      <c r="U74" s="2248">
        <f>(U22/U72)*100</f>
        <v>44.871522616266724</v>
      </c>
      <c r="V74" s="2248">
        <f t="shared" ref="V74:W74" si="24">(V22/V72)*100</f>
        <v>55.816059569329845</v>
      </c>
      <c r="W74" s="2248">
        <f t="shared" si="24"/>
        <v>54.482824610085167</v>
      </c>
    </row>
    <row r="76" spans="2:24" ht="13.5" customHeight="1">
      <c r="B76" s="2222" t="s">
        <v>153</v>
      </c>
      <c r="D76" s="2222" t="b">
        <f>IF(D38&lt;0, (D38/D22)*100)</f>
        <v>0</v>
      </c>
      <c r="E76" s="2222" t="b">
        <f>IF(E38&lt;0, (E38/E22)*100)</f>
        <v>0</v>
      </c>
      <c r="F76" s="2222" t="b">
        <f>IF(F38&lt;0, (F38/F22)*100)</f>
        <v>0</v>
      </c>
      <c r="G76" s="2222" t="b">
        <f t="shared" ref="G76:X76" si="25">IF(G38&lt;0, (G38/G22)*100)</f>
        <v>0</v>
      </c>
      <c r="H76" s="2222" t="b">
        <f t="shared" si="25"/>
        <v>0</v>
      </c>
      <c r="I76" s="2222" t="b">
        <f t="shared" si="25"/>
        <v>0</v>
      </c>
      <c r="J76" s="2222" t="b">
        <f t="shared" si="25"/>
        <v>0</v>
      </c>
      <c r="K76" s="2222" t="b">
        <f t="shared" si="25"/>
        <v>0</v>
      </c>
      <c r="L76" s="2222" t="b">
        <f t="shared" si="25"/>
        <v>0</v>
      </c>
      <c r="M76" s="2222" t="b">
        <f t="shared" si="25"/>
        <v>0</v>
      </c>
      <c r="N76" s="2222" t="b">
        <f t="shared" si="25"/>
        <v>0</v>
      </c>
      <c r="O76" s="2222" t="b">
        <f t="shared" si="25"/>
        <v>0</v>
      </c>
      <c r="P76" s="2222" t="b">
        <f t="shared" si="25"/>
        <v>0</v>
      </c>
      <c r="Q76" s="2222" t="b">
        <f t="shared" si="25"/>
        <v>0</v>
      </c>
      <c r="R76" s="2222" t="b">
        <f t="shared" si="25"/>
        <v>0</v>
      </c>
      <c r="S76" s="2222" t="b">
        <f t="shared" si="25"/>
        <v>0</v>
      </c>
      <c r="T76" s="2222" t="b">
        <f>IF(T38&lt;0, (T38/T22)*100)</f>
        <v>0</v>
      </c>
      <c r="U76" s="2222" t="b">
        <f>IF(U38&lt;0, (U38/U22)*100)</f>
        <v>0</v>
      </c>
      <c r="V76" s="2222" t="b">
        <f t="shared" si="25"/>
        <v>0</v>
      </c>
      <c r="W76" s="2222" t="b">
        <f t="shared" si="25"/>
        <v>0</v>
      </c>
      <c r="X76" s="2222" t="b">
        <f t="shared" si="25"/>
        <v>0</v>
      </c>
    </row>
    <row r="78" spans="2:24">
      <c r="F78" s="2236">
        <f t="shared" ref="F78:U78" si="26">F6+F46-F24</f>
        <v>500000</v>
      </c>
      <c r="G78" s="2236">
        <f t="shared" si="26"/>
        <v>9500000</v>
      </c>
      <c r="H78" s="2236">
        <f t="shared" si="26"/>
        <v>-1000000</v>
      </c>
      <c r="I78" s="2236">
        <f t="shared" si="26"/>
        <v>-1000000</v>
      </c>
      <c r="J78" s="2236">
        <f t="shared" si="26"/>
        <v>-1000000</v>
      </c>
      <c r="K78" s="2236">
        <f t="shared" si="26"/>
        <v>0</v>
      </c>
      <c r="L78" s="2236">
        <f t="shared" si="26"/>
        <v>0</v>
      </c>
      <c r="M78" s="2236">
        <f t="shared" si="26"/>
        <v>0</v>
      </c>
      <c r="N78" s="2236">
        <f t="shared" si="26"/>
        <v>1500000</v>
      </c>
      <c r="O78" s="2236">
        <f t="shared" si="26"/>
        <v>1500000</v>
      </c>
      <c r="P78" s="2236">
        <f t="shared" si="26"/>
        <v>100000</v>
      </c>
      <c r="Q78" s="2236">
        <f t="shared" si="26"/>
        <v>100000</v>
      </c>
      <c r="R78" s="2236">
        <f t="shared" si="26"/>
        <v>0</v>
      </c>
      <c r="S78" s="2236">
        <f t="shared" si="26"/>
        <v>0</v>
      </c>
      <c r="T78" s="2236">
        <f t="shared" si="26"/>
        <v>0</v>
      </c>
      <c r="U78" s="2236">
        <f t="shared" si="26"/>
        <v>0</v>
      </c>
    </row>
    <row r="83" spans="15:21">
      <c r="O83" s="2238"/>
      <c r="P83" s="2238"/>
      <c r="Q83" s="2238"/>
      <c r="R83" s="2238"/>
      <c r="S83" s="2238"/>
      <c r="T83" s="2238"/>
      <c r="U83" s="2238"/>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J6" activePane="bottomRight" state="frozen"/>
      <selection pane="topRight" activeCell="R7" sqref="R7"/>
      <selection pane="bottomLeft" activeCell="R7" sqref="R7"/>
      <selection pane="bottomRight" activeCell="R26" sqref="R26"/>
    </sheetView>
  </sheetViews>
  <sheetFormatPr defaultRowHeight="15"/>
  <cols>
    <col min="1" max="1" width="37.85546875" style="1570" customWidth="1"/>
    <col min="2" max="2" width="51.7109375" style="1570" customWidth="1"/>
    <col min="3" max="3" width="25.42578125" style="1570" customWidth="1"/>
    <col min="4" max="4" width="16.42578125" style="1570" bestFit="1" customWidth="1"/>
    <col min="5" max="7" width="15.7109375" style="1570" bestFit="1" customWidth="1"/>
    <col min="8" max="8" width="15.85546875" style="1570" bestFit="1" customWidth="1"/>
    <col min="9" max="9" width="16.140625" style="1570" bestFit="1" customWidth="1"/>
    <col min="10" max="12" width="16.5703125" style="1570" bestFit="1" customWidth="1"/>
    <col min="13" max="15" width="16.140625" style="1570" bestFit="1" customWidth="1"/>
    <col min="16" max="16" width="17.7109375" style="1570" bestFit="1" customWidth="1"/>
    <col min="17" max="17" width="17.28515625" style="1570" bestFit="1" customWidth="1"/>
    <col min="18" max="20" width="17.7109375" style="1570" bestFit="1" customWidth="1"/>
    <col min="21" max="23" width="18.85546875" style="1570" bestFit="1" customWidth="1"/>
    <col min="24" max="24" width="15.140625" style="1570" customWidth="1"/>
    <col min="25" max="26" width="8.85546875" style="1570"/>
    <col min="27" max="27" width="13" style="1570" bestFit="1" customWidth="1"/>
  </cols>
  <sheetData>
    <row r="1" spans="1:49">
      <c r="A1" s="2049" t="s">
        <v>6525</v>
      </c>
      <c r="B1" s="1566" t="s">
        <v>6526</v>
      </c>
      <c r="C1" s="1566"/>
      <c r="D1" s="1567"/>
      <c r="E1" s="1567"/>
      <c r="F1" s="1567"/>
      <c r="G1" s="1567"/>
      <c r="H1" s="1567"/>
      <c r="I1" s="1567"/>
      <c r="J1" s="1567"/>
      <c r="K1" s="1567"/>
      <c r="L1" s="1567"/>
      <c r="M1" s="1567"/>
      <c r="N1" s="1567"/>
      <c r="O1" s="1568"/>
      <c r="P1" s="1568"/>
      <c r="Q1" s="1568"/>
      <c r="R1" s="1569"/>
      <c r="S1" s="1568"/>
      <c r="T1" s="1568"/>
      <c r="U1" s="1568"/>
      <c r="V1" s="1568"/>
      <c r="W1" s="1568"/>
      <c r="X1" s="1568"/>
      <c r="Y1" s="1697"/>
      <c r="Z1" s="1697"/>
      <c r="AA1" s="1697"/>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571" t="s">
        <v>6527</v>
      </c>
      <c r="C2" s="1571"/>
      <c r="D2" s="1568"/>
      <c r="E2" s="1568"/>
      <c r="F2" s="1568"/>
      <c r="G2" s="1568"/>
      <c r="H2" s="1568"/>
      <c r="I2" s="1568"/>
      <c r="J2" s="1568"/>
      <c r="K2" s="1568"/>
      <c r="L2" s="1568"/>
      <c r="M2" s="1568"/>
      <c r="N2" s="1568"/>
      <c r="O2" s="1568"/>
      <c r="P2" s="1568"/>
      <c r="Q2" s="1568"/>
      <c r="R2" s="1572"/>
      <c r="S2" s="1573"/>
      <c r="T2" s="1574"/>
      <c r="U2" s="1568"/>
      <c r="V2" s="1568"/>
      <c r="W2" s="1568"/>
      <c r="X2" s="1568"/>
      <c r="Y2" s="1697"/>
      <c r="Z2" s="1697"/>
      <c r="AA2" s="1697"/>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697"/>
      <c r="Z3" s="1697"/>
      <c r="AA3" s="1697"/>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697"/>
      <c r="Z4" s="1697"/>
      <c r="AA4" s="1697"/>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570" t="s">
        <v>157</v>
      </c>
      <c r="B5" s="1575" t="s">
        <v>29</v>
      </c>
      <c r="C5" s="1575"/>
      <c r="D5" s="1568" t="s">
        <v>30</v>
      </c>
      <c r="E5" s="1568" t="s">
        <v>30</v>
      </c>
      <c r="F5" s="1568" t="s">
        <v>30</v>
      </c>
      <c r="G5" s="1568" t="s">
        <v>30</v>
      </c>
      <c r="H5" s="1568" t="s">
        <v>30</v>
      </c>
      <c r="I5" s="1567" t="s">
        <v>31</v>
      </c>
      <c r="J5" s="1567" t="s">
        <v>30</v>
      </c>
      <c r="K5" s="1567" t="s">
        <v>30</v>
      </c>
      <c r="L5" s="1567" t="s">
        <v>30</v>
      </c>
      <c r="M5" s="1567" t="s">
        <v>30</v>
      </c>
      <c r="N5" s="1567" t="s">
        <v>30</v>
      </c>
      <c r="O5" s="1567" t="s">
        <v>30</v>
      </c>
      <c r="P5" s="1567" t="s">
        <v>30</v>
      </c>
      <c r="Q5" s="1567" t="s">
        <v>30</v>
      </c>
      <c r="R5" s="1567" t="s">
        <v>30</v>
      </c>
      <c r="S5" s="1567" t="s">
        <v>30</v>
      </c>
      <c r="T5" s="1567" t="s">
        <v>30</v>
      </c>
      <c r="U5" s="1567" t="s">
        <v>30</v>
      </c>
      <c r="V5" s="1568" t="s">
        <v>32</v>
      </c>
      <c r="W5" s="1568" t="s">
        <v>32</v>
      </c>
      <c r="X5" s="1568" t="s">
        <v>32</v>
      </c>
      <c r="Y5" s="1697"/>
      <c r="Z5" s="1697"/>
      <c r="AA5" s="1697"/>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2260" t="s">
        <v>33</v>
      </c>
      <c r="B6" s="2265" t="s">
        <v>33</v>
      </c>
      <c r="C6" s="2004" t="s">
        <v>35</v>
      </c>
      <c r="D6" s="2261">
        <f>D8+D23</f>
        <v>6479000000</v>
      </c>
      <c r="E6" s="2261">
        <f t="shared" ref="E6:L6" si="0">E8+E23</f>
        <v>6983000000</v>
      </c>
      <c r="F6" s="2261">
        <f t="shared" si="0"/>
        <v>7408000000</v>
      </c>
      <c r="G6" s="2261">
        <f t="shared" si="0"/>
        <v>7709000000</v>
      </c>
      <c r="H6" s="2261">
        <f t="shared" si="0"/>
        <v>8452000000</v>
      </c>
      <c r="I6" s="2261">
        <f t="shared" si="0"/>
        <v>8976000000</v>
      </c>
      <c r="J6" s="2261">
        <f t="shared" si="0"/>
        <v>9756000000</v>
      </c>
      <c r="K6" s="2261">
        <f t="shared" si="0"/>
        <v>10902000000</v>
      </c>
      <c r="L6" s="2261">
        <f t="shared" si="0"/>
        <v>13357000000</v>
      </c>
      <c r="M6" s="2262">
        <f>M7</f>
        <v>13762000000</v>
      </c>
      <c r="N6" s="2262">
        <f t="shared" ref="N6:R6" si="1">N7</f>
        <v>14823000000</v>
      </c>
      <c r="O6" s="2262">
        <f t="shared" si="1"/>
        <v>16055000000</v>
      </c>
      <c r="P6" s="2261">
        <f t="shared" si="1"/>
        <v>16939000000</v>
      </c>
      <c r="Q6" s="2261">
        <f t="shared" si="1"/>
        <v>18150000000</v>
      </c>
      <c r="R6" s="2261">
        <f t="shared" si="1"/>
        <v>20190000000</v>
      </c>
      <c r="S6" s="2261">
        <v>19945000000</v>
      </c>
      <c r="T6" s="2261">
        <v>20568000000</v>
      </c>
      <c r="U6" s="2009">
        <v>23671000000</v>
      </c>
      <c r="V6" s="2009">
        <f>V8+V23</f>
        <v>26427000000</v>
      </c>
      <c r="W6" s="2009">
        <f>W8+W23</f>
        <v>29947000000</v>
      </c>
      <c r="X6" s="2263"/>
      <c r="Y6" s="1726"/>
      <c r="Z6" s="1726"/>
      <c r="AA6" s="1726"/>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c r="A7" s="1577" t="s">
        <v>76</v>
      </c>
      <c r="B7" s="1577" t="s">
        <v>6528</v>
      </c>
      <c r="D7" s="2059">
        <v>6773000000</v>
      </c>
      <c r="E7" s="1579">
        <v>6994000000</v>
      </c>
      <c r="F7" s="1579">
        <v>7748000000</v>
      </c>
      <c r="G7" s="1579">
        <v>7716000000</v>
      </c>
      <c r="H7" s="1579">
        <v>8577000000</v>
      </c>
      <c r="I7" s="1579">
        <v>9146000000</v>
      </c>
      <c r="J7" s="1579">
        <v>12756000000</v>
      </c>
      <c r="K7" s="1579">
        <v>11293000000</v>
      </c>
      <c r="L7" s="1579">
        <v>13504000000</v>
      </c>
      <c r="M7" s="1579">
        <v>13762000000</v>
      </c>
      <c r="N7" s="1579">
        <v>14823000000</v>
      </c>
      <c r="O7" s="1579">
        <v>16055000000</v>
      </c>
      <c r="P7" s="1579">
        <v>16939000000</v>
      </c>
      <c r="Q7" s="1579">
        <v>18150000000</v>
      </c>
      <c r="R7" s="1579">
        <v>20190000000</v>
      </c>
      <c r="S7" s="1579">
        <f>S6</f>
        <v>19945000000</v>
      </c>
      <c r="T7" s="1579">
        <f t="shared" ref="T7:U7" si="2">T6</f>
        <v>20568000000</v>
      </c>
      <c r="U7" s="1579">
        <f t="shared" si="2"/>
        <v>23671000000</v>
      </c>
      <c r="V7" s="1579"/>
      <c r="W7" s="1585"/>
      <c r="Y7" s="1697"/>
      <c r="Z7" s="1697"/>
      <c r="AA7" s="1697"/>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577" t="s">
        <v>36</v>
      </c>
      <c r="B8" s="1577" t="s">
        <v>36</v>
      </c>
      <c r="C8" s="1578" t="s">
        <v>38</v>
      </c>
      <c r="D8" s="2059">
        <v>6396000000</v>
      </c>
      <c r="E8" s="1579">
        <v>6904000000</v>
      </c>
      <c r="F8" s="1579">
        <v>7290000000</v>
      </c>
      <c r="G8" s="1579">
        <v>7632000000</v>
      </c>
      <c r="H8" s="1579">
        <v>8379000000</v>
      </c>
      <c r="I8" s="1579">
        <v>8906000000</v>
      </c>
      <c r="J8" s="1579">
        <v>9708000000</v>
      </c>
      <c r="K8" s="1579">
        <v>10866000000</v>
      </c>
      <c r="L8" s="1579">
        <v>13165000000</v>
      </c>
      <c r="M8" s="1579">
        <v>13584000000</v>
      </c>
      <c r="N8" s="1579">
        <v>14769000000</v>
      </c>
      <c r="O8" s="1579">
        <v>15847000000</v>
      </c>
      <c r="P8" s="1579">
        <v>16310000000</v>
      </c>
      <c r="Q8" s="1579">
        <v>18039000000</v>
      </c>
      <c r="R8" s="1579">
        <v>19824000000</v>
      </c>
      <c r="S8" s="1579">
        <v>19653000000</v>
      </c>
      <c r="T8" s="1579">
        <v>20438000000</v>
      </c>
      <c r="U8" s="1592">
        <v>23409000000</v>
      </c>
      <c r="V8" s="1592">
        <f>V9+V21</f>
        <v>26062000000</v>
      </c>
      <c r="W8" s="1592">
        <f>W9+W21+W22</f>
        <v>29698000000</v>
      </c>
      <c r="X8" s="1568"/>
      <c r="Y8" s="1697"/>
      <c r="Z8" s="1697"/>
      <c r="AA8" s="1697"/>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580" t="s">
        <v>39</v>
      </c>
      <c r="B9" s="1580" t="s">
        <v>3846</v>
      </c>
      <c r="C9" s="1577" t="s">
        <v>41</v>
      </c>
      <c r="D9" s="2070">
        <v>5678000000</v>
      </c>
      <c r="E9" s="1579">
        <v>6222000000</v>
      </c>
      <c r="F9" s="1579">
        <v>6429000000</v>
      </c>
      <c r="G9" s="1579">
        <v>6654000000</v>
      </c>
      <c r="H9" s="1579">
        <v>7253000000</v>
      </c>
      <c r="I9" s="1579">
        <v>7904000000</v>
      </c>
      <c r="J9" s="1579">
        <v>8470000000</v>
      </c>
      <c r="K9" s="1579">
        <v>9508000000</v>
      </c>
      <c r="L9" s="1579">
        <v>11331000000</v>
      </c>
      <c r="M9" s="1579">
        <v>11685000000</v>
      </c>
      <c r="N9" s="1579">
        <v>12699000000</v>
      </c>
      <c r="O9" s="1579">
        <v>13668000000</v>
      </c>
      <c r="P9" s="1579">
        <v>14864000000</v>
      </c>
      <c r="Q9" s="1579">
        <v>16333000000</v>
      </c>
      <c r="R9" s="1579">
        <v>18580000000</v>
      </c>
      <c r="S9" s="1579">
        <v>18487000000</v>
      </c>
      <c r="T9" s="1579">
        <v>18702000000</v>
      </c>
      <c r="U9" s="1592">
        <v>21598000000</v>
      </c>
      <c r="V9" s="1592">
        <f>V10+V11+V12+V15+V18</f>
        <v>23460000000</v>
      </c>
      <c r="W9" s="1592">
        <f>W10+W11+W12+W15+W18</f>
        <v>27012000000</v>
      </c>
      <c r="X9" s="1568"/>
      <c r="Y9" s="1697"/>
      <c r="Z9" s="1697"/>
      <c r="AA9" s="1697"/>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582" t="s">
        <v>989</v>
      </c>
      <c r="B10" s="1582" t="s">
        <v>5421</v>
      </c>
      <c r="C10" s="1567" t="s">
        <v>44</v>
      </c>
      <c r="D10" s="2070">
        <v>1597000000</v>
      </c>
      <c r="E10" s="1579">
        <v>1828000000</v>
      </c>
      <c r="F10" s="1579">
        <v>2025000000</v>
      </c>
      <c r="G10" s="1579">
        <v>2177000000</v>
      </c>
      <c r="H10" s="1579">
        <v>2385000000</v>
      </c>
      <c r="I10" s="1579">
        <v>2886000000</v>
      </c>
      <c r="J10" s="1579">
        <v>3107000000</v>
      </c>
      <c r="K10" s="1579">
        <v>3698000000</v>
      </c>
      <c r="L10" s="1579">
        <v>4561000000</v>
      </c>
      <c r="M10" s="1579"/>
      <c r="N10" s="1579"/>
      <c r="O10" s="1579"/>
      <c r="P10" s="1579"/>
      <c r="Q10" s="1579"/>
      <c r="R10" s="1579"/>
      <c r="S10" s="1579">
        <v>7816000000</v>
      </c>
      <c r="T10" s="2070">
        <v>7577000000</v>
      </c>
      <c r="U10" s="1592">
        <v>9184000000</v>
      </c>
      <c r="V10" s="125">
        <v>8277000000</v>
      </c>
      <c r="W10" s="125">
        <v>10415000000</v>
      </c>
      <c r="X10" s="1568"/>
      <c r="Y10" s="1568"/>
      <c r="Z10" s="1697"/>
      <c r="AA10" s="1697"/>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582" t="s">
        <v>1050</v>
      </c>
      <c r="B11" s="1582" t="s">
        <v>6529</v>
      </c>
      <c r="C11" s="1567" t="s">
        <v>44</v>
      </c>
      <c r="D11" s="2070">
        <v>1770000000</v>
      </c>
      <c r="E11" s="1579">
        <v>655000000</v>
      </c>
      <c r="F11" s="1579">
        <v>595000000</v>
      </c>
      <c r="G11" s="1579">
        <v>554000000</v>
      </c>
      <c r="H11" s="1579">
        <v>557000000</v>
      </c>
      <c r="I11" s="1579">
        <v>506000000</v>
      </c>
      <c r="J11" s="1579">
        <v>490000000</v>
      </c>
      <c r="K11" s="1579">
        <v>514000000</v>
      </c>
      <c r="L11" s="1579">
        <v>585000000</v>
      </c>
      <c r="M11" s="1579"/>
      <c r="N11" s="1579"/>
      <c r="O11" s="1579"/>
      <c r="P11" s="1579"/>
      <c r="Q11" s="1579"/>
      <c r="R11" s="1579"/>
      <c r="S11" s="1579">
        <v>825000000</v>
      </c>
      <c r="T11" s="2070">
        <v>640000000</v>
      </c>
      <c r="U11" s="1592">
        <v>700000000</v>
      </c>
      <c r="V11" s="125">
        <v>1286000000</v>
      </c>
      <c r="W11" s="125">
        <v>1395000000</v>
      </c>
      <c r="X11" s="1568"/>
      <c r="Y11" s="1568"/>
      <c r="Z11" s="1697"/>
      <c r="AA11" s="1697"/>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582" t="s">
        <v>161</v>
      </c>
      <c r="B12" s="1582" t="s">
        <v>162</v>
      </c>
      <c r="C12" s="1567" t="s">
        <v>44</v>
      </c>
      <c r="D12" s="2059">
        <v>642000000</v>
      </c>
      <c r="E12" s="1579">
        <v>1930000000</v>
      </c>
      <c r="F12" s="1579">
        <v>1895000000</v>
      </c>
      <c r="G12" s="1579">
        <v>2006000000</v>
      </c>
      <c r="H12" s="1579">
        <v>2257000000</v>
      </c>
      <c r="I12" s="1579">
        <v>2301000000</v>
      </c>
      <c r="J12" s="1579">
        <v>2466000000</v>
      </c>
      <c r="K12" s="1579">
        <v>2661000000</v>
      </c>
      <c r="L12" s="1579">
        <v>3309000000</v>
      </c>
      <c r="M12" s="1579"/>
      <c r="N12" s="1579"/>
      <c r="O12" s="1579"/>
      <c r="P12" s="1579"/>
      <c r="Q12" s="1579"/>
      <c r="R12" s="1579"/>
      <c r="S12" s="1579">
        <v>5057000000</v>
      </c>
      <c r="T12" s="2070">
        <v>5138000000</v>
      </c>
      <c r="U12" s="1592">
        <v>5871000000</v>
      </c>
      <c r="V12" s="125">
        <v>7081000000</v>
      </c>
      <c r="W12" s="125">
        <v>7546000000</v>
      </c>
      <c r="X12" s="1568"/>
      <c r="Y12" s="1568"/>
      <c r="Z12" s="1697"/>
      <c r="AA12" s="1697"/>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582" t="s">
        <v>209</v>
      </c>
      <c r="B13" s="1582" t="s">
        <v>209</v>
      </c>
      <c r="C13" s="1567" t="s">
        <v>6530</v>
      </c>
      <c r="D13" s="2059"/>
      <c r="E13" s="2059"/>
      <c r="F13" s="2059"/>
      <c r="G13" s="2059"/>
      <c r="H13" s="1579">
        <v>1139000000</v>
      </c>
      <c r="I13" s="1579">
        <v>1189000000</v>
      </c>
      <c r="J13" s="1579">
        <v>1252000000</v>
      </c>
      <c r="K13" s="1579">
        <v>1346000000</v>
      </c>
      <c r="L13" s="1579">
        <v>1627000000</v>
      </c>
      <c r="M13" s="1579"/>
      <c r="N13" s="1579"/>
      <c r="O13" s="1579"/>
      <c r="P13" s="1579"/>
      <c r="Q13" s="1579"/>
      <c r="R13" s="1579"/>
      <c r="S13" s="1579"/>
      <c r="T13" s="2070"/>
      <c r="U13" s="1592"/>
      <c r="V13" s="1592"/>
      <c r="W13" s="1568"/>
      <c r="X13" s="1568"/>
      <c r="Y13" s="1697"/>
      <c r="Z13" s="1697"/>
      <c r="AA13" s="1697"/>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582" t="s">
        <v>640</v>
      </c>
      <c r="B14" s="1582" t="s">
        <v>640</v>
      </c>
      <c r="C14" s="1567" t="s">
        <v>6530</v>
      </c>
      <c r="D14" s="2059"/>
      <c r="E14" s="2059"/>
      <c r="F14" s="2059"/>
      <c r="G14" s="2059"/>
      <c r="H14" s="1579">
        <v>1119000000</v>
      </c>
      <c r="I14" s="1579">
        <v>1112000000</v>
      </c>
      <c r="J14" s="1579">
        <v>1214000000</v>
      </c>
      <c r="K14" s="1579">
        <v>1314000000</v>
      </c>
      <c r="L14" s="1579">
        <v>1682000000</v>
      </c>
      <c r="M14" s="1579"/>
      <c r="N14" s="1579"/>
      <c r="O14" s="1579"/>
      <c r="P14" s="1579"/>
      <c r="Q14" s="1579"/>
      <c r="R14" s="1579"/>
      <c r="S14" s="1579"/>
      <c r="T14" s="2070"/>
      <c r="U14" s="1592"/>
      <c r="V14" s="1592"/>
      <c r="W14" s="1568"/>
      <c r="X14" s="1568"/>
      <c r="Y14" s="1697"/>
      <c r="Z14" s="1697"/>
      <c r="AA14" s="2253"/>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582" t="s">
        <v>3170</v>
      </c>
      <c r="B15" s="1582" t="s">
        <v>3170</v>
      </c>
      <c r="C15" s="1567" t="s">
        <v>44</v>
      </c>
      <c r="D15" s="2059"/>
      <c r="E15" s="2059"/>
      <c r="F15" s="2059"/>
      <c r="G15" s="2059"/>
      <c r="H15" s="1579">
        <v>1150000000</v>
      </c>
      <c r="I15" s="1579">
        <v>1212000000</v>
      </c>
      <c r="J15" s="1579">
        <v>1255000000</v>
      </c>
      <c r="K15" s="1579">
        <v>1362000000</v>
      </c>
      <c r="L15" s="1579">
        <v>1465000000</v>
      </c>
      <c r="M15" s="1579"/>
      <c r="N15" s="1579"/>
      <c r="O15" s="1579"/>
      <c r="P15" s="1579"/>
      <c r="Q15" s="1579"/>
      <c r="R15" s="1579"/>
      <c r="S15" s="1579">
        <v>1773000000</v>
      </c>
      <c r="T15" s="2070">
        <v>2174000000</v>
      </c>
      <c r="U15" s="1592">
        <v>2418000000</v>
      </c>
      <c r="V15" s="125">
        <v>3051000000</v>
      </c>
      <c r="W15" s="125">
        <v>3404000000</v>
      </c>
      <c r="X15" s="1568"/>
      <c r="Y15" s="1568"/>
      <c r="Z15" s="1697"/>
      <c r="AA15" s="1697"/>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582" t="s">
        <v>209</v>
      </c>
      <c r="B16" s="1582" t="s">
        <v>209</v>
      </c>
      <c r="C16" s="1567" t="s">
        <v>6531</v>
      </c>
      <c r="D16" s="2059"/>
      <c r="E16" s="2059"/>
      <c r="F16" s="2059"/>
      <c r="G16" s="2059"/>
      <c r="H16" s="1579">
        <v>700000000</v>
      </c>
      <c r="I16" s="1579">
        <v>741000000</v>
      </c>
      <c r="J16" s="1579">
        <v>759000000</v>
      </c>
      <c r="K16" s="1579">
        <v>824000000</v>
      </c>
      <c r="L16" s="1579">
        <v>884000000</v>
      </c>
      <c r="M16" s="1579"/>
      <c r="N16" s="1579"/>
      <c r="O16" s="1579"/>
      <c r="P16" s="1579"/>
      <c r="Q16" s="1579"/>
      <c r="R16" s="1579"/>
      <c r="S16" s="1579"/>
      <c r="T16" s="2070"/>
      <c r="U16" s="1592"/>
      <c r="V16" s="1592"/>
      <c r="W16" s="1568"/>
      <c r="X16" s="1568"/>
      <c r="Y16" s="1697"/>
      <c r="Z16" s="1697"/>
      <c r="AA16" s="1697"/>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582" t="s">
        <v>640</v>
      </c>
      <c r="B17" s="1582" t="s">
        <v>640</v>
      </c>
      <c r="C17" s="1567" t="s">
        <v>6531</v>
      </c>
      <c r="D17" s="2059"/>
      <c r="E17" s="2059"/>
      <c r="F17" s="2059"/>
      <c r="G17" s="2059"/>
      <c r="H17" s="1579">
        <v>451000000</v>
      </c>
      <c r="I17" s="1579">
        <v>471000000</v>
      </c>
      <c r="J17" s="1579">
        <v>496000000</v>
      </c>
      <c r="K17" s="1579">
        <v>538000000</v>
      </c>
      <c r="L17" s="1579">
        <v>581000000</v>
      </c>
      <c r="M17" s="1579"/>
      <c r="N17" s="1579"/>
      <c r="O17" s="1579"/>
      <c r="P17" s="1579"/>
      <c r="Q17" s="1579"/>
      <c r="R17" s="1579"/>
      <c r="S17" s="1579"/>
      <c r="T17" s="2070"/>
      <c r="U17" s="1592"/>
      <c r="V17" s="1592"/>
      <c r="W17" s="1568"/>
      <c r="X17" s="1568"/>
      <c r="Y17" s="1697"/>
      <c r="Z17" s="1697"/>
      <c r="AA17" s="1697"/>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1582" t="s">
        <v>49</v>
      </c>
      <c r="B18" s="1582" t="s">
        <v>5664</v>
      </c>
      <c r="C18" s="1567" t="s">
        <v>44</v>
      </c>
      <c r="D18" s="2266">
        <f>D9-D10-D11-D12</f>
        <v>1669000000</v>
      </c>
      <c r="E18" s="2266">
        <f>E9-E10-E11-E12</f>
        <v>1809000000</v>
      </c>
      <c r="F18" s="2266">
        <f>F9-F10-F11-F12</f>
        <v>1914000000</v>
      </c>
      <c r="G18" s="2266">
        <f>G9-G10-G11-G12</f>
        <v>1917000000</v>
      </c>
      <c r="H18" s="1579">
        <v>904000000</v>
      </c>
      <c r="I18" s="1579">
        <v>999000000</v>
      </c>
      <c r="J18" s="1579">
        <v>1153000000</v>
      </c>
      <c r="K18" s="1579">
        <v>1274000000</v>
      </c>
      <c r="L18" s="1579">
        <v>1412000000</v>
      </c>
      <c r="M18" s="1579"/>
      <c r="N18" s="1579"/>
      <c r="O18" s="1579"/>
      <c r="P18" s="1579"/>
      <c r="Q18" s="1579"/>
      <c r="R18" s="1579"/>
      <c r="S18" s="1579">
        <v>3016000000</v>
      </c>
      <c r="T18" s="2070">
        <v>3174000000</v>
      </c>
      <c r="U18" s="1592">
        <v>3425000000</v>
      </c>
      <c r="V18" s="125">
        <v>3765000000</v>
      </c>
      <c r="W18" s="125">
        <v>4252000000</v>
      </c>
      <c r="X18" s="1568"/>
      <c r="Y18" s="1568"/>
      <c r="Z18" s="1697"/>
      <c r="AA18" s="1697"/>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1582" t="s">
        <v>209</v>
      </c>
      <c r="B19" s="1582" t="s">
        <v>209</v>
      </c>
      <c r="C19" s="1567" t="s">
        <v>6532</v>
      </c>
      <c r="D19" s="2059"/>
      <c r="E19" s="2059"/>
      <c r="F19" s="2059"/>
      <c r="G19" s="2059"/>
      <c r="H19" s="1579">
        <v>842000000</v>
      </c>
      <c r="I19" s="1579">
        <v>928000000</v>
      </c>
      <c r="J19" s="1579">
        <v>1066000000</v>
      </c>
      <c r="K19" s="1579">
        <v>1176000000</v>
      </c>
      <c r="L19" s="1579">
        <v>1288000000</v>
      </c>
      <c r="M19" s="1579"/>
      <c r="N19" s="1579"/>
      <c r="O19" s="1579"/>
      <c r="P19" s="1579"/>
      <c r="Q19" s="1579"/>
      <c r="R19" s="1579"/>
      <c r="S19" s="1579"/>
      <c r="T19" s="2070"/>
      <c r="U19" s="1592"/>
      <c r="V19" s="1592"/>
      <c r="W19" s="1568"/>
      <c r="X19" s="1568"/>
      <c r="Y19" s="1697"/>
      <c r="Z19" s="1697"/>
      <c r="AA19" s="1697"/>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1582" t="s">
        <v>640</v>
      </c>
      <c r="B20" s="1582" t="s">
        <v>640</v>
      </c>
      <c r="C20" s="1567" t="s">
        <v>6532</v>
      </c>
      <c r="D20" s="2059"/>
      <c r="E20" s="2059"/>
      <c r="F20" s="2059"/>
      <c r="G20" s="2059"/>
      <c r="H20" s="1579">
        <v>62000000</v>
      </c>
      <c r="I20" s="1579">
        <v>72000000</v>
      </c>
      <c r="J20" s="1579">
        <v>87000000</v>
      </c>
      <c r="K20" s="1579">
        <v>98000000</v>
      </c>
      <c r="L20" s="1579">
        <v>124000000</v>
      </c>
      <c r="M20" s="1579"/>
      <c r="N20" s="1579"/>
      <c r="O20" s="1579"/>
      <c r="P20" s="1579"/>
      <c r="Q20" s="1579"/>
      <c r="R20" s="1579"/>
      <c r="S20" s="1579"/>
      <c r="T20" s="2070"/>
      <c r="U20" s="1592"/>
      <c r="V20" s="1592"/>
      <c r="W20" s="1568"/>
      <c r="X20" s="1568"/>
      <c r="Y20" s="1697"/>
      <c r="Z20" s="1697"/>
      <c r="AA20" s="1697"/>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580" t="s">
        <v>51</v>
      </c>
      <c r="B21" s="1580" t="s">
        <v>6533</v>
      </c>
      <c r="C21" s="1577" t="s">
        <v>41</v>
      </c>
      <c r="D21" s="2059">
        <v>718000000</v>
      </c>
      <c r="E21" s="1579">
        <v>683000000</v>
      </c>
      <c r="F21" s="1579">
        <v>854000000</v>
      </c>
      <c r="G21" s="1579">
        <v>960000000</v>
      </c>
      <c r="H21" s="1579">
        <v>1117000000</v>
      </c>
      <c r="I21" s="1579">
        <v>996000000</v>
      </c>
      <c r="J21" s="1579">
        <v>1232000000</v>
      </c>
      <c r="K21" s="1579">
        <v>1352000000</v>
      </c>
      <c r="L21" s="1579">
        <v>1826000000</v>
      </c>
      <c r="M21" s="1579">
        <v>1899000000</v>
      </c>
      <c r="N21" s="1579">
        <v>2070000000</v>
      </c>
      <c r="O21" s="1579">
        <v>2172000000</v>
      </c>
      <c r="P21" s="1579">
        <v>1446000000</v>
      </c>
      <c r="Q21" s="1579">
        <v>1657000000</v>
      </c>
      <c r="R21" s="1579">
        <v>1240000000</v>
      </c>
      <c r="S21" s="2267">
        <f>S8-S9-S22</f>
        <v>1166000000</v>
      </c>
      <c r="T21" s="2267">
        <f>T8-T9-T22</f>
        <v>1736000000</v>
      </c>
      <c r="U21" s="2267">
        <f>U8-U9-U22</f>
        <v>1811000000</v>
      </c>
      <c r="V21" s="125">
        <v>2602000000</v>
      </c>
      <c r="W21" s="125">
        <v>2682000000</v>
      </c>
      <c r="X21" s="1568"/>
      <c r="Y21" s="1568"/>
      <c r="Z21" s="1697"/>
      <c r="AA21" s="1697"/>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580" t="s">
        <v>6534</v>
      </c>
      <c r="B22" s="1580" t="s">
        <v>6535</v>
      </c>
      <c r="C22" s="1577" t="s">
        <v>41</v>
      </c>
      <c r="D22" s="2059"/>
      <c r="E22" s="1579">
        <v>0</v>
      </c>
      <c r="F22" s="1579">
        <v>7000000</v>
      </c>
      <c r="G22" s="1579">
        <v>19000000</v>
      </c>
      <c r="H22" s="1579">
        <v>9000000</v>
      </c>
      <c r="I22" s="1579">
        <v>6000000</v>
      </c>
      <c r="J22" s="1579">
        <v>6000000</v>
      </c>
      <c r="K22" s="1579">
        <v>5000000</v>
      </c>
      <c r="L22" s="1579">
        <v>8000000</v>
      </c>
      <c r="M22" s="1579">
        <v>0</v>
      </c>
      <c r="N22" s="1579">
        <v>0</v>
      </c>
      <c r="O22" s="1579">
        <v>8000000</v>
      </c>
      <c r="P22" s="1579">
        <v>0</v>
      </c>
      <c r="Q22" s="1579">
        <v>49000000</v>
      </c>
      <c r="R22" s="1579">
        <v>4000000</v>
      </c>
      <c r="S22" s="1579"/>
      <c r="T22" s="1579"/>
      <c r="U22" s="1592"/>
      <c r="V22" s="1592">
        <v>0</v>
      </c>
      <c r="W22" s="1568">
        <v>4000000</v>
      </c>
      <c r="X22" s="1568"/>
      <c r="Y22" s="1568"/>
      <c r="Z22" s="1697"/>
      <c r="AA22" s="1697"/>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577" t="s">
        <v>53</v>
      </c>
      <c r="B23" s="1577" t="s">
        <v>53</v>
      </c>
      <c r="C23" s="1578" t="s">
        <v>38</v>
      </c>
      <c r="D23" s="2059">
        <v>83000000</v>
      </c>
      <c r="E23" s="2059">
        <v>79000000</v>
      </c>
      <c r="F23" s="2059">
        <v>118000000</v>
      </c>
      <c r="G23" s="2059">
        <v>77000000</v>
      </c>
      <c r="H23" s="1579">
        <v>73000000</v>
      </c>
      <c r="I23" s="1579">
        <v>70000000</v>
      </c>
      <c r="J23" s="1579">
        <v>48000000</v>
      </c>
      <c r="K23" s="1579">
        <v>36000000</v>
      </c>
      <c r="L23" s="2059">
        <v>192000000</v>
      </c>
      <c r="M23" s="1579">
        <v>178000000</v>
      </c>
      <c r="N23" s="1579">
        <v>54000000</v>
      </c>
      <c r="O23" s="1579">
        <v>207000000</v>
      </c>
      <c r="P23" s="1579">
        <v>629000000</v>
      </c>
      <c r="Q23" s="1579">
        <v>110000000</v>
      </c>
      <c r="R23" s="1579">
        <v>366000000</v>
      </c>
      <c r="S23" s="1579">
        <v>292000000</v>
      </c>
      <c r="T23" s="1579">
        <v>130000000</v>
      </c>
      <c r="U23" s="1592">
        <v>262000000</v>
      </c>
      <c r="V23" s="13">
        <v>365000000</v>
      </c>
      <c r="W23" s="13">
        <v>249000000</v>
      </c>
      <c r="X23" s="1568"/>
      <c r="Y23" s="1568"/>
      <c r="Z23" s="1697"/>
      <c r="AA23" s="1697"/>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s="848" customFormat="1">
      <c r="A24" s="2004" t="s">
        <v>71</v>
      </c>
      <c r="B24" s="2004" t="s">
        <v>7224</v>
      </c>
      <c r="C24" s="2004" t="s">
        <v>35</v>
      </c>
      <c r="D24" s="2264">
        <f>D26+D40+D44</f>
        <v>7423000000</v>
      </c>
      <c r="E24" s="2264">
        <f t="shared" ref="E24:W24" si="3">E26+E40+E44</f>
        <v>7989000000</v>
      </c>
      <c r="F24" s="2264">
        <f t="shared" si="3"/>
        <v>8326000000</v>
      </c>
      <c r="G24" s="2264">
        <f t="shared" si="3"/>
        <v>8752000000</v>
      </c>
      <c r="H24" s="2264">
        <f t="shared" si="3"/>
        <v>9411000000</v>
      </c>
      <c r="I24" s="2264">
        <f t="shared" si="3"/>
        <v>10118000000</v>
      </c>
      <c r="J24" s="2264">
        <f t="shared" si="3"/>
        <v>10968000000</v>
      </c>
      <c r="K24" s="2264">
        <f t="shared" si="3"/>
        <v>12197000000</v>
      </c>
      <c r="L24" s="2264">
        <f t="shared" si="3"/>
        <v>13723000000</v>
      </c>
      <c r="M24" s="2264">
        <f t="shared" si="3"/>
        <v>15165000000</v>
      </c>
      <c r="N24" s="2264">
        <f t="shared" si="3"/>
        <v>15418000000</v>
      </c>
      <c r="O24" s="2264">
        <f t="shared" si="3"/>
        <v>18367000000</v>
      </c>
      <c r="P24" s="2264">
        <f t="shared" si="3"/>
        <v>20695000000</v>
      </c>
      <c r="Q24" s="2264">
        <f t="shared" si="3"/>
        <v>22747000000</v>
      </c>
      <c r="R24" s="2264">
        <f t="shared" si="3"/>
        <v>23326000000</v>
      </c>
      <c r="S24" s="2264">
        <f t="shared" si="3"/>
        <v>24395000000</v>
      </c>
      <c r="T24" s="2264">
        <f t="shared" si="3"/>
        <v>25929000000</v>
      </c>
      <c r="U24" s="2264">
        <f t="shared" si="3"/>
        <v>29418000000</v>
      </c>
      <c r="V24" s="2264">
        <f t="shared" si="3"/>
        <v>32059000000</v>
      </c>
      <c r="W24" s="2264">
        <f t="shared" si="3"/>
        <v>34304000000</v>
      </c>
      <c r="X24" s="2003"/>
      <c r="Y24" s="1726"/>
      <c r="Z24" s="1726"/>
      <c r="AA24" s="1726"/>
      <c r="AB24" s="916"/>
      <c r="AC24" s="916"/>
      <c r="AD24" s="916"/>
      <c r="AE24" s="916"/>
      <c r="AF24" s="916"/>
      <c r="AG24" s="916"/>
      <c r="AH24" s="916"/>
      <c r="AI24" s="916"/>
      <c r="AJ24" s="916"/>
      <c r="AK24" s="916"/>
      <c r="AL24" s="916"/>
      <c r="AM24" s="916"/>
      <c r="AN24" s="916"/>
      <c r="AO24" s="916"/>
      <c r="AP24" s="916"/>
      <c r="AQ24" s="916"/>
      <c r="AR24" s="916"/>
      <c r="AS24" s="916"/>
      <c r="AT24" s="916"/>
      <c r="AU24" s="916"/>
      <c r="AV24" s="916"/>
      <c r="AW24" s="916"/>
    </row>
    <row r="25" spans="1:49">
      <c r="A25" s="1577" t="s">
        <v>76</v>
      </c>
      <c r="B25" s="1577" t="s">
        <v>379</v>
      </c>
      <c r="C25" s="1575"/>
      <c r="D25" s="2059">
        <f>D26+D40+D44</f>
        <v>7423000000</v>
      </c>
      <c r="E25" s="2059">
        <f t="shared" ref="E25:W25" si="4">E26+E40+E44</f>
        <v>7989000000</v>
      </c>
      <c r="F25" s="2059">
        <f t="shared" si="4"/>
        <v>8326000000</v>
      </c>
      <c r="G25" s="2059">
        <f t="shared" si="4"/>
        <v>8752000000</v>
      </c>
      <c r="H25" s="2059">
        <f t="shared" si="4"/>
        <v>9411000000</v>
      </c>
      <c r="I25" s="2059">
        <f t="shared" si="4"/>
        <v>10118000000</v>
      </c>
      <c r="J25" s="2059">
        <f t="shared" si="4"/>
        <v>10968000000</v>
      </c>
      <c r="K25" s="2059">
        <f t="shared" si="4"/>
        <v>12197000000</v>
      </c>
      <c r="L25" s="2059">
        <f>L26+L40+L44</f>
        <v>13723000000</v>
      </c>
      <c r="M25" s="2059">
        <f>M26+M40+M44</f>
        <v>15165000000</v>
      </c>
      <c r="N25" s="2059">
        <f t="shared" si="4"/>
        <v>15418000000</v>
      </c>
      <c r="O25" s="2059">
        <f t="shared" si="4"/>
        <v>18367000000</v>
      </c>
      <c r="P25" s="2059">
        <f t="shared" si="4"/>
        <v>20695000000</v>
      </c>
      <c r="Q25" s="2059">
        <f t="shared" si="4"/>
        <v>22747000000</v>
      </c>
      <c r="R25" s="2059">
        <f>R26+R40+R44</f>
        <v>23326000000</v>
      </c>
      <c r="S25" s="2059">
        <f>S26+S40+S44</f>
        <v>24395000000</v>
      </c>
      <c r="T25" s="2059">
        <f t="shared" si="4"/>
        <v>25929000000</v>
      </c>
      <c r="U25" s="2059">
        <f t="shared" si="4"/>
        <v>29418000000</v>
      </c>
      <c r="V25" s="2059">
        <f t="shared" si="4"/>
        <v>32059000000</v>
      </c>
      <c r="W25" s="2059">
        <f t="shared" si="4"/>
        <v>34304000000</v>
      </c>
      <c r="X25" s="1568"/>
      <c r="Y25" s="1697"/>
      <c r="Z25" s="1697"/>
      <c r="AA25" s="1697"/>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577" t="s">
        <v>1807</v>
      </c>
      <c r="B26" s="1577" t="s">
        <v>5434</v>
      </c>
      <c r="C26" s="1577" t="s">
        <v>201</v>
      </c>
      <c r="D26" s="2059">
        <v>5308000000</v>
      </c>
      <c r="E26" s="1579">
        <v>5659000000</v>
      </c>
      <c r="F26" s="1579">
        <v>5997000000</v>
      </c>
      <c r="G26" s="1579">
        <v>6317000000</v>
      </c>
      <c r="H26" s="1579">
        <v>6983000000</v>
      </c>
      <c r="I26" s="1579">
        <v>7693000000</v>
      </c>
      <c r="J26" s="1579">
        <v>8317000000</v>
      </c>
      <c r="K26" s="1579">
        <v>9165000000</v>
      </c>
      <c r="L26" s="1579">
        <v>10495000000</v>
      </c>
      <c r="M26" s="1579">
        <v>10645000000</v>
      </c>
      <c r="N26" s="1579">
        <v>11274000000</v>
      </c>
      <c r="O26" s="1579">
        <f>O27+O28+O29+O36+O32</f>
        <v>13751000000</v>
      </c>
      <c r="P26" s="1579">
        <v>16003000000</v>
      </c>
      <c r="Q26" s="1579">
        <f>Q27+Q28+Q29+Q32+Q36</f>
        <v>19022000000</v>
      </c>
      <c r="R26" s="1579">
        <f>R27+R28+R29+R32+R36</f>
        <v>19411000000</v>
      </c>
      <c r="S26" s="1579">
        <f>S27+S28+S29+S32+S36</f>
        <v>19732000000</v>
      </c>
      <c r="T26" s="1579">
        <v>21040000000</v>
      </c>
      <c r="U26" s="1592">
        <v>23947000000</v>
      </c>
      <c r="V26" s="1592">
        <f>V27+V28+V29+V32+V36</f>
        <v>26403000000</v>
      </c>
      <c r="W26" s="1592">
        <f>W27+W28+W29+W32+W36</f>
        <v>27141000000</v>
      </c>
      <c r="X26" s="1568"/>
      <c r="Y26" s="1697"/>
      <c r="Z26" s="1697"/>
      <c r="AA26" s="1697"/>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580" t="s">
        <v>79</v>
      </c>
      <c r="B27" s="1580" t="s">
        <v>3864</v>
      </c>
      <c r="C27" s="1577" t="s">
        <v>204</v>
      </c>
      <c r="D27" s="2059">
        <v>3103000000</v>
      </c>
      <c r="E27" s="1579">
        <v>3392000000</v>
      </c>
      <c r="F27" s="1579">
        <v>3645000000</v>
      </c>
      <c r="G27" s="1579">
        <v>3937000000</v>
      </c>
      <c r="H27" s="1579">
        <v>4222000000</v>
      </c>
      <c r="I27" s="1579">
        <v>4560000000</v>
      </c>
      <c r="J27" s="1579">
        <v>4901000000</v>
      </c>
      <c r="K27" s="1579">
        <v>5297000000</v>
      </c>
      <c r="L27" s="1579">
        <v>5732000000</v>
      </c>
      <c r="M27" s="1579">
        <v>6269000000</v>
      </c>
      <c r="N27" s="1579">
        <v>6755000000</v>
      </c>
      <c r="O27" s="1579">
        <v>7648000000</v>
      </c>
      <c r="P27" s="1579">
        <v>8624000000</v>
      </c>
      <c r="Q27" s="1579">
        <v>9572000000</v>
      </c>
      <c r="R27" s="1579">
        <v>10502000000</v>
      </c>
      <c r="S27" s="1579">
        <v>11542000000</v>
      </c>
      <c r="T27" s="1579">
        <v>13117000000</v>
      </c>
      <c r="U27" s="1592">
        <v>13775000000</v>
      </c>
      <c r="V27" s="125">
        <v>14846000000</v>
      </c>
      <c r="W27" s="125">
        <v>16400000000</v>
      </c>
      <c r="X27" s="1568"/>
      <c r="Y27" s="1568"/>
      <c r="Z27" s="1697"/>
      <c r="AA27" s="1697"/>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1580" t="s">
        <v>83</v>
      </c>
      <c r="B28" s="1580" t="s">
        <v>5667</v>
      </c>
      <c r="C28" s="1577" t="s">
        <v>204</v>
      </c>
      <c r="D28" s="2059">
        <v>604000000</v>
      </c>
      <c r="E28" s="1579">
        <v>623000000</v>
      </c>
      <c r="F28" s="1579">
        <v>627000000</v>
      </c>
      <c r="G28" s="1579">
        <v>658000000</v>
      </c>
      <c r="H28" s="1579">
        <v>699000000</v>
      </c>
      <c r="I28" s="1579">
        <v>713000000</v>
      </c>
      <c r="J28" s="1579">
        <v>744000000</v>
      </c>
      <c r="K28" s="1579">
        <v>790000000</v>
      </c>
      <c r="L28" s="1579">
        <v>881000000</v>
      </c>
      <c r="M28" s="1579">
        <v>1010000000</v>
      </c>
      <c r="N28" s="1579">
        <v>1059000000</v>
      </c>
      <c r="O28" s="1579">
        <v>1050000000</v>
      </c>
      <c r="P28" s="1579">
        <v>1167000000</v>
      </c>
      <c r="Q28" s="1579">
        <v>1200000000</v>
      </c>
      <c r="R28" s="1579">
        <v>1489000000</v>
      </c>
      <c r="S28" s="1579">
        <v>1682000000</v>
      </c>
      <c r="T28" s="1579">
        <v>1737000000</v>
      </c>
      <c r="U28" s="1592">
        <v>1445000000</v>
      </c>
      <c r="V28" s="125">
        <v>1150000000</v>
      </c>
      <c r="W28" s="125">
        <v>1266000000</v>
      </c>
      <c r="X28" s="1568"/>
      <c r="Y28" s="1568"/>
      <c r="Z28" s="1697"/>
      <c r="AA28" s="1697"/>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580" t="s">
        <v>90</v>
      </c>
      <c r="B29" s="1580" t="s">
        <v>3868</v>
      </c>
      <c r="C29" s="1577" t="s">
        <v>204</v>
      </c>
      <c r="D29" s="2059">
        <v>887000000</v>
      </c>
      <c r="E29" s="1579">
        <v>885000000</v>
      </c>
      <c r="F29" s="1579">
        <v>915000000</v>
      </c>
      <c r="G29" s="1579">
        <v>904000000</v>
      </c>
      <c r="H29" s="1579">
        <v>989000000</v>
      </c>
      <c r="I29" s="1579">
        <v>1062000000</v>
      </c>
      <c r="J29" s="1579">
        <v>1130000000</v>
      </c>
      <c r="K29" s="1579">
        <v>1182000000</v>
      </c>
      <c r="L29" s="1579">
        <v>1143000000</v>
      </c>
      <c r="M29" s="1579">
        <v>1180000000</v>
      </c>
      <c r="N29" s="1579">
        <v>1152000000</v>
      </c>
      <c r="O29" s="1579">
        <f>O30+O31</f>
        <v>1179000000</v>
      </c>
      <c r="P29" s="1579">
        <v>1272000000</v>
      </c>
      <c r="Q29" s="1579">
        <v>1411000000</v>
      </c>
      <c r="R29" s="1579">
        <v>1513000000</v>
      </c>
      <c r="S29" s="1579">
        <v>1644000000</v>
      </c>
      <c r="T29" s="1579">
        <v>1986000000</v>
      </c>
      <c r="U29" s="1592">
        <v>2190000000</v>
      </c>
      <c r="V29" s="1592">
        <f>V30+V31</f>
        <v>2787000000</v>
      </c>
      <c r="W29" s="1592">
        <f>W30+W31</f>
        <v>3012000000</v>
      </c>
      <c r="X29" s="1568"/>
      <c r="Y29" s="1697"/>
      <c r="Z29" s="1697"/>
      <c r="AA29" s="1697"/>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582" t="s">
        <v>517</v>
      </c>
      <c r="B30" s="1582" t="s">
        <v>517</v>
      </c>
      <c r="C30" s="1567" t="s">
        <v>211</v>
      </c>
      <c r="D30" s="2059">
        <v>396000000</v>
      </c>
      <c r="E30" s="1579">
        <v>396000000</v>
      </c>
      <c r="F30" s="1579">
        <v>380000000</v>
      </c>
      <c r="G30" s="1579">
        <v>359000000</v>
      </c>
      <c r="H30" s="1579">
        <v>418000000</v>
      </c>
      <c r="I30" s="1579">
        <v>473000000</v>
      </c>
      <c r="J30" s="1579">
        <v>499000000</v>
      </c>
      <c r="K30" s="1579">
        <v>582000000</v>
      </c>
      <c r="L30" s="1579">
        <v>563000000</v>
      </c>
      <c r="M30" s="1579">
        <v>561000000</v>
      </c>
      <c r="N30" s="1579">
        <v>557000000</v>
      </c>
      <c r="O30" s="1579">
        <v>592000000</v>
      </c>
      <c r="P30" s="1579"/>
      <c r="Q30" s="1579"/>
      <c r="R30" s="1579"/>
      <c r="S30">
        <v>687000000</v>
      </c>
      <c r="T30">
        <v>821000000</v>
      </c>
      <c r="U30" s="21">
        <v>1255000000</v>
      </c>
      <c r="V30" s="125">
        <v>1537000000</v>
      </c>
      <c r="W30" s="125">
        <v>1159000000</v>
      </c>
      <c r="X30" s="1568"/>
      <c r="Y30" s="1568"/>
      <c r="Z30" s="1697"/>
      <c r="AA30" s="1697"/>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582" t="s">
        <v>280</v>
      </c>
      <c r="B31" s="1582" t="s">
        <v>280</v>
      </c>
      <c r="C31" s="1567" t="s">
        <v>211</v>
      </c>
      <c r="D31" s="2059">
        <v>491000000</v>
      </c>
      <c r="E31" s="1579">
        <v>489000000</v>
      </c>
      <c r="F31" s="1579">
        <v>535000000</v>
      </c>
      <c r="G31" s="1579">
        <v>546000000</v>
      </c>
      <c r="H31" s="1579">
        <v>571000000</v>
      </c>
      <c r="I31" s="1579">
        <v>589000000</v>
      </c>
      <c r="J31" s="1579">
        <v>631000000</v>
      </c>
      <c r="K31" s="1579">
        <v>600000000</v>
      </c>
      <c r="L31" s="1579">
        <v>579000000</v>
      </c>
      <c r="M31" s="1579">
        <v>619000000</v>
      </c>
      <c r="N31" s="1579">
        <v>595000000</v>
      </c>
      <c r="O31" s="1579">
        <v>587000000</v>
      </c>
      <c r="P31" s="1579"/>
      <c r="Q31" s="1579"/>
      <c r="R31" s="1579"/>
      <c r="S31" s="1579">
        <f>S29-S30</f>
        <v>957000000</v>
      </c>
      <c r="T31" s="1579">
        <f t="shared" ref="T31:U31" si="5">T29-T30</f>
        <v>1165000000</v>
      </c>
      <c r="U31" s="1579">
        <f t="shared" si="5"/>
        <v>935000000</v>
      </c>
      <c r="V31" s="21">
        <v>1250000000</v>
      </c>
      <c r="W31" s="21">
        <v>1853000000</v>
      </c>
      <c r="X31" s="1568"/>
      <c r="Y31" s="1697"/>
      <c r="Z31" s="1697"/>
      <c r="AA31" s="1697"/>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580" t="s">
        <v>2238</v>
      </c>
      <c r="B32" s="1580" t="s">
        <v>6536</v>
      </c>
      <c r="C32" s="1577" t="s">
        <v>204</v>
      </c>
      <c r="D32" s="2059">
        <v>714000000</v>
      </c>
      <c r="E32" s="1579">
        <v>758000000</v>
      </c>
      <c r="F32" s="1579">
        <v>809000000</v>
      </c>
      <c r="G32" s="1579">
        <v>819000000</v>
      </c>
      <c r="H32" s="1579">
        <v>1073000000</v>
      </c>
      <c r="I32" s="1579">
        <v>1359000000</v>
      </c>
      <c r="J32" s="1579">
        <v>1542000000</v>
      </c>
      <c r="K32" s="1579">
        <v>1896000000</v>
      </c>
      <c r="L32" s="1579">
        <v>2740000000</v>
      </c>
      <c r="M32" s="1579">
        <v>2186000000</v>
      </c>
      <c r="N32" s="1579">
        <v>2308000000</v>
      </c>
      <c r="O32" s="1579">
        <v>3874000000</v>
      </c>
      <c r="P32" s="1579">
        <v>4940000000</v>
      </c>
      <c r="Q32" s="1579">
        <v>5959000000</v>
      </c>
      <c r="R32" s="1579">
        <v>5787000000</v>
      </c>
      <c r="S32" s="1579">
        <v>4864000000</v>
      </c>
      <c r="T32" s="1579">
        <v>4200000000</v>
      </c>
      <c r="U32" s="1592">
        <v>6527000000</v>
      </c>
      <c r="V32" s="125">
        <v>7550000000</v>
      </c>
      <c r="W32" s="125">
        <v>6029000000</v>
      </c>
      <c r="X32" s="1568"/>
      <c r="Y32" s="1568"/>
      <c r="Z32" s="1697"/>
      <c r="AA32" s="1697"/>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582" t="s">
        <v>6537</v>
      </c>
      <c r="B33" s="1582" t="s">
        <v>6538</v>
      </c>
      <c r="C33" s="1567" t="s">
        <v>486</v>
      </c>
      <c r="D33" s="2059"/>
      <c r="E33" s="2059"/>
      <c r="F33" s="2059"/>
      <c r="G33" s="2059"/>
      <c r="H33" s="1579">
        <v>200000000</v>
      </c>
      <c r="I33" s="1579">
        <v>244000000</v>
      </c>
      <c r="J33" s="1579">
        <v>307000000</v>
      </c>
      <c r="K33" s="1579">
        <v>668000000</v>
      </c>
      <c r="L33" s="1579">
        <v>1048000000</v>
      </c>
      <c r="M33" s="2059"/>
      <c r="N33" s="2059"/>
      <c r="O33" s="2059"/>
      <c r="P33" s="1579">
        <v>1242000000</v>
      </c>
      <c r="Q33" s="1579">
        <v>1450000000</v>
      </c>
      <c r="R33" s="1579">
        <v>1417000000</v>
      </c>
      <c r="S33" s="1579">
        <v>1530000000</v>
      </c>
      <c r="T33" s="1579">
        <v>1581000000</v>
      </c>
      <c r="U33" s="1592">
        <v>1720000000</v>
      </c>
      <c r="V33" s="125">
        <v>1570000000</v>
      </c>
      <c r="W33" s="125">
        <v>1931000000</v>
      </c>
      <c r="X33" s="1568"/>
      <c r="Y33" s="1568"/>
      <c r="Z33" s="1697"/>
      <c r="AA33" s="1697"/>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582" t="s">
        <v>6539</v>
      </c>
      <c r="B34" s="1582" t="s">
        <v>6540</v>
      </c>
      <c r="C34" s="1567" t="s">
        <v>486</v>
      </c>
      <c r="D34" s="2059"/>
      <c r="E34" s="2059"/>
      <c r="F34" s="2059"/>
      <c r="G34" s="2059"/>
      <c r="H34" s="1579">
        <v>203000000</v>
      </c>
      <c r="I34" s="1579">
        <v>414000000</v>
      </c>
      <c r="J34" s="1579">
        <v>500000000</v>
      </c>
      <c r="K34" s="1579">
        <v>450000000</v>
      </c>
      <c r="L34" s="1579">
        <v>806000000</v>
      </c>
      <c r="M34" s="2059"/>
      <c r="N34" s="2059"/>
      <c r="O34" s="2059"/>
      <c r="P34" s="1579">
        <v>2111000000</v>
      </c>
      <c r="Q34" s="1579">
        <v>2854000000</v>
      </c>
      <c r="R34" s="1579">
        <v>2353000000</v>
      </c>
      <c r="S34" s="1579">
        <v>918000000</v>
      </c>
      <c r="T34" s="1579">
        <v>197000000</v>
      </c>
      <c r="U34" s="1592">
        <v>1427000000</v>
      </c>
      <c r="V34" s="125">
        <v>2706000000</v>
      </c>
      <c r="W34" s="13">
        <v>878000000</v>
      </c>
      <c r="X34" s="1568"/>
      <c r="Y34" s="1568"/>
      <c r="Z34" s="1697"/>
      <c r="AA34" s="1697"/>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582" t="s">
        <v>236</v>
      </c>
      <c r="B35" s="1582" t="s">
        <v>6541</v>
      </c>
      <c r="C35" s="1567" t="s">
        <v>486</v>
      </c>
      <c r="D35" s="2059"/>
      <c r="E35" s="2059"/>
      <c r="F35" s="2059"/>
      <c r="G35" s="2059"/>
      <c r="H35" s="1579">
        <v>670000000</v>
      </c>
      <c r="I35" s="1579">
        <v>701000000</v>
      </c>
      <c r="J35" s="1579">
        <v>736000000</v>
      </c>
      <c r="K35" s="1579">
        <v>778000000</v>
      </c>
      <c r="L35" s="1579">
        <v>886000000</v>
      </c>
      <c r="M35" s="2059"/>
      <c r="N35" s="2059"/>
      <c r="O35" s="2059"/>
      <c r="P35" s="1579">
        <v>1587000000</v>
      </c>
      <c r="Q35" s="1579">
        <v>1655000000</v>
      </c>
      <c r="R35" s="1579">
        <v>2017000000</v>
      </c>
      <c r="S35" s="2267">
        <f>S32-S33-S34</f>
        <v>2416000000</v>
      </c>
      <c r="T35" s="2267">
        <f t="shared" ref="T35:W35" si="6">T32-T33-T34</f>
        <v>2422000000</v>
      </c>
      <c r="U35" s="2267">
        <f t="shared" si="6"/>
        <v>3380000000</v>
      </c>
      <c r="V35" s="2267">
        <f t="shared" si="6"/>
        <v>3274000000</v>
      </c>
      <c r="W35" s="2267">
        <f t="shared" si="6"/>
        <v>3220000000</v>
      </c>
      <c r="X35" s="1568"/>
      <c r="Y35" s="1697"/>
      <c r="Z35" s="1697"/>
      <c r="AA35" s="1697"/>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580" t="s">
        <v>579</v>
      </c>
      <c r="B36" s="1580" t="s">
        <v>6542</v>
      </c>
      <c r="C36" s="1577" t="s">
        <v>204</v>
      </c>
      <c r="D36" s="2059">
        <v>0</v>
      </c>
      <c r="E36" s="1579">
        <v>0</v>
      </c>
      <c r="F36" s="1579">
        <v>0</v>
      </c>
      <c r="G36" s="1579">
        <v>0</v>
      </c>
      <c r="H36" s="1579">
        <v>0</v>
      </c>
      <c r="I36" s="1579">
        <v>0</v>
      </c>
      <c r="J36" s="1579">
        <v>0</v>
      </c>
      <c r="K36" s="1579">
        <v>0</v>
      </c>
      <c r="L36" s="1579">
        <v>0</v>
      </c>
      <c r="M36" s="2059">
        <v>0</v>
      </c>
      <c r="N36" s="2059">
        <v>0</v>
      </c>
      <c r="O36" s="2059">
        <v>0</v>
      </c>
      <c r="P36" s="1579">
        <v>0</v>
      </c>
      <c r="Q36" s="1579">
        <v>880000000</v>
      </c>
      <c r="R36" s="1579">
        <f>R37+R38+R39</f>
        <v>120000000</v>
      </c>
      <c r="S36" s="1579">
        <v>0</v>
      </c>
      <c r="T36" s="1579">
        <v>0</v>
      </c>
      <c r="U36" s="1592">
        <v>10000000</v>
      </c>
      <c r="V36" s="13">
        <v>70000000</v>
      </c>
      <c r="W36" s="13">
        <v>434000000</v>
      </c>
      <c r="X36" s="1568"/>
      <c r="Y36" s="1568"/>
      <c r="Z36" s="1697"/>
      <c r="AA36" s="1697"/>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582" t="s">
        <v>6543</v>
      </c>
      <c r="B37" s="1582" t="s">
        <v>6544</v>
      </c>
      <c r="C37" s="1567" t="s">
        <v>6545</v>
      </c>
      <c r="D37" s="2059"/>
      <c r="E37" s="2059"/>
      <c r="F37" s="2059"/>
      <c r="G37" s="2059"/>
      <c r="H37" s="2059"/>
      <c r="I37" s="2059"/>
      <c r="J37" s="2059"/>
      <c r="K37" s="2059"/>
      <c r="L37" s="2059"/>
      <c r="M37" s="2059"/>
      <c r="N37" s="2059"/>
      <c r="O37" s="2059"/>
      <c r="P37" s="1579">
        <v>0</v>
      </c>
      <c r="Q37" s="1579">
        <v>880000000</v>
      </c>
      <c r="R37" s="1579"/>
      <c r="S37" s="1579"/>
      <c r="T37" s="2070"/>
      <c r="U37" s="1592"/>
      <c r="V37" s="1592"/>
      <c r="W37" s="1568"/>
      <c r="X37" s="1568"/>
      <c r="Y37" s="1697"/>
      <c r="Z37" s="1697"/>
      <c r="AA37" s="1697"/>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582" t="s">
        <v>6546</v>
      </c>
      <c r="B38" s="1582" t="s">
        <v>6547</v>
      </c>
      <c r="C38" s="1567" t="s">
        <v>6545</v>
      </c>
      <c r="D38" s="2059"/>
      <c r="E38" s="2059"/>
      <c r="F38" s="2059"/>
      <c r="G38" s="2059"/>
      <c r="H38" s="2059"/>
      <c r="I38" s="2059"/>
      <c r="J38" s="2059"/>
      <c r="K38" s="2059"/>
      <c r="L38" s="2059"/>
      <c r="M38" s="2059"/>
      <c r="N38" s="2059"/>
      <c r="O38" s="2059"/>
      <c r="P38" s="1579"/>
      <c r="Q38" s="1579"/>
      <c r="R38" s="1579">
        <v>120000000</v>
      </c>
      <c r="S38" s="1579"/>
      <c r="T38" s="2070"/>
      <c r="U38" s="1592"/>
      <c r="V38" s="1592"/>
      <c r="W38" s="1568"/>
      <c r="X38" s="1568"/>
      <c r="Y38" s="1697"/>
      <c r="Z38" s="1697"/>
      <c r="AA38" s="1697"/>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1582" t="s">
        <v>6548</v>
      </c>
      <c r="B39" s="1582" t="s">
        <v>6549</v>
      </c>
      <c r="C39" s="1567" t="s">
        <v>6545</v>
      </c>
      <c r="D39" s="2059"/>
      <c r="E39" s="2059"/>
      <c r="F39" s="2059"/>
      <c r="G39" s="2059"/>
      <c r="H39" s="2059"/>
      <c r="I39" s="2059"/>
      <c r="J39" s="2059"/>
      <c r="K39" s="2059"/>
      <c r="L39" s="2059"/>
      <c r="M39" s="2059"/>
      <c r="N39" s="2059"/>
      <c r="O39" s="2059"/>
      <c r="P39" s="1579"/>
      <c r="Q39" s="1579"/>
      <c r="R39" s="1579">
        <v>0</v>
      </c>
      <c r="S39" s="1579"/>
      <c r="T39" s="2070"/>
      <c r="U39" s="1592"/>
      <c r="V39" s="1592"/>
      <c r="W39" s="1568"/>
      <c r="X39" s="1568"/>
      <c r="Y39" s="1697"/>
      <c r="Z39" s="1697"/>
      <c r="AA39" s="1697"/>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1577" t="s">
        <v>237</v>
      </c>
      <c r="B40" s="1577" t="s">
        <v>5442</v>
      </c>
      <c r="C40" s="1577" t="s">
        <v>201</v>
      </c>
      <c r="D40" s="2059">
        <v>1980000000</v>
      </c>
      <c r="E40" s="1579">
        <v>2228000000</v>
      </c>
      <c r="F40" s="1579">
        <v>2233000000</v>
      </c>
      <c r="G40" s="1579">
        <v>2305000000</v>
      </c>
      <c r="H40" s="1579">
        <v>2428000000</v>
      </c>
      <c r="I40" s="1579">
        <v>2409000000</v>
      </c>
      <c r="J40" s="1579">
        <v>2539000000</v>
      </c>
      <c r="K40" s="1579">
        <v>2677000000</v>
      </c>
      <c r="L40" s="1579">
        <v>3181000000</v>
      </c>
      <c r="M40" s="1579">
        <v>3866000000</v>
      </c>
      <c r="N40" s="1579">
        <v>4144000000</v>
      </c>
      <c r="O40" s="1579">
        <v>4616000000</v>
      </c>
      <c r="P40" s="1579">
        <v>4692000000</v>
      </c>
      <c r="Q40" s="1579">
        <v>3725000000</v>
      </c>
      <c r="R40" s="1579">
        <v>3495000000</v>
      </c>
      <c r="S40" s="1579">
        <v>3943000000</v>
      </c>
      <c r="T40" s="1579">
        <v>4798000000</v>
      </c>
      <c r="U40" s="1592">
        <v>5471000000</v>
      </c>
      <c r="V40" s="125">
        <v>5656000000</v>
      </c>
      <c r="W40" s="125">
        <v>7163000000</v>
      </c>
      <c r="X40" s="1568"/>
      <c r="Y40" s="1568"/>
      <c r="Z40" s="1697"/>
      <c r="AA40" s="1697"/>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580" t="s">
        <v>6550</v>
      </c>
      <c r="B41" s="1580" t="s">
        <v>6551</v>
      </c>
      <c r="C41" s="1577" t="s">
        <v>241</v>
      </c>
      <c r="D41" s="2059">
        <v>1161000000</v>
      </c>
      <c r="E41" s="1579">
        <v>1337000000</v>
      </c>
      <c r="F41" s="1579">
        <v>1322000000</v>
      </c>
      <c r="G41" s="1579">
        <v>1335000000</v>
      </c>
      <c r="H41" s="1579">
        <v>1346000000</v>
      </c>
      <c r="I41" s="1579">
        <v>1259000000</v>
      </c>
      <c r="J41" s="1579">
        <v>1412000000</v>
      </c>
      <c r="K41" s="1579">
        <v>1413000000</v>
      </c>
      <c r="L41" s="1579">
        <v>1538000000</v>
      </c>
      <c r="M41" s="1579"/>
      <c r="N41" s="1579"/>
      <c r="O41" s="1579"/>
      <c r="P41" s="1579"/>
      <c r="Q41" s="1579"/>
      <c r="R41" s="1579"/>
      <c r="S41" s="1579"/>
      <c r="T41" s="2070"/>
      <c r="U41" s="1592"/>
      <c r="V41" s="1592"/>
      <c r="W41" s="1568"/>
      <c r="X41" s="1568"/>
      <c r="Y41" s="1697"/>
      <c r="Z41" s="1697"/>
      <c r="AA41" s="1697"/>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580" t="s">
        <v>6552</v>
      </c>
      <c r="B42" s="1580" t="s">
        <v>6553</v>
      </c>
      <c r="C42" s="1577" t="s">
        <v>241</v>
      </c>
      <c r="D42" s="2059">
        <v>820000000</v>
      </c>
      <c r="E42" s="1579">
        <v>891000000</v>
      </c>
      <c r="F42" s="1579">
        <v>912000000</v>
      </c>
      <c r="G42" s="1579">
        <v>970000000</v>
      </c>
      <c r="H42" s="1579">
        <v>1082000000</v>
      </c>
      <c r="I42" s="1579">
        <v>1150000000</v>
      </c>
      <c r="J42" s="1579">
        <v>1127000000</v>
      </c>
      <c r="K42" s="1579">
        <v>1264000000</v>
      </c>
      <c r="L42" s="1579">
        <v>1643000000</v>
      </c>
      <c r="M42" s="1579"/>
      <c r="N42" s="1579"/>
      <c r="O42" s="1579"/>
      <c r="P42" s="1579"/>
      <c r="Q42" s="1579"/>
      <c r="R42" s="1579"/>
      <c r="S42" s="1579"/>
      <c r="T42" s="2070"/>
      <c r="U42" s="1592"/>
      <c r="V42" s="1592"/>
      <c r="W42" s="1568"/>
      <c r="X42" s="1568"/>
      <c r="Y42" s="1697"/>
      <c r="Z42" s="1697"/>
      <c r="AA42" s="1697"/>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580" t="s">
        <v>579</v>
      </c>
      <c r="B43" s="1580" t="s">
        <v>6554</v>
      </c>
      <c r="C43" s="1577" t="s">
        <v>241</v>
      </c>
      <c r="D43" s="2059"/>
      <c r="E43" s="2059"/>
      <c r="F43" s="2059"/>
      <c r="G43" s="2059"/>
      <c r="H43" s="1579">
        <v>0</v>
      </c>
      <c r="I43" s="1579">
        <v>0</v>
      </c>
      <c r="J43" s="1579">
        <v>0</v>
      </c>
      <c r="K43" s="1579">
        <v>0</v>
      </c>
      <c r="L43" s="1579">
        <v>0</v>
      </c>
      <c r="M43" s="1579"/>
      <c r="N43" s="1579"/>
      <c r="O43" s="1579"/>
      <c r="P43" s="1579"/>
      <c r="Q43" s="1579"/>
      <c r="R43" s="1579"/>
      <c r="S43" s="1579"/>
      <c r="T43" s="2070"/>
      <c r="U43" s="1592"/>
      <c r="V43" s="1592"/>
      <c r="W43" s="1568"/>
      <c r="X43" s="1568"/>
      <c r="Y43" s="1697"/>
      <c r="Z43" s="1697"/>
      <c r="AA43" s="1697"/>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577" t="s">
        <v>612</v>
      </c>
      <c r="B44" s="1577" t="s">
        <v>5674</v>
      </c>
      <c r="C44" s="1577" t="s">
        <v>201</v>
      </c>
      <c r="D44" s="2059">
        <v>135000000</v>
      </c>
      <c r="E44" s="2059">
        <v>102000000</v>
      </c>
      <c r="F44" s="2059">
        <v>96000000</v>
      </c>
      <c r="G44" s="2059">
        <v>130000000</v>
      </c>
      <c r="H44" s="2770">
        <v>0</v>
      </c>
      <c r="I44" s="1579">
        <v>16000000</v>
      </c>
      <c r="J44" s="1579">
        <v>112000000</v>
      </c>
      <c r="K44" s="1579">
        <v>355000000</v>
      </c>
      <c r="L44" s="1579">
        <v>47000000</v>
      </c>
      <c r="M44" s="1579">
        <v>654000000</v>
      </c>
      <c r="N44" s="2770">
        <v>0</v>
      </c>
      <c r="O44" s="2770">
        <v>0</v>
      </c>
      <c r="P44" s="2770">
        <v>0</v>
      </c>
      <c r="Q44" s="2770">
        <v>0</v>
      </c>
      <c r="R44" s="1579">
        <v>420000000</v>
      </c>
      <c r="S44" s="1579">
        <v>720000000</v>
      </c>
      <c r="T44" s="1579">
        <v>91000000</v>
      </c>
      <c r="U44" s="2771">
        <v>0</v>
      </c>
      <c r="V44" s="2771">
        <v>0</v>
      </c>
      <c r="W44" s="2772">
        <v>0</v>
      </c>
      <c r="X44" s="1568"/>
      <c r="Y44" s="1697"/>
      <c r="Z44" s="1697"/>
      <c r="AA44" s="1697"/>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570" t="s">
        <v>76</v>
      </c>
      <c r="B45" s="1577" t="s">
        <v>6555</v>
      </c>
      <c r="C45" s="1575"/>
      <c r="D45" s="2059"/>
      <c r="E45" s="2059"/>
      <c r="F45" s="2059"/>
      <c r="G45" s="2059"/>
      <c r="H45" s="2059"/>
      <c r="I45" s="2059"/>
      <c r="J45" s="2059"/>
      <c r="K45" s="2059"/>
      <c r="L45" s="2059"/>
      <c r="M45" s="1579"/>
      <c r="N45" s="1579"/>
      <c r="O45" s="1579"/>
      <c r="P45" s="1579">
        <v>41000000</v>
      </c>
      <c r="Q45" s="1579">
        <v>0</v>
      </c>
      <c r="R45" s="1579">
        <v>0</v>
      </c>
      <c r="S45" s="1579">
        <v>647000000</v>
      </c>
      <c r="T45" s="1579">
        <v>0</v>
      </c>
      <c r="U45" s="1592">
        <v>0</v>
      </c>
      <c r="V45" s="1592"/>
      <c r="W45" s="1568"/>
      <c r="X45" s="1568"/>
    </row>
    <row r="46" spans="1:49">
      <c r="A46" s="1570" t="s">
        <v>76</v>
      </c>
      <c r="B46" s="1577" t="s">
        <v>6556</v>
      </c>
      <c r="C46" s="1575"/>
      <c r="D46" s="2059"/>
      <c r="E46" s="2059"/>
      <c r="F46" s="2059"/>
      <c r="G46" s="2059"/>
      <c r="H46" s="2059"/>
      <c r="I46" s="2059"/>
      <c r="J46" s="2059"/>
      <c r="K46" s="2059"/>
      <c r="L46" s="2059"/>
      <c r="M46" s="1579">
        <v>-1580000000</v>
      </c>
      <c r="N46" s="1579">
        <v>-356000000</v>
      </c>
      <c r="O46" s="1579">
        <v>-2271000000</v>
      </c>
      <c r="P46" s="1579">
        <v>-4033000000</v>
      </c>
      <c r="Q46" s="1579">
        <v>-4707000000</v>
      </c>
      <c r="R46" s="1579">
        <v>-3382000000</v>
      </c>
      <c r="S46" s="1579">
        <v>-4743000000</v>
      </c>
      <c r="T46" s="1579">
        <v>-5492000000</v>
      </c>
      <c r="U46" s="1592">
        <v>-5974000000</v>
      </c>
      <c r="V46" s="1592"/>
      <c r="W46" s="1568"/>
      <c r="X46" s="1568"/>
    </row>
    <row r="47" spans="1:49">
      <c r="A47" s="1570" t="s">
        <v>76</v>
      </c>
      <c r="B47" s="1577" t="s">
        <v>6557</v>
      </c>
      <c r="C47" s="1575"/>
      <c r="D47" s="2059"/>
      <c r="E47" s="2059"/>
      <c r="F47" s="2059"/>
      <c r="G47" s="2059"/>
      <c r="H47" s="2059"/>
      <c r="I47" s="2059"/>
      <c r="J47" s="2059"/>
      <c r="K47" s="2059"/>
      <c r="L47" s="2059"/>
      <c r="M47" s="1579">
        <v>-1402000000</v>
      </c>
      <c r="N47" s="1579">
        <v>-302000000</v>
      </c>
      <c r="O47" s="1579">
        <v>-2064000000</v>
      </c>
      <c r="P47" s="1579">
        <v>-3404000000</v>
      </c>
      <c r="Q47" s="1579">
        <v>-4596000000</v>
      </c>
      <c r="R47" s="1579">
        <v>-3016000000</v>
      </c>
      <c r="S47" s="1579">
        <v>-4451000000</v>
      </c>
      <c r="T47" s="1579">
        <v>-5362000000</v>
      </c>
      <c r="U47" s="1592">
        <v>-5712000000</v>
      </c>
      <c r="V47" s="1592"/>
      <c r="W47" s="1568"/>
      <c r="X47" s="1568"/>
    </row>
    <row r="48" spans="1:49">
      <c r="A48" s="1570" t="s">
        <v>76</v>
      </c>
      <c r="B48" s="1577" t="s">
        <v>912</v>
      </c>
      <c r="C48" s="1575"/>
      <c r="D48" s="2059"/>
      <c r="E48" s="2059"/>
      <c r="F48" s="2059"/>
      <c r="G48" s="2059"/>
      <c r="H48" s="2059"/>
      <c r="I48" s="2059"/>
      <c r="J48" s="2059"/>
      <c r="K48" s="2059"/>
      <c r="L48" s="2059"/>
      <c r="M48" s="1579">
        <v>-1874000000</v>
      </c>
      <c r="N48" s="1579">
        <v>-1362000000</v>
      </c>
      <c r="O48" s="1579">
        <v>-463000000</v>
      </c>
      <c r="P48" s="1579">
        <v>-505000000</v>
      </c>
      <c r="Q48" s="1579">
        <v>-1264000000</v>
      </c>
      <c r="R48" s="1579">
        <v>2128000000</v>
      </c>
      <c r="S48" s="1579">
        <v>-216000000</v>
      </c>
      <c r="T48" s="1579">
        <v>-446000000</v>
      </c>
      <c r="U48" s="1592">
        <v>0</v>
      </c>
      <c r="V48" s="1592"/>
      <c r="W48" s="1568"/>
      <c r="X48" s="1568"/>
    </row>
    <row r="49" spans="1:27">
      <c r="A49" s="1570" t="s">
        <v>76</v>
      </c>
      <c r="B49" s="1577" t="s">
        <v>6558</v>
      </c>
      <c r="C49" s="1575"/>
      <c r="D49" s="2059">
        <v>-650000000</v>
      </c>
      <c r="E49" s="2059">
        <v>-1084000000</v>
      </c>
      <c r="F49" s="2059">
        <v>-1035000000</v>
      </c>
      <c r="G49" s="2059">
        <v>-1120000000</v>
      </c>
      <c r="H49" s="2059">
        <v>-999000000</v>
      </c>
      <c r="I49" s="2059">
        <v>-1213000000</v>
      </c>
      <c r="J49" s="2059">
        <v>-1260000000</v>
      </c>
      <c r="K49" s="2059">
        <v>-1332000000</v>
      </c>
      <c r="L49" s="1579">
        <v>-559000000</v>
      </c>
      <c r="M49" s="1579">
        <v>294000000</v>
      </c>
      <c r="N49" s="1579">
        <v>1006000000</v>
      </c>
      <c r="O49" s="1579">
        <v>-1808000000</v>
      </c>
      <c r="P49" s="1579">
        <v>-3529000000</v>
      </c>
      <c r="Q49" s="1579">
        <v>-3443000000</v>
      </c>
      <c r="R49" s="1579">
        <v>-5510000000</v>
      </c>
      <c r="S49" s="1579">
        <v>-4958000000</v>
      </c>
      <c r="T49" s="1579">
        <v>-5938000000</v>
      </c>
      <c r="U49" s="1592">
        <v>-5974000000</v>
      </c>
      <c r="V49" s="1592"/>
      <c r="W49" s="1568"/>
      <c r="X49" s="1568"/>
    </row>
    <row r="50" spans="1:27">
      <c r="A50" s="1570" t="s">
        <v>76</v>
      </c>
      <c r="B50" s="1577" t="s">
        <v>6559</v>
      </c>
      <c r="C50" s="1575"/>
      <c r="D50" s="2059">
        <v>650000000</v>
      </c>
      <c r="E50" s="2059">
        <v>-994000000</v>
      </c>
      <c r="F50" s="2059">
        <v>-578000000</v>
      </c>
      <c r="G50" s="2059">
        <v>-1035000000</v>
      </c>
      <c r="H50" s="2059">
        <v>-801000000</v>
      </c>
      <c r="I50" s="2059">
        <v>-973000000</v>
      </c>
      <c r="J50" s="2059">
        <v>1788000000</v>
      </c>
      <c r="K50" s="2059">
        <v>-904000000</v>
      </c>
      <c r="L50" s="1579">
        <v>-220000000</v>
      </c>
      <c r="M50" s="1579">
        <v>472000000</v>
      </c>
      <c r="N50" s="1579">
        <v>1060000000</v>
      </c>
      <c r="O50" s="1579">
        <v>-1600000000</v>
      </c>
      <c r="P50" s="1579">
        <v>-2899000000</v>
      </c>
      <c r="Q50" s="1579">
        <v>-3333000000</v>
      </c>
      <c r="R50" s="1579">
        <v>-5143000000</v>
      </c>
      <c r="S50" s="1579">
        <v>-4666000000</v>
      </c>
      <c r="T50" s="1579">
        <v>-5808000000</v>
      </c>
      <c r="U50" s="1592">
        <v>-5712000000</v>
      </c>
      <c r="V50" s="1592"/>
      <c r="W50" s="1568"/>
      <c r="X50" s="1568"/>
    </row>
    <row r="51" spans="1:27" s="848" customFormat="1">
      <c r="A51" s="2004" t="s">
        <v>115</v>
      </c>
      <c r="B51" s="2050" t="s">
        <v>6560</v>
      </c>
      <c r="C51" s="2004" t="s">
        <v>35</v>
      </c>
      <c r="D51" s="2264">
        <f>D52+D64</f>
        <v>992000000</v>
      </c>
      <c r="E51" s="2264">
        <f t="shared" ref="E51:K51" si="7">E52+E64</f>
        <v>1005000000</v>
      </c>
      <c r="F51" s="2264">
        <f t="shared" si="7"/>
        <v>917000000</v>
      </c>
      <c r="G51" s="2264">
        <f t="shared" si="7"/>
        <v>1043000000</v>
      </c>
      <c r="H51" s="2264">
        <f t="shared" si="7"/>
        <v>926000000</v>
      </c>
      <c r="I51" s="2264">
        <f t="shared" si="7"/>
        <v>1143000000</v>
      </c>
      <c r="J51" s="2264">
        <f t="shared" si="7"/>
        <v>1212000000</v>
      </c>
      <c r="K51" s="2264">
        <f t="shared" si="7"/>
        <v>1295000000</v>
      </c>
      <c r="L51" s="2264">
        <f>L53+L56+L64</f>
        <v>456000000</v>
      </c>
      <c r="M51" s="2264">
        <f>M53+M56+M64</f>
        <v>-460000000</v>
      </c>
      <c r="N51" s="2264">
        <f t="shared" ref="N51:R51" si="8">N52</f>
        <v>-1060000000</v>
      </c>
      <c r="O51" s="2264">
        <f t="shared" si="8"/>
        <v>1600000000</v>
      </c>
      <c r="P51" s="2264">
        <f t="shared" si="8"/>
        <v>2899000000</v>
      </c>
      <c r="Q51" s="2264">
        <f t="shared" si="8"/>
        <v>3333000000</v>
      </c>
      <c r="R51" s="2264">
        <f t="shared" si="8"/>
        <v>5143000000</v>
      </c>
      <c r="S51" s="2264">
        <v>4666000000</v>
      </c>
      <c r="T51" s="2264">
        <v>5808000000</v>
      </c>
      <c r="U51" s="2009">
        <v>5712000000</v>
      </c>
      <c r="V51" s="2009">
        <f>V53+V56</f>
        <v>5573000000</v>
      </c>
      <c r="W51" s="2009">
        <f>W53+W56</f>
        <v>4340000000</v>
      </c>
      <c r="X51" s="2263"/>
      <c r="Y51" s="2003"/>
      <c r="Z51" s="2003"/>
      <c r="AA51" s="2003"/>
    </row>
    <row r="52" spans="1:27">
      <c r="A52" s="1570" t="s">
        <v>76</v>
      </c>
      <c r="B52" s="1577" t="s">
        <v>115</v>
      </c>
      <c r="D52" s="2059">
        <v>650000000</v>
      </c>
      <c r="E52" s="1579">
        <v>994000000</v>
      </c>
      <c r="F52" s="1579">
        <v>578000000</v>
      </c>
      <c r="G52" s="1579">
        <v>1035000000</v>
      </c>
      <c r="H52" s="2059">
        <v>801000000</v>
      </c>
      <c r="I52" s="2059">
        <v>973000000</v>
      </c>
      <c r="J52" s="1579">
        <v>-1788000000</v>
      </c>
      <c r="K52" s="1579">
        <v>904000000</v>
      </c>
      <c r="L52" s="2059">
        <v>220000000</v>
      </c>
      <c r="M52" s="1579">
        <v>-472000000</v>
      </c>
      <c r="N52" s="1579">
        <v>-1060000000</v>
      </c>
      <c r="O52" s="1579">
        <v>1600000000</v>
      </c>
      <c r="P52" s="1579">
        <v>2899000000</v>
      </c>
      <c r="Q52" s="1579">
        <v>3333000000</v>
      </c>
      <c r="R52" s="1579">
        <v>5143000000</v>
      </c>
      <c r="S52" s="1579">
        <f>S51</f>
        <v>4666000000</v>
      </c>
      <c r="T52" s="1579">
        <f t="shared" ref="T52:U52" si="9">T51</f>
        <v>5808000000</v>
      </c>
      <c r="U52" s="1579">
        <f t="shared" si="9"/>
        <v>5712000000</v>
      </c>
      <c r="V52" s="1579"/>
      <c r="W52" s="1585"/>
    </row>
    <row r="53" spans="1:27">
      <c r="A53" s="1577" t="s">
        <v>117</v>
      </c>
      <c r="B53" s="1577" t="s">
        <v>212</v>
      </c>
      <c r="C53" s="1577" t="s">
        <v>252</v>
      </c>
      <c r="D53" s="2059">
        <v>-51000000</v>
      </c>
      <c r="E53" s="1579">
        <v>1089000000</v>
      </c>
      <c r="F53" s="1579">
        <v>683000000</v>
      </c>
      <c r="G53" s="1579">
        <v>808000000</v>
      </c>
      <c r="H53" s="2059">
        <v>207000000</v>
      </c>
      <c r="I53" s="2059">
        <v>284000000</v>
      </c>
      <c r="J53" s="1579">
        <v>-1222000000</v>
      </c>
      <c r="K53" s="1579">
        <v>-429000000</v>
      </c>
      <c r="L53" s="2059">
        <v>220000000</v>
      </c>
      <c r="M53" s="1579">
        <v>-25000000</v>
      </c>
      <c r="N53" s="1579">
        <v>-230000000</v>
      </c>
      <c r="O53" s="1579">
        <v>398000000</v>
      </c>
      <c r="P53" s="1579">
        <v>2524000000</v>
      </c>
      <c r="Q53" s="1579">
        <v>-605000000</v>
      </c>
      <c r="R53" s="1579">
        <v>3922000000</v>
      </c>
      <c r="S53" s="1579">
        <v>4285000000</v>
      </c>
      <c r="T53" s="1579">
        <v>2479000000</v>
      </c>
      <c r="U53" s="1592">
        <v>5449000000</v>
      </c>
      <c r="V53" s="125">
        <v>7228000000</v>
      </c>
      <c r="W53" s="125">
        <v>3760000000</v>
      </c>
      <c r="X53" s="1568"/>
      <c r="Y53" s="1568"/>
    </row>
    <row r="54" spans="1:27">
      <c r="A54" s="1580" t="s">
        <v>1104</v>
      </c>
      <c r="B54" s="1580" t="s">
        <v>1104</v>
      </c>
      <c r="C54" s="1577" t="s">
        <v>264</v>
      </c>
      <c r="D54" s="2059"/>
      <c r="E54" s="2059"/>
      <c r="F54" s="2059"/>
      <c r="G54" s="2059"/>
      <c r="H54" s="2059"/>
      <c r="I54" s="2059"/>
      <c r="J54" s="2059"/>
      <c r="K54" s="2059"/>
      <c r="L54" s="2059"/>
      <c r="M54" s="1579">
        <v>1163000000</v>
      </c>
      <c r="N54" s="1579">
        <v>1225000000</v>
      </c>
      <c r="O54" s="1579">
        <v>2396000000</v>
      </c>
      <c r="P54" s="1579">
        <v>4450000000</v>
      </c>
      <c r="Q54" s="1579">
        <v>1057000000</v>
      </c>
      <c r="R54" s="1579">
        <v>4994000000</v>
      </c>
      <c r="S54" s="1579">
        <v>5462000000</v>
      </c>
      <c r="T54" s="1579">
        <v>3861000000</v>
      </c>
      <c r="U54" s="1592">
        <v>8962000000</v>
      </c>
      <c r="V54" s="1592"/>
      <c r="W54" s="1568"/>
      <c r="X54" s="1568"/>
    </row>
    <row r="55" spans="1:27">
      <c r="A55" s="1580" t="s">
        <v>258</v>
      </c>
      <c r="B55" s="1580" t="s">
        <v>258</v>
      </c>
      <c r="C55" s="1577" t="s">
        <v>264</v>
      </c>
      <c r="D55" s="2059"/>
      <c r="E55" s="2059"/>
      <c r="F55" s="2059"/>
      <c r="G55" s="2059"/>
      <c r="H55" s="2059"/>
      <c r="I55" s="2059"/>
      <c r="J55" s="2059"/>
      <c r="K55" s="2059"/>
      <c r="L55" s="2059"/>
      <c r="M55" s="1579">
        <v>-1189000000</v>
      </c>
      <c r="N55" s="1579">
        <v>-1455000000</v>
      </c>
      <c r="O55" s="1579">
        <v>-1998000000</v>
      </c>
      <c r="P55" s="1579">
        <v>-1926000000</v>
      </c>
      <c r="Q55" s="1579">
        <v>-1662000000</v>
      </c>
      <c r="R55" s="1579">
        <v>-1072000000</v>
      </c>
      <c r="S55" s="1579">
        <v>-1177000000</v>
      </c>
      <c r="T55" s="1579">
        <v>-1382000000</v>
      </c>
      <c r="U55" s="1592">
        <v>-3513000000</v>
      </c>
      <c r="V55" s="1592"/>
      <c r="W55" s="1568"/>
      <c r="X55" s="1568"/>
    </row>
    <row r="56" spans="1:27">
      <c r="A56" s="1570" t="s">
        <v>120</v>
      </c>
      <c r="B56" s="1577" t="s">
        <v>209</v>
      </c>
      <c r="C56" s="1577" t="s">
        <v>252</v>
      </c>
      <c r="D56" s="2059">
        <v>701000000</v>
      </c>
      <c r="E56" s="1579">
        <v>-95000000</v>
      </c>
      <c r="F56" s="1579">
        <v>-105000000</v>
      </c>
      <c r="G56" s="1579">
        <v>227000000</v>
      </c>
      <c r="H56" s="2059">
        <v>595000000</v>
      </c>
      <c r="I56" s="2059">
        <v>689000000</v>
      </c>
      <c r="J56" s="1579">
        <v>-566000000</v>
      </c>
      <c r="K56" s="1579">
        <v>1333000000</v>
      </c>
      <c r="L56" s="2059">
        <v>89000000</v>
      </c>
      <c r="M56" s="2267">
        <f>M59+M60+M61</f>
        <v>-435000000</v>
      </c>
      <c r="N56" s="1579">
        <v>-830000000</v>
      </c>
      <c r="O56" s="1579">
        <v>819000000</v>
      </c>
      <c r="P56" s="1579">
        <v>-18000000</v>
      </c>
      <c r="Q56" s="1579">
        <v>3459000000</v>
      </c>
      <c r="R56" s="1579">
        <v>1129000000</v>
      </c>
      <c r="S56" s="1579">
        <v>382000000</v>
      </c>
      <c r="T56" s="1579">
        <v>3329000000</v>
      </c>
      <c r="U56" s="1592">
        <v>263000000</v>
      </c>
      <c r="V56" s="125">
        <v>-1655000000</v>
      </c>
      <c r="W56" s="13">
        <v>580000000</v>
      </c>
      <c r="X56" s="1568"/>
      <c r="Y56" s="1568"/>
    </row>
    <row r="57" spans="1:27">
      <c r="A57" s="2617" t="s">
        <v>6561</v>
      </c>
      <c r="B57" s="2617" t="s">
        <v>6561</v>
      </c>
      <c r="C57" s="2617" t="s">
        <v>124</v>
      </c>
      <c r="D57" s="2059"/>
      <c r="E57" s="1579"/>
      <c r="F57" s="1579"/>
      <c r="G57" s="1579"/>
      <c r="H57" s="2059"/>
      <c r="I57" s="2059"/>
      <c r="J57" s="1579"/>
      <c r="K57" s="1579"/>
      <c r="L57" s="2059"/>
      <c r="M57" s="1579"/>
      <c r="N57" s="1579"/>
      <c r="O57" s="1579"/>
      <c r="P57" s="1579"/>
      <c r="Q57" s="1579"/>
      <c r="R57" s="1579"/>
      <c r="S57" s="1579">
        <v>590000000</v>
      </c>
      <c r="T57" s="1579">
        <v>2059000000</v>
      </c>
      <c r="U57" s="1592">
        <v>1279000000</v>
      </c>
      <c r="V57" s="125">
        <v>-2255000000</v>
      </c>
      <c r="W57" s="13">
        <v>-30000000</v>
      </c>
      <c r="X57" s="1568"/>
      <c r="Y57" s="1568"/>
    </row>
    <row r="58" spans="1:27">
      <c r="A58" s="2617" t="s">
        <v>6562</v>
      </c>
      <c r="B58" s="2617" t="s">
        <v>6562</v>
      </c>
      <c r="C58" s="2617" t="s">
        <v>124</v>
      </c>
      <c r="D58" s="2059"/>
      <c r="E58" s="1579"/>
      <c r="F58" s="1579"/>
      <c r="G58" s="1579"/>
      <c r="H58" s="2059"/>
      <c r="I58" s="2059"/>
      <c r="J58" s="1579"/>
      <c r="K58" s="1579"/>
      <c r="L58" s="2059"/>
      <c r="M58" s="1579"/>
      <c r="N58" s="1579"/>
      <c r="O58" s="1579"/>
      <c r="P58" s="1579"/>
      <c r="Q58" s="1579"/>
      <c r="R58" s="1579"/>
      <c r="S58" s="1579">
        <v>-249000000</v>
      </c>
      <c r="T58" s="1579">
        <v>1271000000</v>
      </c>
      <c r="U58" s="1592">
        <v>-1016000000</v>
      </c>
      <c r="V58" s="13">
        <v>600000000</v>
      </c>
      <c r="W58" s="13">
        <v>610000000</v>
      </c>
      <c r="X58" s="1568"/>
      <c r="Y58" s="1568"/>
    </row>
    <row r="59" spans="1:27">
      <c r="A59" s="1580" t="s">
        <v>1104</v>
      </c>
      <c r="B59" s="1580" t="s">
        <v>1104</v>
      </c>
      <c r="C59" s="1577" t="s">
        <v>124</v>
      </c>
      <c r="D59" s="2059"/>
      <c r="E59" s="2059"/>
      <c r="F59" s="2059"/>
      <c r="G59" s="2059"/>
      <c r="H59" s="2059"/>
      <c r="I59" s="2059"/>
      <c r="J59" s="2059"/>
      <c r="K59" s="2059"/>
      <c r="L59" s="2059"/>
      <c r="M59" s="1579">
        <v>1036000000</v>
      </c>
      <c r="N59" s="1579">
        <v>635000000</v>
      </c>
      <c r="O59" s="1579">
        <v>1335000000</v>
      </c>
      <c r="P59" s="1579">
        <v>1582000000</v>
      </c>
      <c r="Q59" s="1579">
        <v>1843000000</v>
      </c>
      <c r="R59" s="1579">
        <v>3267000000</v>
      </c>
      <c r="S59" s="1579"/>
      <c r="T59" s="1579"/>
      <c r="U59" s="1568"/>
      <c r="V59" s="1568"/>
      <c r="W59" s="1568"/>
      <c r="X59" s="1568"/>
    </row>
    <row r="60" spans="1:27">
      <c r="A60" s="1580" t="s">
        <v>258</v>
      </c>
      <c r="B60" s="1580" t="s">
        <v>258</v>
      </c>
      <c r="C60" s="1577" t="s">
        <v>124</v>
      </c>
      <c r="D60" s="2059"/>
      <c r="E60" s="2059"/>
      <c r="F60" s="2059"/>
      <c r="G60" s="2059"/>
      <c r="H60" s="2059"/>
      <c r="I60" s="2059"/>
      <c r="J60" s="2059"/>
      <c r="K60" s="2059"/>
      <c r="L60" s="2059"/>
      <c r="M60" s="1579">
        <v>-873000000</v>
      </c>
      <c r="N60" s="1579">
        <v>-1010000000</v>
      </c>
      <c r="O60" s="1579">
        <v>-421000000</v>
      </c>
      <c r="P60" s="1579">
        <v>-925000000</v>
      </c>
      <c r="Q60" s="1579">
        <v>-1333000000</v>
      </c>
      <c r="R60" s="1579">
        <v>-2278000000</v>
      </c>
      <c r="S60" s="1579"/>
      <c r="T60" s="1579"/>
      <c r="U60" s="1568"/>
      <c r="V60" s="1568"/>
      <c r="W60" s="1568"/>
      <c r="X60" s="1568"/>
    </row>
    <row r="61" spans="1:27">
      <c r="A61" s="1580" t="s">
        <v>6563</v>
      </c>
      <c r="B61" s="1580" t="s">
        <v>6564</v>
      </c>
      <c r="C61" s="1577" t="s">
        <v>124</v>
      </c>
      <c r="D61" s="2059"/>
      <c r="E61" s="2059"/>
      <c r="F61" s="2059"/>
      <c r="G61" s="2059"/>
      <c r="H61" s="2059"/>
      <c r="I61" s="2059"/>
      <c r="J61" s="2059"/>
      <c r="K61" s="2059"/>
      <c r="L61" s="2059"/>
      <c r="M61" s="1579">
        <v>-598000000</v>
      </c>
      <c r="N61" s="1579">
        <v>-455000000</v>
      </c>
      <c r="O61" s="1579">
        <v>-95000000</v>
      </c>
      <c r="P61" s="1579">
        <v>-675000000</v>
      </c>
      <c r="Q61" s="1579">
        <v>2948000000</v>
      </c>
      <c r="R61" s="1579">
        <v>140000000</v>
      </c>
      <c r="S61" s="1579"/>
      <c r="T61" s="1579"/>
      <c r="U61" s="1568"/>
      <c r="V61" s="1568"/>
      <c r="W61" s="1568"/>
      <c r="X61" s="1568"/>
    </row>
    <row r="62" spans="1:27">
      <c r="A62" s="1580" t="s">
        <v>6565</v>
      </c>
      <c r="B62" s="1580" t="s">
        <v>6566</v>
      </c>
      <c r="C62" s="1577" t="s">
        <v>124</v>
      </c>
      <c r="D62" s="2059"/>
      <c r="E62" s="2059"/>
      <c r="F62" s="2059"/>
      <c r="G62" s="2059"/>
      <c r="H62" s="2059"/>
      <c r="I62" s="2059"/>
      <c r="J62" s="2059"/>
      <c r="K62" s="2059"/>
      <c r="L62" s="2059"/>
      <c r="M62" s="1579"/>
      <c r="N62" s="1579"/>
      <c r="O62" s="1579"/>
      <c r="P62" s="1579">
        <v>0</v>
      </c>
      <c r="Q62" s="1579">
        <v>0</v>
      </c>
      <c r="R62" s="1579">
        <v>0</v>
      </c>
      <c r="S62" s="1579"/>
      <c r="T62" s="1579"/>
      <c r="U62" s="1568"/>
      <c r="V62" s="1568"/>
      <c r="W62" s="1568"/>
      <c r="X62" s="1568"/>
    </row>
    <row r="63" spans="1:27">
      <c r="A63" s="2613" t="s">
        <v>922</v>
      </c>
      <c r="B63" s="2613" t="s">
        <v>922</v>
      </c>
      <c r="C63" s="2617" t="s">
        <v>124</v>
      </c>
      <c r="D63" s="2059"/>
      <c r="E63" s="2059"/>
      <c r="F63" s="2059"/>
      <c r="G63" s="2059"/>
      <c r="H63" s="2059"/>
      <c r="I63" s="2059"/>
      <c r="J63" s="2059"/>
      <c r="K63" s="2059"/>
      <c r="L63" s="2059"/>
      <c r="M63" s="1579"/>
      <c r="N63" s="1579"/>
      <c r="O63" s="1579"/>
      <c r="P63" s="1579"/>
      <c r="Q63" s="1579"/>
      <c r="R63" s="1579"/>
      <c r="S63" s="1579">
        <f>S56-S57-S58-S59-S60-S62-S61</f>
        <v>41000000</v>
      </c>
      <c r="T63" s="1579">
        <f>T56-T57-T58-T59-T60-T62-T61</f>
        <v>-1000000</v>
      </c>
      <c r="U63" s="1568"/>
      <c r="V63" s="1568"/>
      <c r="W63" s="1568"/>
      <c r="X63" s="1568"/>
    </row>
    <row r="64" spans="1:27">
      <c r="A64" s="1577" t="s">
        <v>1096</v>
      </c>
      <c r="B64" s="1577" t="s">
        <v>6567</v>
      </c>
      <c r="C64" s="1577" t="s">
        <v>252</v>
      </c>
      <c r="D64" s="2059">
        <v>342000000</v>
      </c>
      <c r="E64" s="2059">
        <v>11000000</v>
      </c>
      <c r="F64" s="2059">
        <v>339000000</v>
      </c>
      <c r="G64" s="2059">
        <v>8000000</v>
      </c>
      <c r="H64" s="2059">
        <v>125000000</v>
      </c>
      <c r="I64" s="2059">
        <v>170000000</v>
      </c>
      <c r="J64" s="2059">
        <v>3000000000</v>
      </c>
      <c r="K64" s="2059">
        <v>391000000</v>
      </c>
      <c r="L64" s="2059">
        <v>147000000</v>
      </c>
      <c r="M64" s="1579"/>
      <c r="N64" s="1579"/>
      <c r="O64" s="1579">
        <v>383000000</v>
      </c>
      <c r="P64" s="1579">
        <v>394000000</v>
      </c>
      <c r="Q64" s="1579">
        <v>479000000</v>
      </c>
      <c r="R64" s="1579">
        <v>92000000</v>
      </c>
      <c r="S64" s="1579"/>
      <c r="T64" s="1579"/>
      <c r="U64" s="1568"/>
      <c r="V64" s="1568"/>
      <c r="W64" s="1568"/>
      <c r="X64" s="1568"/>
    </row>
    <row r="65" spans="2:24">
      <c r="B65" s="1577" t="s">
        <v>6568</v>
      </c>
      <c r="C65" s="1575"/>
      <c r="D65" s="2059"/>
      <c r="E65" s="2059"/>
      <c r="F65" s="2059"/>
      <c r="G65" s="2059"/>
      <c r="H65" s="2059"/>
      <c r="I65" s="2059"/>
      <c r="J65" s="2059"/>
      <c r="K65" s="2059"/>
      <c r="L65" s="2059"/>
      <c r="M65" s="1579">
        <v>0</v>
      </c>
      <c r="N65" s="1579">
        <v>0</v>
      </c>
      <c r="O65" s="1579">
        <v>0</v>
      </c>
      <c r="P65" s="1579">
        <v>0</v>
      </c>
      <c r="Q65" s="1579">
        <v>0</v>
      </c>
      <c r="R65" s="1579">
        <v>0</v>
      </c>
      <c r="S65" s="1579">
        <v>0</v>
      </c>
      <c r="T65" s="2070">
        <v>0</v>
      </c>
      <c r="U65" s="1568">
        <v>0</v>
      </c>
      <c r="V65" s="1568">
        <v>0</v>
      </c>
      <c r="W65" s="1568"/>
      <c r="X65" s="1568"/>
    </row>
    <row r="66" spans="2:24">
      <c r="C66" s="1575"/>
      <c r="T66" s="1568"/>
      <c r="U66" s="1568"/>
      <c r="V66" s="1568"/>
      <c r="W66" s="1568"/>
      <c r="X66" s="1568"/>
    </row>
    <row r="67" spans="2:24">
      <c r="C67" s="1575"/>
      <c r="D67" s="1570" t="s">
        <v>139</v>
      </c>
      <c r="E67" s="1570" t="s">
        <v>138</v>
      </c>
      <c r="F67" s="1570" t="s">
        <v>138</v>
      </c>
      <c r="G67" s="1570" t="s">
        <v>138</v>
      </c>
      <c r="H67" s="1570" t="s">
        <v>138</v>
      </c>
      <c r="I67" s="1570" t="s">
        <v>139</v>
      </c>
      <c r="J67" s="1570" t="s">
        <v>139</v>
      </c>
      <c r="K67" s="1570" t="s">
        <v>139</v>
      </c>
      <c r="L67" s="1570" t="s">
        <v>447</v>
      </c>
      <c r="M67" s="1570" t="s">
        <v>139</v>
      </c>
      <c r="N67" s="1570" t="s">
        <v>139</v>
      </c>
      <c r="O67" s="1570" t="s">
        <v>139</v>
      </c>
      <c r="P67" s="1570" t="s">
        <v>139</v>
      </c>
      <c r="Q67" s="1570" t="s">
        <v>139</v>
      </c>
      <c r="R67" s="1570" t="s">
        <v>139</v>
      </c>
      <c r="S67" s="1570" t="s">
        <v>139</v>
      </c>
      <c r="T67" s="1570" t="s">
        <v>139</v>
      </c>
      <c r="U67" s="1570" t="s">
        <v>139</v>
      </c>
      <c r="V67" s="1570" t="s">
        <v>139</v>
      </c>
      <c r="W67" s="1570" t="s">
        <v>139</v>
      </c>
      <c r="X67" s="1568"/>
    </row>
    <row r="68" spans="2:24">
      <c r="C68" s="1575"/>
      <c r="T68" s="1568"/>
      <c r="U68" s="1568"/>
      <c r="V68" s="1568"/>
      <c r="W68" s="1568"/>
      <c r="X68" s="1568"/>
    </row>
    <row r="69" spans="2:24">
      <c r="B69" s="1570" t="s">
        <v>1499</v>
      </c>
      <c r="C69" s="1575"/>
      <c r="D69" s="1588">
        <f>D6-D8-D23</f>
        <v>0</v>
      </c>
      <c r="E69" s="1588">
        <f t="shared" ref="E69:S69" si="10">E6-E8-E23</f>
        <v>0</v>
      </c>
      <c r="F69" s="1588">
        <f t="shared" si="10"/>
        <v>0</v>
      </c>
      <c r="G69" s="1588">
        <f t="shared" si="10"/>
        <v>0</v>
      </c>
      <c r="H69" s="1588">
        <f t="shared" si="10"/>
        <v>0</v>
      </c>
      <c r="I69" s="1588">
        <f t="shared" si="10"/>
        <v>0</v>
      </c>
      <c r="J69" s="1588">
        <f t="shared" si="10"/>
        <v>0</v>
      </c>
      <c r="K69" s="1588">
        <f t="shared" si="10"/>
        <v>0</v>
      </c>
      <c r="L69" s="1588">
        <f t="shared" si="10"/>
        <v>0</v>
      </c>
      <c r="M69" s="1588">
        <f t="shared" si="10"/>
        <v>0</v>
      </c>
      <c r="N69" s="1588">
        <f t="shared" si="10"/>
        <v>0</v>
      </c>
      <c r="O69" s="1588">
        <f t="shared" si="10"/>
        <v>1000000</v>
      </c>
      <c r="P69" s="1588">
        <f t="shared" si="10"/>
        <v>0</v>
      </c>
      <c r="Q69" s="1588">
        <f t="shared" si="10"/>
        <v>1000000</v>
      </c>
      <c r="R69" s="1588">
        <f t="shared" si="10"/>
        <v>0</v>
      </c>
      <c r="S69" s="1588">
        <f t="shared" si="10"/>
        <v>0</v>
      </c>
      <c r="T69" s="1588">
        <f>T6-T8-T23</f>
        <v>0</v>
      </c>
      <c r="U69" s="1588">
        <f t="shared" ref="U69:V69" si="11">U6-U8-U23</f>
        <v>0</v>
      </c>
      <c r="V69" s="1588">
        <f t="shared" si="11"/>
        <v>0</v>
      </c>
      <c r="W69" s="1568"/>
      <c r="X69" s="1568"/>
    </row>
    <row r="70" spans="2:24">
      <c r="B70" s="1570" t="s">
        <v>141</v>
      </c>
      <c r="C70" s="1575"/>
      <c r="D70" s="1588">
        <f>D8-D9-D21-D22</f>
        <v>0</v>
      </c>
      <c r="E70" s="1588">
        <f t="shared" ref="E70:S70" si="12">E8-E9-E21-E22</f>
        <v>-1000000</v>
      </c>
      <c r="F70" s="1588">
        <f t="shared" si="12"/>
        <v>0</v>
      </c>
      <c r="G70" s="1588">
        <f t="shared" si="12"/>
        <v>-1000000</v>
      </c>
      <c r="H70" s="1588">
        <f t="shared" si="12"/>
        <v>0</v>
      </c>
      <c r="I70" s="1588">
        <f t="shared" si="12"/>
        <v>0</v>
      </c>
      <c r="J70" s="1588">
        <f t="shared" si="12"/>
        <v>0</v>
      </c>
      <c r="K70" s="1588">
        <f t="shared" si="12"/>
        <v>1000000</v>
      </c>
      <c r="L70" s="1588">
        <f t="shared" si="12"/>
        <v>0</v>
      </c>
      <c r="M70" s="1588">
        <f t="shared" si="12"/>
        <v>0</v>
      </c>
      <c r="N70" s="1588">
        <f t="shared" si="12"/>
        <v>0</v>
      </c>
      <c r="O70" s="1588">
        <f t="shared" si="12"/>
        <v>-1000000</v>
      </c>
      <c r="P70" s="1588">
        <f t="shared" si="12"/>
        <v>0</v>
      </c>
      <c r="Q70" s="1588">
        <f t="shared" si="12"/>
        <v>0</v>
      </c>
      <c r="R70" s="1588">
        <f t="shared" si="12"/>
        <v>0</v>
      </c>
      <c r="S70" s="1588">
        <f t="shared" si="12"/>
        <v>0</v>
      </c>
      <c r="T70" s="1588">
        <f>T8-T9-T21-T22</f>
        <v>0</v>
      </c>
      <c r="U70" s="1588">
        <f t="shared" ref="U70:V70" si="13">U8-U9-U21-U22</f>
        <v>0</v>
      </c>
      <c r="V70" s="1588">
        <f t="shared" si="13"/>
        <v>0</v>
      </c>
      <c r="W70" s="1568"/>
      <c r="X70" s="1568"/>
    </row>
    <row r="71" spans="2:24">
      <c r="B71" s="1570" t="s">
        <v>6569</v>
      </c>
      <c r="C71" s="1575"/>
      <c r="D71" s="1588">
        <f>D9-D10-D11-D12-D15-D18</f>
        <v>0</v>
      </c>
      <c r="E71" s="1588">
        <f t="shared" ref="E71:S71" si="14">E9-E10-E11-E12-E15-E18</f>
        <v>0</v>
      </c>
      <c r="F71" s="1588">
        <f t="shared" si="14"/>
        <v>0</v>
      </c>
      <c r="G71" s="1588">
        <f t="shared" si="14"/>
        <v>0</v>
      </c>
      <c r="H71" s="1588">
        <f t="shared" si="14"/>
        <v>0</v>
      </c>
      <c r="I71" s="1588">
        <f t="shared" si="14"/>
        <v>0</v>
      </c>
      <c r="J71" s="1588">
        <f t="shared" si="14"/>
        <v>-1000000</v>
      </c>
      <c r="K71" s="1588">
        <f t="shared" si="14"/>
        <v>-1000000</v>
      </c>
      <c r="L71" s="1588">
        <f t="shared" si="14"/>
        <v>-1000000</v>
      </c>
      <c r="M71" s="2254">
        <f t="shared" si="14"/>
        <v>11685000000</v>
      </c>
      <c r="N71" s="2254">
        <f t="shared" si="14"/>
        <v>12699000000</v>
      </c>
      <c r="O71" s="2254">
        <f t="shared" si="14"/>
        <v>13668000000</v>
      </c>
      <c r="P71" s="2254">
        <f t="shared" si="14"/>
        <v>14864000000</v>
      </c>
      <c r="Q71" s="2254">
        <f t="shared" si="14"/>
        <v>16333000000</v>
      </c>
      <c r="R71" s="2254">
        <f t="shared" si="14"/>
        <v>18580000000</v>
      </c>
      <c r="S71" s="1588">
        <f t="shared" si="14"/>
        <v>0</v>
      </c>
      <c r="T71" s="1588">
        <f>T9-T10-T11-T12-T15-T18</f>
        <v>-1000000</v>
      </c>
      <c r="U71" s="1588">
        <f t="shared" ref="U71:V71" si="15">U9-U10-U11-U12-U15-U18</f>
        <v>0</v>
      </c>
      <c r="V71" s="1588">
        <f t="shared" si="15"/>
        <v>0</v>
      </c>
      <c r="W71" s="1568"/>
      <c r="X71" s="1568"/>
    </row>
    <row r="72" spans="2:24">
      <c r="B72" s="1570" t="s">
        <v>6570</v>
      </c>
      <c r="C72" s="1575"/>
      <c r="D72" s="2254">
        <f>D12-D13-D14</f>
        <v>642000000</v>
      </c>
      <c r="E72" s="2254">
        <f t="shared" ref="E72:S72" si="16">E12-E13-E14</f>
        <v>1930000000</v>
      </c>
      <c r="F72" s="2254">
        <f t="shared" si="16"/>
        <v>1895000000</v>
      </c>
      <c r="G72" s="2254">
        <f t="shared" si="16"/>
        <v>2006000000</v>
      </c>
      <c r="H72" s="1588">
        <f t="shared" si="16"/>
        <v>-1000000</v>
      </c>
      <c r="I72" s="1588">
        <f t="shared" si="16"/>
        <v>0</v>
      </c>
      <c r="J72" s="1588">
        <f t="shared" si="16"/>
        <v>0</v>
      </c>
      <c r="K72" s="1588">
        <f t="shared" si="16"/>
        <v>1000000</v>
      </c>
      <c r="L72" s="1588">
        <f t="shared" si="16"/>
        <v>0</v>
      </c>
      <c r="M72" s="1588">
        <f t="shared" si="16"/>
        <v>0</v>
      </c>
      <c r="N72" s="1588">
        <f t="shared" si="16"/>
        <v>0</v>
      </c>
      <c r="O72" s="1588">
        <f t="shared" si="16"/>
        <v>0</v>
      </c>
      <c r="P72" s="1588">
        <f t="shared" si="16"/>
        <v>0</v>
      </c>
      <c r="Q72" s="1588">
        <f t="shared" si="16"/>
        <v>0</v>
      </c>
      <c r="R72" s="1588">
        <f t="shared" si="16"/>
        <v>0</v>
      </c>
      <c r="S72" s="2268">
        <f t="shared" si="16"/>
        <v>5057000000</v>
      </c>
      <c r="T72" s="2268">
        <f>T12-T13-T14</f>
        <v>5138000000</v>
      </c>
      <c r="U72" s="2268">
        <f t="shared" ref="U72:V72" si="17">U12-U13-U14</f>
        <v>5871000000</v>
      </c>
      <c r="V72" s="2268">
        <f t="shared" si="17"/>
        <v>7081000000</v>
      </c>
      <c r="W72" s="1568"/>
      <c r="X72" s="1568"/>
    </row>
    <row r="73" spans="2:24">
      <c r="B73" s="1570" t="s">
        <v>6571</v>
      </c>
      <c r="C73" s="1575"/>
      <c r="D73" s="1588">
        <f>D15-D16-D17</f>
        <v>0</v>
      </c>
      <c r="E73" s="1588">
        <f t="shared" ref="E73:S73" si="18">E15-E16-E17</f>
        <v>0</v>
      </c>
      <c r="F73" s="1588">
        <f t="shared" si="18"/>
        <v>0</v>
      </c>
      <c r="G73" s="1588">
        <f t="shared" si="18"/>
        <v>0</v>
      </c>
      <c r="H73" s="1588">
        <f t="shared" si="18"/>
        <v>-1000000</v>
      </c>
      <c r="I73" s="1588">
        <f t="shared" si="18"/>
        <v>0</v>
      </c>
      <c r="J73" s="1588">
        <f t="shared" si="18"/>
        <v>0</v>
      </c>
      <c r="K73" s="1588">
        <f t="shared" si="18"/>
        <v>0</v>
      </c>
      <c r="L73" s="1588">
        <f t="shared" si="18"/>
        <v>0</v>
      </c>
      <c r="M73" s="1588">
        <f t="shared" si="18"/>
        <v>0</v>
      </c>
      <c r="N73" s="1588">
        <f t="shared" si="18"/>
        <v>0</v>
      </c>
      <c r="O73" s="1588">
        <f t="shared" si="18"/>
        <v>0</v>
      </c>
      <c r="P73" s="1588">
        <f t="shared" si="18"/>
        <v>0</v>
      </c>
      <c r="Q73" s="1588">
        <f t="shared" si="18"/>
        <v>0</v>
      </c>
      <c r="R73" s="1588">
        <f t="shared" si="18"/>
        <v>0</v>
      </c>
      <c r="S73" s="2268">
        <f t="shared" si="18"/>
        <v>1773000000</v>
      </c>
      <c r="T73" s="2268">
        <f>T15-T16-T17</f>
        <v>2174000000</v>
      </c>
      <c r="U73" s="2268">
        <f t="shared" ref="U73:V73" si="19">U15-U16-U17</f>
        <v>2418000000</v>
      </c>
      <c r="V73" s="2268">
        <f t="shared" si="19"/>
        <v>3051000000</v>
      </c>
      <c r="W73" s="1568"/>
      <c r="X73" s="1568"/>
    </row>
    <row r="74" spans="2:24">
      <c r="B74" s="1570" t="s">
        <v>6572</v>
      </c>
      <c r="C74" s="1575"/>
      <c r="D74" s="2254">
        <f>D18-D19-D20</f>
        <v>1669000000</v>
      </c>
      <c r="E74" s="2254">
        <f t="shared" ref="E74:S74" si="20">E18-E19-E20</f>
        <v>1809000000</v>
      </c>
      <c r="F74" s="2254">
        <f t="shared" si="20"/>
        <v>1914000000</v>
      </c>
      <c r="G74" s="2254">
        <f t="shared" si="20"/>
        <v>1917000000</v>
      </c>
      <c r="H74" s="1588">
        <f t="shared" si="20"/>
        <v>0</v>
      </c>
      <c r="I74" s="1588">
        <f t="shared" si="20"/>
        <v>-1000000</v>
      </c>
      <c r="J74" s="1588">
        <f t="shared" si="20"/>
        <v>0</v>
      </c>
      <c r="K74" s="1588">
        <f t="shared" si="20"/>
        <v>0</v>
      </c>
      <c r="L74" s="1588">
        <f t="shared" si="20"/>
        <v>0</v>
      </c>
      <c r="M74" s="1588">
        <f t="shared" si="20"/>
        <v>0</v>
      </c>
      <c r="N74" s="1588">
        <f t="shared" si="20"/>
        <v>0</v>
      </c>
      <c r="O74" s="1588">
        <f t="shared" si="20"/>
        <v>0</v>
      </c>
      <c r="P74" s="1588">
        <f t="shared" si="20"/>
        <v>0</v>
      </c>
      <c r="Q74" s="1588">
        <f t="shared" si="20"/>
        <v>0</v>
      </c>
      <c r="R74" s="1588">
        <f t="shared" si="20"/>
        <v>0</v>
      </c>
      <c r="S74" s="2268">
        <f t="shared" si="20"/>
        <v>3016000000</v>
      </c>
      <c r="T74" s="2268">
        <f>T18-T19-T20</f>
        <v>3174000000</v>
      </c>
      <c r="U74" s="2268">
        <f t="shared" ref="U74:V74" si="21">U18-U19-U20</f>
        <v>3425000000</v>
      </c>
      <c r="V74" s="2268">
        <f t="shared" si="21"/>
        <v>3765000000</v>
      </c>
      <c r="W74" s="1568"/>
      <c r="X74" s="1568"/>
    </row>
    <row r="75" spans="2:24">
      <c r="B75" s="1570" t="s">
        <v>145</v>
      </c>
      <c r="C75" s="1575"/>
      <c r="D75" s="1588">
        <f t="shared" ref="D75:S75" si="22">D24-D26-D40-D44</f>
        <v>0</v>
      </c>
      <c r="E75" s="1588">
        <f t="shared" si="22"/>
        <v>0</v>
      </c>
      <c r="F75" s="1588">
        <f t="shared" si="22"/>
        <v>0</v>
      </c>
      <c r="G75" s="1588">
        <f t="shared" si="22"/>
        <v>0</v>
      </c>
      <c r="H75" s="1588">
        <f t="shared" si="22"/>
        <v>0</v>
      </c>
      <c r="I75" s="1588">
        <f t="shared" si="22"/>
        <v>0</v>
      </c>
      <c r="J75" s="1588">
        <f t="shared" si="22"/>
        <v>0</v>
      </c>
      <c r="K75" s="1588">
        <f t="shared" si="22"/>
        <v>0</v>
      </c>
      <c r="L75" s="1588">
        <f t="shared" si="22"/>
        <v>0</v>
      </c>
      <c r="M75" s="1588">
        <f t="shared" si="22"/>
        <v>0</v>
      </c>
      <c r="N75" s="1588">
        <f t="shared" si="22"/>
        <v>0</v>
      </c>
      <c r="O75" s="1588">
        <f t="shared" si="22"/>
        <v>0</v>
      </c>
      <c r="P75" s="1588">
        <f t="shared" si="22"/>
        <v>0</v>
      </c>
      <c r="Q75" s="1588">
        <f t="shared" si="22"/>
        <v>0</v>
      </c>
      <c r="R75" s="1588">
        <f t="shared" si="22"/>
        <v>0</v>
      </c>
      <c r="S75" s="1588">
        <f t="shared" si="22"/>
        <v>0</v>
      </c>
      <c r="T75" s="1588">
        <f>T24-T26-T40-T44</f>
        <v>0</v>
      </c>
      <c r="U75" s="1588">
        <f t="shared" ref="U75:V75" si="23">U24-U26-U40-U44</f>
        <v>0</v>
      </c>
      <c r="V75" s="1588">
        <f t="shared" si="23"/>
        <v>0</v>
      </c>
      <c r="W75" s="1568"/>
      <c r="X75" s="1568"/>
    </row>
    <row r="76" spans="2:24">
      <c r="B76" s="1570" t="s">
        <v>361</v>
      </c>
      <c r="C76" s="1575"/>
      <c r="D76" s="1588">
        <f t="shared" ref="D76:S76" si="24">D26-D27-D28-D29-D36-D32</f>
        <v>0</v>
      </c>
      <c r="E76" s="1588">
        <f t="shared" si="24"/>
        <v>1000000</v>
      </c>
      <c r="F76" s="1588">
        <f t="shared" si="24"/>
        <v>1000000</v>
      </c>
      <c r="G76" s="1588">
        <f t="shared" si="24"/>
        <v>-1000000</v>
      </c>
      <c r="H76" s="1588">
        <f t="shared" si="24"/>
        <v>0</v>
      </c>
      <c r="I76" s="1588">
        <f t="shared" si="24"/>
        <v>-1000000</v>
      </c>
      <c r="J76" s="1588">
        <f t="shared" si="24"/>
        <v>0</v>
      </c>
      <c r="K76" s="1588">
        <f t="shared" si="24"/>
        <v>0</v>
      </c>
      <c r="L76" s="1588">
        <f t="shared" si="24"/>
        <v>-1000000</v>
      </c>
      <c r="M76" s="1588">
        <f t="shared" si="24"/>
        <v>0</v>
      </c>
      <c r="N76" s="1588">
        <f t="shared" si="24"/>
        <v>0</v>
      </c>
      <c r="O76" s="1588">
        <f t="shared" si="24"/>
        <v>0</v>
      </c>
      <c r="P76" s="1588">
        <f t="shared" si="24"/>
        <v>0</v>
      </c>
      <c r="Q76" s="1588">
        <f t="shared" si="24"/>
        <v>0</v>
      </c>
      <c r="R76" s="1588">
        <f t="shared" si="24"/>
        <v>0</v>
      </c>
      <c r="S76" s="1588">
        <f t="shared" si="24"/>
        <v>0</v>
      </c>
      <c r="T76" s="1588">
        <f>T26-T27-T28-T29-T36-T32</f>
        <v>0</v>
      </c>
      <c r="U76" s="1588">
        <f t="shared" ref="U76:V76" si="25">U26-U27-U28-U29-U36-U32</f>
        <v>0</v>
      </c>
      <c r="V76" s="1588">
        <f t="shared" si="25"/>
        <v>0</v>
      </c>
      <c r="W76" s="1568"/>
      <c r="X76" s="1568"/>
    </row>
    <row r="77" spans="2:24">
      <c r="B77" s="1570" t="s">
        <v>6209</v>
      </c>
      <c r="C77" s="1575"/>
      <c r="D77" s="2254">
        <f>D32-D33-D34-D35</f>
        <v>714000000</v>
      </c>
      <c r="E77" s="2254">
        <f t="shared" ref="E77:S77" si="26">E32-E33-E34-E35</f>
        <v>758000000</v>
      </c>
      <c r="F77" s="2254">
        <f t="shared" si="26"/>
        <v>809000000</v>
      </c>
      <c r="G77" s="2254">
        <f t="shared" si="26"/>
        <v>819000000</v>
      </c>
      <c r="H77" s="1588">
        <f t="shared" si="26"/>
        <v>0</v>
      </c>
      <c r="I77" s="1588">
        <f t="shared" si="26"/>
        <v>0</v>
      </c>
      <c r="J77" s="1588">
        <f t="shared" si="26"/>
        <v>-1000000</v>
      </c>
      <c r="K77" s="1588">
        <f t="shared" si="26"/>
        <v>0</v>
      </c>
      <c r="L77" s="1588">
        <f t="shared" si="26"/>
        <v>0</v>
      </c>
      <c r="M77" s="2254">
        <f t="shared" si="26"/>
        <v>2186000000</v>
      </c>
      <c r="N77" s="2254">
        <f t="shared" si="26"/>
        <v>2308000000</v>
      </c>
      <c r="O77" s="2254">
        <f t="shared" si="26"/>
        <v>3874000000</v>
      </c>
      <c r="P77" s="1588">
        <f t="shared" si="26"/>
        <v>0</v>
      </c>
      <c r="Q77" s="1588">
        <f t="shared" si="26"/>
        <v>0</v>
      </c>
      <c r="R77" s="1588">
        <f t="shared" si="26"/>
        <v>0</v>
      </c>
      <c r="S77" s="1588">
        <f t="shared" si="26"/>
        <v>0</v>
      </c>
      <c r="T77" s="1588">
        <f>T32-T33-T34-T35</f>
        <v>0</v>
      </c>
      <c r="U77" s="1588">
        <f t="shared" ref="U77:V77" si="27">U32-U33-U34-U35</f>
        <v>0</v>
      </c>
      <c r="V77" s="1588">
        <f t="shared" si="27"/>
        <v>0</v>
      </c>
      <c r="W77" s="1568"/>
      <c r="X77" s="1568"/>
    </row>
    <row r="78" spans="2:24">
      <c r="B78" s="1570" t="s">
        <v>2158</v>
      </c>
      <c r="C78" s="1575"/>
      <c r="D78" s="2064">
        <f>D36-D37-D38-D39</f>
        <v>0</v>
      </c>
      <c r="E78" s="2064">
        <f t="shared" ref="E78:Q78" si="28">E36-E37-E38-E39</f>
        <v>0</v>
      </c>
      <c r="F78" s="2064">
        <f t="shared" si="28"/>
        <v>0</v>
      </c>
      <c r="G78" s="2064">
        <f t="shared" si="28"/>
        <v>0</v>
      </c>
      <c r="H78" s="2064">
        <f t="shared" si="28"/>
        <v>0</v>
      </c>
      <c r="I78" s="2064">
        <f t="shared" si="28"/>
        <v>0</v>
      </c>
      <c r="J78" s="2064">
        <f t="shared" si="28"/>
        <v>0</v>
      </c>
      <c r="K78" s="2064">
        <f t="shared" si="28"/>
        <v>0</v>
      </c>
      <c r="L78" s="2064">
        <f t="shared" si="28"/>
        <v>0</v>
      </c>
      <c r="M78" s="2064">
        <f t="shared" si="28"/>
        <v>0</v>
      </c>
      <c r="N78" s="2064">
        <f t="shared" si="28"/>
        <v>0</v>
      </c>
      <c r="O78" s="2064">
        <f t="shared" si="28"/>
        <v>0</v>
      </c>
      <c r="P78" s="2064">
        <f t="shared" si="28"/>
        <v>0</v>
      </c>
      <c r="Q78" s="2064">
        <f t="shared" si="28"/>
        <v>0</v>
      </c>
      <c r="R78" s="2064">
        <f>R36-R37-R38-R39</f>
        <v>0</v>
      </c>
      <c r="S78" s="2064">
        <f>S36-S37-S38-S39</f>
        <v>0</v>
      </c>
      <c r="T78" s="2065">
        <f>T36-T37-T38-T39</f>
        <v>0</v>
      </c>
      <c r="U78" s="2065">
        <f t="shared" ref="U78:V78" si="29">U36-U37-U38-U39</f>
        <v>10000000</v>
      </c>
      <c r="V78" s="2065">
        <f t="shared" si="29"/>
        <v>70000000</v>
      </c>
      <c r="W78" s="1568"/>
      <c r="X78" s="1568"/>
    </row>
    <row r="79" spans="2:24">
      <c r="B79" s="1570" t="s">
        <v>3024</v>
      </c>
      <c r="C79" s="1575"/>
      <c r="D79" s="2064">
        <f>D40-D41-D42-D43</f>
        <v>-1000000</v>
      </c>
      <c r="E79" s="2064">
        <f t="shared" ref="E79:S79" si="30">E40-E41-E42-E43</f>
        <v>0</v>
      </c>
      <c r="F79" s="2064">
        <f t="shared" si="30"/>
        <v>-1000000</v>
      </c>
      <c r="G79" s="2064">
        <f t="shared" si="30"/>
        <v>0</v>
      </c>
      <c r="H79" s="2064">
        <f t="shared" si="30"/>
        <v>0</v>
      </c>
      <c r="I79" s="2064">
        <f t="shared" si="30"/>
        <v>0</v>
      </c>
      <c r="J79" s="2064">
        <f t="shared" si="30"/>
        <v>0</v>
      </c>
      <c r="K79" s="2064">
        <f t="shared" si="30"/>
        <v>0</v>
      </c>
      <c r="L79" s="2064">
        <f t="shared" si="30"/>
        <v>0</v>
      </c>
      <c r="M79" s="2065">
        <f>M40-M41-M42-M43</f>
        <v>3866000000</v>
      </c>
      <c r="N79" s="2065">
        <f t="shared" si="30"/>
        <v>4144000000</v>
      </c>
      <c r="O79" s="2065">
        <f t="shared" si="30"/>
        <v>4616000000</v>
      </c>
      <c r="P79" s="2065">
        <f t="shared" si="30"/>
        <v>4692000000</v>
      </c>
      <c r="Q79" s="2065">
        <f t="shared" si="30"/>
        <v>3725000000</v>
      </c>
      <c r="R79" s="2065">
        <f t="shared" si="30"/>
        <v>3495000000</v>
      </c>
      <c r="S79" s="2065">
        <f t="shared" si="30"/>
        <v>3943000000</v>
      </c>
      <c r="T79" s="2065">
        <f>T40-T41-T42-T43</f>
        <v>4798000000</v>
      </c>
      <c r="U79" s="2065">
        <f t="shared" ref="U79:V79" si="31">U40-U41-U42-U43</f>
        <v>5471000000</v>
      </c>
      <c r="V79" s="2065">
        <f t="shared" si="31"/>
        <v>5656000000</v>
      </c>
      <c r="W79" s="1568"/>
      <c r="X79" s="1568"/>
    </row>
    <row r="80" spans="2:24">
      <c r="B80" s="1570" t="s">
        <v>6573</v>
      </c>
      <c r="C80" s="1575"/>
      <c r="D80" s="1588">
        <f>D51-D53-D56-D64-D65</f>
        <v>0</v>
      </c>
      <c r="E80" s="1588">
        <f t="shared" ref="E80:S80" si="32">E51-E53-E56-E64-E65</f>
        <v>0</v>
      </c>
      <c r="F80" s="1588">
        <f t="shared" si="32"/>
        <v>0</v>
      </c>
      <c r="G80" s="1588">
        <f t="shared" si="32"/>
        <v>0</v>
      </c>
      <c r="H80" s="1588">
        <f t="shared" si="32"/>
        <v>-1000000</v>
      </c>
      <c r="I80" s="1588">
        <f t="shared" si="32"/>
        <v>0</v>
      </c>
      <c r="J80" s="1588">
        <f t="shared" si="32"/>
        <v>0</v>
      </c>
      <c r="K80" s="1588">
        <f t="shared" si="32"/>
        <v>0</v>
      </c>
      <c r="L80" s="2255">
        <f>L51-L53-L56-L64-L65</f>
        <v>0</v>
      </c>
      <c r="M80" s="1588">
        <f t="shared" si="32"/>
        <v>0</v>
      </c>
      <c r="N80" s="1588">
        <f t="shared" si="32"/>
        <v>0</v>
      </c>
      <c r="O80" s="1588">
        <f t="shared" si="32"/>
        <v>0</v>
      </c>
      <c r="P80" s="1588">
        <f t="shared" si="32"/>
        <v>-1000000</v>
      </c>
      <c r="Q80" s="1588">
        <f t="shared" si="32"/>
        <v>0</v>
      </c>
      <c r="R80" s="1588">
        <f t="shared" si="32"/>
        <v>0</v>
      </c>
      <c r="S80" s="1588">
        <f t="shared" si="32"/>
        <v>-1000000</v>
      </c>
      <c r="T80" s="1588">
        <f>T51-T53-T56-T64-T65</f>
        <v>0</v>
      </c>
      <c r="U80" s="1588">
        <f t="shared" ref="U80:V80" si="33">U51-U53-U56-U64-U65</f>
        <v>0</v>
      </c>
      <c r="V80" s="1588">
        <f t="shared" si="33"/>
        <v>0</v>
      </c>
      <c r="W80" s="1568"/>
      <c r="X80" s="1568"/>
    </row>
    <row r="81" spans="2:24">
      <c r="B81" s="1570" t="s">
        <v>1171</v>
      </c>
      <c r="C81" s="1575"/>
      <c r="D81" s="2254">
        <f t="shared" ref="D81:V81" si="34">D53-D54-D55</f>
        <v>-51000000</v>
      </c>
      <c r="E81" s="2254">
        <f t="shared" si="34"/>
        <v>1089000000</v>
      </c>
      <c r="F81" s="2254">
        <f t="shared" si="34"/>
        <v>683000000</v>
      </c>
      <c r="G81" s="2254">
        <f t="shared" si="34"/>
        <v>808000000</v>
      </c>
      <c r="H81" s="2254">
        <f t="shared" si="34"/>
        <v>207000000</v>
      </c>
      <c r="I81" s="2254">
        <f t="shared" si="34"/>
        <v>284000000</v>
      </c>
      <c r="J81" s="2254">
        <f t="shared" si="34"/>
        <v>-1222000000</v>
      </c>
      <c r="K81" s="2254">
        <f t="shared" si="34"/>
        <v>-429000000</v>
      </c>
      <c r="L81" s="2254">
        <f t="shared" si="34"/>
        <v>220000000</v>
      </c>
      <c r="M81" s="1588">
        <f t="shared" si="34"/>
        <v>1000000</v>
      </c>
      <c r="N81" s="1588">
        <f t="shared" si="34"/>
        <v>0</v>
      </c>
      <c r="O81" s="1588">
        <f t="shared" si="34"/>
        <v>0</v>
      </c>
      <c r="P81" s="1588">
        <f>P53-P54-P55</f>
        <v>0</v>
      </c>
      <c r="Q81" s="1588">
        <f t="shared" si="34"/>
        <v>0</v>
      </c>
      <c r="R81" s="1588">
        <f t="shared" si="34"/>
        <v>0</v>
      </c>
      <c r="S81" s="2255">
        <f t="shared" si="34"/>
        <v>0</v>
      </c>
      <c r="T81" s="2255">
        <f t="shared" si="34"/>
        <v>0</v>
      </c>
      <c r="U81" s="2255">
        <f t="shared" si="34"/>
        <v>0</v>
      </c>
      <c r="V81" s="2255">
        <f t="shared" si="34"/>
        <v>7228000000</v>
      </c>
      <c r="W81" s="1568"/>
      <c r="X81" s="1568"/>
    </row>
    <row r="82" spans="2:24">
      <c r="B82" s="1570" t="s">
        <v>1172</v>
      </c>
      <c r="C82" s="1575"/>
      <c r="D82" s="2065">
        <f t="shared" ref="D82:R82" si="35">D56-D59-D60-D61-D62</f>
        <v>701000000</v>
      </c>
      <c r="E82" s="2065">
        <f t="shared" si="35"/>
        <v>-95000000</v>
      </c>
      <c r="F82" s="2065">
        <f t="shared" si="35"/>
        <v>-105000000</v>
      </c>
      <c r="G82" s="2065">
        <f t="shared" si="35"/>
        <v>227000000</v>
      </c>
      <c r="H82" s="2065">
        <f t="shared" si="35"/>
        <v>595000000</v>
      </c>
      <c r="I82" s="2065">
        <f t="shared" si="35"/>
        <v>689000000</v>
      </c>
      <c r="J82" s="2065">
        <f t="shared" si="35"/>
        <v>-566000000</v>
      </c>
      <c r="K82" s="2065">
        <f t="shared" si="35"/>
        <v>1333000000</v>
      </c>
      <c r="L82" s="2065">
        <f t="shared" si="35"/>
        <v>89000000</v>
      </c>
      <c r="M82" s="2064">
        <f t="shared" si="35"/>
        <v>0</v>
      </c>
      <c r="N82" s="2064">
        <f t="shared" si="35"/>
        <v>0</v>
      </c>
      <c r="O82" s="2064">
        <f t="shared" si="35"/>
        <v>0</v>
      </c>
      <c r="P82" s="2064">
        <f t="shared" si="35"/>
        <v>0</v>
      </c>
      <c r="Q82" s="2064">
        <f t="shared" si="35"/>
        <v>1000000</v>
      </c>
      <c r="R82" s="2064">
        <f t="shared" si="35"/>
        <v>0</v>
      </c>
      <c r="S82" s="1841">
        <f>S56-S59-S60-S61-S62-S57-S58-S63</f>
        <v>0</v>
      </c>
      <c r="T82" s="1841">
        <f t="shared" ref="T82:V82" si="36">T56-T59-T60-T61-T62-T57-T58-T63</f>
        <v>0</v>
      </c>
      <c r="U82" s="1841">
        <f t="shared" si="36"/>
        <v>0</v>
      </c>
      <c r="V82" s="1841">
        <f t="shared" si="36"/>
        <v>0</v>
      </c>
      <c r="W82" s="1568"/>
      <c r="X82" s="1568"/>
    </row>
    <row r="83" spans="2:24">
      <c r="B83" s="1570" t="s">
        <v>6574</v>
      </c>
      <c r="C83" s="1575"/>
      <c r="D83" s="2255">
        <f>D52+D50</f>
        <v>1300000000</v>
      </c>
      <c r="E83" s="1588">
        <f t="shared" ref="E83:R83" si="37">E52+E50</f>
        <v>0</v>
      </c>
      <c r="F83" s="1588">
        <f t="shared" si="37"/>
        <v>0</v>
      </c>
      <c r="G83" s="1588">
        <f t="shared" si="37"/>
        <v>0</v>
      </c>
      <c r="H83" s="1588">
        <f t="shared" si="37"/>
        <v>0</v>
      </c>
      <c r="I83" s="1588">
        <f t="shared" si="37"/>
        <v>0</v>
      </c>
      <c r="J83" s="1588">
        <f t="shared" si="37"/>
        <v>0</v>
      </c>
      <c r="K83" s="1588">
        <f t="shared" si="37"/>
        <v>0</v>
      </c>
      <c r="L83" s="1588">
        <f t="shared" si="37"/>
        <v>0</v>
      </c>
      <c r="M83" s="1588">
        <f t="shared" si="37"/>
        <v>0</v>
      </c>
      <c r="N83" s="1588">
        <f t="shared" si="37"/>
        <v>0</v>
      </c>
      <c r="O83" s="1588">
        <f t="shared" si="37"/>
        <v>0</v>
      </c>
      <c r="P83" s="1588">
        <f t="shared" si="37"/>
        <v>0</v>
      </c>
      <c r="Q83" s="1588">
        <f t="shared" si="37"/>
        <v>0</v>
      </c>
      <c r="R83" s="1588">
        <f t="shared" si="37"/>
        <v>0</v>
      </c>
      <c r="S83" s="1588">
        <f>S52+S50</f>
        <v>0</v>
      </c>
      <c r="T83" s="1588">
        <f>T52+T50</f>
        <v>0</v>
      </c>
      <c r="U83" s="1588">
        <f t="shared" ref="U83:V83" si="38">U52+U50</f>
        <v>0</v>
      </c>
      <c r="V83" s="1588">
        <f t="shared" si="38"/>
        <v>0</v>
      </c>
      <c r="W83" s="1568"/>
      <c r="X83" s="1568"/>
    </row>
    <row r="84" spans="2:24" ht="15.75" thickBot="1">
      <c r="C84" s="1575"/>
      <c r="T84" s="1568"/>
      <c r="U84" s="1568"/>
      <c r="V84" s="1568"/>
      <c r="W84" s="1568"/>
      <c r="X84" s="1568"/>
    </row>
    <row r="85" spans="2:24" ht="15.75" thickBot="1">
      <c r="B85" s="1570" t="s">
        <v>623</v>
      </c>
      <c r="C85" s="1575"/>
      <c r="D85" s="1972">
        <v>29433000000</v>
      </c>
      <c r="E85" s="1973">
        <v>31747000000</v>
      </c>
      <c r="F85" s="1973">
        <v>32901000000.000004</v>
      </c>
      <c r="G85" s="1973">
        <v>35373000000</v>
      </c>
      <c r="H85" s="1973">
        <v>38839000000</v>
      </c>
      <c r="I85" s="1973">
        <v>41871000000</v>
      </c>
      <c r="J85" s="1973">
        <v>45756000000</v>
      </c>
      <c r="K85" s="1973">
        <v>49857000000</v>
      </c>
      <c r="L85" s="1973">
        <v>55268000000</v>
      </c>
      <c r="M85" s="1973">
        <v>58890000000</v>
      </c>
      <c r="N85" s="1973">
        <v>63059000000</v>
      </c>
      <c r="O85" s="1973">
        <v>64690000000</v>
      </c>
      <c r="P85" s="1973">
        <v>70658000000</v>
      </c>
      <c r="Q85" s="1973">
        <v>76350000000</v>
      </c>
      <c r="R85" s="1973">
        <v>82562000000</v>
      </c>
      <c r="S85" s="2256">
        <v>89130000000</v>
      </c>
      <c r="T85" s="2256"/>
      <c r="U85" s="2256"/>
      <c r="V85" s="2256"/>
      <c r="W85" s="2256"/>
      <c r="X85" s="2257"/>
    </row>
    <row r="86" spans="2:24">
      <c r="B86" s="1570" t="s">
        <v>151</v>
      </c>
      <c r="C86" s="1575"/>
      <c r="D86" s="2258">
        <f t="shared" ref="D86:S86" si="39">(D6/D85)*100</f>
        <v>22.012706825671867</v>
      </c>
      <c r="E86" s="2258">
        <f t="shared" si="39"/>
        <v>21.995779128736572</v>
      </c>
      <c r="F86" s="2258">
        <f t="shared" si="39"/>
        <v>22.516032947326824</v>
      </c>
      <c r="G86" s="2258">
        <f t="shared" si="39"/>
        <v>21.793458287394341</v>
      </c>
      <c r="H86" s="2258">
        <f t="shared" si="39"/>
        <v>21.761631349931772</v>
      </c>
      <c r="I86" s="2258">
        <f t="shared" si="39"/>
        <v>21.43727161997564</v>
      </c>
      <c r="J86" s="2258">
        <f t="shared" si="39"/>
        <v>21.321793863099924</v>
      </c>
      <c r="K86" s="2258">
        <f t="shared" si="39"/>
        <v>21.866538299536675</v>
      </c>
      <c r="L86" s="2258">
        <f t="shared" si="39"/>
        <v>24.167691973655643</v>
      </c>
      <c r="M86" s="2258">
        <f t="shared" si="39"/>
        <v>23.368993037867209</v>
      </c>
      <c r="N86" s="2258">
        <f t="shared" si="39"/>
        <v>23.506557351052191</v>
      </c>
      <c r="O86" s="2258">
        <f t="shared" si="39"/>
        <v>24.818364507651879</v>
      </c>
      <c r="P86" s="2258">
        <f t="shared" si="39"/>
        <v>23.973223131138724</v>
      </c>
      <c r="Q86" s="2258">
        <f t="shared" si="39"/>
        <v>23.772102161100197</v>
      </c>
      <c r="R86" s="2258">
        <f t="shared" si="39"/>
        <v>24.454349458588698</v>
      </c>
      <c r="S86" s="2258">
        <f t="shared" si="39"/>
        <v>22.377426231347471</v>
      </c>
      <c r="T86" s="1568"/>
      <c r="U86" s="1568"/>
      <c r="V86" s="1568"/>
      <c r="W86" s="1568"/>
      <c r="X86" s="1568"/>
    </row>
    <row r="87" spans="2:24">
      <c r="B87" s="1570" t="s">
        <v>152</v>
      </c>
      <c r="D87" s="2258">
        <f t="shared" ref="D87:S87" si="40">(D24/D85)*100</f>
        <v>25.219991166377874</v>
      </c>
      <c r="E87" s="2258">
        <f t="shared" si="40"/>
        <v>25.164582480234355</v>
      </c>
      <c r="F87" s="2258">
        <f t="shared" si="40"/>
        <v>25.306221695389198</v>
      </c>
      <c r="G87" s="2258">
        <f t="shared" si="40"/>
        <v>24.742034885364543</v>
      </c>
      <c r="H87" s="2258">
        <f t="shared" si="40"/>
        <v>24.230798939210587</v>
      </c>
      <c r="I87" s="2258">
        <f t="shared" si="40"/>
        <v>24.164696329201597</v>
      </c>
      <c r="J87" s="2258">
        <f t="shared" si="40"/>
        <v>23.970626803042226</v>
      </c>
      <c r="K87" s="2258">
        <f t="shared" si="40"/>
        <v>24.463966945464026</v>
      </c>
      <c r="L87" s="2258">
        <f t="shared" si="40"/>
        <v>24.829919664181805</v>
      </c>
      <c r="M87" s="2258">
        <f t="shared" si="40"/>
        <v>25.751400916963828</v>
      </c>
      <c r="N87" s="2258">
        <f t="shared" si="40"/>
        <v>24.45011814332609</v>
      </c>
      <c r="O87" s="2258">
        <f t="shared" si="40"/>
        <v>28.39233266347194</v>
      </c>
      <c r="P87" s="2258">
        <f t="shared" si="40"/>
        <v>29.288969401907782</v>
      </c>
      <c r="Q87" s="2258">
        <f t="shared" si="40"/>
        <v>29.793058284217423</v>
      </c>
      <c r="R87" s="2258">
        <f t="shared" si="40"/>
        <v>28.252707056515103</v>
      </c>
      <c r="S87" s="2258">
        <f t="shared" si="40"/>
        <v>27.370133512846408</v>
      </c>
    </row>
    <row r="88" spans="2:24">
      <c r="B88" s="2259" t="s">
        <v>1832</v>
      </c>
      <c r="D88" s="1570" t="b">
        <f>IF(D44&lt;0, (D44/D24)*100)</f>
        <v>0</v>
      </c>
      <c r="E88" s="1570" t="b">
        <f t="shared" ref="E88:S88" si="41">IF(E44&lt;0, (E44/E24)*100)</f>
        <v>0</v>
      </c>
      <c r="F88" s="1570" t="b">
        <f t="shared" si="41"/>
        <v>0</v>
      </c>
      <c r="G88" s="1570" t="b">
        <f>IF(G44&lt;0, (G44/G24)*100)</f>
        <v>0</v>
      </c>
      <c r="H88" s="1570" t="b">
        <f t="shared" si="41"/>
        <v>0</v>
      </c>
      <c r="I88" s="1570" t="b">
        <f t="shared" si="41"/>
        <v>0</v>
      </c>
      <c r="J88" s="1570" t="b">
        <f t="shared" si="41"/>
        <v>0</v>
      </c>
      <c r="K88" s="1570" t="b">
        <f t="shared" si="41"/>
        <v>0</v>
      </c>
      <c r="L88" s="1570" t="b">
        <f t="shared" si="41"/>
        <v>0</v>
      </c>
      <c r="M88" s="1570" t="b">
        <f t="shared" si="41"/>
        <v>0</v>
      </c>
      <c r="N88" s="1570" t="b">
        <f t="shared" si="41"/>
        <v>0</v>
      </c>
      <c r="O88" s="1570" t="b">
        <f t="shared" si="41"/>
        <v>0</v>
      </c>
      <c r="P88" s="1570" t="b">
        <f t="shared" si="41"/>
        <v>0</v>
      </c>
      <c r="Q88" s="1570" t="b">
        <f t="shared" si="41"/>
        <v>0</v>
      </c>
      <c r="R88" s="1570" t="b">
        <f t="shared" si="41"/>
        <v>0</v>
      </c>
      <c r="S88" s="1570" t="b">
        <f t="shared" si="41"/>
        <v>0</v>
      </c>
    </row>
    <row r="90" spans="2:24">
      <c r="D90" s="1590"/>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63"/>
  <sheetViews>
    <sheetView zoomScale="70" zoomScaleNormal="70" workbookViewId="0">
      <pane xSplit="3" ySplit="5" topLeftCell="E6" activePane="bottomRight" state="frozen"/>
      <selection pane="topRight" activeCell="D1" sqref="D1"/>
      <selection pane="bottomLeft" activeCell="A6" sqref="A6"/>
      <selection pane="bottomRight" activeCell="F8" sqref="F8"/>
    </sheetView>
  </sheetViews>
  <sheetFormatPr defaultRowHeight="15"/>
  <cols>
    <col min="1" max="1" width="26.42578125" bestFit="1" customWidth="1"/>
    <col min="2" max="2" width="46.5703125" bestFit="1" customWidth="1"/>
    <col min="3" max="3" width="22.28515625" customWidth="1"/>
    <col min="4" max="4" width="17.7109375" bestFit="1" customWidth="1"/>
    <col min="5" max="5" width="20.140625" bestFit="1" customWidth="1"/>
    <col min="6" max="6" width="18.28515625" customWidth="1"/>
    <col min="7" max="7" width="17.85546875" customWidth="1"/>
    <col min="8" max="8" width="19.140625" customWidth="1"/>
    <col min="9" max="15" width="20.28515625" bestFit="1" customWidth="1"/>
    <col min="16" max="16" width="18" bestFit="1" customWidth="1"/>
    <col min="17" max="19" width="17.7109375" customWidth="1"/>
  </cols>
  <sheetData>
    <row r="1" spans="1:25">
      <c r="A1" s="369" t="s">
        <v>6575</v>
      </c>
      <c r="B1" s="82" t="s">
        <v>7199</v>
      </c>
      <c r="C1" s="82"/>
      <c r="D1" s="27"/>
      <c r="E1" s="27"/>
      <c r="F1" s="27"/>
      <c r="G1" s="27"/>
      <c r="H1" s="27"/>
      <c r="I1" s="28"/>
      <c r="J1" s="28"/>
      <c r="K1" s="28"/>
      <c r="L1" s="29"/>
      <c r="M1" s="28"/>
      <c r="N1" s="28"/>
      <c r="O1" s="28"/>
      <c r="P1" s="28"/>
      <c r="Q1" s="28"/>
      <c r="R1" s="28"/>
      <c r="S1" s="28"/>
    </row>
    <row r="2" spans="1:25">
      <c r="B2" s="30" t="s">
        <v>7188</v>
      </c>
      <c r="C2" s="30"/>
      <c r="D2" s="28"/>
      <c r="E2" s="28"/>
      <c r="F2" s="28"/>
      <c r="G2" s="28"/>
      <c r="H2" s="28"/>
      <c r="I2" s="28"/>
      <c r="J2" s="28"/>
      <c r="K2" s="28"/>
      <c r="L2" s="31"/>
      <c r="M2" s="32"/>
      <c r="N2" s="33"/>
      <c r="O2" s="28"/>
      <c r="P2" s="28"/>
      <c r="Q2" s="28"/>
      <c r="R2" s="28"/>
      <c r="S2" s="28"/>
    </row>
    <row r="3" spans="1:25">
      <c r="B3" s="34" t="s">
        <v>3</v>
      </c>
      <c r="C3" s="34"/>
      <c r="D3" s="28">
        <v>2006</v>
      </c>
      <c r="E3" s="28">
        <v>2007</v>
      </c>
      <c r="F3" s="28">
        <v>2008</v>
      </c>
      <c r="G3" s="28">
        <v>2009</v>
      </c>
      <c r="H3" s="28">
        <v>2010</v>
      </c>
      <c r="I3" s="28">
        <v>2011</v>
      </c>
      <c r="J3" s="28">
        <v>2012</v>
      </c>
      <c r="K3" s="28">
        <v>2013</v>
      </c>
      <c r="L3" s="28">
        <v>2014</v>
      </c>
      <c r="M3" s="28">
        <v>2015</v>
      </c>
      <c r="N3" s="28">
        <v>2016</v>
      </c>
      <c r="O3" s="28">
        <v>2017</v>
      </c>
      <c r="P3" s="28">
        <v>2018</v>
      </c>
      <c r="Q3" s="28">
        <v>2019</v>
      </c>
      <c r="R3" s="28">
        <v>2020</v>
      </c>
      <c r="S3" s="28">
        <v>2021</v>
      </c>
    </row>
    <row r="4" spans="1:25">
      <c r="B4" s="34" t="s">
        <v>4</v>
      </c>
      <c r="C4" s="34"/>
      <c r="D4" s="28" t="s">
        <v>11</v>
      </c>
      <c r="E4" s="28" t="s">
        <v>12</v>
      </c>
      <c r="F4" s="28" t="s">
        <v>13</v>
      </c>
      <c r="G4" s="28" t="s">
        <v>14</v>
      </c>
      <c r="H4" s="28" t="s">
        <v>15</v>
      </c>
      <c r="I4" s="28" t="s">
        <v>16</v>
      </c>
      <c r="J4" s="28" t="s">
        <v>17</v>
      </c>
      <c r="K4" s="28" t="s">
        <v>18</v>
      </c>
      <c r="L4" s="29" t="s">
        <v>19</v>
      </c>
      <c r="M4" s="28" t="s">
        <v>20</v>
      </c>
      <c r="N4" s="28" t="s">
        <v>21</v>
      </c>
      <c r="O4" s="28" t="s">
        <v>22</v>
      </c>
      <c r="P4" s="28" t="s">
        <v>23</v>
      </c>
      <c r="Q4" s="28" t="s">
        <v>24</v>
      </c>
      <c r="R4" s="28" t="s">
        <v>25</v>
      </c>
      <c r="S4" s="28" t="s">
        <v>26</v>
      </c>
    </row>
    <row r="5" spans="1:25">
      <c r="A5" t="s">
        <v>157</v>
      </c>
      <c r="B5" s="34" t="s">
        <v>29</v>
      </c>
      <c r="C5" s="34"/>
      <c r="D5" s="27" t="s">
        <v>30</v>
      </c>
      <c r="E5" s="27" t="s">
        <v>30</v>
      </c>
      <c r="F5" s="28" t="s">
        <v>30</v>
      </c>
      <c r="G5" s="28" t="s">
        <v>30</v>
      </c>
      <c r="H5" s="28" t="s">
        <v>30</v>
      </c>
      <c r="I5" s="28" t="s">
        <v>30</v>
      </c>
      <c r="J5" s="28" t="s">
        <v>30</v>
      </c>
      <c r="K5" s="28" t="s">
        <v>30</v>
      </c>
      <c r="L5" s="28" t="s">
        <v>30</v>
      </c>
      <c r="M5" s="28" t="s">
        <v>30</v>
      </c>
      <c r="N5" s="28" t="s">
        <v>30</v>
      </c>
      <c r="O5" s="28" t="s">
        <v>30</v>
      </c>
      <c r="P5" s="28" t="s">
        <v>32</v>
      </c>
      <c r="Q5" s="28" t="s">
        <v>32</v>
      </c>
      <c r="R5" s="28" t="s">
        <v>32</v>
      </c>
      <c r="S5" s="28" t="s">
        <v>32</v>
      </c>
    </row>
    <row r="6" spans="1:25" s="371" customFormat="1">
      <c r="A6" s="370" t="s">
        <v>33</v>
      </c>
      <c r="B6" s="370" t="s">
        <v>6128</v>
      </c>
      <c r="C6" s="55" t="s">
        <v>35</v>
      </c>
      <c r="D6" s="394"/>
      <c r="E6" s="394"/>
      <c r="F6" s="394">
        <f>F7+F17</f>
        <v>308325390807.77002</v>
      </c>
      <c r="G6" s="394">
        <f t="shared" ref="G6:O6" si="0">G7+G17</f>
        <v>323936616170</v>
      </c>
      <c r="H6" s="394">
        <f t="shared" si="0"/>
        <v>387193558590</v>
      </c>
      <c r="I6" s="394">
        <f t="shared" si="0"/>
        <v>454110187435.09998</v>
      </c>
      <c r="J6" s="394">
        <f t="shared" si="0"/>
        <v>516564139234.09998</v>
      </c>
      <c r="K6" s="394">
        <f t="shared" si="0"/>
        <v>594673989636.69995</v>
      </c>
      <c r="L6" s="394">
        <f t="shared" si="0"/>
        <v>663027658523.34021</v>
      </c>
      <c r="M6" s="394">
        <f t="shared" si="0"/>
        <v>792140344090.98999</v>
      </c>
      <c r="N6" s="394">
        <f t="shared" si="0"/>
        <v>898154110282.19104</v>
      </c>
      <c r="O6" s="394">
        <f t="shared" si="0"/>
        <v>965607688422.85999</v>
      </c>
      <c r="P6" s="394"/>
      <c r="Q6" s="394"/>
      <c r="R6" s="394"/>
      <c r="S6" s="394"/>
    </row>
    <row r="7" spans="1:25" s="214" customFormat="1" ht="16.5">
      <c r="A7" s="1577" t="s">
        <v>36</v>
      </c>
      <c r="B7" s="1577" t="s">
        <v>36</v>
      </c>
      <c r="C7" s="1578" t="s">
        <v>38</v>
      </c>
      <c r="D7" s="418"/>
      <c r="E7" s="2459"/>
      <c r="F7" s="2459">
        <f>F8+F15+F16</f>
        <v>308255974222</v>
      </c>
      <c r="G7" s="2459">
        <f t="shared" ref="G7:O7" si="1">G8+G15+G16</f>
        <v>323799864215</v>
      </c>
      <c r="H7" s="2459">
        <f t="shared" si="1"/>
        <v>387080445730</v>
      </c>
      <c r="I7" s="2459">
        <f t="shared" si="1"/>
        <v>453985880104</v>
      </c>
      <c r="J7" s="2459">
        <f t="shared" si="1"/>
        <v>516399332289</v>
      </c>
      <c r="K7" s="2459">
        <f t="shared" si="1"/>
        <v>594431359713</v>
      </c>
      <c r="L7" s="2459">
        <f t="shared" si="1"/>
        <v>662778668472.66016</v>
      </c>
      <c r="M7" s="2459">
        <f t="shared" si="1"/>
        <v>791726936750.09998</v>
      </c>
      <c r="N7" s="2459">
        <f t="shared" si="1"/>
        <v>897755612389.33105</v>
      </c>
      <c r="O7" s="2459">
        <f t="shared" si="1"/>
        <v>963377628832.85999</v>
      </c>
      <c r="P7" s="2459"/>
      <c r="Q7" s="2459"/>
      <c r="R7" s="419"/>
      <c r="S7" s="419"/>
    </row>
    <row r="8" spans="1:25" ht="16.5">
      <c r="A8" s="58" t="s">
        <v>285</v>
      </c>
      <c r="B8" s="58" t="s">
        <v>285</v>
      </c>
      <c r="C8" s="58" t="s">
        <v>41</v>
      </c>
      <c r="D8" s="142"/>
      <c r="E8" s="2479"/>
      <c r="F8" s="2479">
        <f>F9+F10+F11+F12+F13+F14</f>
        <v>181539618703</v>
      </c>
      <c r="G8" s="2479">
        <f t="shared" ref="G8:O8" si="2">G9+G10+G11+G12+G13+G14</f>
        <v>186482247336</v>
      </c>
      <c r="H8" s="2479">
        <f t="shared" si="2"/>
        <v>231200088624</v>
      </c>
      <c r="I8" s="2479">
        <f>I9+I10+I11+I12+I13+I14</f>
        <v>268904975268</v>
      </c>
      <c r="J8" s="2479">
        <f t="shared" si="2"/>
        <v>296991900080</v>
      </c>
      <c r="K8" s="2479">
        <f t="shared" si="2"/>
        <v>344402260926</v>
      </c>
      <c r="L8" s="2479">
        <f t="shared" si="2"/>
        <v>379984494764.80994</v>
      </c>
      <c r="M8" s="2479">
        <f t="shared" si="2"/>
        <v>437716400744.28003</v>
      </c>
      <c r="N8" s="2479">
        <f t="shared" si="2"/>
        <v>489475837565.21002</v>
      </c>
      <c r="O8" s="2479">
        <f t="shared" si="2"/>
        <v>567699589492.85999</v>
      </c>
      <c r="P8" s="2479"/>
      <c r="Q8" s="2479"/>
      <c r="R8" s="125"/>
      <c r="S8" s="125"/>
    </row>
    <row r="9" spans="1:25" ht="16.5">
      <c r="A9" s="64" t="s">
        <v>7194</v>
      </c>
      <c r="B9" s="64" t="s">
        <v>7194</v>
      </c>
      <c r="C9" s="27" t="s">
        <v>44</v>
      </c>
      <c r="D9" s="142"/>
      <c r="E9" s="2479"/>
      <c r="F9" s="2479">
        <v>55231870000</v>
      </c>
      <c r="G9" s="2479">
        <v>56983672000</v>
      </c>
      <c r="H9" s="2479">
        <v>64103995999.999992</v>
      </c>
      <c r="I9" s="2479">
        <v>76211527000</v>
      </c>
      <c r="J9" s="2479">
        <v>86554351000</v>
      </c>
      <c r="K9" s="2479">
        <v>92788496000</v>
      </c>
      <c r="L9" s="2479">
        <v>110786482000</v>
      </c>
      <c r="M9" s="2479">
        <v>120650598677.42999</v>
      </c>
      <c r="N9" s="2479">
        <v>140680838251.81</v>
      </c>
      <c r="O9" s="2479">
        <v>167743526170</v>
      </c>
      <c r="P9" s="2479"/>
      <c r="Q9" s="2479"/>
      <c r="R9" s="2479"/>
      <c r="S9" s="2479"/>
      <c r="T9" s="2479"/>
      <c r="U9" s="2479"/>
      <c r="V9" s="2479"/>
      <c r="W9" s="2479"/>
      <c r="X9" s="2479"/>
      <c r="Y9" s="2479"/>
    </row>
    <row r="10" spans="1:25" ht="16.5">
      <c r="A10" s="64" t="s">
        <v>7195</v>
      </c>
      <c r="B10" s="64" t="s">
        <v>7195</v>
      </c>
      <c r="C10" s="27" t="s">
        <v>44</v>
      </c>
      <c r="D10" s="142"/>
      <c r="E10" s="2479"/>
      <c r="F10" s="2479">
        <v>0</v>
      </c>
      <c r="G10" s="2479">
        <v>0</v>
      </c>
      <c r="H10" s="2479">
        <v>0</v>
      </c>
      <c r="I10" s="2479">
        <v>0</v>
      </c>
      <c r="J10" s="2479">
        <v>0</v>
      </c>
      <c r="K10" s="2479">
        <v>0</v>
      </c>
      <c r="L10" s="2479">
        <v>0</v>
      </c>
      <c r="M10" s="2479">
        <v>0</v>
      </c>
      <c r="N10" s="2479">
        <v>0</v>
      </c>
      <c r="O10" s="2479">
        <v>0</v>
      </c>
      <c r="P10" s="2479"/>
      <c r="Q10" s="2479"/>
      <c r="R10" s="2479"/>
      <c r="S10" s="2479"/>
      <c r="T10" s="2479"/>
      <c r="U10" s="2479"/>
      <c r="V10" s="2479"/>
      <c r="W10" s="2479"/>
      <c r="X10" s="2479"/>
      <c r="Y10" s="2479"/>
    </row>
    <row r="11" spans="1:25" ht="16.5">
      <c r="A11" s="64" t="s">
        <v>2664</v>
      </c>
      <c r="B11" s="64" t="s">
        <v>2664</v>
      </c>
      <c r="C11" s="27" t="s">
        <v>44</v>
      </c>
      <c r="D11" s="142"/>
      <c r="E11" s="125"/>
      <c r="F11" s="125">
        <v>2593689721</v>
      </c>
      <c r="G11" s="125">
        <v>2077418714.9999998</v>
      </c>
      <c r="H11" s="125">
        <v>2878866684</v>
      </c>
      <c r="I11" s="125">
        <v>3832353356</v>
      </c>
      <c r="J11" s="125">
        <v>4460873008</v>
      </c>
      <c r="K11" s="125">
        <v>4606855258</v>
      </c>
      <c r="L11" s="125">
        <v>6733471318.1599998</v>
      </c>
      <c r="M11" s="125">
        <v>7212728234.3800001</v>
      </c>
      <c r="N11" s="125">
        <v>7361326030.8500004</v>
      </c>
      <c r="O11" s="125">
        <v>7537745572.8599997</v>
      </c>
      <c r="P11" s="2479"/>
      <c r="Q11" s="2479"/>
      <c r="R11" s="2479"/>
      <c r="S11" s="2479"/>
      <c r="T11" s="2479"/>
      <c r="U11" s="2479"/>
      <c r="V11" s="2479"/>
      <c r="W11" s="2479"/>
      <c r="X11" s="2479"/>
      <c r="Y11" s="2479"/>
    </row>
    <row r="12" spans="1:25" ht="16.5">
      <c r="A12" s="64" t="s">
        <v>7200</v>
      </c>
      <c r="B12" s="64" t="s">
        <v>7200</v>
      </c>
      <c r="C12" s="27" t="s">
        <v>44</v>
      </c>
      <c r="D12" s="142"/>
      <c r="E12" s="125"/>
      <c r="F12" s="125">
        <v>111905000000</v>
      </c>
      <c r="G12" s="125">
        <v>114561000000</v>
      </c>
      <c r="H12" s="125">
        <v>144864000000</v>
      </c>
      <c r="I12" s="125">
        <v>171255000000</v>
      </c>
      <c r="J12" s="125">
        <v>185135000000</v>
      </c>
      <c r="K12" s="125">
        <v>233322000000</v>
      </c>
      <c r="L12" s="125">
        <v>244441730241.17999</v>
      </c>
      <c r="M12" s="125">
        <v>288146408246.02002</v>
      </c>
      <c r="N12" s="125">
        <v>317302262600.25</v>
      </c>
      <c r="O12" s="125">
        <v>362405636510</v>
      </c>
      <c r="P12" s="2479"/>
      <c r="Q12" s="2479"/>
      <c r="R12" s="2479"/>
      <c r="S12" s="2479"/>
      <c r="T12" s="2479"/>
      <c r="U12" s="2479"/>
      <c r="V12" s="2479"/>
      <c r="W12" s="2479"/>
      <c r="X12" s="2479"/>
      <c r="Y12" s="2479"/>
    </row>
    <row r="13" spans="1:25" ht="16.5">
      <c r="A13" s="64" t="s">
        <v>840</v>
      </c>
      <c r="B13" s="64" t="s">
        <v>7196</v>
      </c>
      <c r="C13" s="27" t="s">
        <v>44</v>
      </c>
      <c r="D13" s="142"/>
      <c r="E13" s="125"/>
      <c r="F13" s="125">
        <v>2873788622</v>
      </c>
      <c r="G13" s="125">
        <v>2555292176</v>
      </c>
      <c r="H13" s="125">
        <v>3356702666</v>
      </c>
      <c r="I13" s="125">
        <v>4820999163</v>
      </c>
      <c r="J13" s="125">
        <v>5367912776</v>
      </c>
      <c r="K13" s="125">
        <v>6845132081</v>
      </c>
      <c r="L13" s="125">
        <v>6929469170.1700001</v>
      </c>
      <c r="M13" s="125">
        <v>8712711049.9200001</v>
      </c>
      <c r="N13" s="125">
        <v>9830799423.0799999</v>
      </c>
      <c r="O13" s="125">
        <v>13426896100</v>
      </c>
      <c r="P13" s="2479"/>
      <c r="Q13" s="2479"/>
      <c r="R13" s="2479"/>
      <c r="S13" s="2479"/>
      <c r="T13" s="2479"/>
      <c r="U13" s="2479"/>
      <c r="V13" s="2479"/>
      <c r="W13" s="2479"/>
      <c r="X13" s="2479"/>
      <c r="Y13" s="2479"/>
    </row>
    <row r="14" spans="1:25" ht="16.5">
      <c r="A14" s="64" t="s">
        <v>1772</v>
      </c>
      <c r="B14" s="64" t="s">
        <v>7197</v>
      </c>
      <c r="C14" s="27" t="s">
        <v>44</v>
      </c>
      <c r="D14" s="142"/>
      <c r="E14" s="125"/>
      <c r="F14" s="125">
        <v>8935270360</v>
      </c>
      <c r="G14" s="125">
        <v>10304864445</v>
      </c>
      <c r="H14" s="125">
        <v>15996523274</v>
      </c>
      <c r="I14" s="125">
        <v>12785095749</v>
      </c>
      <c r="J14" s="125">
        <v>15473763296</v>
      </c>
      <c r="K14" s="125">
        <v>6839777587</v>
      </c>
      <c r="L14" s="125">
        <v>11093342035.299999</v>
      </c>
      <c r="M14" s="125">
        <v>12993954536.530001</v>
      </c>
      <c r="N14" s="125">
        <v>14300611259.219999</v>
      </c>
      <c r="O14" s="125">
        <v>16585785139.999998</v>
      </c>
      <c r="P14" s="2479"/>
      <c r="Q14" s="2479"/>
      <c r="R14" s="2479"/>
      <c r="S14" s="2479"/>
      <c r="T14" s="2479"/>
      <c r="U14" s="2479"/>
      <c r="V14" s="2479"/>
      <c r="W14" s="2479"/>
      <c r="X14" s="2479"/>
      <c r="Y14" s="2479"/>
    </row>
    <row r="15" spans="1:25" ht="16.5">
      <c r="A15" s="58" t="s">
        <v>3103</v>
      </c>
      <c r="B15" s="58" t="s">
        <v>3103</v>
      </c>
      <c r="C15" s="58" t="s">
        <v>41</v>
      </c>
      <c r="D15" s="142"/>
      <c r="E15" s="125"/>
      <c r="F15" s="125">
        <v>82205883204</v>
      </c>
      <c r="G15" s="125">
        <v>91890967384</v>
      </c>
      <c r="H15" s="125">
        <v>102745000000</v>
      </c>
      <c r="I15" s="125">
        <v>119196000000</v>
      </c>
      <c r="J15" s="125">
        <v>135533999999.99998</v>
      </c>
      <c r="K15" s="125">
        <v>160231000000</v>
      </c>
      <c r="L15" s="125">
        <v>185334657051.07999</v>
      </c>
      <c r="M15" s="125">
        <v>221063344746.23999</v>
      </c>
      <c r="N15" s="125">
        <v>253865388722.56</v>
      </c>
      <c r="O15" s="125">
        <v>226993419970</v>
      </c>
      <c r="P15" s="2479"/>
      <c r="Q15" s="2479"/>
      <c r="R15" s="2479"/>
      <c r="S15" s="2479"/>
      <c r="T15" s="2479"/>
      <c r="U15" s="2479"/>
      <c r="V15" s="2479"/>
      <c r="W15" s="2479"/>
      <c r="X15" s="2479"/>
      <c r="Y15" s="2479"/>
    </row>
    <row r="16" spans="1:25">
      <c r="A16" s="58" t="s">
        <v>3104</v>
      </c>
      <c r="B16" s="58" t="s">
        <v>3104</v>
      </c>
      <c r="C16" s="58" t="s">
        <v>41</v>
      </c>
      <c r="D16" s="178"/>
      <c r="E16" s="178"/>
      <c r="F16" s="178">
        <v>44510472315</v>
      </c>
      <c r="G16" s="178">
        <v>45426649495</v>
      </c>
      <c r="H16" s="178">
        <v>53135357106</v>
      </c>
      <c r="I16" s="178">
        <v>65884904836.000008</v>
      </c>
      <c r="J16" s="178">
        <v>83873432209</v>
      </c>
      <c r="K16" s="178">
        <v>89798098787</v>
      </c>
      <c r="L16" s="178">
        <v>97459516656.770203</v>
      </c>
      <c r="M16" s="178">
        <v>132947191259.58</v>
      </c>
      <c r="N16" s="178">
        <v>154414386101.561</v>
      </c>
      <c r="O16" s="178">
        <v>168684619370</v>
      </c>
      <c r="P16" s="2479"/>
      <c r="Q16" s="2479"/>
      <c r="R16" s="2479"/>
      <c r="S16" s="2479"/>
      <c r="T16" s="2479"/>
      <c r="U16" s="2479"/>
      <c r="V16" s="2479"/>
      <c r="W16" s="2479"/>
      <c r="X16" s="2479"/>
      <c r="Y16" s="2479"/>
    </row>
    <row r="17" spans="1:25">
      <c r="A17" s="58" t="s">
        <v>7198</v>
      </c>
      <c r="B17" s="58" t="s">
        <v>7198</v>
      </c>
      <c r="C17" s="1578" t="s">
        <v>38</v>
      </c>
      <c r="D17" s="178"/>
      <c r="E17" s="178"/>
      <c r="F17" s="178">
        <v>69416585.769999996</v>
      </c>
      <c r="G17" s="178">
        <v>136751955</v>
      </c>
      <c r="H17" s="178">
        <v>113112860</v>
      </c>
      <c r="I17" s="178">
        <v>124307331.09999999</v>
      </c>
      <c r="J17" s="178">
        <v>164806945.09999999</v>
      </c>
      <c r="K17" s="178">
        <v>242629923.69999999</v>
      </c>
      <c r="L17" s="178">
        <v>248990050.68000001</v>
      </c>
      <c r="M17" s="178">
        <v>413407340.88999999</v>
      </c>
      <c r="N17" s="178">
        <v>398497892.86000502</v>
      </c>
      <c r="O17" s="178">
        <v>2230059590.00002</v>
      </c>
      <c r="P17" s="2479"/>
      <c r="Q17" s="2479"/>
      <c r="R17" s="2479"/>
      <c r="S17" s="2479"/>
      <c r="T17" s="2479"/>
      <c r="U17" s="2479"/>
      <c r="V17" s="2479"/>
      <c r="W17" s="2479"/>
      <c r="X17" s="2479"/>
      <c r="Y17" s="2479"/>
    </row>
    <row r="18" spans="1:25" s="9" customFormat="1">
      <c r="A18" s="36" t="s">
        <v>198</v>
      </c>
      <c r="B18" s="36" t="s">
        <v>6576</v>
      </c>
      <c r="C18" s="36" t="s">
        <v>35</v>
      </c>
      <c r="D18" s="263"/>
      <c r="E18" s="263"/>
      <c r="F18" s="263">
        <f>F19</f>
        <v>305787902012.09998</v>
      </c>
      <c r="G18" s="263">
        <f t="shared" ref="G18:O18" si="3">G19</f>
        <v>366710854552.59998</v>
      </c>
      <c r="H18" s="263">
        <f t="shared" si="3"/>
        <v>394878918474.20001</v>
      </c>
      <c r="I18" s="263">
        <f t="shared" si="3"/>
        <v>439326134668.09998</v>
      </c>
      <c r="J18" s="263">
        <f t="shared" si="3"/>
        <v>483999929836.79999</v>
      </c>
      <c r="K18" s="263">
        <f t="shared" si="3"/>
        <v>552145468669</v>
      </c>
      <c r="L18" s="263">
        <f t="shared" si="3"/>
        <v>627841014619.84875</v>
      </c>
      <c r="M18" s="263">
        <f t="shared" si="3"/>
        <v>733847222616.00378</v>
      </c>
      <c r="N18" s="263">
        <f t="shared" si="3"/>
        <v>873028918976.85876</v>
      </c>
      <c r="O18" s="263">
        <f t="shared" si="3"/>
        <v>1006160138280</v>
      </c>
      <c r="P18" s="263"/>
      <c r="Q18" s="263"/>
      <c r="R18" s="263"/>
      <c r="S18" s="263"/>
    </row>
    <row r="19" spans="1:25" s="9" customFormat="1" ht="16.5">
      <c r="A19" s="36" t="s">
        <v>76</v>
      </c>
      <c r="B19" s="36" t="s">
        <v>6577</v>
      </c>
      <c r="C19" s="36"/>
      <c r="D19" s="304"/>
      <c r="E19" s="295"/>
      <c r="F19" s="295">
        <f>F20+F21+F22+F23+F24+F25+F26+F27</f>
        <v>305787902012.09998</v>
      </c>
      <c r="G19" s="295">
        <f t="shared" ref="G19:O19" si="4">G20+G21+G22+G23+G24+G25+G26+G27</f>
        <v>366710854552.59998</v>
      </c>
      <c r="H19" s="295">
        <f t="shared" si="4"/>
        <v>394878918474.20001</v>
      </c>
      <c r="I19" s="295">
        <f t="shared" si="4"/>
        <v>439326134668.09998</v>
      </c>
      <c r="J19" s="295">
        <f t="shared" si="4"/>
        <v>483999929836.79999</v>
      </c>
      <c r="K19" s="295">
        <f t="shared" si="4"/>
        <v>552145468669</v>
      </c>
      <c r="L19" s="295">
        <f t="shared" si="4"/>
        <v>627841014619.84875</v>
      </c>
      <c r="M19" s="295">
        <f t="shared" si="4"/>
        <v>733847222616.00378</v>
      </c>
      <c r="N19" s="295">
        <f t="shared" si="4"/>
        <v>873028918976.85876</v>
      </c>
      <c r="O19" s="295">
        <f t="shared" si="4"/>
        <v>1006160138280</v>
      </c>
      <c r="P19" s="295"/>
      <c r="Q19" s="295"/>
      <c r="R19" s="295"/>
      <c r="S19" s="295"/>
    </row>
    <row r="20" spans="1:25" ht="16.5">
      <c r="A20" s="2688" t="s">
        <v>5283</v>
      </c>
      <c r="B20" s="2688" t="s">
        <v>5283</v>
      </c>
      <c r="C20" s="2579" t="s">
        <v>201</v>
      </c>
      <c r="D20" s="142"/>
      <c r="E20" s="125"/>
      <c r="F20" s="125">
        <v>73041179233</v>
      </c>
      <c r="G20" s="125">
        <v>81830356664</v>
      </c>
      <c r="H20" s="125">
        <v>94798149089</v>
      </c>
      <c r="I20" s="125">
        <v>108946000000</v>
      </c>
      <c r="J20" s="125">
        <v>127465000000</v>
      </c>
      <c r="K20" s="125">
        <v>141456000000</v>
      </c>
      <c r="L20" s="125">
        <v>164024337775.04999</v>
      </c>
      <c r="M20" s="125">
        <v>182572192349.25</v>
      </c>
      <c r="N20" s="125">
        <v>216838259907.23999</v>
      </c>
      <c r="O20" s="125">
        <v>234624525480</v>
      </c>
      <c r="P20" s="2479"/>
      <c r="Q20" s="2479"/>
      <c r="R20" s="2479"/>
      <c r="S20" s="2479"/>
      <c r="T20" s="2479"/>
      <c r="U20" s="2479"/>
      <c r="V20" s="2479"/>
      <c r="W20" s="2479"/>
      <c r="X20" s="2479"/>
      <c r="Y20" s="2479"/>
    </row>
    <row r="21" spans="1:25" ht="16.5">
      <c r="A21" s="2688" t="s">
        <v>537</v>
      </c>
      <c r="B21" s="2688" t="s">
        <v>749</v>
      </c>
      <c r="C21" s="2579" t="s">
        <v>201</v>
      </c>
      <c r="D21" s="142"/>
      <c r="E21" s="125"/>
      <c r="F21" s="125">
        <v>44456856158</v>
      </c>
      <c r="G21" s="125">
        <v>51703481697</v>
      </c>
      <c r="H21" s="125">
        <v>61860010962</v>
      </c>
      <c r="I21" s="125">
        <v>68293699401</v>
      </c>
      <c r="J21" s="125">
        <v>81340139275</v>
      </c>
      <c r="K21" s="125">
        <v>97401235949</v>
      </c>
      <c r="L21" s="125">
        <v>108963304971.2</v>
      </c>
      <c r="M21" s="125">
        <v>116628343196.33</v>
      </c>
      <c r="N21" s="125">
        <v>137372666656.97002</v>
      </c>
      <c r="O21" s="125">
        <v>162915316250</v>
      </c>
      <c r="P21" s="2479"/>
      <c r="Q21" s="2479"/>
      <c r="R21" s="2479"/>
      <c r="S21" s="2479"/>
      <c r="T21" s="2479"/>
      <c r="U21" s="2479"/>
      <c r="V21" s="2479"/>
      <c r="W21" s="2479"/>
      <c r="X21" s="2479"/>
      <c r="Y21" s="2479"/>
    </row>
    <row r="22" spans="1:25" ht="16.5">
      <c r="A22" s="2688" t="s">
        <v>7189</v>
      </c>
      <c r="B22" s="2688" t="s">
        <v>7189</v>
      </c>
      <c r="C22" s="2579" t="s">
        <v>201</v>
      </c>
      <c r="D22" s="142"/>
      <c r="E22" s="125"/>
      <c r="F22" s="125">
        <v>7733895026</v>
      </c>
      <c r="G22" s="125">
        <v>12067015779</v>
      </c>
      <c r="H22" s="125">
        <v>10131091756</v>
      </c>
      <c r="I22" s="125">
        <v>13420436134</v>
      </c>
      <c r="J22" s="125">
        <v>10054297297</v>
      </c>
      <c r="K22" s="125">
        <v>8696258679</v>
      </c>
      <c r="L22" s="125">
        <v>20310581972.84</v>
      </c>
      <c r="M22" s="125">
        <v>29302365651.743</v>
      </c>
      <c r="N22" s="125">
        <v>30237368575.090099</v>
      </c>
      <c r="O22" s="125">
        <v>65961935950</v>
      </c>
      <c r="P22" s="2479"/>
      <c r="Q22" s="2479"/>
      <c r="R22" s="2479"/>
      <c r="S22" s="2479"/>
      <c r="T22" s="2479"/>
      <c r="U22" s="2479"/>
      <c r="V22" s="2479"/>
      <c r="W22" s="2479"/>
      <c r="X22" s="2479"/>
      <c r="Y22" s="2479"/>
    </row>
    <row r="23" spans="1:25" ht="16.5">
      <c r="A23" s="2618" t="s">
        <v>7190</v>
      </c>
      <c r="B23" s="2618" t="s">
        <v>7190</v>
      </c>
      <c r="C23" s="2579" t="s">
        <v>201</v>
      </c>
      <c r="D23" s="142"/>
      <c r="E23" s="125"/>
      <c r="F23" s="125">
        <v>47324296382</v>
      </c>
      <c r="G23" s="125">
        <v>46872546793</v>
      </c>
      <c r="H23" s="125">
        <v>45636906653</v>
      </c>
      <c r="I23" s="125">
        <v>43245592153</v>
      </c>
      <c r="J23" s="125">
        <v>46678733096</v>
      </c>
      <c r="K23" s="125">
        <v>44159257208</v>
      </c>
      <c r="L23" s="125">
        <v>46895644844.408798</v>
      </c>
      <c r="M23" s="125">
        <v>47502912392.930702</v>
      </c>
      <c r="N23" s="125">
        <v>53758476740.9487</v>
      </c>
      <c r="O23" s="125">
        <v>69667444190</v>
      </c>
      <c r="P23" s="2479"/>
      <c r="Q23" s="2479"/>
      <c r="R23" s="2479"/>
      <c r="S23" s="2479"/>
      <c r="T23" s="2479"/>
      <c r="U23" s="2479"/>
      <c r="V23" s="2479"/>
      <c r="W23" s="2479"/>
      <c r="X23" s="2479"/>
      <c r="Y23" s="2479"/>
    </row>
    <row r="24" spans="1:25">
      <c r="A24" s="2618" t="s">
        <v>7191</v>
      </c>
      <c r="B24" s="2618" t="s">
        <v>7191</v>
      </c>
      <c r="C24" s="2579" t="s">
        <v>201</v>
      </c>
      <c r="D24" s="178"/>
      <c r="E24" s="125"/>
      <c r="F24" s="125">
        <v>7876941493</v>
      </c>
      <c r="G24" s="125">
        <v>11503822854</v>
      </c>
      <c r="H24" s="125">
        <v>9617519300</v>
      </c>
      <c r="I24" s="125">
        <v>11284275955</v>
      </c>
      <c r="J24" s="125">
        <v>16268836964.999998</v>
      </c>
      <c r="K24" s="125">
        <v>18259992890</v>
      </c>
      <c r="L24" s="125">
        <v>23042985529.040001</v>
      </c>
      <c r="M24" s="125">
        <v>27424105368.099998</v>
      </c>
      <c r="N24" s="125">
        <v>39762624647.57</v>
      </c>
      <c r="O24" s="125">
        <v>53275493570</v>
      </c>
      <c r="P24" s="2479"/>
      <c r="Q24" s="2479"/>
      <c r="R24" s="2479"/>
      <c r="S24" s="2479"/>
      <c r="T24" s="2479"/>
      <c r="U24" s="2479"/>
      <c r="V24" s="2479"/>
      <c r="W24" s="2479"/>
      <c r="X24" s="2479"/>
      <c r="Y24" s="2479"/>
    </row>
    <row r="25" spans="1:25" ht="16.5">
      <c r="A25" s="2688" t="s">
        <v>7192</v>
      </c>
      <c r="B25" s="2688" t="s">
        <v>7192</v>
      </c>
      <c r="C25" s="2579" t="s">
        <v>201</v>
      </c>
      <c r="D25" s="142"/>
      <c r="E25" s="125"/>
      <c r="F25" s="125">
        <v>270564934.10000002</v>
      </c>
      <c r="G25" s="125">
        <v>384124915.60000002</v>
      </c>
      <c r="H25" s="125">
        <v>480507090.19999999</v>
      </c>
      <c r="I25" s="125">
        <v>622961598.10000002</v>
      </c>
      <c r="J25" s="125">
        <v>886491765.79999995</v>
      </c>
      <c r="K25" s="125">
        <v>1596413382</v>
      </c>
      <c r="L25" s="125">
        <v>2291984157.6599998</v>
      </c>
      <c r="M25" s="125">
        <v>2539904964.8699999</v>
      </c>
      <c r="N25" s="125">
        <v>2370721312.48</v>
      </c>
      <c r="O25" s="125">
        <v>3233761680</v>
      </c>
      <c r="P25" s="2479"/>
      <c r="Q25" s="2479"/>
      <c r="R25" s="2479"/>
      <c r="S25" s="2479"/>
      <c r="T25" s="2479"/>
      <c r="U25" s="2479"/>
      <c r="V25" s="2479"/>
      <c r="W25" s="2479"/>
      <c r="X25" s="2479"/>
      <c r="Y25" s="2479"/>
    </row>
    <row r="26" spans="1:25" ht="16.5">
      <c r="A26" s="2618" t="s">
        <v>7193</v>
      </c>
      <c r="B26" s="2618" t="s">
        <v>7193</v>
      </c>
      <c r="C26" s="2579" t="s">
        <v>201</v>
      </c>
      <c r="D26" s="142"/>
      <c r="E26" s="125"/>
      <c r="F26" s="125">
        <v>112778000000</v>
      </c>
      <c r="G26" s="125">
        <v>147342000000</v>
      </c>
      <c r="H26" s="125">
        <v>152527000000</v>
      </c>
      <c r="I26" s="125">
        <v>172379000000</v>
      </c>
      <c r="J26" s="125">
        <v>187232000000</v>
      </c>
      <c r="K26" s="125">
        <v>215814000000</v>
      </c>
      <c r="L26" s="125">
        <v>230714112617.48999</v>
      </c>
      <c r="M26" s="125">
        <v>294064542207.12</v>
      </c>
      <c r="N26" s="125">
        <v>354525022821.15997</v>
      </c>
      <c r="O26" s="125">
        <v>349130238880</v>
      </c>
      <c r="P26" s="2479"/>
      <c r="Q26" s="2479"/>
      <c r="R26" s="2479"/>
      <c r="S26" s="2479"/>
      <c r="T26" s="2479"/>
      <c r="U26" s="2479"/>
      <c r="V26" s="2479"/>
      <c r="W26" s="2479"/>
      <c r="X26" s="2479"/>
      <c r="Y26" s="2479"/>
    </row>
    <row r="27" spans="1:25" ht="16.5">
      <c r="A27" s="2618" t="s">
        <v>675</v>
      </c>
      <c r="B27" s="2618" t="s">
        <v>675</v>
      </c>
      <c r="C27" s="2579" t="s">
        <v>201</v>
      </c>
      <c r="D27" s="142"/>
      <c r="E27" s="125"/>
      <c r="F27" s="125">
        <v>12306168786</v>
      </c>
      <c r="G27" s="125">
        <v>15007505850</v>
      </c>
      <c r="H27" s="125">
        <v>19827733624</v>
      </c>
      <c r="I27" s="125">
        <v>21134169427</v>
      </c>
      <c r="J27" s="125">
        <v>14074431438</v>
      </c>
      <c r="K27" s="125">
        <v>24762310561</v>
      </c>
      <c r="L27" s="125">
        <v>31598062752.16</v>
      </c>
      <c r="M27" s="125">
        <v>33812856485.66</v>
      </c>
      <c r="N27" s="125">
        <v>38163778315.400002</v>
      </c>
      <c r="O27" s="125">
        <v>67351422279.999992</v>
      </c>
      <c r="P27" s="2479"/>
      <c r="Q27" s="2479"/>
      <c r="R27" s="2479"/>
      <c r="S27" s="2479"/>
      <c r="T27" s="2479"/>
      <c r="U27" s="2479"/>
      <c r="V27" s="2479"/>
      <c r="W27" s="2479"/>
      <c r="X27" s="2479"/>
      <c r="Y27" s="2479"/>
    </row>
    <row r="28" spans="1:25" s="9" customFormat="1">
      <c r="A28" s="55" t="s">
        <v>115</v>
      </c>
      <c r="B28" s="55" t="s">
        <v>115</v>
      </c>
      <c r="C28" s="55" t="s">
        <v>35</v>
      </c>
      <c r="D28" s="263"/>
      <c r="E28" s="263"/>
      <c r="F28" s="263">
        <f>F18-F6</f>
        <v>-2537488795.6700439</v>
      </c>
      <c r="G28" s="263">
        <f t="shared" ref="G28:O28" si="5">G18-G6</f>
        <v>42774238382.599976</v>
      </c>
      <c r="H28" s="263">
        <f t="shared" si="5"/>
        <v>7685359884.2000122</v>
      </c>
      <c r="I28" s="263">
        <f t="shared" si="5"/>
        <v>-14784052767</v>
      </c>
      <c r="J28" s="263">
        <f t="shared" si="5"/>
        <v>-32564209397.299988</v>
      </c>
      <c r="K28" s="263">
        <f t="shared" si="5"/>
        <v>-42528520967.699951</v>
      </c>
      <c r="L28" s="263">
        <f t="shared" si="5"/>
        <v>-35186643903.491455</v>
      </c>
      <c r="M28" s="263">
        <f t="shared" si="5"/>
        <v>-58293121474.986206</v>
      </c>
      <c r="N28" s="263">
        <f t="shared" si="5"/>
        <v>-25125191305.332275</v>
      </c>
      <c r="O28" s="263">
        <f t="shared" si="5"/>
        <v>40552449857.140015</v>
      </c>
      <c r="P28" s="263"/>
      <c r="Q28" s="263"/>
      <c r="R28" s="263"/>
      <c r="S28" s="263"/>
    </row>
    <row r="29" spans="1:25">
      <c r="A29" s="58" t="s">
        <v>261</v>
      </c>
      <c r="B29" s="58" t="s">
        <v>6578</v>
      </c>
      <c r="C29" s="58" t="s">
        <v>252</v>
      </c>
      <c r="D29" s="178"/>
      <c r="E29" s="178"/>
      <c r="F29" s="178"/>
      <c r="G29" s="178"/>
      <c r="H29" s="178"/>
      <c r="I29" s="178"/>
      <c r="J29" s="178"/>
      <c r="K29" s="178"/>
      <c r="L29" s="178"/>
      <c r="M29" s="178"/>
      <c r="N29" s="178"/>
      <c r="O29" s="178"/>
      <c r="P29" s="178"/>
      <c r="Q29" s="178"/>
      <c r="R29" s="178"/>
      <c r="S29" s="178"/>
    </row>
    <row r="30" spans="1:25">
      <c r="A30" s="64" t="s">
        <v>6579</v>
      </c>
      <c r="B30" s="64" t="s">
        <v>6580</v>
      </c>
      <c r="C30" s="58" t="s">
        <v>264</v>
      </c>
      <c r="D30" s="178"/>
      <c r="E30" s="178"/>
      <c r="F30" s="178"/>
      <c r="G30" s="178"/>
      <c r="H30" s="178"/>
      <c r="I30" s="178"/>
      <c r="J30" s="178"/>
      <c r="K30" s="178"/>
      <c r="L30" s="178"/>
      <c r="M30" s="178"/>
      <c r="N30" s="178"/>
      <c r="O30" s="178"/>
      <c r="P30" s="178"/>
      <c r="Q30" s="178"/>
      <c r="R30" s="178"/>
      <c r="S30" s="178"/>
    </row>
    <row r="31" spans="1:25">
      <c r="A31" s="64" t="s">
        <v>496</v>
      </c>
      <c r="B31" s="64" t="s">
        <v>6581</v>
      </c>
      <c r="C31" s="58" t="s">
        <v>264</v>
      </c>
      <c r="D31" s="178"/>
      <c r="E31" s="178"/>
      <c r="F31" s="178"/>
      <c r="G31" s="178"/>
      <c r="H31" s="178"/>
      <c r="I31" s="178"/>
      <c r="J31" s="178"/>
      <c r="K31" s="178"/>
      <c r="L31" s="178"/>
      <c r="M31" s="178"/>
      <c r="N31" s="178"/>
      <c r="O31" s="178"/>
      <c r="P31" s="178"/>
      <c r="Q31" s="178"/>
      <c r="R31" s="178"/>
      <c r="S31" s="178"/>
    </row>
    <row r="32" spans="1:25">
      <c r="A32" s="58" t="s">
        <v>120</v>
      </c>
      <c r="B32" s="58" t="s">
        <v>2643</v>
      </c>
      <c r="C32" s="58" t="s">
        <v>252</v>
      </c>
      <c r="D32" s="178"/>
      <c r="E32" s="178"/>
      <c r="F32" s="178"/>
      <c r="G32" s="178"/>
      <c r="H32" s="178"/>
      <c r="I32" s="178"/>
      <c r="J32" s="178"/>
      <c r="K32" s="178"/>
      <c r="L32" s="178"/>
      <c r="M32" s="178"/>
      <c r="N32" s="178"/>
      <c r="O32" s="178"/>
      <c r="P32" s="178"/>
      <c r="Q32" s="178"/>
      <c r="R32" s="178"/>
      <c r="S32" s="178"/>
    </row>
    <row r="33" spans="1:19">
      <c r="A33" s="64" t="s">
        <v>1090</v>
      </c>
      <c r="B33" s="64" t="s">
        <v>1090</v>
      </c>
      <c r="C33" s="58" t="s">
        <v>124</v>
      </c>
      <c r="D33" s="178"/>
      <c r="E33" s="178"/>
      <c r="F33" s="178"/>
      <c r="G33" s="178"/>
      <c r="H33" s="178"/>
      <c r="I33" s="178"/>
      <c r="J33" s="178"/>
      <c r="K33" s="178"/>
      <c r="L33" s="178"/>
      <c r="M33" s="178"/>
      <c r="N33" s="178"/>
      <c r="O33" s="178"/>
      <c r="P33" s="178"/>
      <c r="Q33" s="178"/>
      <c r="R33" s="178"/>
      <c r="S33" s="178"/>
    </row>
    <row r="34" spans="1:19">
      <c r="A34" s="64" t="s">
        <v>6582</v>
      </c>
      <c r="B34" s="64" t="s">
        <v>6582</v>
      </c>
      <c r="C34" s="58" t="s">
        <v>124</v>
      </c>
      <c r="D34" s="178"/>
      <c r="E34" s="178"/>
      <c r="F34" s="178"/>
      <c r="G34" s="178"/>
      <c r="H34" s="178"/>
      <c r="I34" s="178"/>
      <c r="J34" s="178"/>
      <c r="K34" s="178"/>
      <c r="L34" s="178"/>
      <c r="M34" s="178"/>
      <c r="N34" s="178"/>
      <c r="O34" s="178"/>
      <c r="P34" s="178"/>
      <c r="Q34" s="178"/>
      <c r="R34" s="178"/>
      <c r="S34" s="178"/>
    </row>
    <row r="35" spans="1:19">
      <c r="B35" s="90" t="s">
        <v>6583</v>
      </c>
      <c r="C35" s="58"/>
      <c r="D35" s="178"/>
      <c r="E35" s="178"/>
      <c r="F35" s="125"/>
      <c r="G35" s="125"/>
      <c r="H35" s="125"/>
      <c r="I35" s="125"/>
      <c r="J35" s="125"/>
      <c r="K35" s="125"/>
      <c r="L35" s="125"/>
      <c r="M35" s="125"/>
      <c r="N35" s="125"/>
      <c r="O35" s="125"/>
      <c r="P35" s="125"/>
      <c r="Q35" s="125"/>
      <c r="R35" s="125"/>
      <c r="S35" s="125"/>
    </row>
    <row r="36" spans="1:19">
      <c r="B36" s="117" t="s">
        <v>258</v>
      </c>
      <c r="C36" s="58"/>
      <c r="D36" s="178"/>
      <c r="E36" s="178"/>
      <c r="F36" s="125"/>
      <c r="G36" s="178"/>
      <c r="H36" s="178"/>
      <c r="I36" s="178"/>
      <c r="J36" s="178"/>
      <c r="K36" s="178"/>
      <c r="L36" s="178"/>
      <c r="M36" s="178"/>
      <c r="N36" s="178"/>
      <c r="O36" s="178"/>
      <c r="P36" s="178"/>
      <c r="Q36" s="178"/>
      <c r="R36" s="178"/>
      <c r="S36" s="178"/>
    </row>
    <row r="37" spans="1:19">
      <c r="B37" s="103" t="s">
        <v>280</v>
      </c>
      <c r="C37" s="58"/>
      <c r="D37" s="178"/>
      <c r="E37" s="178"/>
      <c r="F37" s="125"/>
      <c r="G37" s="178"/>
      <c r="H37" s="178"/>
      <c r="I37" s="178"/>
      <c r="J37" s="178"/>
      <c r="K37" s="178"/>
      <c r="L37" s="178"/>
      <c r="M37" s="178"/>
      <c r="N37" s="178"/>
      <c r="O37" s="178"/>
      <c r="P37" s="178"/>
      <c r="Q37" s="178"/>
      <c r="R37" s="178"/>
      <c r="S37" s="178"/>
    </row>
    <row r="38" spans="1:19">
      <c r="B38" s="103" t="s">
        <v>209</v>
      </c>
      <c r="C38" s="58"/>
      <c r="D38" s="178"/>
      <c r="E38" s="178"/>
      <c r="F38" s="125"/>
      <c r="G38" s="178"/>
      <c r="H38" s="178"/>
      <c r="I38" s="178"/>
      <c r="J38" s="178"/>
      <c r="K38" s="178"/>
      <c r="L38" s="178"/>
      <c r="M38" s="178"/>
      <c r="N38" s="178"/>
      <c r="O38" s="178"/>
      <c r="P38" s="178"/>
      <c r="Q38" s="178"/>
      <c r="R38" s="178"/>
      <c r="S38" s="178"/>
    </row>
    <row r="39" spans="1:19">
      <c r="B39" s="117" t="s">
        <v>2546</v>
      </c>
      <c r="C39" s="58"/>
      <c r="D39" s="178"/>
      <c r="E39" s="178"/>
      <c r="F39" s="125"/>
      <c r="G39" s="178"/>
      <c r="H39" s="178"/>
      <c r="I39" s="178"/>
      <c r="J39" s="178"/>
      <c r="K39" s="178"/>
      <c r="L39" s="178"/>
      <c r="M39" s="178"/>
      <c r="N39" s="178"/>
      <c r="O39" s="178"/>
      <c r="P39" s="178"/>
      <c r="Q39" s="178"/>
      <c r="R39" s="178"/>
      <c r="S39" s="178"/>
    </row>
    <row r="40" spans="1:19">
      <c r="B40" s="103" t="s">
        <v>280</v>
      </c>
      <c r="C40" s="58"/>
      <c r="D40" s="178"/>
      <c r="E40" s="178"/>
      <c r="F40" s="125"/>
      <c r="G40" s="178"/>
      <c r="H40" s="178"/>
      <c r="I40" s="178"/>
      <c r="J40" s="178"/>
      <c r="K40" s="178"/>
      <c r="L40" s="178"/>
      <c r="M40" s="178"/>
      <c r="N40" s="178"/>
      <c r="O40" s="178"/>
      <c r="P40" s="178"/>
      <c r="Q40" s="178"/>
      <c r="R40" s="178"/>
      <c r="S40" s="178"/>
    </row>
    <row r="41" spans="1:19">
      <c r="B41" s="103" t="s">
        <v>209</v>
      </c>
      <c r="C41" s="58"/>
      <c r="D41" s="178"/>
      <c r="E41" s="178"/>
      <c r="F41" s="125"/>
      <c r="G41" s="178"/>
      <c r="H41" s="178"/>
      <c r="I41" s="178"/>
      <c r="J41" s="178"/>
      <c r="K41" s="178"/>
      <c r="L41" s="178"/>
      <c r="M41" s="178"/>
      <c r="N41" s="178"/>
      <c r="O41" s="178"/>
      <c r="P41" s="178"/>
      <c r="Q41" s="178"/>
      <c r="R41" s="178"/>
      <c r="S41" s="178"/>
    </row>
    <row r="42" spans="1:19">
      <c r="A42" s="90" t="s">
        <v>6584</v>
      </c>
      <c r="B42" s="90" t="s">
        <v>6585</v>
      </c>
      <c r="C42" s="58" t="s">
        <v>252</v>
      </c>
      <c r="D42" s="178"/>
      <c r="E42" s="178"/>
      <c r="F42" s="125"/>
      <c r="G42" s="178"/>
      <c r="H42" s="178"/>
      <c r="I42" s="178"/>
      <c r="J42" s="178"/>
      <c r="K42" s="178"/>
      <c r="L42" s="178"/>
      <c r="M42" s="178"/>
      <c r="N42" s="178"/>
      <c r="O42" s="178"/>
      <c r="P42" s="178"/>
      <c r="Q42" s="178"/>
      <c r="R42" s="178"/>
      <c r="S42" s="178"/>
    </row>
    <row r="43" spans="1:19" ht="17.25" customHeight="1">
      <c r="A43" s="117" t="s">
        <v>858</v>
      </c>
      <c r="B43" s="117" t="s">
        <v>858</v>
      </c>
      <c r="C43" s="58" t="s">
        <v>252</v>
      </c>
      <c r="D43" s="178"/>
      <c r="E43" s="178"/>
      <c r="F43" s="125"/>
      <c r="G43" s="178"/>
      <c r="H43" s="178"/>
      <c r="I43" s="178"/>
      <c r="J43" s="178"/>
      <c r="K43" s="178"/>
      <c r="L43" s="178"/>
      <c r="M43" s="178"/>
      <c r="N43" s="178"/>
      <c r="O43" s="178"/>
      <c r="P43" s="178"/>
      <c r="Q43" s="178"/>
      <c r="R43" s="178"/>
      <c r="S43" s="178"/>
    </row>
    <row r="44" spans="1:19" ht="17.25" customHeight="1">
      <c r="B44" s="117"/>
      <c r="C44" s="58"/>
      <c r="D44" s="178"/>
      <c r="E44" s="178"/>
      <c r="F44" s="125"/>
      <c r="G44" s="178"/>
      <c r="H44" s="178"/>
      <c r="I44" s="178"/>
      <c r="J44" s="178"/>
      <c r="K44" s="178"/>
      <c r="L44" s="178"/>
      <c r="M44" s="178"/>
      <c r="N44" s="178"/>
      <c r="O44" s="178"/>
      <c r="P44" s="178"/>
      <c r="Q44" s="178"/>
      <c r="R44" s="178"/>
      <c r="S44" s="178"/>
    </row>
    <row r="45" spans="1:19">
      <c r="B45" s="117"/>
      <c r="C45" s="58"/>
      <c r="F45" t="s">
        <v>139</v>
      </c>
      <c r="G45" t="s">
        <v>139</v>
      </c>
      <c r="H45" t="s">
        <v>139</v>
      </c>
      <c r="I45" t="s">
        <v>139</v>
      </c>
      <c r="J45" t="s">
        <v>139</v>
      </c>
      <c r="K45" t="s">
        <v>139</v>
      </c>
      <c r="L45" t="s">
        <v>139</v>
      </c>
      <c r="M45" t="s">
        <v>139</v>
      </c>
      <c r="N45" t="s">
        <v>139</v>
      </c>
      <c r="O45" t="s">
        <v>139</v>
      </c>
    </row>
    <row r="48" spans="1:19">
      <c r="B48" t="s">
        <v>449</v>
      </c>
    </row>
    <row r="49" spans="2:19">
      <c r="B49" t="s">
        <v>141</v>
      </c>
      <c r="D49" s="21">
        <f t="shared" ref="D49:S49" si="6">D7-D8-D15</f>
        <v>0</v>
      </c>
      <c r="E49" s="21">
        <f t="shared" si="6"/>
        <v>0</v>
      </c>
      <c r="F49" s="21">
        <f t="shared" si="6"/>
        <v>44510472315</v>
      </c>
      <c r="G49" s="21">
        <f t="shared" si="6"/>
        <v>45426649495</v>
      </c>
      <c r="H49" s="21">
        <f t="shared" si="6"/>
        <v>53135357106</v>
      </c>
      <c r="I49" s="21">
        <f t="shared" si="6"/>
        <v>65884904836</v>
      </c>
      <c r="J49" s="21">
        <f t="shared" si="6"/>
        <v>83873432209.000015</v>
      </c>
      <c r="K49" s="21">
        <f t="shared" si="6"/>
        <v>89798098787</v>
      </c>
      <c r="L49" s="21">
        <f t="shared" si="6"/>
        <v>97459516656.770233</v>
      </c>
      <c r="M49" s="21">
        <f t="shared" si="6"/>
        <v>132947191259.57996</v>
      </c>
      <c r="N49" s="21">
        <f t="shared" si="6"/>
        <v>154414386101.56104</v>
      </c>
      <c r="O49" s="21">
        <f t="shared" si="6"/>
        <v>168684619370</v>
      </c>
      <c r="P49" s="21">
        <f t="shared" si="6"/>
        <v>0</v>
      </c>
      <c r="Q49" s="21">
        <f t="shared" si="6"/>
        <v>0</v>
      </c>
      <c r="R49" s="21">
        <f t="shared" si="6"/>
        <v>0</v>
      </c>
      <c r="S49" s="21">
        <f t="shared" si="6"/>
        <v>0</v>
      </c>
    </row>
    <row r="50" spans="2:19">
      <c r="B50" t="s">
        <v>5650</v>
      </c>
      <c r="D50" s="21">
        <f t="shared" ref="D50:S50" si="7">D8-D9-D10-D11-D13-D14</f>
        <v>0</v>
      </c>
      <c r="E50" s="21">
        <f t="shared" si="7"/>
        <v>0</v>
      </c>
      <c r="F50" s="21">
        <f t="shared" si="7"/>
        <v>111905000000</v>
      </c>
      <c r="G50" s="21">
        <f t="shared" si="7"/>
        <v>114561000000</v>
      </c>
      <c r="H50" s="21">
        <f t="shared" si="7"/>
        <v>144864000000</v>
      </c>
      <c r="I50" s="21">
        <f t="shared" si="7"/>
        <v>171255000000</v>
      </c>
      <c r="J50" s="21">
        <f t="shared" si="7"/>
        <v>185135000000</v>
      </c>
      <c r="K50" s="21">
        <f t="shared" si="7"/>
        <v>233322000000</v>
      </c>
      <c r="L50" s="21">
        <f t="shared" si="7"/>
        <v>244441730241.17993</v>
      </c>
      <c r="M50" s="21">
        <f t="shared" si="7"/>
        <v>288146408246.02002</v>
      </c>
      <c r="N50" s="21">
        <f t="shared" si="7"/>
        <v>317302262600.25006</v>
      </c>
      <c r="O50" s="21">
        <f t="shared" si="7"/>
        <v>362405636510</v>
      </c>
      <c r="P50" s="21">
        <f t="shared" si="7"/>
        <v>0</v>
      </c>
      <c r="Q50" s="21">
        <f t="shared" si="7"/>
        <v>0</v>
      </c>
      <c r="R50" s="21">
        <f t="shared" si="7"/>
        <v>0</v>
      </c>
      <c r="S50" s="21">
        <f t="shared" si="7"/>
        <v>0</v>
      </c>
    </row>
    <row r="51" spans="2:19">
      <c r="B51" t="s">
        <v>1301</v>
      </c>
      <c r="D51" s="21" t="e">
        <f>D18-#REF!-#REF!</f>
        <v>#REF!</v>
      </c>
      <c r="E51" s="21" t="e">
        <f>E18-#REF!-#REF!</f>
        <v>#REF!</v>
      </c>
      <c r="F51" s="21" t="e">
        <f>F18-#REF!-#REF!</f>
        <v>#REF!</v>
      </c>
      <c r="G51" s="21" t="e">
        <f>G18-#REF!-#REF!</f>
        <v>#REF!</v>
      </c>
      <c r="H51" s="21" t="e">
        <f>H18-#REF!-#REF!</f>
        <v>#REF!</v>
      </c>
      <c r="I51" s="21" t="e">
        <f>I18-#REF!-#REF!</f>
        <v>#REF!</v>
      </c>
      <c r="J51" s="21" t="e">
        <f>J18-#REF!-#REF!</f>
        <v>#REF!</v>
      </c>
      <c r="K51" s="21" t="e">
        <f>K18-#REF!-#REF!</f>
        <v>#REF!</v>
      </c>
      <c r="L51" s="21" t="e">
        <f>L18-#REF!-#REF!</f>
        <v>#REF!</v>
      </c>
      <c r="M51" s="21" t="e">
        <f>M18-#REF!-#REF!</f>
        <v>#REF!</v>
      </c>
      <c r="N51" s="21" t="e">
        <f>N18-#REF!-#REF!</f>
        <v>#REF!</v>
      </c>
      <c r="O51" s="21" t="e">
        <f>O18-#REF!-#REF!</f>
        <v>#REF!</v>
      </c>
      <c r="P51" s="21" t="e">
        <f>P18-#REF!-#REF!</f>
        <v>#REF!</v>
      </c>
      <c r="Q51" s="21" t="e">
        <f>Q18-#REF!-#REF!</f>
        <v>#REF!</v>
      </c>
      <c r="R51" s="21" t="e">
        <f>R18-#REF!-#REF!</f>
        <v>#REF!</v>
      </c>
      <c r="S51" s="21" t="e">
        <f>S18-#REF!-#REF!</f>
        <v>#REF!</v>
      </c>
    </row>
    <row r="52" spans="2:19">
      <c r="B52" t="s">
        <v>6586</v>
      </c>
      <c r="D52" s="21" t="e">
        <f>#REF!-D20-D21-D25-#REF!</f>
        <v>#REF!</v>
      </c>
      <c r="E52" s="21" t="e">
        <f>#REF!-E20-E21-E25-#REF!</f>
        <v>#REF!</v>
      </c>
      <c r="F52" s="21" t="e">
        <f>#REF!-F20-F21-F25-#REF!</f>
        <v>#REF!</v>
      </c>
      <c r="G52" s="21" t="e">
        <f>#REF!-G20-G21-G25-#REF!</f>
        <v>#REF!</v>
      </c>
      <c r="H52" s="21" t="e">
        <f>#REF!-H20-H21-H25-#REF!</f>
        <v>#REF!</v>
      </c>
      <c r="I52" s="21" t="e">
        <f>#REF!-I20-I21-I25-#REF!</f>
        <v>#REF!</v>
      </c>
      <c r="J52" s="21" t="e">
        <f>#REF!-J20-J21-J25-#REF!</f>
        <v>#REF!</v>
      </c>
      <c r="K52" s="21" t="e">
        <f>#REF!-K20-K21-K25-#REF!</f>
        <v>#REF!</v>
      </c>
      <c r="L52" s="21" t="e">
        <f>#REF!-L20-L21-L25-#REF!</f>
        <v>#REF!</v>
      </c>
      <c r="M52" s="21" t="e">
        <f>#REF!-M20-M21-M25-#REF!</f>
        <v>#REF!</v>
      </c>
      <c r="N52" s="21" t="e">
        <f>#REF!-N20-N21-N25-#REF!</f>
        <v>#REF!</v>
      </c>
      <c r="O52" s="21" t="e">
        <f>#REF!-O20-O21-O25-#REF!</f>
        <v>#REF!</v>
      </c>
      <c r="P52" s="21" t="e">
        <f>#REF!-P20-P21-P25-#REF!</f>
        <v>#REF!</v>
      </c>
      <c r="Q52" s="21" t="e">
        <f>#REF!-Q20-Q21-Q25-#REF!</f>
        <v>#REF!</v>
      </c>
      <c r="R52" s="21" t="e">
        <f>#REF!-R20-R21-R25-#REF!</f>
        <v>#REF!</v>
      </c>
      <c r="S52" s="21" t="e">
        <f>#REF!-S20-S21-S25-#REF!</f>
        <v>#REF!</v>
      </c>
    </row>
    <row r="53" spans="2:19">
      <c r="B53" t="s">
        <v>454</v>
      </c>
      <c r="D53" s="21">
        <f t="shared" ref="D53:S53" si="8">D21-D23-D24</f>
        <v>0</v>
      </c>
      <c r="E53" s="131">
        <f t="shared" si="8"/>
        <v>0</v>
      </c>
      <c r="F53" s="131">
        <f t="shared" si="8"/>
        <v>-10744381717</v>
      </c>
      <c r="G53" s="131">
        <f t="shared" si="8"/>
        <v>-6672887950</v>
      </c>
      <c r="H53" s="131">
        <f t="shared" si="8"/>
        <v>6605585009</v>
      </c>
      <c r="I53" s="131">
        <f t="shared" si="8"/>
        <v>13763831293</v>
      </c>
      <c r="J53" s="131">
        <f t="shared" si="8"/>
        <v>18392569214</v>
      </c>
      <c r="K53" s="131">
        <f t="shared" si="8"/>
        <v>34981985851</v>
      </c>
      <c r="L53" s="131">
        <f t="shared" si="8"/>
        <v>39024674597.751198</v>
      </c>
      <c r="M53" s="131">
        <f t="shared" si="8"/>
        <v>41701325435.299294</v>
      </c>
      <c r="N53" s="131">
        <f t="shared" si="8"/>
        <v>43851565268.451317</v>
      </c>
      <c r="O53" s="131">
        <f t="shared" si="8"/>
        <v>39972378490</v>
      </c>
      <c r="P53" s="131">
        <f t="shared" si="8"/>
        <v>0</v>
      </c>
      <c r="Q53" s="131">
        <f t="shared" si="8"/>
        <v>0</v>
      </c>
      <c r="R53" s="131">
        <f t="shared" si="8"/>
        <v>0</v>
      </c>
      <c r="S53" s="131">
        <f t="shared" si="8"/>
        <v>0</v>
      </c>
    </row>
    <row r="54" spans="2:19">
      <c r="B54" t="s">
        <v>1961</v>
      </c>
      <c r="D54" s="21" t="e">
        <f>D25-D26-D27-#REF!-#REF!-#REF!</f>
        <v>#REF!</v>
      </c>
      <c r="E54" s="21" t="e">
        <f>E25-E26-E27-#REF!-#REF!-#REF!</f>
        <v>#REF!</v>
      </c>
      <c r="F54" s="21" t="e">
        <f>F25-F26-F27-#REF!-#REF!-#REF!</f>
        <v>#REF!</v>
      </c>
      <c r="G54" s="21" t="e">
        <f>G25-G26-G27-#REF!-#REF!-#REF!</f>
        <v>#REF!</v>
      </c>
      <c r="H54" s="21" t="e">
        <f>H25-H26-H27-#REF!-#REF!-#REF!</f>
        <v>#REF!</v>
      </c>
      <c r="I54" s="21" t="e">
        <f>I25-I26-I27-#REF!-#REF!-#REF!</f>
        <v>#REF!</v>
      </c>
      <c r="J54" s="21" t="e">
        <f>J25-J26-J27-#REF!-#REF!-#REF!</f>
        <v>#REF!</v>
      </c>
      <c r="K54" s="21" t="e">
        <f>K25-K26-K27-#REF!-#REF!-#REF!</f>
        <v>#REF!</v>
      </c>
      <c r="L54" s="21" t="e">
        <f>L25-L26-L27-#REF!-#REF!-#REF!</f>
        <v>#REF!</v>
      </c>
      <c r="M54" s="21" t="e">
        <f>M25-M26-M27-#REF!-#REF!-#REF!</f>
        <v>#REF!</v>
      </c>
      <c r="N54" s="21" t="e">
        <f>N25-N26-N27-#REF!-#REF!-#REF!</f>
        <v>#REF!</v>
      </c>
      <c r="O54" s="21" t="e">
        <f>O25-O26-O27-#REF!-#REF!-#REF!</f>
        <v>#REF!</v>
      </c>
      <c r="P54" s="21" t="e">
        <f>P25-P26-P27-#REF!-#REF!-#REF!</f>
        <v>#REF!</v>
      </c>
      <c r="Q54" s="21" t="e">
        <f>Q25-Q26-Q27-#REF!-#REF!-#REF!</f>
        <v>#REF!</v>
      </c>
      <c r="R54" s="21" t="e">
        <f>R25-R26-R27-#REF!-#REF!-#REF!</f>
        <v>#REF!</v>
      </c>
      <c r="S54" s="21" t="e">
        <f>S25-S26-S27-#REF!-#REF!-#REF!</f>
        <v>#REF!</v>
      </c>
    </row>
    <row r="55" spans="2:19">
      <c r="B55" t="s">
        <v>291</v>
      </c>
      <c r="D55" s="131" t="e">
        <f>#REF!-#REF!-#REF!</f>
        <v>#REF!</v>
      </c>
      <c r="E55" s="131" t="e">
        <f>#REF!-#REF!-#REF!</f>
        <v>#REF!</v>
      </c>
      <c r="F55" s="131" t="e">
        <f>#REF!-#REF!-#REF!</f>
        <v>#REF!</v>
      </c>
      <c r="G55" s="131" t="e">
        <f>#REF!-#REF!-#REF!</f>
        <v>#REF!</v>
      </c>
      <c r="H55" s="131" t="e">
        <f>#REF!-#REF!-#REF!</f>
        <v>#REF!</v>
      </c>
      <c r="I55" s="131" t="e">
        <f>#REF!-#REF!-#REF!</f>
        <v>#REF!</v>
      </c>
      <c r="J55" s="131" t="e">
        <f>#REF!-#REF!-#REF!</f>
        <v>#REF!</v>
      </c>
      <c r="K55" s="131" t="e">
        <f>#REF!-#REF!-#REF!</f>
        <v>#REF!</v>
      </c>
      <c r="L55" s="131" t="e">
        <f>#REF!-#REF!-#REF!</f>
        <v>#REF!</v>
      </c>
      <c r="M55" s="131" t="e">
        <f>#REF!-#REF!-#REF!</f>
        <v>#REF!</v>
      </c>
      <c r="N55" s="131" t="e">
        <f>#REF!-#REF!-#REF!</f>
        <v>#REF!</v>
      </c>
      <c r="O55" s="131" t="e">
        <f>#REF!-#REF!-#REF!</f>
        <v>#REF!</v>
      </c>
      <c r="P55" s="131" t="e">
        <f>#REF!-#REF!-#REF!</f>
        <v>#REF!</v>
      </c>
      <c r="Q55" s="131" t="e">
        <f>#REF!-#REF!-#REF!</f>
        <v>#REF!</v>
      </c>
      <c r="R55" s="131" t="e">
        <f>#REF!-#REF!-#REF!</f>
        <v>#REF!</v>
      </c>
      <c r="S55" s="131" t="e">
        <f>#REF!-#REF!-#REF!</f>
        <v>#REF!</v>
      </c>
    </row>
    <row r="56" spans="2:19">
      <c r="B56" t="s">
        <v>457</v>
      </c>
      <c r="D56" s="131">
        <f t="shared" ref="D56:Q56" si="9">D28-D29-D32-D42-D43</f>
        <v>0</v>
      </c>
      <c r="E56" s="131">
        <f t="shared" si="9"/>
        <v>0</v>
      </c>
      <c r="F56" s="131">
        <f>F28-F29-F32-F42-F43</f>
        <v>-2537488795.6700439</v>
      </c>
      <c r="G56" s="131">
        <f t="shared" si="9"/>
        <v>42774238382.599976</v>
      </c>
      <c r="H56" s="131">
        <f t="shared" si="9"/>
        <v>7685359884.2000122</v>
      </c>
      <c r="I56" s="131">
        <f t="shared" si="9"/>
        <v>-14784052767</v>
      </c>
      <c r="J56" s="131">
        <f t="shared" si="9"/>
        <v>-32564209397.299988</v>
      </c>
      <c r="K56" s="131">
        <f t="shared" si="9"/>
        <v>-42528520967.699951</v>
      </c>
      <c r="L56" s="131">
        <f t="shared" si="9"/>
        <v>-35186643903.491455</v>
      </c>
      <c r="M56" s="131">
        <f t="shared" si="9"/>
        <v>-58293121474.986206</v>
      </c>
      <c r="N56" s="131">
        <f t="shared" si="9"/>
        <v>-25125191305.332275</v>
      </c>
      <c r="O56" s="131">
        <f t="shared" si="9"/>
        <v>40552449857.140015</v>
      </c>
      <c r="P56" s="131">
        <f t="shared" si="9"/>
        <v>0</v>
      </c>
      <c r="Q56" s="131">
        <f t="shared" si="9"/>
        <v>0</v>
      </c>
      <c r="R56" s="131">
        <f t="shared" ref="R56:S56" si="10">R28-R29-R32-R42-R43</f>
        <v>0</v>
      </c>
      <c r="S56" s="131">
        <f t="shared" si="10"/>
        <v>0</v>
      </c>
    </row>
    <row r="57" spans="2:19">
      <c r="B57" t="s">
        <v>2525</v>
      </c>
    </row>
    <row r="58" spans="2:19">
      <c r="B58" t="s">
        <v>2932</v>
      </c>
    </row>
    <row r="59" spans="2:19" ht="15.75" thickBot="1"/>
    <row r="60" spans="2:19" ht="15.75" thickBot="1">
      <c r="B60" s="117" t="s">
        <v>623</v>
      </c>
      <c r="D60" s="48">
        <v>758391000000</v>
      </c>
      <c r="E60" s="48">
        <v>843178000000</v>
      </c>
      <c r="F60" s="48">
        <v>950534000000</v>
      </c>
      <c r="G60" s="48">
        <v>952559000000</v>
      </c>
      <c r="H60" s="23">
        <v>1098799000000</v>
      </c>
      <c r="I60" s="23">
        <v>1297713000000</v>
      </c>
      <c r="J60" s="23">
        <v>1416798000000</v>
      </c>
      <c r="K60" s="23">
        <v>1565181000000</v>
      </c>
      <c r="L60" s="24">
        <v>1764382000000</v>
      </c>
      <c r="M60" s="24">
        <v>1927680000000</v>
      </c>
      <c r="N60" s="24">
        <v>2127404000000</v>
      </c>
      <c r="O60" s="24">
        <v>2336031000000</v>
      </c>
      <c r="P60" s="24">
        <v>2563995000000</v>
      </c>
      <c r="Q60" s="24">
        <v>2812618000000</v>
      </c>
      <c r="R60" s="24">
        <v>2812618000001</v>
      </c>
      <c r="S60" s="24">
        <v>2812618000002</v>
      </c>
    </row>
    <row r="61" spans="2:19">
      <c r="B61" s="117" t="s">
        <v>151</v>
      </c>
      <c r="D61">
        <f t="shared" ref="D61:S61" si="11">(D7/D60)*100</f>
        <v>0</v>
      </c>
      <c r="E61">
        <f t="shared" si="11"/>
        <v>0</v>
      </c>
      <c r="F61">
        <f t="shared" si="11"/>
        <v>32.429768343057688</v>
      </c>
      <c r="G61">
        <f t="shared" si="11"/>
        <v>33.992630820243157</v>
      </c>
      <c r="H61">
        <f t="shared" si="11"/>
        <v>35.227593557147394</v>
      </c>
      <c r="I61">
        <f t="shared" si="11"/>
        <v>34.983534888222593</v>
      </c>
      <c r="J61">
        <f t="shared" si="11"/>
        <v>36.44833859795115</v>
      </c>
      <c r="K61">
        <f t="shared" si="11"/>
        <v>37.978442091553624</v>
      </c>
      <c r="L61">
        <f t="shared" si="11"/>
        <v>37.564352190889508</v>
      </c>
      <c r="M61">
        <f t="shared" si="11"/>
        <v>41.07149198778324</v>
      </c>
      <c r="N61">
        <f t="shared" si="11"/>
        <v>42.199582796184039</v>
      </c>
      <c r="O61">
        <f t="shared" si="11"/>
        <v>41.239933409824616</v>
      </c>
      <c r="P61">
        <f t="shared" si="11"/>
        <v>0</v>
      </c>
      <c r="Q61">
        <f t="shared" si="11"/>
        <v>0</v>
      </c>
      <c r="R61">
        <f t="shared" si="11"/>
        <v>0</v>
      </c>
      <c r="S61">
        <f t="shared" si="11"/>
        <v>0</v>
      </c>
    </row>
    <row r="62" spans="2:19">
      <c r="B62" s="117" t="s">
        <v>152</v>
      </c>
      <c r="D62">
        <f t="shared" ref="D62:S62" si="12">(D19/D60)*100</f>
        <v>0</v>
      </c>
      <c r="E62">
        <f t="shared" si="12"/>
        <v>0</v>
      </c>
      <c r="F62">
        <f t="shared" si="12"/>
        <v>32.170117219594459</v>
      </c>
      <c r="G62">
        <f t="shared" si="12"/>
        <v>38.497442631123107</v>
      </c>
      <c r="H62">
        <f t="shared" si="12"/>
        <v>35.937320517601492</v>
      </c>
      <c r="I62">
        <f t="shared" si="12"/>
        <v>33.853874829650316</v>
      </c>
      <c r="J62">
        <f t="shared" si="12"/>
        <v>34.161533954508691</v>
      </c>
      <c r="K62">
        <f t="shared" si="12"/>
        <v>35.276780683448109</v>
      </c>
      <c r="L62">
        <f t="shared" si="12"/>
        <v>35.584188379832078</v>
      </c>
      <c r="M62">
        <f t="shared" si="12"/>
        <v>38.068933776145613</v>
      </c>
      <c r="N62">
        <f t="shared" si="12"/>
        <v>41.037288591017919</v>
      </c>
      <c r="O62">
        <f t="shared" si="12"/>
        <v>43.07135214729599</v>
      </c>
      <c r="P62">
        <f t="shared" si="12"/>
        <v>0</v>
      </c>
      <c r="Q62">
        <f t="shared" si="12"/>
        <v>0</v>
      </c>
      <c r="R62">
        <f t="shared" si="12"/>
        <v>0</v>
      </c>
      <c r="S62">
        <f t="shared" si="12"/>
        <v>0</v>
      </c>
    </row>
    <row r="63" spans="2:19">
      <c r="J63"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sqref="A1:XFD1048576"/>
    </sheetView>
  </sheetViews>
  <sheetFormatPr defaultRowHeight="15"/>
  <cols>
    <col min="1" max="1" width="35.5703125" style="1570" bestFit="1" customWidth="1"/>
    <col min="2" max="2" width="49" style="1570" bestFit="1" customWidth="1"/>
    <col min="3" max="3" width="25.5703125" style="1570" customWidth="1"/>
    <col min="4" max="5" width="16.5703125" style="1570" bestFit="1" customWidth="1"/>
    <col min="6" max="7" width="16.5703125" bestFit="1" customWidth="1"/>
    <col min="8" max="8" width="14.85546875" bestFit="1" customWidth="1"/>
  </cols>
  <sheetData>
    <row r="1" spans="1:21">
      <c r="A1" s="2634" t="s">
        <v>7157</v>
      </c>
      <c r="B1" s="1566" t="s">
        <v>7158</v>
      </c>
      <c r="C1" s="1566"/>
      <c r="D1" s="1568"/>
      <c r="E1" s="1568"/>
    </row>
    <row r="2" spans="1:21">
      <c r="B2" s="1571" t="s">
        <v>7159</v>
      </c>
      <c r="C2" s="1571"/>
      <c r="D2" s="1573"/>
      <c r="E2" s="1574"/>
    </row>
    <row r="3" spans="1:21">
      <c r="B3" s="1575" t="s">
        <v>3</v>
      </c>
      <c r="C3" s="1575"/>
      <c r="D3" s="1568">
        <v>2015</v>
      </c>
      <c r="E3" s="1568">
        <v>2016</v>
      </c>
      <c r="F3" s="1568">
        <v>2017</v>
      </c>
      <c r="G3" s="1568">
        <v>2018</v>
      </c>
      <c r="H3" s="1568">
        <v>2019</v>
      </c>
    </row>
    <row r="4" spans="1:21">
      <c r="B4" s="1575" t="s">
        <v>4</v>
      </c>
      <c r="C4" s="1575"/>
      <c r="D4" s="1568" t="s">
        <v>20</v>
      </c>
      <c r="E4" s="1568" t="s">
        <v>21</v>
      </c>
      <c r="F4" s="1568" t="s">
        <v>22</v>
      </c>
      <c r="G4" s="1568" t="s">
        <v>23</v>
      </c>
      <c r="H4" s="1568" t="s">
        <v>24</v>
      </c>
      <c r="I4" s="2463"/>
      <c r="J4" s="2463"/>
      <c r="K4" s="2463"/>
      <c r="L4" s="2463"/>
      <c r="M4" s="2463"/>
      <c r="N4" s="2463"/>
      <c r="O4" s="2463"/>
      <c r="P4" s="2463"/>
      <c r="Q4" s="2463"/>
      <c r="R4" s="2463"/>
      <c r="S4" s="2463"/>
      <c r="T4" s="2463"/>
      <c r="U4" s="2463"/>
    </row>
    <row r="5" spans="1:21">
      <c r="A5" s="1570" t="s">
        <v>28</v>
      </c>
      <c r="B5" s="1575" t="s">
        <v>29</v>
      </c>
      <c r="C5" s="1575"/>
      <c r="D5" s="2008" t="s">
        <v>30</v>
      </c>
      <c r="E5" s="2008" t="s">
        <v>30</v>
      </c>
      <c r="F5" s="2008" t="s">
        <v>30</v>
      </c>
      <c r="G5" s="2008" t="s">
        <v>32</v>
      </c>
      <c r="H5" s="2008" t="s">
        <v>32</v>
      </c>
      <c r="I5" s="2463"/>
      <c r="J5" s="2463"/>
      <c r="K5" s="2463"/>
      <c r="L5" s="2463"/>
      <c r="M5" s="2463"/>
      <c r="N5" s="2463"/>
      <c r="O5" s="2463"/>
      <c r="P5" s="2463"/>
      <c r="Q5" s="2463"/>
      <c r="R5" s="2463"/>
      <c r="S5" s="2463"/>
      <c r="T5" s="2463"/>
      <c r="U5" s="2463"/>
    </row>
    <row r="6" spans="1:21" s="848" customFormat="1">
      <c r="A6" s="2313" t="s">
        <v>33</v>
      </c>
      <c r="B6" s="2313" t="s">
        <v>6840</v>
      </c>
      <c r="C6" s="2260" t="s">
        <v>35</v>
      </c>
      <c r="D6" s="2056">
        <f>D7+D10</f>
        <v>20819249846.965691</v>
      </c>
      <c r="E6" s="2056">
        <f t="shared" ref="E6:H6" si="0">E7+E10</f>
        <v>14862100000</v>
      </c>
      <c r="F6" s="2056">
        <f t="shared" si="0"/>
        <v>19767614891.756104</v>
      </c>
      <c r="G6" s="2056">
        <f t="shared" si="0"/>
        <v>22165560173.79985</v>
      </c>
      <c r="H6" s="2056">
        <f t="shared" si="0"/>
        <v>25013236911.58643</v>
      </c>
      <c r="I6" s="2520"/>
      <c r="J6" s="2520"/>
      <c r="K6" s="2520"/>
      <c r="L6" s="2463"/>
      <c r="M6" s="2463"/>
      <c r="N6" s="2463"/>
      <c r="O6" s="2463"/>
      <c r="P6" s="2463"/>
      <c r="Q6" s="2463"/>
      <c r="R6" s="2463"/>
      <c r="S6" s="2463"/>
      <c r="T6" s="2463"/>
      <c r="U6" s="2463"/>
    </row>
    <row r="7" spans="1:21" ht="20.25" customHeight="1">
      <c r="A7" s="1567" t="s">
        <v>159</v>
      </c>
      <c r="B7" s="1567" t="s">
        <v>159</v>
      </c>
      <c r="C7" s="1578" t="s">
        <v>38</v>
      </c>
      <c r="D7" s="2635">
        <v>20819249846.965691</v>
      </c>
      <c r="E7" s="2635">
        <v>14862100000</v>
      </c>
      <c r="F7" s="2523">
        <v>19767614891.756104</v>
      </c>
      <c r="G7" s="2523">
        <v>22165560173.79985</v>
      </c>
      <c r="H7" s="2523">
        <v>25013236911.58643</v>
      </c>
      <c r="I7" s="2520"/>
      <c r="J7" s="2520"/>
      <c r="K7" s="2520"/>
      <c r="L7" s="2463"/>
      <c r="M7" s="2463"/>
      <c r="N7" s="2463"/>
      <c r="O7" s="2463"/>
      <c r="P7" s="2463"/>
      <c r="Q7" s="2463"/>
      <c r="R7" s="2463"/>
      <c r="S7" s="2463"/>
      <c r="T7" s="2463"/>
      <c r="U7" s="2463"/>
    </row>
    <row r="8" spans="1:21" ht="18" customHeight="1">
      <c r="A8" s="1577" t="s">
        <v>2308</v>
      </c>
      <c r="B8" s="1577" t="s">
        <v>2308</v>
      </c>
      <c r="C8" s="1577" t="s">
        <v>41</v>
      </c>
      <c r="D8" s="2635">
        <f>D7-D9</f>
        <v>2719212463.0393867</v>
      </c>
      <c r="E8" s="2635">
        <f t="shared" ref="E8:H8" si="1">E7-E9</f>
        <v>2243717000.2470951</v>
      </c>
      <c r="F8" s="2635">
        <f t="shared" si="1"/>
        <v>2381630926.9833145</v>
      </c>
      <c r="G8" s="2635">
        <f t="shared" si="1"/>
        <v>2625568607.2443771</v>
      </c>
      <c r="H8" s="2635">
        <f t="shared" si="1"/>
        <v>3989749044.1798325</v>
      </c>
      <c r="I8" s="2520"/>
      <c r="J8" s="2520"/>
      <c r="K8" s="2520"/>
      <c r="L8" s="2463"/>
      <c r="M8" s="2463"/>
      <c r="N8" s="2463"/>
      <c r="O8" s="2463"/>
      <c r="P8" s="2463"/>
      <c r="Q8" s="2463"/>
      <c r="R8" s="2463"/>
      <c r="S8" s="2463"/>
      <c r="T8" s="2463"/>
      <c r="U8" s="2463"/>
    </row>
    <row r="9" spans="1:21">
      <c r="A9" s="1577" t="s">
        <v>2561</v>
      </c>
      <c r="B9" s="1577" t="s">
        <v>2561</v>
      </c>
      <c r="C9" s="1577" t="s">
        <v>41</v>
      </c>
      <c r="D9" s="1581">
        <v>18100037383.926304</v>
      </c>
      <c r="E9" s="1581">
        <v>12618382999.752905</v>
      </c>
      <c r="F9" s="2523">
        <v>17385983964.772789</v>
      </c>
      <c r="G9" s="2523">
        <v>19539991566.555473</v>
      </c>
      <c r="H9" s="2523">
        <v>21023487867.406597</v>
      </c>
      <c r="I9" s="2520"/>
      <c r="J9" s="2520"/>
      <c r="K9" s="2520"/>
      <c r="L9" s="2463"/>
      <c r="M9" s="2463"/>
      <c r="N9" s="2463"/>
      <c r="O9" s="2463"/>
      <c r="P9" s="2463"/>
      <c r="Q9" s="2463"/>
      <c r="R9" s="2463"/>
      <c r="S9" s="2463"/>
      <c r="T9" s="2463"/>
      <c r="U9" s="2463"/>
    </row>
    <row r="10" spans="1:21" s="848" customFormat="1">
      <c r="A10" s="2617" t="s">
        <v>53</v>
      </c>
      <c r="B10" s="2617" t="s">
        <v>53</v>
      </c>
      <c r="C10" s="2614" t="s">
        <v>38</v>
      </c>
      <c r="D10" s="2635">
        <v>0</v>
      </c>
      <c r="E10" s="2635">
        <v>0</v>
      </c>
      <c r="F10" s="2635">
        <v>0</v>
      </c>
      <c r="G10" s="2635">
        <v>0</v>
      </c>
      <c r="H10" s="2635">
        <v>0</v>
      </c>
      <c r="I10" s="2520"/>
      <c r="J10" s="2520"/>
      <c r="K10" s="2520"/>
      <c r="L10" s="2463"/>
      <c r="M10" s="2463"/>
      <c r="N10" s="2463"/>
      <c r="O10" s="2463"/>
      <c r="P10" s="2463"/>
      <c r="Q10" s="2463"/>
      <c r="R10" s="2463"/>
      <c r="S10" s="2463"/>
      <c r="T10" s="2463"/>
      <c r="U10" s="2463"/>
    </row>
    <row r="11" spans="1:21" s="848" customFormat="1">
      <c r="A11" s="2003" t="s">
        <v>71</v>
      </c>
      <c r="B11" s="2004" t="s">
        <v>379</v>
      </c>
      <c r="C11" s="2003" t="s">
        <v>35</v>
      </c>
      <c r="D11" s="2056">
        <v>21693218090.210369</v>
      </c>
      <c r="E11" s="2056">
        <v>17831028422.9645</v>
      </c>
      <c r="F11" s="2646">
        <v>23491797697.335953</v>
      </c>
      <c r="G11" s="2646">
        <v>23629727951.810734</v>
      </c>
      <c r="H11" s="2646">
        <v>24964687997.664146</v>
      </c>
      <c r="I11" s="2520"/>
      <c r="J11" s="2520"/>
      <c r="K11" s="2520"/>
      <c r="L11" s="2463"/>
      <c r="M11" s="2463"/>
      <c r="N11" s="2463"/>
      <c r="O11" s="2463"/>
      <c r="P11" s="2463"/>
      <c r="Q11" s="2463"/>
      <c r="R11" s="2463"/>
      <c r="S11" s="2463"/>
      <c r="T11" s="2463"/>
      <c r="U11" s="2463"/>
    </row>
    <row r="12" spans="1:21" s="848" customFormat="1">
      <c r="A12" s="2004" t="s">
        <v>115</v>
      </c>
      <c r="B12" s="2004" t="s">
        <v>115</v>
      </c>
      <c r="C12" s="2004" t="s">
        <v>35</v>
      </c>
      <c r="D12" s="2056">
        <v>873968243.24470353</v>
      </c>
      <c r="E12" s="2056">
        <v>2968928422.9645405</v>
      </c>
      <c r="F12" s="2056">
        <v>3724182805.5798502</v>
      </c>
      <c r="G12" s="2056">
        <v>1464167778.0109191</v>
      </c>
      <c r="H12" s="2056">
        <f>H6-H11</f>
        <v>48548913.922283173</v>
      </c>
      <c r="I12" s="2520"/>
      <c r="J12" s="2520"/>
      <c r="K12" s="2520"/>
      <c r="L12" s="2463"/>
      <c r="M12" s="2463"/>
      <c r="N12" s="2463"/>
      <c r="O12" s="2463"/>
      <c r="P12" s="2463"/>
      <c r="Q12" s="2463"/>
      <c r="R12" s="2463"/>
      <c r="S12" s="2463"/>
      <c r="T12" s="2463"/>
      <c r="U12" s="2463"/>
    </row>
    <row r="13" spans="1:21">
      <c r="A13" s="1576"/>
      <c r="B13" s="1577"/>
      <c r="C13" s="1578"/>
      <c r="D13" s="1592"/>
      <c r="E13" s="1592"/>
      <c r="F13" s="1592"/>
      <c r="G13" s="1592"/>
      <c r="H13" s="1592"/>
      <c r="I13" s="2520"/>
      <c r="J13" s="2520"/>
      <c r="K13" s="2520"/>
      <c r="L13" s="2463"/>
      <c r="M13" s="2463"/>
      <c r="N13" s="2463"/>
      <c r="O13" s="2463"/>
      <c r="P13" s="2463"/>
      <c r="Q13" s="2463"/>
      <c r="R13" s="2463"/>
      <c r="S13" s="2463"/>
      <c r="T13" s="2463"/>
      <c r="U13" s="2463"/>
    </row>
    <row r="14" spans="1:21" ht="15.75" customHeight="1">
      <c r="A14" s="1576"/>
      <c r="B14" s="1577"/>
      <c r="C14" s="1578"/>
      <c r="D14" s="1592"/>
      <c r="E14" s="1581"/>
      <c r="F14" s="2520"/>
      <c r="G14" s="2520"/>
      <c r="H14" s="2520"/>
      <c r="I14" s="2520"/>
      <c r="J14" s="2520"/>
      <c r="K14" s="2520"/>
      <c r="L14" s="2463"/>
      <c r="M14" s="2463"/>
      <c r="N14" s="2463"/>
      <c r="O14" s="2463"/>
      <c r="P14" s="2463"/>
      <c r="Q14" s="2463"/>
      <c r="R14" s="2463"/>
      <c r="S14" s="2463"/>
      <c r="T14" s="2463"/>
      <c r="U14" s="2463"/>
    </row>
    <row r="15" spans="1:21">
      <c r="B15" s="1580"/>
      <c r="F15" s="2520"/>
      <c r="G15" s="2520"/>
      <c r="H15" s="2520"/>
      <c r="I15" s="2520"/>
      <c r="J15" s="2520"/>
      <c r="K15" s="2520"/>
      <c r="L15" s="2463"/>
      <c r="M15" s="2463"/>
      <c r="N15" s="2463"/>
      <c r="O15" s="2463"/>
      <c r="P15" s="2463"/>
      <c r="Q15" s="2463"/>
      <c r="R15" s="2463"/>
      <c r="S15" s="2463"/>
      <c r="T15" s="2463"/>
      <c r="U15" s="2463"/>
    </row>
    <row r="16" spans="1:21">
      <c r="A16" s="1577"/>
      <c r="B16" s="1577"/>
      <c r="D16" s="1570" t="s">
        <v>139</v>
      </c>
      <c r="E16" s="1570" t="s">
        <v>139</v>
      </c>
      <c r="F16" s="1570" t="s">
        <v>139</v>
      </c>
      <c r="G16" s="1570" t="s">
        <v>139</v>
      </c>
      <c r="H16" s="1570" t="s">
        <v>139</v>
      </c>
      <c r="I16" s="2520"/>
      <c r="J16" s="2520"/>
      <c r="K16" s="2520"/>
      <c r="L16" s="2463"/>
      <c r="M16" s="2463"/>
      <c r="N16" s="2463"/>
      <c r="O16" s="2463"/>
      <c r="P16" s="2463"/>
      <c r="Q16" s="2463"/>
      <c r="R16" s="2463"/>
      <c r="S16" s="2463"/>
      <c r="T16" s="2463"/>
      <c r="U16" s="2463"/>
    </row>
    <row r="17" spans="1:21">
      <c r="A17" s="1576"/>
      <c r="F17" s="1570"/>
      <c r="G17" s="1570"/>
      <c r="H17" s="2520"/>
      <c r="I17" s="2520"/>
      <c r="J17" s="2520"/>
      <c r="K17" s="2520"/>
      <c r="L17" s="2463"/>
      <c r="M17" s="2463"/>
      <c r="N17" s="2463"/>
      <c r="O17" s="2463"/>
      <c r="P17" s="2463"/>
      <c r="Q17" s="2463"/>
      <c r="R17" s="2463"/>
      <c r="S17" s="2463"/>
      <c r="T17" s="2463"/>
      <c r="U17" s="2463"/>
    </row>
    <row r="18" spans="1:21">
      <c r="F18" s="1570"/>
      <c r="G18" s="1570"/>
      <c r="H18" s="2520"/>
      <c r="I18" s="2520"/>
      <c r="J18" s="2520"/>
      <c r="K18" s="2520"/>
      <c r="L18" s="2463"/>
      <c r="M18" s="2463"/>
      <c r="N18" s="2463"/>
      <c r="O18" s="2463"/>
      <c r="P18" s="2463"/>
      <c r="Q18" s="2463"/>
      <c r="R18" s="2463"/>
      <c r="S18" s="2463"/>
      <c r="T18" s="2463"/>
      <c r="U18" s="2463"/>
    </row>
    <row r="19" spans="1:21">
      <c r="A19" s="1576"/>
      <c r="B19" s="1570" t="s">
        <v>284</v>
      </c>
      <c r="D19" s="2639">
        <f>D6-D7-D10</f>
        <v>0</v>
      </c>
      <c r="E19" s="2639">
        <f>E6-E7-E10</f>
        <v>0</v>
      </c>
      <c r="F19" s="2639">
        <f>F6-F7-F10</f>
        <v>0</v>
      </c>
      <c r="G19" s="2639">
        <f>G6-G7-G10</f>
        <v>0</v>
      </c>
      <c r="H19" s="2639">
        <f>H6-H7-H10</f>
        <v>0</v>
      </c>
      <c r="I19" s="365"/>
      <c r="J19" s="365"/>
      <c r="K19" s="365"/>
    </row>
    <row r="20" spans="1:21">
      <c r="B20" s="1570" t="s">
        <v>358</v>
      </c>
      <c r="D20" s="2639" t="e">
        <f>D7-D8-D9-#REF!</f>
        <v>#REF!</v>
      </c>
      <c r="E20" s="2639" t="e">
        <f>E7-E8-E9-#REF!</f>
        <v>#REF!</v>
      </c>
      <c r="F20" s="2639" t="e">
        <f>F7-F8-F9-#REF!</f>
        <v>#REF!</v>
      </c>
      <c r="G20" s="2639" t="e">
        <f>G7-G8-G9-#REF!</f>
        <v>#REF!</v>
      </c>
      <c r="H20" s="2639" t="e">
        <f>H7-H8-H9-#REF!</f>
        <v>#REF!</v>
      </c>
      <c r="I20" s="365"/>
      <c r="J20" s="365"/>
      <c r="K20" s="365"/>
    </row>
    <row r="21" spans="1:21">
      <c r="B21" s="1570" t="s">
        <v>142</v>
      </c>
      <c r="D21" s="2641" t="e">
        <f>D8-#REF!-#REF!-#REF!</f>
        <v>#REF!</v>
      </c>
      <c r="E21" s="2641" t="e">
        <f>E8-#REF!-#REF!-#REF!</f>
        <v>#REF!</v>
      </c>
      <c r="F21" s="2641" t="e">
        <f>F8-#REF!-#REF!-#REF!</f>
        <v>#REF!</v>
      </c>
      <c r="G21" s="2641" t="e">
        <f>G8-#REF!-#REF!-#REF!</f>
        <v>#REF!</v>
      </c>
      <c r="H21" s="2641" t="e">
        <f>H8-#REF!-#REF!-#REF!</f>
        <v>#REF!</v>
      </c>
      <c r="I21" s="365"/>
      <c r="J21" s="365"/>
      <c r="K21" s="365"/>
    </row>
    <row r="22" spans="1:21">
      <c r="B22" s="1570" t="s">
        <v>145</v>
      </c>
      <c r="D22" s="2639" t="e">
        <f>D11-#REF!-#REF!</f>
        <v>#REF!</v>
      </c>
      <c r="E22" s="2639" t="e">
        <f>E11-#REF!-#REF!</f>
        <v>#REF!</v>
      </c>
      <c r="F22" s="2639" t="e">
        <f>F11-#REF!-#REF!</f>
        <v>#REF!</v>
      </c>
      <c r="G22" s="2639" t="e">
        <f>G11-#REF!-#REF!</f>
        <v>#REF!</v>
      </c>
      <c r="H22" s="2639" t="e">
        <f>H11-#REF!-#REF!</f>
        <v>#REF!</v>
      </c>
      <c r="I22" s="365"/>
      <c r="J22" s="365"/>
      <c r="K22" s="365"/>
    </row>
    <row r="23" spans="1:21">
      <c r="B23" s="1570" t="s">
        <v>620</v>
      </c>
      <c r="D23" s="2639" t="e">
        <f>#REF!-#REF!-#REF!-#REF!-#REF!-#REF!-#REF!-#REF!-#REF!-#REF!</f>
        <v>#REF!</v>
      </c>
      <c r="E23" s="2639" t="e">
        <f>#REF!-#REF!-#REF!-#REF!-#REF!-#REF!-#REF!-#REF!-#REF!-#REF!</f>
        <v>#REF!</v>
      </c>
      <c r="F23" s="2639" t="e">
        <f>#REF!-#REF!-#REF!-#REF!-#REF!-#REF!-#REF!-#REF!-#REF!-#REF!</f>
        <v>#REF!</v>
      </c>
      <c r="G23" s="2639" t="e">
        <f>#REF!-#REF!-#REF!-#REF!-#REF!-#REF!-#REF!-#REF!-#REF!-#REF!</f>
        <v>#REF!</v>
      </c>
      <c r="H23" s="2639" t="e">
        <f>#REF!-#REF!-#REF!-#REF!-#REF!-#REF!-#REF!-#REF!-#REF!-#REF!</f>
        <v>#REF!</v>
      </c>
      <c r="I23" s="365"/>
      <c r="J23" s="365"/>
      <c r="K23" s="365"/>
    </row>
    <row r="24" spans="1:21">
      <c r="B24" s="1570" t="s">
        <v>148</v>
      </c>
      <c r="D24" s="2642" t="e">
        <f>D12-#REF!-#REF!</f>
        <v>#REF!</v>
      </c>
      <c r="E24" s="2642" t="e">
        <f>E12-#REF!-#REF!</f>
        <v>#REF!</v>
      </c>
      <c r="F24" s="2642" t="e">
        <f>F12-#REF!-#REF!</f>
        <v>#REF!</v>
      </c>
      <c r="G24" s="2642" t="e">
        <f>G12-#REF!-#REF!</f>
        <v>#REF!</v>
      </c>
      <c r="H24" s="2642" t="e">
        <f>H12-#REF!-#REF!</f>
        <v>#REF!</v>
      </c>
      <c r="I24" s="365"/>
      <c r="J24" s="365"/>
      <c r="K24" s="365"/>
    </row>
    <row r="25" spans="1:21">
      <c r="B25" s="1570" t="s">
        <v>1171</v>
      </c>
      <c r="D25" s="2642"/>
      <c r="E25" s="2642"/>
      <c r="F25" s="2642"/>
      <c r="G25" s="2642"/>
      <c r="H25" s="2642"/>
      <c r="I25" s="365"/>
      <c r="J25" s="365"/>
      <c r="K25" s="365"/>
    </row>
    <row r="26" spans="1:21">
      <c r="B26" s="1570" t="s">
        <v>362</v>
      </c>
      <c r="D26" s="2059"/>
      <c r="E26" s="2059"/>
      <c r="F26" s="2059"/>
      <c r="G26" s="2059"/>
      <c r="H26" s="2059"/>
    </row>
    <row r="27" spans="1:21">
      <c r="B27" s="1570" t="s">
        <v>6863</v>
      </c>
      <c r="D27" s="2645" t="e">
        <f>#REF!-#REF!-#REF!</f>
        <v>#REF!</v>
      </c>
      <c r="E27" s="2645" t="e">
        <f>#REF!-#REF!-#REF!</f>
        <v>#REF!</v>
      </c>
      <c r="F27" s="2645" t="e">
        <f>#REF!-#REF!-#REF!</f>
        <v>#REF!</v>
      </c>
      <c r="G27" s="2645" t="e">
        <f>#REF!-#REF!-#REF!</f>
        <v>#REF!</v>
      </c>
      <c r="H27" s="2645" t="e">
        <f>#REF!-#REF!-#REF!</f>
        <v>#REF!</v>
      </c>
    </row>
    <row r="28" spans="1:21">
      <c r="D28" s="1585"/>
      <c r="E28" s="1585"/>
    </row>
    <row r="29" spans="1:21">
      <c r="D29" s="1585"/>
      <c r="E29" s="1585"/>
    </row>
    <row r="30" spans="1:21">
      <c r="B30" s="1570" t="s">
        <v>150</v>
      </c>
      <c r="D30" s="1585"/>
      <c r="E30" s="1585"/>
    </row>
    <row r="31" spans="1:21">
      <c r="B31" s="1570" t="s">
        <v>151</v>
      </c>
      <c r="D31" s="1585"/>
      <c r="E31" s="1585"/>
    </row>
    <row r="32" spans="1:21">
      <c r="B32" s="1570" t="s">
        <v>152</v>
      </c>
      <c r="D32" s="1585"/>
      <c r="E32" s="1585"/>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Q6" activePane="bottomRight" state="frozen"/>
      <selection pane="topRight" activeCell="D1" sqref="D1"/>
      <selection pane="bottomLeft" activeCell="A6" sqref="A6"/>
      <selection pane="bottomRight" activeCell="T7" sqref="T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6587</v>
      </c>
      <c r="B1" s="82" t="s">
        <v>6588</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6589</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1137</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6590</v>
      </c>
      <c r="B6" s="18" t="s">
        <v>1138</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99" t="s">
        <v>6591</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100" t="s">
        <v>6592</v>
      </c>
      <c r="B9" s="100" t="s">
        <v>5408</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5"/>
      <c r="AC9" s="365"/>
      <c r="AD9" s="365"/>
      <c r="AE9" s="365"/>
      <c r="AF9" s="365"/>
      <c r="AG9" s="365"/>
      <c r="AH9" s="365"/>
      <c r="AI9" s="365"/>
      <c r="AJ9" s="365"/>
      <c r="AK9" s="365"/>
      <c r="AL9" s="365"/>
      <c r="AM9" s="365"/>
      <c r="AN9" s="365"/>
      <c r="AO9" s="365"/>
      <c r="AP9" s="365"/>
      <c r="AQ9" s="365"/>
      <c r="AR9" s="365"/>
      <c r="AS9" s="365"/>
      <c r="AT9" s="365"/>
      <c r="AU9" s="365"/>
    </row>
    <row r="10" spans="1:47" ht="16.5">
      <c r="A10" s="100" t="s">
        <v>6593</v>
      </c>
      <c r="B10" s="100" t="s">
        <v>6594</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100" t="s">
        <v>6595</v>
      </c>
      <c r="B11" s="100" t="s">
        <v>6596</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100" t="s">
        <v>6597</v>
      </c>
      <c r="B12" s="100" t="s">
        <v>6598</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100" t="s">
        <v>6599</v>
      </c>
      <c r="B13" s="100" t="s">
        <v>6600</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9" t="s">
        <v>51</v>
      </c>
      <c r="B15" s="99" t="s">
        <v>1145</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100" t="s">
        <v>6601</v>
      </c>
      <c r="B16" s="100" t="s">
        <v>6602</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100" t="s">
        <v>6603</v>
      </c>
      <c r="B17" s="100" t="s">
        <v>6604</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100" t="s">
        <v>6605</v>
      </c>
      <c r="B18" s="100" t="s">
        <v>6606</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c r="A19" s="102" t="s">
        <v>649</v>
      </c>
      <c r="B19" s="102" t="s">
        <v>2157</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s="9" customFormat="1" ht="16.5">
      <c r="A20" s="9" t="s">
        <v>53</v>
      </c>
      <c r="B20" s="18" t="s">
        <v>6607</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ht="16.5">
      <c r="A22" t="s">
        <v>76</v>
      </c>
      <c r="B22" s="90" t="s">
        <v>1156</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152" t="s">
        <v>6608</v>
      </c>
      <c r="B25" s="152" t="s">
        <v>6609</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s="99" t="s">
        <v>6610</v>
      </c>
      <c r="B26" s="99" t="s">
        <v>6611</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99" t="s">
        <v>4622</v>
      </c>
      <c r="B27" s="99" t="s">
        <v>6612</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99" t="s">
        <v>3956</v>
      </c>
      <c r="B28" s="99" t="s">
        <v>6613</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99" t="s">
        <v>391</v>
      </c>
      <c r="B29" s="99" t="s">
        <v>3722</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t="s">
        <v>76</v>
      </c>
      <c r="B30" s="90" t="s">
        <v>848</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90" t="s">
        <v>6614</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619" t="s">
        <v>6615</v>
      </c>
      <c r="B32" s="619" t="s">
        <v>6615</v>
      </c>
      <c r="C32" s="633" t="s">
        <v>3873</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619" t="s">
        <v>6616</v>
      </c>
      <c r="B33" s="619" t="s">
        <v>6616</v>
      </c>
      <c r="C33" s="633" t="s">
        <v>3873</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ht="16.5">
      <c r="A34" s="90" t="s">
        <v>1159</v>
      </c>
      <c r="B34" s="90" t="s">
        <v>1159</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t="s">
        <v>76</v>
      </c>
      <c r="B35" s="90" t="s">
        <v>6617</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t="s">
        <v>76</v>
      </c>
      <c r="B36" s="90" t="s">
        <v>6618</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s="619" t="s">
        <v>6619</v>
      </c>
      <c r="B37" s="619" t="s">
        <v>6619</v>
      </c>
      <c r="C37" s="607"/>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t="s">
        <v>76</v>
      </c>
      <c r="B38" s="90" t="s">
        <v>6620</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43" t="s">
        <v>117</v>
      </c>
      <c r="B40" s="90" t="s">
        <v>1161</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t="s">
        <v>6621</v>
      </c>
      <c r="B42" s="90" t="s">
        <v>6622</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B47" t="s">
        <v>875</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B48" t="s">
        <v>450</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6208</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1040</v>
      </c>
      <c r="J56">
        <v>30000000</v>
      </c>
      <c r="K56">
        <v>32000000</v>
      </c>
      <c r="L56">
        <v>36000000</v>
      </c>
      <c r="M56">
        <v>35000000</v>
      </c>
      <c r="N56">
        <v>35000000</v>
      </c>
      <c r="O56">
        <v>38000000</v>
      </c>
      <c r="P56">
        <v>39000000</v>
      </c>
      <c r="Q56">
        <v>40000000</v>
      </c>
      <c r="R56" s="364">
        <v>41000000</v>
      </c>
      <c r="S56" s="364">
        <v>47000000</v>
      </c>
      <c r="T56" s="364">
        <v>49000000</v>
      </c>
      <c r="U56" s="364">
        <v>53000000</v>
      </c>
      <c r="V56" s="364">
        <v>57000000</v>
      </c>
      <c r="W56" s="364">
        <v>61000000</v>
      </c>
      <c r="X56" s="364">
        <v>66000000</v>
      </c>
      <c r="Y56" s="364">
        <v>71000000</v>
      </c>
      <c r="Z56" s="364">
        <v>76000000</v>
      </c>
      <c r="AA56" s="364">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V48"/>
  <sheetViews>
    <sheetView zoomScale="90" zoomScaleNormal="90" workbookViewId="0">
      <pane xSplit="3" ySplit="5" topLeftCell="O6" activePane="bottomRight" state="frozen"/>
      <selection pane="topRight" activeCell="Q31" sqref="Q31:X31"/>
      <selection pane="bottomLeft" activeCell="Q31" sqref="Q31:X31"/>
      <selection pane="bottomRight" activeCell="B27" sqref="B27"/>
    </sheetView>
  </sheetViews>
  <sheetFormatPr defaultRowHeight="15"/>
  <cols>
    <col min="1" max="1" width="27.85546875" bestFit="1" customWidth="1"/>
    <col min="2" max="2" width="52.140625" customWidth="1"/>
    <col min="3" max="3" width="22.42578125" bestFit="1" customWidth="1"/>
    <col min="15" max="15" width="13.7109375" bestFit="1" customWidth="1"/>
    <col min="16" max="22" width="17.85546875" customWidth="1"/>
    <col min="23" max="23" width="10.7109375" bestFit="1" customWidth="1"/>
  </cols>
  <sheetData>
    <row r="1" spans="1:22">
      <c r="A1" s="369" t="s">
        <v>6623</v>
      </c>
      <c r="B1" t="s">
        <v>6624</v>
      </c>
    </row>
    <row r="2" spans="1:22">
      <c r="B2" t="s">
        <v>6625</v>
      </c>
    </row>
    <row r="3" spans="1:22">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row>
    <row r="4" spans="1:22">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row>
    <row r="5" spans="1:22">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30</v>
      </c>
      <c r="T5" s="13" t="s">
        <v>30</v>
      </c>
      <c r="U5" s="13" t="s">
        <v>32</v>
      </c>
      <c r="V5" s="13" t="s">
        <v>32</v>
      </c>
    </row>
    <row r="6" spans="1:22" s="15" customFormat="1">
      <c r="A6" s="96" t="s">
        <v>33</v>
      </c>
      <c r="B6" s="96" t="s">
        <v>2066</v>
      </c>
      <c r="C6" s="160" t="s">
        <v>35</v>
      </c>
      <c r="P6" s="335">
        <v>550000000000</v>
      </c>
      <c r="Q6" s="335">
        <v>582800000000</v>
      </c>
      <c r="R6" s="335">
        <v>550400000000</v>
      </c>
      <c r="S6" s="335">
        <v>387400000000</v>
      </c>
      <c r="T6" s="335">
        <f>T7+T10</f>
        <v>362400000000</v>
      </c>
      <c r="U6" s="335">
        <f t="shared" ref="U6:V6" si="0">U7+U10</f>
        <v>379700000000</v>
      </c>
      <c r="V6" s="335">
        <f t="shared" si="0"/>
        <v>405900000000</v>
      </c>
    </row>
    <row r="7" spans="1:22" ht="16.5">
      <c r="A7" s="139" t="s">
        <v>36</v>
      </c>
      <c r="B7" s="90" t="s">
        <v>159</v>
      </c>
      <c r="C7" s="345" t="s">
        <v>38</v>
      </c>
      <c r="P7" s="125">
        <f>P6-P10</f>
        <v>550000000000</v>
      </c>
      <c r="Q7" s="125">
        <f t="shared" ref="Q7:S7" si="1">Q6-Q10</f>
        <v>582800000000</v>
      </c>
      <c r="R7" s="125">
        <f t="shared" si="1"/>
        <v>550400000000</v>
      </c>
      <c r="S7" s="125">
        <f t="shared" si="1"/>
        <v>387400000000</v>
      </c>
      <c r="T7" s="125">
        <f>T8+T9+T11</f>
        <v>362400000000</v>
      </c>
      <c r="U7" s="125">
        <f t="shared" ref="U7:V7" si="2">U8+U9+U11</f>
        <v>379700000000</v>
      </c>
      <c r="V7" s="125">
        <f t="shared" si="2"/>
        <v>405900000000</v>
      </c>
    </row>
    <row r="8" spans="1:22">
      <c r="A8" s="103" t="s">
        <v>371</v>
      </c>
      <c r="B8" s="103" t="s">
        <v>371</v>
      </c>
      <c r="C8" s="58" t="s">
        <v>41</v>
      </c>
      <c r="P8" s="125">
        <v>312800000000</v>
      </c>
      <c r="Q8" s="125">
        <v>319100000000</v>
      </c>
      <c r="R8" s="125">
        <v>279900000000</v>
      </c>
      <c r="S8" s="125">
        <v>162400000000</v>
      </c>
      <c r="T8" s="125">
        <v>113400000000</v>
      </c>
      <c r="U8" s="125">
        <v>130100000000</v>
      </c>
      <c r="V8" s="125">
        <v>146700000000</v>
      </c>
    </row>
    <row r="9" spans="1:22">
      <c r="A9" s="99" t="s">
        <v>6626</v>
      </c>
      <c r="B9" s="99" t="s">
        <v>6626</v>
      </c>
      <c r="C9" s="58" t="s">
        <v>41</v>
      </c>
      <c r="P9" s="125">
        <v>4500000000</v>
      </c>
      <c r="Q9" s="125">
        <v>5100000000</v>
      </c>
      <c r="R9" s="125">
        <v>5300000000</v>
      </c>
      <c r="S9" s="125">
        <v>4300000000</v>
      </c>
      <c r="T9" s="125">
        <v>4400000000</v>
      </c>
      <c r="U9" s="125">
        <v>4500000000</v>
      </c>
      <c r="V9" s="125">
        <v>4600000000</v>
      </c>
    </row>
    <row r="10" spans="1:22">
      <c r="A10" s="103" t="s">
        <v>53</v>
      </c>
      <c r="B10" s="103" t="s">
        <v>53</v>
      </c>
      <c r="C10" s="345" t="s">
        <v>38</v>
      </c>
      <c r="P10" s="125">
        <v>0</v>
      </c>
      <c r="Q10" s="125">
        <v>0</v>
      </c>
      <c r="R10" s="125">
        <v>0</v>
      </c>
      <c r="S10" s="125">
        <v>0</v>
      </c>
      <c r="T10" s="125">
        <v>0</v>
      </c>
      <c r="U10" s="125">
        <v>0</v>
      </c>
      <c r="V10" s="125">
        <v>0</v>
      </c>
    </row>
    <row r="11" spans="1:22">
      <c r="A11" s="99" t="s">
        <v>6627</v>
      </c>
      <c r="B11" s="99" t="s">
        <v>6628</v>
      </c>
      <c r="C11" s="58" t="s">
        <v>41</v>
      </c>
      <c r="P11" s="125">
        <v>232700000000</v>
      </c>
      <c r="Q11" s="125">
        <v>258700000000</v>
      </c>
      <c r="R11" s="125">
        <v>265300000000</v>
      </c>
      <c r="S11" s="125">
        <v>220700000000</v>
      </c>
      <c r="T11" s="125">
        <v>244600000000</v>
      </c>
      <c r="U11" s="125">
        <v>245100000000</v>
      </c>
      <c r="V11" s="125">
        <v>254600000000</v>
      </c>
    </row>
    <row r="12" spans="1:22" s="15" customFormat="1">
      <c r="A12" s="160" t="s">
        <v>198</v>
      </c>
      <c r="B12" s="96" t="s">
        <v>6629</v>
      </c>
      <c r="C12" s="456" t="s">
        <v>35</v>
      </c>
      <c r="P12" s="335">
        <v>400900000000</v>
      </c>
      <c r="Q12" s="335">
        <v>434500000000</v>
      </c>
      <c r="R12" s="335">
        <f t="shared" ref="R12:S12" si="3">R13+R22</f>
        <v>477300000000</v>
      </c>
      <c r="S12" s="335">
        <f t="shared" si="3"/>
        <v>416100000000</v>
      </c>
      <c r="T12" s="335">
        <f>T13+T22</f>
        <v>417200000000</v>
      </c>
      <c r="U12" s="335">
        <f t="shared" ref="U12:V12" si="4">U13+U22</f>
        <v>423500000000</v>
      </c>
      <c r="V12" s="335">
        <f t="shared" si="4"/>
        <v>434600000000</v>
      </c>
    </row>
    <row r="13" spans="1:22" ht="16.5">
      <c r="A13" s="448" t="s">
        <v>476</v>
      </c>
      <c r="B13" s="90" t="s">
        <v>6630</v>
      </c>
      <c r="C13" s="58" t="s">
        <v>201</v>
      </c>
      <c r="P13" s="125">
        <v>356600000000</v>
      </c>
      <c r="Q13" s="125">
        <f t="shared" ref="Q13:S13" si="5">Q14+Q15+Q16+Q17+Q18+Q19+Q20+Q21</f>
        <v>401000000000</v>
      </c>
      <c r="R13" s="125">
        <f t="shared" si="5"/>
        <v>437400000000</v>
      </c>
      <c r="S13" s="125">
        <f t="shared" si="5"/>
        <v>382300000000</v>
      </c>
      <c r="T13" s="125">
        <f>T14+T15+T16+T17+T18+T19+T20+T21</f>
        <v>372200000000</v>
      </c>
      <c r="U13" s="125">
        <f t="shared" ref="U13:V13" si="6">U14+U15+U16+U17+U18+U19+U20+U21</f>
        <v>378300000000</v>
      </c>
      <c r="V13" s="125">
        <f t="shared" si="6"/>
        <v>385400000000</v>
      </c>
    </row>
    <row r="14" spans="1:22">
      <c r="A14" s="99" t="s">
        <v>6631</v>
      </c>
      <c r="B14" s="99" t="s">
        <v>6631</v>
      </c>
      <c r="C14" s="58" t="s">
        <v>81</v>
      </c>
      <c r="P14" s="125">
        <v>39100000000</v>
      </c>
      <c r="Q14" s="125">
        <v>42100000000</v>
      </c>
      <c r="R14" s="125">
        <v>47500000000</v>
      </c>
      <c r="S14" s="125">
        <v>62900000000</v>
      </c>
      <c r="T14" s="125">
        <v>64900000000.000008</v>
      </c>
      <c r="U14" s="125">
        <v>67400000000.000008</v>
      </c>
      <c r="V14" s="125">
        <v>70200000000</v>
      </c>
    </row>
    <row r="15" spans="1:22">
      <c r="A15" s="99" t="s">
        <v>6632</v>
      </c>
      <c r="B15" s="99" t="s">
        <v>6632</v>
      </c>
      <c r="C15" s="58" t="s">
        <v>81</v>
      </c>
      <c r="P15" s="125">
        <v>40400000000</v>
      </c>
      <c r="Q15" s="125">
        <v>43200000000</v>
      </c>
      <c r="R15" s="125">
        <v>49500000000</v>
      </c>
      <c r="S15" s="125">
        <v>56900000000</v>
      </c>
      <c r="T15" s="125">
        <v>58800000000</v>
      </c>
      <c r="U15" s="125">
        <v>59100000000</v>
      </c>
      <c r="V15" s="125">
        <v>59600000000</v>
      </c>
    </row>
    <row r="16" spans="1:22">
      <c r="A16" s="99" t="s">
        <v>6633</v>
      </c>
      <c r="B16" s="99" t="s">
        <v>6633</v>
      </c>
      <c r="C16" s="58" t="s">
        <v>81</v>
      </c>
      <c r="P16" s="125">
        <v>3500000000</v>
      </c>
      <c r="Q16" s="125">
        <v>3300000000</v>
      </c>
      <c r="R16" s="125">
        <v>3800000000</v>
      </c>
      <c r="S16" s="125">
        <v>4400000000</v>
      </c>
      <c r="T16" s="125">
        <v>5800000000</v>
      </c>
      <c r="U16" s="125">
        <v>7400000000</v>
      </c>
      <c r="V16" s="125">
        <v>7800000000</v>
      </c>
    </row>
    <row r="17" spans="1:22">
      <c r="A17" s="103" t="s">
        <v>91</v>
      </c>
      <c r="B17" s="103" t="s">
        <v>91</v>
      </c>
      <c r="C17" s="58" t="s">
        <v>81</v>
      </c>
      <c r="P17" s="125">
        <v>4300000000</v>
      </c>
      <c r="Q17" s="125">
        <v>5900000000</v>
      </c>
      <c r="R17" s="125">
        <v>4099999999.9999995</v>
      </c>
      <c r="S17" s="125">
        <v>3400000000</v>
      </c>
      <c r="T17" s="125">
        <v>2000000000</v>
      </c>
      <c r="U17" s="125">
        <v>2000000000</v>
      </c>
      <c r="V17" s="125">
        <v>2100000000</v>
      </c>
    </row>
    <row r="18" spans="1:22">
      <c r="A18" s="103" t="s">
        <v>215</v>
      </c>
      <c r="B18" s="103" t="s">
        <v>215</v>
      </c>
      <c r="C18" s="58" t="s">
        <v>81</v>
      </c>
      <c r="P18" s="125">
        <v>8400000000</v>
      </c>
      <c r="Q18" s="125">
        <v>23500000000</v>
      </c>
      <c r="R18" s="125">
        <v>29600000000</v>
      </c>
      <c r="S18" s="125">
        <v>20900000000</v>
      </c>
      <c r="T18" s="125">
        <v>16399999999.999998</v>
      </c>
      <c r="U18" s="125">
        <v>16800000000</v>
      </c>
      <c r="V18" s="125">
        <v>17300000000</v>
      </c>
    </row>
    <row r="19" spans="1:22">
      <c r="A19" s="103" t="s">
        <v>53</v>
      </c>
      <c r="B19" s="103" t="s">
        <v>53</v>
      </c>
      <c r="C19" s="58" t="s">
        <v>81</v>
      </c>
      <c r="P19" s="125">
        <v>2600000000</v>
      </c>
      <c r="Q19" s="125">
        <v>21600000000</v>
      </c>
      <c r="R19" s="125">
        <v>21900000000</v>
      </c>
      <c r="S19" s="125">
        <v>22200000000</v>
      </c>
      <c r="T19" s="125">
        <v>14900000000</v>
      </c>
      <c r="U19" s="125">
        <v>15200000000</v>
      </c>
      <c r="V19" s="125">
        <v>15500000000</v>
      </c>
    </row>
    <row r="20" spans="1:22">
      <c r="A20" s="99" t="s">
        <v>6634</v>
      </c>
      <c r="B20" s="99" t="s">
        <v>6634</v>
      </c>
      <c r="C20" s="58" t="s">
        <v>81</v>
      </c>
      <c r="P20" s="125">
        <v>48800000000</v>
      </c>
      <c r="Q20" s="125">
        <v>39100000000</v>
      </c>
      <c r="R20" s="125">
        <v>43900000000</v>
      </c>
      <c r="S20" s="125">
        <v>44300000000</v>
      </c>
      <c r="T20" s="125">
        <v>42200000000</v>
      </c>
      <c r="U20" s="125">
        <v>43400000000</v>
      </c>
      <c r="V20" s="125">
        <v>44800000000</v>
      </c>
    </row>
    <row r="21" spans="1:22">
      <c r="A21" s="99" t="s">
        <v>6635</v>
      </c>
      <c r="B21" s="99" t="s">
        <v>6636</v>
      </c>
      <c r="C21" s="58" t="s">
        <v>81</v>
      </c>
      <c r="P21" s="125">
        <v>209500000000</v>
      </c>
      <c r="Q21" s="125">
        <v>222300000000</v>
      </c>
      <c r="R21" s="125">
        <v>237100000000</v>
      </c>
      <c r="S21" s="125">
        <v>167300000000</v>
      </c>
      <c r="T21" s="125">
        <v>167200000000</v>
      </c>
      <c r="U21" s="125">
        <v>167000000000</v>
      </c>
      <c r="V21" s="125">
        <v>168100000000</v>
      </c>
    </row>
    <row r="22" spans="1:22" ht="16.5">
      <c r="A22" s="139" t="s">
        <v>237</v>
      </c>
      <c r="B22" s="90" t="s">
        <v>6637</v>
      </c>
      <c r="C22" s="58" t="s">
        <v>201</v>
      </c>
      <c r="P22" s="125">
        <v>44300000000</v>
      </c>
      <c r="Q22" s="125">
        <v>33500000000</v>
      </c>
      <c r="R22" s="125">
        <v>39900000000</v>
      </c>
      <c r="S22" s="125">
        <v>33799999999.999996</v>
      </c>
      <c r="T22" s="125">
        <v>45000000000</v>
      </c>
      <c r="U22" s="125">
        <v>45200000000</v>
      </c>
      <c r="V22" s="125">
        <v>49200000000</v>
      </c>
    </row>
    <row r="23" spans="1:22">
      <c r="B23" s="90" t="s">
        <v>6638</v>
      </c>
      <c r="P23" s="125">
        <v>193400000000</v>
      </c>
      <c r="Q23" s="125">
        <v>181900000000</v>
      </c>
      <c r="R23" s="125">
        <v>113000000000</v>
      </c>
      <c r="S23" s="125">
        <v>5200000000</v>
      </c>
      <c r="T23" s="125"/>
      <c r="U23" s="125"/>
      <c r="V23" s="125"/>
    </row>
    <row r="24" spans="1:22">
      <c r="B24" s="90" t="s">
        <v>6639</v>
      </c>
      <c r="P24" s="125">
        <v>149100000000</v>
      </c>
      <c r="Q24" s="125">
        <v>148400000000</v>
      </c>
      <c r="R24" s="125">
        <v>73100000000</v>
      </c>
      <c r="S24" s="125">
        <v>-28500000000</v>
      </c>
      <c r="T24" s="125"/>
      <c r="U24" s="125"/>
      <c r="V24" s="125"/>
    </row>
    <row r="25" spans="1:22" s="15" customFormat="1">
      <c r="A25" s="2001" t="s">
        <v>115</v>
      </c>
      <c r="B25" s="2001" t="s">
        <v>115</v>
      </c>
      <c r="C25" s="456" t="s">
        <v>35</v>
      </c>
      <c r="P25" s="335">
        <f>P28+P31</f>
        <v>-149100000000</v>
      </c>
      <c r="Q25" s="335">
        <f t="shared" ref="Q25" si="7">Q28+Q31</f>
        <v>-148400000000</v>
      </c>
      <c r="R25" s="335">
        <f>R28+R31</f>
        <v>-73100000000</v>
      </c>
      <c r="S25" s="335">
        <f>S26+S27</f>
        <v>25400000000</v>
      </c>
      <c r="T25" s="335">
        <f>T26+T27</f>
        <v>54900000000</v>
      </c>
      <c r="U25" s="335">
        <f t="shared" ref="U25:V25" si="8">U26+U27</f>
        <v>43600000000</v>
      </c>
      <c r="V25" s="335">
        <f t="shared" si="8"/>
        <v>28700000000</v>
      </c>
    </row>
    <row r="26" spans="1:22">
      <c r="A26" s="90" t="s">
        <v>117</v>
      </c>
      <c r="B26" s="90" t="s">
        <v>117</v>
      </c>
      <c r="C26" s="58" t="s">
        <v>252</v>
      </c>
      <c r="O26" s="125"/>
      <c r="P26" s="125">
        <f>P30+P33</f>
        <v>-142200000000</v>
      </c>
      <c r="Q26" s="125">
        <f t="shared" ref="Q26" si="9">Q30+Q33</f>
        <v>-157200000000</v>
      </c>
      <c r="R26" s="125">
        <f t="shared" ref="R26:S26" si="10">R30+R33</f>
        <v>-169600000000</v>
      </c>
      <c r="S26" s="125">
        <f t="shared" si="10"/>
        <v>-2300000000</v>
      </c>
      <c r="T26" s="125">
        <f>T30+T33</f>
        <v>54300000000</v>
      </c>
      <c r="U26" s="125">
        <f t="shared" ref="U26:V26" si="11">U30+U33</f>
        <v>15600000000</v>
      </c>
      <c r="V26" s="125">
        <f t="shared" si="11"/>
        <v>8100000000</v>
      </c>
    </row>
    <row r="27" spans="1:22">
      <c r="A27" s="90" t="s">
        <v>2299</v>
      </c>
      <c r="B27" s="90" t="s">
        <v>2299</v>
      </c>
      <c r="C27" s="58" t="s">
        <v>252</v>
      </c>
      <c r="O27" s="125"/>
      <c r="P27" s="125">
        <f>P29+P32</f>
        <v>-6900000000</v>
      </c>
      <c r="Q27" s="125">
        <f t="shared" ref="Q27" si="12">Q29+Q32</f>
        <v>8800000000</v>
      </c>
      <c r="R27" s="125">
        <f t="shared" ref="R27:S27" si="13">R29+R32</f>
        <v>96400000000</v>
      </c>
      <c r="S27" s="125">
        <f t="shared" si="13"/>
        <v>27700000000</v>
      </c>
      <c r="T27" s="125">
        <f>T29+T32</f>
        <v>600000000</v>
      </c>
      <c r="U27" s="125">
        <f t="shared" ref="U27:V27" si="14">U29+U32</f>
        <v>28000000000</v>
      </c>
      <c r="V27" s="125">
        <f t="shared" si="14"/>
        <v>20600000000</v>
      </c>
    </row>
    <row r="28" spans="1:22">
      <c r="B28" s="90" t="s">
        <v>6640</v>
      </c>
      <c r="P28" s="125">
        <v>-160800000000</v>
      </c>
      <c r="Q28" s="125">
        <v>-204200000000</v>
      </c>
      <c r="R28" s="125">
        <v>-77200000000</v>
      </c>
      <c r="S28" s="125">
        <v>6000000000</v>
      </c>
      <c r="T28" s="125"/>
      <c r="U28" s="125"/>
      <c r="V28" s="125"/>
    </row>
    <row r="29" spans="1:22">
      <c r="A29" s="103" t="s">
        <v>6641</v>
      </c>
      <c r="B29" s="103" t="s">
        <v>209</v>
      </c>
      <c r="C29" t="s">
        <v>124</v>
      </c>
      <c r="P29" s="125">
        <v>-17700000000</v>
      </c>
      <c r="Q29" s="125">
        <v>-25200000000</v>
      </c>
      <c r="R29" s="125">
        <v>82200000000</v>
      </c>
      <c r="S29" s="125">
        <v>11400000000</v>
      </c>
      <c r="T29" s="125">
        <v>-16800000000</v>
      </c>
      <c r="U29" s="125">
        <v>5000000000</v>
      </c>
      <c r="V29" s="125">
        <v>2200000000</v>
      </c>
    </row>
    <row r="30" spans="1:22">
      <c r="A30" s="103" t="s">
        <v>6642</v>
      </c>
      <c r="B30" s="103" t="s">
        <v>212</v>
      </c>
      <c r="C30" t="s">
        <v>264</v>
      </c>
      <c r="P30" s="125">
        <v>-143100000000</v>
      </c>
      <c r="Q30" s="125">
        <v>-179000000000</v>
      </c>
      <c r="R30" s="125">
        <v>-159500000000</v>
      </c>
      <c r="S30" s="125">
        <v>-5400000000</v>
      </c>
      <c r="T30" s="125">
        <v>34400000000</v>
      </c>
      <c r="U30" s="125">
        <v>9000000000</v>
      </c>
      <c r="V30" s="125">
        <v>4800000000</v>
      </c>
    </row>
    <row r="31" spans="1:22">
      <c r="B31" s="90" t="s">
        <v>6643</v>
      </c>
      <c r="P31" s="125">
        <v>11700000000</v>
      </c>
      <c r="Q31" s="125">
        <v>55800000000</v>
      </c>
      <c r="R31" s="125">
        <v>4099999999.9999995</v>
      </c>
      <c r="S31" s="125">
        <v>22600000000</v>
      </c>
      <c r="T31" s="125"/>
      <c r="U31" s="125"/>
      <c r="V31" s="125"/>
    </row>
    <row r="32" spans="1:22">
      <c r="A32" s="103" t="s">
        <v>6644</v>
      </c>
      <c r="B32" s="103" t="s">
        <v>209</v>
      </c>
      <c r="C32" t="s">
        <v>124</v>
      </c>
      <c r="P32" s="125">
        <v>10800000000</v>
      </c>
      <c r="Q32" s="125">
        <v>34000000000</v>
      </c>
      <c r="R32" s="125">
        <v>14200000000</v>
      </c>
      <c r="S32" s="125">
        <v>16300000000</v>
      </c>
      <c r="T32" s="125">
        <v>17400000000</v>
      </c>
      <c r="U32" s="125">
        <v>23000000000</v>
      </c>
      <c r="V32" s="125">
        <v>18400000000</v>
      </c>
    </row>
    <row r="33" spans="1:22">
      <c r="A33" s="103" t="s">
        <v>6645</v>
      </c>
      <c r="B33" s="103" t="s">
        <v>212</v>
      </c>
      <c r="C33" t="s">
        <v>264</v>
      </c>
      <c r="P33" s="125">
        <v>900000000</v>
      </c>
      <c r="Q33" s="125">
        <v>21800000000</v>
      </c>
      <c r="R33" s="125">
        <v>-10100000000</v>
      </c>
      <c r="S33" s="125">
        <v>3100000000</v>
      </c>
      <c r="T33" s="125">
        <v>19900000000</v>
      </c>
      <c r="U33" s="125">
        <v>6600000000</v>
      </c>
      <c r="V33" s="125">
        <v>3300000000</v>
      </c>
    </row>
    <row r="35" spans="1:22">
      <c r="P35" t="s">
        <v>138</v>
      </c>
      <c r="Q35" t="s">
        <v>138</v>
      </c>
      <c r="R35" t="s">
        <v>138</v>
      </c>
      <c r="S35" t="s">
        <v>138</v>
      </c>
      <c r="T35" t="s">
        <v>138</v>
      </c>
      <c r="U35" t="s">
        <v>138</v>
      </c>
      <c r="V35" t="s">
        <v>138</v>
      </c>
    </row>
    <row r="37" spans="1:22">
      <c r="B37" t="s">
        <v>3473</v>
      </c>
      <c r="P37" s="21">
        <f>P6-P7-P10</f>
        <v>0</v>
      </c>
      <c r="Q37" s="21">
        <f t="shared" ref="Q37:V37" si="15">Q6-Q7-Q10</f>
        <v>0</v>
      </c>
      <c r="R37" s="21">
        <f t="shared" si="15"/>
        <v>0</v>
      </c>
      <c r="S37" s="21">
        <f t="shared" si="15"/>
        <v>0</v>
      </c>
      <c r="T37" s="21">
        <f t="shared" si="15"/>
        <v>0</v>
      </c>
      <c r="U37" s="21">
        <f t="shared" si="15"/>
        <v>0</v>
      </c>
      <c r="V37" s="21">
        <f t="shared" si="15"/>
        <v>0</v>
      </c>
    </row>
    <row r="38" spans="1:22">
      <c r="B38" t="s">
        <v>159</v>
      </c>
      <c r="P38" s="21">
        <f>P7-P8-P9-P11</f>
        <v>0</v>
      </c>
      <c r="Q38" s="21">
        <f>Q7-Q8-Q9-Q11</f>
        <v>-100000000</v>
      </c>
      <c r="R38" s="21">
        <f t="shared" ref="R38:V38" si="16">R7-R8-R9-R11</f>
        <v>-100000000</v>
      </c>
      <c r="S38" s="21">
        <f t="shared" si="16"/>
        <v>0</v>
      </c>
      <c r="T38" s="21">
        <f t="shared" si="16"/>
        <v>0</v>
      </c>
      <c r="U38" s="21">
        <f t="shared" si="16"/>
        <v>0</v>
      </c>
      <c r="V38" s="21">
        <f t="shared" si="16"/>
        <v>0</v>
      </c>
    </row>
    <row r="39" spans="1:22">
      <c r="B39" t="s">
        <v>2267</v>
      </c>
      <c r="P39" s="21">
        <f>P12-P13-P22</f>
        <v>0</v>
      </c>
      <c r="Q39" s="21">
        <f t="shared" ref="Q39:V39" si="17">Q12-Q13-Q22</f>
        <v>0</v>
      </c>
      <c r="R39" s="21">
        <f t="shared" si="17"/>
        <v>0</v>
      </c>
      <c r="S39" s="21">
        <f t="shared" si="17"/>
        <v>0</v>
      </c>
      <c r="T39" s="21">
        <f t="shared" si="17"/>
        <v>0</v>
      </c>
      <c r="U39" s="21">
        <f t="shared" si="17"/>
        <v>0</v>
      </c>
      <c r="V39" s="21">
        <f t="shared" si="17"/>
        <v>0</v>
      </c>
    </row>
    <row r="40" spans="1:22">
      <c r="B40" t="s">
        <v>6646</v>
      </c>
      <c r="P40" s="21">
        <f>P13-P14-P15-P16-P17-P18-P19-P20-P21</f>
        <v>0</v>
      </c>
      <c r="Q40" s="21">
        <f t="shared" ref="Q40:V40" si="18">Q13-Q14-Q15-Q16-Q17-Q18-Q19-Q20-Q21</f>
        <v>0</v>
      </c>
      <c r="R40" s="21">
        <f t="shared" si="18"/>
        <v>0</v>
      </c>
      <c r="S40" s="21">
        <f>S13-S14-S15-S16-S17-S18-S19-S20-S21</f>
        <v>0</v>
      </c>
      <c r="T40" s="21">
        <f t="shared" si="18"/>
        <v>0</v>
      </c>
      <c r="U40" s="21">
        <f t="shared" si="18"/>
        <v>0</v>
      </c>
      <c r="V40" s="21">
        <f t="shared" si="18"/>
        <v>0</v>
      </c>
    </row>
    <row r="41" spans="1:22">
      <c r="B41" t="s">
        <v>457</v>
      </c>
      <c r="P41" s="21">
        <f>P25-P26-P27</f>
        <v>0</v>
      </c>
      <c r="Q41" s="21">
        <f t="shared" ref="Q41:V41" si="19">Q25-Q26-Q27</f>
        <v>0</v>
      </c>
      <c r="R41" s="21">
        <f>R25-R26-R27</f>
        <v>100000000</v>
      </c>
      <c r="S41" s="21">
        <f>S25-S26-S27</f>
        <v>0</v>
      </c>
      <c r="T41" s="21">
        <f t="shared" si="19"/>
        <v>0</v>
      </c>
      <c r="U41" s="21">
        <f t="shared" si="19"/>
        <v>0</v>
      </c>
      <c r="V41" s="21">
        <f t="shared" si="19"/>
        <v>0</v>
      </c>
    </row>
    <row r="42" spans="1:22">
      <c r="B42" t="s">
        <v>4315</v>
      </c>
      <c r="P42" s="21">
        <f>P26-P30-P33</f>
        <v>0</v>
      </c>
      <c r="Q42" s="21">
        <f t="shared" ref="Q42:V42" si="20">Q26-Q30-Q33</f>
        <v>0</v>
      </c>
      <c r="R42" s="21">
        <f t="shared" si="20"/>
        <v>0</v>
      </c>
      <c r="S42" s="21">
        <f t="shared" si="20"/>
        <v>0</v>
      </c>
      <c r="T42" s="21">
        <f t="shared" si="20"/>
        <v>0</v>
      </c>
      <c r="U42" s="21">
        <f t="shared" si="20"/>
        <v>0</v>
      </c>
      <c r="V42" s="21">
        <f t="shared" si="20"/>
        <v>0</v>
      </c>
    </row>
    <row r="43" spans="1:22">
      <c r="B43" t="s">
        <v>1172</v>
      </c>
      <c r="P43" s="21">
        <f>P27-P29-P32</f>
        <v>0</v>
      </c>
      <c r="Q43" s="21">
        <f t="shared" ref="Q43:V43" si="21">Q27-Q29-Q32</f>
        <v>0</v>
      </c>
      <c r="R43" s="21">
        <f t="shared" si="21"/>
        <v>0</v>
      </c>
      <c r="S43" s="21">
        <f t="shared" si="21"/>
        <v>0</v>
      </c>
      <c r="T43" s="21">
        <f t="shared" si="21"/>
        <v>0</v>
      </c>
      <c r="U43" s="21">
        <f t="shared" si="21"/>
        <v>0</v>
      </c>
      <c r="V43" s="21">
        <f t="shared" si="21"/>
        <v>0</v>
      </c>
    </row>
    <row r="45" spans="1:22" ht="15.75" thickBot="1">
      <c r="O45" s="21"/>
      <c r="Q45" s="622"/>
      <c r="R45" s="622"/>
      <c r="S45" s="622"/>
      <c r="T45" s="622"/>
      <c r="U45" s="622"/>
      <c r="V45" s="622"/>
    </row>
    <row r="46" spans="1:22" ht="15.75" thickBot="1">
      <c r="B46" t="s">
        <v>299</v>
      </c>
      <c r="P46" s="346">
        <v>1371421000000</v>
      </c>
      <c r="Q46" s="622">
        <v>1427000000000</v>
      </c>
      <c r="R46" s="622">
        <v>1476000000000</v>
      </c>
      <c r="S46" s="622">
        <v>1360000000000</v>
      </c>
      <c r="T46" s="622">
        <v>1380000000000</v>
      </c>
      <c r="U46" s="622">
        <v>1490000000000</v>
      </c>
      <c r="V46" s="622">
        <v>1584000000000</v>
      </c>
    </row>
    <row r="47" spans="1:22">
      <c r="B47" t="s">
        <v>6647</v>
      </c>
      <c r="P47" s="496">
        <f t="shared" ref="P47:V47" si="22">P6/P46</f>
        <v>0.40104388076309172</v>
      </c>
      <c r="Q47" s="496">
        <f t="shared" si="22"/>
        <v>0.4084092501751927</v>
      </c>
      <c r="R47" s="496">
        <f t="shared" si="22"/>
        <v>0.37289972899728996</v>
      </c>
      <c r="S47" s="496">
        <f t="shared" si="22"/>
        <v>0.28485294117647059</v>
      </c>
      <c r="T47" s="496">
        <f t="shared" si="22"/>
        <v>0.26260869565217393</v>
      </c>
      <c r="U47" s="496">
        <f t="shared" si="22"/>
        <v>0.25483221476510065</v>
      </c>
      <c r="V47" s="496">
        <f t="shared" si="22"/>
        <v>0.25624999999999998</v>
      </c>
    </row>
    <row r="48" spans="1:22">
      <c r="B48" t="s">
        <v>6648</v>
      </c>
      <c r="P48" s="496">
        <f t="shared" ref="P48:V48" si="23">P12/P46</f>
        <v>0.29232453054167901</v>
      </c>
      <c r="Q48" s="496">
        <f t="shared" si="23"/>
        <v>0.30448493342676947</v>
      </c>
      <c r="R48" s="496">
        <f t="shared" si="23"/>
        <v>0.32337398373983739</v>
      </c>
      <c r="S48" s="496">
        <f t="shared" si="23"/>
        <v>0.30595588235294119</v>
      </c>
      <c r="T48" s="496">
        <f t="shared" si="23"/>
        <v>0.30231884057971015</v>
      </c>
      <c r="U48" s="496">
        <f t="shared" si="23"/>
        <v>0.28422818791946308</v>
      </c>
      <c r="V48" s="496">
        <f t="shared" si="23"/>
        <v>0.27436868686868687</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K6" activePane="bottomRight" state="frozen"/>
      <selection pane="topRight" activeCell="C1" sqref="C1"/>
      <selection pane="bottomLeft" activeCell="A6" sqref="A6"/>
      <selection pane="bottomRight" activeCell="O35" sqref="O35"/>
    </sheetView>
  </sheetViews>
  <sheetFormatPr defaultRowHeight="18.75"/>
  <cols>
    <col min="1" max="1" width="34.85546875" style="2147" customWidth="1"/>
    <col min="2" max="2" width="49.42578125" style="2147" bestFit="1" customWidth="1"/>
    <col min="3" max="3" width="31.140625" style="2147" customWidth="1"/>
    <col min="4" max="4" width="30.85546875" style="2147" bestFit="1" customWidth="1"/>
    <col min="5" max="6" width="30.28515625" style="2147" bestFit="1" customWidth="1"/>
    <col min="7" max="7" width="30.85546875" style="2147" bestFit="1" customWidth="1"/>
    <col min="8" max="8" width="30.28515625" style="2147" bestFit="1" customWidth="1"/>
    <col min="9" max="14" width="30.85546875" style="2147" bestFit="1" customWidth="1"/>
    <col min="15" max="15" width="31.28515625" style="2147" bestFit="1" customWidth="1"/>
    <col min="16" max="16" width="27.5703125" style="2147" bestFit="1" customWidth="1"/>
    <col min="17" max="17" width="26.7109375" style="2147" customWidth="1"/>
    <col min="18" max="18" width="31.28515625" style="2147" bestFit="1" customWidth="1"/>
    <col min="19" max="19" width="30.85546875" style="2147" bestFit="1" customWidth="1"/>
    <col min="20" max="20" width="30.28515625" style="2147" bestFit="1" customWidth="1"/>
    <col min="21" max="21" width="27.5703125" style="2147" customWidth="1"/>
    <col min="22" max="22" width="26.85546875" style="2147" bestFit="1" customWidth="1"/>
    <col min="23" max="23" width="26" style="2147" bestFit="1" customWidth="1"/>
    <col min="24" max="24" width="27.7109375" style="2147" bestFit="1" customWidth="1"/>
    <col min="25" max="26" width="8.85546875" style="2147"/>
  </cols>
  <sheetData>
    <row r="1" spans="1:36">
      <c r="A1" s="2147" t="s">
        <v>6649</v>
      </c>
      <c r="B1" s="2148" t="s">
        <v>6650</v>
      </c>
      <c r="C1" s="2148"/>
      <c r="D1" s="2148"/>
      <c r="E1" s="2148"/>
      <c r="F1" s="2148"/>
      <c r="G1" s="2148"/>
      <c r="H1" s="2148"/>
      <c r="I1" s="2148"/>
      <c r="J1" s="2148"/>
      <c r="K1" s="2148"/>
      <c r="L1" s="2148"/>
      <c r="M1" s="2148"/>
      <c r="N1" s="2148"/>
      <c r="O1" s="2149"/>
      <c r="P1" s="2149"/>
      <c r="Q1" s="2149"/>
      <c r="R1" s="2149"/>
      <c r="S1" s="2149"/>
      <c r="T1" s="2149"/>
      <c r="U1" s="2149"/>
      <c r="V1" s="2149"/>
      <c r="W1" s="2149"/>
      <c r="X1" s="2149"/>
      <c r="Y1" s="2270"/>
      <c r="Z1" s="2270"/>
      <c r="AA1" s="3"/>
      <c r="AB1" s="3"/>
      <c r="AC1" s="3"/>
      <c r="AD1" s="3"/>
      <c r="AE1" s="3"/>
      <c r="AF1" s="3"/>
      <c r="AG1" s="3"/>
      <c r="AH1" s="3"/>
      <c r="AI1" s="3"/>
      <c r="AJ1" s="3"/>
    </row>
    <row r="2" spans="1:36">
      <c r="B2" s="2149" t="s">
        <v>6651</v>
      </c>
      <c r="C2" s="2149"/>
      <c r="D2" s="2149"/>
      <c r="E2" s="2149"/>
      <c r="F2" s="2149"/>
      <c r="G2" s="2149"/>
      <c r="H2" s="2149"/>
      <c r="I2" s="2149"/>
      <c r="J2" s="2149"/>
      <c r="K2" s="2149"/>
      <c r="L2" s="2149"/>
      <c r="M2" s="2149"/>
      <c r="N2" s="2149"/>
      <c r="O2" s="2149"/>
      <c r="P2" s="2149"/>
      <c r="Q2" s="2149"/>
      <c r="R2" s="2149"/>
      <c r="S2" s="2271"/>
      <c r="T2" s="2271"/>
      <c r="U2" s="2272"/>
      <c r="V2" s="2149"/>
      <c r="W2" s="2149"/>
      <c r="X2" s="2149"/>
      <c r="Y2" s="2270"/>
      <c r="Z2" s="2270"/>
      <c r="AA2" s="3"/>
      <c r="AB2" s="3"/>
      <c r="AC2" s="3"/>
      <c r="AD2" s="3"/>
      <c r="AE2" s="3"/>
      <c r="AF2" s="3"/>
      <c r="AG2" s="3"/>
      <c r="AH2" s="3"/>
      <c r="AI2" s="3"/>
      <c r="AJ2" s="3"/>
    </row>
    <row r="3" spans="1:36">
      <c r="B3" s="2150" t="s">
        <v>3</v>
      </c>
      <c r="C3" s="2150"/>
      <c r="D3" s="2149">
        <v>2000</v>
      </c>
      <c r="E3" s="2149">
        <v>2001</v>
      </c>
      <c r="F3" s="2149">
        <v>2002</v>
      </c>
      <c r="G3" s="2149">
        <v>2003</v>
      </c>
      <c r="H3" s="2149">
        <v>2004</v>
      </c>
      <c r="I3" s="2149">
        <v>2005</v>
      </c>
      <c r="J3" s="2149">
        <v>2006</v>
      </c>
      <c r="K3" s="2149">
        <v>2007</v>
      </c>
      <c r="L3" s="2149">
        <v>2008</v>
      </c>
      <c r="M3" s="2149">
        <v>2009</v>
      </c>
      <c r="N3" s="2149">
        <v>2010</v>
      </c>
      <c r="O3" s="2149">
        <v>2011</v>
      </c>
      <c r="P3" s="2149">
        <v>2012</v>
      </c>
      <c r="Q3" s="2149">
        <v>2013</v>
      </c>
      <c r="R3" s="2149">
        <v>2014</v>
      </c>
      <c r="S3" s="2149">
        <v>2014</v>
      </c>
      <c r="T3" s="2149">
        <v>2015</v>
      </c>
      <c r="U3" s="2149">
        <v>2015</v>
      </c>
      <c r="V3" s="2149">
        <v>2016</v>
      </c>
      <c r="W3" s="2149">
        <v>2017</v>
      </c>
      <c r="X3" s="2149">
        <v>2018</v>
      </c>
      <c r="Y3" s="2270"/>
      <c r="Z3" s="2270"/>
      <c r="AA3" s="3"/>
      <c r="AB3" s="3"/>
      <c r="AC3" s="3"/>
      <c r="AD3" s="3"/>
      <c r="AE3" s="3"/>
      <c r="AF3" s="3"/>
      <c r="AG3" s="3"/>
      <c r="AH3" s="3"/>
      <c r="AI3" s="3"/>
      <c r="AJ3" s="3"/>
    </row>
    <row r="4" spans="1:36">
      <c r="B4" s="2150" t="s">
        <v>4</v>
      </c>
      <c r="C4" s="2150"/>
      <c r="D4" s="2149" t="s">
        <v>5</v>
      </c>
      <c r="E4" s="2149" t="s">
        <v>6</v>
      </c>
      <c r="F4" s="2149" t="s">
        <v>7</v>
      </c>
      <c r="G4" s="2149" t="s">
        <v>8</v>
      </c>
      <c r="H4" s="2149" t="s">
        <v>9</v>
      </c>
      <c r="I4" s="2149" t="s">
        <v>10</v>
      </c>
      <c r="J4" s="2149" t="s">
        <v>11</v>
      </c>
      <c r="K4" s="2149" t="s">
        <v>12</v>
      </c>
      <c r="L4" s="2149" t="s">
        <v>13</v>
      </c>
      <c r="M4" s="2149" t="s">
        <v>14</v>
      </c>
      <c r="N4" s="2149" t="s">
        <v>15</v>
      </c>
      <c r="O4" s="2149" t="s">
        <v>16</v>
      </c>
      <c r="P4" s="2149" t="s">
        <v>17</v>
      </c>
      <c r="Q4" s="2149" t="s">
        <v>18</v>
      </c>
      <c r="R4" s="2273" t="s">
        <v>19</v>
      </c>
      <c r="S4" s="2149" t="s">
        <v>19</v>
      </c>
      <c r="T4" s="2149" t="s">
        <v>20</v>
      </c>
      <c r="U4" s="2149" t="s">
        <v>20</v>
      </c>
      <c r="V4" s="2149" t="s">
        <v>21</v>
      </c>
      <c r="W4" s="2149" t="s">
        <v>22</v>
      </c>
      <c r="X4" s="2149" t="s">
        <v>23</v>
      </c>
      <c r="Y4" s="2270"/>
      <c r="Z4" s="2270"/>
      <c r="AA4" s="3"/>
      <c r="AB4" s="3"/>
      <c r="AC4" s="3"/>
      <c r="AD4" s="3"/>
      <c r="AE4" s="3"/>
      <c r="AF4" s="3"/>
      <c r="AG4" s="3"/>
      <c r="AH4" s="3"/>
      <c r="AI4" s="3"/>
      <c r="AJ4" s="3"/>
    </row>
    <row r="5" spans="1:36">
      <c r="A5" s="2147" t="s">
        <v>28</v>
      </c>
      <c r="B5" s="2150" t="s">
        <v>29</v>
      </c>
      <c r="C5" s="2150"/>
      <c r="D5" s="2149" t="s">
        <v>30</v>
      </c>
      <c r="E5" s="2149" t="s">
        <v>30</v>
      </c>
      <c r="F5" s="2149" t="s">
        <v>30</v>
      </c>
      <c r="G5" s="2149" t="s">
        <v>30</v>
      </c>
      <c r="H5" s="2147" t="s">
        <v>30</v>
      </c>
      <c r="I5" s="2147" t="s">
        <v>30</v>
      </c>
      <c r="J5" s="2147" t="s">
        <v>30</v>
      </c>
      <c r="K5" s="2147" t="s">
        <v>30</v>
      </c>
      <c r="L5" s="2147" t="s">
        <v>30</v>
      </c>
      <c r="M5" s="2147" t="s">
        <v>30</v>
      </c>
      <c r="N5" s="2149" t="s">
        <v>31</v>
      </c>
      <c r="O5" s="2149" t="s">
        <v>30</v>
      </c>
      <c r="P5" s="2149" t="s">
        <v>30</v>
      </c>
      <c r="Q5" s="2149" t="s">
        <v>30</v>
      </c>
      <c r="R5" s="2273" t="s">
        <v>2679</v>
      </c>
      <c r="S5" s="2149" t="s">
        <v>30</v>
      </c>
      <c r="T5" s="2149" t="s">
        <v>2679</v>
      </c>
      <c r="U5" s="2149" t="s">
        <v>30</v>
      </c>
      <c r="V5" s="2149" t="s">
        <v>369</v>
      </c>
      <c r="W5" s="2149" t="s">
        <v>32</v>
      </c>
      <c r="X5" s="2149" t="s">
        <v>32</v>
      </c>
      <c r="Y5" s="2270"/>
      <c r="Z5" s="2270"/>
      <c r="AA5" s="3"/>
      <c r="AB5" s="3"/>
      <c r="AC5" s="3"/>
      <c r="AD5" s="3"/>
      <c r="AE5" s="3"/>
      <c r="AF5" s="3"/>
      <c r="AG5" s="3"/>
      <c r="AH5" s="3"/>
      <c r="AI5" s="3"/>
      <c r="AJ5" s="3"/>
    </row>
    <row r="6" spans="1:36" s="848" customFormat="1">
      <c r="A6" s="2285" t="s">
        <v>6652</v>
      </c>
      <c r="B6" s="2285" t="s">
        <v>6653</v>
      </c>
      <c r="C6" s="2295" t="s">
        <v>35</v>
      </c>
      <c r="D6" s="2286">
        <v>1575000000000</v>
      </c>
      <c r="E6" s="2286">
        <v>1914000000000</v>
      </c>
      <c r="F6" s="2286">
        <v>1969000000000</v>
      </c>
      <c r="G6" s="2286">
        <v>2264000000000</v>
      </c>
      <c r="H6" s="2286">
        <v>2918300000000</v>
      </c>
      <c r="I6" s="2286">
        <v>3146000000000</v>
      </c>
      <c r="J6" s="2286">
        <v>3241000000000</v>
      </c>
      <c r="K6" s="2286">
        <v>3624000000000</v>
      </c>
      <c r="L6" s="2286">
        <v>3800000000000</v>
      </c>
      <c r="M6" s="2286">
        <v>4546000000000</v>
      </c>
      <c r="N6" s="2286">
        <v>5136000000000</v>
      </c>
      <c r="O6" s="2286">
        <v>7221000000000</v>
      </c>
      <c r="P6" s="2296">
        <v>7771000000000</v>
      </c>
      <c r="Q6" s="2296">
        <v>8245000000000</v>
      </c>
      <c r="R6" s="2301">
        <v>9679900000000.002</v>
      </c>
      <c r="S6" s="2296">
        <v>8868000000000</v>
      </c>
      <c r="T6" s="2296">
        <f>T7+T16</f>
        <v>10867500000000</v>
      </c>
      <c r="U6" s="2296">
        <v>11045000000000</v>
      </c>
      <c r="V6" s="2296">
        <v>12647000000000</v>
      </c>
      <c r="W6" s="2296">
        <v>14039000000000</v>
      </c>
      <c r="X6" s="2296">
        <v>16577000000000</v>
      </c>
      <c r="Y6" s="2297"/>
      <c r="Z6" s="2297"/>
      <c r="AA6" s="2298"/>
      <c r="AB6" s="2298"/>
      <c r="AC6" s="2298"/>
      <c r="AD6" s="2298"/>
      <c r="AE6" s="2298"/>
      <c r="AF6" s="2298"/>
      <c r="AG6" s="2298"/>
      <c r="AH6" s="2298"/>
      <c r="AI6" s="2298"/>
      <c r="AJ6" s="2298"/>
    </row>
    <row r="7" spans="1:36">
      <c r="A7" s="2147" t="s">
        <v>370</v>
      </c>
      <c r="B7" s="2152" t="s">
        <v>36</v>
      </c>
      <c r="C7" s="2152" t="s">
        <v>38</v>
      </c>
      <c r="D7" s="2276">
        <v>1059000000000</v>
      </c>
      <c r="E7" s="2276">
        <v>1128000000000</v>
      </c>
      <c r="F7" s="2276">
        <v>1254000000000</v>
      </c>
      <c r="G7" s="2276">
        <v>1434000000000</v>
      </c>
      <c r="H7" s="2276">
        <v>1669200000000</v>
      </c>
      <c r="I7" s="2276">
        <v>1948000000000</v>
      </c>
      <c r="J7" s="2276">
        <v>2267000000000</v>
      </c>
      <c r="K7" s="2276">
        <v>2667000000000</v>
      </c>
      <c r="L7" s="2276">
        <v>3145000000000</v>
      </c>
      <c r="M7" s="2276">
        <v>3758000000000</v>
      </c>
      <c r="N7" s="2276">
        <v>4273000000000</v>
      </c>
      <c r="O7" s="2276">
        <v>6330000000000</v>
      </c>
      <c r="P7" s="2274">
        <v>6634000000000</v>
      </c>
      <c r="Q7" s="2274">
        <v>7309000000000</v>
      </c>
      <c r="R7" s="2277">
        <v>8770200000000.001</v>
      </c>
      <c r="S7" s="2274">
        <v>8165000000000</v>
      </c>
      <c r="T7" s="2277">
        <f>T8+T14+T15</f>
        <v>9776000000000</v>
      </c>
      <c r="U7" s="2274">
        <v>10114000000000</v>
      </c>
      <c r="V7" s="2274">
        <v>11500000000000</v>
      </c>
      <c r="W7" s="2274">
        <v>13012000000000</v>
      </c>
      <c r="X7" s="2274">
        <v>15062000000000</v>
      </c>
      <c r="Y7" s="2270"/>
      <c r="Z7" s="2270"/>
      <c r="AA7" s="12"/>
      <c r="AB7" s="12"/>
      <c r="AC7" s="12"/>
      <c r="AD7" s="12"/>
      <c r="AE7" s="12"/>
      <c r="AF7" s="12"/>
      <c r="AG7" s="12"/>
      <c r="AH7" s="12"/>
      <c r="AI7" s="12"/>
      <c r="AJ7" s="12"/>
    </row>
    <row r="8" spans="1:36">
      <c r="A8" s="2147" t="s">
        <v>39</v>
      </c>
      <c r="B8" s="2148" t="s">
        <v>1372</v>
      </c>
      <c r="C8" s="2152" t="s">
        <v>41</v>
      </c>
      <c r="D8" s="2276">
        <v>928000000000</v>
      </c>
      <c r="E8" s="2276">
        <v>1029000000000</v>
      </c>
      <c r="F8" s="2276">
        <v>1156000000000</v>
      </c>
      <c r="G8" s="2276">
        <v>1338000000000</v>
      </c>
      <c r="H8" s="2276">
        <v>1550500000000</v>
      </c>
      <c r="I8" s="2276">
        <v>1828000000000</v>
      </c>
      <c r="J8" s="2276">
        <v>2142000000000</v>
      </c>
      <c r="K8" s="2276">
        <v>2524000000000</v>
      </c>
      <c r="L8" s="2276">
        <v>3024000000000</v>
      </c>
      <c r="M8" s="2276">
        <v>3560000000000</v>
      </c>
      <c r="N8" s="2276">
        <v>4067000000000</v>
      </c>
      <c r="O8" s="2276">
        <v>4958000000000</v>
      </c>
      <c r="P8" s="2274">
        <v>5983000000000</v>
      </c>
      <c r="Q8" s="2274">
        <v>7005000000000</v>
      </c>
      <c r="R8" s="2277">
        <v>8588100000000</v>
      </c>
      <c r="S8" s="2274">
        <v>7831000000000</v>
      </c>
      <c r="T8" s="2277">
        <f>T9+T10+T11+T12</f>
        <v>9371000000000</v>
      </c>
      <c r="U8" s="2274">
        <v>9542000000000</v>
      </c>
      <c r="V8" s="2274">
        <v>10833000000000</v>
      </c>
      <c r="W8" s="2274">
        <v>12288000000000</v>
      </c>
      <c r="X8" s="2274">
        <v>14318000000000</v>
      </c>
      <c r="Y8" s="2270"/>
      <c r="Z8" s="2270"/>
      <c r="AA8" s="12"/>
      <c r="AB8" s="12"/>
      <c r="AC8" s="12"/>
      <c r="AD8" s="12"/>
      <c r="AE8" s="12"/>
      <c r="AF8" s="12"/>
      <c r="AG8" s="12"/>
      <c r="AH8" s="12"/>
      <c r="AI8" s="12"/>
      <c r="AJ8" s="12"/>
    </row>
    <row r="9" spans="1:36">
      <c r="A9" s="2278" t="s">
        <v>45</v>
      </c>
      <c r="B9" s="2149" t="s">
        <v>6654</v>
      </c>
      <c r="C9" s="2152" t="s">
        <v>44</v>
      </c>
      <c r="D9" s="2276">
        <v>105000000000</v>
      </c>
      <c r="E9" s="2276">
        <v>141000000000</v>
      </c>
      <c r="F9" s="2276">
        <v>117000000000</v>
      </c>
      <c r="G9" s="2276">
        <v>134000000000</v>
      </c>
      <c r="H9" s="2276">
        <v>135300000000.00002</v>
      </c>
      <c r="I9" s="2276">
        <v>162000000000</v>
      </c>
      <c r="J9" s="2276">
        <v>227000000000</v>
      </c>
      <c r="K9" s="2276">
        <v>261000000000</v>
      </c>
      <c r="L9" s="2276">
        <v>308000000000</v>
      </c>
      <c r="M9" s="2276">
        <v>361000000000</v>
      </c>
      <c r="N9" s="2276">
        <v>352000000000</v>
      </c>
      <c r="O9" s="2276">
        <v>455000000000</v>
      </c>
      <c r="P9" s="2274">
        <v>503000000000</v>
      </c>
      <c r="Q9" s="2274">
        <v>599000000000</v>
      </c>
      <c r="R9" s="2277">
        <v>981600000000</v>
      </c>
      <c r="S9" s="2274">
        <v>747000000000</v>
      </c>
      <c r="T9" s="2277">
        <v>893000000000</v>
      </c>
      <c r="U9" s="2274">
        <v>838000000000</v>
      </c>
      <c r="V9" s="2274">
        <v>1076000000000</v>
      </c>
      <c r="W9" s="2274">
        <v>1253000000000</v>
      </c>
      <c r="X9" s="2274">
        <v>1433000000000</v>
      </c>
      <c r="Y9" s="2270"/>
      <c r="Z9" s="2270"/>
      <c r="AA9" s="12"/>
      <c r="AB9" s="12"/>
      <c r="AC9" s="12"/>
      <c r="AD9" s="12"/>
      <c r="AE9" s="12"/>
      <c r="AF9" s="12"/>
      <c r="AG9" s="12"/>
      <c r="AH9" s="12"/>
      <c r="AI9" s="12"/>
      <c r="AJ9" s="12"/>
    </row>
    <row r="10" spans="1:36">
      <c r="A10" s="2149" t="s">
        <v>6655</v>
      </c>
      <c r="B10" s="2149" t="s">
        <v>6656</v>
      </c>
      <c r="C10" s="2152" t="s">
        <v>44</v>
      </c>
      <c r="D10" s="2276">
        <v>182000000000</v>
      </c>
      <c r="E10" s="2276">
        <v>224000000000</v>
      </c>
      <c r="F10" s="2276">
        <v>284000000000</v>
      </c>
      <c r="G10" s="2276">
        <v>350000000000</v>
      </c>
      <c r="H10" s="2276">
        <v>436900000000</v>
      </c>
      <c r="I10" s="2276">
        <v>560000000000</v>
      </c>
      <c r="J10" s="2276">
        <v>653000000000</v>
      </c>
      <c r="K10" s="2276">
        <v>782000000000</v>
      </c>
      <c r="L10" s="2276">
        <v>862000000000</v>
      </c>
      <c r="M10" s="2276">
        <v>1094000000000</v>
      </c>
      <c r="N10" s="2276">
        <v>1361000000000</v>
      </c>
      <c r="O10" s="2276">
        <v>1750000000000</v>
      </c>
      <c r="P10" s="2274">
        <v>2112000000000</v>
      </c>
      <c r="Q10" s="2274">
        <v>2588000000000</v>
      </c>
      <c r="R10" s="2277">
        <v>2858900000000</v>
      </c>
      <c r="S10" s="2274">
        <v>2756000000000</v>
      </c>
      <c r="T10" s="2277">
        <v>3318000000000</v>
      </c>
      <c r="U10" s="2274">
        <v>3402000000000</v>
      </c>
      <c r="V10" s="2274">
        <v>3872000000000</v>
      </c>
      <c r="W10" s="2274">
        <v>4318000000000</v>
      </c>
      <c r="X10" s="2274">
        <v>4857000000000</v>
      </c>
      <c r="Y10" s="2270"/>
      <c r="Z10" s="2270"/>
      <c r="AA10" s="12"/>
      <c r="AB10" s="12"/>
      <c r="AC10" s="12"/>
      <c r="AD10" s="12"/>
      <c r="AE10" s="12"/>
      <c r="AF10" s="12"/>
      <c r="AG10" s="12"/>
      <c r="AH10" s="12"/>
      <c r="AI10" s="12"/>
      <c r="AJ10" s="12"/>
    </row>
    <row r="11" spans="1:36">
      <c r="A11" s="2149" t="s">
        <v>553</v>
      </c>
      <c r="B11" s="2149" t="s">
        <v>553</v>
      </c>
      <c r="C11" s="2152" t="s">
        <v>44</v>
      </c>
      <c r="D11" s="2276">
        <v>328000000000</v>
      </c>
      <c r="E11" s="2276">
        <v>325000000000</v>
      </c>
      <c r="F11" s="2276">
        <v>361000000000</v>
      </c>
      <c r="G11" s="2276">
        <v>389000000000</v>
      </c>
      <c r="H11" s="2276">
        <v>447200000000</v>
      </c>
      <c r="I11" s="2276">
        <v>498000000000</v>
      </c>
      <c r="J11" s="2276">
        <v>567000000000</v>
      </c>
      <c r="K11" s="2276">
        <v>653000000000</v>
      </c>
      <c r="L11" s="2276">
        <v>815000000000</v>
      </c>
      <c r="M11" s="2276">
        <v>921000000000</v>
      </c>
      <c r="N11" s="2276">
        <v>1025000000000</v>
      </c>
      <c r="O11" s="2276">
        <v>1186000000000</v>
      </c>
      <c r="P11" s="2274">
        <v>1446000000000</v>
      </c>
      <c r="Q11" s="2274">
        <v>1466000000000</v>
      </c>
      <c r="R11" s="2277">
        <v>1793800000000</v>
      </c>
      <c r="S11" s="2274">
        <v>1757000000000</v>
      </c>
      <c r="T11" s="2277">
        <v>2094000000000</v>
      </c>
      <c r="U11" s="2274">
        <v>2128000000000</v>
      </c>
      <c r="V11" s="2274">
        <v>2300000000000</v>
      </c>
      <c r="W11" s="2274">
        <v>2747000000000</v>
      </c>
      <c r="X11" s="2274">
        <v>3338000000000</v>
      </c>
      <c r="Y11" s="2270"/>
      <c r="Z11" s="2270"/>
      <c r="AA11" s="12"/>
      <c r="AB11" s="12"/>
      <c r="AC11" s="12"/>
      <c r="AD11" s="12"/>
      <c r="AE11" s="12"/>
      <c r="AF11" s="12"/>
      <c r="AG11" s="12"/>
      <c r="AH11" s="12"/>
      <c r="AI11" s="12"/>
      <c r="AJ11" s="12"/>
    </row>
    <row r="12" spans="1:36">
      <c r="A12" s="2149" t="s">
        <v>6657</v>
      </c>
      <c r="B12" s="2149" t="s">
        <v>6658</v>
      </c>
      <c r="C12" s="2152" t="s">
        <v>44</v>
      </c>
      <c r="D12" s="2276">
        <v>313000000000</v>
      </c>
      <c r="E12" s="2276">
        <v>339000000000</v>
      </c>
      <c r="F12" s="2276">
        <v>393000000000</v>
      </c>
      <c r="G12" s="2276">
        <v>466000000000</v>
      </c>
      <c r="H12" s="2276">
        <v>531000000000</v>
      </c>
      <c r="I12" s="2276">
        <v>608000000000</v>
      </c>
      <c r="J12" s="2276">
        <v>696000000000</v>
      </c>
      <c r="K12" s="2276">
        <v>829000000000</v>
      </c>
      <c r="L12" s="2276">
        <v>1039000000000</v>
      </c>
      <c r="M12" s="2276">
        <v>1184000000000</v>
      </c>
      <c r="N12" s="2276">
        <v>1329000000000</v>
      </c>
      <c r="O12" s="2276">
        <v>1567000000000</v>
      </c>
      <c r="P12" s="2274">
        <v>1921000000000</v>
      </c>
      <c r="Q12" s="2274">
        <v>2353000000000</v>
      </c>
      <c r="R12" s="2277">
        <v>2953800000000</v>
      </c>
      <c r="S12" s="2274">
        <v>2570000000000</v>
      </c>
      <c r="T12" s="2277">
        <v>3066000000000</v>
      </c>
      <c r="U12" s="2274">
        <v>3117000000000</v>
      </c>
      <c r="V12" s="2274">
        <v>3522000000000</v>
      </c>
      <c r="W12" s="2274">
        <v>3901000000000</v>
      </c>
      <c r="X12" s="2274">
        <v>4519000000000</v>
      </c>
      <c r="Y12" s="2270"/>
      <c r="Z12" s="2270"/>
      <c r="AA12" s="12"/>
      <c r="AB12" s="12"/>
      <c r="AC12" s="12"/>
      <c r="AD12" s="12"/>
      <c r="AE12" s="12"/>
      <c r="AF12" s="12"/>
      <c r="AG12" s="12"/>
      <c r="AH12" s="12"/>
      <c r="AI12" s="12"/>
      <c r="AJ12" s="12"/>
    </row>
    <row r="13" spans="1:36">
      <c r="A13" s="2149" t="s">
        <v>6659</v>
      </c>
      <c r="B13" s="2149" t="s">
        <v>6659</v>
      </c>
      <c r="C13" s="2152" t="s">
        <v>44</v>
      </c>
      <c r="D13" s="2276"/>
      <c r="E13" s="2276"/>
      <c r="F13" s="2276"/>
      <c r="G13" s="2276"/>
      <c r="H13" s="2276"/>
      <c r="I13" s="2276"/>
      <c r="J13" s="2276"/>
      <c r="K13" s="2276"/>
      <c r="L13" s="2276"/>
      <c r="M13" s="2276"/>
      <c r="N13" s="2276"/>
      <c r="O13" s="2276"/>
      <c r="P13" s="2274">
        <v>0</v>
      </c>
      <c r="Q13" s="2274">
        <v>0</v>
      </c>
      <c r="R13" s="2277"/>
      <c r="S13" s="2274">
        <v>0</v>
      </c>
      <c r="T13" s="2277"/>
      <c r="U13" s="2274">
        <v>57000000000</v>
      </c>
      <c r="V13" s="2274">
        <v>63000000000</v>
      </c>
      <c r="W13" s="2274">
        <v>69000000000</v>
      </c>
      <c r="X13" s="2274">
        <v>172000000000</v>
      </c>
      <c r="Y13" s="2270"/>
      <c r="Z13" s="2270"/>
      <c r="AA13" s="12"/>
      <c r="AB13" s="12"/>
      <c r="AC13" s="12"/>
      <c r="AD13" s="12"/>
      <c r="AE13" s="12"/>
      <c r="AF13" s="12"/>
      <c r="AG13" s="12"/>
      <c r="AH13" s="12"/>
      <c r="AI13" s="12"/>
      <c r="AJ13" s="12"/>
    </row>
    <row r="14" spans="1:36">
      <c r="A14" s="2148" t="s">
        <v>51</v>
      </c>
      <c r="B14" s="2148" t="s">
        <v>2621</v>
      </c>
      <c r="C14" s="2152" t="s">
        <v>41</v>
      </c>
      <c r="D14" s="2276">
        <v>131000000000</v>
      </c>
      <c r="E14" s="2276">
        <v>99000000000</v>
      </c>
      <c r="F14" s="2276">
        <v>98000000000</v>
      </c>
      <c r="G14" s="2276">
        <v>96000000000</v>
      </c>
      <c r="H14" s="2276">
        <v>118700000000</v>
      </c>
      <c r="I14" s="2276">
        <v>121000000000</v>
      </c>
      <c r="J14" s="2276">
        <v>125000000000</v>
      </c>
      <c r="K14" s="2276">
        <v>144000000000</v>
      </c>
      <c r="L14" s="2276">
        <v>121000000000</v>
      </c>
      <c r="M14" s="2276">
        <v>198000000000</v>
      </c>
      <c r="N14" s="2276">
        <v>206000000000</v>
      </c>
      <c r="O14" s="2276">
        <v>251000000000</v>
      </c>
      <c r="P14" s="2274">
        <v>259000000000</v>
      </c>
      <c r="Q14" s="2274">
        <v>304000000000</v>
      </c>
      <c r="R14" s="2277">
        <v>182100000000</v>
      </c>
      <c r="S14" s="2274">
        <v>334000000000</v>
      </c>
      <c r="T14" s="2277">
        <v>405000000000</v>
      </c>
      <c r="U14" s="2274">
        <v>452000000000</v>
      </c>
      <c r="V14" s="2274">
        <v>545000000000</v>
      </c>
      <c r="W14" s="2274">
        <v>594000000000</v>
      </c>
      <c r="X14" s="2274">
        <v>743000000000</v>
      </c>
      <c r="Y14" s="2270"/>
      <c r="Z14" s="2270"/>
      <c r="AA14" s="12"/>
      <c r="AB14" s="12"/>
      <c r="AC14" s="12"/>
      <c r="AD14" s="12"/>
      <c r="AE14" s="12"/>
      <c r="AF14" s="12"/>
      <c r="AG14" s="12"/>
      <c r="AH14" s="12"/>
      <c r="AI14" s="12"/>
      <c r="AJ14" s="12"/>
    </row>
    <row r="15" spans="1:36">
      <c r="A15" s="2148" t="s">
        <v>6660</v>
      </c>
      <c r="B15" s="2148" t="s">
        <v>6660</v>
      </c>
      <c r="C15" s="2152" t="s">
        <v>6661</v>
      </c>
      <c r="D15" s="2276">
        <v>0</v>
      </c>
      <c r="E15" s="2276">
        <v>0</v>
      </c>
      <c r="F15" s="2276">
        <v>0</v>
      </c>
      <c r="G15" s="2276">
        <v>0</v>
      </c>
      <c r="H15" s="2276">
        <v>0</v>
      </c>
      <c r="I15" s="2276">
        <v>0</v>
      </c>
      <c r="J15" s="2276">
        <v>0</v>
      </c>
      <c r="K15" s="2276">
        <v>0</v>
      </c>
      <c r="L15" s="2276">
        <v>0</v>
      </c>
      <c r="M15" s="2276">
        <v>0</v>
      </c>
      <c r="N15" s="2276">
        <v>0</v>
      </c>
      <c r="O15" s="2276">
        <v>1121000000000</v>
      </c>
      <c r="P15" s="2274">
        <v>392000000000</v>
      </c>
      <c r="Q15" s="2274">
        <v>0</v>
      </c>
      <c r="R15" s="2277">
        <v>0</v>
      </c>
      <c r="S15" s="2274">
        <v>0</v>
      </c>
      <c r="T15" s="2277">
        <v>0</v>
      </c>
      <c r="U15" s="2274">
        <v>120000000000</v>
      </c>
      <c r="V15" s="2274">
        <v>121000000000</v>
      </c>
      <c r="W15" s="2274">
        <v>130000000000</v>
      </c>
      <c r="X15" s="2274">
        <v>0</v>
      </c>
      <c r="Y15" s="2270"/>
      <c r="Z15" s="2270"/>
      <c r="AA15" s="12"/>
      <c r="AB15" s="12"/>
      <c r="AC15" s="12"/>
      <c r="AD15" s="12"/>
      <c r="AE15" s="12"/>
      <c r="AF15" s="12"/>
      <c r="AG15" s="12"/>
      <c r="AH15" s="12"/>
      <c r="AI15" s="12"/>
      <c r="AJ15" s="12"/>
    </row>
    <row r="16" spans="1:36" s="848" customFormat="1">
      <c r="A16" s="2299" t="s">
        <v>53</v>
      </c>
      <c r="B16" s="2299" t="s">
        <v>53</v>
      </c>
      <c r="C16" s="2308" t="s">
        <v>38</v>
      </c>
      <c r="D16" s="2300">
        <v>516000000000</v>
      </c>
      <c r="E16" s="2300">
        <v>786000000000</v>
      </c>
      <c r="F16" s="2300">
        <v>715000000000</v>
      </c>
      <c r="G16" s="2300">
        <v>830000000000</v>
      </c>
      <c r="H16" s="2300">
        <v>1249100000000</v>
      </c>
      <c r="I16" s="2300">
        <v>1198000000000</v>
      </c>
      <c r="J16" s="2300">
        <v>974000000000</v>
      </c>
      <c r="K16" s="2300">
        <v>957000000000</v>
      </c>
      <c r="L16" s="2300">
        <v>656000000000</v>
      </c>
      <c r="M16" s="2300">
        <v>787000000000</v>
      </c>
      <c r="N16" s="2300">
        <v>863000000000</v>
      </c>
      <c r="O16" s="2300">
        <v>891000000000</v>
      </c>
      <c r="P16" s="2296">
        <v>1137000000000</v>
      </c>
      <c r="Q16" s="2296">
        <v>936000000000</v>
      </c>
      <c r="R16" s="2301">
        <v>909700000000</v>
      </c>
      <c r="S16" s="2296">
        <v>702000000000</v>
      </c>
      <c r="T16" s="2296">
        <v>1091500000000</v>
      </c>
      <c r="U16" s="2296">
        <v>931000000000</v>
      </c>
      <c r="V16" s="2296">
        <v>1147000000000</v>
      </c>
      <c r="W16" s="2296">
        <v>1027000000000</v>
      </c>
      <c r="X16" s="2296">
        <v>1516000000000</v>
      </c>
      <c r="Y16" s="2297"/>
      <c r="Z16" s="2297"/>
      <c r="AA16" s="2298"/>
      <c r="AB16" s="2298"/>
      <c r="AC16" s="2298"/>
      <c r="AD16" s="2298"/>
      <c r="AE16" s="2298"/>
      <c r="AF16" s="2298"/>
      <c r="AG16" s="2298"/>
      <c r="AH16" s="2298"/>
      <c r="AI16" s="2298"/>
      <c r="AJ16" s="2298"/>
    </row>
    <row r="17" spans="1:36">
      <c r="A17" s="2158" t="s">
        <v>886</v>
      </c>
      <c r="B17" s="2273" t="s">
        <v>6662</v>
      </c>
      <c r="C17" s="2159" t="s">
        <v>57</v>
      </c>
      <c r="D17" s="2279">
        <v>240000000000</v>
      </c>
      <c r="E17" s="2279">
        <v>367000000000</v>
      </c>
      <c r="F17" s="2279">
        <v>364000000000</v>
      </c>
      <c r="G17" s="2279">
        <v>469000000000</v>
      </c>
      <c r="H17" s="2279">
        <v>816200000000</v>
      </c>
      <c r="I17" s="2279">
        <v>811000000000</v>
      </c>
      <c r="J17" s="2279">
        <v>738000000000</v>
      </c>
      <c r="K17" s="2279">
        <v>776000000000</v>
      </c>
      <c r="L17" s="2279">
        <v>470000000000</v>
      </c>
      <c r="M17" s="2279">
        <v>531000000000</v>
      </c>
      <c r="N17" s="2276">
        <v>467000000000</v>
      </c>
      <c r="O17" s="2276">
        <v>515000000000</v>
      </c>
      <c r="P17" s="2274">
        <v>581000000000</v>
      </c>
      <c r="Q17" s="2274">
        <v>199000000000</v>
      </c>
      <c r="R17" s="2277">
        <v>212900000000</v>
      </c>
      <c r="S17" s="2274">
        <v>191000000000</v>
      </c>
      <c r="T17" s="2274">
        <v>68900000000</v>
      </c>
      <c r="U17" s="2274">
        <v>258000000000</v>
      </c>
      <c r="V17" s="2274">
        <v>340000000000</v>
      </c>
      <c r="W17" s="2274">
        <v>274000000000</v>
      </c>
      <c r="X17" s="2274">
        <v>287000000000</v>
      </c>
      <c r="Y17" s="2270"/>
      <c r="Z17" s="2270"/>
      <c r="AA17" s="12"/>
      <c r="AB17" s="12"/>
      <c r="AC17" s="12"/>
      <c r="AD17" s="12"/>
      <c r="AE17" s="12"/>
      <c r="AF17" s="12"/>
      <c r="AG17" s="12"/>
      <c r="AH17" s="12"/>
      <c r="AI17" s="12"/>
      <c r="AJ17" s="12"/>
    </row>
    <row r="18" spans="1:36">
      <c r="A18" s="2273" t="s">
        <v>564</v>
      </c>
      <c r="B18" s="2273" t="s">
        <v>4999</v>
      </c>
      <c r="C18" s="2159" t="s">
        <v>57</v>
      </c>
      <c r="D18" s="2279">
        <v>275000000000</v>
      </c>
      <c r="E18" s="2279">
        <v>419000000000</v>
      </c>
      <c r="F18" s="2279">
        <v>351000000000</v>
      </c>
      <c r="G18" s="2279">
        <v>361000000000</v>
      </c>
      <c r="H18" s="2279">
        <v>432900000000</v>
      </c>
      <c r="I18" s="2279">
        <v>387000000000</v>
      </c>
      <c r="J18" s="2279">
        <v>236000000000</v>
      </c>
      <c r="K18" s="2279">
        <v>181000000000</v>
      </c>
      <c r="L18" s="2279">
        <v>185000000000</v>
      </c>
      <c r="M18" s="2279">
        <v>257000000000</v>
      </c>
      <c r="N18" s="2276">
        <v>396000000000</v>
      </c>
      <c r="O18" s="2276">
        <v>375000000000</v>
      </c>
      <c r="P18" s="2274">
        <v>556000000000</v>
      </c>
      <c r="Q18" s="2274">
        <v>738000000000</v>
      </c>
      <c r="R18" s="2277">
        <v>696800000000</v>
      </c>
      <c r="S18" s="2274">
        <v>511000000000</v>
      </c>
      <c r="T18" s="2274">
        <v>1022600000000</v>
      </c>
      <c r="U18" s="2274">
        <v>673000000000</v>
      </c>
      <c r="V18" s="2274">
        <v>808000000000</v>
      </c>
      <c r="W18" s="2274">
        <v>753000000000</v>
      </c>
      <c r="X18" s="2274">
        <v>1229000000000</v>
      </c>
      <c r="Y18" s="2270"/>
      <c r="Z18" s="2270"/>
      <c r="AA18" s="12"/>
      <c r="AB18" s="12"/>
      <c r="AC18" s="12"/>
      <c r="AD18" s="12"/>
      <c r="AE18" s="12"/>
      <c r="AF18" s="12"/>
      <c r="AG18" s="12"/>
      <c r="AH18" s="12"/>
      <c r="AI18" s="12"/>
      <c r="AJ18" s="12"/>
    </row>
    <row r="19" spans="1:36">
      <c r="B19" s="2147" t="s">
        <v>381</v>
      </c>
      <c r="C19" s="2280"/>
      <c r="D19" s="2281">
        <v>2389000000000</v>
      </c>
      <c r="E19" s="2281">
        <v>2180000000000</v>
      </c>
      <c r="F19" s="2281">
        <v>2514000000000</v>
      </c>
      <c r="G19" s="2281">
        <v>2775000000000</v>
      </c>
      <c r="H19" s="2281">
        <v>3135600000000</v>
      </c>
      <c r="I19" s="2281">
        <v>3233000000000</v>
      </c>
      <c r="J19" s="2281">
        <v>3228000000000</v>
      </c>
      <c r="K19" s="2281">
        <v>3844000000000</v>
      </c>
      <c r="L19" s="2281">
        <v>4384000000000</v>
      </c>
      <c r="M19" s="2281">
        <v>5205000000000</v>
      </c>
      <c r="N19" s="2281">
        <v>6836000000000</v>
      </c>
      <c r="O19" s="2281">
        <v>8900000000000</v>
      </c>
      <c r="P19" s="2274"/>
      <c r="Q19" s="2274"/>
      <c r="R19" s="2277">
        <v>13014900000000</v>
      </c>
      <c r="S19" s="2307"/>
      <c r="T19" s="2277">
        <v>16053400000000</v>
      </c>
      <c r="U19" s="2153">
        <v>14379000000000</v>
      </c>
      <c r="V19" s="2274"/>
      <c r="W19" s="2274"/>
      <c r="X19" s="2274"/>
      <c r="Y19" s="2282"/>
      <c r="Z19" s="2282"/>
      <c r="AA19" s="322"/>
      <c r="AB19" s="322"/>
      <c r="AC19" s="322"/>
      <c r="AD19" s="322"/>
      <c r="AE19" s="322"/>
      <c r="AF19" s="322"/>
      <c r="AG19" s="322"/>
      <c r="AH19" s="322"/>
      <c r="AI19" s="322"/>
      <c r="AJ19" s="322"/>
    </row>
    <row r="20" spans="1:36" s="848" customFormat="1">
      <c r="A20" s="2295" t="s">
        <v>198</v>
      </c>
      <c r="B20" s="2295" t="s">
        <v>381</v>
      </c>
      <c r="C20" s="2302" t="s">
        <v>35</v>
      </c>
      <c r="D20" s="2303">
        <f>D21+D26+D30+D35</f>
        <v>2389000000000</v>
      </c>
      <c r="E20" s="2303">
        <f>E21+E26+E30+E35</f>
        <v>2207000000000</v>
      </c>
      <c r="F20" s="2303">
        <f t="shared" ref="F20:U20" si="0">F21+F26+F30+F35</f>
        <v>2514000000000</v>
      </c>
      <c r="G20" s="2303">
        <f t="shared" si="0"/>
        <v>2788000000000</v>
      </c>
      <c r="H20" s="2303">
        <f t="shared" si="0"/>
        <v>3135600000000</v>
      </c>
      <c r="I20" s="2303">
        <f t="shared" si="0"/>
        <v>3240000000000</v>
      </c>
      <c r="J20" s="2303">
        <f t="shared" si="0"/>
        <v>3259000000000</v>
      </c>
      <c r="K20" s="2303">
        <f t="shared" si="0"/>
        <v>3844000000000</v>
      </c>
      <c r="L20" s="2303">
        <f t="shared" si="0"/>
        <v>4547000000000</v>
      </c>
      <c r="M20" s="2303">
        <f t="shared" si="0"/>
        <v>5262000000000</v>
      </c>
      <c r="N20" s="2303">
        <f t="shared" si="0"/>
        <v>6873000000000</v>
      </c>
      <c r="O20" s="2303">
        <f t="shared" si="0"/>
        <v>8931000000000</v>
      </c>
      <c r="P20" s="2303">
        <f t="shared" si="0"/>
        <v>9320000000000</v>
      </c>
      <c r="Q20" s="2303">
        <v>10523000000000</v>
      </c>
      <c r="R20" s="2303">
        <f t="shared" si="0"/>
        <v>13014900000000</v>
      </c>
      <c r="S20" s="2303">
        <v>11684000000000</v>
      </c>
      <c r="T20" s="2303">
        <f t="shared" si="0"/>
        <v>16053400000000</v>
      </c>
      <c r="U20" s="2303">
        <f t="shared" si="0"/>
        <v>14379000000000</v>
      </c>
      <c r="V20" s="2303">
        <v>16727000000000</v>
      </c>
      <c r="W20" s="2303">
        <v>17214000000000</v>
      </c>
      <c r="X20" s="2303">
        <v>20345000000000</v>
      </c>
      <c r="Y20" s="2304"/>
      <c r="Z20" s="2304"/>
      <c r="AA20" s="2305"/>
      <c r="AB20" s="2305"/>
      <c r="AC20" s="2305"/>
      <c r="AD20" s="2305"/>
      <c r="AE20" s="2305"/>
      <c r="AF20" s="2305"/>
      <c r="AG20" s="2305"/>
      <c r="AH20" s="2305"/>
      <c r="AI20" s="2305"/>
      <c r="AJ20" s="2305"/>
    </row>
    <row r="21" spans="1:36">
      <c r="A21" s="2148" t="s">
        <v>6663</v>
      </c>
      <c r="B21" s="2148" t="s">
        <v>6664</v>
      </c>
      <c r="C21" s="2152" t="s">
        <v>75</v>
      </c>
      <c r="D21" s="2276">
        <v>977000000000</v>
      </c>
      <c r="E21" s="2276">
        <v>1138000000000</v>
      </c>
      <c r="F21" s="2276">
        <v>1420000000000</v>
      </c>
      <c r="G21" s="2276">
        <v>1565000000000</v>
      </c>
      <c r="H21" s="2276">
        <v>1865300000000</v>
      </c>
      <c r="I21" s="2276">
        <v>1978000000000</v>
      </c>
      <c r="J21" s="2276">
        <v>2233000000000</v>
      </c>
      <c r="K21" s="2276">
        <v>2442000000000</v>
      </c>
      <c r="L21" s="2276">
        <v>2881000000000</v>
      </c>
      <c r="M21" s="2276">
        <v>3291000000000</v>
      </c>
      <c r="N21" s="2276">
        <v>4308000000000</v>
      </c>
      <c r="O21" s="2276">
        <v>5963000000000</v>
      </c>
      <c r="P21" s="2274">
        <v>5584000000000</v>
      </c>
      <c r="Q21" s="2274">
        <v>5813000000000</v>
      </c>
      <c r="R21" s="2277">
        <v>6438000000000</v>
      </c>
      <c r="S21" s="2274">
        <v>6706000000000</v>
      </c>
      <c r="T21" s="2274">
        <v>7345100000000</v>
      </c>
      <c r="U21" s="2274">
        <v>7689000000000</v>
      </c>
      <c r="V21" s="2274">
        <v>9169000000000</v>
      </c>
      <c r="W21" s="2274">
        <v>9912000000000</v>
      </c>
      <c r="X21" s="2274">
        <v>10569000000000</v>
      </c>
      <c r="Y21" s="2270"/>
      <c r="Z21" s="2270"/>
      <c r="AA21" s="12"/>
      <c r="AB21" s="12"/>
      <c r="AC21" s="12"/>
      <c r="AD21" s="12"/>
      <c r="AE21" s="12"/>
      <c r="AF21" s="12"/>
      <c r="AG21" s="12"/>
      <c r="AH21" s="12"/>
      <c r="AI21" s="12"/>
      <c r="AJ21" s="12"/>
    </row>
    <row r="22" spans="1:36">
      <c r="A22" s="2149" t="s">
        <v>6665</v>
      </c>
      <c r="B22" s="2149" t="s">
        <v>6666</v>
      </c>
      <c r="C22" s="2152" t="s">
        <v>81</v>
      </c>
      <c r="D22" s="2276">
        <v>374000000000</v>
      </c>
      <c r="E22" s="2276">
        <v>434000000000</v>
      </c>
      <c r="F22" s="2276">
        <v>548600000000</v>
      </c>
      <c r="G22" s="2276">
        <v>611000000000</v>
      </c>
      <c r="H22" s="2276">
        <v>683000000000</v>
      </c>
      <c r="I22" s="2276">
        <v>774000000000</v>
      </c>
      <c r="J22" s="2276">
        <v>867000000000</v>
      </c>
      <c r="K22" s="2276">
        <v>987000000000</v>
      </c>
      <c r="L22" s="2276">
        <v>1106000000000</v>
      </c>
      <c r="M22" s="2276">
        <v>1184000000000</v>
      </c>
      <c r="N22" s="2276">
        <v>1308000000000</v>
      </c>
      <c r="O22" s="2276">
        <v>1664000000000</v>
      </c>
      <c r="P22" s="2274">
        <v>1832000000000</v>
      </c>
      <c r="Q22" s="2274">
        <v>2160000000000</v>
      </c>
      <c r="R22" s="2277">
        <v>2440200000000</v>
      </c>
      <c r="S22" s="2274">
        <v>2385000000000</v>
      </c>
      <c r="T22" s="2274">
        <v>2914300000000</v>
      </c>
      <c r="U22" s="2274">
        <v>2759000000000</v>
      </c>
      <c r="V22" s="2274">
        <v>2966000000000</v>
      </c>
      <c r="W22" s="2274">
        <v>3437000000000</v>
      </c>
      <c r="X22" s="2274">
        <v>3548000000000</v>
      </c>
      <c r="Y22" s="2283"/>
      <c r="Z22" s="2283"/>
      <c r="AA22" s="17"/>
      <c r="AB22" s="17"/>
      <c r="AC22" s="17"/>
      <c r="AD22" s="17"/>
      <c r="AE22" s="17"/>
      <c r="AF22" s="17"/>
      <c r="AG22" s="17"/>
      <c r="AH22" s="17"/>
      <c r="AI22" s="17"/>
      <c r="AJ22" s="17"/>
    </row>
    <row r="23" spans="1:36">
      <c r="A23" s="2149" t="s">
        <v>6667</v>
      </c>
      <c r="B23" s="2149" t="s">
        <v>6668</v>
      </c>
      <c r="C23" s="2152" t="s">
        <v>81</v>
      </c>
      <c r="D23" s="2276">
        <v>95000000000</v>
      </c>
      <c r="E23" s="2276">
        <v>125000000000</v>
      </c>
      <c r="F23" s="2276">
        <v>141000000000</v>
      </c>
      <c r="G23" s="2276">
        <v>173000000000</v>
      </c>
      <c r="H23" s="2276">
        <v>261800000000</v>
      </c>
      <c r="I23" s="2276">
        <v>229000000000</v>
      </c>
      <c r="J23" s="2276">
        <v>249000000000</v>
      </c>
      <c r="K23" s="2276">
        <v>236000000000</v>
      </c>
      <c r="L23" s="2276">
        <v>309000000000</v>
      </c>
      <c r="M23" s="2276">
        <v>357000000000</v>
      </c>
      <c r="N23" s="2276">
        <v>386000000000</v>
      </c>
      <c r="O23" s="2276">
        <v>424000000000</v>
      </c>
      <c r="P23" s="2274">
        <v>603000000000</v>
      </c>
      <c r="Q23" s="2274">
        <v>890000000000</v>
      </c>
      <c r="R23" s="2277">
        <v>975300000000</v>
      </c>
      <c r="S23" s="2274">
        <v>970000000000</v>
      </c>
      <c r="T23" s="2274">
        <v>1082900000000.0001</v>
      </c>
      <c r="U23" s="2274">
        <v>1213000000000</v>
      </c>
      <c r="V23" s="2274">
        <v>1682000000000</v>
      </c>
      <c r="W23" s="2274">
        <v>2355000000000</v>
      </c>
      <c r="X23" s="2274">
        <v>2684000000000</v>
      </c>
      <c r="Y23" s="2270"/>
      <c r="Z23" s="2270"/>
      <c r="AA23" s="3"/>
      <c r="AB23" s="3"/>
      <c r="AC23" s="3"/>
      <c r="AD23" s="3"/>
      <c r="AE23" s="3"/>
      <c r="AF23" s="3"/>
      <c r="AG23" s="3"/>
      <c r="AH23" s="3"/>
      <c r="AI23" s="3"/>
      <c r="AJ23" s="3"/>
    </row>
    <row r="24" spans="1:36">
      <c r="A24" s="2149" t="s">
        <v>6669</v>
      </c>
      <c r="B24" s="2149" t="s">
        <v>6670</v>
      </c>
      <c r="C24" s="2152" t="s">
        <v>81</v>
      </c>
      <c r="D24" s="2276">
        <v>508000000000</v>
      </c>
      <c r="E24" s="2276">
        <v>579000000000</v>
      </c>
      <c r="F24" s="2276">
        <v>730400000000</v>
      </c>
      <c r="G24" s="2276">
        <v>781000000000</v>
      </c>
      <c r="H24" s="2276">
        <v>861300000000</v>
      </c>
      <c r="I24" s="2276">
        <v>975000000000</v>
      </c>
      <c r="J24" s="2276">
        <v>1117000000000</v>
      </c>
      <c r="K24" s="2276">
        <v>1220000000000</v>
      </c>
      <c r="L24" s="2276">
        <v>1466000000000</v>
      </c>
      <c r="M24" s="2276">
        <v>1750000000000</v>
      </c>
      <c r="N24" s="2276">
        <v>2614000000000</v>
      </c>
      <c r="O24" s="2276">
        <v>3875000000000</v>
      </c>
      <c r="P24" s="2274">
        <v>3150000000000</v>
      </c>
      <c r="Q24" s="2274">
        <v>2763000000000</v>
      </c>
      <c r="R24" s="2277">
        <v>3022500000000</v>
      </c>
      <c r="S24" s="2274">
        <v>3351000000000</v>
      </c>
      <c r="T24" s="2274">
        <v>3347900000000</v>
      </c>
      <c r="U24" s="2274">
        <v>3717000000000</v>
      </c>
      <c r="V24" s="2274">
        <v>4520000000000</v>
      </c>
      <c r="W24" s="2274">
        <v>4119000000000</v>
      </c>
      <c r="X24" s="2274">
        <v>4336000000000</v>
      </c>
      <c r="Y24" s="2270"/>
      <c r="Z24" s="2270"/>
      <c r="AA24" s="3"/>
      <c r="AB24" s="3"/>
      <c r="AC24" s="3"/>
      <c r="AD24" s="3"/>
      <c r="AE24" s="3"/>
      <c r="AF24" s="3"/>
      <c r="AG24" s="3"/>
      <c r="AH24" s="3"/>
      <c r="AI24" s="3"/>
      <c r="AJ24" s="3"/>
    </row>
    <row r="25" spans="1:36">
      <c r="A25" s="2149" t="s">
        <v>6671</v>
      </c>
      <c r="B25" s="2149" t="s">
        <v>6671</v>
      </c>
      <c r="C25" s="2152" t="s">
        <v>81</v>
      </c>
      <c r="D25" s="2276"/>
      <c r="E25" s="2276"/>
      <c r="F25" s="2276"/>
      <c r="G25" s="2276"/>
      <c r="H25" s="2276">
        <v>59200000000</v>
      </c>
      <c r="I25" s="2276"/>
      <c r="J25" s="2276"/>
      <c r="K25" s="2276"/>
      <c r="L25" s="2276"/>
      <c r="M25" s="2276"/>
      <c r="N25" s="2276"/>
      <c r="O25" s="2276"/>
      <c r="P25" s="2284"/>
      <c r="Q25" s="2284"/>
      <c r="R25" s="2277"/>
      <c r="S25" s="2274"/>
      <c r="T25" s="2284"/>
      <c r="U25" s="2277"/>
      <c r="V25" s="2274"/>
      <c r="W25" s="2274"/>
      <c r="X25" s="2274"/>
      <c r="Y25" s="2270"/>
      <c r="Z25" s="2270"/>
      <c r="AA25" s="3"/>
      <c r="AB25" s="3"/>
      <c r="AC25" s="3"/>
      <c r="AD25" s="3"/>
      <c r="AE25" s="3"/>
      <c r="AF25" s="3"/>
      <c r="AG25" s="3"/>
      <c r="AH25" s="3"/>
      <c r="AI25" s="3"/>
      <c r="AJ25" s="3"/>
    </row>
    <row r="26" spans="1:36">
      <c r="A26" s="2152" t="s">
        <v>6672</v>
      </c>
      <c r="B26" s="2152" t="s">
        <v>6673</v>
      </c>
      <c r="C26" s="2152" t="s">
        <v>75</v>
      </c>
      <c r="D26" s="2276">
        <v>783000000000</v>
      </c>
      <c r="E26" s="2276">
        <v>939000000000</v>
      </c>
      <c r="F26" s="2276">
        <v>979000000000</v>
      </c>
      <c r="G26" s="2276">
        <v>1168000000000</v>
      </c>
      <c r="H26" s="2276">
        <v>1155300000000</v>
      </c>
      <c r="I26" s="2276">
        <v>1187000000000</v>
      </c>
      <c r="J26" s="2276">
        <v>935000000000</v>
      </c>
      <c r="K26" s="2276">
        <v>1205000000000</v>
      </c>
      <c r="L26" s="2276">
        <v>1362000000000</v>
      </c>
      <c r="M26" s="2276">
        <v>1688000000000</v>
      </c>
      <c r="N26" s="2276">
        <v>2312000000000</v>
      </c>
      <c r="O26" s="2276">
        <v>2774000000000</v>
      </c>
      <c r="P26" s="2274">
        <v>3458000000000</v>
      </c>
      <c r="Q26" s="2274">
        <v>4237000000000</v>
      </c>
      <c r="R26" s="2277">
        <v>6510100000000</v>
      </c>
      <c r="S26" s="2274">
        <v>4937000000000</v>
      </c>
      <c r="T26" s="2274">
        <v>5915100000000</v>
      </c>
      <c r="U26" s="2274">
        <v>5230000000000</v>
      </c>
      <c r="V26" s="2274">
        <v>5907000000000</v>
      </c>
      <c r="W26" s="2274">
        <v>6520000000000</v>
      </c>
      <c r="X26" s="2274">
        <v>8682000000000</v>
      </c>
      <c r="Y26" s="2270"/>
      <c r="Z26" s="2270"/>
      <c r="AA26" s="12"/>
      <c r="AB26" s="12"/>
      <c r="AC26" s="12"/>
      <c r="AD26" s="12"/>
      <c r="AE26" s="12"/>
      <c r="AF26" s="12"/>
      <c r="AG26" s="12"/>
      <c r="AH26" s="12"/>
      <c r="AI26" s="12"/>
      <c r="AJ26" s="12"/>
    </row>
    <row r="27" spans="1:36">
      <c r="A27" s="2158" t="s">
        <v>395</v>
      </c>
      <c r="B27" s="2149" t="s">
        <v>6674</v>
      </c>
      <c r="C27" s="2152" t="s">
        <v>95</v>
      </c>
      <c r="D27" s="2276">
        <v>520000000000</v>
      </c>
      <c r="E27" s="2276">
        <v>604000000000</v>
      </c>
      <c r="F27" s="2276">
        <v>547000000000</v>
      </c>
      <c r="G27" s="2276">
        <v>672000000000</v>
      </c>
      <c r="H27" s="2276">
        <v>716100000000</v>
      </c>
      <c r="I27" s="2276">
        <v>700000000000</v>
      </c>
      <c r="J27" s="2276">
        <v>416000000000</v>
      </c>
      <c r="K27" s="2276">
        <v>491000000000</v>
      </c>
      <c r="L27" s="2276">
        <v>644000000000</v>
      </c>
      <c r="M27" s="2276">
        <v>481000000000</v>
      </c>
      <c r="N27" s="2276">
        <v>889000000000</v>
      </c>
      <c r="O27" s="2276">
        <v>1042000000000</v>
      </c>
      <c r="P27" s="2274">
        <v>1701000000000</v>
      </c>
      <c r="Q27" s="2274">
        <v>2163000000000</v>
      </c>
      <c r="R27" s="2277">
        <v>2430700000000</v>
      </c>
      <c r="S27" s="2274">
        <v>1871000000000</v>
      </c>
      <c r="T27" s="2274">
        <v>2663700000000</v>
      </c>
      <c r="U27" s="2274">
        <v>1933000000000</v>
      </c>
      <c r="V27" s="2274">
        <v>2384000000000</v>
      </c>
      <c r="W27" s="2274">
        <v>2296000000000</v>
      </c>
      <c r="X27" s="2274">
        <v>4316000000000</v>
      </c>
      <c r="Y27" s="2270"/>
      <c r="Z27" s="2270"/>
      <c r="AA27" s="12"/>
      <c r="AB27" s="12"/>
      <c r="AC27" s="12"/>
      <c r="AD27" s="12"/>
      <c r="AE27" s="12"/>
      <c r="AF27" s="12"/>
      <c r="AG27" s="12"/>
      <c r="AH27" s="12"/>
      <c r="AI27" s="12"/>
      <c r="AJ27" s="12"/>
    </row>
    <row r="28" spans="1:36">
      <c r="A28" s="2158"/>
      <c r="B28" s="2157" t="s">
        <v>6675</v>
      </c>
      <c r="C28" s="2152"/>
      <c r="D28" s="2276"/>
      <c r="E28" s="2276"/>
      <c r="F28" s="2276"/>
      <c r="G28" s="2276"/>
      <c r="H28" s="2276"/>
      <c r="I28" s="2276"/>
      <c r="J28" s="2276"/>
      <c r="K28" s="2276"/>
      <c r="L28" s="2276"/>
      <c r="M28" s="2276"/>
      <c r="N28" s="2276"/>
      <c r="O28" s="2276"/>
      <c r="P28" s="2274"/>
      <c r="Q28" s="2274"/>
      <c r="R28" s="2277"/>
      <c r="S28" s="2274"/>
      <c r="T28" s="2274"/>
      <c r="U28" s="2274"/>
      <c r="V28" s="2274">
        <v>202000000000</v>
      </c>
      <c r="W28" s="2274">
        <v>272000000000</v>
      </c>
      <c r="X28" s="2274">
        <v>1534000000000</v>
      </c>
      <c r="Y28" s="2270"/>
      <c r="Z28" s="2270"/>
      <c r="AA28" s="12"/>
      <c r="AB28" s="12"/>
      <c r="AC28" s="12"/>
      <c r="AD28" s="12"/>
      <c r="AE28" s="12"/>
      <c r="AF28" s="12"/>
      <c r="AG28" s="12"/>
      <c r="AH28" s="12"/>
      <c r="AI28" s="12"/>
      <c r="AJ28" s="12"/>
    </row>
    <row r="29" spans="1:36">
      <c r="A29" s="2158" t="s">
        <v>239</v>
      </c>
      <c r="B29" s="2149" t="s">
        <v>6676</v>
      </c>
      <c r="C29" s="2152" t="s">
        <v>95</v>
      </c>
      <c r="D29" s="2276">
        <v>263000000000</v>
      </c>
      <c r="E29" s="2276">
        <v>335000000000</v>
      </c>
      <c r="F29" s="2276">
        <v>432000000000</v>
      </c>
      <c r="G29" s="2276">
        <v>496000000000</v>
      </c>
      <c r="H29" s="2276">
        <v>439200000000</v>
      </c>
      <c r="I29" s="2276">
        <v>487000000000</v>
      </c>
      <c r="J29" s="2276">
        <v>519000000000</v>
      </c>
      <c r="K29" s="2276">
        <v>714000000000</v>
      </c>
      <c r="L29" s="2276">
        <v>718000000000</v>
      </c>
      <c r="M29" s="2276">
        <v>1207000000000</v>
      </c>
      <c r="N29" s="2276">
        <v>1423000000000</v>
      </c>
      <c r="O29" s="2276">
        <v>1732000000000</v>
      </c>
      <c r="P29" s="2274">
        <v>1756000000000</v>
      </c>
      <c r="Q29" s="2274">
        <v>2074000000000</v>
      </c>
      <c r="R29" s="2277">
        <v>4079400000000</v>
      </c>
      <c r="S29" s="2274">
        <v>3066000000000</v>
      </c>
      <c r="T29" s="2274">
        <v>3251400000000</v>
      </c>
      <c r="U29" s="2274">
        <v>3296000000000</v>
      </c>
      <c r="V29" s="2274">
        <v>3523000000000</v>
      </c>
      <c r="W29" s="2274">
        <v>4224000000000</v>
      </c>
      <c r="X29" s="2274">
        <v>4366000000000</v>
      </c>
      <c r="Y29" s="2270"/>
      <c r="Z29" s="2270"/>
      <c r="AA29" s="12"/>
      <c r="AB29" s="12"/>
      <c r="AC29" s="12"/>
      <c r="AD29" s="12"/>
      <c r="AE29" s="12"/>
      <c r="AF29" s="12"/>
      <c r="AG29" s="12"/>
      <c r="AH29" s="12"/>
      <c r="AI29" s="12"/>
      <c r="AJ29" s="12"/>
    </row>
    <row r="30" spans="1:36">
      <c r="A30" s="2147" t="s">
        <v>612</v>
      </c>
      <c r="B30" s="2152" t="s">
        <v>6677</v>
      </c>
      <c r="C30" s="2152" t="s">
        <v>75</v>
      </c>
      <c r="D30" s="2276">
        <v>392000000000</v>
      </c>
      <c r="E30" s="2768">
        <v>0</v>
      </c>
      <c r="F30" s="2276">
        <v>4900000000</v>
      </c>
      <c r="G30" s="2768">
        <v>0</v>
      </c>
      <c r="H30" s="2276">
        <v>33799999999.999996</v>
      </c>
      <c r="I30" s="2768">
        <v>0</v>
      </c>
      <c r="J30" s="2768">
        <v>0</v>
      </c>
      <c r="K30" s="2276">
        <v>46000000000</v>
      </c>
      <c r="L30" s="2768">
        <v>0</v>
      </c>
      <c r="M30" s="2768">
        <v>0</v>
      </c>
      <c r="N30" s="2768">
        <v>0</v>
      </c>
      <c r="O30" s="2768">
        <v>0</v>
      </c>
      <c r="P30" s="2769">
        <v>0</v>
      </c>
      <c r="Q30" s="2274">
        <v>409000000000</v>
      </c>
      <c r="R30" s="2277">
        <v>0</v>
      </c>
      <c r="S30" s="2274">
        <v>21000000000</v>
      </c>
      <c r="T30" s="2274">
        <v>2513200000000</v>
      </c>
      <c r="U30" s="2274">
        <v>1235000000000</v>
      </c>
      <c r="V30" s="2274">
        <v>1532000000000</v>
      </c>
      <c r="W30" s="2274">
        <v>585000000000</v>
      </c>
      <c r="X30" s="2274">
        <v>739000000000</v>
      </c>
      <c r="Y30" s="2270"/>
      <c r="Z30" s="2270"/>
      <c r="AA30" s="3"/>
      <c r="AB30" s="3"/>
      <c r="AC30" s="3"/>
      <c r="AD30" s="3"/>
      <c r="AE30" s="3"/>
      <c r="AF30" s="3"/>
      <c r="AG30" s="3"/>
      <c r="AH30" s="3"/>
      <c r="AI30" s="3"/>
      <c r="AJ30" s="3"/>
    </row>
    <row r="31" spans="1:36">
      <c r="B31" s="2155" t="s">
        <v>6678</v>
      </c>
      <c r="C31" s="2152"/>
      <c r="D31" s="2276"/>
      <c r="E31" s="2276"/>
      <c r="F31" s="2276"/>
      <c r="G31" s="2276"/>
      <c r="H31" s="2276"/>
      <c r="I31" s="2276"/>
      <c r="J31" s="2276"/>
      <c r="K31" s="2276"/>
      <c r="L31" s="2276"/>
      <c r="M31" s="2276"/>
      <c r="N31" s="2276"/>
      <c r="O31" s="2276"/>
      <c r="P31" s="2274"/>
      <c r="Q31" s="2274"/>
      <c r="R31" s="2277"/>
      <c r="S31" s="2274"/>
      <c r="T31" s="2274"/>
      <c r="U31" s="2274">
        <v>985000000000</v>
      </c>
      <c r="V31" s="2274">
        <v>1332000000000</v>
      </c>
      <c r="W31" s="2274">
        <v>485000000000</v>
      </c>
      <c r="X31" s="2274">
        <v>739000000000</v>
      </c>
      <c r="Y31" s="2270"/>
      <c r="Z31" s="2270"/>
      <c r="AA31" s="3"/>
      <c r="AB31" s="3"/>
      <c r="AC31" s="3"/>
      <c r="AD31" s="3"/>
      <c r="AE31" s="3"/>
      <c r="AF31" s="3"/>
      <c r="AG31" s="3"/>
      <c r="AH31" s="3"/>
      <c r="AI31" s="3"/>
      <c r="AJ31" s="3"/>
    </row>
    <row r="32" spans="1:36">
      <c r="B32" s="2155" t="s">
        <v>6675</v>
      </c>
      <c r="C32" s="2152"/>
      <c r="D32" s="2276"/>
      <c r="E32" s="2276"/>
      <c r="F32" s="2276"/>
      <c r="G32" s="2276"/>
      <c r="H32" s="2276"/>
      <c r="I32" s="2276"/>
      <c r="J32" s="2276"/>
      <c r="K32" s="2276"/>
      <c r="L32" s="2276"/>
      <c r="M32" s="2276"/>
      <c r="N32" s="2276"/>
      <c r="O32" s="2276"/>
      <c r="P32" s="2274"/>
      <c r="Q32" s="2274"/>
      <c r="R32" s="2277"/>
      <c r="S32" s="2274"/>
      <c r="T32" s="2274"/>
      <c r="U32" s="2274">
        <v>0</v>
      </c>
      <c r="V32" s="2274">
        <v>1074000000000</v>
      </c>
      <c r="W32" s="2274">
        <v>446000000000</v>
      </c>
      <c r="X32" s="2274">
        <v>739000000000</v>
      </c>
      <c r="Y32" s="2270"/>
      <c r="Z32" s="2270"/>
      <c r="AA32" s="3"/>
      <c r="AB32" s="3"/>
      <c r="AC32" s="3"/>
      <c r="AD32" s="3"/>
      <c r="AE32" s="3"/>
      <c r="AF32" s="3"/>
      <c r="AG32" s="3"/>
      <c r="AH32" s="3"/>
      <c r="AI32" s="3"/>
      <c r="AJ32" s="3"/>
    </row>
    <row r="33" spans="1:36">
      <c r="B33" s="2155" t="s">
        <v>6679</v>
      </c>
      <c r="C33" s="2152"/>
      <c r="D33" s="2276"/>
      <c r="E33" s="2276"/>
      <c r="F33" s="2276"/>
      <c r="G33" s="2276"/>
      <c r="H33" s="2276"/>
      <c r="I33" s="2276"/>
      <c r="J33" s="2276"/>
      <c r="K33" s="2276"/>
      <c r="L33" s="2276"/>
      <c r="M33" s="2276"/>
      <c r="N33" s="2276"/>
      <c r="O33" s="2276"/>
      <c r="P33" s="2274"/>
      <c r="Q33" s="2274"/>
      <c r="R33" s="2277"/>
      <c r="S33" s="2274"/>
      <c r="T33" s="2274"/>
      <c r="U33" s="2274">
        <v>250000000000</v>
      </c>
      <c r="V33" s="2274">
        <v>-37000000000</v>
      </c>
      <c r="W33" s="2274">
        <v>100000000000</v>
      </c>
      <c r="X33" s="2274">
        <v>0</v>
      </c>
      <c r="Y33" s="2270"/>
      <c r="Z33" s="2270"/>
      <c r="AA33" s="3"/>
      <c r="AB33" s="3"/>
      <c r="AC33" s="3"/>
      <c r="AD33" s="3"/>
      <c r="AE33" s="3"/>
      <c r="AF33" s="3"/>
      <c r="AG33" s="3"/>
      <c r="AH33" s="3"/>
      <c r="AI33" s="3"/>
      <c r="AJ33" s="3"/>
    </row>
    <row r="34" spans="1:36">
      <c r="B34" s="2155" t="s">
        <v>6680</v>
      </c>
      <c r="C34" s="2152"/>
      <c r="D34" s="2276"/>
      <c r="E34" s="2276"/>
      <c r="F34" s="2276"/>
      <c r="G34" s="2276"/>
      <c r="H34" s="2276"/>
      <c r="I34" s="2276"/>
      <c r="J34" s="2276"/>
      <c r="K34" s="2276"/>
      <c r="L34" s="2276"/>
      <c r="M34" s="2276"/>
      <c r="N34" s="2276"/>
      <c r="O34" s="2276"/>
      <c r="P34" s="2274"/>
      <c r="Q34" s="2274"/>
      <c r="R34" s="2277"/>
      <c r="S34" s="2274"/>
      <c r="T34" s="2274"/>
      <c r="U34" s="2274">
        <v>250000000000</v>
      </c>
      <c r="V34" s="2274">
        <v>-37000000000</v>
      </c>
      <c r="W34" s="2274">
        <v>100000000000</v>
      </c>
      <c r="X34" s="2274">
        <v>0</v>
      </c>
      <c r="Y34" s="2270"/>
      <c r="Z34" s="2270"/>
      <c r="AA34" s="3"/>
      <c r="AB34" s="3"/>
      <c r="AC34" s="3"/>
      <c r="AD34" s="3"/>
      <c r="AE34" s="3"/>
      <c r="AF34" s="3"/>
      <c r="AG34" s="3"/>
      <c r="AH34" s="3"/>
      <c r="AI34" s="3"/>
      <c r="AJ34" s="3"/>
    </row>
    <row r="35" spans="1:36">
      <c r="A35" s="2152" t="s">
        <v>6681</v>
      </c>
      <c r="B35" s="2152" t="s">
        <v>6682</v>
      </c>
      <c r="C35" s="2152" t="s">
        <v>75</v>
      </c>
      <c r="D35" s="2276">
        <v>237000000000</v>
      </c>
      <c r="E35" s="2276">
        <v>130000000000</v>
      </c>
      <c r="F35" s="2276">
        <v>110100000000</v>
      </c>
      <c r="G35" s="2276">
        <v>55000000000</v>
      </c>
      <c r="H35" s="2276">
        <v>81200000000</v>
      </c>
      <c r="I35" s="2276">
        <v>75000000000</v>
      </c>
      <c r="J35" s="2276">
        <v>91000000000</v>
      </c>
      <c r="K35" s="2276">
        <v>151000000000</v>
      </c>
      <c r="L35" s="2276">
        <v>304000000000</v>
      </c>
      <c r="M35" s="2276">
        <v>283000000000</v>
      </c>
      <c r="N35" s="2276">
        <v>253000000000</v>
      </c>
      <c r="O35" s="2276">
        <v>194000000000</v>
      </c>
      <c r="P35" s="2274">
        <v>278000000000</v>
      </c>
      <c r="Q35" s="2274">
        <v>63000000000</v>
      </c>
      <c r="R35" s="2277">
        <v>66800000000</v>
      </c>
      <c r="S35" s="2274">
        <v>20000000000</v>
      </c>
      <c r="T35" s="2274">
        <v>280000000000</v>
      </c>
      <c r="U35" s="2274">
        <v>225000000000</v>
      </c>
      <c r="V35" s="2274">
        <v>119000000000</v>
      </c>
      <c r="W35" s="2274">
        <v>197000000000</v>
      </c>
      <c r="X35" s="2274">
        <v>356000000000</v>
      </c>
      <c r="Y35" s="2270"/>
      <c r="Z35" s="2270"/>
      <c r="AA35" s="3"/>
      <c r="AB35" s="3"/>
      <c r="AC35" s="3"/>
      <c r="AD35" s="3"/>
      <c r="AE35" s="3"/>
      <c r="AF35" s="3"/>
      <c r="AG35" s="3"/>
      <c r="AH35" s="3"/>
      <c r="AI35" s="3"/>
      <c r="AJ35" s="3"/>
    </row>
    <row r="36" spans="1:36">
      <c r="A36" s="2152"/>
      <c r="B36" s="2155" t="s">
        <v>6683</v>
      </c>
      <c r="C36" s="2152"/>
      <c r="D36" s="2276"/>
      <c r="E36" s="2276"/>
      <c r="F36" s="2276"/>
      <c r="G36" s="2276"/>
      <c r="H36" s="2276"/>
      <c r="I36" s="2276"/>
      <c r="J36" s="2276"/>
      <c r="K36" s="2276"/>
      <c r="L36" s="2276"/>
      <c r="M36" s="2276"/>
      <c r="N36" s="2276"/>
      <c r="O36" s="2276"/>
      <c r="P36" s="2274"/>
      <c r="Q36" s="2274"/>
      <c r="R36" s="2277"/>
      <c r="S36" s="2274"/>
      <c r="T36" s="2274"/>
      <c r="U36" s="2274">
        <v>225000000000</v>
      </c>
      <c r="V36" s="2274">
        <v>119000000000</v>
      </c>
      <c r="W36" s="2274">
        <v>197000000000</v>
      </c>
      <c r="X36" s="2274">
        <v>356000000000</v>
      </c>
      <c r="Y36" s="2270"/>
      <c r="Z36" s="2270"/>
      <c r="AA36" s="3"/>
      <c r="AB36" s="3"/>
      <c r="AC36" s="3"/>
      <c r="AD36" s="3"/>
      <c r="AE36" s="3"/>
      <c r="AF36" s="3"/>
      <c r="AG36" s="3"/>
      <c r="AH36" s="3"/>
      <c r="AI36" s="3"/>
      <c r="AJ36" s="3"/>
    </row>
    <row r="37" spans="1:36">
      <c r="A37" s="2152"/>
      <c r="B37" s="2155" t="s">
        <v>3276</v>
      </c>
      <c r="C37" s="2152"/>
      <c r="D37" s="2276"/>
      <c r="E37" s="2276"/>
      <c r="F37" s="2276"/>
      <c r="G37" s="2276"/>
      <c r="H37" s="2276"/>
      <c r="I37" s="2276"/>
      <c r="J37" s="2276"/>
      <c r="K37" s="2276"/>
      <c r="L37" s="2276"/>
      <c r="M37" s="2276"/>
      <c r="N37" s="2276"/>
      <c r="O37" s="2276"/>
      <c r="P37" s="2274"/>
      <c r="Q37" s="2274"/>
      <c r="R37" s="2277"/>
      <c r="S37" s="2274"/>
      <c r="T37" s="2274"/>
      <c r="U37" s="2274">
        <v>0</v>
      </c>
      <c r="V37" s="2274">
        <v>0</v>
      </c>
      <c r="W37" s="2274">
        <v>0</v>
      </c>
      <c r="X37" s="2274">
        <v>0</v>
      </c>
      <c r="Y37" s="2270"/>
      <c r="Z37" s="2270"/>
      <c r="AA37" s="3"/>
      <c r="AB37" s="3"/>
      <c r="AC37" s="3"/>
      <c r="AD37" s="3"/>
      <c r="AE37" s="3"/>
      <c r="AF37" s="3"/>
      <c r="AG37" s="3"/>
      <c r="AH37" s="3"/>
      <c r="AI37" s="3"/>
      <c r="AJ37" s="3"/>
    </row>
    <row r="38" spans="1:36">
      <c r="A38" s="2152"/>
      <c r="B38" s="2151" t="s">
        <v>912</v>
      </c>
      <c r="C38" s="2152"/>
      <c r="D38" s="2276"/>
      <c r="E38" s="2276"/>
      <c r="F38" s="2276"/>
      <c r="G38" s="2276"/>
      <c r="H38" s="2276"/>
      <c r="I38" s="2276"/>
      <c r="J38" s="2276"/>
      <c r="K38" s="2276"/>
      <c r="L38" s="2276"/>
      <c r="M38" s="2276"/>
      <c r="N38" s="2276"/>
      <c r="O38" s="2276"/>
      <c r="P38" s="2274"/>
      <c r="Q38" s="2274"/>
      <c r="R38" s="2277"/>
      <c r="S38" s="2274"/>
      <c r="T38" s="2274"/>
      <c r="U38" s="2274">
        <v>68000000000</v>
      </c>
      <c r="V38" s="2274">
        <v>313000000000</v>
      </c>
      <c r="W38" s="2274">
        <v>0</v>
      </c>
      <c r="X38" s="2274">
        <v>0</v>
      </c>
      <c r="Y38" s="2270"/>
      <c r="Z38" s="2270"/>
      <c r="AA38" s="3"/>
      <c r="AB38" s="3"/>
      <c r="AC38" s="3"/>
      <c r="AD38" s="3"/>
      <c r="AE38" s="3"/>
      <c r="AF38" s="3"/>
      <c r="AG38" s="3"/>
      <c r="AH38" s="3"/>
      <c r="AI38" s="3"/>
      <c r="AJ38" s="3"/>
    </row>
    <row r="39" spans="1:36">
      <c r="B39" s="2152" t="s">
        <v>6684</v>
      </c>
      <c r="C39" s="2152"/>
      <c r="D39" s="2276">
        <v>-814000000000</v>
      </c>
      <c r="E39" s="2276">
        <v>-266000000000</v>
      </c>
      <c r="F39" s="2276">
        <v>-545000000000</v>
      </c>
      <c r="G39" s="2276">
        <v>-511000000000</v>
      </c>
      <c r="H39" s="2276">
        <v>-217200000000</v>
      </c>
      <c r="I39" s="2276">
        <v>-86000000000</v>
      </c>
      <c r="J39" s="2276">
        <v>13000000000</v>
      </c>
      <c r="K39" s="2276">
        <v>-220000000000</v>
      </c>
      <c r="L39" s="2276">
        <v>-1120000000000</v>
      </c>
      <c r="M39" s="2276">
        <v>-660000000000</v>
      </c>
      <c r="N39" s="2276">
        <v>-1699000000000</v>
      </c>
      <c r="O39" s="2276">
        <v>-1680000000000</v>
      </c>
      <c r="P39" s="2274">
        <v>-1510000000000</v>
      </c>
      <c r="Q39" s="2274">
        <v>-2277000000000</v>
      </c>
      <c r="R39" s="2277">
        <v>-3334999999999.998</v>
      </c>
      <c r="S39" s="2274">
        <v>-2816000000000</v>
      </c>
      <c r="T39" s="2274">
        <v>-5179800000000</v>
      </c>
      <c r="U39" s="2274">
        <v>-3402000000000</v>
      </c>
      <c r="V39" s="2274">
        <v>-4393000000000</v>
      </c>
      <c r="W39" s="2274">
        <v>-3174000000000</v>
      </c>
      <c r="X39" s="2274">
        <v>-3768000000000</v>
      </c>
      <c r="Y39" s="2270"/>
      <c r="Z39" s="2270"/>
      <c r="AA39" s="3"/>
      <c r="AB39" s="3"/>
      <c r="AC39" s="3"/>
      <c r="AD39" s="3"/>
      <c r="AE39" s="3"/>
      <c r="AF39" s="3"/>
      <c r="AG39" s="3"/>
      <c r="AH39" s="3"/>
      <c r="AI39" s="3"/>
      <c r="AJ39" s="3"/>
    </row>
    <row r="40" spans="1:36">
      <c r="B40" s="2155" t="s">
        <v>6685</v>
      </c>
      <c r="C40" s="2152"/>
      <c r="D40" s="2276"/>
      <c r="E40" s="2276"/>
      <c r="F40" s="2276"/>
      <c r="G40" s="2276"/>
      <c r="H40" s="2276"/>
      <c r="I40" s="2276"/>
      <c r="J40" s="2276"/>
      <c r="K40" s="2276"/>
      <c r="L40" s="2276"/>
      <c r="M40" s="2276"/>
      <c r="N40" s="2276"/>
      <c r="O40" s="2276"/>
      <c r="P40" s="2274"/>
      <c r="Q40" s="2274"/>
      <c r="R40" s="2277"/>
      <c r="S40" s="2274"/>
      <c r="T40" s="2274"/>
      <c r="U40" s="2274">
        <v>-2287000000000</v>
      </c>
      <c r="V40" s="2274">
        <v>-2780000000000</v>
      </c>
      <c r="W40" s="2274">
        <v>-2447000000000</v>
      </c>
      <c r="X40" s="2274">
        <v>-1496000000000</v>
      </c>
      <c r="Y40" s="2270"/>
      <c r="Z40" s="2270"/>
      <c r="AA40" s="3"/>
      <c r="AB40" s="3"/>
      <c r="AC40" s="3"/>
      <c r="AD40" s="3"/>
      <c r="AE40" s="3"/>
      <c r="AF40" s="3"/>
      <c r="AG40" s="3"/>
      <c r="AH40" s="3"/>
      <c r="AI40" s="3"/>
      <c r="AJ40" s="3"/>
    </row>
    <row r="41" spans="1:36" s="848" customFormat="1">
      <c r="A41" s="2306" t="s">
        <v>115</v>
      </c>
      <c r="B41" s="2306" t="s">
        <v>115</v>
      </c>
      <c r="C41" s="2285" t="s">
        <v>35</v>
      </c>
      <c r="D41" s="2286">
        <v>860000000000</v>
      </c>
      <c r="E41" s="2286">
        <v>351000000000</v>
      </c>
      <c r="F41" s="2286">
        <v>421000000000</v>
      </c>
      <c r="G41" s="2286">
        <v>494000000000</v>
      </c>
      <c r="H41" s="2286">
        <v>99800000000</v>
      </c>
      <c r="I41" s="2286">
        <v>53000000000</v>
      </c>
      <c r="J41" s="2286">
        <v>-87000000000</v>
      </c>
      <c r="K41" s="2286">
        <v>174000000000</v>
      </c>
      <c r="L41" s="2286">
        <v>541000000000</v>
      </c>
      <c r="M41" s="2286">
        <v>658000000000</v>
      </c>
      <c r="N41" s="2286">
        <v>1532000000000</v>
      </c>
      <c r="O41" s="2286">
        <v>1654000000000</v>
      </c>
      <c r="P41" s="2296">
        <v>1191000000000</v>
      </c>
      <c r="Q41" s="2296">
        <v>2084000000000</v>
      </c>
      <c r="R41" s="2301">
        <v>3464200000000</v>
      </c>
      <c r="S41" s="2296">
        <v>2463000000000</v>
      </c>
      <c r="T41" s="2296">
        <f>T42+T51</f>
        <v>5179900000000</v>
      </c>
      <c r="U41" s="2296">
        <v>3402000000000</v>
      </c>
      <c r="V41" s="2296">
        <v>4393000000000</v>
      </c>
      <c r="W41" s="2296">
        <v>3174000000000</v>
      </c>
      <c r="X41" s="2296">
        <v>3768000000000</v>
      </c>
      <c r="Y41" s="2297"/>
      <c r="Z41" s="2297"/>
      <c r="AA41" s="2298"/>
      <c r="AB41" s="2298"/>
      <c r="AC41" s="2298"/>
      <c r="AD41" s="2298"/>
      <c r="AE41" s="2298"/>
      <c r="AF41" s="2298"/>
      <c r="AG41" s="2298"/>
      <c r="AH41" s="2298"/>
      <c r="AI41" s="2298"/>
      <c r="AJ41" s="2298"/>
    </row>
    <row r="42" spans="1:36">
      <c r="A42" s="2147" t="s">
        <v>117</v>
      </c>
      <c r="B42" s="2152" t="s">
        <v>6686</v>
      </c>
      <c r="C42" s="2152" t="s">
        <v>119</v>
      </c>
      <c r="D42" s="2276">
        <v>286000000000</v>
      </c>
      <c r="E42" s="2276">
        <v>362000000000</v>
      </c>
      <c r="F42" s="2276">
        <v>476000000000</v>
      </c>
      <c r="G42" s="2276">
        <v>513000000000</v>
      </c>
      <c r="H42" s="2276">
        <v>299800000000</v>
      </c>
      <c r="I42" s="2276">
        <v>127000000000</v>
      </c>
      <c r="J42" s="2276">
        <v>118000000000</v>
      </c>
      <c r="K42" s="2276">
        <v>379000000000</v>
      </c>
      <c r="L42" s="2276">
        <v>618000000000</v>
      </c>
      <c r="M42" s="2276">
        <v>592000000000</v>
      </c>
      <c r="N42" s="2276">
        <v>784000000000</v>
      </c>
      <c r="O42" s="2276">
        <v>549000000000</v>
      </c>
      <c r="P42" s="2274">
        <v>1171000000000</v>
      </c>
      <c r="Q42" s="2274">
        <v>1418000000000</v>
      </c>
      <c r="R42" s="2277">
        <v>1602200000000</v>
      </c>
      <c r="S42" s="2274">
        <v>887000000000</v>
      </c>
      <c r="T42" s="2275">
        <f>T43+T48+T49+T50</f>
        <v>2662800000000</v>
      </c>
      <c r="U42" s="2274">
        <v>919000000000</v>
      </c>
      <c r="V42" s="2274">
        <v>2494000000000</v>
      </c>
      <c r="W42" s="2274">
        <v>2323000000000</v>
      </c>
      <c r="X42" s="2274">
        <v>2688000000000</v>
      </c>
      <c r="Y42" s="2270"/>
      <c r="Z42" s="2270"/>
      <c r="AA42" s="12"/>
      <c r="AB42" s="12"/>
      <c r="AC42" s="12"/>
      <c r="AD42" s="12"/>
      <c r="AE42" s="12"/>
      <c r="AF42" s="12"/>
      <c r="AG42" s="12"/>
      <c r="AH42" s="12"/>
      <c r="AI42" s="12"/>
      <c r="AJ42" s="12"/>
    </row>
    <row r="43" spans="1:36">
      <c r="A43" s="2149" t="s">
        <v>498</v>
      </c>
      <c r="B43" s="2149" t="s">
        <v>498</v>
      </c>
      <c r="C43" s="2152" t="s">
        <v>264</v>
      </c>
      <c r="D43" s="2276">
        <v>333000000000</v>
      </c>
      <c r="E43" s="2276">
        <v>429000000000</v>
      </c>
      <c r="F43" s="2276">
        <v>557000000000</v>
      </c>
      <c r="G43" s="2276">
        <v>617000000000</v>
      </c>
      <c r="H43" s="2276">
        <v>427400000000</v>
      </c>
      <c r="I43" s="2276">
        <v>285000000000</v>
      </c>
      <c r="J43" s="2276">
        <v>317000000000</v>
      </c>
      <c r="K43" s="2276">
        <v>520000000000</v>
      </c>
      <c r="L43" s="2276">
        <v>706000000000</v>
      </c>
      <c r="M43" s="2276">
        <v>746000000000</v>
      </c>
      <c r="N43" s="2276">
        <v>919000000000</v>
      </c>
      <c r="O43" s="2276">
        <v>703000000000</v>
      </c>
      <c r="P43" s="2274">
        <v>1374000000000</v>
      </c>
      <c r="Q43" s="2274">
        <v>1628000000000</v>
      </c>
      <c r="R43" s="2277">
        <v>1850600000000</v>
      </c>
      <c r="S43" s="2274">
        <v>1128000000000</v>
      </c>
      <c r="T43" s="2275">
        <f>T44+T45+T46</f>
        <v>2801900000000</v>
      </c>
      <c r="U43" s="2274">
        <v>1177000000000</v>
      </c>
      <c r="V43" s="2274">
        <v>2814000000000</v>
      </c>
      <c r="W43" s="2274">
        <v>2692000000000</v>
      </c>
      <c r="X43" s="2274">
        <v>3826000000000</v>
      </c>
      <c r="Y43" s="2270"/>
      <c r="Z43" s="2270"/>
      <c r="AA43" s="12"/>
      <c r="AB43" s="12"/>
      <c r="AC43" s="12"/>
      <c r="AD43" s="12"/>
      <c r="AE43" s="12"/>
      <c r="AF43" s="12"/>
      <c r="AG43" s="12"/>
      <c r="AH43" s="12"/>
      <c r="AI43" s="12"/>
      <c r="AJ43" s="12"/>
    </row>
    <row r="44" spans="1:36">
      <c r="A44" s="2149" t="s">
        <v>6687</v>
      </c>
      <c r="B44" s="2149" t="s">
        <v>6688</v>
      </c>
      <c r="C44" s="2152" t="s">
        <v>499</v>
      </c>
      <c r="D44" s="2276">
        <v>58000000000</v>
      </c>
      <c r="E44" s="2276">
        <v>149000000000</v>
      </c>
      <c r="F44" s="2276">
        <v>349000000000</v>
      </c>
      <c r="G44" s="2276">
        <v>360000000000</v>
      </c>
      <c r="H44" s="2276">
        <v>57000000000</v>
      </c>
      <c r="I44" s="2276">
        <v>11000000000</v>
      </c>
      <c r="J44" s="2276">
        <v>76000000000</v>
      </c>
      <c r="K44" s="2276">
        <v>249000000000</v>
      </c>
      <c r="L44" s="2276">
        <v>211000000000</v>
      </c>
      <c r="M44" s="2276">
        <v>233000000000</v>
      </c>
      <c r="N44" s="2276">
        <v>236000000000</v>
      </c>
      <c r="O44" s="2276">
        <v>233000000000</v>
      </c>
      <c r="P44" s="2274">
        <v>126000000000</v>
      </c>
      <c r="Q44" s="2274">
        <v>324000000000</v>
      </c>
      <c r="R44" s="2277">
        <v>0</v>
      </c>
      <c r="S44" s="2274">
        <v>0</v>
      </c>
      <c r="T44" s="2274">
        <v>0</v>
      </c>
      <c r="U44" s="2274">
        <v>0</v>
      </c>
      <c r="V44" s="2274">
        <v>0</v>
      </c>
      <c r="W44" s="2274">
        <v>0</v>
      </c>
      <c r="X44" s="2274">
        <v>0</v>
      </c>
      <c r="Y44" s="2270"/>
      <c r="Z44" s="2270"/>
      <c r="AA44" s="12"/>
      <c r="AB44" s="12"/>
      <c r="AC44" s="12"/>
      <c r="AD44" s="12"/>
      <c r="AE44" s="12"/>
      <c r="AF44" s="12"/>
      <c r="AG44" s="12"/>
      <c r="AH44" s="12"/>
      <c r="AI44" s="12"/>
      <c r="AJ44" s="12"/>
    </row>
    <row r="45" spans="1:36">
      <c r="A45" s="2149" t="s">
        <v>6689</v>
      </c>
      <c r="B45" s="2149" t="s">
        <v>6690</v>
      </c>
      <c r="C45" s="2152" t="s">
        <v>499</v>
      </c>
      <c r="D45" s="2276">
        <v>275000000000</v>
      </c>
      <c r="E45" s="2276">
        <v>281000000000</v>
      </c>
      <c r="F45" s="2276">
        <v>208000000000</v>
      </c>
      <c r="G45" s="2276">
        <v>257000000000</v>
      </c>
      <c r="H45" s="2276">
        <v>370300000000</v>
      </c>
      <c r="I45" s="2276">
        <v>274000000000</v>
      </c>
      <c r="J45" s="2276">
        <v>241000000000</v>
      </c>
      <c r="K45" s="2276">
        <v>271000000000</v>
      </c>
      <c r="L45" s="2276">
        <v>495000000000</v>
      </c>
      <c r="M45" s="2276">
        <v>513000000000</v>
      </c>
      <c r="N45" s="2276">
        <v>683000000000</v>
      </c>
      <c r="O45" s="2276">
        <v>470000000000</v>
      </c>
      <c r="P45" s="2274">
        <v>1056000000000</v>
      </c>
      <c r="Q45" s="2274">
        <v>1303000000000</v>
      </c>
      <c r="R45" s="2277">
        <v>1850600000000</v>
      </c>
      <c r="S45" s="2274">
        <v>1128000000000</v>
      </c>
      <c r="T45" s="2274">
        <v>1641100000000</v>
      </c>
      <c r="U45" s="2274">
        <v>1177000000000</v>
      </c>
      <c r="V45" s="2274">
        <v>1537000000000</v>
      </c>
      <c r="W45" s="2274">
        <v>1271000000000</v>
      </c>
      <c r="X45" s="2274">
        <v>1553000000000</v>
      </c>
      <c r="Y45" s="2270"/>
      <c r="Z45" s="2270"/>
      <c r="AA45" s="12"/>
      <c r="AB45" s="12"/>
      <c r="AC45" s="12"/>
      <c r="AD45" s="12"/>
      <c r="AE45" s="12"/>
      <c r="AF45" s="12"/>
      <c r="AG45" s="12"/>
      <c r="AH45" s="12"/>
      <c r="AI45" s="12"/>
      <c r="AJ45" s="12"/>
    </row>
    <row r="46" spans="1:36">
      <c r="A46" s="2149" t="s">
        <v>6691</v>
      </c>
      <c r="B46" s="2149" t="s">
        <v>6692</v>
      </c>
      <c r="C46" s="2152" t="s">
        <v>499</v>
      </c>
      <c r="D46" s="2276">
        <v>0</v>
      </c>
      <c r="E46" s="2276">
        <v>0</v>
      </c>
      <c r="F46" s="2276">
        <v>0</v>
      </c>
      <c r="G46" s="2276">
        <v>0</v>
      </c>
      <c r="H46" s="2276">
        <v>0</v>
      </c>
      <c r="I46" s="2276">
        <v>0</v>
      </c>
      <c r="J46" s="2276">
        <v>0</v>
      </c>
      <c r="K46" s="2276">
        <v>0</v>
      </c>
      <c r="L46" s="2276">
        <v>0</v>
      </c>
      <c r="M46" s="2276">
        <v>0</v>
      </c>
      <c r="N46" s="2276">
        <v>0</v>
      </c>
      <c r="O46" s="2276">
        <v>0</v>
      </c>
      <c r="P46" s="2274">
        <v>192000000000</v>
      </c>
      <c r="Q46" s="2274">
        <v>0</v>
      </c>
      <c r="R46" s="2277">
        <v>0</v>
      </c>
      <c r="S46" s="2274">
        <v>0</v>
      </c>
      <c r="T46" s="2274">
        <v>1160800000000</v>
      </c>
      <c r="U46" s="2274">
        <v>0</v>
      </c>
      <c r="V46" s="2274">
        <v>1276000000000</v>
      </c>
      <c r="W46" s="2274">
        <v>718000000000</v>
      </c>
      <c r="X46" s="2274">
        <v>2272000000000</v>
      </c>
      <c r="Y46" s="2270"/>
      <c r="Z46" s="2270"/>
      <c r="AA46" s="12"/>
      <c r="AB46" s="12"/>
      <c r="AC46" s="12"/>
      <c r="AD46" s="12"/>
      <c r="AE46" s="12"/>
      <c r="AF46" s="12"/>
      <c r="AG46" s="12"/>
      <c r="AH46" s="12"/>
      <c r="AI46" s="12"/>
      <c r="AJ46" s="12"/>
    </row>
    <row r="47" spans="1:36">
      <c r="A47" s="2155" t="s">
        <v>6693</v>
      </c>
      <c r="B47" s="2155" t="s">
        <v>6693</v>
      </c>
      <c r="C47" s="2152" t="s">
        <v>499</v>
      </c>
      <c r="D47" s="2276"/>
      <c r="E47" s="2276"/>
      <c r="F47" s="2276"/>
      <c r="G47" s="2276"/>
      <c r="H47" s="2276"/>
      <c r="I47" s="2276"/>
      <c r="J47" s="2276"/>
      <c r="K47" s="2276"/>
      <c r="L47" s="2276"/>
      <c r="M47" s="2276"/>
      <c r="N47" s="2276"/>
      <c r="O47" s="2276"/>
      <c r="P47" s="2274"/>
      <c r="Q47" s="2274"/>
      <c r="R47" s="2277"/>
      <c r="S47" s="2274"/>
      <c r="T47" s="2274"/>
      <c r="U47" s="2274"/>
      <c r="V47" s="2274">
        <v>0</v>
      </c>
      <c r="W47" s="2274">
        <v>703000000000</v>
      </c>
      <c r="X47" s="2274">
        <v>0</v>
      </c>
      <c r="Y47" s="2270"/>
      <c r="Z47" s="2270"/>
      <c r="AA47" s="12"/>
      <c r="AB47" s="12"/>
      <c r="AC47" s="12"/>
      <c r="AD47" s="12"/>
      <c r="AE47" s="12"/>
      <c r="AF47" s="12"/>
      <c r="AG47" s="12"/>
      <c r="AH47" s="12"/>
      <c r="AI47" s="12"/>
      <c r="AJ47" s="12"/>
    </row>
    <row r="48" spans="1:36">
      <c r="A48" s="2156" t="s">
        <v>258</v>
      </c>
      <c r="B48" s="2149" t="s">
        <v>6694</v>
      </c>
      <c r="C48" s="2152" t="s">
        <v>264</v>
      </c>
      <c r="D48" s="2276">
        <v>-124000000000</v>
      </c>
      <c r="E48" s="2276">
        <v>-126000000000</v>
      </c>
      <c r="F48" s="2276">
        <v>-123000000000</v>
      </c>
      <c r="G48" s="2276">
        <v>-143000000000</v>
      </c>
      <c r="H48" s="2276">
        <v>-143400000000</v>
      </c>
      <c r="I48" s="2276">
        <v>-162000000000</v>
      </c>
      <c r="J48" s="2276">
        <v>-149000000000</v>
      </c>
      <c r="K48" s="2276">
        <v>-104000000000</v>
      </c>
      <c r="L48" s="2276">
        <v>-87000000000</v>
      </c>
      <c r="M48" s="2276">
        <v>-126000000000</v>
      </c>
      <c r="N48" s="2276">
        <v>-110000000000</v>
      </c>
      <c r="O48" s="2276">
        <v>-146000000000</v>
      </c>
      <c r="P48" s="2274">
        <v>-193000000000</v>
      </c>
      <c r="Q48" s="2274">
        <v>-200000000000</v>
      </c>
      <c r="R48" s="2277">
        <v>-223700000000</v>
      </c>
      <c r="S48" s="2274">
        <v>-212000000000</v>
      </c>
      <c r="T48" s="2274">
        <v>-130400000000</v>
      </c>
      <c r="U48" s="2274">
        <v>-254000000000</v>
      </c>
      <c r="V48" s="2274">
        <v>-320000000000</v>
      </c>
      <c r="W48" s="2274">
        <v>-365000000000</v>
      </c>
      <c r="X48" s="2274">
        <v>-1143000000000</v>
      </c>
      <c r="Y48" s="2270"/>
      <c r="Z48" s="2270"/>
      <c r="AA48" s="12"/>
      <c r="AB48" s="12"/>
      <c r="AC48" s="12"/>
      <c r="AD48" s="12"/>
      <c r="AE48" s="12"/>
      <c r="AF48" s="12"/>
      <c r="AG48" s="12"/>
      <c r="AH48" s="12"/>
      <c r="AI48" s="12"/>
      <c r="AJ48" s="12"/>
    </row>
    <row r="49" spans="1:36">
      <c r="A49" s="2149" t="s">
        <v>6695</v>
      </c>
      <c r="B49" s="2149" t="s">
        <v>6696</v>
      </c>
      <c r="C49" s="2152" t="s">
        <v>264</v>
      </c>
      <c r="D49" s="2276">
        <v>34000000000</v>
      </c>
      <c r="E49" s="2276">
        <v>59000000000</v>
      </c>
      <c r="F49" s="2276">
        <v>42000000000</v>
      </c>
      <c r="G49" s="2276">
        <v>38000000000</v>
      </c>
      <c r="H49" s="2276">
        <v>15800000000</v>
      </c>
      <c r="I49" s="2276">
        <v>4000000000</v>
      </c>
      <c r="J49" s="2276">
        <v>-50000000000</v>
      </c>
      <c r="K49" s="2276">
        <v>-38000000000</v>
      </c>
      <c r="L49" s="2276">
        <v>-13000000000</v>
      </c>
      <c r="M49" s="2276">
        <v>-29000000000</v>
      </c>
      <c r="N49" s="2276">
        <v>-26000000000</v>
      </c>
      <c r="O49" s="2276">
        <v>-8000000000</v>
      </c>
      <c r="P49" s="2274">
        <v>-10000000000</v>
      </c>
      <c r="Q49" s="2274">
        <v>-10000000000</v>
      </c>
      <c r="R49" s="2277">
        <v>-24700000000</v>
      </c>
      <c r="S49" s="2274">
        <v>-30000000000</v>
      </c>
      <c r="T49" s="2274">
        <v>-8700000000</v>
      </c>
      <c r="U49" s="2274">
        <v>-4000000000</v>
      </c>
      <c r="V49" s="2274">
        <v>0</v>
      </c>
      <c r="W49" s="2274">
        <v>-4000000000</v>
      </c>
      <c r="X49" s="2274">
        <v>6000000000</v>
      </c>
      <c r="Y49" s="2270"/>
      <c r="Z49" s="2270"/>
      <c r="AA49" s="12"/>
      <c r="AB49" s="12"/>
      <c r="AC49" s="12"/>
      <c r="AD49" s="12"/>
      <c r="AE49" s="12"/>
      <c r="AF49" s="12"/>
      <c r="AG49" s="12"/>
      <c r="AH49" s="12"/>
      <c r="AI49" s="12"/>
      <c r="AJ49" s="12"/>
    </row>
    <row r="50" spans="1:36">
      <c r="A50" s="2149" t="s">
        <v>6697</v>
      </c>
      <c r="B50" s="2149" t="s">
        <v>5691</v>
      </c>
      <c r="C50" s="2152" t="s">
        <v>264</v>
      </c>
      <c r="D50" s="2287">
        <v>43000000000</v>
      </c>
      <c r="E50" s="2276"/>
      <c r="F50" s="2276"/>
      <c r="G50" s="2276"/>
      <c r="H50" s="2276"/>
      <c r="I50" s="2276"/>
      <c r="J50" s="2276"/>
      <c r="K50" s="2276"/>
      <c r="L50" s="2288">
        <f>L42-L43-L48-L49</f>
        <v>12000000000</v>
      </c>
      <c r="M50" s="2276"/>
      <c r="N50" s="2276"/>
      <c r="O50" s="2276"/>
      <c r="P50" s="2274"/>
      <c r="Q50" s="2274"/>
      <c r="R50" s="2277"/>
      <c r="S50" s="2274"/>
      <c r="T50" s="2274"/>
      <c r="U50" s="2277"/>
      <c r="V50" s="2274"/>
      <c r="W50" s="2274"/>
      <c r="X50" s="2274"/>
      <c r="Y50" s="2270"/>
      <c r="Z50" s="2270"/>
      <c r="AA50" s="12"/>
      <c r="AB50" s="12"/>
      <c r="AC50" s="12"/>
      <c r="AD50" s="12"/>
      <c r="AE50" s="12"/>
      <c r="AF50" s="12"/>
      <c r="AG50" s="12"/>
      <c r="AH50" s="12"/>
      <c r="AI50" s="12"/>
      <c r="AJ50" s="12"/>
    </row>
    <row r="51" spans="1:36">
      <c r="A51" s="2147" t="s">
        <v>120</v>
      </c>
      <c r="B51" s="2152" t="s">
        <v>6698</v>
      </c>
      <c r="C51" s="2152" t="s">
        <v>119</v>
      </c>
      <c r="D51" s="2276">
        <v>574000000000</v>
      </c>
      <c r="E51" s="2276">
        <v>-11000000000</v>
      </c>
      <c r="F51" s="2276">
        <v>-55000000000</v>
      </c>
      <c r="G51" s="2276">
        <v>-19000000000</v>
      </c>
      <c r="H51" s="2276">
        <v>-200000000000</v>
      </c>
      <c r="I51" s="2276">
        <v>-74000000000</v>
      </c>
      <c r="J51" s="2276">
        <v>-204000000000</v>
      </c>
      <c r="K51" s="2276">
        <v>-205000000000</v>
      </c>
      <c r="L51" s="2276">
        <v>-78000000000</v>
      </c>
      <c r="M51" s="2276">
        <v>66000000000</v>
      </c>
      <c r="N51" s="2276">
        <v>749000000000</v>
      </c>
      <c r="O51" s="2276">
        <v>1105000000000</v>
      </c>
      <c r="P51" s="2274">
        <v>20000000000</v>
      </c>
      <c r="Q51" s="2274">
        <v>666000000000</v>
      </c>
      <c r="R51" s="2277">
        <v>1862000000000</v>
      </c>
      <c r="S51" s="2274">
        <v>1576000000000</v>
      </c>
      <c r="T51" s="2274">
        <v>2517100000000</v>
      </c>
      <c r="U51" s="2274">
        <v>2483000000000</v>
      </c>
      <c r="V51" s="2274">
        <v>1899000000000</v>
      </c>
      <c r="W51" s="2274">
        <v>851000000000</v>
      </c>
      <c r="X51" s="2274">
        <v>1080000000000</v>
      </c>
      <c r="Y51" s="2270"/>
      <c r="Z51" s="2270"/>
      <c r="AA51" s="12"/>
      <c r="AB51" s="12"/>
      <c r="AC51" s="12"/>
      <c r="AD51" s="12"/>
      <c r="AE51" s="12"/>
      <c r="AF51" s="12"/>
      <c r="AG51" s="12"/>
      <c r="AH51" s="12"/>
      <c r="AI51" s="12"/>
      <c r="AJ51" s="12"/>
    </row>
    <row r="52" spans="1:36">
      <c r="A52" s="2147" t="s">
        <v>122</v>
      </c>
      <c r="B52" s="2149" t="s">
        <v>6699</v>
      </c>
      <c r="C52" s="2152" t="s">
        <v>6700</v>
      </c>
      <c r="D52" s="2276">
        <v>542000000000</v>
      </c>
      <c r="E52" s="2276">
        <v>46000000000</v>
      </c>
      <c r="F52" s="2276">
        <v>21000000000</v>
      </c>
      <c r="G52" s="2276">
        <v>-92000000000</v>
      </c>
      <c r="H52" s="2276">
        <v>-307000000000</v>
      </c>
      <c r="I52" s="2276">
        <v>-260000000000</v>
      </c>
      <c r="J52" s="2276">
        <v>-135000000000</v>
      </c>
      <c r="K52" s="2276">
        <v>-562000000000</v>
      </c>
      <c r="L52" s="2276">
        <v>-177000000000</v>
      </c>
      <c r="M52" s="2276">
        <v>475000000000</v>
      </c>
      <c r="N52" s="2276">
        <v>811000000000</v>
      </c>
      <c r="O52" s="2276">
        <v>622000000000</v>
      </c>
      <c r="P52" s="2274">
        <v>-1242000000000</v>
      </c>
      <c r="Q52" s="2274">
        <v>508000000000</v>
      </c>
      <c r="R52" s="2277">
        <v>1238000000000</v>
      </c>
      <c r="S52" s="2274">
        <v>647000000000</v>
      </c>
      <c r="T52" s="2274">
        <v>1524100000000</v>
      </c>
      <c r="U52" s="2274">
        <v>1288000000000</v>
      </c>
      <c r="V52" s="2274">
        <v>923000000000</v>
      </c>
      <c r="W52" s="2274">
        <v>545000000000</v>
      </c>
      <c r="X52" s="2274">
        <v>602000000000</v>
      </c>
      <c r="Y52" s="2270"/>
      <c r="Z52" s="2270"/>
      <c r="AA52" s="12"/>
      <c r="AB52" s="12"/>
      <c r="AC52" s="12"/>
      <c r="AD52" s="12"/>
      <c r="AE52" s="12"/>
      <c r="AF52" s="12"/>
      <c r="AG52" s="12"/>
      <c r="AH52" s="12"/>
      <c r="AI52" s="12"/>
      <c r="AJ52" s="12"/>
    </row>
    <row r="53" spans="1:36">
      <c r="B53" s="2289" t="s">
        <v>6701</v>
      </c>
      <c r="C53" s="2152"/>
      <c r="D53" s="2276">
        <v>0</v>
      </c>
      <c r="E53" s="2276">
        <v>0</v>
      </c>
      <c r="F53" s="2276">
        <v>0</v>
      </c>
      <c r="G53" s="2276">
        <v>0</v>
      </c>
      <c r="H53" s="2276">
        <v>-279600000000</v>
      </c>
      <c r="I53" s="2276" t="s">
        <v>1200</v>
      </c>
      <c r="J53" s="2276" t="s">
        <v>1200</v>
      </c>
      <c r="K53" s="2276" t="s">
        <v>1200</v>
      </c>
      <c r="L53" s="2276" t="s">
        <v>1200</v>
      </c>
      <c r="M53" s="2276">
        <v>277000000000</v>
      </c>
      <c r="N53" s="2276">
        <v>473000000000</v>
      </c>
      <c r="O53" s="2276">
        <v>270000000000</v>
      </c>
      <c r="P53" s="2274">
        <v>-1182000000000</v>
      </c>
      <c r="Q53" s="2274">
        <v>-77000000000</v>
      </c>
      <c r="R53" s="2277">
        <v>822000000000</v>
      </c>
      <c r="S53" s="2274">
        <v>-198000000000</v>
      </c>
      <c r="T53" s="2274"/>
      <c r="U53" s="2274">
        <v>1064000000000</v>
      </c>
      <c r="V53" s="2274">
        <v>309000000000</v>
      </c>
      <c r="W53" s="2274">
        <v>239000000000</v>
      </c>
      <c r="X53" s="2274">
        <v>125000000000</v>
      </c>
      <c r="Y53" s="2270"/>
      <c r="Z53" s="2270"/>
      <c r="AA53" s="3"/>
      <c r="AB53" s="3"/>
      <c r="AC53" s="3"/>
      <c r="AD53" s="3"/>
      <c r="AE53" s="3"/>
      <c r="AF53" s="3"/>
      <c r="AG53" s="3"/>
      <c r="AH53" s="3"/>
      <c r="AI53" s="3"/>
      <c r="AJ53" s="3"/>
    </row>
    <row r="54" spans="1:36">
      <c r="B54" s="2289" t="s">
        <v>6702</v>
      </c>
      <c r="C54" s="2152"/>
      <c r="D54" s="2276">
        <v>0</v>
      </c>
      <c r="E54" s="2276">
        <v>0</v>
      </c>
      <c r="F54" s="2276">
        <v>0</v>
      </c>
      <c r="G54" s="2276">
        <v>0</v>
      </c>
      <c r="H54" s="2276" t="s">
        <v>1200</v>
      </c>
      <c r="I54" s="2276" t="s">
        <v>1200</v>
      </c>
      <c r="J54" s="2276" t="s">
        <v>1200</v>
      </c>
      <c r="K54" s="2276" t="s">
        <v>1200</v>
      </c>
      <c r="L54" s="2276" t="s">
        <v>1200</v>
      </c>
      <c r="M54" s="2276">
        <v>0</v>
      </c>
      <c r="N54" s="2276">
        <v>0</v>
      </c>
      <c r="O54" s="2276">
        <v>0</v>
      </c>
      <c r="P54" s="2274">
        <v>0</v>
      </c>
      <c r="Q54" s="2274">
        <v>-21000000000</v>
      </c>
      <c r="R54" s="2277">
        <v>327000000000</v>
      </c>
      <c r="S54" s="2274">
        <v>-2000000000</v>
      </c>
      <c r="T54" s="2274"/>
      <c r="U54" s="2274"/>
      <c r="V54" s="2274"/>
      <c r="W54" s="2274"/>
      <c r="X54" s="2274"/>
      <c r="Y54" s="2270"/>
      <c r="Z54" s="2270"/>
      <c r="AA54" s="3"/>
      <c r="AB54" s="3"/>
      <c r="AC54" s="3"/>
      <c r="AD54" s="3"/>
      <c r="AE54" s="3"/>
      <c r="AF54" s="3"/>
      <c r="AG54" s="3"/>
      <c r="AH54" s="3"/>
      <c r="AI54" s="3"/>
      <c r="AJ54" s="3"/>
    </row>
    <row r="55" spans="1:36">
      <c r="B55" s="2289" t="s">
        <v>6703</v>
      </c>
      <c r="C55" s="2152"/>
      <c r="D55" s="2276">
        <v>0</v>
      </c>
      <c r="E55" s="2276">
        <v>0</v>
      </c>
      <c r="F55" s="2276">
        <v>0</v>
      </c>
      <c r="G55" s="2276">
        <v>0</v>
      </c>
      <c r="H55" s="2276" t="s">
        <v>1200</v>
      </c>
      <c r="I55" s="2276" t="s">
        <v>1200</v>
      </c>
      <c r="J55" s="2276" t="s">
        <v>1200</v>
      </c>
      <c r="K55" s="2276" t="s">
        <v>1200</v>
      </c>
      <c r="L55" s="2276" t="s">
        <v>1200</v>
      </c>
      <c r="M55" s="2276">
        <v>0</v>
      </c>
      <c r="N55" s="2276">
        <v>0</v>
      </c>
      <c r="O55" s="2276">
        <v>0</v>
      </c>
      <c r="P55" s="2274">
        <v>88000000000</v>
      </c>
      <c r="Q55" s="2274">
        <v>-466000000000</v>
      </c>
      <c r="R55" s="2277">
        <v>783000000000</v>
      </c>
      <c r="S55" s="2274">
        <v>26000000000</v>
      </c>
      <c r="T55" s="2274"/>
      <c r="U55" s="2274"/>
      <c r="V55" s="2274"/>
      <c r="W55" s="2274"/>
      <c r="X55" s="2274"/>
      <c r="Y55" s="2270"/>
      <c r="Z55" s="2270"/>
      <c r="AA55" s="3"/>
      <c r="AB55" s="3"/>
      <c r="AC55" s="3"/>
      <c r="AD55" s="3"/>
      <c r="AE55" s="3"/>
      <c r="AF55" s="3"/>
      <c r="AG55" s="3"/>
      <c r="AH55" s="3"/>
      <c r="AI55" s="3"/>
      <c r="AJ55" s="3"/>
    </row>
    <row r="56" spans="1:36">
      <c r="B56" s="2289" t="s">
        <v>6704</v>
      </c>
      <c r="C56" s="2152"/>
      <c r="D56" s="2276">
        <v>0</v>
      </c>
      <c r="E56" s="2276">
        <v>0</v>
      </c>
      <c r="F56" s="2276">
        <v>0</v>
      </c>
      <c r="G56" s="2276">
        <v>0</v>
      </c>
      <c r="H56" s="2276" t="s">
        <v>1200</v>
      </c>
      <c r="I56" s="2276" t="s">
        <v>1200</v>
      </c>
      <c r="J56" s="2276" t="s">
        <v>1200</v>
      </c>
      <c r="K56" s="2276" t="s">
        <v>1200</v>
      </c>
      <c r="L56" s="2276" t="s">
        <v>1200</v>
      </c>
      <c r="M56" s="2276">
        <v>0</v>
      </c>
      <c r="N56" s="2276">
        <v>0</v>
      </c>
      <c r="O56" s="2276">
        <v>0</v>
      </c>
      <c r="P56" s="2274">
        <v>0</v>
      </c>
      <c r="Q56" s="2274">
        <v>410000000000</v>
      </c>
      <c r="R56" s="2277">
        <v>0</v>
      </c>
      <c r="S56" s="2274">
        <v>0</v>
      </c>
      <c r="T56" s="2274"/>
      <c r="U56" s="2274"/>
      <c r="V56" s="2274"/>
      <c r="W56" s="2274"/>
      <c r="X56" s="2274"/>
      <c r="Y56" s="2270"/>
      <c r="Z56" s="2270"/>
      <c r="AA56" s="3"/>
      <c r="AB56" s="3"/>
      <c r="AC56" s="3"/>
      <c r="AD56" s="3"/>
      <c r="AE56" s="3"/>
      <c r="AF56" s="3"/>
      <c r="AG56" s="3"/>
      <c r="AH56" s="3"/>
      <c r="AI56" s="3"/>
      <c r="AJ56" s="3"/>
    </row>
    <row r="57" spans="1:36">
      <c r="B57" s="2289" t="s">
        <v>6705</v>
      </c>
      <c r="C57" s="2152"/>
      <c r="D57" s="2276">
        <v>0</v>
      </c>
      <c r="E57" s="2276">
        <v>0</v>
      </c>
      <c r="F57" s="2276">
        <v>0</v>
      </c>
      <c r="G57" s="2276">
        <v>0</v>
      </c>
      <c r="H57" s="2276">
        <v>-27400000000</v>
      </c>
      <c r="I57" s="2276" t="s">
        <v>1200</v>
      </c>
      <c r="J57" s="2276" t="s">
        <v>1200</v>
      </c>
      <c r="K57" s="2276" t="s">
        <v>1200</v>
      </c>
      <c r="L57" s="2276" t="s">
        <v>1200</v>
      </c>
      <c r="M57" s="2276">
        <v>277000000000</v>
      </c>
      <c r="N57" s="2276">
        <v>338000000000</v>
      </c>
      <c r="O57" s="2276">
        <v>351000000000</v>
      </c>
      <c r="P57" s="2274">
        <v>-60000000000</v>
      </c>
      <c r="Q57" s="2274">
        <v>585000000000</v>
      </c>
      <c r="R57" s="2277">
        <v>416000000000</v>
      </c>
      <c r="S57" s="2274">
        <v>845000000000</v>
      </c>
      <c r="T57" s="2274"/>
      <c r="U57" s="2274">
        <v>224000000000</v>
      </c>
      <c r="V57" s="2274">
        <v>614000000000</v>
      </c>
      <c r="W57" s="2274">
        <v>306000000000</v>
      </c>
      <c r="X57" s="2274">
        <v>477000000000</v>
      </c>
      <c r="Y57" s="2270"/>
      <c r="Z57" s="2270"/>
      <c r="AA57" s="3"/>
      <c r="AB57" s="3"/>
      <c r="AC57" s="3"/>
      <c r="AD57" s="3"/>
      <c r="AE57" s="3"/>
      <c r="AF57" s="3"/>
      <c r="AG57" s="3"/>
      <c r="AH57" s="3"/>
      <c r="AI57" s="3"/>
      <c r="AJ57" s="3"/>
    </row>
    <row r="58" spans="1:36">
      <c r="A58" s="2147" t="s">
        <v>428</v>
      </c>
      <c r="B58" s="2149" t="s">
        <v>6706</v>
      </c>
      <c r="C58" s="2152" t="s">
        <v>6700</v>
      </c>
      <c r="D58" s="2276">
        <v>31000000000</v>
      </c>
      <c r="E58" s="2276">
        <v>-57000000000</v>
      </c>
      <c r="F58" s="2276">
        <v>-76100000000</v>
      </c>
      <c r="G58" s="2276">
        <v>73000000000</v>
      </c>
      <c r="H58" s="2276">
        <v>107000000000</v>
      </c>
      <c r="I58" s="2276">
        <v>186000000000</v>
      </c>
      <c r="J58" s="2276">
        <v>-69000000000</v>
      </c>
      <c r="K58" s="2276">
        <v>357000000000</v>
      </c>
      <c r="L58" s="2287">
        <v>99000000000</v>
      </c>
      <c r="M58" s="2276">
        <v>-409000000000</v>
      </c>
      <c r="N58" s="2276">
        <v>-62000000000</v>
      </c>
      <c r="O58" s="2276">
        <v>483000000000</v>
      </c>
      <c r="P58" s="2274">
        <v>1262000000000</v>
      </c>
      <c r="Q58" s="2274">
        <v>158000000000</v>
      </c>
      <c r="R58" s="2277">
        <v>624000000000</v>
      </c>
      <c r="S58" s="2274">
        <v>930000000000</v>
      </c>
      <c r="T58" s="2274">
        <v>993000000000</v>
      </c>
      <c r="U58" s="2274">
        <v>1195000000000</v>
      </c>
      <c r="V58" s="2274">
        <v>976000000000</v>
      </c>
      <c r="W58" s="2274">
        <v>306000000000</v>
      </c>
      <c r="X58" s="2274">
        <v>478000000000</v>
      </c>
      <c r="Y58" s="2270"/>
      <c r="Z58" s="2270"/>
      <c r="AA58" s="12"/>
      <c r="AB58" s="12"/>
      <c r="AC58" s="12"/>
      <c r="AD58" s="12"/>
      <c r="AE58" s="12"/>
      <c r="AF58" s="12"/>
      <c r="AG58" s="12"/>
      <c r="AH58" s="12"/>
      <c r="AI58" s="12"/>
      <c r="AJ58" s="12"/>
    </row>
    <row r="59" spans="1:36">
      <c r="B59" s="2151" t="s">
        <v>6707</v>
      </c>
      <c r="C59" s="2152"/>
      <c r="D59" s="2276"/>
      <c r="E59" s="2276"/>
      <c r="F59" s="2276"/>
      <c r="G59" s="2276"/>
      <c r="H59" s="2276"/>
      <c r="I59" s="2276"/>
      <c r="J59" s="2276"/>
      <c r="K59" s="2276"/>
      <c r="L59" s="2287"/>
      <c r="M59" s="2276"/>
      <c r="N59" s="2276"/>
      <c r="O59" s="2276"/>
      <c r="P59" s="2274"/>
      <c r="Q59" s="2274"/>
      <c r="R59" s="2277"/>
      <c r="S59" s="2274"/>
      <c r="T59" s="2274"/>
      <c r="U59" s="2274"/>
      <c r="V59" s="2274"/>
      <c r="W59" s="2274"/>
      <c r="X59" s="2274"/>
      <c r="Y59" s="2270"/>
      <c r="Z59" s="2270"/>
      <c r="AA59" s="12"/>
      <c r="AB59" s="12"/>
      <c r="AC59" s="12"/>
      <c r="AD59" s="12"/>
      <c r="AE59" s="12"/>
      <c r="AF59" s="12"/>
      <c r="AG59" s="12"/>
      <c r="AH59" s="12"/>
      <c r="AI59" s="12"/>
      <c r="AJ59" s="12"/>
    </row>
    <row r="60" spans="1:36">
      <c r="B60" s="2151" t="s">
        <v>6708</v>
      </c>
      <c r="C60" s="2152"/>
      <c r="D60" s="2276"/>
      <c r="E60" s="2276"/>
      <c r="F60" s="2276"/>
      <c r="G60" s="2276"/>
      <c r="H60" s="2276"/>
      <c r="I60" s="2276"/>
      <c r="J60" s="2276"/>
      <c r="K60" s="2276"/>
      <c r="L60" s="2287"/>
      <c r="M60" s="2276"/>
      <c r="N60" s="2276"/>
      <c r="O60" s="2276"/>
      <c r="P60" s="2274"/>
      <c r="Q60" s="2274"/>
      <c r="R60" s="2277"/>
      <c r="S60" s="2274"/>
      <c r="T60" s="2274"/>
      <c r="U60" s="2274">
        <v>120000000000</v>
      </c>
      <c r="V60" s="2274">
        <v>241000000000</v>
      </c>
      <c r="W60" s="2274">
        <v>371000000000</v>
      </c>
      <c r="X60" s="2274">
        <v>246000000000</v>
      </c>
      <c r="Y60" s="2270"/>
      <c r="Z60" s="2270"/>
      <c r="AA60" s="12"/>
      <c r="AB60" s="12"/>
      <c r="AC60" s="12"/>
      <c r="AD60" s="12"/>
      <c r="AE60" s="12"/>
      <c r="AF60" s="12"/>
      <c r="AG60" s="12"/>
      <c r="AH60" s="12"/>
      <c r="AI60" s="12"/>
      <c r="AJ60" s="12"/>
    </row>
    <row r="61" spans="1:36">
      <c r="B61" s="2151" t="s">
        <v>6709</v>
      </c>
      <c r="C61" s="2152"/>
      <c r="D61" s="2276"/>
      <c r="E61" s="2276"/>
      <c r="F61" s="2276"/>
      <c r="G61" s="2276"/>
      <c r="H61" s="2276"/>
      <c r="I61" s="2276"/>
      <c r="J61" s="2276"/>
      <c r="K61" s="2276"/>
      <c r="L61" s="2287"/>
      <c r="M61" s="2276"/>
      <c r="N61" s="2276"/>
      <c r="O61" s="2276"/>
      <c r="P61" s="2274"/>
      <c r="Q61" s="2274"/>
      <c r="R61" s="2277"/>
      <c r="S61" s="2274"/>
      <c r="T61" s="2274"/>
      <c r="U61" s="2274">
        <v>190000000000</v>
      </c>
      <c r="V61" s="2274">
        <v>0</v>
      </c>
      <c r="W61" s="2274">
        <v>0</v>
      </c>
      <c r="X61" s="2274">
        <v>0</v>
      </c>
      <c r="Y61" s="2270"/>
      <c r="Z61" s="2270"/>
      <c r="AA61" s="12"/>
      <c r="AB61" s="12"/>
      <c r="AC61" s="12"/>
      <c r="AD61" s="12"/>
      <c r="AE61" s="12"/>
      <c r="AF61" s="12"/>
      <c r="AG61" s="12"/>
      <c r="AH61" s="12"/>
      <c r="AI61" s="12"/>
      <c r="AJ61" s="12"/>
    </row>
    <row r="62" spans="1:36">
      <c r="B62" s="2151" t="s">
        <v>6710</v>
      </c>
      <c r="C62" s="2152"/>
      <c r="D62" s="2276"/>
      <c r="E62" s="2276"/>
      <c r="F62" s="2276"/>
      <c r="G62" s="2276"/>
      <c r="H62" s="2276"/>
      <c r="I62" s="2276"/>
      <c r="J62" s="2276"/>
      <c r="K62" s="2276"/>
      <c r="L62" s="2287"/>
      <c r="M62" s="2276"/>
      <c r="N62" s="2276"/>
      <c r="O62" s="2276"/>
      <c r="P62" s="2274"/>
      <c r="Q62" s="2274"/>
      <c r="R62" s="2277"/>
      <c r="S62" s="2274"/>
      <c r="T62" s="2274"/>
      <c r="U62" s="2274">
        <v>3032000000000</v>
      </c>
      <c r="V62" s="2274">
        <v>3241000000000</v>
      </c>
      <c r="W62" s="2274">
        <v>3909000000000</v>
      </c>
      <c r="X62" s="2274">
        <v>4018000000000</v>
      </c>
      <c r="Y62" s="2270"/>
      <c r="Z62" s="2270"/>
      <c r="AA62" s="12"/>
      <c r="AB62" s="12"/>
      <c r="AC62" s="12"/>
      <c r="AD62" s="12"/>
      <c r="AE62" s="12"/>
      <c r="AF62" s="12"/>
      <c r="AG62" s="12"/>
      <c r="AH62" s="12"/>
      <c r="AI62" s="12"/>
      <c r="AJ62" s="12"/>
    </row>
    <row r="63" spans="1:36">
      <c r="P63" s="2290"/>
      <c r="Q63" s="2290"/>
    </row>
    <row r="64" spans="1:36">
      <c r="B64" s="2270"/>
      <c r="C64" s="2270"/>
      <c r="D64" s="2278" t="s">
        <v>139</v>
      </c>
      <c r="E64" s="2278" t="s">
        <v>139</v>
      </c>
      <c r="F64" s="2278" t="s">
        <v>139</v>
      </c>
      <c r="G64" s="2278" t="s">
        <v>139</v>
      </c>
      <c r="H64" s="2278" t="s">
        <v>139</v>
      </c>
      <c r="I64" s="2278" t="s">
        <v>138</v>
      </c>
      <c r="J64" s="2278" t="s">
        <v>139</v>
      </c>
      <c r="K64" s="2278" t="s">
        <v>138</v>
      </c>
      <c r="L64" s="2278" t="s">
        <v>139</v>
      </c>
      <c r="M64" s="2278" t="s">
        <v>139</v>
      </c>
      <c r="N64" s="2278" t="s">
        <v>139</v>
      </c>
      <c r="O64" s="2278" t="s">
        <v>139</v>
      </c>
      <c r="P64" s="2278" t="s">
        <v>139</v>
      </c>
      <c r="Q64" s="2278" t="s">
        <v>139</v>
      </c>
      <c r="R64" s="2278" t="s">
        <v>139</v>
      </c>
      <c r="S64" s="2278" t="s">
        <v>139</v>
      </c>
      <c r="T64" s="2278" t="s">
        <v>139</v>
      </c>
      <c r="U64" s="2278" t="s">
        <v>139</v>
      </c>
      <c r="V64" s="2278" t="s">
        <v>139</v>
      </c>
      <c r="W64" s="2278" t="s">
        <v>139</v>
      </c>
      <c r="X64" s="2278" t="s">
        <v>139</v>
      </c>
      <c r="Y64" s="2270"/>
      <c r="Z64" s="2270"/>
      <c r="AA64" s="3"/>
      <c r="AB64" s="3"/>
      <c r="AC64" s="3"/>
      <c r="AD64" s="3"/>
      <c r="AE64" s="3"/>
      <c r="AF64" s="3"/>
      <c r="AG64" s="3"/>
      <c r="AH64" s="3"/>
      <c r="AI64" s="3"/>
      <c r="AJ64" s="3"/>
    </row>
    <row r="66" spans="2:24">
      <c r="D66" s="2154"/>
      <c r="E66" s="2154"/>
      <c r="F66" s="2154"/>
      <c r="G66" s="2154"/>
      <c r="H66" s="2154"/>
      <c r="I66" s="2154"/>
      <c r="J66" s="2154"/>
      <c r="K66" s="2154"/>
      <c r="L66" s="2154"/>
      <c r="M66" s="2154"/>
      <c r="N66" s="2154"/>
      <c r="O66" s="2154"/>
      <c r="P66" s="2154"/>
      <c r="Q66" s="2154"/>
      <c r="R66" s="2154"/>
      <c r="S66" s="2154"/>
      <c r="T66" s="2154"/>
      <c r="U66" s="2154"/>
      <c r="V66" s="2154"/>
      <c r="W66" s="2154"/>
      <c r="X66" s="2154"/>
    </row>
    <row r="67" spans="2:24">
      <c r="B67" s="2147" t="s">
        <v>140</v>
      </c>
      <c r="D67" s="2154">
        <f t="shared" ref="D67:X67" si="1">D6-D7-D16</f>
        <v>0</v>
      </c>
      <c r="E67" s="2154">
        <f t="shared" si="1"/>
        <v>0</v>
      </c>
      <c r="F67" s="2154">
        <f t="shared" si="1"/>
        <v>0</v>
      </c>
      <c r="G67" s="2154">
        <f t="shared" si="1"/>
        <v>0</v>
      </c>
      <c r="H67" s="2154">
        <f t="shared" si="1"/>
        <v>0</v>
      </c>
      <c r="I67" s="2154">
        <f t="shared" si="1"/>
        <v>0</v>
      </c>
      <c r="J67" s="2154">
        <f t="shared" si="1"/>
        <v>0</v>
      </c>
      <c r="K67" s="2154">
        <f t="shared" si="1"/>
        <v>0</v>
      </c>
      <c r="L67" s="2154">
        <f t="shared" si="1"/>
        <v>-1000000000</v>
      </c>
      <c r="M67" s="2154">
        <f t="shared" si="1"/>
        <v>1000000000</v>
      </c>
      <c r="N67" s="2154">
        <f t="shared" si="1"/>
        <v>0</v>
      </c>
      <c r="O67" s="2154">
        <f t="shared" si="1"/>
        <v>0</v>
      </c>
      <c r="P67" s="2154">
        <f t="shared" si="1"/>
        <v>0</v>
      </c>
      <c r="Q67" s="2154">
        <f t="shared" si="1"/>
        <v>0</v>
      </c>
      <c r="R67" s="2154">
        <f t="shared" si="1"/>
        <v>9.765625E-4</v>
      </c>
      <c r="S67" s="2154">
        <f t="shared" si="1"/>
        <v>1000000000</v>
      </c>
      <c r="T67" s="2154">
        <f t="shared" si="1"/>
        <v>0</v>
      </c>
      <c r="U67" s="2154">
        <f t="shared" si="1"/>
        <v>0</v>
      </c>
      <c r="V67" s="2154">
        <f t="shared" si="1"/>
        <v>0</v>
      </c>
      <c r="W67" s="2154">
        <f t="shared" si="1"/>
        <v>0</v>
      </c>
      <c r="X67" s="2154">
        <f t="shared" si="1"/>
        <v>-1000000000</v>
      </c>
    </row>
    <row r="68" spans="2:24">
      <c r="B68" s="2147" t="s">
        <v>824</v>
      </c>
      <c r="D68" s="2154">
        <f>D7-D8-D14-D15</f>
        <v>0</v>
      </c>
      <c r="E68" s="2154">
        <f t="shared" ref="E68:X68" si="2">E7-E8-E14-E15</f>
        <v>0</v>
      </c>
      <c r="F68" s="2154">
        <f t="shared" si="2"/>
        <v>0</v>
      </c>
      <c r="G68" s="2154">
        <f t="shared" si="2"/>
        <v>0</v>
      </c>
      <c r="H68" s="2154">
        <f t="shared" si="2"/>
        <v>0</v>
      </c>
      <c r="I68" s="2154">
        <f t="shared" si="2"/>
        <v>-1000000000</v>
      </c>
      <c r="J68" s="2154">
        <f t="shared" si="2"/>
        <v>0</v>
      </c>
      <c r="K68" s="2154">
        <f t="shared" si="2"/>
        <v>-1000000000</v>
      </c>
      <c r="L68" s="2154">
        <f t="shared" si="2"/>
        <v>0</v>
      </c>
      <c r="M68" s="2154">
        <f t="shared" si="2"/>
        <v>0</v>
      </c>
      <c r="N68" s="2154">
        <f t="shared" si="2"/>
        <v>0</v>
      </c>
      <c r="O68" s="2154">
        <f t="shared" si="2"/>
        <v>0</v>
      </c>
      <c r="P68" s="2154">
        <f t="shared" si="2"/>
        <v>0</v>
      </c>
      <c r="Q68" s="2154">
        <f t="shared" si="2"/>
        <v>0</v>
      </c>
      <c r="R68" s="2154">
        <f t="shared" si="2"/>
        <v>9.765625E-4</v>
      </c>
      <c r="S68" s="2154">
        <f t="shared" si="2"/>
        <v>0</v>
      </c>
      <c r="T68" s="2154">
        <f>T7-T8-T14-T15</f>
        <v>0</v>
      </c>
      <c r="U68" s="2154">
        <f t="shared" si="2"/>
        <v>0</v>
      </c>
      <c r="V68" s="2154">
        <f t="shared" si="2"/>
        <v>1000000000</v>
      </c>
      <c r="W68" s="2154">
        <f t="shared" si="2"/>
        <v>0</v>
      </c>
      <c r="X68" s="2154">
        <f t="shared" si="2"/>
        <v>1000000000</v>
      </c>
    </row>
    <row r="69" spans="2:24">
      <c r="B69" s="2147" t="s">
        <v>617</v>
      </c>
      <c r="D69" s="2154">
        <f>D8-D9-D11-D10-D12</f>
        <v>0</v>
      </c>
      <c r="E69" s="2154">
        <f t="shared" ref="E69:S69" si="3">E8-E9-E11-E10-E12</f>
        <v>0</v>
      </c>
      <c r="F69" s="2154">
        <f t="shared" si="3"/>
        <v>1000000000</v>
      </c>
      <c r="G69" s="2154">
        <f t="shared" si="3"/>
        <v>-1000000000</v>
      </c>
      <c r="H69" s="2154">
        <f t="shared" si="3"/>
        <v>100000000</v>
      </c>
      <c r="I69" s="2154">
        <f t="shared" si="3"/>
        <v>0</v>
      </c>
      <c r="J69" s="2154">
        <f t="shared" si="3"/>
        <v>-1000000000</v>
      </c>
      <c r="K69" s="2154">
        <f t="shared" si="3"/>
        <v>-1000000000</v>
      </c>
      <c r="L69" s="2154">
        <f t="shared" si="3"/>
        <v>0</v>
      </c>
      <c r="M69" s="2154">
        <f t="shared" si="3"/>
        <v>0</v>
      </c>
      <c r="N69" s="2154">
        <f t="shared" si="3"/>
        <v>0</v>
      </c>
      <c r="O69" s="2154">
        <f t="shared" si="3"/>
        <v>0</v>
      </c>
      <c r="P69" s="2154">
        <f t="shared" si="3"/>
        <v>1000000000</v>
      </c>
      <c r="Q69" s="2154">
        <f t="shared" si="3"/>
        <v>-1000000000</v>
      </c>
      <c r="R69" s="2154">
        <f t="shared" si="3"/>
        <v>0</v>
      </c>
      <c r="S69" s="2154">
        <f t="shared" si="3"/>
        <v>1000000000</v>
      </c>
      <c r="T69" s="2154">
        <f>T8-T9-T11-T10-T12</f>
        <v>0</v>
      </c>
      <c r="U69" s="2154">
        <f t="shared" ref="U69:X69" si="4">U8-U9-U11-U10-U12-U13</f>
        <v>0</v>
      </c>
      <c r="V69" s="2154">
        <f t="shared" si="4"/>
        <v>0</v>
      </c>
      <c r="W69" s="2154">
        <f t="shared" si="4"/>
        <v>0</v>
      </c>
      <c r="X69" s="2154">
        <f t="shared" si="4"/>
        <v>-1000000000</v>
      </c>
    </row>
    <row r="70" spans="2:24">
      <c r="B70" s="2147" t="s">
        <v>143</v>
      </c>
      <c r="D70" s="2154">
        <f>D16-D17-D18</f>
        <v>1000000000</v>
      </c>
      <c r="E70" s="2154">
        <f t="shared" ref="E70:X70" si="5">E16-E17-E18</f>
        <v>0</v>
      </c>
      <c r="F70" s="2154">
        <f t="shared" si="5"/>
        <v>0</v>
      </c>
      <c r="G70" s="2154">
        <f t="shared" si="5"/>
        <v>0</v>
      </c>
      <c r="H70" s="2154">
        <f t="shared" si="5"/>
        <v>0</v>
      </c>
      <c r="I70" s="2154">
        <f t="shared" si="5"/>
        <v>0</v>
      </c>
      <c r="J70" s="2154">
        <f t="shared" si="5"/>
        <v>0</v>
      </c>
      <c r="K70" s="2154">
        <f t="shared" si="5"/>
        <v>0</v>
      </c>
      <c r="L70" s="2154">
        <f t="shared" si="5"/>
        <v>1000000000</v>
      </c>
      <c r="M70" s="2154">
        <f t="shared" si="5"/>
        <v>-1000000000</v>
      </c>
      <c r="N70" s="2154">
        <f t="shared" si="5"/>
        <v>0</v>
      </c>
      <c r="O70" s="2154">
        <f t="shared" si="5"/>
        <v>1000000000</v>
      </c>
      <c r="P70" s="2154">
        <f t="shared" si="5"/>
        <v>0</v>
      </c>
      <c r="Q70" s="2154">
        <f t="shared" si="5"/>
        <v>-1000000000</v>
      </c>
      <c r="R70" s="2154">
        <f t="shared" si="5"/>
        <v>0</v>
      </c>
      <c r="S70" s="2154">
        <f t="shared" si="5"/>
        <v>0</v>
      </c>
      <c r="T70" s="2154">
        <f>T16-T17-T18</f>
        <v>0</v>
      </c>
      <c r="U70" s="2154">
        <f t="shared" si="5"/>
        <v>0</v>
      </c>
      <c r="V70" s="2154">
        <f t="shared" si="5"/>
        <v>-1000000000</v>
      </c>
      <c r="W70" s="2154">
        <f t="shared" si="5"/>
        <v>0</v>
      </c>
      <c r="X70" s="2154">
        <f t="shared" si="5"/>
        <v>0</v>
      </c>
    </row>
    <row r="71" spans="2:24">
      <c r="B71" s="2147" t="s">
        <v>619</v>
      </c>
      <c r="D71" s="2154">
        <f>D20-D21-D26-D35-D30</f>
        <v>0</v>
      </c>
      <c r="E71" s="2154">
        <f t="shared" ref="E71:X71" si="6">E20-E21-E26-E35-E30</f>
        <v>0</v>
      </c>
      <c r="F71" s="2154">
        <f t="shared" si="6"/>
        <v>0</v>
      </c>
      <c r="G71" s="2154">
        <f t="shared" si="6"/>
        <v>0</v>
      </c>
      <c r="H71" s="2154">
        <f t="shared" si="6"/>
        <v>0</v>
      </c>
      <c r="I71" s="2154">
        <f t="shared" si="6"/>
        <v>0</v>
      </c>
      <c r="J71" s="2154">
        <f t="shared" si="6"/>
        <v>0</v>
      </c>
      <c r="K71" s="2154">
        <f t="shared" si="6"/>
        <v>0</v>
      </c>
      <c r="L71" s="2154">
        <f t="shared" si="6"/>
        <v>0</v>
      </c>
      <c r="M71" s="2154">
        <f t="shared" si="6"/>
        <v>0</v>
      </c>
      <c r="N71" s="2154">
        <f t="shared" si="6"/>
        <v>0</v>
      </c>
      <c r="O71" s="2154">
        <f t="shared" si="6"/>
        <v>0</v>
      </c>
      <c r="P71" s="2154">
        <f t="shared" si="6"/>
        <v>0</v>
      </c>
      <c r="Q71" s="2154">
        <f t="shared" si="6"/>
        <v>1000000000</v>
      </c>
      <c r="R71" s="2154">
        <f t="shared" si="6"/>
        <v>0</v>
      </c>
      <c r="S71" s="2154">
        <f t="shared" si="6"/>
        <v>0</v>
      </c>
      <c r="T71" s="2154">
        <f t="shared" si="6"/>
        <v>0</v>
      </c>
      <c r="U71" s="2154">
        <f t="shared" si="6"/>
        <v>0</v>
      </c>
      <c r="V71" s="2154">
        <f t="shared" si="6"/>
        <v>0</v>
      </c>
      <c r="W71" s="2154">
        <f t="shared" si="6"/>
        <v>0</v>
      </c>
      <c r="X71" s="2154">
        <f t="shared" si="6"/>
        <v>-1000000000</v>
      </c>
    </row>
    <row r="72" spans="2:24">
      <c r="B72" s="2147" t="s">
        <v>361</v>
      </c>
      <c r="D72" s="2154">
        <f t="shared" ref="D72:X72" si="7">D21-D22-D23-D24-D25</f>
        <v>0</v>
      </c>
      <c r="E72" s="2154">
        <f t="shared" si="7"/>
        <v>0</v>
      </c>
      <c r="F72" s="2154">
        <f t="shared" si="7"/>
        <v>0</v>
      </c>
      <c r="G72" s="2154">
        <f t="shared" si="7"/>
        <v>0</v>
      </c>
      <c r="H72" s="2154">
        <f>H21-H22-H23-H24-H25</f>
        <v>0</v>
      </c>
      <c r="I72" s="2154">
        <f t="shared" si="7"/>
        <v>0</v>
      </c>
      <c r="J72" s="2154">
        <f t="shared" si="7"/>
        <v>0</v>
      </c>
      <c r="K72" s="2154">
        <f t="shared" si="7"/>
        <v>-1000000000</v>
      </c>
      <c r="L72" s="2154">
        <f t="shared" si="7"/>
        <v>0</v>
      </c>
      <c r="M72" s="2154">
        <f t="shared" si="7"/>
        <v>0</v>
      </c>
      <c r="N72" s="2154">
        <f t="shared" si="7"/>
        <v>0</v>
      </c>
      <c r="O72" s="2154">
        <f t="shared" si="7"/>
        <v>0</v>
      </c>
      <c r="P72" s="2154">
        <f t="shared" si="7"/>
        <v>-1000000000</v>
      </c>
      <c r="Q72" s="2154">
        <f t="shared" si="7"/>
        <v>0</v>
      </c>
      <c r="R72" s="2154">
        <f t="shared" si="7"/>
        <v>0</v>
      </c>
      <c r="S72" s="2154">
        <f t="shared" si="7"/>
        <v>0</v>
      </c>
      <c r="T72" s="2154">
        <f>T21-T22-T23-T24-T25</f>
        <v>0</v>
      </c>
      <c r="U72" s="2154">
        <f t="shared" si="7"/>
        <v>0</v>
      </c>
      <c r="V72" s="2154">
        <f t="shared" si="7"/>
        <v>1000000000</v>
      </c>
      <c r="W72" s="2154">
        <f t="shared" si="7"/>
        <v>1000000000</v>
      </c>
      <c r="X72" s="2154">
        <f t="shared" si="7"/>
        <v>1000000000</v>
      </c>
    </row>
    <row r="73" spans="2:24">
      <c r="B73" s="2147" t="s">
        <v>5189</v>
      </c>
      <c r="D73" s="2154">
        <f>D26-D27-D29</f>
        <v>0</v>
      </c>
      <c r="E73" s="2154">
        <f t="shared" ref="E73:X73" si="8">E26-E27-E29</f>
        <v>0</v>
      </c>
      <c r="F73" s="2154">
        <f t="shared" si="8"/>
        <v>0</v>
      </c>
      <c r="G73" s="2154">
        <f t="shared" si="8"/>
        <v>0</v>
      </c>
      <c r="H73" s="2154">
        <f t="shared" si="8"/>
        <v>0</v>
      </c>
      <c r="I73" s="2154">
        <f t="shared" si="8"/>
        <v>0</v>
      </c>
      <c r="J73" s="2154">
        <f t="shared" si="8"/>
        <v>0</v>
      </c>
      <c r="K73" s="2154">
        <f t="shared" si="8"/>
        <v>0</v>
      </c>
      <c r="L73" s="2154">
        <f t="shared" si="8"/>
        <v>0</v>
      </c>
      <c r="M73" s="2154">
        <f t="shared" si="8"/>
        <v>0</v>
      </c>
      <c r="N73" s="2154">
        <f t="shared" si="8"/>
        <v>0</v>
      </c>
      <c r="O73" s="2154">
        <f t="shared" si="8"/>
        <v>0</v>
      </c>
      <c r="P73" s="2154">
        <f t="shared" si="8"/>
        <v>1000000000</v>
      </c>
      <c r="Q73" s="2154">
        <f t="shared" si="8"/>
        <v>0</v>
      </c>
      <c r="R73" s="2154">
        <f t="shared" si="8"/>
        <v>0</v>
      </c>
      <c r="S73" s="2154">
        <f t="shared" si="8"/>
        <v>0</v>
      </c>
      <c r="T73" s="2154">
        <f>T26-T27-T29</f>
        <v>0</v>
      </c>
      <c r="U73" s="2154">
        <f t="shared" si="8"/>
        <v>1000000000</v>
      </c>
      <c r="V73" s="2154">
        <f t="shared" si="8"/>
        <v>0</v>
      </c>
      <c r="W73" s="2154">
        <f t="shared" si="8"/>
        <v>0</v>
      </c>
      <c r="X73" s="2154">
        <f t="shared" si="8"/>
        <v>0</v>
      </c>
    </row>
    <row r="74" spans="2:24">
      <c r="B74" s="2147" t="s">
        <v>148</v>
      </c>
      <c r="D74" s="2154">
        <f>D41-D42-D51</f>
        <v>0</v>
      </c>
      <c r="E74" s="2154">
        <f t="shared" ref="E74:X74" si="9">E41-E42-E51</f>
        <v>0</v>
      </c>
      <c r="F74" s="2154">
        <f t="shared" si="9"/>
        <v>0</v>
      </c>
      <c r="G74" s="2154">
        <f t="shared" si="9"/>
        <v>0</v>
      </c>
      <c r="H74" s="2154">
        <f t="shared" si="9"/>
        <v>0</v>
      </c>
      <c r="I74" s="2154">
        <f t="shared" si="9"/>
        <v>0</v>
      </c>
      <c r="J74" s="2154">
        <f t="shared" si="9"/>
        <v>-1000000000</v>
      </c>
      <c r="K74" s="2154">
        <f t="shared" si="9"/>
        <v>0</v>
      </c>
      <c r="L74" s="2154">
        <f t="shared" si="9"/>
        <v>1000000000</v>
      </c>
      <c r="M74" s="2154">
        <f t="shared" si="9"/>
        <v>0</v>
      </c>
      <c r="N74" s="2154">
        <f t="shared" si="9"/>
        <v>-1000000000</v>
      </c>
      <c r="O74" s="2154">
        <f t="shared" si="9"/>
        <v>0</v>
      </c>
      <c r="P74" s="2154">
        <f t="shared" si="9"/>
        <v>0</v>
      </c>
      <c r="Q74" s="2154">
        <f t="shared" si="9"/>
        <v>0</v>
      </c>
      <c r="R74" s="2154">
        <f t="shared" si="9"/>
        <v>0</v>
      </c>
      <c r="S74" s="2154">
        <f t="shared" si="9"/>
        <v>0</v>
      </c>
      <c r="T74" s="2154">
        <f>T41-T42-T51</f>
        <v>0</v>
      </c>
      <c r="U74" s="2154">
        <f t="shared" si="9"/>
        <v>0</v>
      </c>
      <c r="V74" s="2154">
        <f t="shared" si="9"/>
        <v>0</v>
      </c>
      <c r="W74" s="2154">
        <f t="shared" si="9"/>
        <v>0</v>
      </c>
      <c r="X74" s="2154">
        <f t="shared" si="9"/>
        <v>0</v>
      </c>
    </row>
    <row r="75" spans="2:24">
      <c r="B75" s="2147" t="s">
        <v>528</v>
      </c>
      <c r="D75" s="2154">
        <f>D42-D43-D48-D49-D50</f>
        <v>0</v>
      </c>
      <c r="E75" s="2154">
        <f t="shared" ref="E75:X75" si="10">E42-E43-E48-E49-E50</f>
        <v>0</v>
      </c>
      <c r="F75" s="2154">
        <f t="shared" si="10"/>
        <v>0</v>
      </c>
      <c r="G75" s="2154">
        <f t="shared" si="10"/>
        <v>1000000000</v>
      </c>
      <c r="H75" s="2154">
        <f t="shared" si="10"/>
        <v>0</v>
      </c>
      <c r="I75" s="2154">
        <f t="shared" si="10"/>
        <v>0</v>
      </c>
      <c r="J75" s="2154">
        <f t="shared" si="10"/>
        <v>0</v>
      </c>
      <c r="K75" s="2154">
        <f t="shared" si="10"/>
        <v>1000000000</v>
      </c>
      <c r="L75" s="2154">
        <f t="shared" si="10"/>
        <v>0</v>
      </c>
      <c r="M75" s="2154">
        <f t="shared" si="10"/>
        <v>1000000000</v>
      </c>
      <c r="N75" s="2154">
        <f t="shared" si="10"/>
        <v>1000000000</v>
      </c>
      <c r="O75" s="2154">
        <f t="shared" si="10"/>
        <v>0</v>
      </c>
      <c r="P75" s="2154">
        <f t="shared" si="10"/>
        <v>0</v>
      </c>
      <c r="Q75" s="2154">
        <f t="shared" si="10"/>
        <v>0</v>
      </c>
      <c r="R75" s="2154">
        <f t="shared" si="10"/>
        <v>0</v>
      </c>
      <c r="S75" s="2154">
        <f t="shared" si="10"/>
        <v>1000000000</v>
      </c>
      <c r="T75" s="2154">
        <f>T42-T43-T48-T49-T50</f>
        <v>0</v>
      </c>
      <c r="U75" s="2154">
        <f t="shared" si="10"/>
        <v>0</v>
      </c>
      <c r="V75" s="2154">
        <f t="shared" si="10"/>
        <v>0</v>
      </c>
      <c r="W75" s="2154">
        <f t="shared" si="10"/>
        <v>0</v>
      </c>
      <c r="X75" s="2154">
        <f t="shared" si="10"/>
        <v>-1000000000</v>
      </c>
    </row>
    <row r="76" spans="2:24">
      <c r="B76" s="2147" t="s">
        <v>2986</v>
      </c>
      <c r="D76" s="2154">
        <f>D43-D44-D45-D46</f>
        <v>0</v>
      </c>
      <c r="E76" s="2154">
        <f t="shared" ref="E76:S76" si="11">E43-E44-E45-E46</f>
        <v>-1000000000</v>
      </c>
      <c r="F76" s="2154">
        <f t="shared" si="11"/>
        <v>0</v>
      </c>
      <c r="G76" s="2154">
        <f t="shared" si="11"/>
        <v>0</v>
      </c>
      <c r="H76" s="2154">
        <f t="shared" si="11"/>
        <v>100000000</v>
      </c>
      <c r="I76" s="2154">
        <f t="shared" si="11"/>
        <v>0</v>
      </c>
      <c r="J76" s="2154">
        <f t="shared" si="11"/>
        <v>0</v>
      </c>
      <c r="K76" s="2154">
        <f t="shared" si="11"/>
        <v>0</v>
      </c>
      <c r="L76" s="2154">
        <f t="shared" si="11"/>
        <v>0</v>
      </c>
      <c r="M76" s="2154">
        <f t="shared" si="11"/>
        <v>0</v>
      </c>
      <c r="N76" s="2154">
        <f t="shared" si="11"/>
        <v>0</v>
      </c>
      <c r="O76" s="2154">
        <f t="shared" si="11"/>
        <v>0</v>
      </c>
      <c r="P76" s="2154">
        <f t="shared" si="11"/>
        <v>0</v>
      </c>
      <c r="Q76" s="2154">
        <f t="shared" si="11"/>
        <v>1000000000</v>
      </c>
      <c r="R76" s="2154">
        <f t="shared" si="11"/>
        <v>0</v>
      </c>
      <c r="S76" s="2154">
        <f t="shared" si="11"/>
        <v>0</v>
      </c>
      <c r="T76" s="2154">
        <f>T43-T44-T45-T46</f>
        <v>0</v>
      </c>
      <c r="U76" s="2154">
        <f>U43-U44-U45-U46-U47</f>
        <v>0</v>
      </c>
      <c r="V76" s="2154">
        <f t="shared" ref="V76:X76" si="12">V43-V44-V45-V46-V47</f>
        <v>1000000000</v>
      </c>
      <c r="W76" s="2154">
        <f t="shared" si="12"/>
        <v>0</v>
      </c>
      <c r="X76" s="2154">
        <f t="shared" si="12"/>
        <v>1000000000</v>
      </c>
    </row>
    <row r="77" spans="2:24">
      <c r="B77" s="2147" t="s">
        <v>297</v>
      </c>
      <c r="D77" s="2154">
        <f>D51-D52-D58</f>
        <v>1000000000</v>
      </c>
      <c r="E77" s="2154">
        <f t="shared" ref="E77:X77" si="13">E51-E52-E58</f>
        <v>0</v>
      </c>
      <c r="F77" s="2154">
        <f t="shared" si="13"/>
        <v>100000000</v>
      </c>
      <c r="G77" s="2154">
        <f t="shared" si="13"/>
        <v>0</v>
      </c>
      <c r="H77" s="2154">
        <f t="shared" si="13"/>
        <v>0</v>
      </c>
      <c r="I77" s="2154">
        <f t="shared" si="13"/>
        <v>0</v>
      </c>
      <c r="J77" s="2154">
        <f t="shared" si="13"/>
        <v>0</v>
      </c>
      <c r="K77" s="2154">
        <f t="shared" si="13"/>
        <v>0</v>
      </c>
      <c r="L77" s="2154">
        <f t="shared" si="13"/>
        <v>0</v>
      </c>
      <c r="M77" s="2154">
        <f t="shared" si="13"/>
        <v>0</v>
      </c>
      <c r="N77" s="2154">
        <f t="shared" si="13"/>
        <v>0</v>
      </c>
      <c r="O77" s="2154">
        <f t="shared" si="13"/>
        <v>0</v>
      </c>
      <c r="P77" s="2154">
        <f t="shared" si="13"/>
        <v>0</v>
      </c>
      <c r="Q77" s="2154">
        <f t="shared" si="13"/>
        <v>0</v>
      </c>
      <c r="R77" s="2154">
        <f t="shared" si="13"/>
        <v>0</v>
      </c>
      <c r="S77" s="2154">
        <f t="shared" si="13"/>
        <v>-1000000000</v>
      </c>
      <c r="T77" s="2154">
        <f>T51-T52-T58</f>
        <v>0</v>
      </c>
      <c r="U77" s="2154">
        <f t="shared" si="13"/>
        <v>0</v>
      </c>
      <c r="V77" s="2154">
        <f t="shared" si="13"/>
        <v>0</v>
      </c>
      <c r="W77" s="2154">
        <f t="shared" si="13"/>
        <v>0</v>
      </c>
      <c r="X77" s="2154">
        <f t="shared" si="13"/>
        <v>0</v>
      </c>
    </row>
    <row r="78" spans="2:24" ht="19.5" thickBot="1"/>
    <row r="79" spans="2:24" ht="19.5" thickBot="1">
      <c r="B79" s="2147" t="s">
        <v>3935</v>
      </c>
      <c r="D79" s="2291">
        <v>10030460000000</v>
      </c>
      <c r="E79" s="2292">
        <v>11132045000000</v>
      </c>
      <c r="F79" s="2292">
        <v>11989647000000</v>
      </c>
      <c r="G79" s="2292">
        <v>13843252000000</v>
      </c>
      <c r="H79" s="2292">
        <v>15271320000000</v>
      </c>
      <c r="I79" s="2292">
        <v>17877944000000</v>
      </c>
      <c r="J79" s="2292">
        <v>20166191000000</v>
      </c>
      <c r="K79" s="2292">
        <v>23351067000000</v>
      </c>
      <c r="L79" s="2292">
        <v>28176384000000</v>
      </c>
      <c r="M79" s="2292">
        <v>33596351000000.004</v>
      </c>
      <c r="N79" s="2292">
        <v>37412385000000</v>
      </c>
      <c r="O79" s="2292">
        <v>45944057000000</v>
      </c>
      <c r="P79" s="2292">
        <v>53202465000000</v>
      </c>
      <c r="Q79" s="2292">
        <v>59307857000000</v>
      </c>
      <c r="R79" s="2292">
        <v>59307857000000</v>
      </c>
      <c r="S79" s="2293">
        <v>67398104000000.008</v>
      </c>
      <c r="T79" s="2293">
        <v>67398104000001</v>
      </c>
      <c r="U79" s="2294">
        <v>77878289200000</v>
      </c>
      <c r="V79" s="2294">
        <v>87158218000000</v>
      </c>
      <c r="W79" s="2294">
        <v>95927551000000</v>
      </c>
      <c r="X79" s="2294">
        <v>105625188000000</v>
      </c>
    </row>
    <row r="80" spans="2:24">
      <c r="B80" s="2147" t="s">
        <v>151</v>
      </c>
      <c r="D80" s="2147">
        <f>(D6/D79)*100</f>
        <v>15.702171186565723</v>
      </c>
      <c r="E80" s="2147">
        <f t="shared" ref="E80:S80" si="14">(E6/E79)*100</f>
        <v>17.193606385888664</v>
      </c>
      <c r="F80" s="2147">
        <f t="shared" si="14"/>
        <v>16.422501846801662</v>
      </c>
      <c r="G80" s="2147">
        <f t="shared" si="14"/>
        <v>16.354538658979841</v>
      </c>
      <c r="H80" s="2147">
        <f t="shared" si="14"/>
        <v>19.109677486949391</v>
      </c>
      <c r="I80" s="2147">
        <f t="shared" si="14"/>
        <v>17.597101769644205</v>
      </c>
      <c r="J80" s="2147">
        <f t="shared" si="14"/>
        <v>16.071453453951715</v>
      </c>
      <c r="K80" s="2147">
        <f t="shared" si="14"/>
        <v>15.519633428314004</v>
      </c>
      <c r="L80" s="2147">
        <f t="shared" si="14"/>
        <v>13.486471507486552</v>
      </c>
      <c r="M80" s="2147">
        <f t="shared" si="14"/>
        <v>13.531231412601921</v>
      </c>
      <c r="N80" s="2147">
        <f t="shared" si="14"/>
        <v>13.728074272730808</v>
      </c>
      <c r="O80" s="2147">
        <f t="shared" si="14"/>
        <v>15.716940278042927</v>
      </c>
      <c r="P80" s="2147">
        <f t="shared" si="14"/>
        <v>14.606466072577653</v>
      </c>
      <c r="Q80" s="2147">
        <f t="shared" si="14"/>
        <v>13.902036622230341</v>
      </c>
      <c r="R80" s="2147">
        <f t="shared" si="14"/>
        <v>16.321446246152515</v>
      </c>
      <c r="S80" s="2147">
        <f t="shared" si="14"/>
        <v>13.157640161509587</v>
      </c>
      <c r="T80" s="2147">
        <f>(T6/T79)*100</f>
        <v>16.124340827154189</v>
      </c>
      <c r="U80" s="2147">
        <f>(U6/U79)*100</f>
        <v>14.182386533473053</v>
      </c>
      <c r="V80" s="2147">
        <f t="shared" ref="V80:X80" si="15">(V6/V79)*100</f>
        <v>14.51039304176687</v>
      </c>
      <c r="W80" s="2147">
        <f t="shared" si="15"/>
        <v>14.635003034738164</v>
      </c>
      <c r="X80" s="2147">
        <f t="shared" si="15"/>
        <v>15.694173249660867</v>
      </c>
    </row>
    <row r="81" spans="2:24">
      <c r="B81" s="2147" t="s">
        <v>152</v>
      </c>
      <c r="D81" s="2147">
        <f>(D19/D79)*100</f>
        <v>23.817452041082863</v>
      </c>
      <c r="E81" s="2147">
        <f t="shared" ref="E81:S81" si="16">(E19/E79)*100</f>
        <v>19.5831044520571</v>
      </c>
      <c r="F81" s="2147">
        <f t="shared" si="16"/>
        <v>20.968090219837165</v>
      </c>
      <c r="G81" s="2147">
        <f t="shared" si="16"/>
        <v>20.045867835101173</v>
      </c>
      <c r="H81" s="2147">
        <f t="shared" si="16"/>
        <v>20.53260621871587</v>
      </c>
      <c r="I81" s="2147">
        <f t="shared" si="16"/>
        <v>18.083734908219871</v>
      </c>
      <c r="J81" s="2147">
        <f t="shared" si="16"/>
        <v>16.006989123528584</v>
      </c>
      <c r="K81" s="2147">
        <f t="shared" si="16"/>
        <v>16.461774530474347</v>
      </c>
      <c r="L81" s="2147">
        <f t="shared" si="16"/>
        <v>15.559129233900276</v>
      </c>
      <c r="M81" s="2147">
        <f t="shared" si="16"/>
        <v>15.492753960095248</v>
      </c>
      <c r="N81" s="2147">
        <f t="shared" si="16"/>
        <v>18.272024090418189</v>
      </c>
      <c r="O81" s="2147">
        <f t="shared" si="16"/>
        <v>19.371384638496334</v>
      </c>
      <c r="P81" s="2147">
        <f t="shared" si="16"/>
        <v>0</v>
      </c>
      <c r="Q81" s="2147">
        <f t="shared" si="16"/>
        <v>0</v>
      </c>
      <c r="R81" s="2147">
        <f t="shared" si="16"/>
        <v>21.944647232827851</v>
      </c>
      <c r="S81" s="2147">
        <f t="shared" si="16"/>
        <v>0</v>
      </c>
      <c r="T81" s="2147">
        <f>(T19/T79)*100</f>
        <v>23.818770925662481</v>
      </c>
      <c r="U81" s="2147">
        <f>(U19/U79)*100</f>
        <v>18.463425619267458</v>
      </c>
      <c r="V81" s="2147">
        <f t="shared" ref="V81:X81" si="17">(V19/V79)*100</f>
        <v>0</v>
      </c>
      <c r="W81" s="2147">
        <f t="shared" si="17"/>
        <v>0</v>
      </c>
      <c r="X81" s="2147">
        <f t="shared" si="17"/>
        <v>0</v>
      </c>
    </row>
    <row r="84" spans="2:24">
      <c r="B84" s="2147" t="s">
        <v>153</v>
      </c>
      <c r="D84" s="2147" t="b">
        <f>IF(D30&lt;0, (D30/D19)*100)</f>
        <v>0</v>
      </c>
      <c r="E84" s="2147" t="b">
        <f>IF(E30&lt;0, (E30/E19)*100)</f>
        <v>0</v>
      </c>
      <c r="F84" s="2147" t="b">
        <f t="shared" ref="F84:X84" si="18">IF(F30&lt;0, (F30/F19)*100)</f>
        <v>0</v>
      </c>
      <c r="G84" s="2147" t="b">
        <f t="shared" si="18"/>
        <v>0</v>
      </c>
      <c r="H84" s="2147" t="b">
        <f t="shared" si="18"/>
        <v>0</v>
      </c>
      <c r="I84" s="2147" t="b">
        <f t="shared" si="18"/>
        <v>0</v>
      </c>
      <c r="J84" s="2147" t="b">
        <f t="shared" si="18"/>
        <v>0</v>
      </c>
      <c r="K84" s="2147" t="b">
        <f t="shared" si="18"/>
        <v>0</v>
      </c>
      <c r="L84" s="2147" t="b">
        <f t="shared" si="18"/>
        <v>0</v>
      </c>
      <c r="M84" s="2147" t="b">
        <f t="shared" si="18"/>
        <v>0</v>
      </c>
      <c r="N84" s="2147" t="b">
        <f t="shared" si="18"/>
        <v>0</v>
      </c>
      <c r="O84" s="2147" t="b">
        <f t="shared" si="18"/>
        <v>0</v>
      </c>
      <c r="P84" s="2147" t="b">
        <f t="shared" si="18"/>
        <v>0</v>
      </c>
      <c r="Q84" s="2147" t="b">
        <f t="shared" si="18"/>
        <v>0</v>
      </c>
      <c r="R84" s="2147" t="b">
        <f t="shared" si="18"/>
        <v>0</v>
      </c>
      <c r="S84" s="2147" t="b">
        <f t="shared" si="18"/>
        <v>0</v>
      </c>
      <c r="T84" s="2147" t="b">
        <f t="shared" si="18"/>
        <v>0</v>
      </c>
      <c r="U84" s="2147" t="b">
        <f t="shared" si="18"/>
        <v>0</v>
      </c>
      <c r="V84" s="2147" t="b">
        <f t="shared" si="18"/>
        <v>0</v>
      </c>
      <c r="W84" s="2147" t="b">
        <f t="shared" si="18"/>
        <v>0</v>
      </c>
      <c r="X84" s="2147" t="b">
        <f t="shared" si="18"/>
        <v>0</v>
      </c>
    </row>
    <row r="85" spans="2:24">
      <c r="D85" s="2154"/>
      <c r="E85" s="2154"/>
      <c r="F85" s="2154"/>
      <c r="G85" s="2154"/>
      <c r="H85" s="2154"/>
      <c r="I85" s="2154"/>
      <c r="J85" s="2154"/>
      <c r="K85" s="2154"/>
      <c r="L85" s="2154"/>
      <c r="M85" s="2154"/>
      <c r="N85" s="2154"/>
      <c r="O85" s="2154"/>
      <c r="P85" s="2154"/>
      <c r="Q85" s="2154"/>
      <c r="R85" s="2154"/>
      <c r="S85" s="2154"/>
      <c r="T85" s="2154"/>
      <c r="U85" s="2154"/>
      <c r="V85" s="2154"/>
      <c r="W85" s="2154"/>
      <c r="X85" s="2154"/>
    </row>
    <row r="88" spans="2:24">
      <c r="T88" s="2154"/>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K6" activePane="bottomRight" state="frozen"/>
      <selection pane="topRight" activeCell="C1" sqref="C1"/>
      <selection pane="bottomLeft" activeCell="A6" sqref="A6"/>
      <selection pane="bottomRight" activeCell="Q39" sqref="Q39"/>
    </sheetView>
  </sheetViews>
  <sheetFormatPr defaultRowHeight="15"/>
  <cols>
    <col min="1" max="1" width="52" bestFit="1" customWidth="1"/>
    <col min="2" max="2" width="42.140625" customWidth="1"/>
    <col min="3" max="3" width="22.42578125" bestFit="1" customWidth="1"/>
    <col min="7" max="7" width="16.5703125" bestFit="1" customWidth="1"/>
    <col min="8" max="10" width="17.570312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6711</v>
      </c>
      <c r="B1" s="82" t="s">
        <v>6712</v>
      </c>
      <c r="C1" s="82"/>
      <c r="D1" s="27"/>
      <c r="E1" s="27"/>
      <c r="F1" s="27"/>
      <c r="G1" s="27"/>
      <c r="H1" s="27"/>
      <c r="I1" s="27"/>
      <c r="J1" s="27"/>
      <c r="K1" s="27"/>
      <c r="L1" s="27"/>
      <c r="M1" s="27"/>
      <c r="N1" s="27"/>
      <c r="O1" s="28"/>
      <c r="P1" s="28"/>
      <c r="Q1" s="28"/>
      <c r="R1" s="29"/>
      <c r="S1" s="28"/>
      <c r="T1" s="28"/>
      <c r="U1" s="28"/>
      <c r="V1" s="28"/>
      <c r="W1" s="28"/>
      <c r="X1" s="2"/>
      <c r="Y1" s="2"/>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6713</v>
      </c>
      <c r="C2" s="30"/>
      <c r="D2" s="28"/>
      <c r="E2" s="28"/>
      <c r="F2" s="28"/>
      <c r="G2" s="28"/>
      <c r="H2" s="28"/>
      <c r="I2" s="28"/>
      <c r="J2" s="28"/>
      <c r="K2" s="28"/>
      <c r="L2" s="28"/>
      <c r="M2" s="28"/>
      <c r="N2" s="28"/>
      <c r="O2" s="28"/>
      <c r="P2" s="28"/>
      <c r="Q2" s="28"/>
      <c r="R2" s="31"/>
      <c r="S2" s="32"/>
      <c r="T2" s="33"/>
      <c r="U2" s="28"/>
      <c r="V2" s="28"/>
      <c r="W2" s="28"/>
      <c r="X2" s="2"/>
      <c r="Y2" s="2"/>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09">
        <f t="shared" si="0"/>
        <v>832900000000</v>
      </c>
      <c r="T6" s="709">
        <f t="shared" si="0"/>
        <v>914100000000</v>
      </c>
      <c r="U6" s="709">
        <f t="shared" si="0"/>
        <v>1065500000000</v>
      </c>
      <c r="V6" s="709">
        <f t="shared" si="0"/>
        <v>1194500000000</v>
      </c>
      <c r="W6" s="709"/>
      <c r="X6" s="709"/>
      <c r="Y6" s="709"/>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208" t="s">
        <v>36</v>
      </c>
      <c r="B7" s="208" t="s">
        <v>36</v>
      </c>
      <c r="C7" s="345" t="s">
        <v>38</v>
      </c>
      <c r="D7" s="28"/>
      <c r="E7" s="28"/>
      <c r="F7" s="28"/>
      <c r="G7" s="293">
        <v>96000000000</v>
      </c>
      <c r="H7" s="210">
        <v>128122000000</v>
      </c>
      <c r="I7" s="210">
        <v>184642000000</v>
      </c>
      <c r="J7" s="210">
        <v>235225000000</v>
      </c>
      <c r="K7" s="125">
        <v>301618000000</v>
      </c>
      <c r="L7" s="125">
        <v>419700000000</v>
      </c>
      <c r="M7" s="142">
        <v>386300000000</v>
      </c>
      <c r="N7" s="142">
        <v>468300000000</v>
      </c>
      <c r="O7" s="142">
        <v>558200000000</v>
      </c>
      <c r="P7" s="142">
        <v>627300000000</v>
      </c>
      <c r="Q7" s="273">
        <v>634900000000</v>
      </c>
      <c r="R7" s="273">
        <v>639700000000</v>
      </c>
      <c r="S7" s="761">
        <v>832900000000</v>
      </c>
      <c r="T7" s="761">
        <v>914100000000</v>
      </c>
      <c r="U7" s="761">
        <v>1065500000000</v>
      </c>
      <c r="V7" s="761">
        <v>1194500000000</v>
      </c>
      <c r="W7" s="710"/>
      <c r="X7" s="710"/>
      <c r="Y7" s="710"/>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58" t="s">
        <v>731</v>
      </c>
      <c r="B8" s="58" t="s">
        <v>731</v>
      </c>
      <c r="C8" s="58" t="s">
        <v>41</v>
      </c>
      <c r="D8" s="28"/>
      <c r="E8" s="28"/>
      <c r="F8" s="28"/>
      <c r="G8" s="293">
        <v>81720000000</v>
      </c>
      <c r="H8" s="210">
        <v>108000000000</v>
      </c>
      <c r="I8" s="210">
        <v>159707000000</v>
      </c>
      <c r="J8" s="210">
        <v>204721000000</v>
      </c>
      <c r="K8" s="125">
        <v>263394000000</v>
      </c>
      <c r="L8" s="125">
        <v>358100000000</v>
      </c>
      <c r="M8" s="142">
        <v>337400000000</v>
      </c>
      <c r="N8" s="142">
        <v>406400000000</v>
      </c>
      <c r="O8" s="142">
        <v>499800000000</v>
      </c>
      <c r="P8" s="142">
        <v>547800000000</v>
      </c>
      <c r="Q8" s="273">
        <v>551200000000</v>
      </c>
      <c r="R8" s="273">
        <v>561200000000</v>
      </c>
      <c r="S8" s="761">
        <v>702000000000</v>
      </c>
      <c r="T8" s="761">
        <v>788000000000</v>
      </c>
      <c r="U8" s="761">
        <v>941900000000</v>
      </c>
      <c r="V8" s="761">
        <v>1068500000000</v>
      </c>
      <c r="W8" s="710"/>
      <c r="X8" s="710"/>
      <c r="Y8" s="710"/>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6714</v>
      </c>
      <c r="B9" s="64" t="s">
        <v>6715</v>
      </c>
      <c r="C9" s="34" t="s">
        <v>44</v>
      </c>
      <c r="D9" s="28"/>
      <c r="E9" s="28"/>
      <c r="F9" s="28"/>
      <c r="G9" s="298">
        <f>G10+G11</f>
        <v>26758000000</v>
      </c>
      <c r="H9" s="298">
        <f>H10+H11</f>
        <v>29375000000</v>
      </c>
      <c r="I9" s="298">
        <f>I10+I11</f>
        <v>40789000000</v>
      </c>
      <c r="J9" s="298">
        <f>J10+J11</f>
        <v>48963000000</v>
      </c>
      <c r="K9" s="298">
        <f>K10+K11</f>
        <v>69189000000</v>
      </c>
      <c r="L9" s="125">
        <v>93800000000</v>
      </c>
      <c r="M9" s="142">
        <v>77500000000</v>
      </c>
      <c r="N9" s="142">
        <v>91400000000</v>
      </c>
      <c r="O9" s="142">
        <v>115300000000</v>
      </c>
      <c r="P9" s="142">
        <v>123900000000</v>
      </c>
      <c r="Q9" s="273">
        <v>127200000000</v>
      </c>
      <c r="R9" s="273">
        <v>115400000000</v>
      </c>
      <c r="S9" s="761">
        <v>139000000000</v>
      </c>
      <c r="T9" s="761">
        <v>199000000000</v>
      </c>
      <c r="U9" s="761">
        <v>227900000000</v>
      </c>
      <c r="V9" s="761">
        <v>255800000000</v>
      </c>
      <c r="W9" s="710"/>
      <c r="X9" s="710"/>
      <c r="Y9" s="710"/>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5" t="s">
        <v>170</v>
      </c>
      <c r="B10" s="65" t="s">
        <v>4662</v>
      </c>
      <c r="C10" s="34" t="s">
        <v>632</v>
      </c>
      <c r="D10" s="28"/>
      <c r="E10" s="28"/>
      <c r="F10" s="28"/>
      <c r="G10" s="293">
        <v>13521000000</v>
      </c>
      <c r="H10" s="210">
        <v>13213000000</v>
      </c>
      <c r="I10" s="210">
        <v>17325000000</v>
      </c>
      <c r="J10" s="210">
        <v>22791000000</v>
      </c>
      <c r="K10" s="125">
        <v>34782000000</v>
      </c>
      <c r="L10" s="125">
        <v>45900000000</v>
      </c>
      <c r="M10" s="142">
        <v>44500000000</v>
      </c>
      <c r="N10" s="142">
        <v>51000000000</v>
      </c>
      <c r="O10" s="142">
        <v>60200000000</v>
      </c>
      <c r="P10" s="142">
        <v>68100000000</v>
      </c>
      <c r="Q10" s="273">
        <v>72200000000</v>
      </c>
      <c r="R10" s="273">
        <v>75200000000</v>
      </c>
      <c r="S10" s="761">
        <v>100000000000</v>
      </c>
      <c r="T10" s="761">
        <v>138800000000</v>
      </c>
      <c r="U10" s="761">
        <v>164800000000</v>
      </c>
      <c r="V10" s="761">
        <v>191000000000</v>
      </c>
      <c r="W10" s="710"/>
      <c r="X10" s="710"/>
      <c r="Y10" s="710"/>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5" t="s">
        <v>6716</v>
      </c>
      <c r="B11" s="65" t="s">
        <v>6717</v>
      </c>
      <c r="C11" s="34" t="s">
        <v>632</v>
      </c>
      <c r="D11" s="28"/>
      <c r="E11" s="28"/>
      <c r="F11" s="28"/>
      <c r="G11" s="293">
        <v>13237000000</v>
      </c>
      <c r="H11" s="210">
        <v>16162000000</v>
      </c>
      <c r="I11" s="210">
        <v>23464000000</v>
      </c>
      <c r="J11" s="210">
        <v>26172000000</v>
      </c>
      <c r="K11" s="125">
        <v>34407000000</v>
      </c>
      <c r="L11" s="125">
        <v>47900000000</v>
      </c>
      <c r="M11" s="142">
        <v>33000000000</v>
      </c>
      <c r="N11" s="142">
        <v>40400000000</v>
      </c>
      <c r="O11" s="142">
        <v>55100000000</v>
      </c>
      <c r="P11" s="142">
        <v>55800000000</v>
      </c>
      <c r="Q11" s="273">
        <v>55000000000</v>
      </c>
      <c r="R11" s="273">
        <v>40200000000</v>
      </c>
      <c r="S11" s="761">
        <v>39100000000</v>
      </c>
      <c r="T11" s="761">
        <v>60200000000</v>
      </c>
      <c r="U11" s="761">
        <v>63100000000</v>
      </c>
      <c r="V11" s="761">
        <v>64800000000</v>
      </c>
      <c r="W11" s="710"/>
      <c r="X11" s="710"/>
      <c r="Y11" s="710"/>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ht="16.5">
      <c r="A12" s="2618" t="s">
        <v>534</v>
      </c>
      <c r="B12" s="2618" t="s">
        <v>534</v>
      </c>
      <c r="C12" s="2619" t="s">
        <v>44</v>
      </c>
      <c r="D12" s="28"/>
      <c r="E12" s="28"/>
      <c r="F12" s="28"/>
      <c r="G12" s="293"/>
      <c r="H12" s="210"/>
      <c r="I12" s="210"/>
      <c r="J12" s="210"/>
      <c r="K12" s="125"/>
      <c r="L12" s="125"/>
      <c r="M12" s="142"/>
      <c r="N12" s="142"/>
      <c r="O12" s="142"/>
      <c r="P12" s="142"/>
      <c r="Q12" s="273"/>
      <c r="R12" s="273"/>
      <c r="S12" s="761">
        <v>190400000000</v>
      </c>
      <c r="T12" s="761">
        <v>131800000000.00002</v>
      </c>
      <c r="U12" s="761">
        <v>165000000000</v>
      </c>
      <c r="V12" s="761">
        <v>191300000000</v>
      </c>
      <c r="W12" s="710"/>
      <c r="X12" s="710"/>
      <c r="Y12" s="710"/>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ht="16.5">
      <c r="A13" s="64" t="s">
        <v>6718</v>
      </c>
      <c r="B13" s="64" t="s">
        <v>6719</v>
      </c>
      <c r="C13" s="34" t="s">
        <v>44</v>
      </c>
      <c r="D13" s="28"/>
      <c r="E13" s="28"/>
      <c r="F13" s="28"/>
      <c r="G13" s="293">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3">
        <v>193700000000</v>
      </c>
      <c r="R13" s="273">
        <v>184200000000</v>
      </c>
      <c r="S13" s="761"/>
      <c r="T13" s="761"/>
      <c r="U13" s="761"/>
      <c r="V13" s="761"/>
      <c r="W13" s="710"/>
      <c r="X13" s="710"/>
      <c r="Y13" s="710"/>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ht="16.5">
      <c r="A14" s="64" t="s">
        <v>6720</v>
      </c>
      <c r="B14" s="64" t="s">
        <v>6721</v>
      </c>
      <c r="C14" s="34" t="s">
        <v>44</v>
      </c>
      <c r="D14" s="28"/>
      <c r="E14" s="28"/>
      <c r="F14" s="28"/>
      <c r="G14" s="293">
        <v>2032000000</v>
      </c>
      <c r="H14" s="210">
        <v>2293000000</v>
      </c>
      <c r="I14" s="210">
        <v>2718000000</v>
      </c>
      <c r="J14" s="210">
        <v>3122000000</v>
      </c>
      <c r="K14" s="125">
        <v>3889000000</v>
      </c>
      <c r="L14" s="125">
        <v>6700000000</v>
      </c>
      <c r="M14" s="142">
        <v>8400000000</v>
      </c>
      <c r="N14" s="142">
        <v>9500000000</v>
      </c>
      <c r="O14" s="142">
        <v>10700000000</v>
      </c>
      <c r="P14" s="142">
        <v>12600000000</v>
      </c>
      <c r="Q14" s="273">
        <v>12800000000</v>
      </c>
      <c r="R14" s="273">
        <v>12100000000</v>
      </c>
      <c r="S14" s="761">
        <v>16000000000</v>
      </c>
      <c r="T14" s="761">
        <v>25000000000</v>
      </c>
      <c r="U14" s="761">
        <v>24300000000</v>
      </c>
      <c r="V14" s="761">
        <v>27300000000</v>
      </c>
      <c r="W14" s="710"/>
      <c r="X14" s="710"/>
      <c r="Y14" s="710"/>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ht="16.5">
      <c r="A15" s="64" t="s">
        <v>6722</v>
      </c>
      <c r="B15" s="64" t="s">
        <v>6723</v>
      </c>
      <c r="C15" s="34" t="s">
        <v>44</v>
      </c>
      <c r="D15" s="28"/>
      <c r="E15" s="28"/>
      <c r="F15" s="28"/>
      <c r="G15" s="298">
        <f>G16+G18</f>
        <v>23564000000</v>
      </c>
      <c r="H15" s="298">
        <f>H16+H18</f>
        <v>29769000000</v>
      </c>
      <c r="I15" s="298">
        <f>I16+I18</f>
        <v>52384000000</v>
      </c>
      <c r="J15" s="298">
        <f>J16+J18</f>
        <v>73128000000</v>
      </c>
      <c r="K15" s="298">
        <f>K16+K18</f>
        <v>85227000000</v>
      </c>
      <c r="L15" s="125">
        <v>132100000000</v>
      </c>
      <c r="M15" s="142">
        <v>125800000000</v>
      </c>
      <c r="N15" s="142">
        <v>143500000000</v>
      </c>
      <c r="O15" s="142">
        <v>175700000000</v>
      </c>
      <c r="P15" s="142">
        <v>189700000000</v>
      </c>
      <c r="Q15" s="273">
        <v>175800000000</v>
      </c>
      <c r="R15" s="273">
        <v>201300000000</v>
      </c>
      <c r="S15" s="761">
        <v>261800000000</v>
      </c>
      <c r="T15" s="761">
        <v>344400000000</v>
      </c>
      <c r="U15" s="761">
        <v>426700000000</v>
      </c>
      <c r="V15" s="761">
        <v>486400000000</v>
      </c>
      <c r="W15" s="710"/>
      <c r="X15" s="710"/>
      <c r="Y15" s="710"/>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ht="16.5">
      <c r="A16" s="65" t="s">
        <v>161</v>
      </c>
      <c r="B16" s="65" t="s">
        <v>162</v>
      </c>
      <c r="C16" s="34" t="s">
        <v>6724</v>
      </c>
      <c r="D16" s="28"/>
      <c r="E16" s="28"/>
      <c r="F16" s="28"/>
      <c r="G16" s="293">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3">
        <v>128300000000.00002</v>
      </c>
      <c r="R16" s="273">
        <v>139000000000</v>
      </c>
      <c r="S16" s="761">
        <v>178500000000</v>
      </c>
      <c r="T16" s="761">
        <v>235500000000</v>
      </c>
      <c r="U16" s="761">
        <v>294800000000</v>
      </c>
      <c r="V16" s="761">
        <v>338600000000</v>
      </c>
      <c r="W16" s="710"/>
      <c r="X16" s="710"/>
      <c r="Y16" s="710"/>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ht="16.5">
      <c r="A17" s="65" t="s">
        <v>3170</v>
      </c>
      <c r="B17" s="65" t="s">
        <v>3170</v>
      </c>
      <c r="C17" s="34" t="s">
        <v>6724</v>
      </c>
      <c r="D17" s="28"/>
      <c r="E17" s="28"/>
      <c r="F17" s="28"/>
      <c r="G17" s="298"/>
      <c r="H17" s="298"/>
      <c r="I17" s="298"/>
      <c r="J17" s="298"/>
      <c r="K17" s="298"/>
      <c r="L17" s="125">
        <v>13000000000</v>
      </c>
      <c r="M17" s="142">
        <v>21600000000</v>
      </c>
      <c r="N17" s="142">
        <v>28300000000</v>
      </c>
      <c r="O17" s="142">
        <v>33900000000</v>
      </c>
      <c r="P17" s="142">
        <v>38400000000</v>
      </c>
      <c r="Q17" s="273">
        <v>36700000000</v>
      </c>
      <c r="R17" s="273">
        <v>45100000000</v>
      </c>
      <c r="S17" s="761">
        <v>70800000000</v>
      </c>
      <c r="T17" s="761">
        <v>101800000000</v>
      </c>
      <c r="U17" s="761">
        <v>125700000000</v>
      </c>
      <c r="V17" s="761">
        <v>141200000000</v>
      </c>
      <c r="W17" s="710"/>
      <c r="X17" s="710"/>
      <c r="Y17" s="710"/>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ht="16.5">
      <c r="A18" s="65" t="s">
        <v>50</v>
      </c>
      <c r="B18" s="65" t="s">
        <v>50</v>
      </c>
      <c r="C18" s="34" t="s">
        <v>6724</v>
      </c>
      <c r="D18" s="28"/>
      <c r="E18" s="28"/>
      <c r="F18" s="28"/>
      <c r="G18" s="293">
        <v>10966000000</v>
      </c>
      <c r="H18" s="210">
        <v>14961000000</v>
      </c>
      <c r="I18" s="210">
        <v>18580000000</v>
      </c>
      <c r="J18" s="210">
        <v>22731000000</v>
      </c>
      <c r="K18" s="125">
        <v>25844000000</v>
      </c>
      <c r="L18" s="125">
        <v>27000000000</v>
      </c>
      <c r="M18" s="142">
        <v>19500000000</v>
      </c>
      <c r="N18" s="142">
        <v>12400000000</v>
      </c>
      <c r="O18" s="142">
        <v>11700000000</v>
      </c>
      <c r="P18" s="142">
        <v>12500000000</v>
      </c>
      <c r="Q18" s="273">
        <v>10800000000</v>
      </c>
      <c r="R18" s="273">
        <v>17200000000</v>
      </c>
      <c r="S18" s="761">
        <v>12600000000</v>
      </c>
      <c r="T18" s="761">
        <v>7100000000</v>
      </c>
      <c r="U18" s="761">
        <v>6200000000</v>
      </c>
      <c r="V18" s="761">
        <v>6600000000</v>
      </c>
      <c r="W18" s="710"/>
      <c r="X18" s="710"/>
      <c r="Y18" s="710"/>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ht="16.5">
      <c r="A19" s="64" t="s">
        <v>6725</v>
      </c>
      <c r="B19" s="64" t="s">
        <v>6726</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3">
        <v>13300000000</v>
      </c>
      <c r="R19" s="273">
        <v>12600000000</v>
      </c>
      <c r="S19" s="761">
        <v>40300000000</v>
      </c>
      <c r="T19" s="761">
        <v>20400000000</v>
      </c>
      <c r="U19" s="761">
        <v>22800000000</v>
      </c>
      <c r="V19" s="761">
        <v>25400000000</v>
      </c>
      <c r="W19" s="710"/>
      <c r="X19" s="710"/>
      <c r="Y19" s="710"/>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ht="16.5">
      <c r="A20" s="64" t="s">
        <v>841</v>
      </c>
      <c r="B20" s="64" t="s">
        <v>6727</v>
      </c>
      <c r="C20" s="34" t="s">
        <v>44</v>
      </c>
      <c r="D20" s="28"/>
      <c r="E20" s="28"/>
      <c r="F20" s="28"/>
      <c r="G20" s="293">
        <v>4376000000</v>
      </c>
      <c r="H20" s="210">
        <v>5276000000</v>
      </c>
      <c r="I20" s="210">
        <v>7617000000</v>
      </c>
      <c r="J20" s="210">
        <v>10216000000</v>
      </c>
      <c r="K20" s="125">
        <v>12317000000</v>
      </c>
      <c r="L20" s="125">
        <v>5400000000</v>
      </c>
      <c r="M20" s="142">
        <v>8000000000</v>
      </c>
      <c r="N20" s="142">
        <v>26800000000</v>
      </c>
      <c r="O20" s="142">
        <v>25100000000</v>
      </c>
      <c r="P20" s="142">
        <v>24900000000</v>
      </c>
      <c r="Q20" s="273">
        <v>28400000000</v>
      </c>
      <c r="R20" s="273">
        <v>35600000000</v>
      </c>
      <c r="S20" s="761">
        <v>54400000000</v>
      </c>
      <c r="T20" s="761">
        <v>67400000000.000008</v>
      </c>
      <c r="U20" s="761">
        <v>75300000000</v>
      </c>
      <c r="V20" s="761">
        <v>82200000000</v>
      </c>
      <c r="W20" s="710"/>
      <c r="X20" s="710"/>
      <c r="Y20" s="710"/>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58" t="s">
        <v>51</v>
      </c>
      <c r="B21" s="58" t="s">
        <v>742</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3">
        <v>83700000000</v>
      </c>
      <c r="R21" s="273">
        <v>78500000000</v>
      </c>
      <c r="S21" s="761">
        <v>130900000000</v>
      </c>
      <c r="T21" s="761">
        <v>126100000000</v>
      </c>
      <c r="U21" s="761">
        <v>123600000000</v>
      </c>
      <c r="V21" s="761">
        <v>126000000000</v>
      </c>
      <c r="W21" s="710"/>
      <c r="X21" s="710"/>
      <c r="Y21" s="710"/>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55" t="s">
        <v>53</v>
      </c>
      <c r="B22" s="55" t="s">
        <v>53</v>
      </c>
      <c r="C22" s="345" t="s">
        <v>38</v>
      </c>
      <c r="D22" s="36"/>
      <c r="E22" s="36"/>
      <c r="F22" s="36"/>
      <c r="G22" s="295">
        <v>0</v>
      </c>
      <c r="H22" s="295">
        <v>0</v>
      </c>
      <c r="I22" s="295">
        <v>0</v>
      </c>
      <c r="J22" s="295">
        <v>0</v>
      </c>
      <c r="K22" s="295">
        <v>0</v>
      </c>
      <c r="L22" s="295">
        <v>0</v>
      </c>
      <c r="M22" s="295">
        <v>0</v>
      </c>
      <c r="N22" s="295">
        <v>0</v>
      </c>
      <c r="O22" s="295">
        <v>0</v>
      </c>
      <c r="P22" s="295">
        <v>0</v>
      </c>
      <c r="Q22" s="295">
        <v>0</v>
      </c>
      <c r="R22" s="295">
        <v>0</v>
      </c>
      <c r="S22" s="711">
        <v>0</v>
      </c>
      <c r="T22" s="711">
        <v>0</v>
      </c>
      <c r="U22" s="711">
        <v>0</v>
      </c>
      <c r="V22" s="711">
        <v>0</v>
      </c>
      <c r="W22" s="711"/>
      <c r="X22" s="711"/>
      <c r="Y22" s="711"/>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t="s">
        <v>76</v>
      </c>
      <c r="B23" s="208" t="s">
        <v>535</v>
      </c>
      <c r="C23" s="58"/>
      <c r="D23" s="28"/>
      <c r="E23" s="28"/>
      <c r="F23" s="28"/>
      <c r="G23" s="293">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3">
        <v>704900000000</v>
      </c>
      <c r="R23" s="273">
        <v>710500000000</v>
      </c>
      <c r="S23" s="761">
        <v>855900000000</v>
      </c>
      <c r="T23" s="761">
        <v>967100000000</v>
      </c>
      <c r="U23" s="761">
        <v>1147400000000</v>
      </c>
      <c r="V23" s="761">
        <v>1370800000000</v>
      </c>
      <c r="W23" s="710"/>
      <c r="X23" s="710"/>
      <c r="Y23" s="710"/>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s="9" customFormat="1">
      <c r="A24" s="278" t="s">
        <v>198</v>
      </c>
      <c r="B24" s="278" t="s">
        <v>1301</v>
      </c>
      <c r="C24" s="55" t="s">
        <v>35</v>
      </c>
      <c r="D24" s="36"/>
      <c r="E24" s="36"/>
      <c r="F24" s="36"/>
      <c r="G24" s="294">
        <f>G25+G35+G36+G37+G38</f>
        <v>98413000000</v>
      </c>
      <c r="H24" s="294">
        <f t="shared" ref="H24:V24" si="1">H25+H35+H36+H37+H38</f>
        <v>143327000000</v>
      </c>
      <c r="I24" s="294">
        <f t="shared" si="1"/>
        <v>194673000000</v>
      </c>
      <c r="J24" s="294">
        <f t="shared" si="1"/>
        <v>242652000000</v>
      </c>
      <c r="K24" s="294">
        <f t="shared" si="1"/>
        <v>315852000000</v>
      </c>
      <c r="L24" s="294">
        <f t="shared" si="1"/>
        <v>449600000000</v>
      </c>
      <c r="M24" s="294">
        <f t="shared" si="1"/>
        <v>443400000000</v>
      </c>
      <c r="N24" s="294">
        <f t="shared" si="1"/>
        <v>530600000000</v>
      </c>
      <c r="O24" s="294">
        <f t="shared" si="1"/>
        <v>594100000000</v>
      </c>
      <c r="P24" s="294">
        <f t="shared" si="1"/>
        <v>690400000000</v>
      </c>
      <c r="Q24" s="294">
        <f t="shared" si="1"/>
        <v>704900000000</v>
      </c>
      <c r="R24" s="294">
        <f>R25+R35+R36+R37+R38</f>
        <v>713400000000</v>
      </c>
      <c r="S24" s="712">
        <f t="shared" si="1"/>
        <v>855900000000</v>
      </c>
      <c r="T24" s="712">
        <f t="shared" si="1"/>
        <v>967100000000</v>
      </c>
      <c r="U24" s="712">
        <f t="shared" si="1"/>
        <v>1147400000000</v>
      </c>
      <c r="V24" s="712">
        <f t="shared" si="1"/>
        <v>1470300000000</v>
      </c>
      <c r="W24" s="712"/>
      <c r="X24" s="712"/>
      <c r="Y24" s="712"/>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58" t="s">
        <v>73</v>
      </c>
      <c r="B25" s="58" t="s">
        <v>541</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3">
        <v>672600000000</v>
      </c>
      <c r="R25" s="273">
        <v>693300000000</v>
      </c>
      <c r="S25" s="761">
        <v>806100000000</v>
      </c>
      <c r="T25" s="761">
        <v>892300000000</v>
      </c>
      <c r="U25" s="761">
        <v>1057900000000.0001</v>
      </c>
      <c r="V25" s="761">
        <v>1262300000000</v>
      </c>
      <c r="W25" s="710"/>
      <c r="X25" s="710"/>
      <c r="Y25" s="710"/>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64" t="s">
        <v>797</v>
      </c>
      <c r="B26" s="64" t="s">
        <v>1005</v>
      </c>
      <c r="C26" s="58" t="s">
        <v>204</v>
      </c>
      <c r="D26" s="28"/>
      <c r="E26" s="28"/>
      <c r="F26" s="28"/>
      <c r="G26" s="293">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3">
        <v>167700000000</v>
      </c>
      <c r="R26" s="273">
        <v>162500000000</v>
      </c>
      <c r="S26" s="761">
        <v>185600000000</v>
      </c>
      <c r="T26" s="761">
        <v>221700000000</v>
      </c>
      <c r="U26" s="761">
        <v>296400000000</v>
      </c>
      <c r="V26" s="761">
        <v>363900000000</v>
      </c>
      <c r="W26" s="710"/>
      <c r="X26" s="710"/>
      <c r="Y26" s="710"/>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64" t="s">
        <v>83</v>
      </c>
      <c r="B27" s="64" t="s">
        <v>749</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3">
        <v>103700000000</v>
      </c>
      <c r="R27" s="273">
        <v>116900000000</v>
      </c>
      <c r="S27" s="761">
        <v>146500000000</v>
      </c>
      <c r="T27" s="761">
        <v>159400000000</v>
      </c>
      <c r="U27" s="761">
        <v>178700000000</v>
      </c>
      <c r="V27" s="761">
        <v>194600000000</v>
      </c>
      <c r="W27" s="710"/>
      <c r="X27" s="710"/>
      <c r="Y27" s="710"/>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ht="16.5">
      <c r="A28" s="64" t="s">
        <v>91</v>
      </c>
      <c r="B28" s="64" t="s">
        <v>91</v>
      </c>
      <c r="C28" s="58" t="s">
        <v>204</v>
      </c>
      <c r="D28" s="28"/>
      <c r="E28" s="28"/>
      <c r="F28" s="28"/>
      <c r="G28" s="293">
        <v>2644000000</v>
      </c>
      <c r="H28" s="210">
        <v>3210000000</v>
      </c>
      <c r="I28" s="210">
        <v>3312000000</v>
      </c>
      <c r="J28" s="210">
        <v>3440000000</v>
      </c>
      <c r="K28" s="125">
        <v>3679000000</v>
      </c>
      <c r="L28" s="125">
        <v>4900000000</v>
      </c>
      <c r="M28" s="142">
        <v>10600000000</v>
      </c>
      <c r="N28" s="142">
        <v>17600000000</v>
      </c>
      <c r="O28" s="142">
        <v>25600000000</v>
      </c>
      <c r="P28" s="142">
        <v>27000000000</v>
      </c>
      <c r="Q28" s="273">
        <v>35900000000</v>
      </c>
      <c r="R28" s="273">
        <v>52500000000</v>
      </c>
      <c r="S28" s="761">
        <v>82800000000</v>
      </c>
      <c r="T28" s="761">
        <v>97700000000</v>
      </c>
      <c r="U28" s="761">
        <v>114400000000</v>
      </c>
      <c r="V28" s="761">
        <v>131500000000</v>
      </c>
      <c r="W28" s="710"/>
      <c r="X28" s="710"/>
      <c r="Y28" s="710"/>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ht="16.5">
      <c r="A29" s="64" t="s">
        <v>6728</v>
      </c>
      <c r="B29" s="64" t="s">
        <v>6729</v>
      </c>
      <c r="C29" s="58" t="s">
        <v>204</v>
      </c>
      <c r="D29" s="28"/>
      <c r="E29" s="28"/>
      <c r="F29" s="28"/>
      <c r="G29" s="298"/>
      <c r="H29" s="298"/>
      <c r="I29" s="298"/>
      <c r="J29" s="298"/>
      <c r="K29" s="125"/>
      <c r="L29" s="125">
        <v>34400000000</v>
      </c>
      <c r="M29" s="142">
        <v>27200000000</v>
      </c>
      <c r="N29" s="142">
        <v>26500000000</v>
      </c>
      <c r="O29" s="142">
        <v>24600000000</v>
      </c>
      <c r="P29" s="142">
        <v>43200000000</v>
      </c>
      <c r="Q29" s="273">
        <v>29400000000</v>
      </c>
      <c r="R29" s="273">
        <v>37100000000</v>
      </c>
      <c r="S29" s="761">
        <v>25600000000</v>
      </c>
      <c r="T29" s="761">
        <v>23400000000</v>
      </c>
      <c r="U29" s="761">
        <v>32299999999.999996</v>
      </c>
      <c r="V29" s="761">
        <v>35400000000</v>
      </c>
      <c r="W29" s="710"/>
      <c r="X29" s="710"/>
      <c r="Y29" s="710"/>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ht="16.5">
      <c r="A30" s="64" t="s">
        <v>806</v>
      </c>
      <c r="B30" s="64" t="s">
        <v>1184</v>
      </c>
      <c r="C30" s="58" t="s">
        <v>204</v>
      </c>
      <c r="D30" s="28"/>
      <c r="E30" s="28"/>
      <c r="F30" s="28"/>
      <c r="G30" s="298"/>
      <c r="H30" s="298"/>
      <c r="I30" s="298"/>
      <c r="J30" s="298"/>
      <c r="K30" s="298"/>
      <c r="L30" s="125">
        <v>196000000000</v>
      </c>
      <c r="M30" s="142">
        <v>209100000000</v>
      </c>
      <c r="N30" s="142">
        <v>251100000000</v>
      </c>
      <c r="O30" s="142">
        <v>275900000000</v>
      </c>
      <c r="P30" s="142">
        <v>310400000000</v>
      </c>
      <c r="Q30" s="273">
        <v>335600000000</v>
      </c>
      <c r="R30" s="273">
        <v>324200000000</v>
      </c>
      <c r="S30" s="761">
        <v>364000000000</v>
      </c>
      <c r="T30" s="761">
        <v>388300000000</v>
      </c>
      <c r="U30" s="761">
        <v>433700000000</v>
      </c>
      <c r="V30" s="761">
        <v>534299999999.99994</v>
      </c>
      <c r="W30" s="710"/>
      <c r="X30" s="710"/>
      <c r="Y30" s="710"/>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ht="16.5">
      <c r="A31" s="65" t="s">
        <v>6730</v>
      </c>
      <c r="B31" s="65" t="s">
        <v>6731</v>
      </c>
      <c r="C31" s="58" t="s">
        <v>218</v>
      </c>
      <c r="D31" s="28"/>
      <c r="E31" s="28"/>
      <c r="F31" s="28"/>
      <c r="G31" s="298"/>
      <c r="H31" s="298"/>
      <c r="I31" s="298"/>
      <c r="J31" s="298"/>
      <c r="K31" s="298"/>
      <c r="L31" s="125">
        <v>36600000000</v>
      </c>
      <c r="M31" s="142">
        <v>26300000000</v>
      </c>
      <c r="N31" s="142">
        <v>36400000000</v>
      </c>
      <c r="O31" s="142">
        <v>42300000000</v>
      </c>
      <c r="P31" s="142">
        <v>54500000000</v>
      </c>
      <c r="Q31" s="273">
        <v>56300000000</v>
      </c>
      <c r="R31" s="273">
        <v>58300000000</v>
      </c>
      <c r="S31" s="761">
        <v>75600000000</v>
      </c>
      <c r="T31" s="761">
        <v>110500000000</v>
      </c>
      <c r="U31" s="761">
        <v>126800000000</v>
      </c>
      <c r="V31" s="761">
        <v>142600000000</v>
      </c>
      <c r="W31" s="710"/>
      <c r="X31" s="710"/>
      <c r="Y31" s="710"/>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ht="16.5">
      <c r="A32" s="65" t="s">
        <v>87</v>
      </c>
      <c r="B32" s="65" t="s">
        <v>87</v>
      </c>
      <c r="C32" s="58" t="s">
        <v>218</v>
      </c>
      <c r="D32" s="28"/>
      <c r="E32" s="28"/>
      <c r="F32" s="28"/>
      <c r="G32" s="298"/>
      <c r="H32" s="298"/>
      <c r="I32" s="298"/>
      <c r="J32" s="298"/>
      <c r="K32" s="298"/>
      <c r="L32" s="125">
        <v>143800000000</v>
      </c>
      <c r="M32" s="142">
        <v>165800000000</v>
      </c>
      <c r="N32" s="142">
        <v>193900000000</v>
      </c>
      <c r="O32" s="142">
        <v>210800000000</v>
      </c>
      <c r="P32" s="142">
        <v>233700000000</v>
      </c>
      <c r="Q32" s="273">
        <v>250300000000</v>
      </c>
      <c r="R32" s="273">
        <v>243600000000</v>
      </c>
      <c r="S32" s="761">
        <v>265800000000</v>
      </c>
      <c r="T32" s="761">
        <v>254800000000</v>
      </c>
      <c r="U32" s="761">
        <v>283200000000</v>
      </c>
      <c r="V32" s="761">
        <v>365900000000</v>
      </c>
      <c r="W32" s="710"/>
      <c r="X32" s="710"/>
      <c r="Y32" s="710"/>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ht="16.5">
      <c r="A33" s="65" t="s">
        <v>6732</v>
      </c>
      <c r="B33" s="65" t="s">
        <v>6733</v>
      </c>
      <c r="C33" s="58" t="s">
        <v>218</v>
      </c>
      <c r="D33" s="28"/>
      <c r="E33" s="28"/>
      <c r="F33" s="28"/>
      <c r="G33" s="298"/>
      <c r="H33" s="298"/>
      <c r="I33" s="298"/>
      <c r="J33" s="298"/>
      <c r="K33" s="298"/>
      <c r="L33" s="125">
        <v>15600000000</v>
      </c>
      <c r="M33" s="142">
        <v>16900000000</v>
      </c>
      <c r="N33" s="142">
        <v>20800000000</v>
      </c>
      <c r="O33" s="142">
        <v>22800000000</v>
      </c>
      <c r="P33" s="142">
        <v>22200000000</v>
      </c>
      <c r="Q33" s="273">
        <v>29000000000</v>
      </c>
      <c r="R33" s="273">
        <v>22300000000</v>
      </c>
      <c r="S33" s="761">
        <v>22700000000</v>
      </c>
      <c r="T33" s="761">
        <v>23000000000</v>
      </c>
      <c r="U33" s="761">
        <v>23700000000</v>
      </c>
      <c r="V33" s="761">
        <v>25800000000</v>
      </c>
      <c r="W33" s="710"/>
      <c r="X33" s="710"/>
      <c r="Y33" s="710"/>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s="64" t="s">
        <v>6502</v>
      </c>
      <c r="B34" s="64" t="s">
        <v>6734</v>
      </c>
      <c r="C34" s="58" t="s">
        <v>204</v>
      </c>
      <c r="D34" s="28"/>
      <c r="E34" s="28"/>
      <c r="F34" s="28"/>
      <c r="G34" s="321">
        <f>G25-G26-G27-G28-G29-G30</f>
        <v>45411000000</v>
      </c>
      <c r="H34" s="321">
        <f>H25-H26-H27-H28-H29-H30</f>
        <v>65237000000</v>
      </c>
      <c r="I34" s="321">
        <f>I25-I26-I27-I28-I29-I30</f>
        <v>101880000000</v>
      </c>
      <c r="J34" s="321">
        <f>J25-J26-J27-J28-J29-J30</f>
        <v>123616000000</v>
      </c>
      <c r="K34" s="321">
        <f>K25-K26-K27-K28-K29-K30</f>
        <v>153247000000</v>
      </c>
      <c r="L34" s="125">
        <v>0</v>
      </c>
      <c r="M34" s="298"/>
      <c r="N34" s="142">
        <v>200000000</v>
      </c>
      <c r="O34" s="142">
        <v>300000000</v>
      </c>
      <c r="P34" s="142">
        <v>600000000</v>
      </c>
      <c r="Q34" s="273">
        <v>300000000</v>
      </c>
      <c r="R34" s="273">
        <v>200000000</v>
      </c>
      <c r="S34" s="761">
        <v>1600000000</v>
      </c>
      <c r="T34" s="761">
        <v>1800000000</v>
      </c>
      <c r="U34" s="761">
        <v>2500000000</v>
      </c>
      <c r="V34" s="761">
        <v>2700000000</v>
      </c>
      <c r="W34" s="710"/>
      <c r="X34" s="710"/>
      <c r="Y34" s="710"/>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58" t="s">
        <v>237</v>
      </c>
      <c r="B35" s="58" t="s">
        <v>540</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3">
        <v>29300000000</v>
      </c>
      <c r="R35" s="273">
        <v>20100000000</v>
      </c>
      <c r="S35" s="761">
        <v>46700000000</v>
      </c>
      <c r="T35" s="761">
        <v>73000000000</v>
      </c>
      <c r="U35" s="761">
        <v>77400000000</v>
      </c>
      <c r="V35" s="761">
        <v>89700000000</v>
      </c>
      <c r="W35" s="710"/>
      <c r="X35" s="710"/>
      <c r="Y35" s="710"/>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58" t="s">
        <v>3521</v>
      </c>
      <c r="B36" s="58" t="s">
        <v>3521</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3">
        <v>3000000000</v>
      </c>
      <c r="R36" s="2737">
        <v>0</v>
      </c>
      <c r="S36" s="761">
        <v>3100000000</v>
      </c>
      <c r="T36" s="761">
        <v>1800000000</v>
      </c>
      <c r="U36" s="761">
        <v>8600000000</v>
      </c>
      <c r="V36" s="761">
        <v>9600000000</v>
      </c>
      <c r="W36" s="710"/>
      <c r="X36" s="710"/>
      <c r="Y36" s="710"/>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2579" t="s">
        <v>6735</v>
      </c>
      <c r="B37" s="58" t="s">
        <v>6736</v>
      </c>
      <c r="C37" s="58" t="s">
        <v>201</v>
      </c>
      <c r="D37" s="28"/>
      <c r="E37" s="28"/>
      <c r="F37" s="28"/>
      <c r="G37" s="298"/>
      <c r="H37" s="298"/>
      <c r="I37" s="298"/>
      <c r="J37" s="298"/>
      <c r="K37" s="298"/>
      <c r="L37" s="125">
        <v>1400000000</v>
      </c>
      <c r="M37" s="142">
        <v>100000000</v>
      </c>
      <c r="N37" s="142">
        <v>300000000</v>
      </c>
      <c r="O37" s="142">
        <v>0</v>
      </c>
      <c r="P37" s="142">
        <v>0</v>
      </c>
      <c r="Q37" s="273">
        <v>0</v>
      </c>
      <c r="R37" s="273">
        <v>0</v>
      </c>
      <c r="S37" s="761">
        <v>0</v>
      </c>
      <c r="T37" s="761">
        <v>0</v>
      </c>
      <c r="U37" s="761">
        <v>3500000000</v>
      </c>
      <c r="V37" s="761">
        <v>9200000000</v>
      </c>
      <c r="W37" s="710"/>
      <c r="X37" s="710"/>
      <c r="Y37" s="710"/>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2579" t="s">
        <v>2701</v>
      </c>
      <c r="B38" s="58" t="s">
        <v>6737</v>
      </c>
      <c r="C38" s="58" t="s">
        <v>201</v>
      </c>
      <c r="D38" s="28"/>
      <c r="E38" s="28"/>
      <c r="F38" s="28"/>
      <c r="G38" s="298"/>
      <c r="H38" s="21">
        <v>692000000</v>
      </c>
      <c r="I38" s="298"/>
      <c r="J38" s="298"/>
      <c r="K38" s="298"/>
      <c r="L38" s="125"/>
      <c r="M38" s="142"/>
      <c r="N38" s="142"/>
      <c r="O38" s="142"/>
      <c r="P38" s="142"/>
      <c r="Q38" s="273"/>
      <c r="R38" s="273"/>
      <c r="S38" s="761">
        <v>0</v>
      </c>
      <c r="T38" s="761">
        <v>0</v>
      </c>
      <c r="U38" s="761">
        <v>0</v>
      </c>
      <c r="V38" s="761">
        <v>99500000000</v>
      </c>
      <c r="W38" s="710"/>
      <c r="X38" s="710"/>
      <c r="Y38" s="710"/>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t="s">
        <v>76</v>
      </c>
      <c r="B39" s="58" t="s">
        <v>6738</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3">
        <v>-70100000000</v>
      </c>
      <c r="R39" s="273">
        <v>-70800000000</v>
      </c>
      <c r="S39" s="761">
        <v>-23100000000</v>
      </c>
      <c r="T39" s="761">
        <v>-53000000000</v>
      </c>
      <c r="U39" s="761">
        <v>-81800000000</v>
      </c>
      <c r="V39" s="761">
        <v>-76900000000</v>
      </c>
      <c r="W39" s="710"/>
      <c r="X39" s="710"/>
      <c r="Y39" s="710"/>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ht="16.5">
      <c r="A40" t="s">
        <v>76</v>
      </c>
      <c r="B40" s="58" t="s">
        <v>6739</v>
      </c>
      <c r="C40" s="58"/>
      <c r="D40" s="28"/>
      <c r="E40" s="28"/>
      <c r="F40" s="28"/>
      <c r="G40" s="298"/>
      <c r="H40" s="298"/>
      <c r="I40" s="298"/>
      <c r="J40" s="298"/>
      <c r="K40" s="298"/>
      <c r="L40" s="125">
        <v>-25000000000</v>
      </c>
      <c r="M40" s="142">
        <v>-46500000000</v>
      </c>
      <c r="N40" s="298"/>
      <c r="O40" s="298"/>
      <c r="P40" s="298"/>
      <c r="Q40" s="273">
        <v>-27500000000</v>
      </c>
      <c r="R40" s="273">
        <v>-87300000000</v>
      </c>
      <c r="S40" s="761">
        <v>-20500000000</v>
      </c>
      <c r="T40" s="761">
        <v>-1000000000</v>
      </c>
      <c r="U40" s="761">
        <v>0</v>
      </c>
      <c r="V40" s="761">
        <v>0</v>
      </c>
      <c r="W40" s="710"/>
      <c r="X40" s="710"/>
      <c r="Y40" s="710"/>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58" t="s">
        <v>6740</v>
      </c>
      <c r="C41" s="58"/>
      <c r="D41" s="28"/>
      <c r="E41" s="28"/>
      <c r="F41" s="28"/>
      <c r="G41" s="298"/>
      <c r="H41" s="298"/>
      <c r="I41" s="298"/>
      <c r="J41" s="298"/>
      <c r="K41" s="298"/>
      <c r="L41" s="298"/>
      <c r="M41" s="298"/>
      <c r="N41" s="298"/>
      <c r="O41" s="298"/>
      <c r="P41" s="298"/>
      <c r="Q41" s="273">
        <v>-97600000000</v>
      </c>
      <c r="R41" s="273">
        <v>-158100000000</v>
      </c>
      <c r="S41" s="761">
        <v>-43600000000</v>
      </c>
      <c r="T41" s="761">
        <v>-54000000000</v>
      </c>
      <c r="U41" s="761">
        <v>-81800000000</v>
      </c>
      <c r="V41" s="761">
        <v>-76800000000</v>
      </c>
      <c r="W41" s="710"/>
      <c r="X41" s="710"/>
      <c r="Y41" s="710"/>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s="9" customFormat="1" ht="16.5">
      <c r="A42" s="9" t="s">
        <v>592</v>
      </c>
      <c r="B42" s="55" t="s">
        <v>6741</v>
      </c>
      <c r="C42" s="55" t="s">
        <v>35</v>
      </c>
      <c r="D42" s="36"/>
      <c r="E42" s="36"/>
      <c r="F42" s="36"/>
      <c r="G42" s="294">
        <v>2428000000</v>
      </c>
      <c r="H42" s="296">
        <v>14980000000</v>
      </c>
      <c r="I42" s="296">
        <v>10052000000</v>
      </c>
      <c r="J42" s="296">
        <v>6947000000</v>
      </c>
      <c r="K42" s="295">
        <v>13450000000</v>
      </c>
      <c r="L42" s="295">
        <v>30000000000</v>
      </c>
      <c r="M42" s="304">
        <v>57100000000</v>
      </c>
      <c r="N42" s="304">
        <v>62300000000</v>
      </c>
      <c r="O42" s="303">
        <f>O43+O48</f>
        <v>46700000000</v>
      </c>
      <c r="P42" s="304">
        <v>63000000000</v>
      </c>
      <c r="Q42" s="324">
        <v>70100000000</v>
      </c>
      <c r="R42" s="324">
        <v>70800000000</v>
      </c>
      <c r="S42" s="762">
        <v>23100000000</v>
      </c>
      <c r="T42" s="762">
        <v>53000000000</v>
      </c>
      <c r="U42" s="762">
        <v>81800000000</v>
      </c>
      <c r="V42" s="762">
        <v>76900000000</v>
      </c>
      <c r="W42" s="713"/>
      <c r="X42" s="713"/>
      <c r="Y42" s="713"/>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s="58" t="s">
        <v>117</v>
      </c>
      <c r="B43" s="58" t="s">
        <v>280</v>
      </c>
      <c r="C43" s="58" t="s">
        <v>252</v>
      </c>
      <c r="D43" s="28"/>
      <c r="E43" s="28"/>
      <c r="F43" s="28"/>
      <c r="G43" s="293">
        <v>2618000000</v>
      </c>
      <c r="H43" s="210">
        <v>4738000000</v>
      </c>
      <c r="I43" s="210">
        <v>2729000000</v>
      </c>
      <c r="J43" s="210">
        <v>6950000000</v>
      </c>
      <c r="K43" s="125">
        <v>7007000000</v>
      </c>
      <c r="L43" s="125">
        <v>3600000000</v>
      </c>
      <c r="M43" s="142">
        <v>42700000000</v>
      </c>
      <c r="N43" s="142">
        <v>50000000000</v>
      </c>
      <c r="O43" s="142">
        <v>16100000000.000002</v>
      </c>
      <c r="P43" s="142">
        <v>12400000000</v>
      </c>
      <c r="Q43" s="273">
        <v>19000000000</v>
      </c>
      <c r="R43" s="273">
        <v>37000000000</v>
      </c>
      <c r="S43" s="761">
        <v>101300000000</v>
      </c>
      <c r="T43" s="761">
        <v>35400000000</v>
      </c>
      <c r="U43" s="761">
        <v>78700000000</v>
      </c>
      <c r="V43" s="761">
        <v>48500000000</v>
      </c>
      <c r="W43" s="710"/>
      <c r="X43" s="710"/>
      <c r="Y43" s="710"/>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s="64" t="s">
        <v>415</v>
      </c>
      <c r="B44" s="64" t="s">
        <v>415</v>
      </c>
      <c r="C44" s="58" t="s">
        <v>264</v>
      </c>
      <c r="D44" s="28"/>
      <c r="E44" s="28"/>
      <c r="F44" s="28"/>
      <c r="G44" s="293">
        <v>7106000000</v>
      </c>
      <c r="H44" s="210">
        <v>10222000000</v>
      </c>
      <c r="I44" s="210">
        <v>8487000000</v>
      </c>
      <c r="J44" s="210">
        <v>12290000000</v>
      </c>
      <c r="K44" s="125">
        <v>10640000000</v>
      </c>
      <c r="L44" s="125">
        <v>6200000000</v>
      </c>
      <c r="M44" s="142">
        <v>58400000000</v>
      </c>
      <c r="N44" s="142">
        <v>57700000000</v>
      </c>
      <c r="O44" s="142">
        <v>29700000000</v>
      </c>
      <c r="P44" s="142">
        <v>42800000000</v>
      </c>
      <c r="Q44" s="273">
        <v>51600000000</v>
      </c>
      <c r="R44" s="273">
        <v>94800000000</v>
      </c>
      <c r="S44" s="761">
        <v>133500000000</v>
      </c>
      <c r="T44" s="761">
        <v>47600000000</v>
      </c>
      <c r="U44" s="761">
        <v>108000000000</v>
      </c>
      <c r="V44" s="761">
        <v>104000000000</v>
      </c>
      <c r="W44" s="710"/>
      <c r="X44" s="710"/>
      <c r="Y44" s="710"/>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4" t="s">
        <v>1468</v>
      </c>
      <c r="B45" s="64" t="s">
        <v>6742</v>
      </c>
      <c r="C45" s="58" t="s">
        <v>264</v>
      </c>
      <c r="D45" s="28"/>
      <c r="E45" s="28"/>
      <c r="F45" s="28"/>
      <c r="G45" s="298"/>
      <c r="H45" s="298"/>
      <c r="I45" s="298"/>
      <c r="J45" s="298"/>
      <c r="K45" s="298"/>
      <c r="L45" s="298"/>
      <c r="M45" s="298"/>
      <c r="N45" s="298"/>
      <c r="O45" s="298"/>
      <c r="P45" s="298"/>
      <c r="Q45" s="273">
        <v>0</v>
      </c>
      <c r="R45" s="273">
        <v>0</v>
      </c>
      <c r="S45" s="761"/>
      <c r="T45" s="761"/>
      <c r="U45" s="761"/>
      <c r="V45" s="761"/>
      <c r="W45" s="710"/>
      <c r="X45" s="710"/>
      <c r="Y45" s="710"/>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s="64" t="s">
        <v>418</v>
      </c>
      <c r="B46" s="64" t="s">
        <v>418</v>
      </c>
      <c r="C46" s="58" t="s">
        <v>264</v>
      </c>
      <c r="D46" s="28"/>
      <c r="E46" s="28"/>
      <c r="F46" s="28"/>
      <c r="G46" s="293">
        <v>-4488000000</v>
      </c>
      <c r="H46" s="210">
        <v>-5484000000</v>
      </c>
      <c r="I46" s="210">
        <v>-5759000000</v>
      </c>
      <c r="J46" s="210">
        <v>-5340000000</v>
      </c>
      <c r="K46" s="125">
        <v>-3633000000</v>
      </c>
      <c r="L46" s="125">
        <v>-2600000000</v>
      </c>
      <c r="M46" s="142">
        <v>-15700000000</v>
      </c>
      <c r="N46" s="142">
        <v>-7700000000</v>
      </c>
      <c r="O46" s="142">
        <v>-13500000000</v>
      </c>
      <c r="P46" s="142">
        <v>-30400000000</v>
      </c>
      <c r="Q46" s="273">
        <v>-32600000000</v>
      </c>
      <c r="R46" s="273">
        <v>-57900000000</v>
      </c>
      <c r="S46" s="761">
        <v>-32200000000.000004</v>
      </c>
      <c r="T46" s="761">
        <v>-12300000000</v>
      </c>
      <c r="U46" s="761">
        <v>-29300000000</v>
      </c>
      <c r="V46" s="761">
        <v>-55600000000</v>
      </c>
      <c r="W46" s="710"/>
      <c r="X46" s="710"/>
      <c r="Y46" s="710"/>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89" t="s">
        <v>120</v>
      </c>
      <c r="B47" s="89" t="s">
        <v>6743</v>
      </c>
      <c r="C47" s="58" t="s">
        <v>252</v>
      </c>
      <c r="D47" s="28"/>
      <c r="E47" s="28"/>
      <c r="F47" s="28"/>
      <c r="G47" s="293">
        <f>G48+G55</f>
        <v>-190000000</v>
      </c>
      <c r="H47" s="293">
        <f>H48+H55</f>
        <v>10242000000</v>
      </c>
      <c r="I47" s="293">
        <f>I48+I55</f>
        <v>7323000000</v>
      </c>
      <c r="J47" s="293">
        <f>J48+J55</f>
        <v>-3000000</v>
      </c>
      <c r="K47" s="293">
        <f>K48+K55</f>
        <v>6444000000</v>
      </c>
      <c r="L47" s="293">
        <f>L48</f>
        <v>26400000000</v>
      </c>
      <c r="M47" s="293">
        <f t="shared" ref="M47:V47" si="2">M48</f>
        <v>14400000000</v>
      </c>
      <c r="N47" s="293">
        <f t="shared" si="2"/>
        <v>12300000000</v>
      </c>
      <c r="O47" s="293">
        <f t="shared" si="2"/>
        <v>30600000000</v>
      </c>
      <c r="P47" s="293">
        <f t="shared" si="2"/>
        <v>50600000000</v>
      </c>
      <c r="Q47" s="293">
        <f t="shared" si="2"/>
        <v>51100000000</v>
      </c>
      <c r="R47" s="293">
        <f t="shared" si="2"/>
        <v>33900000000</v>
      </c>
      <c r="S47" s="714">
        <f t="shared" si="2"/>
        <v>-78300000000</v>
      </c>
      <c r="T47" s="714">
        <f t="shared" si="2"/>
        <v>17600000000</v>
      </c>
      <c r="U47" s="714">
        <f t="shared" si="2"/>
        <v>3100000000</v>
      </c>
      <c r="V47" s="714">
        <f t="shared" si="2"/>
        <v>28400000000</v>
      </c>
      <c r="W47" s="714"/>
      <c r="X47" s="714"/>
      <c r="Y47" s="714"/>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t="s">
        <v>76</v>
      </c>
      <c r="B48" s="58" t="s">
        <v>4824</v>
      </c>
      <c r="C48" s="58"/>
      <c r="D48" s="28"/>
      <c r="E48" s="28"/>
      <c r="F48" s="28"/>
      <c r="G48" s="293">
        <v>-3091000000</v>
      </c>
      <c r="H48" s="210">
        <v>-327000000</v>
      </c>
      <c r="I48" s="210">
        <v>-14546000000</v>
      </c>
      <c r="J48" s="210">
        <v>-2074000000</v>
      </c>
      <c r="K48" s="125">
        <v>2235000000</v>
      </c>
      <c r="L48" s="125">
        <v>26400000000</v>
      </c>
      <c r="M48" s="142">
        <v>14400000000</v>
      </c>
      <c r="N48" s="142">
        <v>12300000000</v>
      </c>
      <c r="O48" s="142">
        <v>30600000000</v>
      </c>
      <c r="P48" s="142">
        <v>50600000000</v>
      </c>
      <c r="Q48" s="273">
        <v>51100000000</v>
      </c>
      <c r="R48" s="273">
        <v>33900000000</v>
      </c>
      <c r="S48" s="761">
        <v>-78300000000</v>
      </c>
      <c r="T48" s="761">
        <v>17600000000</v>
      </c>
      <c r="U48" s="761">
        <v>3100000000</v>
      </c>
      <c r="V48" s="761">
        <v>28400000000</v>
      </c>
      <c r="W48" s="710"/>
      <c r="X48" s="710"/>
      <c r="Y48" s="710"/>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4"/>
      <c r="B49" s="64" t="s">
        <v>255</v>
      </c>
      <c r="C49" s="58"/>
      <c r="D49" s="28"/>
      <c r="E49" s="28"/>
      <c r="F49" s="28"/>
      <c r="G49" s="293">
        <v>-939000000</v>
      </c>
      <c r="H49" s="210">
        <v>483000000</v>
      </c>
      <c r="I49" s="210">
        <v>-978000000</v>
      </c>
      <c r="J49" s="210">
        <v>-2332000000</v>
      </c>
      <c r="K49" s="125">
        <v>1385000000</v>
      </c>
      <c r="L49" s="125"/>
      <c r="M49" s="142"/>
      <c r="N49" s="142"/>
      <c r="O49" s="142"/>
      <c r="P49" s="142"/>
      <c r="Q49" s="273"/>
      <c r="R49" s="273"/>
      <c r="S49" s="761"/>
      <c r="T49" s="761"/>
      <c r="U49" s="761"/>
      <c r="V49" s="761"/>
      <c r="W49" s="710"/>
      <c r="X49" s="710"/>
      <c r="Y49" s="710"/>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6744</v>
      </c>
      <c r="B50" s="65" t="s">
        <v>6745</v>
      </c>
      <c r="C50" s="58" t="s">
        <v>124</v>
      </c>
      <c r="D50" s="28"/>
      <c r="E50" s="28"/>
      <c r="F50" s="28"/>
      <c r="G50" s="298"/>
      <c r="H50" s="298"/>
      <c r="I50" s="298"/>
      <c r="J50" s="298"/>
      <c r="K50" s="298"/>
      <c r="L50" s="125">
        <v>20000000000</v>
      </c>
      <c r="M50" s="142">
        <v>9100000000</v>
      </c>
      <c r="N50" s="142">
        <v>20200000000</v>
      </c>
      <c r="O50" s="142">
        <v>16300000000</v>
      </c>
      <c r="P50" s="142">
        <v>41000000000</v>
      </c>
      <c r="Q50" s="273">
        <v>50500000000</v>
      </c>
      <c r="R50" s="273">
        <v>22500000000</v>
      </c>
      <c r="S50" s="761">
        <v>-55000000000</v>
      </c>
      <c r="T50" s="761">
        <v>19700000000</v>
      </c>
      <c r="U50" s="761">
        <v>-14000000000</v>
      </c>
      <c r="V50" s="761">
        <v>12500000000</v>
      </c>
      <c r="W50" s="710"/>
      <c r="X50" s="710"/>
      <c r="Y50" s="71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5" t="s">
        <v>2546</v>
      </c>
      <c r="B51" s="65" t="s">
        <v>2546</v>
      </c>
      <c r="C51" s="58" t="s">
        <v>124</v>
      </c>
      <c r="D51" s="28"/>
      <c r="E51" s="28"/>
      <c r="F51" s="28"/>
      <c r="G51" s="293">
        <v>-939000000</v>
      </c>
      <c r="H51" s="210">
        <v>3334000000</v>
      </c>
      <c r="I51" s="210">
        <v>7546000000</v>
      </c>
      <c r="J51" s="210">
        <v>1572000000</v>
      </c>
      <c r="K51" s="125">
        <v>3881000000</v>
      </c>
      <c r="L51" s="125"/>
      <c r="M51" s="142"/>
      <c r="N51" s="142"/>
      <c r="O51" s="142"/>
      <c r="P51" s="142"/>
      <c r="Q51" s="273"/>
      <c r="R51" s="273"/>
      <c r="S51" s="761"/>
      <c r="T51" s="761"/>
      <c r="U51" s="761"/>
      <c r="V51" s="761"/>
      <c r="W51" s="710"/>
      <c r="X51" s="710"/>
      <c r="Y51" s="710"/>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5" t="s">
        <v>258</v>
      </c>
      <c r="B52" s="65" t="s">
        <v>258</v>
      </c>
      <c r="C52" s="58" t="s">
        <v>124</v>
      </c>
      <c r="D52" s="28"/>
      <c r="E52" s="28"/>
      <c r="F52" s="28"/>
      <c r="G52" s="298"/>
      <c r="H52" s="210">
        <v>-2851000000</v>
      </c>
      <c r="I52" s="210">
        <v>-8524000000</v>
      </c>
      <c r="J52" s="210">
        <v>-3904000000</v>
      </c>
      <c r="K52" s="125">
        <v>-2496000000</v>
      </c>
      <c r="L52" s="125"/>
      <c r="M52" s="142"/>
      <c r="N52" s="142"/>
      <c r="O52" s="142"/>
      <c r="P52" s="142"/>
      <c r="Q52" s="273"/>
      <c r="R52" s="273"/>
      <c r="S52" s="761"/>
      <c r="T52" s="761"/>
      <c r="U52" s="761"/>
      <c r="V52" s="761"/>
      <c r="W52" s="710"/>
      <c r="X52" s="710"/>
      <c r="Y52" s="710"/>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6746</v>
      </c>
      <c r="B53" s="65" t="s">
        <v>6747</v>
      </c>
      <c r="C53" s="58" t="s">
        <v>124</v>
      </c>
      <c r="D53" s="28"/>
      <c r="E53" s="28"/>
      <c r="F53" s="28"/>
      <c r="G53" s="298"/>
      <c r="H53" s="298"/>
      <c r="I53" s="298"/>
      <c r="J53" s="298"/>
      <c r="K53" s="298"/>
      <c r="L53" s="125">
        <v>0</v>
      </c>
      <c r="M53" s="142">
        <v>-2400000000</v>
      </c>
      <c r="N53" s="142">
        <v>2700000000</v>
      </c>
      <c r="O53" s="142">
        <v>-700000000</v>
      </c>
      <c r="P53" s="142">
        <v>-3000000000</v>
      </c>
      <c r="Q53" s="273">
        <v>-100000000</v>
      </c>
      <c r="R53" s="273">
        <v>100000000</v>
      </c>
      <c r="S53" s="761">
        <v>-1700000000</v>
      </c>
      <c r="T53" s="761">
        <v>0</v>
      </c>
      <c r="U53" s="761">
        <v>0</v>
      </c>
      <c r="V53" s="761">
        <v>0</v>
      </c>
      <c r="W53" s="710"/>
      <c r="X53" s="710"/>
      <c r="Y53" s="710"/>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4" t="s">
        <v>6748</v>
      </c>
      <c r="B54" s="64" t="s">
        <v>6749</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3">
        <v>-1400000000</v>
      </c>
      <c r="R54" s="273">
        <v>10400000000</v>
      </c>
      <c r="S54" s="761">
        <v>-31200000000</v>
      </c>
      <c r="T54" s="761">
        <v>-2700000000</v>
      </c>
      <c r="U54" s="761">
        <v>0</v>
      </c>
      <c r="V54" s="761">
        <v>0</v>
      </c>
      <c r="W54" s="710"/>
      <c r="X54" s="710"/>
      <c r="Y54" s="710"/>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4" t="s">
        <v>858</v>
      </c>
      <c r="B55" s="64" t="s">
        <v>858</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3">
        <v>2100000000</v>
      </c>
      <c r="R55" s="273">
        <v>800000000</v>
      </c>
      <c r="S55" s="761">
        <v>9600000000</v>
      </c>
      <c r="T55" s="761">
        <v>700000000</v>
      </c>
      <c r="U55" s="761">
        <v>17100000000.000002</v>
      </c>
      <c r="V55" s="761">
        <v>15900000000</v>
      </c>
      <c r="W55" s="710"/>
      <c r="X55" s="710"/>
      <c r="Y55" s="710"/>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B56" s="208" t="s">
        <v>1560</v>
      </c>
      <c r="C56" s="58"/>
      <c r="D56" s="28"/>
      <c r="E56" s="28"/>
      <c r="F56" s="28"/>
      <c r="G56" s="298"/>
      <c r="H56" s="298"/>
      <c r="I56" s="298"/>
      <c r="J56" s="298"/>
      <c r="K56" s="298"/>
      <c r="L56" s="298"/>
      <c r="M56" s="298"/>
      <c r="N56" s="298"/>
      <c r="O56" s="298"/>
      <c r="P56" s="298"/>
      <c r="Q56" s="273">
        <v>0</v>
      </c>
      <c r="R56" s="273">
        <v>0</v>
      </c>
      <c r="S56" s="761"/>
      <c r="T56" s="761"/>
      <c r="U56" s="761"/>
      <c r="V56" s="761"/>
      <c r="W56" s="710"/>
      <c r="X56" s="710"/>
      <c r="Y56" s="710"/>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B57" s="58" t="s">
        <v>6750</v>
      </c>
      <c r="C57" s="58"/>
      <c r="D57" s="28"/>
      <c r="E57" s="28"/>
      <c r="F57" s="28"/>
      <c r="G57" s="298"/>
      <c r="H57" s="298"/>
      <c r="I57" s="298"/>
      <c r="J57" s="298"/>
      <c r="K57" s="298"/>
      <c r="L57" s="125">
        <v>0</v>
      </c>
      <c r="M57" s="142">
        <v>23300000000</v>
      </c>
      <c r="N57" s="142">
        <v>22800000000</v>
      </c>
      <c r="O57" s="142">
        <v>8900000000</v>
      </c>
      <c r="P57" s="142">
        <v>0</v>
      </c>
      <c r="Q57" s="273">
        <v>1400000000</v>
      </c>
      <c r="R57" s="273">
        <v>33600000000</v>
      </c>
      <c r="S57" s="761"/>
      <c r="T57" s="761"/>
      <c r="U57" s="761"/>
      <c r="V57" s="761"/>
      <c r="W57" s="710"/>
      <c r="X57" s="710"/>
      <c r="Y57" s="710"/>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B58" s="58" t="s">
        <v>6751</v>
      </c>
      <c r="C58" s="58"/>
      <c r="D58" s="28"/>
      <c r="E58" s="28"/>
      <c r="F58" s="28"/>
      <c r="G58" s="298"/>
      <c r="H58" s="298"/>
      <c r="I58" s="298"/>
      <c r="J58" s="298"/>
      <c r="K58" s="298"/>
      <c r="L58" s="125">
        <v>0</v>
      </c>
      <c r="M58" s="142">
        <v>23300000000</v>
      </c>
      <c r="N58" s="142">
        <v>6400000000</v>
      </c>
      <c r="O58" s="142">
        <v>8900000000</v>
      </c>
      <c r="P58" s="142">
        <v>0</v>
      </c>
      <c r="Q58" s="273">
        <v>1400000000</v>
      </c>
      <c r="R58" s="273">
        <v>26700000000</v>
      </c>
      <c r="S58" s="761"/>
      <c r="T58" s="761"/>
      <c r="U58" s="761"/>
      <c r="V58" s="761"/>
      <c r="W58" s="710"/>
      <c r="X58" s="710"/>
      <c r="Y58" s="710"/>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2463" t="s">
        <v>6752</v>
      </c>
      <c r="B59" s="2579" t="s">
        <v>6753</v>
      </c>
      <c r="C59" s="58"/>
      <c r="D59" s="28"/>
      <c r="E59" s="28"/>
      <c r="F59" s="28"/>
      <c r="G59" s="298"/>
      <c r="H59" s="298"/>
      <c r="I59" s="298"/>
      <c r="J59" s="298"/>
      <c r="K59" s="298"/>
      <c r="L59" s="125"/>
      <c r="M59" s="142"/>
      <c r="N59" s="142"/>
      <c r="O59" s="142"/>
      <c r="P59" s="142"/>
      <c r="Q59" s="273"/>
      <c r="R59" s="273"/>
      <c r="S59" s="761"/>
      <c r="T59" s="761"/>
      <c r="U59" s="761"/>
      <c r="V59" s="761"/>
      <c r="W59" s="710"/>
      <c r="X59" s="710"/>
      <c r="Y59" s="710"/>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ht="16.5">
      <c r="B60" s="58" t="s">
        <v>6754</v>
      </c>
      <c r="C60" s="58"/>
      <c r="D60" s="28"/>
      <c r="E60" s="28"/>
      <c r="F60" s="28"/>
      <c r="G60" s="298"/>
      <c r="H60" s="298"/>
      <c r="I60" s="298"/>
      <c r="J60" s="298"/>
      <c r="K60" s="298"/>
      <c r="L60" s="125">
        <v>0</v>
      </c>
      <c r="M60" s="142">
        <v>0</v>
      </c>
      <c r="N60" s="142">
        <v>16399999999.999998</v>
      </c>
      <c r="O60" s="142">
        <v>0</v>
      </c>
      <c r="P60" s="142">
        <v>0</v>
      </c>
      <c r="Q60" s="273">
        <v>0</v>
      </c>
      <c r="R60" s="273">
        <v>6900000000</v>
      </c>
      <c r="S60" s="761">
        <v>45300000000</v>
      </c>
      <c r="T60" s="761">
        <v>129000000000</v>
      </c>
      <c r="U60" s="761">
        <v>98000000000</v>
      </c>
      <c r="V60" s="761">
        <v>0</v>
      </c>
      <c r="W60" s="710"/>
      <c r="X60" s="710"/>
      <c r="Y60" s="710"/>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ht="16.5">
      <c r="B61" s="58" t="s">
        <v>6755</v>
      </c>
      <c r="C61" s="58"/>
      <c r="D61" s="28"/>
      <c r="E61" s="28"/>
      <c r="F61" s="28"/>
      <c r="G61" s="298"/>
      <c r="H61" s="298"/>
      <c r="I61" s="298"/>
      <c r="J61" s="298"/>
      <c r="K61" s="298"/>
      <c r="L61" s="298"/>
      <c r="M61" s="125">
        <v>22700000000</v>
      </c>
      <c r="N61" s="142">
        <v>18200000000</v>
      </c>
      <c r="O61" s="142">
        <v>20400000000</v>
      </c>
      <c r="P61" s="142">
        <v>15200000000</v>
      </c>
      <c r="Q61" s="273">
        <v>27500000000</v>
      </c>
      <c r="R61" s="273">
        <v>87300000000</v>
      </c>
      <c r="S61" s="761">
        <v>20500000000</v>
      </c>
      <c r="T61" s="761">
        <v>1000000000</v>
      </c>
      <c r="U61" s="761">
        <v>0</v>
      </c>
      <c r="V61" s="761">
        <v>0</v>
      </c>
      <c r="W61" s="710"/>
      <c r="X61" s="710"/>
      <c r="Y61" s="710"/>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B62" s="58" t="s">
        <v>6756</v>
      </c>
      <c r="C62" s="58"/>
      <c r="D62" s="28"/>
      <c r="E62" s="28"/>
      <c r="F62" s="28"/>
      <c r="G62" s="298"/>
      <c r="H62" s="298"/>
      <c r="I62" s="298"/>
      <c r="J62" s="298"/>
      <c r="K62" s="298"/>
      <c r="L62" s="298"/>
      <c r="M62" s="298"/>
      <c r="N62" s="298"/>
      <c r="O62" s="298"/>
      <c r="P62" s="298"/>
      <c r="Q62" s="273">
        <v>5800000000</v>
      </c>
      <c r="R62" s="273">
        <v>96900000000</v>
      </c>
      <c r="S62" s="761">
        <v>29900000000</v>
      </c>
      <c r="T62" s="761">
        <v>100000000</v>
      </c>
      <c r="U62" s="761">
        <v>37800000000</v>
      </c>
      <c r="V62" s="761">
        <v>0</v>
      </c>
      <c r="W62" s="710"/>
      <c r="X62" s="710"/>
      <c r="Y62" s="710"/>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2463" t="s">
        <v>4058</v>
      </c>
      <c r="B63" s="58" t="s">
        <v>6757</v>
      </c>
      <c r="C63" s="58"/>
      <c r="D63" s="28"/>
      <c r="E63" s="28"/>
      <c r="F63" s="28"/>
      <c r="G63" s="298"/>
      <c r="H63" s="298"/>
      <c r="I63" s="298"/>
      <c r="J63" s="298"/>
      <c r="K63" s="298"/>
      <c r="L63" s="298"/>
      <c r="M63" s="298"/>
      <c r="N63" s="298"/>
      <c r="O63" s="298"/>
      <c r="P63" s="298"/>
      <c r="Q63" s="273">
        <v>16100000000.000002</v>
      </c>
      <c r="R63" s="273">
        <v>1000000000</v>
      </c>
      <c r="S63" s="761">
        <v>0</v>
      </c>
      <c r="T63" s="761">
        <v>0</v>
      </c>
      <c r="U63" s="761">
        <v>-37800000000</v>
      </c>
      <c r="V63" s="761">
        <v>0</v>
      </c>
      <c r="W63" s="710"/>
      <c r="X63" s="710"/>
      <c r="Y63" s="710"/>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B64" s="58" t="s">
        <v>4827</v>
      </c>
      <c r="C64" s="58"/>
      <c r="D64" s="28"/>
      <c r="E64" s="28"/>
      <c r="F64" s="28"/>
      <c r="G64" s="298"/>
      <c r="H64" s="298"/>
      <c r="I64" s="298"/>
      <c r="J64" s="298"/>
      <c r="K64" s="298"/>
      <c r="L64" s="298"/>
      <c r="M64" s="298"/>
      <c r="N64" s="298"/>
      <c r="O64" s="298"/>
      <c r="P64" s="298"/>
      <c r="Q64" s="273">
        <v>5600000000</v>
      </c>
      <c r="R64" s="273">
        <v>-10600000000</v>
      </c>
      <c r="S64" s="761">
        <v>-9400000000</v>
      </c>
      <c r="T64" s="761">
        <v>900000000</v>
      </c>
      <c r="U64" s="761">
        <v>0</v>
      </c>
      <c r="V64" s="761">
        <v>0</v>
      </c>
      <c r="W64" s="710"/>
      <c r="X64" s="710"/>
      <c r="Y64" s="710"/>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2:54" ht="16.5">
      <c r="B65" s="58" t="s">
        <v>6758</v>
      </c>
      <c r="C65" s="58"/>
      <c r="D65" s="28"/>
      <c r="E65" s="28"/>
      <c r="F65" s="28"/>
      <c r="G65" s="298"/>
      <c r="H65" s="298"/>
      <c r="I65" s="298"/>
      <c r="J65" s="298"/>
      <c r="K65" s="298"/>
      <c r="L65" s="125">
        <v>30000000000</v>
      </c>
      <c r="M65" s="125">
        <v>103200000000</v>
      </c>
      <c r="N65" s="142">
        <v>103300000000</v>
      </c>
      <c r="O65" s="142">
        <v>65099999999.999992</v>
      </c>
      <c r="P65" s="142">
        <v>78200000000</v>
      </c>
      <c r="Q65" s="273">
        <v>99000000000</v>
      </c>
      <c r="R65" s="273">
        <v>191700000000</v>
      </c>
      <c r="S65" s="761">
        <v>88900000000</v>
      </c>
      <c r="T65" s="761">
        <v>183000000000</v>
      </c>
      <c r="U65" s="761">
        <v>179800000000</v>
      </c>
      <c r="V65" s="761">
        <v>76800000000</v>
      </c>
      <c r="W65" s="710"/>
      <c r="X65" s="710"/>
      <c r="Y65" s="710"/>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58"/>
      <c r="D66" s="28"/>
      <c r="E66" s="28"/>
      <c r="F66" s="28"/>
      <c r="G66" s="298"/>
      <c r="H66" s="298"/>
      <c r="I66" s="298"/>
      <c r="J66" s="298"/>
      <c r="K66" s="298"/>
      <c r="L66" s="298"/>
      <c r="M66" s="298"/>
      <c r="N66" s="298"/>
      <c r="O66" s="298"/>
      <c r="P66" s="298"/>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449</v>
      </c>
      <c r="C69" s="58"/>
      <c r="D69" s="28"/>
      <c r="E69" s="28"/>
      <c r="F69" s="28"/>
      <c r="G69" s="298">
        <f>G6-G22-G7</f>
        <v>0</v>
      </c>
      <c r="H69" s="298">
        <f t="shared" ref="H69:X69" si="3">H6-H22-H7</f>
        <v>0</v>
      </c>
      <c r="I69" s="298">
        <f t="shared" si="3"/>
        <v>0</v>
      </c>
      <c r="J69" s="298">
        <f t="shared" si="3"/>
        <v>0</v>
      </c>
      <c r="K69" s="298">
        <f t="shared" si="3"/>
        <v>0</v>
      </c>
      <c r="L69" s="298">
        <f t="shared" si="3"/>
        <v>0</v>
      </c>
      <c r="M69" s="298">
        <f t="shared" si="3"/>
        <v>0</v>
      </c>
      <c r="N69" s="298">
        <f t="shared" si="3"/>
        <v>0</v>
      </c>
      <c r="O69" s="298">
        <f t="shared" si="3"/>
        <v>0</v>
      </c>
      <c r="P69" s="298">
        <f t="shared" si="3"/>
        <v>0</v>
      </c>
      <c r="Q69" s="298">
        <f t="shared" si="3"/>
        <v>0</v>
      </c>
      <c r="R69" s="298">
        <f t="shared" si="3"/>
        <v>0</v>
      </c>
      <c r="S69" s="298">
        <f t="shared" si="3"/>
        <v>0</v>
      </c>
      <c r="T69" s="298">
        <f t="shared" si="3"/>
        <v>0</v>
      </c>
      <c r="U69" s="298">
        <f t="shared" si="3"/>
        <v>0</v>
      </c>
      <c r="V69" s="298">
        <f t="shared" si="3"/>
        <v>0</v>
      </c>
      <c r="W69" s="298">
        <f t="shared" si="3"/>
        <v>0</v>
      </c>
      <c r="X69" s="298">
        <f t="shared" si="3"/>
        <v>0</v>
      </c>
      <c r="Y69" s="298">
        <f t="shared" ref="Y69" si="4">Y6-Y22-Y7</f>
        <v>0</v>
      </c>
    </row>
    <row r="70" spans="2:54">
      <c r="B70" s="58" t="s">
        <v>141</v>
      </c>
      <c r="C70" s="58"/>
      <c r="D70" s="28"/>
      <c r="E70" s="28"/>
      <c r="F70" s="28"/>
      <c r="G70" s="298">
        <f>G7-G8-G21</f>
        <v>0</v>
      </c>
      <c r="H70" s="298">
        <f t="shared" ref="H70:X70" si="5">H7-H8-H21</f>
        <v>-1000000</v>
      </c>
      <c r="I70" s="298">
        <f t="shared" si="5"/>
        <v>0</v>
      </c>
      <c r="J70" s="298">
        <f t="shared" si="5"/>
        <v>0</v>
      </c>
      <c r="K70" s="298">
        <f t="shared" si="5"/>
        <v>0</v>
      </c>
      <c r="L70" s="298">
        <f t="shared" si="5"/>
        <v>0</v>
      </c>
      <c r="M70" s="298">
        <f t="shared" si="5"/>
        <v>0</v>
      </c>
      <c r="N70" s="298">
        <f t="shared" si="5"/>
        <v>0</v>
      </c>
      <c r="O70" s="298">
        <f t="shared" si="5"/>
        <v>0</v>
      </c>
      <c r="P70" s="298">
        <f t="shared" si="5"/>
        <v>0</v>
      </c>
      <c r="Q70" s="298">
        <f t="shared" si="5"/>
        <v>0</v>
      </c>
      <c r="R70" s="298">
        <f t="shared" si="5"/>
        <v>0</v>
      </c>
      <c r="S70" s="298">
        <f t="shared" si="5"/>
        <v>0</v>
      </c>
      <c r="T70" s="298">
        <f t="shared" si="5"/>
        <v>0</v>
      </c>
      <c r="U70" s="298">
        <f t="shared" si="5"/>
        <v>0</v>
      </c>
      <c r="V70" s="298">
        <f t="shared" si="5"/>
        <v>0</v>
      </c>
      <c r="W70" s="298">
        <f t="shared" si="5"/>
        <v>0</v>
      </c>
      <c r="X70" s="298">
        <f t="shared" si="5"/>
        <v>0</v>
      </c>
      <c r="Y70" s="298">
        <f t="shared" ref="Y70" si="6">Y7-Y8-Y21</f>
        <v>0</v>
      </c>
    </row>
    <row r="71" spans="2:54">
      <c r="B71" s="58" t="s">
        <v>451</v>
      </c>
      <c r="C71" s="58"/>
      <c r="D71" s="28"/>
      <c r="E71" s="28"/>
      <c r="F71" s="28"/>
      <c r="G71" s="298">
        <f t="shared" ref="G71:R71" si="7">G8-G9-G13-G14-G15-G19-G20</f>
        <v>-1000000</v>
      </c>
      <c r="H71" s="298">
        <f t="shared" si="7"/>
        <v>0</v>
      </c>
      <c r="I71" s="298">
        <f t="shared" si="7"/>
        <v>0</v>
      </c>
      <c r="J71" s="298">
        <f t="shared" si="7"/>
        <v>0</v>
      </c>
      <c r="K71" s="298">
        <f t="shared" si="7"/>
        <v>1000000</v>
      </c>
      <c r="L71" s="298">
        <f t="shared" si="7"/>
        <v>-100000000</v>
      </c>
      <c r="M71" s="298">
        <f t="shared" si="7"/>
        <v>0</v>
      </c>
      <c r="N71" s="298">
        <f t="shared" si="7"/>
        <v>0</v>
      </c>
      <c r="O71" s="298">
        <f t="shared" si="7"/>
        <v>0</v>
      </c>
      <c r="P71" s="298">
        <f t="shared" si="7"/>
        <v>0</v>
      </c>
      <c r="Q71" s="298">
        <f t="shared" si="7"/>
        <v>0</v>
      </c>
      <c r="R71" s="298">
        <f t="shared" si="7"/>
        <v>0</v>
      </c>
      <c r="S71" s="298">
        <f>S8-S9-S13-S14-S15-S19-S20-S12</f>
        <v>100000000</v>
      </c>
      <c r="T71" s="298">
        <f t="shared" ref="T71:Y71" si="8">T8-T9-T13-T14-T15-T19-T20-T12</f>
        <v>0</v>
      </c>
      <c r="U71" s="298">
        <f t="shared" si="8"/>
        <v>-100000000</v>
      </c>
      <c r="V71" s="298">
        <f t="shared" si="8"/>
        <v>100000000</v>
      </c>
      <c r="W71" s="298">
        <f t="shared" si="8"/>
        <v>0</v>
      </c>
      <c r="X71" s="298">
        <f t="shared" si="8"/>
        <v>0</v>
      </c>
      <c r="Y71" s="298">
        <f t="shared" si="8"/>
        <v>0</v>
      </c>
    </row>
    <row r="72" spans="2:54">
      <c r="B72" s="58" t="s">
        <v>6759</v>
      </c>
      <c r="C72" s="58"/>
      <c r="D72" s="28"/>
      <c r="E72" s="28"/>
      <c r="F72" s="28"/>
      <c r="G72" s="298">
        <f>G9-G10-G11</f>
        <v>0</v>
      </c>
      <c r="H72" s="298">
        <f t="shared" ref="H72:X72" si="9">H9-H10-H11</f>
        <v>0</v>
      </c>
      <c r="I72" s="298">
        <f t="shared" si="9"/>
        <v>0</v>
      </c>
      <c r="J72" s="298">
        <f t="shared" si="9"/>
        <v>0</v>
      </c>
      <c r="K72" s="298">
        <f t="shared" si="9"/>
        <v>0</v>
      </c>
      <c r="L72" s="298">
        <f t="shared" si="9"/>
        <v>0</v>
      </c>
      <c r="M72" s="298">
        <f t="shared" si="9"/>
        <v>0</v>
      </c>
      <c r="N72" s="298">
        <f t="shared" si="9"/>
        <v>0</v>
      </c>
      <c r="O72" s="298">
        <f t="shared" si="9"/>
        <v>0</v>
      </c>
      <c r="P72" s="298">
        <f t="shared" si="9"/>
        <v>0</v>
      </c>
      <c r="Q72" s="298">
        <f t="shared" si="9"/>
        <v>0</v>
      </c>
      <c r="R72" s="298">
        <f t="shared" si="9"/>
        <v>0</v>
      </c>
      <c r="S72" s="298">
        <f t="shared" si="9"/>
        <v>-100000000</v>
      </c>
      <c r="T72" s="298">
        <f t="shared" si="9"/>
        <v>0</v>
      </c>
      <c r="U72" s="298">
        <f t="shared" si="9"/>
        <v>0</v>
      </c>
      <c r="V72" s="298">
        <f t="shared" si="9"/>
        <v>0</v>
      </c>
      <c r="W72" s="298">
        <f t="shared" si="9"/>
        <v>0</v>
      </c>
      <c r="X72" s="298">
        <f t="shared" si="9"/>
        <v>0</v>
      </c>
      <c r="Y72" s="298">
        <f t="shared" ref="Y72" si="10">Y9-Y10-Y11</f>
        <v>0</v>
      </c>
    </row>
    <row r="73" spans="2:54">
      <c r="B73" s="58" t="s">
        <v>6760</v>
      </c>
      <c r="C73" s="58"/>
      <c r="D73" s="28"/>
      <c r="E73" s="28"/>
      <c r="F73" s="28"/>
      <c r="G73" s="298">
        <f>G15-G16-G17-G18</f>
        <v>0</v>
      </c>
      <c r="H73" s="298">
        <f t="shared" ref="H73:X73" si="11">H15-H16-H17-H18</f>
        <v>0</v>
      </c>
      <c r="I73" s="298">
        <f t="shared" si="11"/>
        <v>0</v>
      </c>
      <c r="J73" s="298">
        <f t="shared" si="11"/>
        <v>0</v>
      </c>
      <c r="K73" s="298">
        <f t="shared" si="11"/>
        <v>0</v>
      </c>
      <c r="L73" s="298">
        <f t="shared" si="11"/>
        <v>0</v>
      </c>
      <c r="M73" s="298">
        <f t="shared" si="11"/>
        <v>100000000</v>
      </c>
      <c r="N73" s="298">
        <f t="shared" si="11"/>
        <v>0</v>
      </c>
      <c r="O73" s="298">
        <f t="shared" si="11"/>
        <v>0</v>
      </c>
      <c r="P73" s="298">
        <f t="shared" si="11"/>
        <v>0</v>
      </c>
      <c r="Q73" s="298">
        <f t="shared" si="11"/>
        <v>-1.52587890625E-5</v>
      </c>
      <c r="R73" s="298">
        <f t="shared" si="11"/>
        <v>0</v>
      </c>
      <c r="S73" s="298">
        <f t="shared" si="11"/>
        <v>-100000000</v>
      </c>
      <c r="T73" s="298">
        <f t="shared" si="11"/>
        <v>0</v>
      </c>
      <c r="U73" s="298">
        <f t="shared" si="11"/>
        <v>0</v>
      </c>
      <c r="V73" s="298">
        <f t="shared" si="11"/>
        <v>0</v>
      </c>
      <c r="W73" s="298">
        <f t="shared" si="11"/>
        <v>0</v>
      </c>
      <c r="X73" s="298">
        <f t="shared" si="11"/>
        <v>0</v>
      </c>
      <c r="Y73" s="298">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6761</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457</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528</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623</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46.80202559481674</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t="b">
        <f t="shared" si="27"/>
        <v>0</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-2900000000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T13" sqref="T13"/>
    </sheetView>
  </sheetViews>
  <sheetFormatPr defaultRowHeight="15"/>
  <cols>
    <col min="1" max="1" width="24.5703125" customWidth="1"/>
    <col min="2" max="2" width="46.42578125" customWidth="1"/>
    <col min="3" max="3" width="22.42578125" bestFit="1" customWidth="1"/>
    <col min="10" max="10" width="17.85546875" bestFit="1" customWidth="1"/>
    <col min="11" max="15" width="18.1406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69" t="s">
        <v>6762</v>
      </c>
      <c r="B1" s="82" t="s">
        <v>6763</v>
      </c>
      <c r="C1" s="82"/>
      <c r="D1" s="27"/>
      <c r="E1" s="27"/>
      <c r="F1" s="27"/>
      <c r="G1" s="27"/>
      <c r="H1" s="27"/>
      <c r="I1" s="27"/>
      <c r="J1" s="27"/>
      <c r="K1" s="27"/>
      <c r="L1" s="27"/>
      <c r="M1" s="27"/>
      <c r="N1" s="27"/>
      <c r="O1" s="28"/>
      <c r="P1" s="28"/>
      <c r="Q1" s="28"/>
      <c r="R1" s="29"/>
      <c r="S1" s="28"/>
      <c r="T1" s="28"/>
      <c r="U1" s="28"/>
      <c r="V1" s="28"/>
      <c r="W1" s="28"/>
      <c r="X1" s="2"/>
    </row>
    <row r="2" spans="1:24">
      <c r="B2" s="30" t="s">
        <v>6764</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5">
        <v>127734224000.00002</v>
      </c>
      <c r="K6" s="518">
        <f t="shared" ref="K6:S6" si="0">K7+K10</f>
        <v>145609550000</v>
      </c>
      <c r="L6" s="518">
        <f t="shared" si="0"/>
        <v>167943863999.99997</v>
      </c>
      <c r="M6" s="518">
        <f t="shared" si="0"/>
        <v>208984800000</v>
      </c>
      <c r="N6" s="518">
        <f t="shared" si="0"/>
        <v>241776750000</v>
      </c>
      <c r="O6" s="518">
        <f t="shared" si="0"/>
        <v>277800000000</v>
      </c>
      <c r="P6" s="518">
        <f t="shared" si="0"/>
        <v>313200000000</v>
      </c>
      <c r="Q6" s="518">
        <f t="shared" si="0"/>
        <v>366358000000</v>
      </c>
      <c r="R6" s="518">
        <f t="shared" si="0"/>
        <v>384768000000</v>
      </c>
      <c r="S6" s="518">
        <f t="shared" si="0"/>
        <v>442624000000</v>
      </c>
      <c r="T6" s="518">
        <f>T7+T10</f>
        <v>656115000000</v>
      </c>
      <c r="U6" s="518"/>
      <c r="V6" s="518"/>
      <c r="W6" s="518"/>
      <c r="X6" s="511"/>
    </row>
    <row r="7" spans="1:24">
      <c r="A7" s="58" t="s">
        <v>159</v>
      </c>
      <c r="B7" s="58" t="s">
        <v>159</v>
      </c>
      <c r="C7" s="345" t="s">
        <v>38</v>
      </c>
      <c r="D7" s="28"/>
      <c r="E7" s="28"/>
      <c r="F7" s="28"/>
      <c r="G7" s="28"/>
      <c r="H7" s="28"/>
      <c r="I7" s="28"/>
      <c r="J7" s="319">
        <f>J8+J9+J11</f>
        <v>127734224000</v>
      </c>
      <c r="K7" s="319">
        <f t="shared" ref="K7:S7" si="1">K8+K9+K11</f>
        <v>145609550000</v>
      </c>
      <c r="L7" s="319">
        <f t="shared" si="1"/>
        <v>167943863999.99997</v>
      </c>
      <c r="M7" s="319">
        <f t="shared" si="1"/>
        <v>208984800000</v>
      </c>
      <c r="N7" s="319">
        <f t="shared" si="1"/>
        <v>241776750000</v>
      </c>
      <c r="O7" s="319">
        <f t="shared" si="1"/>
        <v>277800000000</v>
      </c>
      <c r="P7" s="319">
        <f t="shared" si="1"/>
        <v>313200000000</v>
      </c>
      <c r="Q7" s="319">
        <f t="shared" si="1"/>
        <v>366358000000</v>
      </c>
      <c r="R7" s="319">
        <f t="shared" si="1"/>
        <v>384768000000</v>
      </c>
      <c r="S7" s="319">
        <f t="shared" si="1"/>
        <v>442624000000</v>
      </c>
      <c r="T7" s="319">
        <f>T8+T9+T11</f>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558</v>
      </c>
      <c r="B9" s="64" t="s">
        <v>1179</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6" t="s">
        <v>38</v>
      </c>
      <c r="D10" s="200"/>
      <c r="E10" s="200"/>
      <c r="F10" s="200"/>
      <c r="G10" s="200"/>
      <c r="H10" s="200"/>
      <c r="I10" s="200"/>
      <c r="J10" s="335">
        <v>0</v>
      </c>
      <c r="K10" s="335">
        <v>0</v>
      </c>
      <c r="L10" s="335">
        <v>0</v>
      </c>
      <c r="M10" s="335">
        <v>0</v>
      </c>
      <c r="N10" s="335">
        <v>0</v>
      </c>
      <c r="O10" s="335">
        <v>0</v>
      </c>
      <c r="P10" s="335">
        <v>0</v>
      </c>
      <c r="Q10" s="335">
        <v>0</v>
      </c>
      <c r="R10" s="473">
        <v>0</v>
      </c>
      <c r="S10" s="473">
        <v>0</v>
      </c>
      <c r="T10" s="473">
        <v>82212000000.000015</v>
      </c>
      <c r="U10" s="518"/>
      <c r="V10" s="518"/>
      <c r="W10" s="518"/>
      <c r="X10" s="511"/>
    </row>
    <row r="11" spans="1:24">
      <c r="A11" s="64" t="s">
        <v>560</v>
      </c>
      <c r="B11" s="64" t="s">
        <v>997</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19">
        <f>J13+J22</f>
        <v>131976320000.00002</v>
      </c>
      <c r="K12" s="319">
        <f t="shared" ref="K12:T12" si="2">K13+K22</f>
        <v>154401069999.99997</v>
      </c>
      <c r="L12" s="319">
        <f t="shared" si="2"/>
        <v>174941524999.99997</v>
      </c>
      <c r="M12" s="319">
        <f t="shared" si="2"/>
        <v>219984000000</v>
      </c>
      <c r="N12" s="319">
        <f t="shared" si="2"/>
        <v>248016150000</v>
      </c>
      <c r="O12" s="319">
        <f t="shared" si="2"/>
        <v>282430000000</v>
      </c>
      <c r="P12" s="319">
        <f t="shared" si="2"/>
        <v>333036000000</v>
      </c>
      <c r="Q12" s="319">
        <f t="shared" si="2"/>
        <v>384028000000</v>
      </c>
      <c r="R12" s="319">
        <f t="shared" si="2"/>
        <v>415496000000</v>
      </c>
      <c r="S12" s="319">
        <f t="shared" si="2"/>
        <v>481936000000</v>
      </c>
      <c r="T12" s="319">
        <f t="shared" si="2"/>
        <v>716193000000</v>
      </c>
      <c r="U12" s="505"/>
      <c r="V12" s="505"/>
      <c r="W12" s="505"/>
      <c r="X12" s="508"/>
    </row>
    <row r="13" spans="1:24">
      <c r="A13" s="58" t="s">
        <v>73</v>
      </c>
      <c r="B13" s="58" t="s">
        <v>382</v>
      </c>
      <c r="C13" s="58" t="s">
        <v>201</v>
      </c>
      <c r="D13" s="28"/>
      <c r="E13" s="28"/>
      <c r="F13" s="28"/>
      <c r="G13" s="28"/>
      <c r="H13" s="28"/>
      <c r="I13" s="28"/>
      <c r="J13" s="125">
        <v>125377504000.00002</v>
      </c>
      <c r="K13" s="125">
        <v>145609549999.99997</v>
      </c>
      <c r="L13" s="319">
        <f>L14+L15+L16+L17+L18+L19+L20+L21</f>
        <v>163490806999.99997</v>
      </c>
      <c r="M13" s="319">
        <f>M14+M15+M16+M17+M18+M19+M20+M21</f>
        <v>208984800000</v>
      </c>
      <c r="N13" s="319">
        <f>N14+N15+N16+N17+N18+N19+N20+N21</f>
        <v>237097200000</v>
      </c>
      <c r="O13" s="319">
        <f>O14+O15+O16+O17+O18+O19+O20+O21</f>
        <v>268540000000</v>
      </c>
      <c r="P13" s="125">
        <v>318420000000</v>
      </c>
      <c r="Q13" s="125">
        <v>367536000000</v>
      </c>
      <c r="R13" s="130">
        <v>396792000000</v>
      </c>
      <c r="S13" s="32">
        <v>464464000000</v>
      </c>
      <c r="T13" s="32">
        <v>694059000000</v>
      </c>
      <c r="U13" s="32"/>
      <c r="V13" s="32"/>
      <c r="W13" s="32"/>
      <c r="X13" s="4"/>
    </row>
    <row r="14" spans="1:24">
      <c r="A14" s="64" t="s">
        <v>797</v>
      </c>
      <c r="B14" s="64" t="s">
        <v>1005</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1059</v>
      </c>
      <c r="B15" s="64" t="s">
        <v>1182</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804</v>
      </c>
      <c r="B16" s="64" t="s">
        <v>1183</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806</v>
      </c>
      <c r="B20" s="64" t="s">
        <v>1184</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808</v>
      </c>
      <c r="B21" s="64" t="s">
        <v>6765</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1186</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1019</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6766</v>
      </c>
      <c r="C24" s="34"/>
      <c r="D24" s="28"/>
      <c r="E24" s="28"/>
      <c r="F24" s="28"/>
      <c r="G24" s="28"/>
      <c r="H24" s="28"/>
      <c r="I24" s="28"/>
      <c r="J24" s="125"/>
      <c r="K24" s="125"/>
      <c r="L24" s="125"/>
      <c r="M24" s="125"/>
      <c r="N24" s="125"/>
      <c r="O24" s="125"/>
      <c r="P24" s="125"/>
      <c r="Q24" s="125">
        <v>-1178000000</v>
      </c>
      <c r="R24" s="130">
        <v>-12024000000</v>
      </c>
      <c r="S24" s="32">
        <v>-21840000000</v>
      </c>
      <c r="T24" s="32">
        <v>-36362999999.999992</v>
      </c>
      <c r="U24" s="32"/>
      <c r="V24" s="32"/>
      <c r="W24" s="32"/>
      <c r="X24" s="4"/>
    </row>
    <row r="25" spans="1:24">
      <c r="A25" t="s">
        <v>76</v>
      </c>
      <c r="B25" s="58" t="s">
        <v>6767</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5">
        <f>J29+J42</f>
        <v>3770752000</v>
      </c>
      <c r="K26" s="319">
        <f>K27+K28</f>
        <v>8791520000</v>
      </c>
      <c r="L26" s="335">
        <f t="shared" ref="L26" si="3">L27+L28</f>
        <v>6997660999.9999971</v>
      </c>
      <c r="M26" s="335">
        <f t="shared" ref="M26" si="4">M27+M28</f>
        <v>11686650000</v>
      </c>
      <c r="N26" s="335">
        <f t="shared" ref="N26" si="5">N27+N28</f>
        <v>9359100000</v>
      </c>
      <c r="O26" s="335">
        <f>O27+O28</f>
        <v>67598000000</v>
      </c>
      <c r="P26" s="335">
        <f>P27+P28</f>
        <v>30276000000</v>
      </c>
      <c r="Q26" s="335">
        <f t="shared" ref="Q26:T26" si="6">Q27+Q28</f>
        <v>11780000000.000004</v>
      </c>
      <c r="R26" s="335">
        <f t="shared" si="6"/>
        <v>36072000000</v>
      </c>
      <c r="S26" s="335">
        <f t="shared" si="6"/>
        <v>104832000000</v>
      </c>
      <c r="T26" s="335">
        <f t="shared" si="6"/>
        <v>20553000000.000011</v>
      </c>
      <c r="U26" s="518"/>
      <c r="V26" s="518"/>
      <c r="W26" s="518"/>
      <c r="X26" s="511"/>
    </row>
    <row r="27" spans="1:24">
      <c r="A27" s="58" t="s">
        <v>120</v>
      </c>
      <c r="B27" s="58" t="s">
        <v>120</v>
      </c>
      <c r="C27" s="58" t="s">
        <v>252</v>
      </c>
      <c r="D27" s="28"/>
      <c r="E27" s="28"/>
      <c r="F27" s="28"/>
      <c r="G27" s="28"/>
      <c r="H27" s="28"/>
      <c r="I27" s="28"/>
      <c r="J27" s="125">
        <f>J40+J53</f>
        <v>12726288000.000002</v>
      </c>
      <c r="K27" s="125">
        <f t="shared" ref="K27:M28" si="7">K40+K53</f>
        <v>-15385160000</v>
      </c>
      <c r="L27" s="125">
        <f t="shared" si="7"/>
        <v>15267623999.999996</v>
      </c>
      <c r="M27" s="125">
        <f t="shared" si="7"/>
        <v>-5499600000</v>
      </c>
      <c r="N27" s="125">
        <f t="shared" ref="N27:R28" si="8">N40+N53</f>
        <v>12478800000</v>
      </c>
      <c r="O27" s="125">
        <f t="shared" si="8"/>
        <v>69450000000</v>
      </c>
      <c r="P27" s="125">
        <f t="shared" si="8"/>
        <v>8352000000</v>
      </c>
      <c r="Q27" s="125">
        <f t="shared" si="8"/>
        <v>-20026000000</v>
      </c>
      <c r="R27" s="125">
        <f t="shared" si="8"/>
        <v>4008000000</v>
      </c>
      <c r="S27" s="125">
        <f t="shared" ref="S27:T27" si="9">S40+S53</f>
        <v>74256000000</v>
      </c>
      <c r="T27" s="125">
        <f t="shared" si="9"/>
        <v>41106000000.000015</v>
      </c>
      <c r="U27" s="32"/>
      <c r="V27" s="32"/>
      <c r="W27" s="32"/>
      <c r="X27" s="4"/>
    </row>
    <row r="28" spans="1:24">
      <c r="A28" s="58" t="s">
        <v>261</v>
      </c>
      <c r="B28" s="58" t="s">
        <v>261</v>
      </c>
      <c r="C28" s="58" t="s">
        <v>252</v>
      </c>
      <c r="D28" s="28"/>
      <c r="E28" s="28"/>
      <c r="F28" s="28"/>
      <c r="G28" s="28"/>
      <c r="H28" s="28"/>
      <c r="I28" s="28"/>
      <c r="J28" s="125">
        <f>J41+J54</f>
        <v>-8955536000</v>
      </c>
      <c r="K28" s="125">
        <f t="shared" si="7"/>
        <v>24176680000</v>
      </c>
      <c r="L28" s="125">
        <f t="shared" si="7"/>
        <v>-8269962999.999999</v>
      </c>
      <c r="M28" s="125">
        <f t="shared" si="7"/>
        <v>17186250000</v>
      </c>
      <c r="N28" s="125">
        <f t="shared" si="8"/>
        <v>-3119700000</v>
      </c>
      <c r="O28" s="125">
        <f t="shared" si="8"/>
        <v>-1852000000</v>
      </c>
      <c r="P28" s="125">
        <f t="shared" si="8"/>
        <v>21924000000</v>
      </c>
      <c r="Q28" s="125">
        <f t="shared" si="8"/>
        <v>31806000000.000004</v>
      </c>
      <c r="R28" s="125">
        <f t="shared" si="8"/>
        <v>32064000000</v>
      </c>
      <c r="S28" s="125">
        <f t="shared" ref="S28:T28" si="10">S41+S54</f>
        <v>30576000000</v>
      </c>
      <c r="T28" s="125">
        <f t="shared" si="10"/>
        <v>-20553000000.000004</v>
      </c>
      <c r="U28" s="32"/>
      <c r="V28" s="32"/>
      <c r="W28" s="32"/>
      <c r="X28" s="4"/>
    </row>
    <row r="29" spans="1:24">
      <c r="B29" s="58" t="s">
        <v>6768</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6769</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1203</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1194</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1195</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444</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6770</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6771</v>
      </c>
      <c r="C36" s="34"/>
      <c r="D36" s="28"/>
      <c r="E36" s="28"/>
      <c r="F36" s="28"/>
      <c r="G36" s="28"/>
      <c r="H36" s="28"/>
      <c r="I36" s="28"/>
      <c r="J36" s="125">
        <v>0</v>
      </c>
      <c r="K36" s="125">
        <v>0</v>
      </c>
      <c r="L36" s="298">
        <v>0</v>
      </c>
      <c r="M36" s="298">
        <v>0</v>
      </c>
      <c r="N36" s="298">
        <v>0</v>
      </c>
      <c r="O36" s="298"/>
      <c r="P36" s="298"/>
      <c r="Q36" s="298"/>
      <c r="R36" s="32"/>
      <c r="S36" s="32">
        <v>0</v>
      </c>
      <c r="T36" s="32">
        <v>0</v>
      </c>
      <c r="U36" s="32"/>
      <c r="V36" s="32"/>
      <c r="W36" s="32"/>
      <c r="X36" s="4"/>
    </row>
    <row r="37" spans="1:24">
      <c r="B37" s="64" t="s">
        <v>5370</v>
      </c>
      <c r="C37" s="34"/>
      <c r="D37" s="28"/>
      <c r="E37" s="28"/>
      <c r="F37" s="28"/>
      <c r="G37" s="28"/>
      <c r="H37" s="28"/>
      <c r="I37" s="28"/>
      <c r="J37" s="125">
        <v>0</v>
      </c>
      <c r="K37" s="125">
        <v>0</v>
      </c>
      <c r="L37" s="298">
        <v>0</v>
      </c>
      <c r="M37" s="298">
        <v>0</v>
      </c>
      <c r="N37" s="298">
        <v>0</v>
      </c>
      <c r="O37" s="298"/>
      <c r="P37" s="298"/>
      <c r="Q37" s="298"/>
      <c r="R37" s="32"/>
      <c r="S37" s="32">
        <v>0</v>
      </c>
      <c r="T37" s="32">
        <v>0</v>
      </c>
      <c r="U37" s="32"/>
      <c r="V37" s="32"/>
      <c r="W37" s="32"/>
      <c r="X37" s="4"/>
    </row>
    <row r="38" spans="1:24">
      <c r="B38" s="64" t="s">
        <v>1199</v>
      </c>
      <c r="C38" s="34"/>
      <c r="D38" s="28"/>
      <c r="E38" s="28"/>
      <c r="F38" s="28"/>
      <c r="G38" s="28"/>
      <c r="H38" s="28"/>
      <c r="I38" s="28"/>
      <c r="J38" s="125">
        <v>0</v>
      </c>
      <c r="K38" s="125">
        <v>0</v>
      </c>
      <c r="L38" s="298">
        <v>0</v>
      </c>
      <c r="M38" s="298">
        <v>0</v>
      </c>
      <c r="N38" s="298">
        <v>0</v>
      </c>
      <c r="O38" s="298"/>
      <c r="P38" s="298"/>
      <c r="Q38" s="298"/>
      <c r="R38" s="32"/>
      <c r="S38" s="32">
        <v>0</v>
      </c>
      <c r="T38" s="32">
        <v>0</v>
      </c>
      <c r="U38" s="32"/>
      <c r="V38" s="32"/>
      <c r="W38" s="32"/>
      <c r="X38" s="4"/>
    </row>
    <row r="39" spans="1:24">
      <c r="B39" s="58" t="s">
        <v>6772</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6773</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6774</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6775</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6769</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1206</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1194</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1195</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444</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6771</v>
      </c>
      <c r="C48" s="34"/>
      <c r="D48" s="28"/>
      <c r="E48" s="28"/>
      <c r="F48" s="28"/>
      <c r="G48" s="28"/>
      <c r="H48" s="28"/>
      <c r="I48" s="28"/>
      <c r="J48" s="125">
        <v>0</v>
      </c>
      <c r="K48" s="125">
        <v>0</v>
      </c>
      <c r="L48" s="298"/>
      <c r="M48" s="298"/>
      <c r="N48" s="298"/>
      <c r="O48" s="298"/>
      <c r="P48" s="298"/>
      <c r="Q48" s="298"/>
      <c r="R48" s="32"/>
      <c r="S48" s="32">
        <v>0</v>
      </c>
      <c r="T48" s="32">
        <v>0</v>
      </c>
      <c r="U48" s="32"/>
      <c r="V48" s="32"/>
      <c r="W48" s="32"/>
      <c r="X48" s="4"/>
    </row>
    <row r="49" spans="1:24">
      <c r="B49" s="64" t="s">
        <v>5370</v>
      </c>
      <c r="C49" s="34"/>
      <c r="D49" s="28"/>
      <c r="E49" s="28"/>
      <c r="F49" s="28"/>
      <c r="G49" s="28"/>
      <c r="H49" s="28"/>
      <c r="I49" s="28"/>
      <c r="J49" s="125">
        <v>0</v>
      </c>
      <c r="K49" s="125">
        <v>0</v>
      </c>
      <c r="L49" s="298"/>
      <c r="M49" s="298"/>
      <c r="N49" s="298"/>
      <c r="O49" s="298"/>
      <c r="P49" s="298"/>
      <c r="Q49" s="298"/>
      <c r="R49" s="32"/>
      <c r="S49" s="32">
        <v>0</v>
      </c>
      <c r="T49" s="32">
        <v>0</v>
      </c>
      <c r="U49" s="32"/>
      <c r="V49" s="32"/>
      <c r="W49" s="32"/>
      <c r="X49" s="4"/>
    </row>
    <row r="50" spans="1:24">
      <c r="B50" s="64" t="s">
        <v>1205</v>
      </c>
      <c r="C50" s="34"/>
      <c r="D50" s="28"/>
      <c r="E50" s="28"/>
      <c r="F50" s="28"/>
      <c r="G50" s="28"/>
      <c r="H50" s="28"/>
      <c r="I50" s="28"/>
      <c r="J50" s="125">
        <v>0</v>
      </c>
      <c r="K50" s="125">
        <v>0</v>
      </c>
      <c r="L50" s="298"/>
      <c r="M50" s="298"/>
      <c r="N50" s="298"/>
      <c r="O50" s="298"/>
      <c r="P50" s="298"/>
      <c r="Q50" s="298"/>
      <c r="R50" s="32"/>
      <c r="S50" s="32">
        <v>0</v>
      </c>
      <c r="T50" s="32">
        <v>0</v>
      </c>
      <c r="U50" s="32"/>
      <c r="V50" s="32"/>
      <c r="W50" s="32"/>
      <c r="X50" s="4"/>
    </row>
    <row r="51" spans="1:24">
      <c r="B51" s="64" t="s">
        <v>6770</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6772</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6776</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6777</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6778</v>
      </c>
      <c r="J58" s="21">
        <f t="shared" ref="J58:R58" si="11">J6-J7-J10</f>
        <v>1.52587890625E-5</v>
      </c>
      <c r="K58" s="21">
        <f t="shared" si="11"/>
        <v>0</v>
      </c>
      <c r="L58" s="21">
        <f t="shared" si="11"/>
        <v>0</v>
      </c>
      <c r="M58" s="21">
        <f t="shared" si="11"/>
        <v>0</v>
      </c>
      <c r="N58" s="21">
        <f t="shared" si="11"/>
        <v>0</v>
      </c>
      <c r="O58" s="21">
        <f>O6-O7-O10</f>
        <v>0</v>
      </c>
      <c r="P58" s="21">
        <f>P6-P7-P10</f>
        <v>0</v>
      </c>
      <c r="Q58" s="21">
        <f t="shared" si="11"/>
        <v>0</v>
      </c>
      <c r="R58" s="21">
        <f t="shared" si="11"/>
        <v>0</v>
      </c>
      <c r="S58" s="21">
        <f t="shared" ref="S58" si="12">S6-S7-S10</f>
        <v>0</v>
      </c>
      <c r="T58" s="21">
        <f>T6-T7-T10</f>
        <v>0</v>
      </c>
      <c r="U58" s="130"/>
      <c r="V58" s="130"/>
      <c r="W58" s="130"/>
      <c r="X58" s="130"/>
    </row>
    <row r="59" spans="1:24">
      <c r="B59" t="s">
        <v>450</v>
      </c>
      <c r="J59" s="21">
        <f>J7-J8-J9-J11</f>
        <v>0</v>
      </c>
      <c r="K59" s="21">
        <f t="shared" ref="K59:Q59" si="13">K7-K8-K9-K11</f>
        <v>1.52587890625E-5</v>
      </c>
      <c r="L59" s="21">
        <f t="shared" si="13"/>
        <v>0</v>
      </c>
      <c r="M59" s="21">
        <f t="shared" si="13"/>
        <v>0</v>
      </c>
      <c r="N59" s="21">
        <f t="shared" si="13"/>
        <v>-1.71661376953125E-5</v>
      </c>
      <c r="O59" s="21">
        <f t="shared" si="13"/>
        <v>0</v>
      </c>
      <c r="P59" s="21">
        <f t="shared" si="13"/>
        <v>0</v>
      </c>
      <c r="Q59" s="21">
        <f t="shared" si="13"/>
        <v>0</v>
      </c>
      <c r="R59" s="21">
        <f>R7-R8-R9-R11</f>
        <v>0</v>
      </c>
      <c r="S59" s="21">
        <f t="shared" ref="S59:T59" si="14">S7-S8-S9-S11</f>
        <v>0</v>
      </c>
      <c r="T59" s="21">
        <f t="shared" si="14"/>
        <v>3.4332275390625E-5</v>
      </c>
      <c r="U59" s="130"/>
      <c r="V59" s="130"/>
      <c r="W59" s="130"/>
      <c r="X59" s="130"/>
    </row>
    <row r="60" spans="1:24">
      <c r="B60" t="s">
        <v>1207</v>
      </c>
      <c r="J60" s="21">
        <f>J12-J13-J22</f>
        <v>0</v>
      </c>
      <c r="K60" s="21">
        <f t="shared" ref="K60:Q60" si="15">K12-K13-K22</f>
        <v>0</v>
      </c>
      <c r="L60" s="21">
        <f t="shared" si="15"/>
        <v>0</v>
      </c>
      <c r="M60" s="21">
        <f t="shared" si="15"/>
        <v>0</v>
      </c>
      <c r="N60" s="21">
        <f t="shared" si="15"/>
        <v>0</v>
      </c>
      <c r="O60" s="21">
        <f t="shared" si="15"/>
        <v>0</v>
      </c>
      <c r="P60" s="21">
        <f>P12-P13-P22</f>
        <v>0</v>
      </c>
      <c r="Q60" s="21">
        <f t="shared" si="15"/>
        <v>0</v>
      </c>
      <c r="R60" s="21">
        <f>R12-R13-R22</f>
        <v>0</v>
      </c>
      <c r="S60" s="21">
        <f t="shared" ref="S60:T60" si="16">S12-S13-S22</f>
        <v>0</v>
      </c>
      <c r="T60" s="21">
        <f t="shared" si="16"/>
        <v>0</v>
      </c>
      <c r="U60" s="130"/>
      <c r="V60" s="130"/>
      <c r="W60" s="130"/>
      <c r="X60" s="130"/>
    </row>
    <row r="61" spans="1:24">
      <c r="B61" t="s">
        <v>382</v>
      </c>
      <c r="J61" s="21">
        <f>J13-J14-J15-J16-J17-J18-J19-J20-J21</f>
        <v>1.52587890625E-5</v>
      </c>
      <c r="K61" s="21">
        <f t="shared" ref="K61:Q61" si="17">K13-K14-K15-K16-K17-K18-K19-K20-K21</f>
        <v>-3.0517578125E-5</v>
      </c>
      <c r="L61" s="21">
        <f>L13-L14-L15-L16-L17-L18-L19-L20-L21</f>
        <v>-2.288818359375E-5</v>
      </c>
      <c r="M61" s="21">
        <f>M13-M14-M15-M16-M17-M18-M19-M20-M21</f>
        <v>0</v>
      </c>
      <c r="N61" s="21">
        <f t="shared" si="17"/>
        <v>0</v>
      </c>
      <c r="O61" s="21">
        <f>O13-O14-O15-O16-O17-O18-O19-O20-O21</f>
        <v>0</v>
      </c>
      <c r="P61" s="21">
        <f>P13-P14-P15-P16-P17-P18-P19-P20-P21</f>
        <v>0</v>
      </c>
      <c r="Q61" s="21">
        <f t="shared" si="17"/>
        <v>0</v>
      </c>
      <c r="R61" s="21">
        <f>R13-R14-R15-R16-R17-R18-R19-R20-R21</f>
        <v>0</v>
      </c>
      <c r="S61" s="21">
        <f t="shared" ref="S61:T61" si="18">S13-S14-S15-S16-S17-S18-S19-S20-S21</f>
        <v>0</v>
      </c>
      <c r="T61" s="21">
        <f t="shared" si="18"/>
        <v>0</v>
      </c>
      <c r="U61" s="130"/>
      <c r="V61" s="130"/>
      <c r="W61" s="130"/>
      <c r="X61" s="130"/>
    </row>
    <row r="62" spans="1:24">
      <c r="B62" t="s">
        <v>457</v>
      </c>
      <c r="J62" s="21">
        <f>J26-J27-J28</f>
        <v>0</v>
      </c>
      <c r="K62" s="21">
        <f>K26-K27-K28</f>
        <v>0</v>
      </c>
      <c r="L62" s="21">
        <f t="shared" ref="L62:Q62" si="19">L26-L27-L28</f>
        <v>0</v>
      </c>
      <c r="M62" s="21">
        <f t="shared" si="19"/>
        <v>0</v>
      </c>
      <c r="N62" s="21">
        <f>N26-N27-N28</f>
        <v>0</v>
      </c>
      <c r="O62" s="192">
        <f>O26-O27-O28</f>
        <v>0</v>
      </c>
      <c r="P62" s="192">
        <f>P26-P27-P28</f>
        <v>0</v>
      </c>
      <c r="Q62" s="21">
        <f t="shared" si="19"/>
        <v>0</v>
      </c>
      <c r="R62" s="21">
        <f>R26-R27-R28</f>
        <v>0</v>
      </c>
      <c r="S62" s="21">
        <f t="shared" ref="S62:T62" si="20">S26-S27-S28</f>
        <v>0</v>
      </c>
      <c r="T62" s="21">
        <f t="shared" si="20"/>
        <v>0</v>
      </c>
      <c r="U62" s="130"/>
      <c r="V62" s="130"/>
      <c r="W62" s="130"/>
      <c r="X62" s="130"/>
    </row>
    <row r="63" spans="1:24">
      <c r="B63" t="s">
        <v>3161</v>
      </c>
      <c r="J63" s="21">
        <f>J27-J40-J53</f>
        <v>0</v>
      </c>
      <c r="K63" s="21">
        <f t="shared" ref="K63:R63" si="21">K27-K40-K53</f>
        <v>0</v>
      </c>
      <c r="L63" s="21">
        <f t="shared" si="21"/>
        <v>0</v>
      </c>
      <c r="M63" s="21">
        <f t="shared" si="21"/>
        <v>0</v>
      </c>
      <c r="N63" s="21">
        <f t="shared" si="21"/>
        <v>0</v>
      </c>
      <c r="O63" s="21">
        <f t="shared" si="21"/>
        <v>0</v>
      </c>
      <c r="P63" s="21">
        <f t="shared" si="21"/>
        <v>0</v>
      </c>
      <c r="Q63" s="21">
        <f t="shared" si="21"/>
        <v>0</v>
      </c>
      <c r="R63" s="21">
        <f t="shared" si="21"/>
        <v>0</v>
      </c>
      <c r="S63" s="21">
        <f t="shared" ref="S63:T63" si="22">S27-S40-S53</f>
        <v>0</v>
      </c>
      <c r="T63" s="21">
        <f t="shared" si="22"/>
        <v>0</v>
      </c>
      <c r="U63" s="130"/>
      <c r="V63" s="130"/>
      <c r="W63" s="130"/>
      <c r="X63" s="130"/>
    </row>
    <row r="64" spans="1:24">
      <c r="B64" t="s">
        <v>5130</v>
      </c>
      <c r="J64" s="21">
        <f>J28-J41-J54</f>
        <v>0</v>
      </c>
      <c r="K64" s="21">
        <f t="shared" ref="K64:R64" si="23">K28-K41-K54</f>
        <v>0</v>
      </c>
      <c r="L64" s="21">
        <f t="shared" si="23"/>
        <v>0</v>
      </c>
      <c r="M64" s="21">
        <f t="shared" si="23"/>
        <v>0</v>
      </c>
      <c r="N64" s="21">
        <f t="shared" si="23"/>
        <v>0</v>
      </c>
      <c r="O64" s="21">
        <f t="shared" si="23"/>
        <v>0</v>
      </c>
      <c r="P64" s="21">
        <f t="shared" si="23"/>
        <v>0</v>
      </c>
      <c r="Q64" s="21">
        <f t="shared" si="23"/>
        <v>0</v>
      </c>
      <c r="R64" s="21">
        <f t="shared" si="23"/>
        <v>0</v>
      </c>
      <c r="S64" s="21">
        <f t="shared" ref="S64:T64" si="24">S28-S41-S54</f>
        <v>0</v>
      </c>
      <c r="T64" s="21">
        <f t="shared" si="24"/>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623</v>
      </c>
      <c r="J66" s="512">
        <v>471344000000</v>
      </c>
      <c r="K66" s="513">
        <v>549470000000</v>
      </c>
      <c r="L66" s="513">
        <v>636151000000</v>
      </c>
      <c r="M66" s="513">
        <v>687450000000</v>
      </c>
      <c r="N66" s="513">
        <v>779925000000</v>
      </c>
      <c r="O66" s="513">
        <v>926000000000</v>
      </c>
      <c r="P66" s="513">
        <v>1044000000000</v>
      </c>
      <c r="Q66" s="513">
        <v>1178000000000</v>
      </c>
      <c r="R66" s="513">
        <v>1336000000000</v>
      </c>
      <c r="S66" s="513">
        <v>1456000000000</v>
      </c>
      <c r="T66" s="513">
        <v>1581000000000</v>
      </c>
      <c r="U66" s="130"/>
      <c r="V66" s="130"/>
      <c r="W66" s="130"/>
      <c r="X66" s="130"/>
    </row>
    <row r="67" spans="2:24">
      <c r="B67" t="s">
        <v>151</v>
      </c>
      <c r="J67">
        <f>(J6/J66)*100</f>
        <v>27.1</v>
      </c>
      <c r="K67">
        <f t="shared" ref="K67:Q67" si="25">(K6/K66)*100</f>
        <v>26.5</v>
      </c>
      <c r="L67">
        <f t="shared" si="25"/>
        <v>26.399999999999995</v>
      </c>
      <c r="M67">
        <f t="shared" si="25"/>
        <v>30.4</v>
      </c>
      <c r="N67">
        <f t="shared" si="25"/>
        <v>31</v>
      </c>
      <c r="O67">
        <f t="shared" si="25"/>
        <v>30</v>
      </c>
      <c r="P67">
        <f t="shared" si="25"/>
        <v>30</v>
      </c>
      <c r="Q67">
        <f t="shared" si="25"/>
        <v>31.1</v>
      </c>
      <c r="R67">
        <f>(R6/R66)*100</f>
        <v>28.799999999999997</v>
      </c>
      <c r="S67">
        <f>(S6/S66)*100</f>
        <v>30.4</v>
      </c>
      <c r="T67">
        <f t="shared" ref="T67" si="26">(T6/T66)*100</f>
        <v>41.5</v>
      </c>
      <c r="U67" s="130"/>
      <c r="V67" s="130"/>
      <c r="W67" s="130"/>
      <c r="X67" s="130"/>
    </row>
    <row r="68" spans="2:24">
      <c r="B68" t="s">
        <v>152</v>
      </c>
      <c r="J68">
        <f>(J12/J66)*100</f>
        <v>28.000000000000004</v>
      </c>
      <c r="K68">
        <f t="shared" ref="K68:Q68" si="27">(K12/K66)*100</f>
        <v>28.099999999999998</v>
      </c>
      <c r="L68">
        <f t="shared" si="27"/>
        <v>27.499999999999996</v>
      </c>
      <c r="M68">
        <f t="shared" si="27"/>
        <v>32</v>
      </c>
      <c r="N68">
        <f t="shared" si="27"/>
        <v>31.8</v>
      </c>
      <c r="O68">
        <f t="shared" si="27"/>
        <v>30.5</v>
      </c>
      <c r="P68">
        <f t="shared" si="27"/>
        <v>31.900000000000002</v>
      </c>
      <c r="Q68">
        <f t="shared" si="27"/>
        <v>32.6</v>
      </c>
      <c r="R68">
        <f>(R12/R66)*100</f>
        <v>31.1</v>
      </c>
      <c r="S68">
        <f t="shared" ref="S68:T68" si="28">(S12/S66)*100</f>
        <v>33.1</v>
      </c>
      <c r="T68">
        <f t="shared" si="28"/>
        <v>45.300000000000004</v>
      </c>
      <c r="U68" s="130"/>
      <c r="V68" s="130"/>
      <c r="W68" s="130"/>
      <c r="X68" s="130"/>
    </row>
    <row r="69" spans="2:24">
      <c r="B69" t="s">
        <v>1980</v>
      </c>
    </row>
    <row r="71" spans="2:24">
      <c r="O71" s="130"/>
      <c r="P71" s="130"/>
      <c r="Q71" s="130"/>
      <c r="R71" s="130"/>
    </row>
    <row r="72" spans="2:24" ht="16.5">
      <c r="S72" s="2424"/>
      <c r="T72" s="2424"/>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O43"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6779</v>
      </c>
      <c r="B1" s="82" t="s">
        <v>6780</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30" t="s">
        <v>6781</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6782</v>
      </c>
      <c r="T5" s="28" t="s">
        <v>6782</v>
      </c>
      <c r="U5" s="28" t="s">
        <v>369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9" customFormat="1" ht="16.5">
      <c r="A6" s="9" t="s">
        <v>33</v>
      </c>
      <c r="B6" s="18" t="s">
        <v>304</v>
      </c>
      <c r="C6" s="18" t="s">
        <v>35</v>
      </c>
      <c r="G6" s="178">
        <v>3288000000000</v>
      </c>
      <c r="H6" s="178">
        <v>3945000000000</v>
      </c>
      <c r="I6" s="178">
        <v>4900000000000</v>
      </c>
      <c r="J6" s="178">
        <v>6519000000000</v>
      </c>
      <c r="K6" s="178">
        <v>8922000000000</v>
      </c>
      <c r="L6" s="304">
        <v>12725000000000</v>
      </c>
      <c r="M6" s="304">
        <v>16251000000000</v>
      </c>
      <c r="N6" s="304">
        <v>20014000000000</v>
      </c>
      <c r="O6" s="304">
        <v>24883000000000</v>
      </c>
      <c r="P6" s="304">
        <v>31715000000000</v>
      </c>
      <c r="Q6" s="304">
        <v>37863000000000</v>
      </c>
      <c r="R6" s="304">
        <v>44808000000000</v>
      </c>
      <c r="S6" s="304">
        <v>56666000000000</v>
      </c>
      <c r="T6" s="304">
        <v>60627000000000</v>
      </c>
      <c r="U6" s="304">
        <v>74865000000000</v>
      </c>
      <c r="V6" s="304">
        <v>94577000000000</v>
      </c>
      <c r="W6" s="304">
        <v>112965000000000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row>
    <row r="7" spans="1:53">
      <c r="A7" t="s">
        <v>36</v>
      </c>
      <c r="B7" s="128" t="s">
        <v>159</v>
      </c>
      <c r="C7" s="345"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ht="16.5">
      <c r="A9" s="99" t="s">
        <v>6783</v>
      </c>
      <c r="B9" s="99" t="s">
        <v>6784</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ht="16.5">
      <c r="A10" s="99" t="s">
        <v>2229</v>
      </c>
      <c r="B10" s="99" t="s">
        <v>4719</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ht="16.5">
      <c r="A12" s="100" t="s">
        <v>161</v>
      </c>
      <c r="B12" s="100" t="s">
        <v>6785</v>
      </c>
      <c r="C12" s="34" t="s">
        <v>2358</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ht="16.5">
      <c r="A13" s="138" t="s">
        <v>553</v>
      </c>
      <c r="B13" s="138" t="s">
        <v>553</v>
      </c>
      <c r="C13" s="34" t="s">
        <v>2358</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ht="16.5">
      <c r="A14" s="100" t="s">
        <v>6786</v>
      </c>
      <c r="B14" s="100" t="s">
        <v>6787</v>
      </c>
      <c r="C14" s="34" t="s">
        <v>2358</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02" t="s">
        <v>6788</v>
      </c>
      <c r="B15" s="102" t="s">
        <v>6789</v>
      </c>
      <c r="C15" s="34" t="s">
        <v>2358</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ht="16.5">
      <c r="A17" s="90" t="s">
        <v>6790</v>
      </c>
      <c r="B17" s="90" t="s">
        <v>6791</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ht="16.5">
      <c r="A18" s="2453"/>
      <c r="B18" s="2453" t="s">
        <v>6792</v>
      </c>
      <c r="C18" s="2620"/>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ht="16.5">
      <c r="A19" s="90" t="s">
        <v>6793</v>
      </c>
      <c r="B19" s="90" t="s">
        <v>6794</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ht="16.5">
      <c r="A20" s="90" t="s">
        <v>4731</v>
      </c>
      <c r="B20" s="90" t="s">
        <v>6795</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ht="16.5">
      <c r="A21" s="90" t="s">
        <v>6796</v>
      </c>
      <c r="B21" s="90" t="s">
        <v>6797</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ht="16.5">
      <c r="A22" s="139" t="s">
        <v>53</v>
      </c>
      <c r="B22" s="139" t="s">
        <v>53</v>
      </c>
      <c r="C22" s="345"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ht="16.5">
      <c r="A23" t="s">
        <v>76</v>
      </c>
      <c r="B23" s="90" t="s">
        <v>6798</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s="9" customFormat="1" ht="16.5">
      <c r="A24" s="18" t="s">
        <v>198</v>
      </c>
      <c r="B24" s="18" t="s">
        <v>331</v>
      </c>
      <c r="C24" s="18" t="s">
        <v>35</v>
      </c>
      <c r="D24" s="36"/>
      <c r="E24" s="36"/>
      <c r="F24" s="36"/>
      <c r="G24" s="263">
        <f>G25+G26+G31+G32+G33+G34+G35+G36+G37+G38</f>
        <v>3337000000000</v>
      </c>
      <c r="H24" s="263">
        <f t="shared" ref="H24:W24" si="3">H25+H26+H31+H32+H33+H34+H35+H36+H37+H38</f>
        <v>3939000000000</v>
      </c>
      <c r="I24" s="263">
        <f t="shared" si="3"/>
        <v>4945000000000</v>
      </c>
      <c r="J24" s="263">
        <f t="shared" si="3"/>
        <v>6413000000000</v>
      </c>
      <c r="K24" s="263">
        <f t="shared" si="3"/>
        <v>8348000000000</v>
      </c>
      <c r="L24" s="263">
        <f t="shared" si="3"/>
        <v>12232000000000</v>
      </c>
      <c r="M24" s="263">
        <f t="shared" si="3"/>
        <v>16476000000000</v>
      </c>
      <c r="N24" s="263">
        <f t="shared" si="3"/>
        <v>19803000000000</v>
      </c>
      <c r="O24" s="263">
        <f t="shared" si="3"/>
        <v>24778000000000</v>
      </c>
      <c r="P24" s="263">
        <f t="shared" si="3"/>
        <v>31574000000000</v>
      </c>
      <c r="Q24" s="263">
        <f t="shared" si="3"/>
        <v>38949000000000</v>
      </c>
      <c r="R24" s="263">
        <f>R25+R26+R31+R32+R33+R34+R35+R36+R37+R38</f>
        <v>46223000000000</v>
      </c>
      <c r="S24" s="263">
        <f t="shared" si="3"/>
        <v>58651000000000</v>
      </c>
      <c r="T24" s="263">
        <f t="shared" si="3"/>
        <v>62213000000000</v>
      </c>
      <c r="U24" s="263">
        <f t="shared" si="3"/>
        <v>75039000000000</v>
      </c>
      <c r="V24" s="263">
        <f t="shared" si="3"/>
        <v>98594000000000</v>
      </c>
      <c r="W24" s="263">
        <f t="shared" si="3"/>
        <v>118071000000000</v>
      </c>
      <c r="X24" s="16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ht="16.5">
      <c r="A25" s="99" t="s">
        <v>6799</v>
      </c>
      <c r="B25" s="99" t="s">
        <v>6800</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ht="16.5">
      <c r="A26" s="99" t="s">
        <v>6801</v>
      </c>
      <c r="B26" s="99" t="s">
        <v>6802</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ht="16.5">
      <c r="A27" s="90" t="s">
        <v>6803</v>
      </c>
      <c r="B27" s="90" t="s">
        <v>6804</v>
      </c>
      <c r="C27" s="34" t="s">
        <v>6805</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ht="16.5">
      <c r="A28" s="90" t="s">
        <v>6806</v>
      </c>
      <c r="B28" s="90" t="s">
        <v>6807</v>
      </c>
      <c r="C28" s="34" t="s">
        <v>6805</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ht="16.5">
      <c r="A29" s="90" t="s">
        <v>6808</v>
      </c>
      <c r="B29" s="90" t="s">
        <v>6809</v>
      </c>
      <c r="C29" s="34" t="s">
        <v>6810</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ht="16.5">
      <c r="A30" s="90" t="s">
        <v>6811</v>
      </c>
      <c r="B30" s="90" t="s">
        <v>6812</v>
      </c>
      <c r="C30" s="34" t="s">
        <v>6810</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ht="16.5">
      <c r="A31" s="139" t="s">
        <v>6813</v>
      </c>
      <c r="B31" s="139" t="s">
        <v>6813</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ht="16.5">
      <c r="A32" s="90" t="s">
        <v>6814</v>
      </c>
      <c r="B32" s="90" t="s">
        <v>6815</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ht="16.5">
      <c r="A33" s="90" t="s">
        <v>6447</v>
      </c>
      <c r="B33" s="90" t="s">
        <v>6816</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ht="16.5">
      <c r="A34" s="90" t="s">
        <v>6817</v>
      </c>
      <c r="B34" s="90" t="s">
        <v>6818</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ht="16.5">
      <c r="A35" s="90" t="s">
        <v>6819</v>
      </c>
      <c r="B35" s="90" t="s">
        <v>6820</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ht="16.5">
      <c r="A36" s="90" t="s">
        <v>4731</v>
      </c>
      <c r="B36" s="90" t="s">
        <v>6795</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ht="16.5">
      <c r="A37" s="90" t="s">
        <v>6821</v>
      </c>
      <c r="B37" s="90" t="s">
        <v>6822</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ht="16.5">
      <c r="A38" s="90" t="s">
        <v>612</v>
      </c>
      <c r="B38" s="90" t="s">
        <v>1159</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ht="16.5">
      <c r="A39" t="s">
        <v>76</v>
      </c>
      <c r="B39" s="90" t="s">
        <v>6823</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ht="16.5">
      <c r="A40" t="s">
        <v>76</v>
      </c>
      <c r="B40" s="90" t="s">
        <v>6824</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ht="16.5">
      <c r="A41" t="s">
        <v>76</v>
      </c>
      <c r="B41" s="90" t="s">
        <v>1972</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ht="16.5">
      <c r="A42" t="s">
        <v>76</v>
      </c>
      <c r="B42" s="90" t="s">
        <v>6825</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ht="16.5">
      <c r="A43" t="s">
        <v>76</v>
      </c>
      <c r="B43" s="90" t="s">
        <v>6826</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ht="16.5">
      <c r="A44" t="s">
        <v>76</v>
      </c>
      <c r="B44" s="139" t="s">
        <v>535</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ht="16.5">
      <c r="A45" t="s">
        <v>76</v>
      </c>
      <c r="B45" s="139" t="s">
        <v>5481</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ht="16.5">
      <c r="A46" t="s">
        <v>76</v>
      </c>
      <c r="B46" s="90" t="s">
        <v>6827</v>
      </c>
      <c r="C46" s="90"/>
      <c r="D46" s="28"/>
      <c r="E46" s="28"/>
      <c r="F46" s="28"/>
      <c r="G46" s="193"/>
      <c r="H46" s="193"/>
      <c r="I46" s="193"/>
      <c r="J46" s="193"/>
      <c r="K46" s="193"/>
      <c r="L46" s="193"/>
      <c r="M46" s="193"/>
      <c r="N46" s="193"/>
      <c r="O46" s="193"/>
      <c r="P46" s="193"/>
      <c r="Q46" s="193"/>
      <c r="R46" s="193"/>
      <c r="S46" s="193"/>
      <c r="T46" s="193"/>
      <c r="U46" s="193"/>
      <c r="V46" s="193"/>
      <c r="W46" s="193"/>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B47" s="2464" t="s">
        <v>6828</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ht="16.5">
      <c r="A48" t="s">
        <v>76</v>
      </c>
      <c r="B48" s="90" t="s">
        <v>6829</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ht="16.5">
      <c r="A49" t="s">
        <v>76</v>
      </c>
      <c r="B49" s="90" t="s">
        <v>1914</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ht="16.5">
      <c r="A50" t="s">
        <v>76</v>
      </c>
      <c r="B50" s="139" t="s">
        <v>5481</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s="9" customFormat="1" ht="16.5">
      <c r="A51" s="148" t="s">
        <v>115</v>
      </c>
      <c r="B51" s="148" t="s">
        <v>115</v>
      </c>
      <c r="C51" s="18" t="s">
        <v>35</v>
      </c>
      <c r="G51" s="178">
        <v>-7000000000</v>
      </c>
      <c r="H51" s="178">
        <v>-74000000000</v>
      </c>
      <c r="I51" s="178">
        <v>-199000000000</v>
      </c>
      <c r="J51" s="178">
        <v>-1072000000000</v>
      </c>
      <c r="K51" s="178">
        <v>-1435000000000</v>
      </c>
      <c r="L51" s="304">
        <v>-4032000000000</v>
      </c>
      <c r="M51" s="304">
        <v>-1363000000000</v>
      </c>
      <c r="N51" s="304">
        <v>-3050000000000</v>
      </c>
      <c r="O51" s="304">
        <v>-6880000000000</v>
      </c>
      <c r="P51" s="304">
        <v>-4572000000000</v>
      </c>
      <c r="Q51" s="304">
        <v>-2142000000000</v>
      </c>
      <c r="R51" s="304">
        <v>-3819000000000</v>
      </c>
      <c r="S51" s="304">
        <v>2210000000000</v>
      </c>
      <c r="T51" s="304">
        <v>1084000000000</v>
      </c>
      <c r="U51" s="304">
        <v>7462000000000</v>
      </c>
      <c r="V51" s="304">
        <v>4018000000000</v>
      </c>
      <c r="W51" s="304">
        <v>5105000000000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ht="16.5">
      <c r="A53" s="100" t="s">
        <v>6830</v>
      </c>
      <c r="B53" s="100" t="s">
        <v>6831</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ht="16.5">
      <c r="A54" s="100" t="s">
        <v>76</v>
      </c>
      <c r="B54" s="100" t="s">
        <v>2602</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ht="16.5">
      <c r="A55" s="100" t="s">
        <v>76</v>
      </c>
      <c r="B55" s="100" t="s">
        <v>6832</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row>
    <row r="56" spans="1:53" ht="16.5">
      <c r="A56" s="100" t="s">
        <v>76</v>
      </c>
      <c r="B56" s="100" t="s">
        <v>2603</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ht="16.5">
      <c r="A57" s="99" t="s">
        <v>6833</v>
      </c>
      <c r="B57" s="99" t="s">
        <v>6834</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ht="16.5">
      <c r="A58" s="99" t="s">
        <v>1096</v>
      </c>
      <c r="B58" s="99" t="s">
        <v>3437</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1700</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450</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451</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3209</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1207</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6835</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6836</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457</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724</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R33" activePane="bottomRight" state="frozen"/>
      <selection pane="topRight" activeCell="D1" sqref="D1"/>
      <selection pane="bottomLeft" activeCell="A6" sqref="A6"/>
      <selection pane="bottomRight" activeCell="C40" sqref="C40"/>
    </sheetView>
  </sheetViews>
  <sheetFormatPr defaultRowHeight="15"/>
  <cols>
    <col min="1" max="1" width="35.5703125" style="1570" bestFit="1" customWidth="1"/>
    <col min="2" max="2" width="49" style="1570" bestFit="1" customWidth="1"/>
    <col min="3" max="3" width="25.5703125" style="1570" customWidth="1"/>
    <col min="4" max="7" width="16.42578125" style="1570" bestFit="1" customWidth="1"/>
    <col min="8" max="9" width="18.7109375" style="1570" bestFit="1" customWidth="1"/>
    <col min="10" max="11" width="18" style="1570" bestFit="1" customWidth="1"/>
    <col min="12" max="13" width="19.5703125" style="1570" bestFit="1" customWidth="1"/>
    <col min="14" max="16" width="21.7109375" style="1570" bestFit="1" customWidth="1"/>
    <col min="17" max="24" width="19.7109375" style="1570" bestFit="1" customWidth="1"/>
    <col min="25" max="26" width="20" style="1570" bestFit="1" customWidth="1"/>
    <col min="27" max="27" width="18.85546875" bestFit="1" customWidth="1"/>
  </cols>
  <sheetData>
    <row r="1" spans="1:50">
      <c r="A1" s="1565" t="s">
        <v>6837</v>
      </c>
      <c r="B1" s="1566" t="s">
        <v>6838</v>
      </c>
      <c r="C1" s="1566"/>
      <c r="D1" s="1567"/>
      <c r="E1" s="1567"/>
      <c r="F1" s="1567"/>
      <c r="G1" s="1567"/>
      <c r="H1" s="1567"/>
      <c r="I1" s="1567"/>
      <c r="J1" s="1567"/>
      <c r="K1" s="1567"/>
      <c r="L1" s="1567"/>
      <c r="M1" s="1567"/>
      <c r="N1" s="1567"/>
      <c r="O1" s="1568"/>
      <c r="P1" s="1568"/>
      <c r="Q1" s="1568"/>
      <c r="R1" s="1569"/>
      <c r="S1" s="1568"/>
      <c r="T1" s="1568"/>
      <c r="U1" s="1568"/>
      <c r="V1" s="1568"/>
      <c r="W1" s="1568"/>
      <c r="X1" s="1568"/>
    </row>
    <row r="2" spans="1:50">
      <c r="B2" s="1571" t="s">
        <v>6839</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1568">
        <v>2023</v>
      </c>
    </row>
    <row r="4" spans="1:50">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85" t="s">
        <v>26</v>
      </c>
      <c r="Z4" s="1585" t="s">
        <v>27</v>
      </c>
      <c r="AA4" s="13" t="s">
        <v>1137</v>
      </c>
    </row>
    <row r="5" spans="1:50">
      <c r="A5" s="1570" t="s">
        <v>28</v>
      </c>
      <c r="B5" s="1575" t="s">
        <v>29</v>
      </c>
      <c r="C5" s="1575"/>
      <c r="D5" s="1568" t="s">
        <v>30</v>
      </c>
      <c r="E5" s="2008" t="s">
        <v>30</v>
      </c>
      <c r="F5" s="2008" t="s">
        <v>30</v>
      </c>
      <c r="G5" s="2008" t="s">
        <v>30</v>
      </c>
      <c r="H5" s="2008" t="s">
        <v>30</v>
      </c>
      <c r="I5" s="1966" t="s">
        <v>31</v>
      </c>
      <c r="J5" s="1966" t="s">
        <v>30</v>
      </c>
      <c r="K5" s="1966" t="s">
        <v>30</v>
      </c>
      <c r="L5" s="1966" t="s">
        <v>30</v>
      </c>
      <c r="M5" s="1966" t="s">
        <v>30</v>
      </c>
      <c r="N5" s="2008" t="s">
        <v>31</v>
      </c>
      <c r="O5" s="2008" t="s">
        <v>31</v>
      </c>
      <c r="P5" s="2008" t="s">
        <v>31</v>
      </c>
      <c r="Q5" s="2008" t="s">
        <v>31</v>
      </c>
      <c r="R5" s="2008" t="s">
        <v>31</v>
      </c>
      <c r="S5" s="2008" t="s">
        <v>31</v>
      </c>
      <c r="T5" s="2008" t="s">
        <v>31</v>
      </c>
      <c r="U5" s="2008" t="s">
        <v>31</v>
      </c>
      <c r="V5" s="2008" t="s">
        <v>32</v>
      </c>
      <c r="W5" s="1568" t="s">
        <v>32</v>
      </c>
      <c r="X5" s="1568" t="s">
        <v>32</v>
      </c>
      <c r="Y5" s="1568" t="s">
        <v>32</v>
      </c>
      <c r="Z5" s="1568" t="s">
        <v>32</v>
      </c>
      <c r="AA5" s="1568" t="s">
        <v>32</v>
      </c>
    </row>
    <row r="6" spans="1:50" s="848" customFormat="1">
      <c r="A6" s="2313" t="s">
        <v>33</v>
      </c>
      <c r="B6" s="2313" t="s">
        <v>6840</v>
      </c>
      <c r="C6" s="2260" t="s">
        <v>35</v>
      </c>
      <c r="D6" s="2056">
        <v>7423000000</v>
      </c>
      <c r="E6" s="2056">
        <v>7366000000</v>
      </c>
      <c r="F6" s="2056">
        <v>7082000000</v>
      </c>
      <c r="G6" s="2056">
        <v>7111000000</v>
      </c>
      <c r="H6" s="2056">
        <v>8772430000</v>
      </c>
      <c r="I6" s="2056">
        <f>I7+I16</f>
        <v>9319320000</v>
      </c>
      <c r="J6" s="2056">
        <f>J7+J16</f>
        <v>10013866000</v>
      </c>
      <c r="K6" s="2056">
        <f>K7+K16</f>
        <v>11971794000</v>
      </c>
      <c r="L6" s="2056">
        <v>16618000000</v>
      </c>
      <c r="M6" s="2056">
        <v>16900000000</v>
      </c>
      <c r="N6" s="2312">
        <f>N8</f>
        <v>16708000000</v>
      </c>
      <c r="O6" s="2312">
        <f t="shared" ref="O6:P6" si="0">O8</f>
        <v>15804000000</v>
      </c>
      <c r="P6" s="2312">
        <f t="shared" si="0"/>
        <v>15764000000</v>
      </c>
      <c r="Q6" s="2314">
        <v>16247000000</v>
      </c>
      <c r="R6" s="2314">
        <v>18585000000</v>
      </c>
      <c r="S6" s="2314">
        <v>26424000000</v>
      </c>
      <c r="T6" s="2314">
        <v>26872000000</v>
      </c>
      <c r="U6" s="2314">
        <v>29514000000</v>
      </c>
      <c r="V6" s="2314">
        <v>32184000000</v>
      </c>
      <c r="W6" s="2314">
        <v>35470000000</v>
      </c>
      <c r="X6" s="2314">
        <v>37826000000</v>
      </c>
      <c r="Y6" s="2316">
        <v>39869000000</v>
      </c>
      <c r="Z6" s="2316">
        <v>42161000000</v>
      </c>
      <c r="AA6" s="2316">
        <v>44767000000</v>
      </c>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1567" t="s">
        <v>159</v>
      </c>
      <c r="B7" s="1567" t="s">
        <v>159</v>
      </c>
      <c r="C7" s="1578" t="s">
        <v>38</v>
      </c>
      <c r="D7" s="1581">
        <v>7046000000</v>
      </c>
      <c r="E7" s="1581">
        <v>6696000000</v>
      </c>
      <c r="F7" s="1581">
        <v>6354000000</v>
      </c>
      <c r="G7" s="1581">
        <v>6729000000</v>
      </c>
      <c r="H7" s="1581">
        <v>7833983999.999999</v>
      </c>
      <c r="I7" s="1581">
        <v>8585855000</v>
      </c>
      <c r="J7" s="2061">
        <f>J9+J14+J15</f>
        <v>9138868000</v>
      </c>
      <c r="K7" s="1581">
        <v>11001108000</v>
      </c>
      <c r="L7" s="2318">
        <f t="shared" ref="L7:P7" si="1">L6-L16</f>
        <v>12659000000</v>
      </c>
      <c r="M7" s="2318">
        <f t="shared" si="1"/>
        <v>12290000000</v>
      </c>
      <c r="N7" s="2319">
        <f t="shared" si="1"/>
        <v>12277000000</v>
      </c>
      <c r="O7" s="2319">
        <f t="shared" si="1"/>
        <v>12850000000</v>
      </c>
      <c r="P7" s="2319">
        <f t="shared" si="1"/>
        <v>13590000000</v>
      </c>
      <c r="Q7" s="2320">
        <f>Q6-Q16</f>
        <v>14583000000</v>
      </c>
      <c r="R7" s="2320">
        <f t="shared" ref="R7:AA7" si="2">R6-R16</f>
        <v>15308000000</v>
      </c>
      <c r="S7" s="2320">
        <f t="shared" si="2"/>
        <v>16676000000</v>
      </c>
      <c r="T7" s="2320">
        <f t="shared" si="2"/>
        <v>19634000000</v>
      </c>
      <c r="U7" s="2320">
        <f t="shared" si="2"/>
        <v>21693000000</v>
      </c>
      <c r="V7" s="2320">
        <f t="shared" si="2"/>
        <v>23845000000</v>
      </c>
      <c r="W7" s="2320">
        <f t="shared" si="2"/>
        <v>26712000000</v>
      </c>
      <c r="X7" s="2320">
        <f t="shared" si="2"/>
        <v>28659000000</v>
      </c>
      <c r="Y7" s="2320">
        <f t="shared" si="2"/>
        <v>30377000000</v>
      </c>
      <c r="Z7" s="2320">
        <f t="shared" si="2"/>
        <v>32195000000</v>
      </c>
      <c r="AA7" s="2320">
        <f t="shared" si="2"/>
        <v>34262000000</v>
      </c>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8" customHeight="1">
      <c r="B8" s="1577" t="s">
        <v>6841</v>
      </c>
      <c r="D8" s="1581">
        <v>7046000000</v>
      </c>
      <c r="E8" s="1581">
        <v>6696000000</v>
      </c>
      <c r="F8" s="1581">
        <v>6354000000</v>
      </c>
      <c r="G8" s="1581">
        <v>6729000000</v>
      </c>
      <c r="H8" s="1581">
        <v>7833983999.999999</v>
      </c>
      <c r="I8" s="1581">
        <v>8585855000</v>
      </c>
      <c r="J8" s="1581">
        <v>9187479000</v>
      </c>
      <c r="K8" s="1581">
        <v>11001108000</v>
      </c>
      <c r="L8" s="1581">
        <v>16618000000</v>
      </c>
      <c r="M8" s="1581">
        <v>16900000000</v>
      </c>
      <c r="N8" s="2309">
        <v>16708000000</v>
      </c>
      <c r="O8" s="2309">
        <v>15804000000</v>
      </c>
      <c r="P8" s="2309">
        <v>15764000000</v>
      </c>
      <c r="Q8" s="2315"/>
      <c r="R8" s="2315"/>
      <c r="S8" s="2315"/>
      <c r="T8" s="2315"/>
      <c r="U8" s="2315"/>
      <c r="V8" s="2315"/>
      <c r="W8" s="2315"/>
      <c r="X8" s="2315"/>
      <c r="Y8" s="1593"/>
      <c r="Z8" s="1593"/>
      <c r="AA8" s="1593"/>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577" t="s">
        <v>371</v>
      </c>
      <c r="B9" s="1577" t="s">
        <v>371</v>
      </c>
      <c r="C9" s="1577" t="s">
        <v>41</v>
      </c>
      <c r="D9" s="1581">
        <v>5902000000</v>
      </c>
      <c r="E9" s="1581">
        <v>5794000000</v>
      </c>
      <c r="F9" s="1581">
        <v>5671000000</v>
      </c>
      <c r="G9" s="1581">
        <v>6022000000</v>
      </c>
      <c r="H9" s="1581">
        <v>6977142000.000001</v>
      </c>
      <c r="I9" s="1581">
        <v>7593520000.0000019</v>
      </c>
      <c r="J9" s="2061">
        <f>J10+J11+J12+J13</f>
        <v>8118037000</v>
      </c>
      <c r="K9" s="1581">
        <v>9814714000</v>
      </c>
      <c r="L9" s="1581">
        <v>11457000000</v>
      </c>
      <c r="M9" s="1581">
        <v>10825000000</v>
      </c>
      <c r="N9" s="2309">
        <v>11089000000</v>
      </c>
      <c r="O9" s="2309">
        <v>11630000000</v>
      </c>
      <c r="P9" s="2309">
        <v>11982000000</v>
      </c>
      <c r="Q9" s="2315">
        <v>13069000000</v>
      </c>
      <c r="R9" s="2315">
        <v>13747000000</v>
      </c>
      <c r="S9" s="2315">
        <v>13467000000</v>
      </c>
      <c r="T9" s="2315">
        <v>14231000000</v>
      </c>
      <c r="U9" s="2315">
        <v>16276000000</v>
      </c>
      <c r="V9" s="2315">
        <v>18158000000</v>
      </c>
      <c r="W9" s="2315">
        <v>20736000000</v>
      </c>
      <c r="X9" s="2315">
        <v>22416000000</v>
      </c>
      <c r="Y9" s="1593">
        <v>23855000000</v>
      </c>
      <c r="Z9" s="1593">
        <v>25387000000</v>
      </c>
      <c r="AA9" s="1593">
        <v>27017000000</v>
      </c>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580" t="s">
        <v>6842</v>
      </c>
      <c r="B10" s="1580" t="s">
        <v>6843</v>
      </c>
      <c r="C10" s="1570" t="s">
        <v>44</v>
      </c>
      <c r="D10" s="2057"/>
      <c r="E10" s="2057"/>
      <c r="F10" s="1581"/>
      <c r="G10" s="1581"/>
      <c r="H10" s="1581">
        <v>122405999.99999999</v>
      </c>
      <c r="I10" s="1581">
        <v>172580000.00000003</v>
      </c>
      <c r="J10" s="1581">
        <v>194444000</v>
      </c>
      <c r="K10" s="1581">
        <v>485343000</v>
      </c>
      <c r="L10" s="1581"/>
      <c r="M10" s="1581"/>
      <c r="N10" s="2309"/>
      <c r="O10" s="2309"/>
      <c r="P10" s="2309"/>
      <c r="Q10" s="2315"/>
      <c r="R10" s="2315"/>
      <c r="S10" s="1841"/>
      <c r="T10" s="1841"/>
      <c r="U10" s="1841"/>
      <c r="V10" s="1841"/>
      <c r="W10" s="1841"/>
      <c r="X10" s="1841"/>
      <c r="Y10" s="1593"/>
      <c r="Z10" s="1593"/>
      <c r="AA10" s="1593"/>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580" t="s">
        <v>83</v>
      </c>
      <c r="B11" s="1580" t="s">
        <v>5667</v>
      </c>
      <c r="C11" s="1570" t="s">
        <v>44</v>
      </c>
      <c r="D11" s="2057"/>
      <c r="E11" s="2057"/>
      <c r="F11" s="1581"/>
      <c r="G11" s="1581"/>
      <c r="H11" s="1581">
        <v>4406616000.000001</v>
      </c>
      <c r="I11" s="1581">
        <v>4832240000.000001</v>
      </c>
      <c r="J11" s="1581">
        <v>5249988000</v>
      </c>
      <c r="K11" s="1581">
        <v>5824116000.000001</v>
      </c>
      <c r="L11" s="1581"/>
      <c r="M11" s="1581"/>
      <c r="N11" s="2309"/>
      <c r="O11" s="2309"/>
      <c r="P11" s="2309"/>
      <c r="Q11" s="2315"/>
      <c r="R11" s="2315"/>
      <c r="S11" s="1841"/>
      <c r="T11" s="1841"/>
      <c r="U11" s="1841"/>
      <c r="V11" s="1841"/>
      <c r="W11" s="1841"/>
      <c r="X11" s="1841"/>
      <c r="Y11" s="1593"/>
      <c r="Z11" s="1593"/>
      <c r="AA11" s="1593"/>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580" t="s">
        <v>790</v>
      </c>
      <c r="B12" s="1580" t="s">
        <v>6844</v>
      </c>
      <c r="C12" s="1570" t="s">
        <v>44</v>
      </c>
      <c r="D12" s="2057"/>
      <c r="E12" s="2057"/>
      <c r="F12" s="1581"/>
      <c r="G12" s="1581"/>
      <c r="H12" s="1581">
        <v>2448120000</v>
      </c>
      <c r="I12" s="1581">
        <v>2588700000</v>
      </c>
      <c r="J12" s="1581">
        <v>2673605000</v>
      </c>
      <c r="K12" s="1581">
        <v>3397401000</v>
      </c>
      <c r="L12" s="1581"/>
      <c r="M12" s="1581"/>
      <c r="N12" s="2309"/>
      <c r="O12" s="2309"/>
      <c r="P12" s="2309"/>
      <c r="Q12" s="2315"/>
      <c r="R12" s="2315"/>
      <c r="S12" s="2315"/>
      <c r="T12" s="2315"/>
      <c r="U12" s="2315"/>
      <c r="V12" s="2315"/>
      <c r="W12" s="2315"/>
      <c r="X12" s="2315"/>
      <c r="Y12" s="2315"/>
      <c r="Z12" s="2315"/>
      <c r="AA12" s="231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580" t="s">
        <v>49</v>
      </c>
      <c r="B13" s="1580" t="s">
        <v>1772</v>
      </c>
      <c r="C13" s="1570" t="s">
        <v>44</v>
      </c>
      <c r="D13" s="2057"/>
      <c r="E13" s="2057"/>
      <c r="F13" s="1581"/>
      <c r="G13" s="1581"/>
      <c r="H13" s="1581"/>
      <c r="I13" s="1581"/>
      <c r="J13" s="1581"/>
      <c r="K13" s="2061">
        <f>K9-K10-K11-K12</f>
        <v>107853999.99999905</v>
      </c>
      <c r="L13" s="1581"/>
      <c r="M13" s="1581"/>
      <c r="N13" s="2309"/>
      <c r="O13" s="2309"/>
      <c r="P13" s="2309"/>
      <c r="Q13" s="2315"/>
      <c r="R13" s="2315"/>
      <c r="S13" s="1841"/>
      <c r="T13" s="1841"/>
      <c r="U13" s="1841"/>
      <c r="V13" s="1841"/>
      <c r="W13" s="1841"/>
      <c r="X13" s="1841"/>
      <c r="Y13" s="1593"/>
      <c r="Z13" s="1593"/>
      <c r="AA13" s="1593"/>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1577" t="s">
        <v>560</v>
      </c>
      <c r="B14" s="1577" t="s">
        <v>5804</v>
      </c>
      <c r="C14" s="1577" t="s">
        <v>41</v>
      </c>
      <c r="D14" s="1581">
        <v>1123000000</v>
      </c>
      <c r="E14" s="1581">
        <v>890000000</v>
      </c>
      <c r="F14" s="1581">
        <v>662000000</v>
      </c>
      <c r="G14" s="1581">
        <v>692000000</v>
      </c>
      <c r="H14" s="1581">
        <v>775238000</v>
      </c>
      <c r="I14" s="1581">
        <v>949190000.00000024</v>
      </c>
      <c r="J14" s="1581">
        <v>1020831000</v>
      </c>
      <c r="K14" s="1581">
        <v>1186394000.0000002</v>
      </c>
      <c r="L14" s="1581">
        <v>1202000000</v>
      </c>
      <c r="M14" s="1581">
        <v>1465000000</v>
      </c>
      <c r="N14" s="2309">
        <v>1187000000</v>
      </c>
      <c r="O14" s="2309">
        <v>1220000000</v>
      </c>
      <c r="P14" s="2309">
        <v>1608000000</v>
      </c>
      <c r="Q14" s="2315">
        <v>1514000000</v>
      </c>
      <c r="R14" s="2315">
        <v>1561000000</v>
      </c>
      <c r="S14" s="2315">
        <v>3209000000</v>
      </c>
      <c r="T14" s="2315">
        <v>5403000000</v>
      </c>
      <c r="U14" s="2315">
        <v>5417000000</v>
      </c>
      <c r="V14" s="2315">
        <v>5687000000</v>
      </c>
      <c r="W14" s="2315">
        <v>5976000000</v>
      </c>
      <c r="X14" s="2315">
        <v>6244000000</v>
      </c>
      <c r="Y14" s="1593">
        <v>6521000000</v>
      </c>
      <c r="Z14" s="1593">
        <v>6808000000</v>
      </c>
      <c r="AA14" s="1593">
        <v>7245000000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1577" t="s">
        <v>468</v>
      </c>
      <c r="B15" s="1577" t="s">
        <v>5665</v>
      </c>
      <c r="C15" s="1577" t="s">
        <v>41</v>
      </c>
      <c r="D15" s="1581">
        <v>22000000</v>
      </c>
      <c r="E15" s="1581">
        <v>12000000</v>
      </c>
      <c r="F15" s="1581">
        <v>20000000</v>
      </c>
      <c r="G15" s="1581">
        <v>16000000</v>
      </c>
      <c r="H15" s="1581">
        <v>81604000.000000015</v>
      </c>
      <c r="I15" s="1581">
        <v>43145000.000000007</v>
      </c>
      <c r="J15" s="1581">
        <v>0</v>
      </c>
      <c r="K15" s="1581">
        <v>0</v>
      </c>
      <c r="L15" s="1581"/>
      <c r="M15" s="1581"/>
      <c r="N15" s="2309"/>
      <c r="O15" s="2309"/>
      <c r="P15" s="2309"/>
      <c r="Q15" s="2315"/>
      <c r="R15" s="2315"/>
      <c r="S15" s="1841"/>
      <c r="T15" s="1841"/>
      <c r="U15" s="1841"/>
      <c r="V15" s="1841"/>
      <c r="W15" s="1841"/>
      <c r="X15" s="1841"/>
      <c r="Y15" s="1593"/>
      <c r="Z15" s="1593"/>
      <c r="AA15" s="1593"/>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s="848" customFormat="1">
      <c r="A16" s="2004" t="s">
        <v>53</v>
      </c>
      <c r="B16" s="2004" t="s">
        <v>53</v>
      </c>
      <c r="C16" s="2001" t="s">
        <v>38</v>
      </c>
      <c r="D16" s="2056">
        <v>378000000</v>
      </c>
      <c r="E16" s="2056">
        <v>670000000</v>
      </c>
      <c r="F16" s="2056">
        <v>728000000</v>
      </c>
      <c r="G16" s="2056">
        <v>382000000</v>
      </c>
      <c r="H16" s="2056">
        <v>938445999.99999988</v>
      </c>
      <c r="I16" s="2056">
        <v>733465000</v>
      </c>
      <c r="J16" s="2056">
        <v>874998000</v>
      </c>
      <c r="K16" s="2056">
        <v>970686000</v>
      </c>
      <c r="L16" s="2056">
        <v>3959000000</v>
      </c>
      <c r="M16" s="2056">
        <v>4610000000</v>
      </c>
      <c r="N16" s="2312">
        <v>4431000000</v>
      </c>
      <c r="O16" s="2312">
        <v>2954000000</v>
      </c>
      <c r="P16" s="2312">
        <v>2174000000</v>
      </c>
      <c r="Q16" s="2314">
        <v>1664000000</v>
      </c>
      <c r="R16" s="2314">
        <v>3277000000</v>
      </c>
      <c r="S16" s="2314">
        <v>9748000000</v>
      </c>
      <c r="T16" s="2314">
        <v>7238000000</v>
      </c>
      <c r="U16" s="2314">
        <v>7821000000</v>
      </c>
      <c r="V16" s="2314">
        <v>8339000000</v>
      </c>
      <c r="W16" s="2314">
        <v>8758000000</v>
      </c>
      <c r="X16" s="2314">
        <v>9167000000</v>
      </c>
      <c r="Y16" s="2316">
        <v>9492000000</v>
      </c>
      <c r="Z16" s="2316">
        <v>9966000000</v>
      </c>
      <c r="AA16" s="2316">
        <v>10505000000</v>
      </c>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row>
    <row r="17" spans="1:50" s="848" customFormat="1">
      <c r="A17" s="2003" t="s">
        <v>71</v>
      </c>
      <c r="B17" s="2004" t="s">
        <v>379</v>
      </c>
      <c r="C17" s="2003" t="s">
        <v>35</v>
      </c>
      <c r="D17" s="2056">
        <v>9773000000</v>
      </c>
      <c r="E17" s="2056">
        <v>8613000000</v>
      </c>
      <c r="F17" s="2056">
        <v>8410000000</v>
      </c>
      <c r="G17" s="2056">
        <v>7683000000</v>
      </c>
      <c r="H17" s="2056">
        <f>H19+H29</f>
        <v>8405212000</v>
      </c>
      <c r="I17" s="2056">
        <v>8499565000.000001</v>
      </c>
      <c r="J17" s="2056">
        <f>J19+J29</f>
        <v>9479145000</v>
      </c>
      <c r="K17" s="2056">
        <v>11863940000.000002</v>
      </c>
      <c r="L17" s="2056">
        <v>16644000000</v>
      </c>
      <c r="M17" s="2056">
        <v>17435000000</v>
      </c>
      <c r="N17" s="2312">
        <v>18416000000</v>
      </c>
      <c r="O17" s="2312">
        <f>O19+O29</f>
        <v>17386000000</v>
      </c>
      <c r="P17" s="2312">
        <v>16942000000</v>
      </c>
      <c r="Q17" s="2314">
        <v>18339000000</v>
      </c>
      <c r="R17" s="2314">
        <v>22518000000</v>
      </c>
      <c r="S17" s="2314">
        <v>34344000000</v>
      </c>
      <c r="T17" s="2314">
        <v>32207000000</v>
      </c>
      <c r="U17" s="2314">
        <v>36509000000</v>
      </c>
      <c r="V17" s="2314">
        <v>40298000000</v>
      </c>
      <c r="W17" s="2314">
        <v>40163000000</v>
      </c>
      <c r="X17" s="2314">
        <v>41907000000</v>
      </c>
      <c r="Y17" s="2316">
        <v>43587000000</v>
      </c>
      <c r="Z17" s="2316">
        <v>46090000000</v>
      </c>
      <c r="AA17" s="2316">
        <v>48972000000</v>
      </c>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s="1570" t="s">
        <v>76</v>
      </c>
      <c r="B18" s="1577" t="s">
        <v>535</v>
      </c>
      <c r="D18" s="1581">
        <v>9773000000</v>
      </c>
      <c r="E18" s="1581">
        <v>8613000000</v>
      </c>
      <c r="F18" s="1581">
        <v>8410000000</v>
      </c>
      <c r="G18" s="1581">
        <v>7683000000</v>
      </c>
      <c r="H18" s="1581">
        <v>8446014000</v>
      </c>
      <c r="I18" s="1581">
        <v>8499565000.000001</v>
      </c>
      <c r="J18" s="1581">
        <v>9479144999.9999981</v>
      </c>
      <c r="K18" s="1581">
        <v>11863940000.000002</v>
      </c>
      <c r="L18" s="1581">
        <v>16644000000</v>
      </c>
      <c r="M18" s="1581">
        <v>17435000000</v>
      </c>
      <c r="N18" s="2309">
        <v>18416000000</v>
      </c>
      <c r="O18" s="2309">
        <v>17315000000</v>
      </c>
      <c r="P18" s="2309">
        <v>16942000000</v>
      </c>
      <c r="Q18" s="2315"/>
      <c r="R18" s="2315"/>
      <c r="S18" s="2315"/>
      <c r="T18" s="2315"/>
      <c r="U18" s="2315"/>
      <c r="V18" s="2315"/>
      <c r="W18" s="2315"/>
      <c r="X18" s="2315"/>
      <c r="Y18" s="1593"/>
      <c r="Z18" s="1593"/>
      <c r="AA18" s="1593"/>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1570" t="s">
        <v>73</v>
      </c>
      <c r="B19" s="1577" t="s">
        <v>382</v>
      </c>
      <c r="C19" s="1577" t="s">
        <v>201</v>
      </c>
      <c r="D19" s="1581">
        <v>6896000000</v>
      </c>
      <c r="E19" s="1581">
        <v>7015000000</v>
      </c>
      <c r="F19" s="1581">
        <v>7157000000</v>
      </c>
      <c r="G19" s="1581">
        <v>7108000000</v>
      </c>
      <c r="H19" s="1581">
        <v>7589172000</v>
      </c>
      <c r="I19" s="1581">
        <v>7722955000.000001</v>
      </c>
      <c r="J19" s="1581">
        <v>8458314000</v>
      </c>
      <c r="K19" s="1581">
        <v>10461838000</v>
      </c>
      <c r="L19" s="1581">
        <v>13562000000</v>
      </c>
      <c r="M19" s="1581">
        <v>13272000000</v>
      </c>
      <c r="N19" s="2309">
        <v>15109000000</v>
      </c>
      <c r="O19" s="2309">
        <v>15505000000</v>
      </c>
      <c r="P19" s="2309">
        <v>15803000000</v>
      </c>
      <c r="Q19" s="2315">
        <v>15694000000</v>
      </c>
      <c r="R19" s="2315">
        <v>17268000000</v>
      </c>
      <c r="S19" s="2315">
        <v>19152000000</v>
      </c>
      <c r="T19" s="2315">
        <v>21629000000</v>
      </c>
      <c r="U19" s="2315">
        <v>25317000000</v>
      </c>
      <c r="V19" s="2315">
        <v>29112000000</v>
      </c>
      <c r="W19" s="2315">
        <v>31367000000</v>
      </c>
      <c r="X19" s="2315">
        <v>33604000000</v>
      </c>
      <c r="Y19" s="1593">
        <v>35744000000</v>
      </c>
      <c r="Z19" s="1593">
        <v>38091000000</v>
      </c>
      <c r="AA19" s="1593">
        <v>40565000000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580" t="s">
        <v>797</v>
      </c>
      <c r="B20" s="1580" t="s">
        <v>6845</v>
      </c>
      <c r="C20" s="1577" t="s">
        <v>204</v>
      </c>
      <c r="D20" s="1581">
        <v>3747000000</v>
      </c>
      <c r="E20" s="1581">
        <v>3734000000</v>
      </c>
      <c r="F20" s="1581">
        <v>3929000000</v>
      </c>
      <c r="G20" s="1581">
        <v>4070000000</v>
      </c>
      <c r="H20" s="1581">
        <v>4529021999.999999</v>
      </c>
      <c r="I20" s="1581">
        <v>4530225000.000001</v>
      </c>
      <c r="J20" s="1581">
        <v>5201377000</v>
      </c>
      <c r="K20" s="1581">
        <v>6363386000.000001</v>
      </c>
      <c r="L20" s="1581">
        <v>7651000000</v>
      </c>
      <c r="M20" s="1581">
        <v>7236000000</v>
      </c>
      <c r="N20" s="2309">
        <v>7831000000</v>
      </c>
      <c r="O20" s="2309">
        <v>7862000000</v>
      </c>
      <c r="P20" s="2309">
        <v>8412000000</v>
      </c>
      <c r="Q20" s="2315">
        <v>8438000000</v>
      </c>
      <c r="R20" s="2315">
        <v>8582000000</v>
      </c>
      <c r="S20" s="2315">
        <v>8893000000</v>
      </c>
      <c r="T20" s="2315">
        <v>9107000000</v>
      </c>
      <c r="U20" s="2315">
        <v>9967000000</v>
      </c>
      <c r="V20" s="2315">
        <v>12368000000</v>
      </c>
      <c r="W20" s="2315">
        <v>13233000000</v>
      </c>
      <c r="X20" s="2315">
        <v>14083000000</v>
      </c>
      <c r="Y20" s="1593">
        <v>14987000000</v>
      </c>
      <c r="Z20" s="1593">
        <v>15949000000</v>
      </c>
      <c r="AA20" s="1593">
        <v>16973000000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1580" t="s">
        <v>1006</v>
      </c>
      <c r="B21" s="1580" t="s">
        <v>5435</v>
      </c>
      <c r="C21" s="1577" t="s">
        <v>204</v>
      </c>
      <c r="D21" s="1581">
        <v>1768000000</v>
      </c>
      <c r="E21" s="1581">
        <v>1648000000</v>
      </c>
      <c r="F21" s="1581">
        <v>1666000000</v>
      </c>
      <c r="G21" s="1581">
        <v>1312000000</v>
      </c>
      <c r="H21" s="1581">
        <v>1468872000</v>
      </c>
      <c r="I21" s="1581">
        <v>1596365000.0000002</v>
      </c>
      <c r="J21" s="1581">
        <v>1604162999.9999998</v>
      </c>
      <c r="K21" s="1581">
        <v>2372788000.0000005</v>
      </c>
      <c r="L21" s="1581"/>
      <c r="M21" s="1581"/>
      <c r="N21" s="1967"/>
      <c r="O21" s="1967"/>
      <c r="P21" s="1967"/>
      <c r="Q21" s="1841">
        <v>4144000000</v>
      </c>
      <c r="R21" s="1841">
        <v>5185000000</v>
      </c>
      <c r="S21" s="1841">
        <v>5843000000</v>
      </c>
      <c r="T21" s="1841">
        <v>5995000000</v>
      </c>
      <c r="U21" s="1841">
        <v>8131000000</v>
      </c>
      <c r="V21" s="1841">
        <v>8842000000</v>
      </c>
      <c r="W21" s="1841">
        <v>9678000000</v>
      </c>
      <c r="X21" s="1841">
        <v>10532000000</v>
      </c>
      <c r="Y21" s="1593">
        <v>11208000000</v>
      </c>
      <c r="Z21" s="1593">
        <v>11927000000</v>
      </c>
      <c r="AA21" s="1593">
        <v>12693000000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1580" t="s">
        <v>90</v>
      </c>
      <c r="B22" s="1580" t="s">
        <v>3868</v>
      </c>
      <c r="C22" s="1577" t="s">
        <v>204</v>
      </c>
      <c r="D22" s="1581">
        <v>267000000</v>
      </c>
      <c r="E22" s="1581">
        <v>281000000</v>
      </c>
      <c r="F22" s="1581">
        <v>319000000</v>
      </c>
      <c r="G22" s="1581">
        <v>353000000</v>
      </c>
      <c r="H22" s="1581">
        <v>408020000</v>
      </c>
      <c r="I22" s="1581">
        <v>388305000.00000006</v>
      </c>
      <c r="J22" s="1581">
        <v>340277000</v>
      </c>
      <c r="K22" s="1581">
        <v>323562000</v>
      </c>
      <c r="L22" s="1581"/>
      <c r="M22" s="1581"/>
      <c r="N22" s="2309">
        <v>334000000</v>
      </c>
      <c r="O22" s="2309">
        <v>398000000</v>
      </c>
      <c r="P22" s="2309">
        <v>463000000</v>
      </c>
      <c r="Q22" s="2315">
        <v>555000000</v>
      </c>
      <c r="R22" s="2315">
        <v>573000000</v>
      </c>
      <c r="S22" s="2315">
        <v>700000000</v>
      </c>
      <c r="T22" s="2315">
        <v>908000000</v>
      </c>
      <c r="U22" s="2315">
        <v>949000000</v>
      </c>
      <c r="V22" s="2315">
        <v>1084000000</v>
      </c>
      <c r="W22" s="2315">
        <v>1161000000</v>
      </c>
      <c r="X22" s="2315">
        <v>1226000000</v>
      </c>
      <c r="Y22" s="1593">
        <v>1287000000</v>
      </c>
      <c r="Z22" s="1593">
        <v>1422000000</v>
      </c>
      <c r="AA22" s="1593">
        <v>1541000000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1580" t="s">
        <v>389</v>
      </c>
      <c r="B23" s="1580" t="s">
        <v>389</v>
      </c>
      <c r="C23" s="1577" t="s">
        <v>204</v>
      </c>
      <c r="D23" s="1581">
        <v>971000000</v>
      </c>
      <c r="E23" s="1581">
        <v>1141000000</v>
      </c>
      <c r="F23" s="1581">
        <v>1004000000</v>
      </c>
      <c r="G23" s="1581">
        <v>1117000000</v>
      </c>
      <c r="H23" s="1581">
        <v>938445999.99999988</v>
      </c>
      <c r="I23" s="1581">
        <v>949190000.00000024</v>
      </c>
      <c r="J23" s="1581">
        <v>1069442000</v>
      </c>
      <c r="K23" s="1581">
        <v>1132467000</v>
      </c>
      <c r="L23" s="1581"/>
      <c r="M23" s="1581"/>
      <c r="N23" s="2309"/>
      <c r="O23" s="2309"/>
      <c r="P23" s="2309"/>
      <c r="Q23" s="2315"/>
      <c r="R23" s="2315"/>
      <c r="S23" s="1841"/>
      <c r="T23" s="1841"/>
      <c r="U23" s="1841"/>
      <c r="V23" s="1841"/>
      <c r="W23" s="1841"/>
      <c r="X23" s="1841"/>
      <c r="Y23" s="1593"/>
      <c r="Z23" s="1593"/>
      <c r="AA23" s="1593"/>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580" t="s">
        <v>6846</v>
      </c>
      <c r="B24" s="1580" t="s">
        <v>6847</v>
      </c>
      <c r="C24" s="1577" t="s">
        <v>204</v>
      </c>
      <c r="D24" s="1581">
        <v>143000000</v>
      </c>
      <c r="E24" s="1581">
        <v>210000000</v>
      </c>
      <c r="F24" s="1581">
        <v>239000000</v>
      </c>
      <c r="G24" s="1581">
        <v>256000000</v>
      </c>
      <c r="H24" s="2061">
        <f>H19-H20-H21-H22-H23</f>
        <v>244812000.00000107</v>
      </c>
      <c r="I24" s="2061">
        <f>I19-I20-I21-I22-I23</f>
        <v>258869999.99999952</v>
      </c>
      <c r="J24" s="2061">
        <f>J19-J20-J21-J22-J23</f>
        <v>243055000.00000024</v>
      </c>
      <c r="K24" s="2061">
        <f>K19-K20-K21-K22-K23</f>
        <v>269634999.99999857</v>
      </c>
      <c r="L24" s="1581"/>
      <c r="M24" s="1581"/>
      <c r="N24" s="2309"/>
      <c r="O24" s="2309"/>
      <c r="P24" s="2309"/>
      <c r="Q24" s="2315"/>
      <c r="R24" s="2315"/>
      <c r="S24" s="1841"/>
      <c r="T24" s="1841"/>
      <c r="U24" s="1841"/>
      <c r="V24" s="1841"/>
      <c r="W24" s="1841"/>
      <c r="X24" s="1841"/>
      <c r="Y24" s="1593"/>
      <c r="Z24" s="1593"/>
      <c r="AA24" s="1593"/>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2066" t="s">
        <v>215</v>
      </c>
      <c r="B25" s="2066" t="s">
        <v>215</v>
      </c>
      <c r="C25" s="1586" t="s">
        <v>204</v>
      </c>
      <c r="D25" s="1581"/>
      <c r="E25" s="1581"/>
      <c r="F25" s="1581"/>
      <c r="G25" s="1581"/>
      <c r="H25" s="2061"/>
      <c r="I25" s="2061"/>
      <c r="J25" s="2061"/>
      <c r="K25" s="2061"/>
      <c r="L25" s="1581"/>
      <c r="M25" s="1581"/>
      <c r="N25" s="2309"/>
      <c r="O25" s="2309"/>
      <c r="P25" s="2309"/>
      <c r="Q25" s="2315">
        <v>0</v>
      </c>
      <c r="R25" s="2315">
        <v>0</v>
      </c>
      <c r="S25" s="1841">
        <v>0</v>
      </c>
      <c r="T25" s="1841">
        <v>0</v>
      </c>
      <c r="U25" s="1841">
        <v>0</v>
      </c>
      <c r="V25" s="1841">
        <v>0</v>
      </c>
      <c r="W25" s="1841">
        <v>0</v>
      </c>
      <c r="X25" s="1841">
        <v>0</v>
      </c>
      <c r="Y25" s="1593">
        <v>0</v>
      </c>
      <c r="Z25" s="1593">
        <v>0</v>
      </c>
      <c r="AA25" s="1593">
        <v>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2066" t="s">
        <v>53</v>
      </c>
      <c r="B26" s="2066" t="s">
        <v>53</v>
      </c>
      <c r="C26" s="1586" t="s">
        <v>204</v>
      </c>
      <c r="D26" s="1581"/>
      <c r="E26" s="1581"/>
      <c r="F26" s="1581"/>
      <c r="G26" s="1581"/>
      <c r="H26" s="2061"/>
      <c r="I26" s="2061"/>
      <c r="J26" s="2061"/>
      <c r="K26" s="2061"/>
      <c r="L26" s="1581"/>
      <c r="M26" s="1581"/>
      <c r="N26" s="2309"/>
      <c r="O26" s="2309"/>
      <c r="P26" s="2309"/>
      <c r="Q26" s="2315">
        <v>1600000000</v>
      </c>
      <c r="R26" s="2315">
        <v>2035000000</v>
      </c>
      <c r="S26" s="1841">
        <v>2530000000</v>
      </c>
      <c r="T26" s="1841">
        <v>3217000000</v>
      </c>
      <c r="U26" s="1841">
        <v>2408000000</v>
      </c>
      <c r="V26" s="1841">
        <v>2618000000</v>
      </c>
      <c r="W26" s="1841">
        <v>2801000000</v>
      </c>
      <c r="X26" s="1841">
        <v>2981000000</v>
      </c>
      <c r="Y26" s="1593">
        <v>3173000000</v>
      </c>
      <c r="Z26" s="1593">
        <v>3376000000</v>
      </c>
      <c r="AA26" s="1593">
        <v>3593000000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66" t="s">
        <v>3108</v>
      </c>
      <c r="B27" s="2066" t="s">
        <v>3108</v>
      </c>
      <c r="C27" s="1586" t="s">
        <v>204</v>
      </c>
      <c r="D27" s="1581"/>
      <c r="E27" s="1581"/>
      <c r="F27" s="1581"/>
      <c r="G27" s="1581"/>
      <c r="H27" s="2061"/>
      <c r="I27" s="2061"/>
      <c r="J27" s="2061"/>
      <c r="K27" s="2061"/>
      <c r="L27" s="1581"/>
      <c r="M27" s="1581"/>
      <c r="N27" s="2309"/>
      <c r="O27" s="2309"/>
      <c r="P27" s="2309"/>
      <c r="Q27" s="2315">
        <v>346000000</v>
      </c>
      <c r="R27" s="2315">
        <v>241000000</v>
      </c>
      <c r="S27" s="1841">
        <v>476000000</v>
      </c>
      <c r="T27" s="1841">
        <v>1542000000</v>
      </c>
      <c r="U27" s="1841">
        <v>2664000000</v>
      </c>
      <c r="V27" s="1841">
        <v>2897000000</v>
      </c>
      <c r="W27" s="1841">
        <v>3100000000</v>
      </c>
      <c r="X27" s="1841">
        <v>3299000000</v>
      </c>
      <c r="Y27" s="1593">
        <v>3510000000</v>
      </c>
      <c r="Z27" s="1593">
        <v>3736000000</v>
      </c>
      <c r="AA27" s="1593">
        <v>3976000000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66" t="s">
        <v>675</v>
      </c>
      <c r="B28" s="2066" t="s">
        <v>675</v>
      </c>
      <c r="C28" s="1586" t="s">
        <v>204</v>
      </c>
      <c r="D28" s="1581"/>
      <c r="E28" s="1581"/>
      <c r="F28" s="1581"/>
      <c r="G28" s="1581"/>
      <c r="H28" s="2061"/>
      <c r="I28" s="2061"/>
      <c r="J28" s="2061"/>
      <c r="K28" s="2061"/>
      <c r="L28" s="1581">
        <f>L19-L20-L22</f>
        <v>5911000000</v>
      </c>
      <c r="M28" s="1581">
        <f t="shared" ref="M28:P28" si="3">M19-M20-M22</f>
        <v>6036000000</v>
      </c>
      <c r="N28" s="1581">
        <f t="shared" si="3"/>
        <v>6944000000</v>
      </c>
      <c r="O28" s="1581">
        <f t="shared" si="3"/>
        <v>7245000000</v>
      </c>
      <c r="P28" s="1581">
        <f t="shared" si="3"/>
        <v>6928000000</v>
      </c>
      <c r="Q28" s="2315">
        <v>612000000</v>
      </c>
      <c r="R28" s="2315">
        <v>652000000</v>
      </c>
      <c r="S28" s="1841">
        <v>710000000</v>
      </c>
      <c r="T28" s="1841">
        <v>860000000</v>
      </c>
      <c r="U28" s="1841">
        <v>1198000000</v>
      </c>
      <c r="V28" s="1841">
        <v>1303000000</v>
      </c>
      <c r="W28" s="1841">
        <v>1394000000</v>
      </c>
      <c r="X28" s="1841">
        <v>1484000000</v>
      </c>
      <c r="Y28" s="1593">
        <v>1579000000</v>
      </c>
      <c r="Z28" s="1593">
        <v>1680000000</v>
      </c>
      <c r="AA28" s="1593">
        <v>1788000000</v>
      </c>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1580" t="s">
        <v>237</v>
      </c>
      <c r="B29" s="1577" t="s">
        <v>6848</v>
      </c>
      <c r="C29" s="1577" t="s">
        <v>201</v>
      </c>
      <c r="D29" s="1581">
        <v>2877000000</v>
      </c>
      <c r="E29" s="1581">
        <v>1598000000</v>
      </c>
      <c r="F29" s="1581">
        <v>1253000000</v>
      </c>
      <c r="G29" s="1581">
        <v>576000000</v>
      </c>
      <c r="H29" s="1581">
        <v>816040000</v>
      </c>
      <c r="I29" s="1581">
        <v>776610000.00000012</v>
      </c>
      <c r="J29" s="1581">
        <v>1020831000</v>
      </c>
      <c r="K29" s="1581">
        <v>1402102000.0000002</v>
      </c>
      <c r="L29" s="1581">
        <v>3082000000</v>
      </c>
      <c r="M29" s="1581">
        <v>4163000000</v>
      </c>
      <c r="N29" s="2309">
        <v>3307000000</v>
      </c>
      <c r="O29" s="2309">
        <v>1881000000</v>
      </c>
      <c r="P29" s="2309">
        <v>1139000000</v>
      </c>
      <c r="Q29" s="2315">
        <v>2644000000</v>
      </c>
      <c r="R29" s="2315">
        <v>5250000000</v>
      </c>
      <c r="S29" s="2315">
        <v>15191000000</v>
      </c>
      <c r="T29" s="2315">
        <v>10578000000</v>
      </c>
      <c r="U29" s="2315">
        <v>11192000000</v>
      </c>
      <c r="V29" s="2315">
        <v>11186000000</v>
      </c>
      <c r="W29" s="2315">
        <v>8796000000</v>
      </c>
      <c r="X29" s="2315">
        <v>8303000000</v>
      </c>
      <c r="Y29" s="1593">
        <v>7843000000</v>
      </c>
      <c r="Z29" s="1593">
        <v>7999000000</v>
      </c>
      <c r="AA29" s="1593">
        <v>8408000000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1570" t="s">
        <v>76</v>
      </c>
      <c r="B30" s="1577" t="s">
        <v>3871</v>
      </c>
      <c r="D30" s="2057"/>
      <c r="E30" s="2057"/>
      <c r="F30" s="1581"/>
      <c r="G30" s="1581"/>
      <c r="H30" s="2057"/>
      <c r="I30" s="2057"/>
      <c r="J30" s="2057"/>
      <c r="K30" s="2057"/>
      <c r="L30" s="1581">
        <v>3056000000</v>
      </c>
      <c r="M30" s="1581">
        <v>3628000000</v>
      </c>
      <c r="N30" s="2309">
        <v>1599000000</v>
      </c>
      <c r="O30" s="2309">
        <v>299000000</v>
      </c>
      <c r="P30" s="2309">
        <v>-39000000</v>
      </c>
      <c r="Q30" s="2315">
        <v>553000000</v>
      </c>
      <c r="R30" s="2315">
        <v>1317000000</v>
      </c>
      <c r="S30" s="2315">
        <v>7272000000</v>
      </c>
      <c r="T30" s="2315">
        <v>5243000000</v>
      </c>
      <c r="U30" s="2315">
        <v>4197000000</v>
      </c>
      <c r="V30" s="2315">
        <v>3072000000</v>
      </c>
      <c r="W30" s="2315">
        <v>4103000000</v>
      </c>
      <c r="X30" s="2315">
        <v>4222000000</v>
      </c>
      <c r="Y30" s="1593">
        <v>4125000000</v>
      </c>
      <c r="Z30" s="1593">
        <v>4070000000</v>
      </c>
      <c r="AA30" s="1593">
        <v>4202000000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1570" t="s">
        <v>76</v>
      </c>
      <c r="B31" s="1577" t="s">
        <v>6849</v>
      </c>
      <c r="C31" s="1577"/>
      <c r="D31" s="2057"/>
      <c r="E31" s="2057"/>
      <c r="F31" s="2057"/>
      <c r="G31" s="2057"/>
      <c r="H31" s="2057"/>
      <c r="I31" s="2057"/>
      <c r="J31" s="2057"/>
      <c r="K31" s="2057"/>
      <c r="L31" s="1581">
        <v>-26000000</v>
      </c>
      <c r="M31" s="1581">
        <v>-535000000</v>
      </c>
      <c r="N31" s="2309">
        <v>-1708000000</v>
      </c>
      <c r="O31" s="2309">
        <v>-1511000000</v>
      </c>
      <c r="P31" s="2309">
        <v>-1178000000</v>
      </c>
      <c r="Q31" s="2315">
        <v>-2092000000</v>
      </c>
      <c r="R31" s="2315">
        <v>-3933000000</v>
      </c>
      <c r="S31" s="2315">
        <v>-7919000000</v>
      </c>
      <c r="T31" s="2315">
        <v>-5335000000</v>
      </c>
      <c r="U31" s="2315">
        <v>-6995000000</v>
      </c>
      <c r="V31" s="2315">
        <v>-8114000000</v>
      </c>
      <c r="W31" s="2315">
        <v>-4692000000</v>
      </c>
      <c r="X31" s="2315">
        <v>-4081000000</v>
      </c>
      <c r="Y31" s="1593">
        <v>-3718000000</v>
      </c>
      <c r="Z31" s="1593">
        <v>-3929000000</v>
      </c>
      <c r="AA31" s="1593">
        <v>-4205000000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s="1570" t="s">
        <v>76</v>
      </c>
      <c r="B32" s="1577" t="s">
        <v>6850</v>
      </c>
      <c r="D32" s="2057"/>
      <c r="E32" s="2057"/>
      <c r="F32" s="2057"/>
      <c r="G32" s="2057"/>
      <c r="H32" s="2057"/>
      <c r="I32" s="2057"/>
      <c r="J32" s="2057"/>
      <c r="K32" s="2057"/>
      <c r="L32" s="1581">
        <v>1023000000</v>
      </c>
      <c r="M32" s="1581">
        <v>664000000</v>
      </c>
      <c r="N32" s="2309">
        <v>1064000000</v>
      </c>
      <c r="O32" s="2309">
        <v>1233000000</v>
      </c>
      <c r="P32" s="2309">
        <v>1054000000</v>
      </c>
      <c r="Q32" s="2315">
        <v>-343000000</v>
      </c>
      <c r="R32" s="2315">
        <v>460000000</v>
      </c>
      <c r="S32" s="2315">
        <v>5682000000</v>
      </c>
      <c r="T32" s="2315">
        <v>3050000000</v>
      </c>
      <c r="U32" s="2315">
        <v>1470000000</v>
      </c>
      <c r="V32" s="2315">
        <v>-1200000000</v>
      </c>
      <c r="W32" s="2315">
        <v>-600000000</v>
      </c>
      <c r="X32" s="2315">
        <v>-400000000</v>
      </c>
      <c r="Y32" s="1593">
        <v>-300000000</v>
      </c>
      <c r="Z32" s="1593">
        <v>0</v>
      </c>
      <c r="AA32" s="1593">
        <v>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1570" t="s">
        <v>76</v>
      </c>
      <c r="B33" s="1577" t="s">
        <v>209</v>
      </c>
      <c r="C33" s="1577"/>
      <c r="D33" s="2057"/>
      <c r="E33" s="2057"/>
      <c r="F33" s="2057"/>
      <c r="G33" s="2057"/>
      <c r="H33" s="2057"/>
      <c r="I33" s="2057"/>
      <c r="J33" s="2057"/>
      <c r="K33" s="2057"/>
      <c r="L33" s="1581">
        <v>-400000000</v>
      </c>
      <c r="M33" s="1581">
        <v>-98000000</v>
      </c>
      <c r="N33" s="2309">
        <v>800000000</v>
      </c>
      <c r="O33" s="2309">
        <v>950000000</v>
      </c>
      <c r="P33" s="2309">
        <v>1389000000</v>
      </c>
      <c r="Q33" s="2315">
        <v>1428000000</v>
      </c>
      <c r="R33" s="2315">
        <v>3607000000</v>
      </c>
      <c r="S33" s="2315">
        <v>12425000000</v>
      </c>
      <c r="T33" s="2315">
        <v>9002000000</v>
      </c>
      <c r="U33" s="2315">
        <v>7173000000</v>
      </c>
      <c r="V33" s="2315">
        <v>6913000000</v>
      </c>
      <c r="W33" s="2315">
        <v>4092000000</v>
      </c>
      <c r="X33" s="2315">
        <v>3681000000</v>
      </c>
      <c r="Y33" s="1593">
        <v>3418000000</v>
      </c>
      <c r="Z33" s="1593">
        <v>3929000000</v>
      </c>
      <c r="AA33" s="1593">
        <v>4205000000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1570" t="s">
        <v>76</v>
      </c>
      <c r="B34" s="1577" t="s">
        <v>212</v>
      </c>
      <c r="D34" s="2057"/>
      <c r="E34" s="2057"/>
      <c r="F34" s="2057"/>
      <c r="G34" s="2057"/>
      <c r="H34" s="2057"/>
      <c r="I34" s="2057"/>
      <c r="J34" s="2057"/>
      <c r="K34" s="2057"/>
      <c r="L34" s="1581">
        <v>1423000000</v>
      </c>
      <c r="M34" s="1581">
        <v>762000000</v>
      </c>
      <c r="N34" s="2309">
        <v>264000000</v>
      </c>
      <c r="O34" s="2309">
        <v>282000000</v>
      </c>
      <c r="P34" s="2309">
        <v>-335000000</v>
      </c>
      <c r="Q34" s="2315">
        <v>306000000</v>
      </c>
      <c r="R34" s="2315">
        <v>263000000</v>
      </c>
      <c r="S34" s="2315">
        <v>32000000</v>
      </c>
      <c r="T34" s="2315">
        <v>1453000000</v>
      </c>
      <c r="U34" s="2315">
        <v>105000000</v>
      </c>
      <c r="V34" s="2315">
        <v>286000000</v>
      </c>
      <c r="W34" s="2315">
        <v>439000000</v>
      </c>
      <c r="X34" s="2315">
        <v>391000000</v>
      </c>
      <c r="Y34" s="1593">
        <v>777000000</v>
      </c>
      <c r="Z34" s="1593">
        <v>1311000000</v>
      </c>
      <c r="AA34" s="1593">
        <v>1404000000</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1570" t="s">
        <v>76</v>
      </c>
      <c r="B35" s="1577" t="s">
        <v>5449</v>
      </c>
      <c r="D35" s="2057"/>
      <c r="E35" s="2057"/>
      <c r="F35" s="2057"/>
      <c r="G35" s="2057"/>
      <c r="H35" s="2057"/>
      <c r="I35" s="2057"/>
      <c r="J35" s="1581">
        <v>583332000</v>
      </c>
      <c r="K35" s="1581">
        <v>485343000</v>
      </c>
      <c r="L35" s="1581"/>
      <c r="M35" s="1581"/>
      <c r="N35" s="1581"/>
      <c r="O35" s="1581"/>
      <c r="P35" s="1581"/>
      <c r="Q35" s="1592">
        <v>1121000000</v>
      </c>
      <c r="R35" s="1592">
        <v>3344000000</v>
      </c>
      <c r="S35" s="1841">
        <v>12393000000</v>
      </c>
      <c r="T35" s="1841">
        <v>7549000000</v>
      </c>
      <c r="U35" s="1841">
        <v>7068000000</v>
      </c>
      <c r="V35" s="1841">
        <v>6627000000</v>
      </c>
      <c r="W35" s="1841">
        <v>3653000000</v>
      </c>
      <c r="X35" s="1841">
        <v>3290000000</v>
      </c>
      <c r="Y35" s="1593">
        <v>2640000000</v>
      </c>
      <c r="Z35" s="1593">
        <v>2618000000</v>
      </c>
      <c r="AA35" s="1593">
        <v>2802000000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570" t="s">
        <v>76</v>
      </c>
      <c r="B36" s="1577" t="s">
        <v>5819</v>
      </c>
      <c r="D36" s="1581">
        <v>-2350000000</v>
      </c>
      <c r="E36" s="1581">
        <v>-1247000000</v>
      </c>
      <c r="F36" s="1581">
        <v>-1328000000</v>
      </c>
      <c r="G36" s="1581">
        <v>-572000000</v>
      </c>
      <c r="H36" s="1581">
        <v>367218000</v>
      </c>
      <c r="I36" s="1581">
        <v>862900000.00000012</v>
      </c>
      <c r="J36" s="1581">
        <v>243055000</v>
      </c>
      <c r="K36" s="1581">
        <v>161781000</v>
      </c>
      <c r="L36" s="1581"/>
      <c r="M36" s="1581"/>
      <c r="N36" s="1581"/>
      <c r="O36" s="1581"/>
      <c r="P36" s="1581"/>
      <c r="Q36" s="1592"/>
      <c r="R36" s="1592"/>
      <c r="S36" s="1841"/>
      <c r="T36" s="1841"/>
      <c r="U36" s="1841"/>
      <c r="V36" s="1841"/>
      <c r="W36" s="1841"/>
      <c r="X36" s="1841"/>
      <c r="Y36" s="1593"/>
      <c r="Z36" s="1593"/>
      <c r="AA36" s="1593"/>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848" customFormat="1">
      <c r="A37" s="2004" t="s">
        <v>115</v>
      </c>
      <c r="B37" s="2004" t="s">
        <v>115</v>
      </c>
      <c r="C37" s="2004" t="s">
        <v>35</v>
      </c>
      <c r="D37" s="2056">
        <v>2350000000</v>
      </c>
      <c r="E37" s="2056">
        <v>1247000000</v>
      </c>
      <c r="F37" s="2056">
        <v>1328000000</v>
      </c>
      <c r="G37" s="2056">
        <v>572000000</v>
      </c>
      <c r="H37" s="2056">
        <v>-367218000</v>
      </c>
      <c r="I37" s="2056">
        <v>-862900000.00000012</v>
      </c>
      <c r="J37" s="2056">
        <v>-243055000</v>
      </c>
      <c r="K37" s="2056">
        <v>-161781000</v>
      </c>
      <c r="L37" s="2056">
        <v>123214000</v>
      </c>
      <c r="M37" s="2056">
        <v>431249000</v>
      </c>
      <c r="N37" s="2056">
        <f>N38+N43</f>
        <v>1724996000</v>
      </c>
      <c r="O37" s="2056">
        <f>O38+O43</f>
        <v>554463000</v>
      </c>
      <c r="P37" s="2056">
        <f>P38+P43</f>
        <v>1178000000</v>
      </c>
      <c r="Q37" s="2056">
        <f t="shared" ref="Q37:AA37" si="4">Q38+Q43</f>
        <v>1770000000</v>
      </c>
      <c r="R37" s="2056">
        <f t="shared" si="4"/>
        <v>3147000000</v>
      </c>
      <c r="S37" s="2056">
        <f t="shared" si="4"/>
        <v>6743000000</v>
      </c>
      <c r="T37" s="2056">
        <f t="shared" si="4"/>
        <v>5952000000</v>
      </c>
      <c r="U37" s="2056">
        <f t="shared" si="4"/>
        <v>5703000000</v>
      </c>
      <c r="V37" s="2056">
        <f t="shared" si="4"/>
        <v>8113000000</v>
      </c>
      <c r="W37" s="2056">
        <f t="shared" si="4"/>
        <v>4692000000</v>
      </c>
      <c r="X37" s="2056">
        <f t="shared" si="4"/>
        <v>4081000000</v>
      </c>
      <c r="Y37" s="2056">
        <f t="shared" si="4"/>
        <v>3717000000</v>
      </c>
      <c r="Z37" s="2056">
        <f t="shared" si="4"/>
        <v>3929000000</v>
      </c>
      <c r="AA37" s="2056">
        <f t="shared" si="4"/>
        <v>4206000000</v>
      </c>
      <c r="AB37" s="916"/>
      <c r="AC37" s="916"/>
      <c r="AD37" s="916"/>
      <c r="AE37" s="916"/>
      <c r="AF37" s="916"/>
      <c r="AG37" s="916"/>
      <c r="AH37" s="916"/>
      <c r="AI37" s="916"/>
      <c r="AJ37" s="916"/>
      <c r="AK37" s="916"/>
      <c r="AL37" s="916"/>
      <c r="AM37" s="916"/>
      <c r="AN37" s="916"/>
      <c r="AO37" s="916"/>
      <c r="AP37" s="916"/>
      <c r="AQ37" s="916"/>
      <c r="AR37" s="916"/>
      <c r="AS37" s="916"/>
      <c r="AT37" s="916"/>
      <c r="AU37" s="916"/>
      <c r="AV37" s="916"/>
      <c r="AW37" s="916"/>
      <c r="AX37" s="916"/>
    </row>
    <row r="38" spans="1:50">
      <c r="A38" s="1576" t="s">
        <v>117</v>
      </c>
      <c r="B38" s="1577" t="s">
        <v>5458</v>
      </c>
      <c r="C38" s="1578" t="s">
        <v>119</v>
      </c>
      <c r="D38" s="1581">
        <v>1893000000</v>
      </c>
      <c r="E38" s="1581">
        <v>370000000</v>
      </c>
      <c r="F38" s="1581">
        <v>98000000</v>
      </c>
      <c r="G38" s="1581">
        <v>-114000000</v>
      </c>
      <c r="H38" s="1581">
        <v>-204010000</v>
      </c>
      <c r="I38" s="1581">
        <v>-560885000.00000012</v>
      </c>
      <c r="J38" s="1581">
        <v>-194444000</v>
      </c>
      <c r="K38" s="1581">
        <v>-215708000</v>
      </c>
      <c r="L38" s="1581">
        <v>1478568000</v>
      </c>
      <c r="M38" s="1581">
        <v>739284000</v>
      </c>
      <c r="N38" s="1581">
        <v>-246428000</v>
      </c>
      <c r="O38" s="1581">
        <v>-308035000</v>
      </c>
      <c r="P38" s="1592">
        <f>P49</f>
        <v>-335000000</v>
      </c>
      <c r="Q38" s="1592">
        <f>Q49</f>
        <v>1121000000</v>
      </c>
      <c r="R38" s="1592">
        <f t="shared" ref="R38:AA38" si="5">R49</f>
        <v>3344000000</v>
      </c>
      <c r="S38" s="1592">
        <f t="shared" si="5"/>
        <v>12393000000</v>
      </c>
      <c r="T38" s="1592">
        <f t="shared" si="5"/>
        <v>7549000000</v>
      </c>
      <c r="U38" s="1592">
        <f t="shared" si="5"/>
        <v>7068000000</v>
      </c>
      <c r="V38" s="1592">
        <f t="shared" si="5"/>
        <v>6627000000</v>
      </c>
      <c r="W38" s="1592">
        <f t="shared" si="5"/>
        <v>3653000000</v>
      </c>
      <c r="X38" s="1592">
        <f t="shared" si="5"/>
        <v>3290000000</v>
      </c>
      <c r="Y38" s="1592">
        <f t="shared" si="5"/>
        <v>2640000000</v>
      </c>
      <c r="Z38" s="1592">
        <f t="shared" si="5"/>
        <v>2618000000</v>
      </c>
      <c r="AA38" s="1592">
        <f t="shared" si="5"/>
        <v>2802000000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1580" t="s">
        <v>6851</v>
      </c>
      <c r="B39" s="1580" t="s">
        <v>6851</v>
      </c>
      <c r="C39" s="1577" t="s">
        <v>264</v>
      </c>
      <c r="D39" s="1581">
        <v>1997000000</v>
      </c>
      <c r="E39" s="1581">
        <v>468000000</v>
      </c>
      <c r="F39" s="1581">
        <v>204000000</v>
      </c>
      <c r="G39" s="1581">
        <v>0</v>
      </c>
      <c r="H39" s="1581">
        <v>0</v>
      </c>
      <c r="I39" s="1581">
        <v>0</v>
      </c>
      <c r="J39" s="1581">
        <v>0</v>
      </c>
      <c r="K39" s="1581">
        <v>0</v>
      </c>
      <c r="P39" s="1581"/>
      <c r="Q39" s="1592"/>
      <c r="R39" s="1592"/>
      <c r="S39" s="1841"/>
      <c r="T39" s="1841"/>
      <c r="U39" s="1841"/>
      <c r="V39" s="1841"/>
      <c r="W39" s="1841"/>
      <c r="X39" s="1841"/>
      <c r="Y39" s="1593"/>
      <c r="Z39" s="1593"/>
      <c r="AA39" s="1593"/>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1580" t="s">
        <v>6852</v>
      </c>
      <c r="B40" s="1580" t="s">
        <v>6853</v>
      </c>
      <c r="C40" s="1577" t="s">
        <v>264</v>
      </c>
      <c r="D40" s="2057"/>
      <c r="E40" s="2057"/>
      <c r="F40" s="1581"/>
      <c r="G40" s="1581"/>
      <c r="H40" s="1581">
        <v>-204010000</v>
      </c>
      <c r="I40" s="1581">
        <v>-560885000.00000012</v>
      </c>
      <c r="J40" s="1581">
        <v>-194444000</v>
      </c>
      <c r="K40" s="1581">
        <v>-215708000</v>
      </c>
      <c r="L40" s="1581">
        <v>1478568000</v>
      </c>
      <c r="M40" s="1581">
        <v>739284000</v>
      </c>
      <c r="N40" s="1581">
        <v>-246428000</v>
      </c>
      <c r="O40" s="1581">
        <v>-308035000</v>
      </c>
      <c r="P40" s="1581"/>
      <c r="Q40" s="1581"/>
      <c r="R40" s="1581"/>
      <c r="Y40" s="2317"/>
      <c r="Z40" s="2317"/>
      <c r="AA40" s="2317"/>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1580" t="s">
        <v>3593</v>
      </c>
      <c r="B41" s="1580" t="s">
        <v>6854</v>
      </c>
      <c r="C41" s="1577" t="s">
        <v>264</v>
      </c>
      <c r="D41" s="2057"/>
      <c r="E41" s="2057"/>
      <c r="F41" s="1581"/>
      <c r="G41" s="1581"/>
      <c r="H41" s="1581">
        <v>0</v>
      </c>
      <c r="I41" s="1581">
        <v>0</v>
      </c>
      <c r="J41" s="1581">
        <v>0</v>
      </c>
      <c r="K41" s="1581"/>
      <c r="L41" s="1581">
        <v>0</v>
      </c>
      <c r="M41" s="1581">
        <v>0</v>
      </c>
      <c r="N41" s="1581">
        <v>0</v>
      </c>
      <c r="O41" s="1581">
        <v>0</v>
      </c>
      <c r="P41" s="1581"/>
      <c r="Q41" s="1581"/>
      <c r="R41" s="1581"/>
      <c r="Y41" s="2317"/>
      <c r="Z41" s="2317"/>
      <c r="AA41" s="2317"/>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1580" t="s">
        <v>258</v>
      </c>
      <c r="B42" s="1580" t="s">
        <v>258</v>
      </c>
      <c r="C42" s="1577" t="s">
        <v>264</v>
      </c>
      <c r="D42" s="1581">
        <v>-104000000</v>
      </c>
      <c r="E42" s="1581">
        <v>-98000000</v>
      </c>
      <c r="F42" s="1581">
        <v>-106000000</v>
      </c>
      <c r="G42" s="1581">
        <v>-114000000</v>
      </c>
      <c r="H42" s="1581">
        <v>0</v>
      </c>
      <c r="I42" s="1581">
        <v>0</v>
      </c>
      <c r="J42" s="1581">
        <v>0</v>
      </c>
      <c r="K42" s="1581"/>
      <c r="P42" s="1581"/>
      <c r="Q42" s="1581"/>
      <c r="R42" s="1581"/>
      <c r="S42" s="1581"/>
      <c r="T42" s="1581"/>
      <c r="U42" s="1581"/>
      <c r="V42" s="1581"/>
      <c r="W42" s="1581"/>
      <c r="X42" s="1581"/>
      <c r="Y42" s="1581"/>
      <c r="Z42" s="1581"/>
      <c r="AA42" s="1581"/>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5.75" customHeight="1">
      <c r="A43" s="1576" t="s">
        <v>120</v>
      </c>
      <c r="B43" s="1577" t="s">
        <v>6855</v>
      </c>
      <c r="C43" s="1578" t="s">
        <v>119</v>
      </c>
      <c r="D43" s="1581">
        <v>457000000</v>
      </c>
      <c r="E43" s="1581">
        <v>877000000</v>
      </c>
      <c r="F43" s="1581">
        <v>1231000000</v>
      </c>
      <c r="G43" s="1581">
        <v>686000000</v>
      </c>
      <c r="H43" s="1581">
        <v>-163208000.00000003</v>
      </c>
      <c r="I43" s="1581">
        <v>-302015000.00000006</v>
      </c>
      <c r="J43" s="1581">
        <v>-48611000</v>
      </c>
      <c r="K43" s="1581">
        <v>53927000</v>
      </c>
      <c r="L43" s="2061">
        <f>L44+L45</f>
        <v>-1355354000</v>
      </c>
      <c r="M43" s="1581">
        <v>-308035000</v>
      </c>
      <c r="N43" s="1581">
        <v>1971424000</v>
      </c>
      <c r="O43" s="1581">
        <v>862498000</v>
      </c>
      <c r="P43" s="1581">
        <f>P48+P46</f>
        <v>1513000000</v>
      </c>
      <c r="Q43" s="1581">
        <f t="shared" ref="Q43:AA43" si="6">Q48+Q46</f>
        <v>649000000</v>
      </c>
      <c r="R43" s="1581">
        <f t="shared" si="6"/>
        <v>-197000000</v>
      </c>
      <c r="S43" s="1581">
        <f t="shared" si="6"/>
        <v>-5650000000</v>
      </c>
      <c r="T43" s="1581">
        <f t="shared" si="6"/>
        <v>-1597000000</v>
      </c>
      <c r="U43" s="1581">
        <f t="shared" si="6"/>
        <v>-1365000000</v>
      </c>
      <c r="V43" s="1581">
        <f t="shared" si="6"/>
        <v>1486000000</v>
      </c>
      <c r="W43" s="1581">
        <f t="shared" si="6"/>
        <v>1039000000</v>
      </c>
      <c r="X43" s="1581">
        <f t="shared" si="6"/>
        <v>791000000</v>
      </c>
      <c r="Y43" s="1581">
        <f t="shared" si="6"/>
        <v>1077000000</v>
      </c>
      <c r="Z43" s="1581">
        <f t="shared" si="6"/>
        <v>1311000000</v>
      </c>
      <c r="AA43" s="1581">
        <f t="shared" si="6"/>
        <v>1404000000</v>
      </c>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s="1580" t="s">
        <v>6856</v>
      </c>
      <c r="B44" s="1580" t="s">
        <v>6857</v>
      </c>
      <c r="C44" s="1577" t="s">
        <v>124</v>
      </c>
      <c r="D44" s="2057"/>
      <c r="E44" s="2057"/>
      <c r="F44" s="1581"/>
      <c r="G44" s="1581"/>
      <c r="H44" s="1581">
        <v>0</v>
      </c>
      <c r="I44" s="1581">
        <v>-172580000.00000003</v>
      </c>
      <c r="J44" s="1581">
        <v>-243055000</v>
      </c>
      <c r="K44" s="1581">
        <v>-107854000</v>
      </c>
      <c r="L44" s="1581">
        <v>-431249000</v>
      </c>
      <c r="M44" s="1581">
        <v>-123214000</v>
      </c>
      <c r="N44" s="1581">
        <v>739284000</v>
      </c>
      <c r="O44" s="1581">
        <v>862498000</v>
      </c>
      <c r="P44" s="1581"/>
      <c r="Q44" s="1581"/>
      <c r="R44" s="1581"/>
      <c r="Y44" s="2317"/>
      <c r="Z44" s="2317"/>
      <c r="AA44" s="2317"/>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1580" t="s">
        <v>6858</v>
      </c>
      <c r="B45" s="1580" t="s">
        <v>6859</v>
      </c>
      <c r="C45" s="1577" t="s">
        <v>124</v>
      </c>
      <c r="D45" s="2057"/>
      <c r="E45" s="2057"/>
      <c r="F45" s="1581"/>
      <c r="G45" s="1581"/>
      <c r="H45" s="1581">
        <v>-163208000.00000003</v>
      </c>
      <c r="I45" s="1581">
        <v>-129435000.00000001</v>
      </c>
      <c r="J45" s="1581">
        <v>194444000</v>
      </c>
      <c r="K45" s="1581">
        <v>161781000</v>
      </c>
      <c r="L45" s="1581">
        <v>-924105000</v>
      </c>
      <c r="M45" s="1581">
        <v>-184821000</v>
      </c>
      <c r="N45" s="1581">
        <v>1232140000</v>
      </c>
      <c r="O45" s="1581">
        <v>0</v>
      </c>
      <c r="P45" s="1581"/>
      <c r="Q45" s="1581"/>
      <c r="R45" s="1581"/>
      <c r="Y45" s="2317"/>
      <c r="Z45" s="2317"/>
      <c r="AA45" s="2317"/>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580"/>
      <c r="B46" s="1570" t="s">
        <v>688</v>
      </c>
      <c r="C46" s="1578"/>
      <c r="D46" s="2057"/>
      <c r="E46" s="2057"/>
      <c r="F46" s="1581"/>
      <c r="G46" s="1581"/>
      <c r="H46" s="1581"/>
      <c r="I46" s="1581"/>
      <c r="J46" s="1581"/>
      <c r="K46" s="1581"/>
      <c r="L46" s="1581"/>
      <c r="M46" s="1581"/>
      <c r="N46" s="1581"/>
      <c r="O46" s="1581"/>
      <c r="P46" s="13">
        <v>124000000</v>
      </c>
      <c r="Q46" s="1581">
        <v>343000000</v>
      </c>
      <c r="R46" s="1581">
        <v>-460000000</v>
      </c>
      <c r="S46" s="1581">
        <v>-5682000000</v>
      </c>
      <c r="T46" s="1581">
        <v>-3050000000</v>
      </c>
      <c r="U46" s="1581">
        <v>-1470000000</v>
      </c>
      <c r="V46" s="1581">
        <v>1200000000</v>
      </c>
      <c r="W46" s="1581">
        <v>600000000</v>
      </c>
      <c r="X46" s="1581">
        <v>400000000</v>
      </c>
      <c r="Y46" s="1581">
        <v>300000000</v>
      </c>
      <c r="Z46" s="1581">
        <v>0</v>
      </c>
      <c r="AA46" s="1581">
        <v>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6860</v>
      </c>
      <c r="C47" s="1578"/>
      <c r="D47" s="2057"/>
      <c r="E47" s="2057"/>
      <c r="F47" s="1581"/>
      <c r="G47" s="1581"/>
      <c r="H47" s="1581"/>
      <c r="I47" s="1581"/>
      <c r="J47" s="1581"/>
      <c r="K47" s="1581"/>
      <c r="L47" s="1581"/>
      <c r="M47" s="1581"/>
      <c r="N47" s="1581"/>
      <c r="O47" s="1581"/>
      <c r="P47" s="1581"/>
      <c r="Q47" s="1581"/>
      <c r="R47" s="1581"/>
      <c r="S47" s="1581"/>
      <c r="T47" s="1581"/>
      <c r="U47" s="1581"/>
      <c r="V47" s="1581"/>
      <c r="W47" s="1581"/>
      <c r="X47" s="1581"/>
      <c r="Y47" s="1581"/>
      <c r="Z47" s="1581"/>
      <c r="AA47" s="1581"/>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80"/>
      <c r="B48" s="1580" t="s">
        <v>6861</v>
      </c>
      <c r="C48" s="1577"/>
      <c r="D48" s="2057"/>
      <c r="E48" s="2057"/>
      <c r="F48" s="1581"/>
      <c r="G48" s="1581"/>
      <c r="H48" s="1581"/>
      <c r="I48" s="1581"/>
      <c r="J48" s="1581"/>
      <c r="K48" s="1581"/>
      <c r="L48" s="1581"/>
      <c r="M48" s="1581"/>
      <c r="N48" s="1581"/>
      <c r="O48" s="1581"/>
      <c r="P48" s="1581">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1580" t="s">
        <v>6862</v>
      </c>
      <c r="C49" s="1577"/>
      <c r="D49" s="2059"/>
      <c r="E49" s="2059"/>
      <c r="F49" s="2059"/>
      <c r="G49" s="2059"/>
      <c r="H49" s="2059"/>
      <c r="I49" s="2059"/>
      <c r="J49" s="2059"/>
      <c r="K49" s="2059"/>
      <c r="L49" s="2059"/>
      <c r="M49" s="2059"/>
      <c r="N49" s="2059"/>
      <c r="O49" s="2059"/>
      <c r="P49" s="1581">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s="1580"/>
      <c r="D50" s="2059"/>
      <c r="E50" s="2059"/>
      <c r="F50" s="2059"/>
      <c r="G50" s="2059"/>
      <c r="H50" s="2059"/>
      <c r="I50" s="2059"/>
      <c r="J50" s="2059"/>
      <c r="K50" s="2059"/>
      <c r="L50" s="2059"/>
      <c r="M50" s="2059"/>
      <c r="N50" s="2059"/>
      <c r="O50" s="2059"/>
      <c r="P50" s="2059"/>
      <c r="Q50" s="2059"/>
      <c r="R50" s="2059"/>
      <c r="Y50" s="21"/>
      <c r="Z50" s="2317"/>
      <c r="AA50" s="2317"/>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D51" s="1570" t="s">
        <v>139</v>
      </c>
      <c r="E51" s="1570" t="s">
        <v>139</v>
      </c>
      <c r="F51" s="1570" t="s">
        <v>139</v>
      </c>
      <c r="G51" s="1570" t="s">
        <v>139</v>
      </c>
      <c r="H51" s="1570" t="s">
        <v>139</v>
      </c>
      <c r="I51" s="1570" t="s">
        <v>139</v>
      </c>
      <c r="J51" s="1570" t="s">
        <v>139</v>
      </c>
      <c r="K51" s="1570" t="s">
        <v>139</v>
      </c>
      <c r="L51" s="1570" t="s">
        <v>139</v>
      </c>
      <c r="M51" s="1570" t="s">
        <v>139</v>
      </c>
      <c r="N51" s="1570" t="s">
        <v>139</v>
      </c>
      <c r="O51" s="1570" t="s">
        <v>139</v>
      </c>
      <c r="P51" s="1570" t="s">
        <v>139</v>
      </c>
      <c r="Q51" s="1570" t="s">
        <v>139</v>
      </c>
      <c r="R51" s="1570" t="s">
        <v>139</v>
      </c>
      <c r="S51" s="1570" t="s">
        <v>139</v>
      </c>
      <c r="T51" s="1570" t="s">
        <v>139</v>
      </c>
      <c r="U51" s="1570" t="s">
        <v>139</v>
      </c>
      <c r="V51" s="1570" t="s">
        <v>139</v>
      </c>
      <c r="W51" s="1570" t="s">
        <v>139</v>
      </c>
      <c r="X51" s="1570" t="s">
        <v>139</v>
      </c>
      <c r="Y51" s="1570" t="s">
        <v>139</v>
      </c>
      <c r="Z51" s="1570" t="s">
        <v>139</v>
      </c>
      <c r="AA51" s="1570" t="s">
        <v>139</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Y52" s="2317"/>
      <c r="Z52" s="2317"/>
      <c r="AA52" s="2317"/>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Y53" s="2317"/>
      <c r="Z53" s="2317"/>
      <c r="AA53" s="2317"/>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s="1570" t="s">
        <v>284</v>
      </c>
      <c r="D54" s="1588">
        <f t="shared" ref="D54:R54" si="7">D6-D7-D16</f>
        <v>-1000000</v>
      </c>
      <c r="E54" s="1588">
        <f t="shared" si="7"/>
        <v>0</v>
      </c>
      <c r="F54" s="1588">
        <f t="shared" si="7"/>
        <v>0</v>
      </c>
      <c r="G54" s="1588">
        <f t="shared" si="7"/>
        <v>0</v>
      </c>
      <c r="H54" s="1588">
        <f t="shared" si="7"/>
        <v>1.0728836059570313E-6</v>
      </c>
      <c r="I54" s="1588">
        <f t="shared" si="7"/>
        <v>0</v>
      </c>
      <c r="J54" s="1588">
        <f t="shared" si="7"/>
        <v>0</v>
      </c>
      <c r="K54" s="1588">
        <f t="shared" si="7"/>
        <v>0</v>
      </c>
      <c r="L54" s="1588">
        <f t="shared" si="7"/>
        <v>0</v>
      </c>
      <c r="M54" s="1588">
        <f t="shared" si="7"/>
        <v>0</v>
      </c>
      <c r="N54" s="1588">
        <f t="shared" si="7"/>
        <v>0</v>
      </c>
      <c r="O54" s="1588">
        <f t="shared" si="7"/>
        <v>0</v>
      </c>
      <c r="P54" s="1588">
        <f t="shared" si="7"/>
        <v>0</v>
      </c>
      <c r="Q54" s="1588">
        <f t="shared" si="7"/>
        <v>0</v>
      </c>
      <c r="R54" s="1588">
        <f t="shared" si="7"/>
        <v>0</v>
      </c>
      <c r="S54" s="1588">
        <f t="shared" ref="S54:X54" si="8">S6-S7-S16</f>
        <v>0</v>
      </c>
      <c r="T54" s="1588">
        <f t="shared" si="8"/>
        <v>0</v>
      </c>
      <c r="U54" s="1588">
        <f t="shared" si="8"/>
        <v>0</v>
      </c>
      <c r="V54" s="1588">
        <f t="shared" si="8"/>
        <v>0</v>
      </c>
      <c r="W54" s="1588">
        <f t="shared" si="8"/>
        <v>0</v>
      </c>
      <c r="X54" s="1588">
        <f t="shared" si="8"/>
        <v>0</v>
      </c>
      <c r="Y54" s="1588">
        <f t="shared" ref="Y54:AA54" si="9">Y6-Y7-Y16</f>
        <v>0</v>
      </c>
      <c r="Z54" s="1588">
        <f t="shared" si="9"/>
        <v>0</v>
      </c>
      <c r="AA54" s="1588">
        <f t="shared" si="9"/>
        <v>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s="1570" t="s">
        <v>358</v>
      </c>
      <c r="D55" s="1588">
        <f>D7-D9-D14-D15</f>
        <v>-1000000</v>
      </c>
      <c r="E55" s="1588">
        <f t="shared" ref="E55:R55" si="10">E7-E9-E14-E15</f>
        <v>0</v>
      </c>
      <c r="F55" s="1588">
        <f t="shared" si="10"/>
        <v>1000000</v>
      </c>
      <c r="G55" s="1588">
        <f t="shared" si="10"/>
        <v>-1000000</v>
      </c>
      <c r="H55" s="1588">
        <f t="shared" si="10"/>
        <v>-1.9222497940063477E-6</v>
      </c>
      <c r="I55" s="1588">
        <f t="shared" si="10"/>
        <v>-2.1532177925109863E-6</v>
      </c>
      <c r="J55" s="1588">
        <f t="shared" si="10"/>
        <v>0</v>
      </c>
      <c r="K55" s="1588">
        <f t="shared" si="10"/>
        <v>-2.384185791015625E-7</v>
      </c>
      <c r="L55" s="1588">
        <f t="shared" si="10"/>
        <v>0</v>
      </c>
      <c r="M55" s="1588">
        <f t="shared" si="10"/>
        <v>0</v>
      </c>
      <c r="N55" s="1588">
        <f t="shared" si="10"/>
        <v>1000000</v>
      </c>
      <c r="O55" s="1588">
        <f t="shared" si="10"/>
        <v>0</v>
      </c>
      <c r="P55" s="1588">
        <f t="shared" si="10"/>
        <v>0</v>
      </c>
      <c r="Q55" s="1588">
        <f t="shared" si="10"/>
        <v>0</v>
      </c>
      <c r="R55" s="1588">
        <f t="shared" si="10"/>
        <v>0</v>
      </c>
      <c r="S55" s="1588">
        <f t="shared" ref="S55:X55" si="11">S7-S9-S14-S15</f>
        <v>0</v>
      </c>
      <c r="T55" s="1588">
        <f t="shared" si="11"/>
        <v>0</v>
      </c>
      <c r="U55" s="1588">
        <f t="shared" si="11"/>
        <v>0</v>
      </c>
      <c r="V55" s="1588">
        <f t="shared" si="11"/>
        <v>0</v>
      </c>
      <c r="W55" s="1588">
        <f t="shared" si="11"/>
        <v>0</v>
      </c>
      <c r="X55" s="1588">
        <f t="shared" si="11"/>
        <v>-1000000</v>
      </c>
      <c r="Y55" s="1588">
        <f t="shared" ref="Y55:AA55" si="12">Y7-Y9-Y14-Y15</f>
        <v>1000000</v>
      </c>
      <c r="Z55" s="1588">
        <f t="shared" si="12"/>
        <v>0</v>
      </c>
      <c r="AA55" s="1588">
        <f t="shared" si="12"/>
        <v>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s="1570" t="s">
        <v>142</v>
      </c>
      <c r="D56" s="2254">
        <f t="shared" ref="D56:I56" si="13">D9-D10-D11-D12-D13</f>
        <v>5902000000</v>
      </c>
      <c r="E56" s="2254">
        <f t="shared" si="13"/>
        <v>5794000000</v>
      </c>
      <c r="F56" s="2254">
        <f t="shared" si="13"/>
        <v>5671000000</v>
      </c>
      <c r="G56" s="2254">
        <f t="shared" si="13"/>
        <v>6022000000</v>
      </c>
      <c r="H56" s="1588">
        <f t="shared" si="13"/>
        <v>0</v>
      </c>
      <c r="I56" s="1588">
        <f t="shared" si="13"/>
        <v>9.5367431640625E-7</v>
      </c>
      <c r="J56" s="1588">
        <f>J9-J10-J11-J12-J13</f>
        <v>0</v>
      </c>
      <c r="K56" s="1588">
        <f>K9-K10-K11-K12-K13</f>
        <v>0</v>
      </c>
      <c r="L56" s="2254">
        <f t="shared" ref="L56:R56" si="14">L9-L10-L11-L12</f>
        <v>11457000000</v>
      </c>
      <c r="M56" s="2254">
        <f t="shared" si="14"/>
        <v>10825000000</v>
      </c>
      <c r="N56" s="2254">
        <f t="shared" si="14"/>
        <v>11089000000</v>
      </c>
      <c r="O56" s="2254">
        <f t="shared" si="14"/>
        <v>11630000000</v>
      </c>
      <c r="P56" s="2254">
        <f t="shared" si="14"/>
        <v>11982000000</v>
      </c>
      <c r="Q56" s="2268">
        <f t="shared" si="14"/>
        <v>13069000000</v>
      </c>
      <c r="R56" s="2268">
        <f t="shared" si="14"/>
        <v>13747000000</v>
      </c>
      <c r="S56" s="2268">
        <f t="shared" ref="S56:X56" si="15">S9-S10-S11-S12</f>
        <v>13467000000</v>
      </c>
      <c r="T56" s="2268">
        <f t="shared" si="15"/>
        <v>14231000000</v>
      </c>
      <c r="U56" s="2268">
        <f t="shared" si="15"/>
        <v>16276000000</v>
      </c>
      <c r="V56" s="2268">
        <f t="shared" si="15"/>
        <v>18158000000</v>
      </c>
      <c r="W56" s="2268">
        <f t="shared" si="15"/>
        <v>20736000000</v>
      </c>
      <c r="X56" s="2268">
        <f t="shared" si="15"/>
        <v>22416000000</v>
      </c>
      <c r="Y56" s="2268">
        <f t="shared" ref="Y56:AA56" si="16">Y9-Y10-Y11-Y12</f>
        <v>23855000000</v>
      </c>
      <c r="Z56" s="2268">
        <f t="shared" si="16"/>
        <v>25387000000</v>
      </c>
      <c r="AA56" s="2268">
        <f t="shared" si="16"/>
        <v>27017000000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s="1570" t="s">
        <v>145</v>
      </c>
      <c r="D57" s="1588">
        <f>D17-D19-D29</f>
        <v>0</v>
      </c>
      <c r="E57" s="1588">
        <f>E17-E19-E29</f>
        <v>0</v>
      </c>
      <c r="F57" s="1588">
        <f>F17-F19-F29</f>
        <v>0</v>
      </c>
      <c r="G57" s="1588">
        <f>G17-G19-G29</f>
        <v>-1000000</v>
      </c>
      <c r="H57" s="1588">
        <f>H17-H19-H29</f>
        <v>0</v>
      </c>
      <c r="I57" s="1588">
        <f t="shared" ref="I57:R57" si="17">I17-I19-I29</f>
        <v>0</v>
      </c>
      <c r="J57" s="1588">
        <f>J17-J19-J29</f>
        <v>0</v>
      </c>
      <c r="K57" s="1588">
        <f t="shared" si="17"/>
        <v>0</v>
      </c>
      <c r="L57" s="1588">
        <f t="shared" si="17"/>
        <v>0</v>
      </c>
      <c r="M57" s="1588">
        <f t="shared" si="17"/>
        <v>0</v>
      </c>
      <c r="N57" s="1588">
        <f t="shared" si="17"/>
        <v>0</v>
      </c>
      <c r="O57" s="1588">
        <f>O17-O19-O29</f>
        <v>0</v>
      </c>
      <c r="P57" s="1588">
        <f t="shared" si="17"/>
        <v>0</v>
      </c>
      <c r="Q57" s="1588">
        <f t="shared" si="17"/>
        <v>1000000</v>
      </c>
      <c r="R57" s="1588">
        <f t="shared" si="17"/>
        <v>0</v>
      </c>
      <c r="S57" s="1588">
        <f t="shared" ref="S57:X57" si="18">S17-S19-S29</f>
        <v>1000000</v>
      </c>
      <c r="T57" s="1588">
        <f t="shared" si="18"/>
        <v>0</v>
      </c>
      <c r="U57" s="1588">
        <f t="shared" si="18"/>
        <v>0</v>
      </c>
      <c r="V57" s="1588">
        <f t="shared" si="18"/>
        <v>0</v>
      </c>
      <c r="W57" s="1588">
        <f t="shared" si="18"/>
        <v>0</v>
      </c>
      <c r="X57" s="1588">
        <f t="shared" si="18"/>
        <v>0</v>
      </c>
      <c r="Y57" s="1588">
        <f t="shared" ref="Y57:AA57" si="19">Y17-Y19-Y29</f>
        <v>0</v>
      </c>
      <c r="Z57" s="1588">
        <f t="shared" si="19"/>
        <v>0</v>
      </c>
      <c r="AA57" s="1588">
        <f t="shared" si="19"/>
        <v>-1000000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s="1570" t="s">
        <v>620</v>
      </c>
      <c r="D58" s="1588">
        <f>D19-D20-D21-D22-D23-D24</f>
        <v>0</v>
      </c>
      <c r="E58" s="1588">
        <f t="shared" ref="E58:P58" si="20">E19-E20-E21-E22-E23-E24</f>
        <v>1000000</v>
      </c>
      <c r="F58" s="1588">
        <f t="shared" si="20"/>
        <v>0</v>
      </c>
      <c r="G58" s="1588">
        <f t="shared" si="20"/>
        <v>0</v>
      </c>
      <c r="H58" s="1588">
        <f>H19-H20-H21-H22-H23-H24</f>
        <v>0</v>
      </c>
      <c r="I58" s="1588">
        <f t="shared" si="20"/>
        <v>0</v>
      </c>
      <c r="J58" s="1588">
        <f t="shared" si="20"/>
        <v>0</v>
      </c>
      <c r="K58" s="1588">
        <f t="shared" si="20"/>
        <v>0</v>
      </c>
      <c r="L58" s="2254">
        <f t="shared" si="20"/>
        <v>5911000000</v>
      </c>
      <c r="M58" s="2254">
        <f t="shared" si="20"/>
        <v>6036000000</v>
      </c>
      <c r="N58" s="2254">
        <f t="shared" si="20"/>
        <v>6944000000</v>
      </c>
      <c r="O58" s="2254">
        <f t="shared" si="20"/>
        <v>7245000000</v>
      </c>
      <c r="P58" s="2254">
        <f t="shared" si="20"/>
        <v>6928000000</v>
      </c>
      <c r="Q58" s="1588">
        <f>Q19-Q20-Q21-Q22-Q23-Q24-Q25-Q26-Q27-Q28</f>
        <v>-1000000</v>
      </c>
      <c r="R58" s="1588">
        <f t="shared" ref="R58:AA58" si="21">R19-R20-R21-R22-R23-R24-R25-R26-R27-R28</f>
        <v>0</v>
      </c>
      <c r="S58" s="1588">
        <f t="shared" si="21"/>
        <v>0</v>
      </c>
      <c r="T58" s="1588">
        <f t="shared" si="21"/>
        <v>0</v>
      </c>
      <c r="U58" s="1588">
        <f t="shared" si="21"/>
        <v>0</v>
      </c>
      <c r="V58" s="1588">
        <f t="shared" si="21"/>
        <v>0</v>
      </c>
      <c r="W58" s="1588">
        <f t="shared" si="21"/>
        <v>0</v>
      </c>
      <c r="X58" s="1588">
        <f t="shared" si="21"/>
        <v>-1000000</v>
      </c>
      <c r="Y58" s="1588">
        <f t="shared" si="21"/>
        <v>0</v>
      </c>
      <c r="Z58" s="1588">
        <f t="shared" si="21"/>
        <v>1000000</v>
      </c>
      <c r="AA58" s="1588">
        <f t="shared" si="21"/>
        <v>1000000</v>
      </c>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s="1570" t="s">
        <v>148</v>
      </c>
      <c r="D59" s="2064">
        <f t="shared" ref="D59:O59" si="22">D37-D38-D43</f>
        <v>0</v>
      </c>
      <c r="E59" s="2064">
        <f t="shared" si="22"/>
        <v>0</v>
      </c>
      <c r="F59" s="2064">
        <f t="shared" si="22"/>
        <v>-1000000</v>
      </c>
      <c r="G59" s="2064">
        <f t="shared" si="22"/>
        <v>0</v>
      </c>
      <c r="H59" s="2064">
        <f t="shared" si="22"/>
        <v>0</v>
      </c>
      <c r="I59" s="2064">
        <f t="shared" si="22"/>
        <v>0</v>
      </c>
      <c r="J59" s="2064">
        <f t="shared" si="22"/>
        <v>0</v>
      </c>
      <c r="K59" s="2064">
        <f t="shared" si="22"/>
        <v>0</v>
      </c>
      <c r="L59" s="2064">
        <f t="shared" si="22"/>
        <v>0</v>
      </c>
      <c r="M59" s="2064">
        <f t="shared" si="22"/>
        <v>0</v>
      </c>
      <c r="N59" s="2064">
        <f t="shared" si="22"/>
        <v>0</v>
      </c>
      <c r="O59" s="2064">
        <f t="shared" si="22"/>
        <v>0</v>
      </c>
      <c r="P59" s="2064">
        <f>P37-P46-P47</f>
        <v>1054000000</v>
      </c>
      <c r="Q59" s="2064">
        <f t="shared" ref="Q59:AA59" si="23">Q37-Q46-Q47</f>
        <v>1427000000</v>
      </c>
      <c r="R59" s="2064">
        <f t="shared" si="23"/>
        <v>3607000000</v>
      </c>
      <c r="S59" s="2064">
        <f t="shared" si="23"/>
        <v>12425000000</v>
      </c>
      <c r="T59" s="2064">
        <f t="shared" si="23"/>
        <v>9002000000</v>
      </c>
      <c r="U59" s="2064">
        <f t="shared" si="23"/>
        <v>7173000000</v>
      </c>
      <c r="V59" s="2064">
        <f t="shared" si="23"/>
        <v>6913000000</v>
      </c>
      <c r="W59" s="2064">
        <f t="shared" si="23"/>
        <v>4092000000</v>
      </c>
      <c r="X59" s="2064">
        <f t="shared" si="23"/>
        <v>3681000000</v>
      </c>
      <c r="Y59" s="2064">
        <f t="shared" si="23"/>
        <v>3417000000</v>
      </c>
      <c r="Z59" s="2064">
        <f t="shared" si="23"/>
        <v>3929000000</v>
      </c>
      <c r="AA59" s="2064">
        <f t="shared" si="23"/>
        <v>4206000000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s="1570" t="s">
        <v>1171</v>
      </c>
      <c r="D60" s="2064">
        <f t="shared" ref="D60:O60" si="24">D38-D39-D40-D41-D42</f>
        <v>0</v>
      </c>
      <c r="E60" s="2064">
        <f t="shared" si="24"/>
        <v>0</v>
      </c>
      <c r="F60" s="2064">
        <f t="shared" si="24"/>
        <v>0</v>
      </c>
      <c r="G60" s="2064">
        <f t="shared" si="24"/>
        <v>0</v>
      </c>
      <c r="H60" s="2064">
        <f t="shared" si="24"/>
        <v>0</v>
      </c>
      <c r="I60" s="2064">
        <f t="shared" si="24"/>
        <v>0</v>
      </c>
      <c r="J60" s="2064">
        <f t="shared" si="24"/>
        <v>0</v>
      </c>
      <c r="K60" s="2064">
        <f t="shared" si="24"/>
        <v>0</v>
      </c>
      <c r="L60" s="2064">
        <f t="shared" si="24"/>
        <v>0</v>
      </c>
      <c r="M60" s="2064">
        <f t="shared" si="24"/>
        <v>0</v>
      </c>
      <c r="N60" s="2064">
        <f t="shared" si="24"/>
        <v>0</v>
      </c>
      <c r="O60" s="2064">
        <f t="shared" si="24"/>
        <v>0</v>
      </c>
      <c r="P60" s="2064"/>
      <c r="Q60" s="2064"/>
      <c r="R60" s="2064"/>
      <c r="S60" s="2064"/>
      <c r="T60" s="2064"/>
      <c r="U60" s="2064"/>
      <c r="V60" s="2064"/>
      <c r="W60" s="2064"/>
      <c r="X60" s="2064"/>
      <c r="Y60" s="2317"/>
      <c r="Z60" s="2317"/>
      <c r="AA60" s="2317"/>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5.75" thickBot="1">
      <c r="B61" s="1570" t="s">
        <v>362</v>
      </c>
      <c r="D61" s="2071">
        <f t="shared" ref="D61:O61" si="25">D43-D44-D45</f>
        <v>457000000</v>
      </c>
      <c r="E61" s="2071">
        <f t="shared" si="25"/>
        <v>877000000</v>
      </c>
      <c r="F61" s="2071">
        <f t="shared" si="25"/>
        <v>1231000000</v>
      </c>
      <c r="G61" s="2071">
        <f t="shared" si="25"/>
        <v>686000000</v>
      </c>
      <c r="H61" s="1590">
        <f t="shared" si="25"/>
        <v>0</v>
      </c>
      <c r="I61" s="1590">
        <f t="shared" si="25"/>
        <v>0</v>
      </c>
      <c r="J61" s="1590">
        <f t="shared" si="25"/>
        <v>0</v>
      </c>
      <c r="K61" s="1590">
        <f t="shared" si="25"/>
        <v>0</v>
      </c>
      <c r="L61" s="1590">
        <f t="shared" si="25"/>
        <v>0</v>
      </c>
      <c r="M61" s="1590">
        <f t="shared" si="25"/>
        <v>0</v>
      </c>
      <c r="N61" s="1590">
        <f t="shared" si="25"/>
        <v>0</v>
      </c>
      <c r="O61" s="1590">
        <f t="shared" si="25"/>
        <v>0</v>
      </c>
      <c r="P61" s="1590"/>
      <c r="Q61" s="1590"/>
      <c r="R61" s="1590"/>
      <c r="S61" s="1590"/>
      <c r="T61" s="1590"/>
      <c r="U61" s="1590"/>
      <c r="V61" s="1590"/>
      <c r="W61" s="1590"/>
      <c r="X61" s="1590"/>
      <c r="AA61" s="1570"/>
    </row>
    <row r="62" spans="2:50" ht="15.75" thickBot="1">
      <c r="B62" s="1570" t="s">
        <v>6863</v>
      </c>
      <c r="H62" s="2310"/>
      <c r="I62" s="2310"/>
      <c r="J62" s="2310"/>
      <c r="K62" s="2311"/>
      <c r="P62" s="1590">
        <f>P47-P48-P49</f>
        <v>-1054000000</v>
      </c>
      <c r="Q62" s="1599">
        <f t="shared" ref="Q62:AA62" si="26">Q47-Q48-Q49</f>
        <v>-1427000000</v>
      </c>
      <c r="R62" s="1599">
        <f t="shared" si="26"/>
        <v>-3607000000</v>
      </c>
      <c r="S62" s="1599">
        <f t="shared" si="26"/>
        <v>-12425000000</v>
      </c>
      <c r="T62" s="1599">
        <f t="shared" si="26"/>
        <v>-9002000000</v>
      </c>
      <c r="U62" s="1599">
        <f t="shared" si="26"/>
        <v>-7173000000</v>
      </c>
      <c r="V62" s="1599">
        <f t="shared" si="26"/>
        <v>-6913000000</v>
      </c>
      <c r="W62" s="1599">
        <f t="shared" si="26"/>
        <v>-4092000000</v>
      </c>
      <c r="X62" s="1599">
        <f t="shared" si="26"/>
        <v>-3681000000</v>
      </c>
      <c r="Y62" s="1599">
        <f t="shared" si="26"/>
        <v>-3417000000</v>
      </c>
      <c r="Z62" s="1599">
        <f t="shared" si="26"/>
        <v>-3929000000</v>
      </c>
      <c r="AA62" s="1599">
        <f t="shared" si="26"/>
        <v>-4206000000</v>
      </c>
    </row>
    <row r="65" spans="2:18">
      <c r="D65" s="1590"/>
    </row>
    <row r="66" spans="2:18">
      <c r="B66" s="1570" t="s">
        <v>150</v>
      </c>
      <c r="D66" s="1570">
        <v>37441000000</v>
      </c>
      <c r="E66" s="1570">
        <v>37480000000</v>
      </c>
      <c r="F66" s="1570">
        <v>36553000000</v>
      </c>
      <c r="G66" s="1570">
        <v>38425000000</v>
      </c>
      <c r="H66" s="1570">
        <v>40802000000</v>
      </c>
      <c r="I66" s="1570">
        <v>43145000000</v>
      </c>
      <c r="J66" s="1570">
        <v>48611000000</v>
      </c>
      <c r="K66" s="1570">
        <v>53927000000</v>
      </c>
      <c r="L66" s="1570">
        <v>61607000000</v>
      </c>
      <c r="M66" s="1570">
        <v>65117000000.000008</v>
      </c>
      <c r="N66" s="1570">
        <v>67911000000</v>
      </c>
      <c r="O66" s="1570">
        <v>70347000000</v>
      </c>
      <c r="P66" s="1570">
        <v>72890000000</v>
      </c>
      <c r="Q66" s="1570">
        <v>75443000000</v>
      </c>
      <c r="R66" s="1570">
        <v>79373000000</v>
      </c>
    </row>
    <row r="67" spans="2:18">
      <c r="B67" s="1570" t="s">
        <v>151</v>
      </c>
      <c r="D67" s="1570">
        <f>(D6/D66)*100</f>
        <v>19.825859352047221</v>
      </c>
      <c r="E67" s="1570">
        <f t="shared" ref="E67:R67" si="27">(E6/E66)*100</f>
        <v>19.65314834578442</v>
      </c>
      <c r="F67" s="1570">
        <f t="shared" si="27"/>
        <v>19.374606735425274</v>
      </c>
      <c r="G67" s="1570">
        <f t="shared" si="27"/>
        <v>18.506180871828239</v>
      </c>
      <c r="H67" s="1570">
        <f t="shared" si="27"/>
        <v>21.5</v>
      </c>
      <c r="I67" s="1570">
        <f t="shared" si="27"/>
        <v>21.6</v>
      </c>
      <c r="J67" s="1570">
        <f t="shared" si="27"/>
        <v>20.599999999999998</v>
      </c>
      <c r="K67" s="1570">
        <f t="shared" si="27"/>
        <v>22.2</v>
      </c>
      <c r="L67" s="1570">
        <f t="shared" si="27"/>
        <v>26.974207476423135</v>
      </c>
      <c r="M67" s="1570">
        <f t="shared" si="27"/>
        <v>25.953284088640444</v>
      </c>
      <c r="N67" s="1570">
        <f t="shared" si="27"/>
        <v>24.602788944353641</v>
      </c>
      <c r="O67" s="1570">
        <f t="shared" si="27"/>
        <v>22.465776792187299</v>
      </c>
      <c r="P67" s="1570">
        <f t="shared" si="27"/>
        <v>21.627109342845383</v>
      </c>
      <c r="Q67" s="1570">
        <f t="shared" si="27"/>
        <v>21.535463860132818</v>
      </c>
      <c r="R67" s="1570">
        <f t="shared" si="27"/>
        <v>23.414763206631978</v>
      </c>
    </row>
    <row r="68" spans="2:18">
      <c r="B68" s="1570" t="s">
        <v>152</v>
      </c>
      <c r="D68" s="1570">
        <f>(D17/D66)*100</f>
        <v>26.102401111081434</v>
      </c>
      <c r="E68" s="1570">
        <f t="shared" ref="E68:R68" si="28">(E17/E66)*100</f>
        <v>22.98025613660619</v>
      </c>
      <c r="F68" s="1570">
        <f t="shared" si="28"/>
        <v>23.007687467512927</v>
      </c>
      <c r="G68" s="1570">
        <f t="shared" si="28"/>
        <v>19.994795055302536</v>
      </c>
      <c r="H68" s="1570">
        <f t="shared" si="28"/>
        <v>20.599999999999998</v>
      </c>
      <c r="I68" s="1570">
        <f t="shared" si="28"/>
        <v>19.7</v>
      </c>
      <c r="J68" s="1570">
        <f t="shared" si="28"/>
        <v>19.5</v>
      </c>
      <c r="K68" s="1570">
        <f t="shared" si="28"/>
        <v>22.000000000000004</v>
      </c>
      <c r="L68" s="1570">
        <f t="shared" si="28"/>
        <v>27.016410472835879</v>
      </c>
      <c r="M68" s="1570">
        <f t="shared" si="28"/>
        <v>26.774882135233501</v>
      </c>
      <c r="N68" s="1570">
        <f t="shared" si="28"/>
        <v>27.117845415322993</v>
      </c>
      <c r="O68" s="1570">
        <f t="shared" si="28"/>
        <v>24.714628910969907</v>
      </c>
      <c r="P68" s="1570">
        <f t="shared" si="28"/>
        <v>23.243243243243246</v>
      </c>
      <c r="Q68" s="1570">
        <f t="shared" si="28"/>
        <v>24.308418276049469</v>
      </c>
      <c r="R68" s="1570">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3"/>
  <sheetViews>
    <sheetView topLeftCell="B1" zoomScale="70" zoomScaleNormal="70" workbookViewId="0">
      <selection activeCell="G18" sqref="G18"/>
    </sheetView>
  </sheetViews>
  <sheetFormatPr defaultRowHeight="15"/>
  <cols>
    <col min="1" max="1" width="35.5703125" style="1570" bestFit="1" customWidth="1"/>
    <col min="2" max="2" width="49" style="1570" bestFit="1" customWidth="1"/>
    <col min="3" max="3" width="25.5703125" style="1570" customWidth="1"/>
    <col min="4" max="5" width="18" style="1570" bestFit="1" customWidth="1"/>
    <col min="6" max="7" width="19.5703125" style="1570" bestFit="1" customWidth="1"/>
    <col min="8" max="8" width="22.5703125" style="1570" bestFit="1" customWidth="1"/>
    <col min="9" max="9" width="23" style="1570" bestFit="1" customWidth="1"/>
    <col min="10" max="10" width="23.42578125" style="1570" bestFit="1" customWidth="1"/>
    <col min="11" max="12" width="20.140625" style="1570" bestFit="1" customWidth="1"/>
    <col min="13" max="14" width="21.7109375" style="1570" bestFit="1" customWidth="1"/>
  </cols>
  <sheetData>
    <row r="1" spans="1:36" ht="15.75" thickBot="1">
      <c r="A1" s="2634" t="s">
        <v>7147</v>
      </c>
      <c r="B1" s="1566" t="s">
        <v>7155</v>
      </c>
      <c r="C1" s="1566"/>
      <c r="D1" s="1567"/>
      <c r="E1" s="1567"/>
      <c r="F1" s="1567"/>
      <c r="G1" s="1567"/>
      <c r="H1" s="1567"/>
      <c r="I1" s="1568"/>
      <c r="J1" s="1568"/>
      <c r="K1" s="1568"/>
      <c r="L1" s="1569"/>
      <c r="M1" s="1568"/>
      <c r="N1" s="1568"/>
    </row>
    <row r="2" spans="1:36" ht="15.75" thickBot="1">
      <c r="B2" s="1571" t="s">
        <v>7156</v>
      </c>
      <c r="C2" s="1571"/>
      <c r="D2" s="2638"/>
      <c r="E2" s="1568"/>
      <c r="F2" s="1568"/>
      <c r="G2" s="1568"/>
      <c r="H2" s="1568"/>
      <c r="I2" s="1568"/>
      <c r="J2" s="1568"/>
      <c r="K2" s="1568"/>
      <c r="L2" s="1572"/>
      <c r="M2" s="1573"/>
      <c r="N2" s="1574"/>
    </row>
    <row r="3" spans="1:36">
      <c r="B3" s="1575" t="s">
        <v>3</v>
      </c>
      <c r="C3" s="1575"/>
      <c r="D3" s="1568">
        <v>2006</v>
      </c>
      <c r="E3" s="1568">
        <v>2007</v>
      </c>
      <c r="F3" s="1568">
        <v>2008</v>
      </c>
      <c r="G3" s="1568">
        <v>2009</v>
      </c>
      <c r="H3" s="1568">
        <v>2010</v>
      </c>
      <c r="I3" s="1568">
        <v>2011</v>
      </c>
      <c r="J3" s="1568">
        <v>2012</v>
      </c>
      <c r="K3" s="1568">
        <v>2013</v>
      </c>
      <c r="L3" s="1568">
        <v>2014</v>
      </c>
      <c r="M3" s="1568">
        <v>2015</v>
      </c>
      <c r="N3" s="1568">
        <v>2016</v>
      </c>
    </row>
    <row r="4" spans="1:36">
      <c r="B4" s="1575" t="s">
        <v>4</v>
      </c>
      <c r="C4" s="1575"/>
      <c r="D4" s="1568" t="s">
        <v>11</v>
      </c>
      <c r="E4" s="1568" t="s">
        <v>12</v>
      </c>
      <c r="F4" s="1568" t="s">
        <v>13</v>
      </c>
      <c r="G4" s="1568" t="s">
        <v>14</v>
      </c>
      <c r="H4" s="1568" t="s">
        <v>15</v>
      </c>
      <c r="I4" s="1568" t="s">
        <v>16</v>
      </c>
      <c r="J4" s="1568" t="s">
        <v>17</v>
      </c>
      <c r="K4" s="1568" t="s">
        <v>18</v>
      </c>
      <c r="L4" s="1569" t="s">
        <v>19</v>
      </c>
      <c r="M4" s="1568" t="s">
        <v>20</v>
      </c>
      <c r="N4" s="1568" t="s">
        <v>21</v>
      </c>
      <c r="O4" s="2463"/>
      <c r="P4" s="2463"/>
      <c r="Q4" s="2463"/>
      <c r="R4" s="2463"/>
      <c r="S4" s="2463"/>
      <c r="T4" s="2463"/>
      <c r="U4" s="2463"/>
      <c r="V4" s="2463"/>
      <c r="W4" s="2463"/>
      <c r="X4" s="2463"/>
      <c r="Y4" s="2463"/>
      <c r="Z4" s="2463"/>
      <c r="AA4" s="2463"/>
      <c r="AB4" s="2463"/>
      <c r="AC4" s="2463"/>
      <c r="AD4" s="2463"/>
      <c r="AE4" s="2463"/>
      <c r="AF4" s="2463"/>
      <c r="AG4" s="2463"/>
      <c r="AH4" s="2463"/>
      <c r="AI4" s="2463"/>
      <c r="AJ4" s="2463"/>
    </row>
    <row r="5" spans="1:36">
      <c r="A5" s="1570" t="s">
        <v>28</v>
      </c>
      <c r="B5" s="1575" t="s">
        <v>29</v>
      </c>
      <c r="C5" s="1575"/>
      <c r="D5" s="2008" t="s">
        <v>32</v>
      </c>
      <c r="E5" s="2008" t="s">
        <v>32</v>
      </c>
      <c r="F5" s="2008" t="s">
        <v>32</v>
      </c>
      <c r="G5" s="2008" t="s">
        <v>32</v>
      </c>
      <c r="H5" s="2008" t="s">
        <v>32</v>
      </c>
      <c r="I5" s="2008" t="s">
        <v>32</v>
      </c>
      <c r="J5" s="2008" t="s">
        <v>32</v>
      </c>
      <c r="K5" s="2008" t="s">
        <v>32</v>
      </c>
      <c r="L5" s="2008" t="s">
        <v>32</v>
      </c>
      <c r="M5" s="2008" t="s">
        <v>32</v>
      </c>
      <c r="N5" s="2008" t="s">
        <v>32</v>
      </c>
      <c r="O5" s="2463"/>
      <c r="P5" s="2463"/>
      <c r="Q5" s="2463"/>
      <c r="R5" s="2463"/>
      <c r="S5" s="2463"/>
      <c r="T5" s="2463"/>
      <c r="U5" s="2463"/>
      <c r="V5" s="2463"/>
      <c r="W5" s="2463"/>
      <c r="X5" s="2463"/>
      <c r="Y5" s="2463"/>
      <c r="Z5" s="2463"/>
      <c r="AA5" s="2463"/>
      <c r="AB5" s="2463"/>
      <c r="AC5" s="2463"/>
      <c r="AD5" s="2463"/>
      <c r="AE5" s="2463"/>
      <c r="AF5" s="2463"/>
      <c r="AG5" s="2463"/>
      <c r="AH5" s="2463"/>
      <c r="AI5" s="2463"/>
      <c r="AJ5" s="2463"/>
    </row>
    <row r="6" spans="1:36" s="848" customFormat="1">
      <c r="A6" s="2313" t="s">
        <v>33</v>
      </c>
      <c r="B6" s="2313" t="s">
        <v>6840</v>
      </c>
      <c r="C6" s="2260" t="s">
        <v>35</v>
      </c>
      <c r="D6" s="2056">
        <f>D7+D10</f>
        <v>117157711150</v>
      </c>
      <c r="E6" s="2056">
        <f t="shared" ref="E6:N6" si="0">E7+E10</f>
        <v>141333361510</v>
      </c>
      <c r="F6" s="2056">
        <f t="shared" si="0"/>
        <v>166098283680</v>
      </c>
      <c r="G6" s="2056">
        <f t="shared" si="0"/>
        <v>151525494060</v>
      </c>
      <c r="H6" s="2056">
        <f t="shared" si="0"/>
        <v>196481562000</v>
      </c>
      <c r="I6" s="2056">
        <f t="shared" si="0"/>
        <v>304800070000</v>
      </c>
      <c r="J6" s="2056">
        <f t="shared" si="0"/>
        <v>384537500000</v>
      </c>
      <c r="K6" s="2056">
        <f t="shared" si="0"/>
        <v>601935990000</v>
      </c>
      <c r="L6" s="2056">
        <f t="shared" si="0"/>
        <v>1001313999000</v>
      </c>
      <c r="M6" s="2056">
        <f t="shared" si="0"/>
        <v>1361000000000</v>
      </c>
      <c r="N6" s="2056">
        <f t="shared" si="0"/>
        <v>1430704561000</v>
      </c>
      <c r="O6" s="2520"/>
      <c r="P6" s="2520"/>
      <c r="Q6" s="2520"/>
      <c r="R6" s="2520"/>
      <c r="S6" s="2520"/>
      <c r="T6" s="2520"/>
      <c r="U6" s="2520"/>
      <c r="V6" s="2520"/>
      <c r="W6" s="2520"/>
      <c r="X6" s="2520"/>
      <c r="Y6" s="2520"/>
      <c r="Z6" s="2520"/>
      <c r="AA6" s="2463"/>
      <c r="AB6" s="2463"/>
      <c r="AC6" s="2463"/>
      <c r="AD6" s="2463"/>
      <c r="AE6" s="2463"/>
      <c r="AF6" s="2463"/>
      <c r="AG6" s="2463"/>
      <c r="AH6" s="2463"/>
      <c r="AI6" s="2463"/>
      <c r="AJ6" s="2463"/>
    </row>
    <row r="7" spans="1:36" ht="20.25" customHeight="1">
      <c r="A7" s="1567" t="s">
        <v>159</v>
      </c>
      <c r="B7" s="1567" t="s">
        <v>159</v>
      </c>
      <c r="C7" s="1578" t="s">
        <v>38</v>
      </c>
      <c r="D7" s="2635">
        <f>D8+D9</f>
        <v>117157711150</v>
      </c>
      <c r="E7" s="2635">
        <f t="shared" ref="E7:N7" si="1">E8+E9</f>
        <v>141333361510</v>
      </c>
      <c r="F7" s="2635">
        <f t="shared" si="1"/>
        <v>166098283680</v>
      </c>
      <c r="G7" s="2635">
        <f t="shared" si="1"/>
        <v>151525494060</v>
      </c>
      <c r="H7" s="2635">
        <f t="shared" si="1"/>
        <v>196481562000</v>
      </c>
      <c r="I7" s="2635">
        <f t="shared" si="1"/>
        <v>304800070000</v>
      </c>
      <c r="J7" s="2635">
        <f t="shared" si="1"/>
        <v>384537500000</v>
      </c>
      <c r="K7" s="2635">
        <f t="shared" si="1"/>
        <v>601935990000</v>
      </c>
      <c r="L7" s="2635">
        <f t="shared" si="1"/>
        <v>1001313999000</v>
      </c>
      <c r="M7" s="2635">
        <f t="shared" si="1"/>
        <v>1361000000000</v>
      </c>
      <c r="N7" s="2635">
        <f t="shared" si="1"/>
        <v>1430704561000</v>
      </c>
      <c r="O7" s="2520"/>
      <c r="P7" s="2520"/>
      <c r="Q7" s="2520"/>
      <c r="R7" s="2520"/>
      <c r="S7" s="2520"/>
      <c r="T7" s="2520"/>
      <c r="U7" s="2520"/>
      <c r="V7" s="2520"/>
      <c r="W7" s="2520"/>
      <c r="X7" s="2520"/>
      <c r="Y7" s="2520"/>
      <c r="Z7" s="2520"/>
      <c r="AA7" s="2463"/>
      <c r="AB7" s="2463"/>
      <c r="AC7" s="2463"/>
      <c r="AD7" s="2463"/>
      <c r="AE7" s="2463"/>
      <c r="AF7" s="2463"/>
      <c r="AG7" s="2463"/>
      <c r="AH7" s="2463"/>
      <c r="AI7" s="2463"/>
      <c r="AJ7" s="2463"/>
    </row>
    <row r="8" spans="1:36" ht="18" customHeight="1">
      <c r="A8" s="1577" t="s">
        <v>371</v>
      </c>
      <c r="B8" s="1577" t="s">
        <v>371</v>
      </c>
      <c r="C8" s="1577" t="s">
        <v>41</v>
      </c>
      <c r="D8" s="2635">
        <v>61615536360</v>
      </c>
      <c r="E8" s="2635">
        <v>78945822490</v>
      </c>
      <c r="F8" s="2635">
        <v>90706516390</v>
      </c>
      <c r="G8" s="2635">
        <v>94274748700</v>
      </c>
      <c r="H8" s="2636">
        <v>113191363000</v>
      </c>
      <c r="I8" s="2636">
        <v>169602834000</v>
      </c>
      <c r="J8" s="2636">
        <v>216517908000</v>
      </c>
      <c r="K8" s="2637">
        <v>303439342000</v>
      </c>
      <c r="L8" s="2637">
        <v>543225960000</v>
      </c>
      <c r="M8" s="2637">
        <v>1000000000000</v>
      </c>
      <c r="N8" s="2637">
        <v>1274982263000</v>
      </c>
      <c r="O8" s="2520"/>
      <c r="P8" s="2520"/>
      <c r="Q8" s="2520"/>
      <c r="R8" s="2520"/>
      <c r="S8" s="2520"/>
      <c r="T8" s="2520"/>
      <c r="U8" s="2520"/>
      <c r="V8" s="2520"/>
      <c r="W8" s="2520"/>
      <c r="X8" s="2520"/>
      <c r="Y8" s="2520"/>
      <c r="Z8" s="2520"/>
      <c r="AA8" s="2463"/>
      <c r="AB8" s="2463"/>
      <c r="AC8" s="2463"/>
      <c r="AD8" s="2463"/>
      <c r="AE8" s="2463"/>
      <c r="AF8" s="2463"/>
      <c r="AG8" s="2463"/>
      <c r="AH8" s="2463"/>
      <c r="AI8" s="2463"/>
      <c r="AJ8" s="2463"/>
    </row>
    <row r="9" spans="1:36">
      <c r="A9" s="1577" t="s">
        <v>560</v>
      </c>
      <c r="B9" s="1577" t="s">
        <v>5804</v>
      </c>
      <c r="C9" s="1577" t="s">
        <v>41</v>
      </c>
      <c r="D9" s="1581">
        <v>55542174790</v>
      </c>
      <c r="E9" s="1581">
        <v>62387539020</v>
      </c>
      <c r="F9" s="1581">
        <v>75391767290</v>
      </c>
      <c r="G9" s="1581">
        <v>57250745360</v>
      </c>
      <c r="H9" s="2309">
        <v>83290199000</v>
      </c>
      <c r="I9" s="2309">
        <v>135197236000</v>
      </c>
      <c r="J9" s="2309">
        <v>168019592000</v>
      </c>
      <c r="K9" s="2315">
        <v>298496648000</v>
      </c>
      <c r="L9" s="2315">
        <v>458088039000</v>
      </c>
      <c r="M9" s="2315">
        <v>361000000000</v>
      </c>
      <c r="N9" s="2315">
        <v>155722298000</v>
      </c>
      <c r="O9" s="2520"/>
      <c r="P9" s="2520"/>
      <c r="Q9" s="2520"/>
      <c r="R9" s="2520"/>
      <c r="S9" s="2520"/>
      <c r="T9" s="2520"/>
      <c r="U9" s="2520"/>
      <c r="V9" s="2520"/>
      <c r="W9" s="2520"/>
      <c r="X9" s="2520"/>
      <c r="Y9" s="2520"/>
      <c r="Z9" s="2520"/>
      <c r="AA9" s="2463"/>
      <c r="AB9" s="2463"/>
      <c r="AC9" s="2463"/>
      <c r="AD9" s="2463"/>
      <c r="AE9" s="2463"/>
      <c r="AF9" s="2463"/>
      <c r="AG9" s="2463"/>
      <c r="AH9" s="2463"/>
      <c r="AI9" s="2463"/>
      <c r="AJ9" s="2463"/>
    </row>
    <row r="10" spans="1:36" s="848" customFormat="1">
      <c r="A10" s="2004" t="s">
        <v>53</v>
      </c>
      <c r="B10" s="2004" t="s">
        <v>53</v>
      </c>
      <c r="C10" s="2001" t="s">
        <v>38</v>
      </c>
      <c r="D10" s="2056">
        <v>0</v>
      </c>
      <c r="E10" s="2056">
        <v>0</v>
      </c>
      <c r="F10" s="2056">
        <v>0</v>
      </c>
      <c r="G10" s="2056">
        <v>0</v>
      </c>
      <c r="H10" s="2056">
        <v>0</v>
      </c>
      <c r="I10" s="2056">
        <v>0</v>
      </c>
      <c r="J10" s="2056">
        <v>0</v>
      </c>
      <c r="K10" s="2056">
        <v>0</v>
      </c>
      <c r="L10" s="2056">
        <v>0</v>
      </c>
      <c r="M10" s="2056">
        <v>0</v>
      </c>
      <c r="N10" s="2056">
        <v>0</v>
      </c>
      <c r="O10" s="2520"/>
      <c r="P10" s="2520"/>
      <c r="Q10" s="2520"/>
      <c r="R10" s="2520"/>
      <c r="S10" s="2520"/>
      <c r="T10" s="2520"/>
      <c r="U10" s="2520"/>
      <c r="V10" s="2520"/>
      <c r="W10" s="2520"/>
      <c r="X10" s="2520"/>
      <c r="Y10" s="2520"/>
      <c r="Z10" s="2520"/>
      <c r="AA10" s="2463"/>
      <c r="AB10" s="2463"/>
      <c r="AC10" s="2463"/>
      <c r="AD10" s="2463"/>
      <c r="AE10" s="2463"/>
      <c r="AF10" s="2463"/>
      <c r="AG10" s="2463"/>
      <c r="AH10" s="2463"/>
      <c r="AI10" s="2463"/>
      <c r="AJ10" s="2463"/>
    </row>
    <row r="11" spans="1:36" s="848" customFormat="1">
      <c r="A11" s="2003" t="s">
        <v>71</v>
      </c>
      <c r="B11" s="2004" t="s">
        <v>379</v>
      </c>
      <c r="C11" s="2003" t="s">
        <v>35</v>
      </c>
      <c r="D11" s="2056">
        <f>D13+D19</f>
        <v>115445221890</v>
      </c>
      <c r="E11" s="2056">
        <f t="shared" ref="E11:N11" si="2">E13+E19</f>
        <v>125937256800</v>
      </c>
      <c r="F11" s="2056">
        <f t="shared" si="2"/>
        <v>172691540250</v>
      </c>
      <c r="G11" s="2056">
        <f t="shared" si="2"/>
        <v>184161338910</v>
      </c>
      <c r="H11" s="2056">
        <f t="shared" si="2"/>
        <v>223880818000</v>
      </c>
      <c r="I11" s="2056">
        <f t="shared" si="2"/>
        <v>372731586000</v>
      </c>
      <c r="J11" s="2056">
        <f t="shared" si="2"/>
        <v>465063554000</v>
      </c>
      <c r="K11" s="2056">
        <f t="shared" si="2"/>
        <v>684397606000</v>
      </c>
      <c r="L11" s="2056">
        <f t="shared" si="2"/>
        <v>1088303836000</v>
      </c>
      <c r="M11" s="2056">
        <f t="shared" si="2"/>
        <v>1497000000000</v>
      </c>
      <c r="N11" s="2056">
        <f t="shared" si="2"/>
        <v>1545167080000</v>
      </c>
      <c r="O11" s="2520"/>
      <c r="P11" s="2520"/>
      <c r="Q11" s="2520"/>
      <c r="R11" s="2520"/>
      <c r="S11" s="2520"/>
      <c r="T11" s="2520"/>
      <c r="U11" s="2520"/>
      <c r="V11" s="2520"/>
      <c r="W11" s="2520"/>
      <c r="X11" s="2520"/>
      <c r="Y11" s="2520"/>
      <c r="Z11" s="2520"/>
      <c r="AA11" s="2463"/>
      <c r="AB11" s="2463"/>
      <c r="AC11" s="2463"/>
      <c r="AD11" s="2463"/>
      <c r="AE11" s="2463"/>
      <c r="AF11" s="2463"/>
      <c r="AG11" s="2463"/>
      <c r="AH11" s="2463"/>
      <c r="AI11" s="2463"/>
      <c r="AJ11" s="2463"/>
    </row>
    <row r="12" spans="1:36">
      <c r="A12" s="1570" t="s">
        <v>76</v>
      </c>
      <c r="B12" s="1577" t="s">
        <v>535</v>
      </c>
      <c r="D12" s="1581"/>
      <c r="E12" s="1581"/>
      <c r="F12" s="1581"/>
      <c r="G12" s="1581"/>
      <c r="H12" s="2309"/>
      <c r="I12" s="2309"/>
      <c r="J12" s="2309"/>
      <c r="K12" s="2315"/>
      <c r="L12" s="2315"/>
      <c r="M12" s="2315"/>
      <c r="N12" s="2315"/>
      <c r="O12" s="2520"/>
      <c r="P12" s="2520"/>
      <c r="Q12" s="2520"/>
      <c r="R12" s="2520"/>
      <c r="S12" s="2520"/>
      <c r="T12" s="2520"/>
      <c r="U12" s="2520"/>
      <c r="V12" s="2520"/>
      <c r="W12" s="2520"/>
      <c r="X12" s="2520"/>
      <c r="Y12" s="2520"/>
      <c r="Z12" s="2520"/>
      <c r="AA12" s="2463"/>
      <c r="AB12" s="2463"/>
      <c r="AC12" s="2463"/>
      <c r="AD12" s="2463"/>
      <c r="AE12" s="2463"/>
      <c r="AF12" s="2463"/>
      <c r="AG12" s="2463"/>
      <c r="AH12" s="2463"/>
      <c r="AI12" s="2463"/>
      <c r="AJ12" s="2463"/>
    </row>
    <row r="13" spans="1:36">
      <c r="A13" s="1570" t="s">
        <v>7148</v>
      </c>
      <c r="B13" s="1570" t="s">
        <v>7148</v>
      </c>
      <c r="C13" s="1577" t="s">
        <v>201</v>
      </c>
      <c r="D13" s="1581">
        <v>89098550910</v>
      </c>
      <c r="E13" s="1581">
        <v>97313288200</v>
      </c>
      <c r="F13" s="1581">
        <v>133847546000</v>
      </c>
      <c r="G13" s="1581">
        <v>145974370600</v>
      </c>
      <c r="H13" s="2309">
        <v>194866261000</v>
      </c>
      <c r="I13" s="2309">
        <v>285065610000</v>
      </c>
      <c r="J13" s="2309">
        <v>387076899000</v>
      </c>
      <c r="K13" s="2315">
        <v>560311190000</v>
      </c>
      <c r="L13" s="2315">
        <v>902186934000</v>
      </c>
      <c r="M13" s="2315">
        <v>1190000000000</v>
      </c>
      <c r="N13" s="2315">
        <v>1272544173000</v>
      </c>
      <c r="O13" s="2520"/>
      <c r="P13" s="2520"/>
      <c r="Q13" s="2520"/>
      <c r="R13" s="2520"/>
      <c r="S13" s="2520"/>
      <c r="T13" s="2520"/>
      <c r="U13" s="2520"/>
      <c r="V13" s="2520"/>
      <c r="W13" s="2520"/>
      <c r="X13" s="2520"/>
      <c r="Y13" s="2520"/>
      <c r="Z13" s="2520"/>
      <c r="AA13" s="2463"/>
      <c r="AB13" s="2463"/>
      <c r="AC13" s="2463"/>
      <c r="AD13" s="2463"/>
      <c r="AE13" s="2463"/>
      <c r="AF13" s="2463"/>
      <c r="AG13" s="2463"/>
      <c r="AH13" s="2463"/>
      <c r="AI13" s="2463"/>
      <c r="AJ13" s="2463"/>
    </row>
    <row r="14" spans="1:36">
      <c r="A14" s="1580" t="s">
        <v>7149</v>
      </c>
      <c r="B14" s="1580" t="s">
        <v>7149</v>
      </c>
      <c r="C14" s="1577" t="s">
        <v>204</v>
      </c>
      <c r="D14" s="1581">
        <v>14874217180</v>
      </c>
      <c r="E14" s="1581">
        <v>19196046570</v>
      </c>
      <c r="F14" s="1581">
        <v>28062462460</v>
      </c>
      <c r="G14" s="1581">
        <v>34583212730</v>
      </c>
      <c r="H14" s="2309">
        <v>50491820000</v>
      </c>
      <c r="I14" s="2309">
        <v>71017678000</v>
      </c>
      <c r="J14" s="2309">
        <v>94890412000</v>
      </c>
      <c r="K14" s="2315">
        <v>131187140000</v>
      </c>
      <c r="L14" s="2315">
        <v>208838218000</v>
      </c>
      <c r="M14" s="2315">
        <v>266000000000</v>
      </c>
      <c r="N14" s="2315">
        <v>226990013000</v>
      </c>
      <c r="O14" s="2520"/>
      <c r="P14" s="2520"/>
      <c r="Q14" s="2520"/>
      <c r="R14" s="2520"/>
      <c r="S14" s="2520"/>
      <c r="T14" s="2520"/>
      <c r="U14" s="2520"/>
      <c r="V14" s="2520"/>
      <c r="W14" s="2520"/>
      <c r="X14" s="2520"/>
      <c r="Y14" s="2520"/>
      <c r="Z14" s="2520"/>
      <c r="AA14" s="2463"/>
      <c r="AB14" s="2463"/>
      <c r="AC14" s="2463"/>
      <c r="AD14" s="2463"/>
      <c r="AE14" s="2463"/>
      <c r="AF14" s="2463"/>
      <c r="AG14" s="2463"/>
      <c r="AH14" s="2463"/>
      <c r="AI14" s="2463"/>
      <c r="AJ14" s="2463"/>
    </row>
    <row r="15" spans="1:36">
      <c r="A15" s="1580" t="s">
        <v>7150</v>
      </c>
      <c r="B15" s="1580" t="s">
        <v>7150</v>
      </c>
      <c r="C15" s="1577" t="s">
        <v>204</v>
      </c>
      <c r="D15" s="1581">
        <v>8178857029</v>
      </c>
      <c r="E15" s="1581">
        <v>4247166115</v>
      </c>
      <c r="F15" s="1581">
        <v>6781493950</v>
      </c>
      <c r="G15" s="1581">
        <v>6150425785</v>
      </c>
      <c r="H15" s="1967">
        <v>4950894000</v>
      </c>
      <c r="I15" s="1967">
        <v>13052991000</v>
      </c>
      <c r="J15" s="1967">
        <v>15240497000</v>
      </c>
      <c r="K15" s="1841">
        <v>21260860000</v>
      </c>
      <c r="L15" s="1841">
        <v>26418975000</v>
      </c>
      <c r="M15" s="1841">
        <v>43429648000</v>
      </c>
      <c r="N15" s="1841">
        <v>57667553000</v>
      </c>
      <c r="O15" s="2520"/>
      <c r="P15" s="2520"/>
      <c r="Q15" s="2520"/>
      <c r="R15" s="2520"/>
      <c r="S15" s="2520"/>
      <c r="T15" s="2520"/>
      <c r="U15" s="2520"/>
      <c r="V15" s="2520"/>
      <c r="W15" s="2520"/>
      <c r="X15" s="2520"/>
      <c r="Y15" s="2520"/>
      <c r="Z15" s="2520"/>
      <c r="AA15" s="2463"/>
      <c r="AB15" s="2463"/>
      <c r="AC15" s="2463"/>
      <c r="AD15" s="2463"/>
      <c r="AE15" s="2463"/>
      <c r="AF15" s="2463"/>
      <c r="AG15" s="2463"/>
      <c r="AH15" s="2463"/>
      <c r="AI15" s="2463"/>
      <c r="AJ15" s="2463"/>
    </row>
    <row r="16" spans="1:36">
      <c r="A16" s="1580" t="s">
        <v>7151</v>
      </c>
      <c r="B16" s="1580" t="s">
        <v>7151</v>
      </c>
      <c r="C16" s="1577" t="s">
        <v>204</v>
      </c>
      <c r="D16" s="1581">
        <v>8157765766</v>
      </c>
      <c r="E16" s="1581">
        <v>7402440974</v>
      </c>
      <c r="F16" s="1581">
        <v>8770229997</v>
      </c>
      <c r="G16" s="1581">
        <v>9406802049</v>
      </c>
      <c r="H16" s="2309">
        <v>15053224000</v>
      </c>
      <c r="I16" s="2309">
        <v>29040480000</v>
      </c>
      <c r="J16" s="2309">
        <v>43919215000</v>
      </c>
      <c r="K16" s="2315">
        <v>69703460000</v>
      </c>
      <c r="L16" s="2315">
        <v>90110026000</v>
      </c>
      <c r="M16" s="2315">
        <v>92705533000</v>
      </c>
      <c r="N16" s="2315">
        <v>233751254000</v>
      </c>
      <c r="O16" s="2520"/>
      <c r="P16" s="2520"/>
      <c r="Q16" s="2520"/>
      <c r="R16" s="2520"/>
      <c r="S16" s="2520"/>
      <c r="T16" s="2520"/>
      <c r="U16" s="2520"/>
      <c r="V16" s="2520"/>
      <c r="W16" s="2520"/>
      <c r="X16" s="2520"/>
      <c r="Y16" s="2520"/>
      <c r="Z16" s="2520"/>
      <c r="AA16" s="2463"/>
      <c r="AB16" s="2463"/>
      <c r="AC16" s="2463"/>
      <c r="AD16" s="2463"/>
      <c r="AE16" s="2463"/>
      <c r="AF16" s="2463"/>
      <c r="AG16" s="2463"/>
      <c r="AH16" s="2463"/>
      <c r="AI16" s="2463"/>
      <c r="AJ16" s="2463"/>
    </row>
    <row r="17" spans="1:36">
      <c r="A17" s="1580" t="s">
        <v>7152</v>
      </c>
      <c r="B17" s="1580" t="s">
        <v>7152</v>
      </c>
      <c r="C17" s="1577" t="s">
        <v>204</v>
      </c>
      <c r="D17" s="1581">
        <v>54109042960</v>
      </c>
      <c r="E17" s="1581">
        <v>63319142820</v>
      </c>
      <c r="F17" s="1581">
        <v>86691073060</v>
      </c>
      <c r="G17" s="1581">
        <v>91182974860</v>
      </c>
      <c r="H17" s="2309">
        <v>122211308000</v>
      </c>
      <c r="I17" s="2309">
        <v>169880969000</v>
      </c>
      <c r="J17" s="2309">
        <v>228872201000</v>
      </c>
      <c r="K17" s="2315">
        <v>330929128000</v>
      </c>
      <c r="L17" s="2315">
        <v>568342402000</v>
      </c>
      <c r="M17" s="1841">
        <v>770000000000</v>
      </c>
      <c r="N17" s="1841">
        <v>690577863000</v>
      </c>
      <c r="O17" s="2520"/>
      <c r="P17" s="2520"/>
      <c r="Q17" s="2520"/>
      <c r="R17" s="2520"/>
      <c r="S17" s="2520"/>
      <c r="T17" s="2520"/>
      <c r="U17" s="2520"/>
      <c r="V17" s="2520"/>
      <c r="W17" s="2520"/>
      <c r="X17" s="2520"/>
      <c r="Y17" s="2520"/>
      <c r="Z17" s="2520"/>
      <c r="AA17" s="2463"/>
      <c r="AB17" s="2463"/>
      <c r="AC17" s="2463"/>
      <c r="AD17" s="2463"/>
      <c r="AE17" s="2463"/>
      <c r="AF17" s="2463"/>
      <c r="AG17" s="2463"/>
      <c r="AH17" s="2463"/>
      <c r="AI17" s="2463"/>
      <c r="AJ17" s="2463"/>
    </row>
    <row r="18" spans="1:36">
      <c r="A18" s="1580" t="s">
        <v>7153</v>
      </c>
      <c r="B18" s="1580" t="s">
        <v>7153</v>
      </c>
      <c r="C18" s="1577" t="s">
        <v>204</v>
      </c>
      <c r="D18" s="2635">
        <v>3778667978</v>
      </c>
      <c r="E18" s="2635">
        <v>3148491727</v>
      </c>
      <c r="F18" s="1581">
        <v>3542286570</v>
      </c>
      <c r="G18" s="1581">
        <v>4650955202</v>
      </c>
      <c r="H18" s="2309">
        <v>2159015000</v>
      </c>
      <c r="I18" s="2309">
        <v>2073492000</v>
      </c>
      <c r="J18" s="2309">
        <v>4154574000</v>
      </c>
      <c r="K18" s="2315">
        <v>7230602000</v>
      </c>
      <c r="L18" s="2315">
        <v>8477313000</v>
      </c>
      <c r="M18" s="1841">
        <v>20105760000</v>
      </c>
      <c r="N18" s="1841">
        <v>63557490000</v>
      </c>
      <c r="O18" s="2520"/>
      <c r="P18" s="2520"/>
      <c r="Q18" s="2520"/>
      <c r="R18" s="2520"/>
      <c r="S18" s="2520"/>
      <c r="T18" s="2520"/>
      <c r="U18" s="2520"/>
      <c r="V18" s="2520"/>
      <c r="W18" s="2520"/>
      <c r="X18" s="2520"/>
      <c r="Y18" s="2520"/>
      <c r="Z18" s="2520"/>
      <c r="AA18" s="2463"/>
      <c r="AB18" s="2463"/>
      <c r="AC18" s="2463"/>
      <c r="AD18" s="2463"/>
      <c r="AE18" s="2463"/>
      <c r="AF18" s="2463"/>
      <c r="AG18" s="2463"/>
      <c r="AH18" s="2463"/>
      <c r="AI18" s="2463"/>
      <c r="AJ18" s="2463"/>
    </row>
    <row r="19" spans="1:36">
      <c r="A19" s="2613" t="s">
        <v>7154</v>
      </c>
      <c r="B19" s="2613" t="s">
        <v>7154</v>
      </c>
      <c r="C19" s="1577" t="s">
        <v>201</v>
      </c>
      <c r="D19" s="2635">
        <v>26346670980</v>
      </c>
      <c r="E19" s="2635">
        <v>28623968600</v>
      </c>
      <c r="F19" s="1581">
        <v>38843994250</v>
      </c>
      <c r="G19" s="1581">
        <v>38186968310</v>
      </c>
      <c r="H19" s="2309">
        <v>29014557000</v>
      </c>
      <c r="I19" s="2309">
        <v>87665976000</v>
      </c>
      <c r="J19" s="2309">
        <v>77986655000</v>
      </c>
      <c r="K19" s="2315">
        <v>124086416000</v>
      </c>
      <c r="L19" s="2315">
        <v>186116902000</v>
      </c>
      <c r="M19" s="1841">
        <v>307000000000</v>
      </c>
      <c r="N19" s="1841">
        <v>272622907000</v>
      </c>
      <c r="O19" s="2520"/>
      <c r="P19" s="2520"/>
      <c r="Q19" s="2520"/>
      <c r="R19" s="2520"/>
      <c r="S19" s="2520"/>
      <c r="T19" s="2520"/>
      <c r="U19" s="2520"/>
      <c r="V19" s="2520"/>
      <c r="W19" s="2520"/>
      <c r="X19" s="2520"/>
      <c r="Y19" s="2520"/>
      <c r="Z19" s="2520"/>
      <c r="AA19" s="2463"/>
      <c r="AB19" s="2463"/>
      <c r="AC19" s="2463"/>
      <c r="AD19" s="2463"/>
      <c r="AE19" s="2463"/>
      <c r="AF19" s="2463"/>
      <c r="AG19" s="2463"/>
      <c r="AH19" s="2463"/>
      <c r="AI19" s="2463"/>
      <c r="AJ19" s="2463"/>
    </row>
    <row r="20" spans="1:36" s="848" customFormat="1">
      <c r="A20" s="2004" t="s">
        <v>115</v>
      </c>
      <c r="B20" s="2004" t="s">
        <v>115</v>
      </c>
      <c r="C20" s="2004" t="s">
        <v>35</v>
      </c>
      <c r="D20" s="2056">
        <f>D21+D22</f>
        <v>181607560</v>
      </c>
      <c r="E20" s="2056">
        <f t="shared" ref="E20:I20" si="3">E21+E22</f>
        <v>-14871305600</v>
      </c>
      <c r="F20" s="2056">
        <f t="shared" si="3"/>
        <v>8034472560</v>
      </c>
      <c r="G20" s="2056">
        <f t="shared" si="3"/>
        <v>35609111250</v>
      </c>
      <c r="H20" s="2056">
        <f t="shared" si="3"/>
        <v>36679262000</v>
      </c>
      <c r="I20" s="2056">
        <f t="shared" si="3"/>
        <v>54076149000</v>
      </c>
      <c r="J20" s="2056">
        <f>J11-J6</f>
        <v>80526054000</v>
      </c>
      <c r="K20" s="2056">
        <f t="shared" ref="K20:N20" si="4">K11-K6</f>
        <v>82461616000</v>
      </c>
      <c r="L20" s="2056">
        <f t="shared" si="4"/>
        <v>86989837000</v>
      </c>
      <c r="M20" s="2056">
        <f t="shared" si="4"/>
        <v>136000000000</v>
      </c>
      <c r="N20" s="2056">
        <f t="shared" si="4"/>
        <v>114462519000</v>
      </c>
      <c r="O20" s="2520"/>
      <c r="P20" s="2520"/>
      <c r="Q20" s="2520"/>
      <c r="R20" s="2520"/>
      <c r="S20" s="2520"/>
      <c r="T20" s="2520"/>
      <c r="U20" s="2520"/>
      <c r="V20" s="2520"/>
      <c r="W20" s="2520"/>
      <c r="X20" s="2520"/>
      <c r="Y20" s="2520"/>
      <c r="Z20" s="2520"/>
      <c r="AA20" s="2463"/>
      <c r="AB20" s="2463"/>
      <c r="AC20" s="2463"/>
      <c r="AD20" s="2463"/>
      <c r="AE20" s="2463"/>
      <c r="AF20" s="2463"/>
      <c r="AG20" s="2463"/>
      <c r="AH20" s="2463"/>
      <c r="AI20" s="2463"/>
      <c r="AJ20" s="2463"/>
    </row>
    <row r="21" spans="1:36">
      <c r="A21" s="1576" t="s">
        <v>120</v>
      </c>
      <c r="B21" s="1577" t="s">
        <v>6855</v>
      </c>
      <c r="C21" s="1578" t="s">
        <v>119</v>
      </c>
      <c r="D21" s="1581">
        <v>-5007369800</v>
      </c>
      <c r="E21" s="1581">
        <v>-6827254500</v>
      </c>
      <c r="F21" s="1581">
        <v>-1776475563</v>
      </c>
      <c r="G21" s="1581">
        <v>25812347700</v>
      </c>
      <c r="H21" s="1581">
        <v>22442921000</v>
      </c>
      <c r="I21" s="1581">
        <v>27037389000</v>
      </c>
      <c r="J21" s="1592"/>
      <c r="K21" s="1592"/>
      <c r="L21" s="1592"/>
      <c r="M21" s="1592"/>
      <c r="N21" s="1592"/>
      <c r="O21" s="2520"/>
      <c r="P21" s="2520"/>
      <c r="Q21" s="2520"/>
      <c r="R21" s="2520"/>
      <c r="S21" s="2520"/>
      <c r="T21" s="2520"/>
      <c r="U21" s="2520"/>
      <c r="V21" s="2520"/>
      <c r="W21" s="2520"/>
      <c r="X21" s="2520"/>
      <c r="Y21" s="2520"/>
      <c r="Z21" s="2520"/>
      <c r="AA21" s="2463"/>
      <c r="AB21" s="2463"/>
      <c r="AC21" s="2463"/>
      <c r="AD21" s="2463"/>
      <c r="AE21" s="2463"/>
      <c r="AF21" s="2463"/>
      <c r="AG21" s="2463"/>
      <c r="AH21" s="2463"/>
      <c r="AI21" s="2463"/>
      <c r="AJ21" s="2463"/>
    </row>
    <row r="22" spans="1:36" ht="15.75" customHeight="1">
      <c r="A22" s="1576" t="s">
        <v>117</v>
      </c>
      <c r="B22" s="1577" t="s">
        <v>5458</v>
      </c>
      <c r="C22" s="1578" t="s">
        <v>119</v>
      </c>
      <c r="D22" s="1581">
        <v>5188977360</v>
      </c>
      <c r="E22" s="1581">
        <v>-8044051100</v>
      </c>
      <c r="F22" s="2635">
        <v>9810948123</v>
      </c>
      <c r="G22" s="1581">
        <v>9796763550</v>
      </c>
      <c r="H22" s="1581">
        <v>14236341000</v>
      </c>
      <c r="I22" s="1581">
        <v>27038760000</v>
      </c>
      <c r="J22" s="1581"/>
      <c r="K22" s="1581"/>
      <c r="L22" s="1581"/>
      <c r="M22" s="1581"/>
      <c r="N22" s="1581"/>
      <c r="O22" s="2520"/>
      <c r="P22" s="2520"/>
      <c r="Q22" s="2520"/>
      <c r="R22" s="2520"/>
      <c r="S22" s="2520"/>
      <c r="T22" s="2520"/>
      <c r="U22" s="2520"/>
      <c r="V22" s="2520"/>
      <c r="W22" s="2520"/>
      <c r="X22" s="2520"/>
      <c r="Y22" s="2520"/>
      <c r="Z22" s="2520"/>
      <c r="AA22" s="2463"/>
      <c r="AB22" s="2463"/>
      <c r="AC22" s="2463"/>
      <c r="AD22" s="2463"/>
      <c r="AE22" s="2463"/>
      <c r="AF22" s="2463"/>
      <c r="AG22" s="2463"/>
      <c r="AH22" s="2463"/>
      <c r="AI22" s="2463"/>
      <c r="AJ22" s="2463"/>
    </row>
    <row r="23" spans="1:36">
      <c r="B23" s="1580"/>
      <c r="D23" s="2059"/>
      <c r="E23" s="2059"/>
      <c r="F23" s="2059"/>
      <c r="G23" s="2059"/>
      <c r="H23" s="2059"/>
      <c r="I23" s="2059"/>
      <c r="J23" s="2059"/>
      <c r="K23" s="2059"/>
      <c r="L23" s="2059"/>
      <c r="O23" s="2520"/>
      <c r="P23" s="2520"/>
      <c r="Q23" s="2520"/>
      <c r="R23" s="2520"/>
      <c r="S23" s="2520"/>
      <c r="T23" s="2520"/>
      <c r="U23" s="2520"/>
      <c r="V23" s="2520"/>
      <c r="W23" s="2520"/>
      <c r="X23" s="2520"/>
      <c r="Y23" s="2520"/>
      <c r="Z23" s="2520"/>
      <c r="AA23" s="2463"/>
      <c r="AB23" s="2463"/>
      <c r="AC23" s="2463"/>
      <c r="AD23" s="2463"/>
      <c r="AE23" s="2463"/>
      <c r="AF23" s="2463"/>
      <c r="AG23" s="2463"/>
      <c r="AH23" s="2463"/>
      <c r="AI23" s="2463"/>
      <c r="AJ23" s="2463"/>
    </row>
    <row r="24" spans="1:36">
      <c r="A24" s="1577"/>
      <c r="B24" s="1577"/>
      <c r="D24" s="1570" t="s">
        <v>139</v>
      </c>
      <c r="E24" s="1570" t="s">
        <v>139</v>
      </c>
      <c r="F24" s="1570" t="s">
        <v>139</v>
      </c>
      <c r="G24" s="1570" t="s">
        <v>139</v>
      </c>
      <c r="H24" s="1570" t="s">
        <v>139</v>
      </c>
      <c r="I24" s="1570" t="s">
        <v>139</v>
      </c>
      <c r="J24" s="1570" t="s">
        <v>139</v>
      </c>
      <c r="K24" s="1570" t="s">
        <v>139</v>
      </c>
      <c r="L24" s="1570" t="s">
        <v>139</v>
      </c>
      <c r="M24" s="1570" t="s">
        <v>139</v>
      </c>
      <c r="N24" s="1570" t="s">
        <v>139</v>
      </c>
      <c r="O24" s="2520"/>
      <c r="P24" s="2520"/>
      <c r="Q24" s="2520"/>
      <c r="R24" s="2520"/>
      <c r="S24" s="2520"/>
      <c r="T24" s="2520"/>
      <c r="U24" s="2520"/>
      <c r="V24" s="2520"/>
      <c r="W24" s="2520"/>
      <c r="X24" s="2520"/>
      <c r="Y24" s="2520"/>
      <c r="Z24" s="2520"/>
      <c r="AA24" s="2463"/>
      <c r="AB24" s="2463"/>
      <c r="AC24" s="2463"/>
      <c r="AD24" s="2463"/>
      <c r="AE24" s="2463"/>
      <c r="AF24" s="2463"/>
      <c r="AG24" s="2463"/>
      <c r="AH24" s="2463"/>
      <c r="AI24" s="2463"/>
      <c r="AJ24" s="2463"/>
    </row>
    <row r="25" spans="1:36">
      <c r="A25" s="1576"/>
      <c r="O25" s="2520"/>
      <c r="P25" s="2520"/>
      <c r="Q25" s="2520"/>
      <c r="R25" s="2520"/>
      <c r="S25" s="2520"/>
      <c r="T25" s="2520"/>
      <c r="U25" s="2520"/>
      <c r="V25" s="2520"/>
      <c r="W25" s="2520"/>
      <c r="X25" s="2520"/>
      <c r="Y25" s="2520"/>
      <c r="Z25" s="2520"/>
      <c r="AA25" s="2463"/>
      <c r="AB25" s="2463"/>
      <c r="AC25" s="2463"/>
      <c r="AD25" s="2463"/>
      <c r="AE25" s="2463"/>
      <c r="AF25" s="2463"/>
      <c r="AG25" s="2463"/>
      <c r="AH25" s="2463"/>
      <c r="AI25" s="2463"/>
      <c r="AJ25" s="2463"/>
    </row>
    <row r="26" spans="1:36">
      <c r="O26" s="2520"/>
      <c r="P26" s="2520"/>
      <c r="Q26" s="2520"/>
      <c r="R26" s="2520"/>
      <c r="S26" s="2520"/>
      <c r="T26" s="2520"/>
      <c r="U26" s="2520"/>
      <c r="V26" s="2520"/>
      <c r="W26" s="2520"/>
      <c r="X26" s="2520"/>
      <c r="Y26" s="2520"/>
      <c r="Z26" s="2520"/>
      <c r="AA26" s="2463"/>
      <c r="AB26" s="2463"/>
      <c r="AC26" s="2463"/>
      <c r="AD26" s="2463"/>
      <c r="AE26" s="2463"/>
      <c r="AF26" s="2463"/>
      <c r="AG26" s="2463"/>
      <c r="AH26" s="2463"/>
      <c r="AI26" s="2463"/>
      <c r="AJ26" s="2463"/>
    </row>
    <row r="27" spans="1:36">
      <c r="A27" s="1576"/>
      <c r="B27" s="1570" t="s">
        <v>284</v>
      </c>
      <c r="D27" s="2639">
        <f t="shared" ref="D27:N27" si="5">D6-D7-D10</f>
        <v>0</v>
      </c>
      <c r="E27" s="2639">
        <f t="shared" si="5"/>
        <v>0</v>
      </c>
      <c r="F27" s="2639">
        <f t="shared" si="5"/>
        <v>0</v>
      </c>
      <c r="G27" s="2639">
        <f t="shared" si="5"/>
        <v>0</v>
      </c>
      <c r="H27" s="2639">
        <f t="shared" si="5"/>
        <v>0</v>
      </c>
      <c r="I27" s="2639">
        <f t="shared" si="5"/>
        <v>0</v>
      </c>
      <c r="J27" s="2639">
        <f t="shared" si="5"/>
        <v>0</v>
      </c>
      <c r="K27" s="2639">
        <f t="shared" si="5"/>
        <v>0</v>
      </c>
      <c r="L27" s="2639">
        <f t="shared" si="5"/>
        <v>0</v>
      </c>
      <c r="M27" s="2639">
        <f t="shared" si="5"/>
        <v>0</v>
      </c>
      <c r="N27" s="2639">
        <f t="shared" si="5"/>
        <v>0</v>
      </c>
      <c r="O27" s="365"/>
      <c r="P27" s="365"/>
      <c r="Q27" s="365"/>
      <c r="R27" s="365"/>
      <c r="S27" s="365"/>
      <c r="T27" s="365"/>
      <c r="U27" s="365"/>
      <c r="V27" s="365"/>
      <c r="W27" s="365"/>
      <c r="X27" s="365"/>
      <c r="Y27" s="365"/>
      <c r="Z27" s="365"/>
    </row>
    <row r="28" spans="1:36">
      <c r="B28" s="1570" t="s">
        <v>358</v>
      </c>
      <c r="D28" s="2639" t="e">
        <f>D7-D8-D9-#REF!</f>
        <v>#REF!</v>
      </c>
      <c r="E28" s="2639" t="e">
        <f>E7-E8-E9-#REF!</f>
        <v>#REF!</v>
      </c>
      <c r="F28" s="2639" t="e">
        <f>F7-F8-F9-#REF!</f>
        <v>#REF!</v>
      </c>
      <c r="G28" s="2639" t="e">
        <f>G7-G8-G9-#REF!</f>
        <v>#REF!</v>
      </c>
      <c r="H28" s="2639" t="e">
        <f>H7-H8-H9-#REF!</f>
        <v>#REF!</v>
      </c>
      <c r="I28" s="2639" t="e">
        <f>I7-I8-I9-#REF!</f>
        <v>#REF!</v>
      </c>
      <c r="J28" s="2639" t="e">
        <f>J7-J8-J9-#REF!</f>
        <v>#REF!</v>
      </c>
      <c r="K28" s="2639" t="e">
        <f>K7-K8-K9-#REF!</f>
        <v>#REF!</v>
      </c>
      <c r="L28" s="2639" t="e">
        <f>L7-L8-L9-#REF!</f>
        <v>#REF!</v>
      </c>
      <c r="M28" s="2639" t="e">
        <f>M7-M8-M9-#REF!</f>
        <v>#REF!</v>
      </c>
      <c r="N28" s="2639" t="e">
        <f>N7-N8-N9-#REF!</f>
        <v>#REF!</v>
      </c>
      <c r="O28" s="365"/>
      <c r="P28" s="365"/>
      <c r="Q28" s="365"/>
      <c r="R28" s="365"/>
      <c r="S28" s="365"/>
      <c r="T28" s="365"/>
      <c r="U28" s="365"/>
      <c r="V28" s="365"/>
      <c r="W28" s="365"/>
      <c r="X28" s="365"/>
      <c r="Y28" s="365"/>
      <c r="Z28" s="365"/>
    </row>
    <row r="29" spans="1:36">
      <c r="B29" s="1570" t="s">
        <v>142</v>
      </c>
      <c r="D29" s="2639" t="e">
        <f>D8-#REF!-#REF!-#REF!-#REF!</f>
        <v>#REF!</v>
      </c>
      <c r="E29" s="2639" t="e">
        <f>E8-#REF!-#REF!-#REF!-#REF!</f>
        <v>#REF!</v>
      </c>
      <c r="F29" s="2640" t="e">
        <f>F8-#REF!-#REF!-#REF!</f>
        <v>#REF!</v>
      </c>
      <c r="G29" s="2640" t="e">
        <f>G8-#REF!-#REF!-#REF!</f>
        <v>#REF!</v>
      </c>
      <c r="H29" s="2640" t="e">
        <f>H8-#REF!-#REF!-#REF!</f>
        <v>#REF!</v>
      </c>
      <c r="I29" s="2640" t="e">
        <f>I8-#REF!-#REF!-#REF!</f>
        <v>#REF!</v>
      </c>
      <c r="J29" s="2640" t="e">
        <f>J8-#REF!-#REF!-#REF!</f>
        <v>#REF!</v>
      </c>
      <c r="K29" s="2641" t="e">
        <f>K8-#REF!-#REF!-#REF!</f>
        <v>#REF!</v>
      </c>
      <c r="L29" s="2641" t="e">
        <f>L8-#REF!-#REF!-#REF!</f>
        <v>#REF!</v>
      </c>
      <c r="M29" s="2641" t="e">
        <f>M8-#REF!-#REF!-#REF!</f>
        <v>#REF!</v>
      </c>
      <c r="N29" s="2641" t="e">
        <f>N8-#REF!-#REF!-#REF!</f>
        <v>#REF!</v>
      </c>
      <c r="O29" s="365"/>
      <c r="P29" s="365"/>
      <c r="Q29" s="365"/>
      <c r="R29" s="365"/>
      <c r="S29" s="365"/>
      <c r="T29" s="365"/>
      <c r="U29" s="365"/>
      <c r="V29" s="365"/>
      <c r="W29" s="365"/>
      <c r="X29" s="365"/>
      <c r="Y29" s="365"/>
      <c r="Z29" s="365"/>
    </row>
    <row r="30" spans="1:36">
      <c r="B30" s="1570" t="s">
        <v>145</v>
      </c>
      <c r="D30" s="2639" t="e">
        <f>D11-D13-#REF!</f>
        <v>#REF!</v>
      </c>
      <c r="E30" s="2639" t="e">
        <f>E11-E13-#REF!</f>
        <v>#REF!</v>
      </c>
      <c r="F30" s="2639" t="e">
        <f>F11-F13-#REF!</f>
        <v>#REF!</v>
      </c>
      <c r="G30" s="2639" t="e">
        <f>G11-G13-#REF!</f>
        <v>#REF!</v>
      </c>
      <c r="H30" s="2639" t="e">
        <f>H11-H13-#REF!</f>
        <v>#REF!</v>
      </c>
      <c r="I30" s="2639" t="e">
        <f>I11-I13-#REF!</f>
        <v>#REF!</v>
      </c>
      <c r="J30" s="2639" t="e">
        <f>J11-J13-#REF!</f>
        <v>#REF!</v>
      </c>
      <c r="K30" s="2639" t="e">
        <f>K11-K13-#REF!</f>
        <v>#REF!</v>
      </c>
      <c r="L30" s="2639" t="e">
        <f>L11-L13-#REF!</f>
        <v>#REF!</v>
      </c>
      <c r="M30" s="2639" t="e">
        <f>M11-M13-#REF!</f>
        <v>#REF!</v>
      </c>
      <c r="N30" s="2639" t="e">
        <f>N11-N13-#REF!</f>
        <v>#REF!</v>
      </c>
      <c r="O30" s="365"/>
      <c r="P30" s="365"/>
      <c r="Q30" s="365"/>
      <c r="R30" s="365"/>
      <c r="S30" s="365"/>
      <c r="T30" s="365"/>
      <c r="U30" s="365"/>
      <c r="V30" s="365"/>
      <c r="W30" s="365"/>
      <c r="X30" s="365"/>
      <c r="Y30" s="365"/>
      <c r="Z30" s="365"/>
    </row>
    <row r="31" spans="1:36">
      <c r="B31" s="1570" t="s">
        <v>620</v>
      </c>
      <c r="D31" s="2639">
        <f t="shared" ref="D31:J31" si="6">D13-D14-D15-D16-D17-D18</f>
        <v>-3</v>
      </c>
      <c r="E31" s="2639">
        <f t="shared" si="6"/>
        <v>-6</v>
      </c>
      <c r="F31" s="2640">
        <f t="shared" si="6"/>
        <v>-37</v>
      </c>
      <c r="G31" s="2640">
        <f t="shared" si="6"/>
        <v>-26</v>
      </c>
      <c r="H31" s="2640">
        <f t="shared" si="6"/>
        <v>0</v>
      </c>
      <c r="I31" s="2640">
        <f t="shared" si="6"/>
        <v>0</v>
      </c>
      <c r="J31" s="2640">
        <f t="shared" si="6"/>
        <v>0</v>
      </c>
      <c r="K31" s="2639" t="e">
        <f>K13-K14-K15-K16-K17-K18-K19-#REF!-#REF!-#REF!</f>
        <v>#REF!</v>
      </c>
      <c r="L31" s="2639" t="e">
        <f>L13-L14-L15-L16-L17-L18-L19-#REF!-#REF!-#REF!</f>
        <v>#REF!</v>
      </c>
      <c r="M31" s="2639" t="e">
        <f>M13-M14-M15-M16-M17-M18-M19-#REF!-#REF!-#REF!</f>
        <v>#REF!</v>
      </c>
      <c r="N31" s="2639" t="e">
        <f>N13-N14-N15-N16-N17-N18-N19-#REF!-#REF!-#REF!</f>
        <v>#REF!</v>
      </c>
      <c r="O31" s="365"/>
      <c r="P31" s="365"/>
      <c r="Q31" s="365"/>
      <c r="R31" s="365"/>
      <c r="S31" s="365"/>
      <c r="T31" s="365"/>
      <c r="U31" s="365"/>
      <c r="V31" s="365"/>
      <c r="W31" s="365"/>
      <c r="X31" s="365"/>
      <c r="Y31" s="365"/>
      <c r="Z31" s="365"/>
    </row>
    <row r="32" spans="1:36">
      <c r="B32" s="1570" t="s">
        <v>148</v>
      </c>
      <c r="D32" s="2642">
        <f t="shared" ref="D32:I32" si="7">D20-D21-D22</f>
        <v>0</v>
      </c>
      <c r="E32" s="2642">
        <f t="shared" si="7"/>
        <v>0</v>
      </c>
      <c r="F32" s="2642">
        <f t="shared" si="7"/>
        <v>0</v>
      </c>
      <c r="G32" s="2642">
        <f t="shared" si="7"/>
        <v>0</v>
      </c>
      <c r="H32" s="2642">
        <f t="shared" si="7"/>
        <v>0</v>
      </c>
      <c r="I32" s="2642">
        <f t="shared" si="7"/>
        <v>0</v>
      </c>
      <c r="J32" s="2642" t="e">
        <f>J20-#REF!-#REF!</f>
        <v>#REF!</v>
      </c>
      <c r="K32" s="2642" t="e">
        <f>K20-#REF!-#REF!</f>
        <v>#REF!</v>
      </c>
      <c r="L32" s="2642" t="e">
        <f>L20-#REF!-#REF!</f>
        <v>#REF!</v>
      </c>
      <c r="M32" s="2642" t="e">
        <f>M20-#REF!-#REF!</f>
        <v>#REF!</v>
      </c>
      <c r="N32" s="2642" t="e">
        <f>N20-#REF!-#REF!</f>
        <v>#REF!</v>
      </c>
      <c r="O32" s="365"/>
      <c r="P32" s="365"/>
      <c r="Q32" s="365"/>
      <c r="R32" s="365"/>
      <c r="S32" s="365"/>
      <c r="T32" s="365"/>
      <c r="U32" s="365"/>
      <c r="V32" s="365"/>
      <c r="W32" s="365"/>
      <c r="X32" s="365"/>
      <c r="Y32" s="365"/>
      <c r="Z32" s="365"/>
    </row>
    <row r="33" spans="2:26">
      <c r="B33" s="1570" t="s">
        <v>1171</v>
      </c>
      <c r="D33" s="2642" t="e">
        <f>D21-#REF!-#REF!-#REF!-#REF!</f>
        <v>#REF!</v>
      </c>
      <c r="E33" s="2642" t="e">
        <f>E21-#REF!-#REF!-#REF!-#REF!</f>
        <v>#REF!</v>
      </c>
      <c r="F33" s="2642" t="e">
        <f>F21-#REF!-#REF!-#REF!-#REF!</f>
        <v>#REF!</v>
      </c>
      <c r="G33" s="2642" t="e">
        <f>G21-#REF!-#REF!-#REF!-#REF!</f>
        <v>#REF!</v>
      </c>
      <c r="H33" s="2642" t="e">
        <f>H21-#REF!-#REF!-#REF!-#REF!</f>
        <v>#REF!</v>
      </c>
      <c r="I33" s="2642" t="e">
        <f>I21-#REF!-#REF!-#REF!-#REF!</f>
        <v>#REF!</v>
      </c>
      <c r="J33" s="2642"/>
      <c r="K33" s="2642"/>
      <c r="L33" s="2642"/>
      <c r="M33" s="2642"/>
      <c r="N33" s="2642"/>
      <c r="O33" s="365"/>
      <c r="P33" s="365"/>
      <c r="Q33" s="365"/>
      <c r="R33" s="365"/>
      <c r="S33" s="365"/>
      <c r="T33" s="365"/>
      <c r="U33" s="365"/>
      <c r="V33" s="365"/>
      <c r="W33" s="365"/>
      <c r="X33" s="365"/>
      <c r="Y33" s="365"/>
      <c r="Z33" s="365"/>
    </row>
    <row r="34" spans="2:26" ht="15.75" thickBot="1">
      <c r="B34" s="1570" t="s">
        <v>362</v>
      </c>
      <c r="D34" s="2059" t="e">
        <f>D22-#REF!-#REF!</f>
        <v>#REF!</v>
      </c>
      <c r="E34" s="2059" t="e">
        <f>E22-#REF!-#REF!</f>
        <v>#REF!</v>
      </c>
      <c r="F34" s="2059" t="e">
        <f>F22-#REF!-#REF!</f>
        <v>#REF!</v>
      </c>
      <c r="G34" s="2059" t="e">
        <f>G22-#REF!-#REF!</f>
        <v>#REF!</v>
      </c>
      <c r="H34" s="2059" t="e">
        <f>H22-#REF!-#REF!</f>
        <v>#REF!</v>
      </c>
      <c r="I34" s="2059" t="e">
        <f>I22-#REF!-#REF!</f>
        <v>#REF!</v>
      </c>
      <c r="J34" s="2059"/>
      <c r="K34" s="2059"/>
      <c r="L34" s="2059"/>
      <c r="M34" s="2059"/>
      <c r="N34" s="2059"/>
    </row>
    <row r="35" spans="2:26" ht="15.75" thickBot="1">
      <c r="B35" s="1570" t="s">
        <v>6863</v>
      </c>
      <c r="D35" s="2643"/>
      <c r="E35" s="2644"/>
      <c r="F35" s="1585"/>
      <c r="G35" s="1585"/>
      <c r="H35" s="1585"/>
      <c r="I35" s="1585"/>
      <c r="J35" s="2059" t="e">
        <f>#REF!-#REF!-#REF!</f>
        <v>#REF!</v>
      </c>
      <c r="K35" s="2645" t="e">
        <f>#REF!-#REF!-#REF!</f>
        <v>#REF!</v>
      </c>
      <c r="L35" s="2645" t="e">
        <f>#REF!-#REF!-#REF!</f>
        <v>#REF!</v>
      </c>
      <c r="M35" s="2645" t="e">
        <f>#REF!-#REF!-#REF!</f>
        <v>#REF!</v>
      </c>
      <c r="N35" s="2645" t="e">
        <f>#REF!-#REF!-#REF!</f>
        <v>#REF!</v>
      </c>
    </row>
    <row r="36" spans="2:26">
      <c r="D36" s="1585"/>
      <c r="E36" s="1585"/>
      <c r="F36" s="1585"/>
      <c r="G36" s="1585"/>
      <c r="H36" s="1585"/>
      <c r="I36" s="1585"/>
      <c r="J36" s="1585"/>
      <c r="K36" s="1585"/>
      <c r="L36" s="1585"/>
      <c r="M36" s="1585"/>
      <c r="N36" s="1585"/>
    </row>
    <row r="37" spans="2:26">
      <c r="D37" s="1585"/>
      <c r="E37" s="1585"/>
      <c r="F37" s="1585"/>
      <c r="G37" s="1585"/>
      <c r="H37" s="1585"/>
      <c r="I37" s="1585"/>
      <c r="J37" s="1585"/>
      <c r="K37" s="1585"/>
      <c r="L37" s="1585"/>
      <c r="M37" s="1585"/>
      <c r="N37" s="1585"/>
    </row>
    <row r="38" spans="2:26">
      <c r="D38" s="1585"/>
      <c r="E38" s="1585"/>
      <c r="F38" s="1585"/>
      <c r="G38" s="1585"/>
      <c r="H38" s="1585"/>
      <c r="I38" s="1585"/>
      <c r="J38" s="1585"/>
      <c r="K38" s="1585"/>
      <c r="L38" s="1585"/>
      <c r="M38" s="1585"/>
      <c r="N38" s="1585">
        <v>9.8864000000000001</v>
      </c>
    </row>
    <row r="39" spans="2:26">
      <c r="B39" s="1570" t="s">
        <v>150</v>
      </c>
      <c r="D39" s="1585"/>
      <c r="E39" s="1585"/>
      <c r="F39" s="1585"/>
      <c r="G39" s="1585"/>
      <c r="H39" s="1585"/>
      <c r="I39" s="1585"/>
      <c r="J39" s="1585"/>
      <c r="K39" s="1585"/>
      <c r="L39" s="1585"/>
      <c r="M39" s="1585"/>
      <c r="N39" s="1585"/>
    </row>
    <row r="40" spans="2:26">
      <c r="B40" s="1570" t="s">
        <v>151</v>
      </c>
      <c r="D40" s="1585" t="e">
        <f t="shared" ref="D40:L40" si="8">(D6/D39)*100</f>
        <v>#DIV/0!</v>
      </c>
      <c r="E40" s="1585" t="e">
        <f t="shared" si="8"/>
        <v>#DIV/0!</v>
      </c>
      <c r="F40" s="1585" t="e">
        <f t="shared" si="8"/>
        <v>#DIV/0!</v>
      </c>
      <c r="G40" s="1585" t="e">
        <f t="shared" si="8"/>
        <v>#DIV/0!</v>
      </c>
      <c r="H40" s="1585" t="e">
        <f t="shared" si="8"/>
        <v>#DIV/0!</v>
      </c>
      <c r="I40" s="1585" t="e">
        <f t="shared" si="8"/>
        <v>#DIV/0!</v>
      </c>
      <c r="J40" s="1585" t="e">
        <f t="shared" si="8"/>
        <v>#DIV/0!</v>
      </c>
      <c r="K40" s="1585" t="e">
        <f t="shared" si="8"/>
        <v>#DIV/0!</v>
      </c>
      <c r="L40" s="1585" t="e">
        <f t="shared" si="8"/>
        <v>#DIV/0!</v>
      </c>
      <c r="M40" s="1585"/>
      <c r="N40" s="1585"/>
    </row>
    <row r="41" spans="2:26">
      <c r="B41" s="1570" t="s">
        <v>152</v>
      </c>
      <c r="D41" s="1585" t="e">
        <f t="shared" ref="D41:L41" si="9">(D11/D39)*100</f>
        <v>#DIV/0!</v>
      </c>
      <c r="E41" s="1585" t="e">
        <f t="shared" si="9"/>
        <v>#DIV/0!</v>
      </c>
      <c r="F41" s="1585" t="e">
        <f t="shared" si="9"/>
        <v>#DIV/0!</v>
      </c>
      <c r="G41" s="1585" t="e">
        <f t="shared" si="9"/>
        <v>#DIV/0!</v>
      </c>
      <c r="H41" s="1585" t="e">
        <f t="shared" si="9"/>
        <v>#DIV/0!</v>
      </c>
      <c r="I41" s="1585" t="e">
        <f t="shared" si="9"/>
        <v>#DIV/0!</v>
      </c>
      <c r="J41" s="1585" t="e">
        <f t="shared" si="9"/>
        <v>#DIV/0!</v>
      </c>
      <c r="K41" s="1585" t="e">
        <f t="shared" si="9"/>
        <v>#DIV/0!</v>
      </c>
      <c r="L41" s="1585" t="e">
        <f t="shared" si="9"/>
        <v>#DIV/0!</v>
      </c>
      <c r="M41" s="1585"/>
      <c r="N41" s="1585"/>
    </row>
    <row r="43" spans="2:26">
      <c r="N43" s="1570">
        <v>31000000</v>
      </c>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D6" activePane="bottomRight" state="frozen"/>
      <selection pane="topRight" activeCell="D1" sqref="D1"/>
      <selection pane="bottomLeft" activeCell="A6" sqref="A6"/>
      <selection pane="bottomRight" activeCell="M38" sqref="M38"/>
    </sheetView>
  </sheetViews>
  <sheetFormatPr defaultRowHeight="15.75"/>
  <cols>
    <col min="1" max="1" width="33.85546875" style="1602" customWidth="1"/>
    <col min="2" max="2" width="51.85546875" style="1602" bestFit="1" customWidth="1"/>
    <col min="3" max="3" width="31.140625" style="1602" customWidth="1"/>
    <col min="4" max="7" width="9.140625" style="1602" bestFit="1" customWidth="1"/>
    <col min="8" max="8" width="13.85546875" style="1602" bestFit="1" customWidth="1"/>
    <col min="9" max="9" width="29.7109375" style="1602" bestFit="1" customWidth="1"/>
    <col min="10" max="10" width="31.140625" style="1602" bestFit="1" customWidth="1"/>
    <col min="11" max="11" width="32" style="1602" bestFit="1" customWidth="1"/>
    <col min="12" max="12" width="31.140625" style="1602" bestFit="1" customWidth="1"/>
    <col min="13" max="13" width="31.5703125" style="1602" bestFit="1" customWidth="1"/>
    <col min="14" max="14" width="30.5703125" style="1602" bestFit="1" customWidth="1"/>
    <col min="15" max="15" width="34.85546875" style="1602" bestFit="1" customWidth="1"/>
    <col min="16" max="18" width="31.28515625" style="1602" bestFit="1" customWidth="1"/>
    <col min="19" max="19" width="30.5703125" style="1602" bestFit="1" customWidth="1"/>
    <col min="20" max="22" width="31.28515625" style="1602" bestFit="1" customWidth="1"/>
    <col min="23" max="24" width="9.140625" style="1602" bestFit="1" customWidth="1"/>
    <col min="25" max="31" width="8.85546875" style="1602"/>
  </cols>
  <sheetData>
    <row r="1" spans="1:31">
      <c r="A1" s="2072" t="s">
        <v>6864</v>
      </c>
      <c r="B1" s="1603" t="s">
        <v>6865</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1" ht="18.75" customHeight="1">
      <c r="B2" s="1607" t="s">
        <v>6866</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2">
        <v>2013</v>
      </c>
      <c r="Z3" s="1602">
        <v>2014</v>
      </c>
      <c r="AA3" s="1602">
        <v>2015</v>
      </c>
      <c r="AB3" s="1602">
        <v>2016</v>
      </c>
      <c r="AC3" s="1602">
        <v>2017</v>
      </c>
      <c r="AD3" s="1602">
        <v>2018</v>
      </c>
    </row>
    <row r="4" spans="1:3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1">
      <c r="A5" s="1602" t="s">
        <v>157</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30</v>
      </c>
      <c r="V5" s="1605" t="s">
        <v>32</v>
      </c>
      <c r="W5" s="1605" t="s">
        <v>32</v>
      </c>
      <c r="X5" s="1605" t="s">
        <v>32</v>
      </c>
    </row>
    <row r="6" spans="1:31" s="360" customFormat="1">
      <c r="A6" s="2391" t="s">
        <v>33</v>
      </c>
      <c r="B6" s="2391" t="s">
        <v>449</v>
      </c>
      <c r="C6" s="2346" t="s">
        <v>35</v>
      </c>
      <c r="D6" s="2392"/>
      <c r="E6" s="2392"/>
      <c r="F6" s="2392"/>
      <c r="G6" s="2392"/>
      <c r="H6" s="2392"/>
      <c r="I6" s="2393">
        <v>228300000000000</v>
      </c>
      <c r="J6" s="2393">
        <v>279500000000000</v>
      </c>
      <c r="K6" s="2393">
        <v>315900000000000</v>
      </c>
      <c r="L6" s="2394">
        <v>430000000000000</v>
      </c>
      <c r="M6" s="2394">
        <v>463000000000000</v>
      </c>
      <c r="N6" s="2394">
        <v>588000000000000</v>
      </c>
      <c r="O6" s="2394">
        <v>719000000000000</v>
      </c>
      <c r="P6" s="2394">
        <v>733000000000000</v>
      </c>
      <c r="Q6" s="2394">
        <f>Q7+Q18</f>
        <v>829000000000000</v>
      </c>
      <c r="R6" s="2394">
        <f t="shared" ref="R6:V6" si="0">R7+R18</f>
        <v>876000000000000</v>
      </c>
      <c r="S6" s="2394">
        <f t="shared" si="0"/>
        <v>997000000000000</v>
      </c>
      <c r="T6" s="2394">
        <f t="shared" si="0"/>
        <v>1084000000000000</v>
      </c>
      <c r="U6" s="2394">
        <f t="shared" si="0"/>
        <v>1179000000000000</v>
      </c>
      <c r="V6" s="2394">
        <f t="shared" si="0"/>
        <v>1283000000000000</v>
      </c>
      <c r="W6" s="2392"/>
      <c r="X6" s="2392"/>
      <c r="Y6" s="2395"/>
      <c r="Z6" s="2395"/>
      <c r="AA6" s="2395"/>
      <c r="AB6" s="2395"/>
      <c r="AC6" s="2395"/>
      <c r="AD6" s="2395"/>
      <c r="AE6" s="2395"/>
    </row>
    <row r="7" spans="1:31">
      <c r="A7" s="1611" t="s">
        <v>36</v>
      </c>
      <c r="B7" s="1611" t="s">
        <v>36</v>
      </c>
      <c r="C7" s="1613" t="s">
        <v>38</v>
      </c>
      <c r="D7" s="1605"/>
      <c r="E7" s="1605"/>
      <c r="F7" s="1605"/>
      <c r="G7" s="1605"/>
      <c r="H7" s="1605"/>
      <c r="I7" s="1891">
        <v>224500000000000</v>
      </c>
      <c r="J7" s="1891">
        <v>271600000000000.03</v>
      </c>
      <c r="K7" s="1891">
        <v>311700000000000</v>
      </c>
      <c r="L7" s="2078">
        <f t="shared" ref="L7:O7" si="1">L8+L19</f>
        <v>420000000000000</v>
      </c>
      <c r="M7" s="2078">
        <f t="shared" si="1"/>
        <v>455000000000000</v>
      </c>
      <c r="N7" s="2078">
        <f t="shared" si="1"/>
        <v>576000000000000</v>
      </c>
      <c r="O7" s="2078">
        <f t="shared" si="1"/>
        <v>708000000000000</v>
      </c>
      <c r="P7" s="2078">
        <f>P6-P18</f>
        <v>723000000000000</v>
      </c>
      <c r="Q7" s="2078">
        <f>Q8+Q19</f>
        <v>818000000000000</v>
      </c>
      <c r="R7" s="2078">
        <f t="shared" ref="R7:V7" si="2">R8+R19</f>
        <v>865000000000000</v>
      </c>
      <c r="S7" s="2078">
        <f t="shared" si="2"/>
        <v>985000000000000</v>
      </c>
      <c r="T7" s="2078">
        <f t="shared" si="2"/>
        <v>1075000000000000</v>
      </c>
      <c r="U7" s="2078">
        <f t="shared" si="2"/>
        <v>1174000000000000</v>
      </c>
      <c r="V7" s="2078">
        <f t="shared" si="2"/>
        <v>1278000000000000</v>
      </c>
      <c r="W7" s="1605"/>
      <c r="X7" s="1605"/>
    </row>
    <row r="8" spans="1:31">
      <c r="A8" s="1602" t="s">
        <v>6867</v>
      </c>
      <c r="B8" s="1602" t="s">
        <v>6868</v>
      </c>
      <c r="C8" s="1612" t="s">
        <v>41</v>
      </c>
      <c r="D8" s="1605"/>
      <c r="E8" s="1605"/>
      <c r="F8" s="1605"/>
      <c r="G8" s="1605"/>
      <c r="H8" s="1605"/>
      <c r="I8" s="1891">
        <v>191700000000000</v>
      </c>
      <c r="J8" s="1891">
        <v>236300000000000</v>
      </c>
      <c r="K8" s="1891">
        <v>265899999999999.97</v>
      </c>
      <c r="L8" s="2396">
        <v>363000000000000</v>
      </c>
      <c r="M8" s="2396">
        <v>373000000000000</v>
      </c>
      <c r="N8" s="2396">
        <v>483000000000000</v>
      </c>
      <c r="O8" s="2396">
        <v>608000000000000</v>
      </c>
      <c r="P8" s="2396">
        <v>617000000000000</v>
      </c>
      <c r="Q8" s="2396">
        <f>Q9+Q12</f>
        <v>687000000000000</v>
      </c>
      <c r="R8" s="2396">
        <f t="shared" ref="R8:V8" si="3">R9+R12</f>
        <v>718000000000000</v>
      </c>
      <c r="S8" s="2396">
        <f t="shared" si="3"/>
        <v>757000000000000</v>
      </c>
      <c r="T8" s="2396">
        <f t="shared" si="3"/>
        <v>822000000000000</v>
      </c>
      <c r="U8" s="2396">
        <f t="shared" si="3"/>
        <v>938000000000000</v>
      </c>
      <c r="V8" s="2396">
        <f t="shared" si="3"/>
        <v>1038000000000000</v>
      </c>
      <c r="W8" s="1605"/>
      <c r="X8" s="1605"/>
    </row>
    <row r="9" spans="1:31">
      <c r="A9" s="1619" t="s">
        <v>6869</v>
      </c>
      <c r="B9" s="1619" t="s">
        <v>6870</v>
      </c>
      <c r="C9" s="1611" t="s">
        <v>44</v>
      </c>
      <c r="D9" s="1605"/>
      <c r="E9" s="1605"/>
      <c r="F9" s="1605"/>
      <c r="G9" s="1605"/>
      <c r="H9" s="1605"/>
      <c r="I9" s="1891">
        <v>66599999999999.992</v>
      </c>
      <c r="J9" s="1891">
        <v>83300000000000</v>
      </c>
      <c r="K9" s="1891">
        <v>77000000000000</v>
      </c>
      <c r="L9" s="2396">
        <v>90000000000000</v>
      </c>
      <c r="M9" s="2396">
        <v>61000000000000</v>
      </c>
      <c r="N9" s="2078">
        <v>69000000000000</v>
      </c>
      <c r="O9" s="2078">
        <v>110000000000000</v>
      </c>
      <c r="P9" s="2078">
        <v>125000000000000</v>
      </c>
      <c r="Q9" s="2078">
        <f>Q10+Q11</f>
        <v>121000000000000</v>
      </c>
      <c r="R9" s="2078">
        <f t="shared" ref="R9:V9" si="4">R10+R11</f>
        <v>100000000000000</v>
      </c>
      <c r="S9" s="2078">
        <f t="shared" si="4"/>
        <v>68000000000000</v>
      </c>
      <c r="T9" s="2078">
        <f t="shared" si="4"/>
        <v>54000000000000</v>
      </c>
      <c r="U9" s="2078">
        <f t="shared" si="4"/>
        <v>44000000000000</v>
      </c>
      <c r="V9" s="2078">
        <f t="shared" si="4"/>
        <v>36000000000000</v>
      </c>
      <c r="W9" s="1605"/>
      <c r="X9" s="1605"/>
    </row>
    <row r="10" spans="1:31">
      <c r="A10" s="1619" t="s">
        <v>7078</v>
      </c>
      <c r="B10" s="1619" t="s">
        <v>3995</v>
      </c>
      <c r="C10" s="1611" t="s">
        <v>7091</v>
      </c>
      <c r="D10" s="1605"/>
      <c r="E10" s="1605"/>
      <c r="F10" s="1605"/>
      <c r="G10" s="1605"/>
      <c r="H10" s="1605"/>
      <c r="I10" s="1891"/>
      <c r="J10" s="1891"/>
      <c r="K10" s="1891"/>
      <c r="L10" s="2396"/>
      <c r="M10" s="2396"/>
      <c r="N10" s="2078"/>
      <c r="O10" s="2078"/>
      <c r="P10" s="2078"/>
      <c r="Q10" s="2078">
        <v>91000000000000</v>
      </c>
      <c r="R10" s="2078">
        <v>73000000000000</v>
      </c>
      <c r="S10" s="2078">
        <v>50000000000000</v>
      </c>
      <c r="T10" s="2078">
        <v>38000000000000</v>
      </c>
      <c r="U10" s="2078">
        <v>30000000000000</v>
      </c>
      <c r="V10" s="2078">
        <v>25000000000000</v>
      </c>
      <c r="W10" s="1605"/>
      <c r="X10" s="1605"/>
    </row>
    <row r="11" spans="1:31">
      <c r="A11" s="1619" t="s">
        <v>7079</v>
      </c>
      <c r="B11" s="1619" t="s">
        <v>7079</v>
      </c>
      <c r="C11" s="1611" t="s">
        <v>7091</v>
      </c>
      <c r="D11" s="1605"/>
      <c r="E11" s="1605"/>
      <c r="F11" s="1605"/>
      <c r="G11" s="1605"/>
      <c r="H11" s="1605"/>
      <c r="I11" s="1891"/>
      <c r="J11" s="1891"/>
      <c r="K11" s="1891"/>
      <c r="L11" s="2396"/>
      <c r="M11" s="2396"/>
      <c r="N11" s="2078"/>
      <c r="O11" s="2078"/>
      <c r="P11" s="2078"/>
      <c r="Q11" s="2078">
        <v>30000000000000</v>
      </c>
      <c r="R11" s="2078">
        <v>27000000000000</v>
      </c>
      <c r="S11" s="2078">
        <v>18000000000000</v>
      </c>
      <c r="T11" s="2078">
        <v>16000000000000</v>
      </c>
      <c r="U11" s="2078">
        <v>14000000000000</v>
      </c>
      <c r="V11" s="2078">
        <v>11000000000000</v>
      </c>
      <c r="W11" s="1605"/>
      <c r="X11" s="1605"/>
    </row>
    <row r="12" spans="1:31">
      <c r="A12" s="2397" t="s">
        <v>6871</v>
      </c>
      <c r="B12" s="2397" t="s">
        <v>6872</v>
      </c>
      <c r="C12" s="1611" t="s">
        <v>44</v>
      </c>
      <c r="D12" s="1605"/>
      <c r="E12" s="1605"/>
      <c r="F12" s="1605"/>
      <c r="G12" s="1605"/>
      <c r="H12" s="1605"/>
      <c r="I12" s="1891">
        <v>125200000000000</v>
      </c>
      <c r="J12" s="1891">
        <v>153000000000000</v>
      </c>
      <c r="K12" s="1891">
        <v>188900000000000</v>
      </c>
      <c r="L12" s="2396">
        <v>274000000000000</v>
      </c>
      <c r="M12" s="2396">
        <v>312000000000000</v>
      </c>
      <c r="N12" s="2078">
        <v>414000000000000</v>
      </c>
      <c r="O12" s="2078">
        <v>497000000000000</v>
      </c>
      <c r="P12" s="2078">
        <v>493000000000000</v>
      </c>
      <c r="Q12" s="2078">
        <f>Q13+Q14+Q15+Q16+Q17</f>
        <v>566000000000000</v>
      </c>
      <c r="R12" s="2078">
        <f t="shared" ref="R12:V12" si="5">R13+R14+R15+R16+R17</f>
        <v>618000000000000</v>
      </c>
      <c r="S12" s="2078">
        <f t="shared" si="5"/>
        <v>689000000000000</v>
      </c>
      <c r="T12" s="2078">
        <f t="shared" si="5"/>
        <v>768000000000000</v>
      </c>
      <c r="U12" s="2078">
        <f t="shared" si="5"/>
        <v>894000000000000</v>
      </c>
      <c r="V12" s="2078">
        <f t="shared" si="5"/>
        <v>1002000000000000</v>
      </c>
      <c r="W12" s="1605"/>
      <c r="X12" s="1605"/>
    </row>
    <row r="13" spans="1:31">
      <c r="A13" s="1619" t="s">
        <v>7080</v>
      </c>
      <c r="B13" s="13" t="s">
        <v>3993</v>
      </c>
      <c r="C13" s="1611" t="s">
        <v>7092</v>
      </c>
      <c r="D13" s="1605"/>
      <c r="E13" s="1605"/>
      <c r="F13" s="1605"/>
      <c r="G13" s="1605"/>
      <c r="H13" s="1605"/>
      <c r="I13" s="1891"/>
      <c r="J13" s="1891"/>
      <c r="K13" s="1891"/>
      <c r="L13" s="2396"/>
      <c r="M13" s="2396"/>
      <c r="N13" s="2078"/>
      <c r="O13" s="2078"/>
      <c r="P13" s="2078"/>
      <c r="Q13" s="2078">
        <v>47000000000000</v>
      </c>
      <c r="R13" s="2078">
        <v>48000000000000</v>
      </c>
      <c r="S13" s="2078">
        <v>57000000000000</v>
      </c>
      <c r="T13" s="2078">
        <v>65000000000000</v>
      </c>
      <c r="U13" s="2078">
        <v>82000000000000</v>
      </c>
      <c r="V13" s="2078">
        <v>97000000000000</v>
      </c>
      <c r="W13" s="1605"/>
      <c r="X13" s="1605"/>
    </row>
    <row r="14" spans="1:31">
      <c r="A14" s="1619" t="s">
        <v>7078</v>
      </c>
      <c r="B14" s="1619" t="s">
        <v>3995</v>
      </c>
      <c r="C14" s="1611" t="s">
        <v>7092</v>
      </c>
      <c r="D14" s="1605"/>
      <c r="E14" s="1605"/>
      <c r="F14" s="1605"/>
      <c r="G14" s="1605"/>
      <c r="H14" s="1605"/>
      <c r="I14" s="1891"/>
      <c r="J14" s="1891"/>
      <c r="K14" s="1891"/>
      <c r="L14" s="2396"/>
      <c r="M14" s="2396"/>
      <c r="N14" s="2078"/>
      <c r="O14" s="2078"/>
      <c r="P14" s="2078"/>
      <c r="Q14" s="2078">
        <v>141000000000000</v>
      </c>
      <c r="R14" s="2078">
        <v>135000000000000</v>
      </c>
      <c r="S14" s="2078">
        <v>150000000000000</v>
      </c>
      <c r="T14" s="2078">
        <v>162000000000000</v>
      </c>
      <c r="U14" s="2078">
        <v>191000000000000</v>
      </c>
      <c r="V14" s="2078">
        <v>218000000000000</v>
      </c>
      <c r="W14" s="1605"/>
      <c r="X14" s="1605"/>
    </row>
    <row r="15" spans="1:31">
      <c r="A15" t="s">
        <v>162</v>
      </c>
      <c r="B15" s="13" t="s">
        <v>162</v>
      </c>
      <c r="C15" s="1611" t="s">
        <v>7092</v>
      </c>
      <c r="D15" s="1605"/>
      <c r="E15" s="1605"/>
      <c r="F15" s="1605"/>
      <c r="G15" s="1605"/>
      <c r="H15" s="1605"/>
      <c r="I15" s="1891"/>
      <c r="J15" s="1891"/>
      <c r="K15" s="1891"/>
      <c r="L15" s="2396"/>
      <c r="M15" s="2396"/>
      <c r="N15" s="2078"/>
      <c r="O15" s="2078"/>
      <c r="P15" s="2078"/>
      <c r="Q15" s="2078">
        <v>209000000000000</v>
      </c>
      <c r="R15" s="2078">
        <v>241000000000000</v>
      </c>
      <c r="S15" s="2078">
        <v>252000000000000</v>
      </c>
      <c r="T15" s="2078">
        <v>270000000000000</v>
      </c>
      <c r="U15" s="2078">
        <v>316000000000000</v>
      </c>
      <c r="V15" s="2078">
        <v>356000000000000</v>
      </c>
      <c r="W15" s="1605"/>
      <c r="X15" s="1605"/>
    </row>
    <row r="16" spans="1:31">
      <c r="A16" t="s">
        <v>7081</v>
      </c>
      <c r="B16" s="13" t="s">
        <v>4913</v>
      </c>
      <c r="C16" s="1611" t="s">
        <v>7092</v>
      </c>
      <c r="D16" s="1605"/>
      <c r="E16" s="1605"/>
      <c r="F16" s="1605"/>
      <c r="G16" s="1605"/>
      <c r="H16" s="1605"/>
      <c r="I16" s="1891"/>
      <c r="J16" s="1891"/>
      <c r="K16" s="1891"/>
      <c r="L16" s="2396"/>
      <c r="M16" s="2396"/>
      <c r="N16" s="2078"/>
      <c r="O16" s="2078"/>
      <c r="P16" s="2078"/>
      <c r="Q16" s="2078">
        <v>78000000000000</v>
      </c>
      <c r="R16" s="2396">
        <v>96000000000000</v>
      </c>
      <c r="S16" s="2078">
        <v>99000000000000</v>
      </c>
      <c r="T16" s="2078">
        <v>96000000000000</v>
      </c>
      <c r="U16" s="2078">
        <v>95000000000000</v>
      </c>
      <c r="V16" s="1888">
        <v>91000000000000</v>
      </c>
      <c r="W16" s="1605"/>
      <c r="X16" s="1605"/>
    </row>
    <row r="17" spans="1:31">
      <c r="A17" t="s">
        <v>7082</v>
      </c>
      <c r="B17" s="13" t="s">
        <v>3577</v>
      </c>
      <c r="C17" s="1611" t="s">
        <v>7092</v>
      </c>
      <c r="D17" s="1605"/>
      <c r="E17" s="1605"/>
      <c r="F17" s="1605"/>
      <c r="G17" s="1605"/>
      <c r="H17" s="1605"/>
      <c r="I17" s="1891"/>
      <c r="J17" s="1891"/>
      <c r="K17" s="1891"/>
      <c r="L17" s="2396"/>
      <c r="M17" s="2396"/>
      <c r="N17" s="2078"/>
      <c r="O17" s="2078"/>
      <c r="P17" s="2078"/>
      <c r="Q17" s="2078">
        <v>91000000000000</v>
      </c>
      <c r="R17" s="2396">
        <v>98000000000000</v>
      </c>
      <c r="S17" s="2078">
        <v>131000000000000</v>
      </c>
      <c r="T17" s="2078">
        <v>175000000000000</v>
      </c>
      <c r="U17" s="2078">
        <v>210000000000000</v>
      </c>
      <c r="V17" s="1888">
        <v>240000000000000</v>
      </c>
      <c r="W17" s="1605"/>
      <c r="X17" s="1605"/>
    </row>
    <row r="18" spans="1:31" s="15" customFormat="1">
      <c r="A18" s="2347" t="s">
        <v>5167</v>
      </c>
      <c r="B18" s="2347" t="s">
        <v>5167</v>
      </c>
      <c r="C18" s="1613" t="s">
        <v>38</v>
      </c>
      <c r="D18" s="2398"/>
      <c r="E18" s="2398"/>
      <c r="F18" s="2398"/>
      <c r="G18" s="2398"/>
      <c r="H18" s="2398"/>
      <c r="I18" s="2399">
        <v>3800000000000</v>
      </c>
      <c r="J18" s="2399">
        <v>7900000000000</v>
      </c>
      <c r="K18" s="2399">
        <v>4300000000000</v>
      </c>
      <c r="L18" s="2400">
        <v>9000000000000</v>
      </c>
      <c r="M18" s="2400">
        <v>8000000000000</v>
      </c>
      <c r="N18" s="2401">
        <v>12000000000000</v>
      </c>
      <c r="O18" s="2401">
        <v>12000000000000</v>
      </c>
      <c r="P18" s="2401">
        <v>10000000000000</v>
      </c>
      <c r="Q18" s="2401">
        <v>11000000000000</v>
      </c>
      <c r="R18" s="2400">
        <v>11000000000000</v>
      </c>
      <c r="S18" s="2401">
        <v>12000000000000</v>
      </c>
      <c r="T18" s="2401">
        <v>9000000000000</v>
      </c>
      <c r="U18" s="2401">
        <v>5000000000000</v>
      </c>
      <c r="V18" s="2621">
        <v>5000000000000</v>
      </c>
      <c r="W18" s="2398"/>
      <c r="X18" s="2398"/>
      <c r="Y18" s="2347"/>
      <c r="Z18" s="2347"/>
      <c r="AA18" s="2347"/>
      <c r="AB18" s="2347"/>
      <c r="AC18" s="2347"/>
      <c r="AD18" s="2347"/>
      <c r="AE18" s="2347"/>
    </row>
    <row r="19" spans="1:31">
      <c r="A19" s="1602" t="s">
        <v>6873</v>
      </c>
      <c r="B19" s="1602" t="s">
        <v>6874</v>
      </c>
      <c r="C19" s="1612" t="s">
        <v>41</v>
      </c>
      <c r="D19" s="1605"/>
      <c r="E19" s="1605"/>
      <c r="F19" s="1605"/>
      <c r="G19" s="1605"/>
      <c r="H19" s="1605"/>
      <c r="I19" s="1891">
        <v>32799999999999.996</v>
      </c>
      <c r="J19" s="1891">
        <v>35200000000000</v>
      </c>
      <c r="K19" s="1891">
        <v>45800000000000</v>
      </c>
      <c r="L19" s="2396">
        <v>57000000000000</v>
      </c>
      <c r="M19" s="2396">
        <v>82000000000000</v>
      </c>
      <c r="N19" s="2078">
        <v>93000000000000</v>
      </c>
      <c r="O19" s="2078">
        <v>100000000000000</v>
      </c>
      <c r="P19" s="2078">
        <v>106000000000000</v>
      </c>
      <c r="Q19" s="2078">
        <v>131000000000000</v>
      </c>
      <c r="R19" s="2396">
        <v>147000000000000</v>
      </c>
      <c r="S19" s="2078">
        <v>228000000000000</v>
      </c>
      <c r="T19" s="2078">
        <v>253000000000000</v>
      </c>
      <c r="U19" s="2078">
        <v>236000000000000</v>
      </c>
      <c r="V19" s="1615">
        <v>240000000000000</v>
      </c>
      <c r="W19" s="1605"/>
      <c r="X19" s="1605"/>
    </row>
    <row r="20" spans="1:31" s="15" customFormat="1" ht="21.75" customHeight="1">
      <c r="A20" s="2347" t="s">
        <v>198</v>
      </c>
      <c r="B20" s="2347" t="s">
        <v>535</v>
      </c>
      <c r="C20" s="2346" t="s">
        <v>35</v>
      </c>
      <c r="D20" s="2398"/>
      <c r="E20" s="2398"/>
      <c r="F20" s="2398"/>
      <c r="G20" s="2398"/>
      <c r="H20" s="2398"/>
      <c r="I20" s="2399">
        <f>I21+I26+I30</f>
        <v>249300000000000</v>
      </c>
      <c r="J20" s="2399">
        <f t="shared" ref="J20:O20" si="6">J21+J26+J30</f>
        <v>277400000000000</v>
      </c>
      <c r="K20" s="2399">
        <f t="shared" si="6"/>
        <v>358900000000000</v>
      </c>
      <c r="L20" s="2399">
        <f t="shared" si="6"/>
        <v>438000000000000</v>
      </c>
      <c r="M20" s="2399">
        <f t="shared" si="6"/>
        <v>572000000000000</v>
      </c>
      <c r="N20" s="2399">
        <f t="shared" si="6"/>
        <v>648000000000000</v>
      </c>
      <c r="O20" s="2399">
        <f t="shared" si="6"/>
        <v>749000000000000</v>
      </c>
      <c r="P20" s="2399">
        <v>956000000000000</v>
      </c>
      <c r="Q20" s="2399">
        <f>Q21+Q26</f>
        <v>1040000000000000</v>
      </c>
      <c r="R20" s="2399">
        <f t="shared" ref="R20:V20" si="7">R21+R26</f>
        <v>1056000000000000</v>
      </c>
      <c r="S20" s="2399">
        <f t="shared" si="7"/>
        <v>1143000000000000</v>
      </c>
      <c r="T20" s="2399">
        <f t="shared" si="7"/>
        <v>1199000000000000</v>
      </c>
      <c r="U20" s="2399">
        <f t="shared" si="7"/>
        <v>1307000000000000</v>
      </c>
      <c r="V20" s="2399">
        <f t="shared" si="7"/>
        <v>1427000000000000</v>
      </c>
      <c r="W20" s="2398"/>
      <c r="X20" s="2398"/>
      <c r="Y20" s="2347"/>
      <c r="Z20" s="2347"/>
      <c r="AA20" s="2347"/>
      <c r="AB20" s="2347"/>
      <c r="AC20" s="2347"/>
      <c r="AD20" s="2347"/>
      <c r="AE20" s="2347"/>
    </row>
    <row r="21" spans="1:31">
      <c r="A21" s="1602" t="s">
        <v>1181</v>
      </c>
      <c r="B21" s="1602" t="s">
        <v>6875</v>
      </c>
      <c r="C21" s="1612" t="s">
        <v>201</v>
      </c>
      <c r="D21" s="1605"/>
      <c r="E21" s="1605"/>
      <c r="F21" s="1605"/>
      <c r="G21" s="1605"/>
      <c r="H21" s="1605"/>
      <c r="I21" s="1891">
        <v>149900000000000</v>
      </c>
      <c r="J21" s="1891">
        <v>180100000000000</v>
      </c>
      <c r="K21" s="1891">
        <v>229300000000000</v>
      </c>
      <c r="L21" s="2396">
        <v>302000000000000</v>
      </c>
      <c r="M21" s="2396">
        <v>349000000000000</v>
      </c>
      <c r="N21" s="2078">
        <v>414000000000000</v>
      </c>
      <c r="O21" s="2078">
        <v>511000000000000</v>
      </c>
      <c r="P21" s="2078">
        <v>662000000000000</v>
      </c>
      <c r="Q21" s="2078">
        <v>719000000000000</v>
      </c>
      <c r="R21" s="2078">
        <v>737000000000000</v>
      </c>
      <c r="S21" s="2078">
        <v>827000000000000</v>
      </c>
      <c r="T21" s="2078">
        <v>861000000000000</v>
      </c>
      <c r="U21" s="2078">
        <v>938000000000000</v>
      </c>
      <c r="V21" s="2078">
        <v>1022000000000000</v>
      </c>
      <c r="W21" s="1605"/>
      <c r="X21" s="1605"/>
    </row>
    <row r="22" spans="1:31">
      <c r="A22" s="1602" t="s">
        <v>6876</v>
      </c>
      <c r="B22" s="1602" t="s">
        <v>6876</v>
      </c>
      <c r="C22" s="1612" t="s">
        <v>204</v>
      </c>
      <c r="D22" s="1605"/>
      <c r="E22" s="1605"/>
      <c r="F22" s="1605"/>
      <c r="G22" s="1605"/>
      <c r="H22" s="1605"/>
      <c r="I22" s="2078"/>
      <c r="J22" s="2078"/>
      <c r="K22" s="2078"/>
      <c r="L22" s="2396">
        <v>17000000000000</v>
      </c>
      <c r="M22" s="2396">
        <v>20000000000000</v>
      </c>
      <c r="N22" s="2078">
        <v>25000000000000</v>
      </c>
      <c r="O22" s="2078">
        <v>30000000000000</v>
      </c>
      <c r="P22" s="2078">
        <v>40000000000000</v>
      </c>
      <c r="Q22" s="2078">
        <v>54000000000000</v>
      </c>
      <c r="R22" s="2078">
        <v>67000000000000</v>
      </c>
      <c r="S22" s="2078">
        <v>83000000000000</v>
      </c>
      <c r="T22" s="2078">
        <v>87000000000000</v>
      </c>
      <c r="U22" s="2078">
        <v>99000000000000</v>
      </c>
      <c r="V22" s="2078">
        <v>110000000000000</v>
      </c>
      <c r="W22" s="1605"/>
      <c r="X22" s="1605"/>
    </row>
    <row r="23" spans="1:31">
      <c r="A23" s="1602" t="s">
        <v>6877</v>
      </c>
      <c r="B23" s="1602" t="s">
        <v>6878</v>
      </c>
      <c r="C23" s="1612" t="s">
        <v>204</v>
      </c>
      <c r="D23" s="1605"/>
      <c r="E23" s="1605"/>
      <c r="F23" s="1605"/>
      <c r="G23" s="1605"/>
      <c r="H23" s="1605"/>
      <c r="I23" s="2078"/>
      <c r="J23" s="2078"/>
      <c r="K23" s="2078"/>
      <c r="L23" s="2396">
        <v>285000000000000</v>
      </c>
      <c r="M23" s="2396">
        <v>328000000000000</v>
      </c>
      <c r="N23" s="2078">
        <v>389000000000000</v>
      </c>
      <c r="O23" s="2078">
        <v>481000000000000</v>
      </c>
      <c r="P23" s="2078">
        <v>622000000000000</v>
      </c>
      <c r="Q23" s="2078">
        <f>Q21-Q22</f>
        <v>665000000000000</v>
      </c>
      <c r="R23" s="2078">
        <f t="shared" ref="R23:V23" si="8">R21-R22</f>
        <v>670000000000000</v>
      </c>
      <c r="S23" s="2078">
        <f t="shared" si="8"/>
        <v>744000000000000</v>
      </c>
      <c r="T23" s="2078">
        <f t="shared" si="8"/>
        <v>774000000000000</v>
      </c>
      <c r="U23" s="2078">
        <f t="shared" si="8"/>
        <v>839000000000000</v>
      </c>
      <c r="V23" s="2078">
        <f t="shared" si="8"/>
        <v>912000000000000</v>
      </c>
      <c r="W23" s="1605"/>
      <c r="X23" s="1605"/>
    </row>
    <row r="24" spans="1:31">
      <c r="A24" s="1602" t="s">
        <v>536</v>
      </c>
      <c r="B24" s="1602" t="s">
        <v>536</v>
      </c>
      <c r="C24" s="1612" t="s">
        <v>3504</v>
      </c>
      <c r="D24" s="1605"/>
      <c r="E24" s="1605"/>
      <c r="F24" s="1605"/>
      <c r="G24" s="1605"/>
      <c r="H24" s="1605"/>
      <c r="I24" s="2078"/>
      <c r="J24" s="2078"/>
      <c r="K24" s="2078"/>
      <c r="L24" s="2396"/>
      <c r="M24" s="2396"/>
      <c r="N24" s="2078"/>
      <c r="O24" s="2078"/>
      <c r="P24" s="2078"/>
      <c r="Q24" s="2078"/>
      <c r="R24" s="2078"/>
      <c r="S24" s="2078"/>
      <c r="T24" s="2078"/>
      <c r="U24" s="2078">
        <v>469000000000000</v>
      </c>
      <c r="V24" s="2078">
        <v>511000000000000</v>
      </c>
      <c r="W24" s="1605"/>
      <c r="X24" s="1605"/>
    </row>
    <row r="25" spans="1:31">
      <c r="A25" s="1602" t="s">
        <v>50</v>
      </c>
      <c r="B25" s="1602" t="s">
        <v>50</v>
      </c>
      <c r="C25" s="1612" t="s">
        <v>3504</v>
      </c>
      <c r="D25" s="1605"/>
      <c r="E25" s="1605"/>
      <c r="F25" s="1605"/>
      <c r="G25" s="1605"/>
      <c r="H25" s="1605"/>
      <c r="I25" s="2078"/>
      <c r="J25" s="2078"/>
      <c r="K25" s="2078"/>
      <c r="L25" s="2396"/>
      <c r="M25" s="2396"/>
      <c r="N25" s="2078"/>
      <c r="O25" s="2078"/>
      <c r="P25" s="2078"/>
      <c r="Q25" s="2078"/>
      <c r="R25" s="2078"/>
      <c r="S25" s="2078"/>
      <c r="T25" s="2078"/>
      <c r="U25" s="2078">
        <f>U23-U24</f>
        <v>370000000000000</v>
      </c>
      <c r="V25" s="2078">
        <f>V23-V24</f>
        <v>401000000000000</v>
      </c>
      <c r="W25" s="1605"/>
      <c r="X25" s="1605"/>
    </row>
    <row r="26" spans="1:31">
      <c r="A26" s="1602" t="s">
        <v>237</v>
      </c>
      <c r="B26" s="1602" t="s">
        <v>6879</v>
      </c>
      <c r="C26" s="1612" t="s">
        <v>201</v>
      </c>
      <c r="D26" s="1605"/>
      <c r="E26" s="1605"/>
      <c r="F26" s="1605"/>
      <c r="G26" s="1605"/>
      <c r="H26" s="1605"/>
      <c r="I26" s="1891">
        <v>79200000000000</v>
      </c>
      <c r="J26" s="1891">
        <v>88300000000000</v>
      </c>
      <c r="K26" s="1891">
        <v>112200000000000</v>
      </c>
      <c r="L26" s="2396">
        <v>136000000000000</v>
      </c>
      <c r="M26" s="2396">
        <v>223000000000000</v>
      </c>
      <c r="N26" s="2078">
        <v>234000000000000</v>
      </c>
      <c r="O26" s="2078">
        <v>238000000000000</v>
      </c>
      <c r="P26" s="2078">
        <v>294000000000000</v>
      </c>
      <c r="Q26" s="2078">
        <v>321000000000000</v>
      </c>
      <c r="R26" s="2078">
        <v>319000000000000</v>
      </c>
      <c r="S26" s="2078">
        <v>316000000000000</v>
      </c>
      <c r="T26" s="2078">
        <v>338000000000000</v>
      </c>
      <c r="U26" s="2078">
        <v>369000000000000</v>
      </c>
      <c r="V26" s="2078">
        <v>405000000000000</v>
      </c>
      <c r="W26" s="1605"/>
      <c r="X26" s="1605"/>
    </row>
    <row r="27" spans="1:31">
      <c r="A27" t="s">
        <v>7083</v>
      </c>
      <c r="B27" s="1602" t="s">
        <v>5567</v>
      </c>
      <c r="C27" s="1611"/>
      <c r="D27" s="1605"/>
      <c r="E27" s="1605"/>
      <c r="F27" s="1605"/>
      <c r="G27" s="1605"/>
      <c r="H27" s="1605"/>
      <c r="I27" s="2078"/>
      <c r="J27" s="2078"/>
      <c r="K27" s="2078"/>
      <c r="L27" s="2396">
        <v>-8000000000000</v>
      </c>
      <c r="M27" s="2396">
        <v>-109000000000000</v>
      </c>
      <c r="N27" s="2078">
        <v>-59000000000000</v>
      </c>
      <c r="O27" s="2078">
        <v>-29000000000000</v>
      </c>
      <c r="P27" s="2078">
        <v>-223000000000000</v>
      </c>
      <c r="Q27" s="2078"/>
      <c r="R27" s="2078"/>
      <c r="S27" s="2078"/>
      <c r="T27" s="2078"/>
      <c r="U27" s="2078"/>
      <c r="V27" s="2078"/>
      <c r="W27" s="1605"/>
      <c r="X27" s="1605"/>
    </row>
    <row r="28" spans="1:31">
      <c r="A28" t="s">
        <v>7084</v>
      </c>
      <c r="B28" s="1612" t="s">
        <v>6880</v>
      </c>
      <c r="C28" s="1611"/>
      <c r="D28" s="1605"/>
      <c r="E28" s="1605"/>
      <c r="F28" s="1605"/>
      <c r="G28" s="1605"/>
      <c r="H28" s="1605"/>
      <c r="I28" s="1891">
        <v>-800000000000</v>
      </c>
      <c r="J28" s="1891">
        <v>11100000000000</v>
      </c>
      <c r="K28" s="1891">
        <v>-25500000000000</v>
      </c>
      <c r="L28" s="2396"/>
      <c r="M28" s="2396"/>
      <c r="N28" s="2078"/>
      <c r="O28" s="2078"/>
      <c r="P28" s="2078"/>
      <c r="Q28" s="2078"/>
      <c r="R28" s="2078"/>
      <c r="S28" s="2078"/>
      <c r="T28" s="2078"/>
      <c r="U28" s="2078"/>
      <c r="V28" s="2078"/>
      <c r="W28" s="1605"/>
      <c r="X28" s="1605"/>
    </row>
    <row r="29" spans="1:31">
      <c r="A29" t="s">
        <v>7085</v>
      </c>
      <c r="B29" s="1612" t="s">
        <v>6881</v>
      </c>
      <c r="C29" s="1611"/>
      <c r="D29" s="1605"/>
      <c r="E29" s="1605"/>
      <c r="F29" s="1605"/>
      <c r="G29" s="1605"/>
      <c r="H29" s="1605"/>
      <c r="I29" s="1891">
        <v>37100000000000</v>
      </c>
      <c r="J29" s="1891">
        <v>21800000000000</v>
      </c>
      <c r="K29" s="1891">
        <v>35400000000000</v>
      </c>
      <c r="L29" s="2396"/>
      <c r="M29" s="2396"/>
      <c r="N29" s="2078"/>
      <c r="O29" s="2078"/>
      <c r="P29" s="2078"/>
      <c r="Q29" s="2078"/>
      <c r="R29" s="2078"/>
      <c r="S29" s="2078"/>
      <c r="T29" s="2078"/>
      <c r="U29" s="2078"/>
      <c r="V29" s="2078"/>
      <c r="W29" s="1605"/>
      <c r="X29" s="1605"/>
    </row>
    <row r="30" spans="1:31">
      <c r="A30" s="1612" t="s">
        <v>4987</v>
      </c>
      <c r="B30" s="1612" t="s">
        <v>4987</v>
      </c>
      <c r="C30" s="1612" t="s">
        <v>201</v>
      </c>
      <c r="D30" s="1605"/>
      <c r="E30" s="1605"/>
      <c r="F30" s="1605"/>
      <c r="G30" s="1605"/>
      <c r="H30" s="1605"/>
      <c r="I30" s="1891">
        <v>20200000000000</v>
      </c>
      <c r="J30" s="1891">
        <v>9000000000000</v>
      </c>
      <c r="K30" s="1891">
        <v>17399999999999.998</v>
      </c>
      <c r="L30" s="2396"/>
      <c r="M30" s="2396"/>
      <c r="N30" s="2078"/>
      <c r="O30" s="2078"/>
      <c r="P30" s="2078"/>
      <c r="Q30" s="2078"/>
      <c r="R30" s="2078"/>
      <c r="S30" s="2078"/>
      <c r="T30" s="2078"/>
      <c r="U30" s="2078"/>
      <c r="V30" s="2078"/>
      <c r="W30" s="1605"/>
      <c r="X30" s="1605"/>
    </row>
    <row r="31" spans="1:31">
      <c r="A31" t="s">
        <v>7086</v>
      </c>
      <c r="B31" s="1612" t="s">
        <v>6882</v>
      </c>
      <c r="C31" s="1611"/>
      <c r="D31" s="1605"/>
      <c r="E31" s="1605"/>
      <c r="F31" s="1605"/>
      <c r="G31" s="1605"/>
      <c r="H31" s="1605"/>
      <c r="I31" s="1891">
        <v>4700000000000</v>
      </c>
      <c r="J31" s="1891">
        <v>4700000000000</v>
      </c>
      <c r="K31" s="1891">
        <v>7300000000000</v>
      </c>
      <c r="L31" s="2396"/>
      <c r="M31" s="2396"/>
      <c r="N31" s="2078"/>
      <c r="O31" s="2078"/>
      <c r="P31" s="2078"/>
      <c r="Q31" s="2078"/>
      <c r="R31" s="2078"/>
      <c r="S31" s="2078"/>
      <c r="T31" s="2078"/>
      <c r="U31" s="2078"/>
      <c r="V31" s="2078"/>
      <c r="W31" s="1605"/>
      <c r="X31" s="1605"/>
    </row>
    <row r="32" spans="1:31">
      <c r="A32" t="s">
        <v>7087</v>
      </c>
      <c r="B32" s="1612" t="s">
        <v>6883</v>
      </c>
      <c r="C32" s="1611"/>
      <c r="D32" s="1605"/>
      <c r="E32" s="1605"/>
      <c r="F32" s="1605"/>
      <c r="G32" s="1605"/>
      <c r="H32" s="1605"/>
      <c r="I32" s="1891">
        <v>3700000000000</v>
      </c>
      <c r="J32" s="1891">
        <v>4300000000000</v>
      </c>
      <c r="K32" s="1891">
        <v>10000000000000</v>
      </c>
      <c r="L32" s="2396"/>
      <c r="M32" s="2396"/>
      <c r="N32" s="2078"/>
      <c r="O32" s="2078"/>
      <c r="P32" s="2078"/>
      <c r="Q32" s="2078"/>
      <c r="R32" s="2078"/>
      <c r="S32" s="2078"/>
      <c r="T32" s="2078"/>
      <c r="U32" s="2078"/>
      <c r="V32" s="1615"/>
      <c r="W32" s="1605"/>
      <c r="X32" s="1605"/>
    </row>
    <row r="33" spans="1:31">
      <c r="A33" t="s">
        <v>7085</v>
      </c>
      <c r="B33" s="1612" t="s">
        <v>6884</v>
      </c>
      <c r="C33" s="1611"/>
      <c r="D33" s="1605"/>
      <c r="E33" s="1605"/>
      <c r="F33" s="1605"/>
      <c r="G33" s="1605"/>
      <c r="H33" s="1605"/>
      <c r="I33" s="1891">
        <v>16899999999999.998</v>
      </c>
      <c r="J33" s="1891">
        <v>12800000000000</v>
      </c>
      <c r="K33" s="1891">
        <v>18000000000000</v>
      </c>
      <c r="L33" s="2396"/>
      <c r="M33" s="2396"/>
      <c r="N33" s="2078"/>
      <c r="O33" s="2078"/>
      <c r="P33" s="2078"/>
      <c r="Q33" s="2078"/>
      <c r="R33" s="2078"/>
      <c r="S33" s="2078"/>
      <c r="T33" s="2078"/>
      <c r="U33" s="2078"/>
      <c r="V33" s="1615"/>
      <c r="W33" s="1605"/>
      <c r="X33" s="1605"/>
    </row>
    <row r="34" spans="1:31">
      <c r="A34" t="s">
        <v>7088</v>
      </c>
      <c r="B34" s="1612" t="s">
        <v>6885</v>
      </c>
      <c r="C34" s="1611"/>
      <c r="D34" s="1605"/>
      <c r="E34" s="1605"/>
      <c r="F34" s="1605"/>
      <c r="G34" s="1605"/>
      <c r="H34" s="1605"/>
      <c r="I34" s="1891">
        <v>-37900000000000</v>
      </c>
      <c r="J34" s="1891">
        <v>-10800000000000</v>
      </c>
      <c r="K34" s="1891">
        <v>-60900000000000</v>
      </c>
      <c r="L34" s="2396"/>
      <c r="M34" s="2396"/>
      <c r="N34" s="2078"/>
      <c r="O34" s="2078"/>
      <c r="P34" s="2078"/>
      <c r="Q34" s="2078"/>
      <c r="R34" s="2078"/>
      <c r="S34" s="2078"/>
      <c r="T34" s="2078"/>
      <c r="U34" s="2078"/>
      <c r="V34" s="1615"/>
      <c r="W34" s="1605"/>
      <c r="X34" s="1605"/>
    </row>
    <row r="35" spans="1:31">
      <c r="A35" t="s">
        <v>7089</v>
      </c>
      <c r="B35" s="1612" t="s">
        <v>1560</v>
      </c>
      <c r="C35" s="1611"/>
      <c r="D35" s="1605"/>
      <c r="E35" s="1605"/>
      <c r="F35" s="1605"/>
      <c r="G35" s="1605"/>
      <c r="H35" s="1605"/>
      <c r="I35" s="1891">
        <v>-7300000000000</v>
      </c>
      <c r="J35" s="1891">
        <v>-1600000000000</v>
      </c>
      <c r="K35" s="1891">
        <v>27600000000000</v>
      </c>
      <c r="L35" s="2396"/>
      <c r="M35" s="2396"/>
      <c r="N35" s="2078"/>
      <c r="O35" s="2078"/>
      <c r="P35" s="2078"/>
      <c r="Q35" s="2078"/>
      <c r="R35" s="2078"/>
      <c r="S35" s="2078"/>
      <c r="T35" s="2078"/>
      <c r="U35" s="2078"/>
      <c r="V35" s="1615"/>
      <c r="W35" s="1605"/>
      <c r="X35" s="1605"/>
    </row>
    <row r="36" spans="1:31" s="15" customFormat="1">
      <c r="A36" s="2347" t="s">
        <v>115</v>
      </c>
      <c r="B36" s="2347" t="s">
        <v>115</v>
      </c>
      <c r="C36" s="2346" t="s">
        <v>35</v>
      </c>
      <c r="D36" s="2398"/>
      <c r="E36" s="2398"/>
      <c r="F36" s="2398"/>
      <c r="G36" s="2398"/>
      <c r="H36" s="2398"/>
      <c r="I36" s="2399">
        <v>45200000000000</v>
      </c>
      <c r="J36" s="2399">
        <v>12400000000000</v>
      </c>
      <c r="K36" s="2399">
        <v>33300000000000</v>
      </c>
      <c r="L36" s="2399">
        <v>37000000000000</v>
      </c>
      <c r="M36" s="2399">
        <f>M37+M38</f>
        <v>109000000000000</v>
      </c>
      <c r="N36" s="2399">
        <f t="shared" ref="N36:V36" si="9">N37+N38</f>
        <v>61000000000000</v>
      </c>
      <c r="O36" s="2399">
        <f t="shared" si="9"/>
        <v>29000000000000</v>
      </c>
      <c r="P36" s="2399">
        <f t="shared" si="9"/>
        <v>222000000000000</v>
      </c>
      <c r="Q36" s="2399">
        <f t="shared" si="9"/>
        <v>267000000000000</v>
      </c>
      <c r="R36" s="2399">
        <f t="shared" si="9"/>
        <v>248000000000000</v>
      </c>
      <c r="S36" s="2399">
        <f t="shared" si="9"/>
        <v>231000000000000</v>
      </c>
      <c r="T36" s="2399">
        <f t="shared" si="9"/>
        <v>217000000000000</v>
      </c>
      <c r="U36" s="2399">
        <f t="shared" si="9"/>
        <v>227000000000000</v>
      </c>
      <c r="V36" s="2399">
        <f t="shared" si="9"/>
        <v>241000000000000</v>
      </c>
      <c r="W36" s="2347"/>
      <c r="X36" s="2347"/>
      <c r="Y36" s="2347"/>
      <c r="Z36" s="2347"/>
      <c r="AA36" s="2347"/>
      <c r="AB36" s="2347"/>
      <c r="AC36" s="2347"/>
      <c r="AD36" s="2347"/>
      <c r="AE36" s="2347"/>
    </row>
    <row r="37" spans="1:31">
      <c r="A37" s="1616" t="s">
        <v>120</v>
      </c>
      <c r="B37" s="1602" t="s">
        <v>2707</v>
      </c>
      <c r="C37" s="1612" t="s">
        <v>252</v>
      </c>
      <c r="D37" s="1605"/>
      <c r="E37" s="1605"/>
      <c r="F37" s="1605"/>
      <c r="G37" s="1605"/>
      <c r="H37" s="1605"/>
      <c r="I37" s="1891">
        <v>24000000000000</v>
      </c>
      <c r="J37" s="1891">
        <v>-1200000000000</v>
      </c>
      <c r="K37" s="1891">
        <v>18500000000000</v>
      </c>
      <c r="L37" s="1891">
        <v>26000000000000</v>
      </c>
      <c r="M37" s="2622">
        <f>M41+M42+M46</f>
        <v>16000000000000</v>
      </c>
      <c r="N37" s="2622">
        <f t="shared" ref="N37:S37" si="10">N41+N42+N46</f>
        <v>-28000000000000</v>
      </c>
      <c r="O37" s="2622">
        <f t="shared" si="10"/>
        <v>-27000000000000</v>
      </c>
      <c r="P37" s="2622">
        <f t="shared" si="10"/>
        <v>176000000000000</v>
      </c>
      <c r="Q37" s="2622">
        <f t="shared" si="10"/>
        <v>189000000000000</v>
      </c>
      <c r="R37" s="2622">
        <f t="shared" si="10"/>
        <v>151000000000000</v>
      </c>
      <c r="S37" s="2622">
        <f t="shared" si="10"/>
        <v>164000000000000</v>
      </c>
      <c r="T37" s="2622">
        <v>164000000000000</v>
      </c>
      <c r="U37" s="2622">
        <v>177000000000000</v>
      </c>
      <c r="V37" s="2622">
        <v>164000000000000</v>
      </c>
      <c r="W37" s="1605"/>
      <c r="X37" s="1605"/>
    </row>
    <row r="38" spans="1:31">
      <c r="A38" s="1612" t="s">
        <v>117</v>
      </c>
      <c r="B38" s="1602" t="s">
        <v>6886</v>
      </c>
      <c r="C38" s="1612" t="s">
        <v>252</v>
      </c>
      <c r="D38" s="1605"/>
      <c r="E38" s="1605"/>
      <c r="F38" s="1605"/>
      <c r="G38" s="1605"/>
      <c r="H38" s="1605"/>
      <c r="I38" s="1891">
        <v>21300000000000</v>
      </c>
      <c r="J38" s="1891">
        <v>13600000000000</v>
      </c>
      <c r="K38" s="1891">
        <v>14800000000000</v>
      </c>
      <c r="L38" s="1891">
        <v>11000000000000</v>
      </c>
      <c r="M38" s="2622">
        <f>M43</f>
        <v>93000000000000</v>
      </c>
      <c r="N38" s="2622">
        <f t="shared" ref="N38:O38" si="11">N43</f>
        <v>89000000000000</v>
      </c>
      <c r="O38" s="2622">
        <f t="shared" si="11"/>
        <v>56000000000000</v>
      </c>
      <c r="P38" s="2622">
        <f t="shared" ref="P38" si="12">P43</f>
        <v>46000000000000</v>
      </c>
      <c r="Q38" s="2622">
        <f>Q44+Q45</f>
        <v>78000000000000</v>
      </c>
      <c r="R38" s="2622">
        <f t="shared" ref="R38:V38" si="13">R44+R45</f>
        <v>97000000000000</v>
      </c>
      <c r="S38" s="2622">
        <f t="shared" si="13"/>
        <v>67000000000000</v>
      </c>
      <c r="T38" s="2622">
        <f t="shared" si="13"/>
        <v>53000000000000</v>
      </c>
      <c r="U38" s="2622">
        <f t="shared" si="13"/>
        <v>50000000000000</v>
      </c>
      <c r="V38" s="2622">
        <f t="shared" si="13"/>
        <v>77000000000000</v>
      </c>
      <c r="W38" s="1605"/>
      <c r="X38" s="1605"/>
    </row>
    <row r="39" spans="1:31">
      <c r="A39" t="s">
        <v>7090</v>
      </c>
      <c r="B39" s="1602" t="s">
        <v>6887</v>
      </c>
      <c r="C39" s="1611"/>
      <c r="D39" s="1605"/>
      <c r="E39" s="1605"/>
      <c r="F39" s="1605"/>
      <c r="G39" s="1605"/>
      <c r="H39" s="1605"/>
      <c r="I39" s="2078"/>
      <c r="J39" s="2078"/>
      <c r="K39" s="2078"/>
      <c r="L39" s="2396">
        <v>61000000000000</v>
      </c>
      <c r="M39" s="2396">
        <v>125000000000000</v>
      </c>
      <c r="N39" s="2078">
        <v>169000000000000</v>
      </c>
      <c r="O39" s="2078">
        <v>112000000000000</v>
      </c>
      <c r="P39" s="2078">
        <v>222000000000000</v>
      </c>
      <c r="Q39" s="2078"/>
      <c r="R39" s="2396"/>
      <c r="S39" s="2078"/>
      <c r="T39" s="2078"/>
      <c r="U39" s="2078"/>
      <c r="V39" s="1615"/>
      <c r="W39" s="1605"/>
      <c r="X39" s="1605"/>
    </row>
    <row r="40" spans="1:31">
      <c r="A40"/>
      <c r="B40" s="1602" t="s">
        <v>209</v>
      </c>
      <c r="C40" s="1605"/>
      <c r="D40" s="1605"/>
      <c r="E40" s="1605"/>
      <c r="F40" s="1605"/>
      <c r="G40" s="1605"/>
      <c r="H40" s="2078"/>
      <c r="I40" s="2078"/>
      <c r="J40" s="2078"/>
      <c r="K40" s="2078"/>
      <c r="M40" s="2396">
        <v>32000000000000</v>
      </c>
      <c r="N40" s="2078">
        <v>80000000000000</v>
      </c>
      <c r="O40" s="2078">
        <v>55000000000000</v>
      </c>
      <c r="P40" s="2078">
        <v>176000000000000</v>
      </c>
      <c r="Q40" s="2078">
        <v>186000000000000</v>
      </c>
      <c r="R40" s="2078">
        <v>225000000000000</v>
      </c>
      <c r="S40" s="2078">
        <v>152000000000000</v>
      </c>
      <c r="T40" s="2078"/>
      <c r="U40" s="2078"/>
      <c r="V40" s="2078"/>
      <c r="W40" s="1605"/>
    </row>
    <row r="41" spans="1:31">
      <c r="A41" s="1602" t="s">
        <v>6888</v>
      </c>
      <c r="B41" s="1602" t="s">
        <v>6888</v>
      </c>
      <c r="C41" s="1605" t="s">
        <v>1033</v>
      </c>
      <c r="D41" s="1605"/>
      <c r="E41" s="1605"/>
      <c r="F41" s="1605"/>
      <c r="G41" s="1605"/>
      <c r="H41" s="2078"/>
      <c r="I41" s="2078"/>
      <c r="J41" s="2078"/>
      <c r="K41" s="2078"/>
      <c r="M41" s="2396">
        <v>-2000000000000</v>
      </c>
      <c r="N41" s="2078">
        <v>60000000000000</v>
      </c>
      <c r="O41" s="2078">
        <v>33000000000000</v>
      </c>
      <c r="P41" s="2078">
        <v>115000000000000</v>
      </c>
      <c r="Q41" s="2078">
        <v>132000000000000</v>
      </c>
      <c r="R41" s="2078">
        <v>137000000000000</v>
      </c>
      <c r="S41" s="2078">
        <v>105000000000000</v>
      </c>
      <c r="T41" s="2078"/>
      <c r="U41" s="2078"/>
      <c r="V41" s="2078"/>
      <c r="W41" s="1605"/>
    </row>
    <row r="42" spans="1:31">
      <c r="A42" s="1602" t="s">
        <v>5342</v>
      </c>
      <c r="B42" s="1602" t="s">
        <v>5342</v>
      </c>
      <c r="C42" s="1605" t="s">
        <v>1033</v>
      </c>
      <c r="D42" s="1605"/>
      <c r="E42" s="1605"/>
      <c r="F42" s="1605"/>
      <c r="G42" s="1605"/>
      <c r="H42" s="2078"/>
      <c r="I42" s="2078"/>
      <c r="J42" s="2078"/>
      <c r="K42" s="2078"/>
      <c r="M42" s="2396">
        <v>34000000000000</v>
      </c>
      <c r="N42" s="2078">
        <v>21000000000000</v>
      </c>
      <c r="O42" s="2078">
        <v>22000000000000</v>
      </c>
      <c r="P42" s="2078">
        <v>61000000000000</v>
      </c>
      <c r="Q42" s="2078">
        <f>Q40-Q41</f>
        <v>54000000000000</v>
      </c>
      <c r="R42" s="2078">
        <f t="shared" ref="R42:S42" si="14">R40-R41</f>
        <v>88000000000000</v>
      </c>
      <c r="S42" s="2078">
        <f t="shared" si="14"/>
        <v>47000000000000</v>
      </c>
      <c r="T42" s="2078"/>
      <c r="U42" s="2078"/>
      <c r="V42" s="2078"/>
      <c r="W42" s="1605"/>
    </row>
    <row r="43" spans="1:31">
      <c r="A43"/>
      <c r="B43" s="1602" t="s">
        <v>212</v>
      </c>
      <c r="C43" s="1605"/>
      <c r="D43" s="1605"/>
      <c r="E43" s="1605"/>
      <c r="F43" s="1605"/>
      <c r="G43" s="1605"/>
      <c r="H43" s="2078"/>
      <c r="I43" s="2078"/>
      <c r="J43" s="2078"/>
      <c r="K43" s="2078"/>
      <c r="M43" s="2396">
        <v>93000000000000</v>
      </c>
      <c r="N43" s="2078">
        <v>89000000000000</v>
      </c>
      <c r="O43" s="2078">
        <v>56000000000000</v>
      </c>
      <c r="P43" s="2078">
        <v>46000000000000</v>
      </c>
      <c r="Q43" s="2078"/>
      <c r="R43" s="2078"/>
      <c r="S43" s="2078"/>
      <c r="T43" s="2078"/>
      <c r="U43" s="2078"/>
      <c r="V43" s="2078"/>
      <c r="W43" s="1605"/>
    </row>
    <row r="44" spans="1:31">
      <c r="A44" s="1602" t="s">
        <v>498</v>
      </c>
      <c r="B44" s="1602" t="s">
        <v>498</v>
      </c>
      <c r="C44" s="1580" t="s">
        <v>264</v>
      </c>
      <c r="D44" s="1605"/>
      <c r="E44" s="1605"/>
      <c r="F44" s="1605"/>
      <c r="G44" s="1605"/>
      <c r="H44" s="2078"/>
      <c r="I44" s="2078"/>
      <c r="J44" s="2078"/>
      <c r="K44" s="2078"/>
      <c r="M44" s="2396">
        <v>103000000000000</v>
      </c>
      <c r="N44" s="2078">
        <v>99000000000000</v>
      </c>
      <c r="O44" s="2078">
        <v>80000000000000</v>
      </c>
      <c r="P44" s="2078">
        <v>75000000000000</v>
      </c>
      <c r="Q44" s="2078">
        <v>105000000000000</v>
      </c>
      <c r="R44" s="2078">
        <v>136000000000000</v>
      </c>
      <c r="S44" s="2078">
        <v>89000000000000</v>
      </c>
      <c r="T44" s="2078">
        <v>86000000000000</v>
      </c>
      <c r="U44" s="2078">
        <v>79000000000000</v>
      </c>
      <c r="V44" s="2078">
        <v>108000000000000</v>
      </c>
      <c r="W44" s="1605"/>
    </row>
    <row r="45" spans="1:31">
      <c r="A45" s="1602" t="s">
        <v>258</v>
      </c>
      <c r="B45" s="1602" t="s">
        <v>258</v>
      </c>
      <c r="C45" s="1580" t="s">
        <v>264</v>
      </c>
      <c r="D45" s="1605"/>
      <c r="E45" s="1605"/>
      <c r="F45" s="1605"/>
      <c r="G45" s="1605"/>
      <c r="H45" s="2078"/>
      <c r="I45" s="2078"/>
      <c r="J45" s="2078"/>
      <c r="K45" s="2078"/>
      <c r="M45" s="2396">
        <v>-10000000000000</v>
      </c>
      <c r="N45" s="2078">
        <v>-10000000000000</v>
      </c>
      <c r="O45" s="2078">
        <v>-24000000000000</v>
      </c>
      <c r="P45" s="2078">
        <v>-28000000000000</v>
      </c>
      <c r="Q45" s="2078">
        <v>-27000000000000</v>
      </c>
      <c r="R45" s="2078">
        <v>-39000000000000</v>
      </c>
      <c r="S45" s="2078">
        <v>-22000000000000</v>
      </c>
      <c r="T45" s="2078">
        <v>-33000000000000</v>
      </c>
      <c r="U45" s="2078">
        <v>-29000000000000</v>
      </c>
      <c r="V45" s="2078">
        <v>-31000000000000</v>
      </c>
      <c r="W45" s="1605"/>
    </row>
    <row r="46" spans="1:31">
      <c r="A46" s="1602" t="s">
        <v>688</v>
      </c>
      <c r="B46" s="1602" t="s">
        <v>688</v>
      </c>
      <c r="C46" s="1605" t="s">
        <v>1033</v>
      </c>
      <c r="D46" s="1605"/>
      <c r="E46" s="1605"/>
      <c r="F46" s="1605"/>
      <c r="G46" s="1605"/>
      <c r="H46" s="2078"/>
      <c r="I46" s="2078"/>
      <c r="J46" s="2078"/>
      <c r="K46" s="2396">
        <v>-28000000000000</v>
      </c>
      <c r="M46" s="2396">
        <v>-16000000000000</v>
      </c>
      <c r="N46" s="2078">
        <v>-109000000000000</v>
      </c>
      <c r="O46" s="2078">
        <v>-82000000000000</v>
      </c>
      <c r="P46" s="2078">
        <v>0</v>
      </c>
      <c r="Q46" s="2078">
        <v>3000000000000</v>
      </c>
      <c r="R46" s="2078">
        <v>-74000000000000</v>
      </c>
      <c r="S46" s="2078">
        <v>12000000000000</v>
      </c>
      <c r="T46" s="2078"/>
      <c r="U46" s="2078"/>
      <c r="V46" s="2078"/>
      <c r="W46" s="1605"/>
    </row>
    <row r="47" spans="1:31">
      <c r="A47"/>
      <c r="B47" s="1602" t="s">
        <v>1355</v>
      </c>
      <c r="C47" s="1605"/>
      <c r="D47" s="1605"/>
      <c r="E47" s="1605"/>
      <c r="F47" s="1605"/>
      <c r="G47" s="1605"/>
      <c r="H47" s="2078"/>
      <c r="I47" s="2078"/>
      <c r="J47" s="2078"/>
      <c r="K47" s="2396">
        <v>-11000000000000</v>
      </c>
      <c r="L47" s="2078"/>
      <c r="M47" s="2078"/>
      <c r="N47" s="2078"/>
      <c r="O47" s="2078"/>
      <c r="P47" s="2078"/>
      <c r="Q47" s="2078"/>
      <c r="R47" s="2078"/>
      <c r="S47" s="1605"/>
      <c r="T47" s="1605"/>
      <c r="U47" s="1605"/>
      <c r="V47" s="1633"/>
      <c r="W47" s="1605"/>
    </row>
    <row r="48" spans="1:31">
      <c r="C48" s="1605"/>
      <c r="D48" s="1605"/>
      <c r="E48" s="1605"/>
      <c r="F48" s="1605"/>
      <c r="G48" s="1605"/>
      <c r="H48" s="2078"/>
      <c r="I48" s="2078"/>
      <c r="J48" s="2078"/>
      <c r="K48" s="2078"/>
      <c r="L48" s="2078"/>
      <c r="M48" s="2078"/>
      <c r="N48" s="2078"/>
      <c r="O48" s="2078"/>
      <c r="P48" s="2078"/>
      <c r="Q48" s="2078"/>
      <c r="R48" s="2078"/>
      <c r="S48" s="1605"/>
      <c r="T48" s="1605"/>
      <c r="U48" s="1605"/>
      <c r="V48" s="1633"/>
      <c r="W48" s="1605"/>
    </row>
    <row r="49" spans="2:24">
      <c r="C49" s="1611"/>
      <c r="D49" s="1605"/>
      <c r="E49" s="1605"/>
      <c r="F49" s="1605"/>
      <c r="G49" s="1605"/>
      <c r="H49" s="1605"/>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5"/>
      <c r="X49" s="1605"/>
    </row>
    <row r="50" spans="2:24">
      <c r="C50" s="1611"/>
      <c r="D50" s="1605"/>
      <c r="E50" s="1605"/>
      <c r="F50" s="1605"/>
      <c r="G50" s="1605"/>
      <c r="H50" s="1605"/>
      <c r="I50" s="1605"/>
      <c r="J50" s="1605"/>
      <c r="K50" s="1605"/>
      <c r="L50" s="1605"/>
      <c r="M50" s="1605"/>
      <c r="N50" s="1605"/>
      <c r="O50" s="1605"/>
      <c r="P50" s="1605"/>
      <c r="Q50" s="1605"/>
      <c r="R50" s="1605"/>
      <c r="S50" s="1605"/>
      <c r="T50" s="1605"/>
      <c r="U50" s="1605"/>
      <c r="V50" s="1633"/>
      <c r="W50" s="1605"/>
      <c r="X50" s="1605"/>
    </row>
    <row r="51" spans="2:24">
      <c r="C51" s="1611"/>
      <c r="D51" s="1605"/>
      <c r="E51" s="1605"/>
      <c r="F51" s="1605"/>
      <c r="G51" s="1605"/>
      <c r="H51" s="1605"/>
      <c r="I51" s="1605"/>
      <c r="J51" s="1605"/>
      <c r="K51" s="1605"/>
      <c r="L51" s="1605"/>
      <c r="M51" s="1605"/>
      <c r="N51" s="1605"/>
      <c r="O51" s="1605"/>
      <c r="P51" s="1605"/>
      <c r="Q51" s="1605"/>
      <c r="R51" s="1605"/>
      <c r="S51" s="1605"/>
      <c r="T51" s="1605"/>
      <c r="U51" s="1605"/>
      <c r="V51" s="1633"/>
      <c r="W51" s="1605"/>
      <c r="X51" s="1605"/>
    </row>
    <row r="52" spans="2:24">
      <c r="B52" s="1602" t="s">
        <v>875</v>
      </c>
      <c r="C52" s="1611"/>
      <c r="D52" s="1605"/>
      <c r="E52" s="1605"/>
      <c r="F52" s="1605"/>
      <c r="G52" s="1605"/>
      <c r="H52" s="1605"/>
      <c r="I52" s="2078">
        <f t="shared" ref="I52:V52" si="15">I6-I7-I18</f>
        <v>0</v>
      </c>
      <c r="J52" s="2078">
        <f t="shared" si="15"/>
        <v>-3.125E-2</v>
      </c>
      <c r="K52" s="2078">
        <f t="shared" si="15"/>
        <v>-100000000000</v>
      </c>
      <c r="L52" s="2078">
        <f t="shared" si="15"/>
        <v>1000000000000</v>
      </c>
      <c r="M52" s="2078">
        <f t="shared" si="15"/>
        <v>0</v>
      </c>
      <c r="N52" s="2078">
        <f t="shared" si="15"/>
        <v>0</v>
      </c>
      <c r="O52" s="2078">
        <f t="shared" si="15"/>
        <v>-1000000000000</v>
      </c>
      <c r="P52" s="2078">
        <f t="shared" si="15"/>
        <v>0</v>
      </c>
      <c r="Q52" s="2078">
        <f t="shared" si="15"/>
        <v>0</v>
      </c>
      <c r="R52" s="2078">
        <f t="shared" si="15"/>
        <v>0</v>
      </c>
      <c r="S52" s="2078">
        <f t="shared" si="15"/>
        <v>0</v>
      </c>
      <c r="T52" s="2078">
        <f t="shared" si="15"/>
        <v>0</v>
      </c>
      <c r="U52" s="2078">
        <f t="shared" si="15"/>
        <v>0</v>
      </c>
      <c r="V52" s="2078">
        <f t="shared" si="15"/>
        <v>0</v>
      </c>
      <c r="W52" s="1605"/>
      <c r="X52" s="1605"/>
    </row>
    <row r="53" spans="2:24">
      <c r="B53" s="1602" t="s">
        <v>141</v>
      </c>
      <c r="C53" s="1611"/>
      <c r="D53" s="1605"/>
      <c r="E53" s="1605"/>
      <c r="F53" s="1605"/>
      <c r="G53" s="1605"/>
      <c r="H53" s="1605"/>
      <c r="I53" s="2078">
        <f t="shared" ref="I53:V53" si="16">I7-I8-I19</f>
        <v>0</v>
      </c>
      <c r="J53" s="2078">
        <f t="shared" si="16"/>
        <v>100000000000.03125</v>
      </c>
      <c r="K53" s="2078">
        <f t="shared" si="16"/>
        <v>0</v>
      </c>
      <c r="L53" s="2078">
        <f t="shared" si="16"/>
        <v>0</v>
      </c>
      <c r="M53" s="2078">
        <f t="shared" si="16"/>
        <v>0</v>
      </c>
      <c r="N53" s="2078">
        <f t="shared" si="16"/>
        <v>0</v>
      </c>
      <c r="O53" s="2078">
        <f t="shared" si="16"/>
        <v>0</v>
      </c>
      <c r="P53" s="2078">
        <f t="shared" si="16"/>
        <v>0</v>
      </c>
      <c r="Q53" s="2078">
        <f t="shared" si="16"/>
        <v>0</v>
      </c>
      <c r="R53" s="2078">
        <f t="shared" si="16"/>
        <v>0</v>
      </c>
      <c r="S53" s="2078">
        <f t="shared" si="16"/>
        <v>0</v>
      </c>
      <c r="T53" s="2078">
        <f t="shared" si="16"/>
        <v>0</v>
      </c>
      <c r="U53" s="2078">
        <f t="shared" si="16"/>
        <v>0</v>
      </c>
      <c r="V53" s="2078">
        <f t="shared" si="16"/>
        <v>0</v>
      </c>
    </row>
    <row r="54" spans="2:24">
      <c r="B54" s="1602" t="s">
        <v>142</v>
      </c>
      <c r="I54" s="1624">
        <f>I8-I9-I12</f>
        <v>-100000000000</v>
      </c>
      <c r="J54" s="1624">
        <f t="shared" ref="J54:R54" si="17">J8-J9-J12</f>
        <v>0</v>
      </c>
      <c r="K54" s="1624">
        <f t="shared" si="17"/>
        <v>0</v>
      </c>
      <c r="L54" s="1624">
        <f t="shared" si="17"/>
        <v>-1000000000000</v>
      </c>
      <c r="M54" s="1624">
        <f t="shared" si="17"/>
        <v>0</v>
      </c>
      <c r="N54" s="1624">
        <f t="shared" si="17"/>
        <v>0</v>
      </c>
      <c r="O54" s="1624">
        <f t="shared" si="17"/>
        <v>1000000000000</v>
      </c>
      <c r="P54" s="1624">
        <f t="shared" si="17"/>
        <v>-1000000000000</v>
      </c>
      <c r="Q54" s="1624">
        <f t="shared" si="17"/>
        <v>0</v>
      </c>
      <c r="R54" s="1624">
        <f t="shared" si="17"/>
        <v>0</v>
      </c>
      <c r="S54" s="1624">
        <f>S8-S9-S12</f>
        <v>0</v>
      </c>
      <c r="T54" s="1624">
        <f>T8-T9-T12</f>
        <v>0</v>
      </c>
      <c r="U54" s="1624">
        <f>U8-U9-U12</f>
        <v>0</v>
      </c>
      <c r="V54" s="1624">
        <f>V8-V9-V12</f>
        <v>0</v>
      </c>
    </row>
    <row r="55" spans="2:24">
      <c r="B55" s="1602" t="s">
        <v>145</v>
      </c>
      <c r="I55" s="1624">
        <f>I20-I21-I26-I30</f>
        <v>0</v>
      </c>
      <c r="J55" s="1624">
        <f t="shared" ref="J55:S55" si="18">J20-J21-J26-J30</f>
        <v>0</v>
      </c>
      <c r="K55" s="1624">
        <f t="shared" si="18"/>
        <v>0</v>
      </c>
      <c r="L55" s="1624">
        <f t="shared" si="18"/>
        <v>0</v>
      </c>
      <c r="M55" s="1624">
        <f t="shared" si="18"/>
        <v>0</v>
      </c>
      <c r="N55" s="1624">
        <f t="shared" si="18"/>
        <v>0</v>
      </c>
      <c r="O55" s="1624">
        <f t="shared" si="18"/>
        <v>0</v>
      </c>
      <c r="P55" s="1624">
        <f t="shared" si="18"/>
        <v>0</v>
      </c>
      <c r="Q55" s="1624">
        <f t="shared" si="18"/>
        <v>0</v>
      </c>
      <c r="R55" s="1624">
        <f t="shared" si="18"/>
        <v>0</v>
      </c>
      <c r="S55" s="1624">
        <f t="shared" si="18"/>
        <v>0</v>
      </c>
      <c r="T55" s="1624">
        <f>T20-T21-T26-T30</f>
        <v>0</v>
      </c>
      <c r="U55" s="1624">
        <f>U20-U21-U26-U30</f>
        <v>0</v>
      </c>
      <c r="V55" s="1624">
        <f>V20-V21-V26-V30</f>
        <v>0</v>
      </c>
    </row>
    <row r="56" spans="2:24">
      <c r="B56" s="1602" t="s">
        <v>826</v>
      </c>
      <c r="I56" s="1627">
        <f>I21-I22-I23</f>
        <v>149900000000000</v>
      </c>
      <c r="J56" s="1627">
        <f t="shared" ref="J56:S56" si="19">J21-J22-J23</f>
        <v>180100000000000</v>
      </c>
      <c r="K56" s="1627">
        <f t="shared" si="19"/>
        <v>229300000000000</v>
      </c>
      <c r="L56" s="1624">
        <f>L21-L22-L23</f>
        <v>0</v>
      </c>
      <c r="M56" s="1624">
        <f t="shared" si="19"/>
        <v>1000000000000</v>
      </c>
      <c r="N56" s="1624">
        <f t="shared" si="19"/>
        <v>0</v>
      </c>
      <c r="O56" s="1624">
        <f t="shared" si="19"/>
        <v>0</v>
      </c>
      <c r="P56" s="1624">
        <f t="shared" si="19"/>
        <v>0</v>
      </c>
      <c r="Q56" s="1624">
        <f t="shared" si="19"/>
        <v>0</v>
      </c>
      <c r="R56" s="1624">
        <f t="shared" si="19"/>
        <v>0</v>
      </c>
      <c r="S56" s="1624">
        <f t="shared" si="19"/>
        <v>0</v>
      </c>
      <c r="T56" s="1624">
        <f>T21-T22-T23</f>
        <v>0</v>
      </c>
      <c r="U56" s="1624">
        <f>U21-U22-U23</f>
        <v>0</v>
      </c>
      <c r="V56" s="1624">
        <f>V21-V22-V23</f>
        <v>0</v>
      </c>
    </row>
    <row r="57" spans="2:24">
      <c r="B57" s="1602" t="s">
        <v>148</v>
      </c>
      <c r="I57" s="1624">
        <f>I36-I37-I38</f>
        <v>-100000000000</v>
      </c>
      <c r="J57" s="1624">
        <f>J36-J37-J38</f>
        <v>0</v>
      </c>
      <c r="K57" s="1624">
        <f>K36-K37-K38</f>
        <v>0</v>
      </c>
      <c r="L57" s="1624">
        <f>L36-L37-L38</f>
        <v>0</v>
      </c>
      <c r="M57" s="1624">
        <f>M36-M37-M38</f>
        <v>0</v>
      </c>
      <c r="N57" s="1624">
        <f t="shared" ref="N57:S57" si="20">N36-N37-N38</f>
        <v>0</v>
      </c>
      <c r="O57" s="1624">
        <f t="shared" si="20"/>
        <v>0</v>
      </c>
      <c r="P57" s="1624">
        <f t="shared" si="20"/>
        <v>0</v>
      </c>
      <c r="Q57" s="1624">
        <f t="shared" si="20"/>
        <v>0</v>
      </c>
      <c r="R57" s="1624">
        <f t="shared" si="20"/>
        <v>0</v>
      </c>
      <c r="S57" s="1624">
        <f t="shared" si="20"/>
        <v>0</v>
      </c>
      <c r="T57" s="1624">
        <f>T36-T37-T38</f>
        <v>0</v>
      </c>
      <c r="U57" s="1624">
        <f>U36-U37-U38</f>
        <v>0</v>
      </c>
      <c r="V57" s="1624">
        <f>V36-V37-V38</f>
        <v>0</v>
      </c>
    </row>
    <row r="58" spans="2:24">
      <c r="B58" s="1602" t="s">
        <v>877</v>
      </c>
      <c r="I58" s="1624"/>
      <c r="J58" s="1624"/>
      <c r="K58" s="1624"/>
      <c r="M58" s="1624">
        <f>M37-M41-M42-M46</f>
        <v>0</v>
      </c>
      <c r="N58" s="1624">
        <f t="shared" ref="N58:S58" si="21">N37-N41-N42</f>
        <v>-109000000000000</v>
      </c>
      <c r="O58" s="1624">
        <f t="shared" si="21"/>
        <v>-82000000000000</v>
      </c>
      <c r="P58" s="1624">
        <f t="shared" si="21"/>
        <v>0</v>
      </c>
      <c r="Q58" s="1624">
        <f t="shared" si="21"/>
        <v>3000000000000</v>
      </c>
      <c r="R58" s="1624">
        <f t="shared" si="21"/>
        <v>-74000000000000</v>
      </c>
      <c r="S58" s="1624">
        <f t="shared" si="21"/>
        <v>12000000000000</v>
      </c>
      <c r="T58" s="1624">
        <f>T37-T41-T42</f>
        <v>164000000000000</v>
      </c>
      <c r="U58" s="1624">
        <f>U37-U41-U42</f>
        <v>177000000000000</v>
      </c>
      <c r="V58" s="1624">
        <f>V37-V41-V42-V40-V46</f>
        <v>164000000000000</v>
      </c>
    </row>
    <row r="59" spans="2:24">
      <c r="B59" s="1602" t="s">
        <v>6889</v>
      </c>
      <c r="I59" s="1624"/>
      <c r="J59" s="1624"/>
      <c r="K59" s="1624"/>
      <c r="M59" s="1624">
        <f>M43-M44-M45</f>
        <v>0</v>
      </c>
      <c r="N59" s="1624">
        <f t="shared" ref="N59:U59" si="22">N43-N44-N45</f>
        <v>0</v>
      </c>
      <c r="O59" s="1624">
        <f t="shared" si="22"/>
        <v>0</v>
      </c>
      <c r="P59" s="1624">
        <f t="shared" si="22"/>
        <v>-1000000000000</v>
      </c>
      <c r="Q59" s="1624">
        <f t="shared" si="22"/>
        <v>-78000000000000</v>
      </c>
      <c r="R59" s="1624">
        <f t="shared" si="22"/>
        <v>-97000000000000</v>
      </c>
      <c r="S59" s="1624">
        <f t="shared" si="22"/>
        <v>-67000000000000</v>
      </c>
      <c r="T59" s="1624">
        <f t="shared" si="22"/>
        <v>-53000000000000</v>
      </c>
      <c r="U59" s="1624">
        <f t="shared" si="22"/>
        <v>-50000000000000</v>
      </c>
      <c r="V59" s="1624">
        <f>V43-V44-V45</f>
        <v>-77000000000000</v>
      </c>
    </row>
    <row r="60" spans="2:24">
      <c r="V60" s="1636"/>
    </row>
    <row r="61" spans="2:24">
      <c r="H61" s="1624"/>
      <c r="V61" s="1636"/>
    </row>
    <row r="62" spans="2:24">
      <c r="B62" s="1602" t="s">
        <v>623</v>
      </c>
      <c r="D62" s="2351"/>
      <c r="E62" s="2351"/>
      <c r="F62" s="2351"/>
      <c r="G62" s="2351"/>
      <c r="H62" s="2351"/>
      <c r="I62" s="2402">
        <v>914000839000000</v>
      </c>
      <c r="J62" s="2402">
        <v>1061564519000000.1</v>
      </c>
      <c r="K62" s="2402">
        <v>1246769289000000</v>
      </c>
      <c r="L62" s="2402">
        <v>1616047129000000</v>
      </c>
      <c r="M62" s="2402">
        <v>1809148950000000</v>
      </c>
      <c r="N62" s="2403">
        <v>2158000000000000</v>
      </c>
      <c r="O62" s="2404">
        <v>2780000000000000</v>
      </c>
      <c r="P62" s="2403">
        <v>3245000000000000</v>
      </c>
      <c r="Q62" s="2403">
        <v>3584000000000000</v>
      </c>
      <c r="R62" s="2403">
        <v>3938000000000000</v>
      </c>
      <c r="S62" s="2403">
        <v>4193000000000000</v>
      </c>
      <c r="T62" s="2403">
        <v>4503000000000000</v>
      </c>
      <c r="U62" s="2403">
        <v>4965000000000000</v>
      </c>
      <c r="V62" s="2405">
        <v>5486000000000000</v>
      </c>
      <c r="W62" s="2351"/>
    </row>
    <row r="63" spans="2:24">
      <c r="B63" s="1602" t="s">
        <v>151</v>
      </c>
      <c r="I63" s="2097">
        <f t="shared" ref="I63:U63" si="23">(I6/I62)*100</f>
        <v>24.97809523345525</v>
      </c>
      <c r="J63" s="2097">
        <f t="shared" si="23"/>
        <v>26.329063848449891</v>
      </c>
      <c r="K63" s="2097">
        <f t="shared" si="23"/>
        <v>25.337486477018921</v>
      </c>
      <c r="L63" s="2097">
        <f t="shared" si="23"/>
        <v>26.608134891838294</v>
      </c>
      <c r="M63" s="2097">
        <f t="shared" si="23"/>
        <v>25.592143753558823</v>
      </c>
      <c r="N63" s="2097">
        <f t="shared" si="23"/>
        <v>27.247451343836886</v>
      </c>
      <c r="O63" s="2097">
        <f t="shared" si="23"/>
        <v>25.863309352517987</v>
      </c>
      <c r="P63" s="2097">
        <f t="shared" si="23"/>
        <v>22.588597842835132</v>
      </c>
      <c r="Q63" s="2097">
        <f t="shared" si="23"/>
        <v>23.130580357142858</v>
      </c>
      <c r="R63" s="2097">
        <f t="shared" si="23"/>
        <v>22.24479431183342</v>
      </c>
      <c r="S63" s="2097">
        <f t="shared" si="23"/>
        <v>23.77772477939423</v>
      </c>
      <c r="T63" s="2097">
        <f t="shared" si="23"/>
        <v>24.072840328669777</v>
      </c>
      <c r="U63" s="2097">
        <f t="shared" si="23"/>
        <v>23.746223564954683</v>
      </c>
      <c r="V63" s="1636"/>
    </row>
    <row r="64" spans="2:24">
      <c r="B64" s="1602" t="s">
        <v>152</v>
      </c>
      <c r="I64" s="2097">
        <f t="shared" ref="I64:U64" si="24">(I20/I62)*100</f>
        <v>27.275686122209347</v>
      </c>
      <c r="J64" s="2097">
        <f t="shared" si="24"/>
        <v>26.131242617388189</v>
      </c>
      <c r="K64" s="2097">
        <f t="shared" si="24"/>
        <v>28.786400432421942</v>
      </c>
      <c r="L64" s="2097">
        <f t="shared" si="24"/>
        <v>27.103169959593426</v>
      </c>
      <c r="M64" s="2097">
        <f t="shared" si="24"/>
        <v>31.617076084310249</v>
      </c>
      <c r="N64" s="2097">
        <f t="shared" si="24"/>
        <v>30.027803521779429</v>
      </c>
      <c r="O64" s="2097">
        <f t="shared" si="24"/>
        <v>26.942446043165468</v>
      </c>
      <c r="P64" s="2097">
        <f t="shared" si="24"/>
        <v>29.460708782742678</v>
      </c>
      <c r="Q64" s="2097">
        <f t="shared" si="24"/>
        <v>29.017857142857146</v>
      </c>
      <c r="R64" s="2097">
        <f t="shared" si="24"/>
        <v>26.815642458100559</v>
      </c>
      <c r="S64" s="2097">
        <f t="shared" si="24"/>
        <v>27.259718578583353</v>
      </c>
      <c r="T64" s="2097">
        <f t="shared" si="24"/>
        <v>26.626693315567401</v>
      </c>
      <c r="U64" s="2097">
        <f t="shared" si="24"/>
        <v>26.324269889224571</v>
      </c>
      <c r="V64" s="1636"/>
    </row>
    <row r="67" spans="2:24" ht="13.5" customHeight="1">
      <c r="B67" s="1602" t="s">
        <v>153</v>
      </c>
      <c r="D67" s="1602" t="b">
        <f t="shared" ref="D67:I67" si="25">IF(D30&lt;0, (D30/D20)*100)</f>
        <v>0</v>
      </c>
      <c r="E67" s="1602" t="b">
        <f t="shared" si="25"/>
        <v>0</v>
      </c>
      <c r="F67" s="1602" t="b">
        <f t="shared" si="25"/>
        <v>0</v>
      </c>
      <c r="G67" s="1602" t="b">
        <f t="shared" si="25"/>
        <v>0</v>
      </c>
      <c r="H67" s="1602" t="b">
        <f t="shared" si="25"/>
        <v>0</v>
      </c>
      <c r="I67" s="1602" t="b">
        <f t="shared" si="25"/>
        <v>0</v>
      </c>
      <c r="J67" s="1602" t="b">
        <f t="shared" ref="J67:X67" si="26">IF(J30&lt;0, (J30/J20)*100)</f>
        <v>0</v>
      </c>
      <c r="K67" s="1602" t="b">
        <f t="shared" si="26"/>
        <v>0</v>
      </c>
      <c r="L67" s="1602" t="b">
        <f t="shared" si="26"/>
        <v>0</v>
      </c>
      <c r="M67" s="1602" t="b">
        <f t="shared" si="26"/>
        <v>0</v>
      </c>
      <c r="N67" s="1602" t="b">
        <f t="shared" si="26"/>
        <v>0</v>
      </c>
      <c r="O67" s="1602" t="b">
        <f t="shared" si="26"/>
        <v>0</v>
      </c>
      <c r="P67" s="1602" t="b">
        <f t="shared" si="26"/>
        <v>0</v>
      </c>
      <c r="Q67" s="1602" t="b">
        <f t="shared" si="26"/>
        <v>0</v>
      </c>
      <c r="R67" s="1602" t="b">
        <f t="shared" si="26"/>
        <v>0</v>
      </c>
      <c r="S67" s="1602" t="b">
        <f t="shared" si="26"/>
        <v>0</v>
      </c>
      <c r="T67" s="1602" t="b">
        <f t="shared" si="26"/>
        <v>0</v>
      </c>
      <c r="U67" s="1602" t="b">
        <f t="shared" si="26"/>
        <v>0</v>
      </c>
      <c r="V67" s="1602" t="b">
        <f t="shared" si="26"/>
        <v>0</v>
      </c>
      <c r="W67" s="1602" t="b">
        <f t="shared" si="26"/>
        <v>0</v>
      </c>
      <c r="X67" s="1602" t="b">
        <f t="shared" si="26"/>
        <v>0</v>
      </c>
    </row>
    <row r="69" spans="2:24">
      <c r="I69" s="1624">
        <f>I6+I36-I20</f>
        <v>24200000000000</v>
      </c>
      <c r="J69" s="1624">
        <f>J6+J36-J20</f>
        <v>14500000000000</v>
      </c>
      <c r="K69" s="1624">
        <f>K6+K36-K20</f>
        <v>-9700000000000</v>
      </c>
      <c r="L69" s="1624">
        <f t="shared" ref="L69:R69" si="27">L6+L36-L20</f>
        <v>29000000000000</v>
      </c>
      <c r="M69" s="1624">
        <f t="shared" si="27"/>
        <v>0</v>
      </c>
      <c r="N69" s="1624">
        <f>N6+N36-N20</f>
        <v>1000000000000</v>
      </c>
      <c r="O69" s="1624">
        <f>O6+O36-O20</f>
        <v>-1000000000000</v>
      </c>
      <c r="P69" s="1624">
        <f t="shared" si="27"/>
        <v>-1000000000000</v>
      </c>
      <c r="Q69" s="1624">
        <f>Q6+Q36-Q20</f>
        <v>56000000000000</v>
      </c>
      <c r="R69" s="1624">
        <f t="shared" si="27"/>
        <v>68000000000000</v>
      </c>
      <c r="S69" s="1624">
        <f>S6+S36-S20</f>
        <v>85000000000000</v>
      </c>
      <c r="T69" s="1624">
        <f>T6+T36-T20</f>
        <v>102000000000000</v>
      </c>
      <c r="U69" s="1624">
        <f>U6+U36-U20</f>
        <v>99000000000000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D12" activePane="bottomRight" state="frozen"/>
      <selection pane="topRight" activeCell="D1" sqref="D1"/>
      <selection pane="bottomLeft" activeCell="A6" sqref="A6"/>
      <selection pane="bottomRight" activeCell="G20" sqref="D20:G20"/>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69" t="s">
        <v>6890</v>
      </c>
      <c r="B1" s="82" t="s">
        <v>6891</v>
      </c>
      <c r="C1" s="82"/>
      <c r="D1" s="27"/>
      <c r="E1" s="27"/>
      <c r="F1" s="27"/>
      <c r="G1" s="27"/>
      <c r="H1" s="27"/>
      <c r="I1" s="27"/>
      <c r="J1" s="27"/>
      <c r="K1" s="27"/>
      <c r="L1" s="27"/>
      <c r="M1" s="27"/>
      <c r="N1" s="27"/>
      <c r="O1" s="28"/>
      <c r="P1" s="28"/>
      <c r="Q1" s="28"/>
      <c r="R1" s="29"/>
      <c r="S1" s="28"/>
      <c r="T1" s="28"/>
      <c r="U1" s="28"/>
      <c r="V1" s="28"/>
      <c r="W1" s="28"/>
      <c r="X1" s="28"/>
    </row>
    <row r="2" spans="1:24">
      <c r="B2" s="30" t="s">
        <v>6892</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6893</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1138</v>
      </c>
      <c r="C6" s="239" t="s">
        <v>35</v>
      </c>
      <c r="D6" s="381">
        <v>588700000000</v>
      </c>
      <c r="E6" s="381">
        <v>553100000000</v>
      </c>
      <c r="F6" s="381">
        <v>567700000000</v>
      </c>
      <c r="G6" s="381">
        <v>672300000000</v>
      </c>
      <c r="H6" s="381">
        <v>820600000000</v>
      </c>
      <c r="I6" s="381">
        <v>1121000000000</v>
      </c>
      <c r="J6" s="381">
        <v>1450000000000</v>
      </c>
      <c r="K6" s="381">
        <v>1429000000000</v>
      </c>
      <c r="L6" s="381">
        <v>1974000000000</v>
      </c>
      <c r="M6" s="381">
        <v>1275000000000</v>
      </c>
      <c r="N6" s="265">
        <v>1774000000000</v>
      </c>
      <c r="O6" s="265">
        <v>1773000000000</v>
      </c>
      <c r="P6" s="265">
        <v>2269000000000</v>
      </c>
      <c r="Q6" s="265">
        <v>2076000000000</v>
      </c>
      <c r="R6" s="265">
        <v>2338000000000</v>
      </c>
      <c r="S6" s="265">
        <v>1046422000000</v>
      </c>
      <c r="T6" s="265">
        <v>594135000000</v>
      </c>
      <c r="U6" s="265"/>
      <c r="V6" s="265"/>
    </row>
    <row r="7" spans="1:24">
      <c r="A7" s="90" t="s">
        <v>370</v>
      </c>
      <c r="B7" s="90" t="s">
        <v>882</v>
      </c>
      <c r="C7" s="11" t="s">
        <v>38</v>
      </c>
      <c r="D7" s="381">
        <f>D8+D12</f>
        <v>583600000000</v>
      </c>
      <c r="E7" s="381">
        <f t="shared" ref="E7:R7" si="0">E8+E12</f>
        <v>546800000000</v>
      </c>
      <c r="F7" s="381">
        <f t="shared" si="0"/>
        <v>559900000000</v>
      </c>
      <c r="G7" s="381">
        <f t="shared" si="0"/>
        <v>664000000000</v>
      </c>
      <c r="H7" s="381">
        <f t="shared" si="0"/>
        <v>801900000000</v>
      </c>
      <c r="I7" s="381">
        <f t="shared" si="0"/>
        <v>1107000000000</v>
      </c>
      <c r="J7" s="381">
        <f t="shared" si="0"/>
        <v>1434000000000</v>
      </c>
      <c r="K7" s="381">
        <f t="shared" si="0"/>
        <v>1415000000000</v>
      </c>
      <c r="L7" s="381">
        <f t="shared" si="0"/>
        <v>1960000000000</v>
      </c>
      <c r="M7" s="381">
        <f t="shared" si="0"/>
        <v>1254000000000</v>
      </c>
      <c r="N7" s="381">
        <f t="shared" si="0"/>
        <v>1691000000000</v>
      </c>
      <c r="O7" s="381">
        <f t="shared" si="0"/>
        <v>1689000000000</v>
      </c>
      <c r="P7" s="381">
        <f t="shared" si="0"/>
        <v>1805000000000</v>
      </c>
      <c r="Q7" s="381">
        <f t="shared" si="0"/>
        <v>1994000000000</v>
      </c>
      <c r="R7" s="381">
        <f t="shared" si="0"/>
        <v>2202000000000</v>
      </c>
      <c r="S7" s="381"/>
      <c r="T7" s="381"/>
      <c r="U7" s="381"/>
      <c r="V7" s="381"/>
    </row>
    <row r="8" spans="1:24" ht="16.5">
      <c r="A8" s="90" t="s">
        <v>3940</v>
      </c>
      <c r="B8" s="90" t="s">
        <v>6894</v>
      </c>
      <c r="C8" s="58" t="s">
        <v>41</v>
      </c>
      <c r="D8" s="381">
        <v>441600000000</v>
      </c>
      <c r="E8" s="381">
        <v>388700000000</v>
      </c>
      <c r="F8" s="381">
        <v>391200000000</v>
      </c>
      <c r="G8" s="381">
        <v>480200000000</v>
      </c>
      <c r="H8" s="381">
        <v>579100000000</v>
      </c>
      <c r="I8" s="381">
        <v>842000000000</v>
      </c>
      <c r="J8" s="381">
        <v>1085000000000</v>
      </c>
      <c r="K8" s="381">
        <v>973000000000</v>
      </c>
      <c r="L8" s="381">
        <v>1494000000000</v>
      </c>
      <c r="M8" s="381">
        <v>745000000000</v>
      </c>
      <c r="N8" s="266">
        <v>1120000000000</v>
      </c>
      <c r="O8" s="266">
        <v>1156000000000</v>
      </c>
      <c r="P8" s="266">
        <v>1071000000000</v>
      </c>
      <c r="Q8" s="266">
        <v>1115000000000</v>
      </c>
      <c r="R8" s="266">
        <v>1092000000000</v>
      </c>
      <c r="S8" s="266"/>
      <c r="T8" s="266"/>
      <c r="U8" s="266"/>
      <c r="V8" s="266"/>
      <c r="W8" s="28"/>
      <c r="X8" s="28"/>
    </row>
    <row r="9" spans="1:24" ht="16.5">
      <c r="A9" s="99" t="s">
        <v>6895</v>
      </c>
      <c r="B9" s="99" t="s">
        <v>6896</v>
      </c>
      <c r="C9" s="27" t="s">
        <v>1630</v>
      </c>
      <c r="D9" s="381">
        <v>238500000000</v>
      </c>
      <c r="E9" s="381">
        <v>269600000000.00003</v>
      </c>
      <c r="F9" s="381">
        <v>264700000000</v>
      </c>
      <c r="G9" s="381">
        <v>306900000000</v>
      </c>
      <c r="H9" s="381">
        <v>360700000000</v>
      </c>
      <c r="I9" s="381">
        <v>482000000000</v>
      </c>
      <c r="J9" s="381">
        <v>612000000000</v>
      </c>
      <c r="K9" s="381">
        <v>510000000000</v>
      </c>
      <c r="L9" s="381">
        <v>853000000000</v>
      </c>
      <c r="M9" s="381">
        <v>378000000000</v>
      </c>
      <c r="N9" s="266">
        <v>577000000000</v>
      </c>
      <c r="O9" s="266">
        <v>749000000000</v>
      </c>
      <c r="P9" s="266">
        <v>764000000000</v>
      </c>
      <c r="Q9" s="266">
        <v>598000000000</v>
      </c>
      <c r="R9" s="266">
        <v>494000000000</v>
      </c>
      <c r="S9" s="266"/>
      <c r="T9" s="266"/>
      <c r="U9" s="266"/>
      <c r="V9" s="266"/>
      <c r="W9" s="28"/>
      <c r="X9" s="28"/>
    </row>
    <row r="10" spans="1:24" ht="16.5">
      <c r="A10" s="99" t="s">
        <v>6897</v>
      </c>
      <c r="B10" s="99" t="s">
        <v>6898</v>
      </c>
      <c r="C10" s="27" t="s">
        <v>1630</v>
      </c>
      <c r="D10" s="381">
        <v>0</v>
      </c>
      <c r="E10" s="381">
        <v>0</v>
      </c>
      <c r="F10" s="381">
        <v>0</v>
      </c>
      <c r="G10" s="381">
        <v>0</v>
      </c>
      <c r="H10" s="381">
        <v>0</v>
      </c>
      <c r="I10" s="267"/>
      <c r="J10" s="381">
        <v>0</v>
      </c>
      <c r="K10" s="381">
        <v>0</v>
      </c>
      <c r="L10" s="381">
        <v>0</v>
      </c>
      <c r="M10" s="381">
        <v>0</v>
      </c>
      <c r="N10" s="266">
        <v>21000000000</v>
      </c>
      <c r="O10" s="266">
        <v>38000000000</v>
      </c>
      <c r="P10" s="266">
        <v>34000000000</v>
      </c>
      <c r="Q10" s="266">
        <v>76000000000</v>
      </c>
      <c r="R10" s="266">
        <v>143000000000</v>
      </c>
      <c r="S10" s="266"/>
      <c r="T10" s="266"/>
      <c r="U10" s="266"/>
      <c r="V10" s="266"/>
      <c r="W10" s="28"/>
      <c r="X10" s="28"/>
    </row>
    <row r="11" spans="1:24" ht="16.5">
      <c r="A11" s="99" t="s">
        <v>6899</v>
      </c>
      <c r="B11" s="99" t="s">
        <v>6900</v>
      </c>
      <c r="C11" s="27" t="s">
        <v>1630</v>
      </c>
      <c r="D11" s="382">
        <f t="shared" ref="D11:L11" si="1">D8-D9-D10</f>
        <v>203100000000</v>
      </c>
      <c r="E11" s="382">
        <f t="shared" si="1"/>
        <v>119099999999.99997</v>
      </c>
      <c r="F11" s="382">
        <f t="shared" si="1"/>
        <v>126500000000</v>
      </c>
      <c r="G11" s="382">
        <f t="shared" si="1"/>
        <v>173300000000</v>
      </c>
      <c r="H11" s="382">
        <f t="shared" si="1"/>
        <v>218400000000</v>
      </c>
      <c r="I11" s="382">
        <f t="shared" si="1"/>
        <v>360000000000</v>
      </c>
      <c r="J11" s="382">
        <f t="shared" si="1"/>
        <v>473000000000</v>
      </c>
      <c r="K11" s="382">
        <f t="shared" si="1"/>
        <v>463000000000</v>
      </c>
      <c r="L11" s="382">
        <f t="shared" si="1"/>
        <v>641000000000</v>
      </c>
      <c r="M11" s="382">
        <f>M8-M9-M10</f>
        <v>367000000000</v>
      </c>
      <c r="N11" s="266">
        <v>522000000000</v>
      </c>
      <c r="O11" s="266">
        <v>369000000000</v>
      </c>
      <c r="P11" s="266">
        <v>273000000000</v>
      </c>
      <c r="Q11" s="266">
        <v>440000000000</v>
      </c>
      <c r="R11" s="266">
        <v>455000000000</v>
      </c>
      <c r="S11" s="266"/>
      <c r="T11" s="266"/>
      <c r="U11" s="266"/>
      <c r="V11" s="266"/>
      <c r="W11" s="28"/>
      <c r="X11" s="28"/>
    </row>
    <row r="12" spans="1:24" ht="16.5">
      <c r="A12" s="90" t="s">
        <v>3942</v>
      </c>
      <c r="B12" s="90" t="s">
        <v>314</v>
      </c>
      <c r="C12" s="58" t="s">
        <v>41</v>
      </c>
      <c r="D12" s="381">
        <v>142000000000</v>
      </c>
      <c r="E12" s="381">
        <v>158100000000</v>
      </c>
      <c r="F12" s="381">
        <v>168700000000</v>
      </c>
      <c r="G12" s="381">
        <v>183800000000</v>
      </c>
      <c r="H12" s="381">
        <v>222800000000</v>
      </c>
      <c r="I12" s="381">
        <v>265000000000</v>
      </c>
      <c r="J12" s="381">
        <v>349000000000</v>
      </c>
      <c r="K12" s="381">
        <v>442000000000</v>
      </c>
      <c r="L12" s="381">
        <v>466000000000</v>
      </c>
      <c r="M12" s="381">
        <v>509000000000</v>
      </c>
      <c r="N12" s="266">
        <v>571000000000</v>
      </c>
      <c r="O12" s="266">
        <v>533000000000</v>
      </c>
      <c r="P12" s="266">
        <v>734000000000</v>
      </c>
      <c r="Q12" s="266">
        <v>879000000000</v>
      </c>
      <c r="R12" s="266">
        <v>1110000000000</v>
      </c>
      <c r="S12" s="266"/>
      <c r="T12" s="266"/>
      <c r="U12" s="266"/>
      <c r="V12" s="266"/>
      <c r="W12" s="28"/>
      <c r="X12" s="28"/>
    </row>
    <row r="13" spans="1:24" ht="16.5">
      <c r="A13" s="99" t="s">
        <v>39</v>
      </c>
      <c r="B13" s="99" t="s">
        <v>315</v>
      </c>
      <c r="C13" s="27" t="s">
        <v>1906</v>
      </c>
      <c r="D13" s="381">
        <v>111000000000</v>
      </c>
      <c r="E13" s="381">
        <v>122000000000</v>
      </c>
      <c r="F13" s="381">
        <v>138000000000</v>
      </c>
      <c r="G13" s="381">
        <v>152900000000</v>
      </c>
      <c r="H13" s="381">
        <v>186500000000</v>
      </c>
      <c r="I13" s="381">
        <v>235000000000</v>
      </c>
      <c r="J13" s="381">
        <v>266000000000</v>
      </c>
      <c r="K13" s="381">
        <v>315000000000</v>
      </c>
      <c r="L13" s="381">
        <v>367000000000</v>
      </c>
      <c r="M13" s="381">
        <v>406000000000</v>
      </c>
      <c r="N13" s="266">
        <v>450000000000</v>
      </c>
      <c r="O13" s="266">
        <v>377000000000</v>
      </c>
      <c r="P13" s="266">
        <v>534000000000</v>
      </c>
      <c r="Q13" s="266">
        <v>613000000000</v>
      </c>
      <c r="R13" s="266">
        <v>809000000000</v>
      </c>
      <c r="S13" s="266"/>
      <c r="T13" s="266"/>
      <c r="U13" s="266"/>
      <c r="V13" s="266"/>
      <c r="W13" s="28"/>
      <c r="X13" s="28"/>
    </row>
    <row r="14" spans="1:24" ht="16.5">
      <c r="A14" s="100" t="s">
        <v>628</v>
      </c>
      <c r="B14" s="100" t="s">
        <v>1140</v>
      </c>
      <c r="C14" s="27" t="s">
        <v>319</v>
      </c>
      <c r="D14" s="381">
        <v>40700000000</v>
      </c>
      <c r="E14" s="381">
        <v>47700000000</v>
      </c>
      <c r="F14" s="381">
        <v>58500000000</v>
      </c>
      <c r="G14" s="381">
        <v>63600000000</v>
      </c>
      <c r="H14" s="381">
        <v>73300000000</v>
      </c>
      <c r="I14" s="381">
        <v>89000000000</v>
      </c>
      <c r="J14" s="381">
        <v>123000000000</v>
      </c>
      <c r="K14" s="381">
        <v>144000000000</v>
      </c>
      <c r="L14" s="381">
        <v>155000000000</v>
      </c>
      <c r="M14" s="381">
        <v>201000000000</v>
      </c>
      <c r="N14" s="266">
        <v>210000000000</v>
      </c>
      <c r="O14" s="266">
        <v>186000000000</v>
      </c>
      <c r="P14" s="266">
        <v>250000000000</v>
      </c>
      <c r="Q14" s="266">
        <v>276000000000</v>
      </c>
      <c r="R14" s="266">
        <v>356000000000</v>
      </c>
      <c r="S14" s="266"/>
      <c r="T14" s="266"/>
      <c r="U14" s="266"/>
      <c r="V14" s="266"/>
      <c r="W14" s="28"/>
      <c r="X14" s="28"/>
    </row>
    <row r="15" spans="1:24" ht="16.5">
      <c r="A15" s="100" t="s">
        <v>47</v>
      </c>
      <c r="B15" s="100" t="s">
        <v>320</v>
      </c>
      <c r="C15" s="27" t="s">
        <v>319</v>
      </c>
      <c r="D15" s="381">
        <v>36900000000</v>
      </c>
      <c r="E15" s="381">
        <v>37200000000</v>
      </c>
      <c r="F15" s="381">
        <v>38700000000</v>
      </c>
      <c r="G15" s="381">
        <v>42900000000</v>
      </c>
      <c r="H15" s="381">
        <v>56500000000</v>
      </c>
      <c r="I15" s="381">
        <v>89000000000</v>
      </c>
      <c r="J15" s="381">
        <v>101000000000</v>
      </c>
      <c r="K15" s="381">
        <v>118000000000</v>
      </c>
      <c r="L15" s="381">
        <v>121000000000</v>
      </c>
      <c r="M15" s="381">
        <v>139000000000</v>
      </c>
      <c r="N15" s="266">
        <v>164000000000</v>
      </c>
      <c r="O15" s="266">
        <v>125000000000</v>
      </c>
      <c r="P15" s="266">
        <v>187000000000</v>
      </c>
      <c r="Q15" s="266">
        <v>219000000000</v>
      </c>
      <c r="R15" s="266">
        <v>284000000000</v>
      </c>
      <c r="S15" s="266"/>
      <c r="T15" s="266"/>
      <c r="U15" s="266"/>
      <c r="V15" s="266"/>
      <c r="W15" s="28"/>
      <c r="X15" s="28"/>
    </row>
    <row r="16" spans="1:24" ht="16.5">
      <c r="A16" s="100" t="s">
        <v>6901</v>
      </c>
      <c r="B16" s="100" t="s">
        <v>6902</v>
      </c>
      <c r="C16" s="27" t="s">
        <v>319</v>
      </c>
      <c r="D16" s="381">
        <v>29800000000</v>
      </c>
      <c r="E16" s="381">
        <v>33799999999.999996</v>
      </c>
      <c r="F16" s="381">
        <v>37200000000</v>
      </c>
      <c r="G16" s="381">
        <v>42300000000</v>
      </c>
      <c r="H16" s="381">
        <v>51900000000</v>
      </c>
      <c r="I16" s="381">
        <v>52000000000</v>
      </c>
      <c r="J16" s="381">
        <v>36000000000</v>
      </c>
      <c r="K16" s="381">
        <v>44000000000</v>
      </c>
      <c r="L16" s="381">
        <v>46000000000</v>
      </c>
      <c r="M16" s="381">
        <v>57000000000</v>
      </c>
      <c r="N16" s="266">
        <v>65000000000</v>
      </c>
      <c r="O16" s="266">
        <v>55000000000</v>
      </c>
      <c r="P16" s="266">
        <v>85000000000</v>
      </c>
      <c r="Q16" s="266">
        <v>104000000000</v>
      </c>
      <c r="R16" s="266">
        <v>151000000000</v>
      </c>
      <c r="S16" s="266"/>
      <c r="T16" s="266"/>
      <c r="U16" s="266"/>
      <c r="V16" s="266"/>
      <c r="W16" s="28"/>
      <c r="X16" s="28"/>
    </row>
    <row r="17" spans="1:24" ht="16.5">
      <c r="A17" s="100" t="s">
        <v>49</v>
      </c>
      <c r="B17" s="100" t="s">
        <v>1054</v>
      </c>
      <c r="C17" s="27" t="s">
        <v>319</v>
      </c>
      <c r="D17" s="381">
        <v>3500000000</v>
      </c>
      <c r="E17" s="381">
        <v>3200000000</v>
      </c>
      <c r="F17" s="381">
        <v>3500000000</v>
      </c>
      <c r="G17" s="381">
        <v>4200000000</v>
      </c>
      <c r="H17" s="381">
        <v>4900000000</v>
      </c>
      <c r="I17" s="381">
        <v>6000000000</v>
      </c>
      <c r="J17" s="381">
        <v>6000000000</v>
      </c>
      <c r="K17" s="381">
        <v>8000000000</v>
      </c>
      <c r="L17" s="381">
        <v>45000000000</v>
      </c>
      <c r="M17" s="381">
        <v>10000000000</v>
      </c>
      <c r="N17" s="266">
        <v>11000000000</v>
      </c>
      <c r="O17" s="266">
        <v>12000000000</v>
      </c>
      <c r="P17" s="266">
        <v>13000000000</v>
      </c>
      <c r="Q17" s="266">
        <v>14000000000</v>
      </c>
      <c r="R17" s="266">
        <v>18000000000</v>
      </c>
      <c r="S17" s="266"/>
      <c r="T17" s="266"/>
      <c r="U17" s="266"/>
      <c r="V17" s="266"/>
      <c r="W17" s="28"/>
      <c r="X17" s="28"/>
    </row>
    <row r="18" spans="1:24" ht="16.5">
      <c r="A18" s="152" t="s">
        <v>2621</v>
      </c>
      <c r="B18" s="152" t="s">
        <v>2621</v>
      </c>
      <c r="C18" s="27" t="s">
        <v>1906</v>
      </c>
      <c r="D18" s="381">
        <v>31000000000</v>
      </c>
      <c r="E18" s="381">
        <v>36100000000</v>
      </c>
      <c r="F18" s="381">
        <v>30700000000</v>
      </c>
      <c r="G18" s="381">
        <v>30800000000</v>
      </c>
      <c r="H18" s="381">
        <v>36200000000</v>
      </c>
      <c r="I18" s="381">
        <v>31000000000</v>
      </c>
      <c r="J18" s="381">
        <v>83000000000</v>
      </c>
      <c r="K18" s="381">
        <v>126000000000</v>
      </c>
      <c r="L18" s="381">
        <v>99000000000</v>
      </c>
      <c r="M18" s="381">
        <v>103000000000</v>
      </c>
      <c r="N18" s="266">
        <v>121000000000</v>
      </c>
      <c r="O18" s="266">
        <v>156000000000</v>
      </c>
      <c r="P18" s="266">
        <v>200000000000</v>
      </c>
      <c r="Q18" s="266">
        <v>266000000000</v>
      </c>
      <c r="R18" s="266">
        <v>300000000000</v>
      </c>
      <c r="S18" s="266"/>
      <c r="T18" s="266"/>
      <c r="U18" s="266"/>
      <c r="V18" s="266"/>
      <c r="W18" s="28"/>
      <c r="X18" s="28"/>
    </row>
    <row r="19" spans="1:24" ht="16.5">
      <c r="A19" s="139" t="s">
        <v>53</v>
      </c>
      <c r="B19" s="139" t="s">
        <v>53</v>
      </c>
      <c r="C19" s="11" t="s">
        <v>38</v>
      </c>
      <c r="D19" s="381">
        <v>5100000000</v>
      </c>
      <c r="E19" s="381">
        <v>6300000000</v>
      </c>
      <c r="F19" s="381">
        <v>7700000000</v>
      </c>
      <c r="G19" s="381">
        <v>8300000000.000001</v>
      </c>
      <c r="H19" s="381">
        <v>18700000000</v>
      </c>
      <c r="I19" s="381">
        <v>14000000000</v>
      </c>
      <c r="J19" s="381">
        <v>15000000000</v>
      </c>
      <c r="K19" s="381">
        <v>15000000000</v>
      </c>
      <c r="L19" s="381">
        <v>14000000000</v>
      </c>
      <c r="M19" s="381">
        <v>21000000000</v>
      </c>
      <c r="N19" s="266">
        <v>83000000000</v>
      </c>
      <c r="O19" s="266">
        <v>84000000000</v>
      </c>
      <c r="P19" s="266">
        <v>464000000000</v>
      </c>
      <c r="Q19" s="266">
        <v>82000000000</v>
      </c>
      <c r="R19" s="266">
        <v>136000000000</v>
      </c>
      <c r="S19" s="266"/>
      <c r="T19" s="266"/>
      <c r="U19" s="266"/>
      <c r="V19" s="266"/>
      <c r="W19" s="28"/>
      <c r="X19" s="28"/>
    </row>
    <row r="20" spans="1:24" s="9" customFormat="1" ht="16.5">
      <c r="A20" s="148" t="s">
        <v>198</v>
      </c>
      <c r="B20" s="148" t="s">
        <v>198</v>
      </c>
      <c r="C20" s="239" t="s">
        <v>35</v>
      </c>
      <c r="D20" s="383">
        <f t="shared" ref="D20:F20" si="2">D22+D41+D44</f>
        <v>493800000000</v>
      </c>
      <c r="E20" s="383">
        <f t="shared" si="2"/>
        <v>506700000000</v>
      </c>
      <c r="F20" s="383">
        <f t="shared" si="2"/>
        <v>578100000000</v>
      </c>
      <c r="G20" s="383">
        <f>G22+G41+G44</f>
        <v>763100000000</v>
      </c>
      <c r="H20" s="383">
        <f t="shared" ref="H20:M20" si="3">H22+H41+H44</f>
        <v>875800000000</v>
      </c>
      <c r="I20" s="383">
        <f t="shared" si="3"/>
        <v>1179000000000</v>
      </c>
      <c r="J20" s="383">
        <f t="shared" si="3"/>
        <v>1405000000000</v>
      </c>
      <c r="K20" s="383">
        <f t="shared" si="3"/>
        <v>1738000000000</v>
      </c>
      <c r="L20" s="383">
        <f t="shared" si="3"/>
        <v>2217000000000</v>
      </c>
      <c r="M20" s="383">
        <f t="shared" si="3"/>
        <v>1795000000000</v>
      </c>
      <c r="N20" s="383">
        <f t="shared" ref="N20:R20" si="4">N21-N44</f>
        <v>2050000000000</v>
      </c>
      <c r="O20" s="383">
        <f t="shared" si="4"/>
        <v>2088000000000</v>
      </c>
      <c r="P20" s="383">
        <f t="shared" si="4"/>
        <v>2748000000000</v>
      </c>
      <c r="Q20" s="383">
        <f t="shared" si="4"/>
        <v>2675000000000</v>
      </c>
      <c r="R20" s="383">
        <f t="shared" si="4"/>
        <v>2863000000000</v>
      </c>
      <c r="S20" s="383">
        <v>1903692000000</v>
      </c>
      <c r="T20" s="383">
        <v>1488327000000</v>
      </c>
      <c r="U20" s="383"/>
      <c r="V20" s="383"/>
      <c r="W20" s="36"/>
      <c r="X20" s="36"/>
    </row>
    <row r="21" spans="1:24" ht="16.5">
      <c r="A21" t="s">
        <v>76</v>
      </c>
      <c r="B21" t="s">
        <v>379</v>
      </c>
      <c r="C21" s="34"/>
      <c r="D21" s="381">
        <v>493800000000</v>
      </c>
      <c r="E21" s="381">
        <v>506800000000</v>
      </c>
      <c r="F21" s="381">
        <v>578100000000</v>
      </c>
      <c r="G21" s="381">
        <v>763100000000</v>
      </c>
      <c r="H21" s="381">
        <v>875700000000</v>
      </c>
      <c r="I21" s="381">
        <v>1180000000000</v>
      </c>
      <c r="J21" s="381">
        <v>1405000000000</v>
      </c>
      <c r="K21" s="381">
        <v>1739000000000</v>
      </c>
      <c r="L21" s="381">
        <v>2217000000000</v>
      </c>
      <c r="M21" s="381">
        <v>1795000000000</v>
      </c>
      <c r="N21" s="266">
        <v>2050000000000</v>
      </c>
      <c r="O21" s="266">
        <v>2088000000000</v>
      </c>
      <c r="P21" s="266">
        <v>2748000000000</v>
      </c>
      <c r="Q21" s="266">
        <v>2675000000000</v>
      </c>
      <c r="R21" s="266">
        <v>2863000000000</v>
      </c>
      <c r="S21" s="266"/>
      <c r="T21" s="266"/>
      <c r="U21" s="266"/>
      <c r="V21" s="266"/>
    </row>
    <row r="22" spans="1:24" ht="16.5">
      <c r="A22" s="203" t="s">
        <v>73</v>
      </c>
      <c r="B22" t="s">
        <v>888</v>
      </c>
      <c r="C22" s="58" t="s">
        <v>201</v>
      </c>
      <c r="D22" s="381">
        <v>381900000000</v>
      </c>
      <c r="E22" s="381">
        <v>394200000000</v>
      </c>
      <c r="F22" s="381">
        <v>441400000000</v>
      </c>
      <c r="G22" s="381">
        <v>526400000000</v>
      </c>
      <c r="H22" s="381">
        <v>624600000000</v>
      </c>
      <c r="I22" s="381">
        <v>862000000000</v>
      </c>
      <c r="J22" s="381">
        <v>1062000000000</v>
      </c>
      <c r="K22" s="381">
        <v>1352000000000</v>
      </c>
      <c r="L22" s="381">
        <v>1852000000000</v>
      </c>
      <c r="M22" s="381">
        <v>1461000000000</v>
      </c>
      <c r="N22" s="266">
        <v>1734000000000</v>
      </c>
      <c r="O22" s="266">
        <v>1948000000000</v>
      </c>
      <c r="P22" s="266">
        <v>2467000000000</v>
      </c>
      <c r="Q22" s="266">
        <v>2470000000000</v>
      </c>
      <c r="R22" s="384">
        <v>2633000000000</v>
      </c>
      <c r="S22" s="266"/>
      <c r="T22" s="266"/>
      <c r="U22" s="266"/>
      <c r="V22" s="266"/>
      <c r="W22" s="28"/>
      <c r="X22" s="28"/>
    </row>
    <row r="23" spans="1:24" ht="16.5">
      <c r="A23" s="99" t="s">
        <v>79</v>
      </c>
      <c r="B23" s="99" t="s">
        <v>80</v>
      </c>
      <c r="C23" s="58" t="s">
        <v>204</v>
      </c>
      <c r="D23" s="381">
        <v>141400000000</v>
      </c>
      <c r="E23" s="381">
        <v>161800000000</v>
      </c>
      <c r="F23" s="381">
        <v>188600000000</v>
      </c>
      <c r="G23" s="381">
        <v>201900000000</v>
      </c>
      <c r="H23" s="381">
        <v>227000000000</v>
      </c>
      <c r="I23" s="381">
        <v>281000000000</v>
      </c>
      <c r="J23" s="381">
        <v>373000000000</v>
      </c>
      <c r="K23" s="381">
        <v>470000000000</v>
      </c>
      <c r="L23" s="381">
        <v>540000000000</v>
      </c>
      <c r="M23" s="381">
        <v>559000000000</v>
      </c>
      <c r="N23" s="266">
        <v>590000000000</v>
      </c>
      <c r="O23" s="266">
        <v>701000000000</v>
      </c>
      <c r="P23" s="266">
        <v>840000000000</v>
      </c>
      <c r="Q23" s="266">
        <v>885000000000</v>
      </c>
      <c r="R23" s="266">
        <v>957000000000</v>
      </c>
      <c r="S23" s="266"/>
      <c r="T23" s="266"/>
      <c r="U23" s="266"/>
      <c r="V23" s="266"/>
      <c r="W23" s="28"/>
      <c r="X23" s="28"/>
    </row>
    <row r="24" spans="1:24" ht="16.5">
      <c r="A24" s="99" t="s">
        <v>83</v>
      </c>
      <c r="B24" s="99" t="s">
        <v>48</v>
      </c>
      <c r="C24" s="58" t="s">
        <v>204</v>
      </c>
      <c r="D24" s="381">
        <v>46600000000</v>
      </c>
      <c r="E24" s="381">
        <v>59600000000</v>
      </c>
      <c r="F24" s="381">
        <v>65000000000</v>
      </c>
      <c r="G24" s="381">
        <v>74700000000</v>
      </c>
      <c r="H24" s="381">
        <v>82400000000</v>
      </c>
      <c r="I24" s="381">
        <v>93000000000</v>
      </c>
      <c r="J24" s="381">
        <v>128000000000</v>
      </c>
      <c r="K24" s="381">
        <v>167000000000</v>
      </c>
      <c r="L24" s="381">
        <v>161000000000</v>
      </c>
      <c r="M24" s="381">
        <v>168000000000</v>
      </c>
      <c r="N24" s="266">
        <v>188000000000</v>
      </c>
      <c r="O24" s="266">
        <v>168000000000</v>
      </c>
      <c r="P24" s="266">
        <v>224000000000</v>
      </c>
      <c r="Q24" s="266">
        <v>228000000000</v>
      </c>
      <c r="R24" s="266">
        <v>259000000000</v>
      </c>
      <c r="S24" s="266"/>
      <c r="T24" s="266"/>
      <c r="U24" s="266"/>
      <c r="V24" s="266"/>
      <c r="W24" s="28"/>
      <c r="X24" s="28"/>
    </row>
    <row r="25" spans="1:24" ht="16.5">
      <c r="A25" s="99" t="s">
        <v>213</v>
      </c>
      <c r="B25" s="99" t="s">
        <v>6903</v>
      </c>
      <c r="C25" s="58" t="s">
        <v>204</v>
      </c>
      <c r="D25" s="381">
        <v>9800000000</v>
      </c>
      <c r="E25" s="381">
        <v>5700000000</v>
      </c>
      <c r="F25" s="381">
        <v>10800000000</v>
      </c>
      <c r="G25" s="381">
        <v>12100000000</v>
      </c>
      <c r="H25" s="381">
        <v>8100000000</v>
      </c>
      <c r="I25" s="381">
        <v>15000000000</v>
      </c>
      <c r="J25" s="381">
        <v>19000000000</v>
      </c>
      <c r="K25" s="381">
        <v>35000000000</v>
      </c>
      <c r="L25" s="381">
        <v>25000000000</v>
      </c>
      <c r="M25" s="381">
        <v>24000000000</v>
      </c>
      <c r="N25" s="266">
        <v>27000000000</v>
      </c>
      <c r="O25" s="266">
        <v>26000000000</v>
      </c>
      <c r="P25" s="266">
        <v>33000000000</v>
      </c>
      <c r="Q25" s="266">
        <v>24000000000</v>
      </c>
      <c r="R25" s="266">
        <v>30000000000</v>
      </c>
      <c r="S25" s="266"/>
      <c r="T25" s="266"/>
      <c r="U25" s="266"/>
      <c r="V25" s="266"/>
      <c r="W25" s="28"/>
      <c r="X25" s="28"/>
    </row>
    <row r="26" spans="1:24" ht="16.5">
      <c r="A26" s="99" t="s">
        <v>6904</v>
      </c>
      <c r="B26" s="99" t="s">
        <v>6905</v>
      </c>
      <c r="C26" s="58" t="s">
        <v>204</v>
      </c>
      <c r="D26" s="381">
        <v>34600000000</v>
      </c>
      <c r="E26" s="381">
        <v>33299999999.999996</v>
      </c>
      <c r="F26" s="381">
        <v>34700000000</v>
      </c>
      <c r="G26" s="381">
        <v>38000000000</v>
      </c>
      <c r="H26" s="381">
        <v>54000000000</v>
      </c>
      <c r="I26" s="381">
        <v>69000000000</v>
      </c>
      <c r="J26" s="381">
        <v>87000000000</v>
      </c>
      <c r="K26" s="381">
        <v>97000000000</v>
      </c>
      <c r="L26" s="381">
        <v>129000000000</v>
      </c>
      <c r="M26" s="381">
        <v>127000000000</v>
      </c>
      <c r="N26" s="266">
        <v>163000000000</v>
      </c>
      <c r="O26" s="266">
        <v>303000000000</v>
      </c>
      <c r="P26" s="266">
        <v>413000000000</v>
      </c>
      <c r="Q26" s="266">
        <v>473000000000</v>
      </c>
      <c r="R26" s="266">
        <v>516000000000</v>
      </c>
      <c r="S26" s="266"/>
      <c r="T26" s="266"/>
      <c r="U26" s="266"/>
      <c r="V26" s="266"/>
      <c r="W26" s="28"/>
      <c r="X26" s="28"/>
    </row>
    <row r="27" spans="1:24" ht="16.5">
      <c r="A27" s="138" t="s">
        <v>209</v>
      </c>
      <c r="B27" s="138" t="s">
        <v>209</v>
      </c>
      <c r="C27" s="27" t="s">
        <v>211</v>
      </c>
      <c r="D27" s="381">
        <v>29200000000</v>
      </c>
      <c r="E27" s="381">
        <v>26800000000</v>
      </c>
      <c r="F27" s="381">
        <v>26200000000</v>
      </c>
      <c r="G27" s="381">
        <v>30500000000</v>
      </c>
      <c r="H27" s="381">
        <v>44900000000</v>
      </c>
      <c r="I27" s="381">
        <v>60000000000</v>
      </c>
      <c r="J27" s="381">
        <v>76000000000</v>
      </c>
      <c r="K27" s="381">
        <v>87000000000</v>
      </c>
      <c r="L27" s="381">
        <v>115000000000</v>
      </c>
      <c r="M27" s="381">
        <v>114000000000</v>
      </c>
      <c r="N27" s="266">
        <v>148000000000</v>
      </c>
      <c r="O27" s="266">
        <v>288000000000</v>
      </c>
      <c r="P27" s="266">
        <v>398000000000</v>
      </c>
      <c r="Q27" s="266">
        <v>457000000000</v>
      </c>
      <c r="R27" s="266">
        <v>495000000000</v>
      </c>
      <c r="S27" s="266"/>
      <c r="T27" s="266"/>
      <c r="U27" s="266"/>
      <c r="V27" s="266"/>
      <c r="W27" s="28"/>
      <c r="X27" s="28"/>
    </row>
    <row r="28" spans="1:24" ht="16.5">
      <c r="A28" s="138" t="s">
        <v>280</v>
      </c>
      <c r="B28" s="138" t="s">
        <v>280</v>
      </c>
      <c r="C28" s="27" t="s">
        <v>211</v>
      </c>
      <c r="D28" s="381">
        <v>5400000000</v>
      </c>
      <c r="E28" s="381">
        <v>6500000000</v>
      </c>
      <c r="F28" s="381">
        <v>8500000000</v>
      </c>
      <c r="G28" s="381">
        <v>7500000000</v>
      </c>
      <c r="H28" s="381">
        <v>9100000000</v>
      </c>
      <c r="I28" s="381">
        <v>9000000000</v>
      </c>
      <c r="J28" s="381">
        <v>11000000000</v>
      </c>
      <c r="K28" s="381">
        <v>10000000000</v>
      </c>
      <c r="L28" s="381">
        <v>14000000000</v>
      </c>
      <c r="M28" s="381">
        <v>13000000000</v>
      </c>
      <c r="N28" s="266">
        <v>15000000000</v>
      </c>
      <c r="O28" s="266">
        <v>15000000000</v>
      </c>
      <c r="P28" s="266">
        <v>15000000000</v>
      </c>
      <c r="Q28" s="266">
        <v>15000000000</v>
      </c>
      <c r="R28" s="266">
        <v>20000000000</v>
      </c>
      <c r="S28" s="266"/>
      <c r="T28" s="266"/>
      <c r="U28" s="266"/>
      <c r="V28" s="266"/>
      <c r="W28" s="28"/>
      <c r="X28" s="28"/>
    </row>
    <row r="29" spans="1:24" ht="16.5">
      <c r="A29" s="99" t="s">
        <v>1437</v>
      </c>
      <c r="B29" s="99" t="s">
        <v>6906</v>
      </c>
      <c r="C29" s="34"/>
      <c r="D29" s="381">
        <v>141600000000</v>
      </c>
      <c r="E29" s="381">
        <v>123900000000</v>
      </c>
      <c r="F29" s="381">
        <v>131000000000</v>
      </c>
      <c r="G29" s="381">
        <v>185900000000</v>
      </c>
      <c r="H29" s="381">
        <v>235900000000</v>
      </c>
      <c r="I29" s="381">
        <v>385000000000</v>
      </c>
      <c r="J29" s="381">
        <v>418000000000</v>
      </c>
      <c r="K29" s="381">
        <v>534000000000</v>
      </c>
      <c r="L29" s="381">
        <v>938000000000</v>
      </c>
      <c r="M29" s="381">
        <v>554000000000</v>
      </c>
      <c r="N29" s="266">
        <v>734000000000</v>
      </c>
      <c r="O29" s="266">
        <v>713000000000</v>
      </c>
      <c r="P29" s="266">
        <v>912000000000</v>
      </c>
      <c r="Q29" s="266">
        <v>812000000000</v>
      </c>
      <c r="R29" s="266">
        <v>817000000000</v>
      </c>
      <c r="S29" s="266"/>
      <c r="T29" s="266"/>
      <c r="U29" s="266"/>
      <c r="V29" s="266"/>
      <c r="W29" s="28"/>
      <c r="X29" s="28"/>
    </row>
    <row r="30" spans="1:24" ht="16.5">
      <c r="A30" s="385" t="s">
        <v>215</v>
      </c>
      <c r="B30" s="385" t="s">
        <v>215</v>
      </c>
      <c r="C30" s="58" t="s">
        <v>204</v>
      </c>
      <c r="D30" s="381">
        <v>88300000000</v>
      </c>
      <c r="E30" s="381">
        <v>62700000000</v>
      </c>
      <c r="F30" s="381">
        <v>57000000000</v>
      </c>
      <c r="G30" s="381">
        <v>110600000000</v>
      </c>
      <c r="H30" s="381">
        <v>152400000000</v>
      </c>
      <c r="I30" s="381">
        <v>286000000000</v>
      </c>
      <c r="J30" s="381">
        <v>309000000000</v>
      </c>
      <c r="K30" s="381">
        <v>408000000000</v>
      </c>
      <c r="L30" s="381">
        <v>750000000000</v>
      </c>
      <c r="M30" s="381">
        <v>420000000000</v>
      </c>
      <c r="N30" s="266">
        <v>591000000000</v>
      </c>
      <c r="O30" s="266">
        <v>567000000000</v>
      </c>
      <c r="P30" s="266">
        <v>708000000000</v>
      </c>
      <c r="Q30" s="266">
        <v>629000000000</v>
      </c>
      <c r="R30" s="266">
        <v>629000000000</v>
      </c>
      <c r="S30" s="266"/>
      <c r="T30" s="266"/>
      <c r="U30" s="266"/>
      <c r="V30" s="266"/>
      <c r="W30" s="28"/>
      <c r="X30" s="28"/>
    </row>
    <row r="31" spans="1:24" ht="16.5">
      <c r="A31" t="s">
        <v>76</v>
      </c>
      <c r="B31" s="100" t="s">
        <v>6022</v>
      </c>
      <c r="C31" s="34"/>
      <c r="D31" s="267"/>
      <c r="E31" s="267"/>
      <c r="F31" s="267"/>
      <c r="G31" s="267"/>
      <c r="H31" s="267"/>
      <c r="I31" s="386"/>
      <c r="J31" s="386"/>
      <c r="K31" s="386"/>
      <c r="L31" s="386"/>
      <c r="M31" s="386"/>
      <c r="N31" s="266"/>
      <c r="O31" s="266"/>
      <c r="P31" s="266"/>
      <c r="Q31" s="266"/>
      <c r="R31" s="266"/>
      <c r="S31" s="266"/>
      <c r="T31" s="266"/>
      <c r="U31" s="266"/>
      <c r="V31" s="266"/>
      <c r="W31" s="28"/>
      <c r="X31" s="28"/>
    </row>
    <row r="32" spans="1:24" ht="16.5">
      <c r="A32" s="100" t="s">
        <v>6907</v>
      </c>
      <c r="B32" s="100" t="s">
        <v>6908</v>
      </c>
      <c r="C32" s="27" t="s">
        <v>218</v>
      </c>
      <c r="D32" s="381">
        <v>79700000000</v>
      </c>
      <c r="E32" s="381">
        <v>60700000000</v>
      </c>
      <c r="F32" s="381">
        <v>52500000000</v>
      </c>
      <c r="G32" s="381">
        <v>104600000000</v>
      </c>
      <c r="H32" s="381">
        <v>146400000000</v>
      </c>
      <c r="I32" s="381">
        <v>280000000000</v>
      </c>
      <c r="J32" s="381">
        <v>303000000000</v>
      </c>
      <c r="K32" s="381">
        <v>402000000000</v>
      </c>
      <c r="L32" s="381">
        <v>744000000000</v>
      </c>
      <c r="M32" s="381">
        <v>391000000000</v>
      </c>
      <c r="N32" s="266"/>
      <c r="O32" s="266"/>
      <c r="P32" s="266"/>
      <c r="Q32" s="266"/>
      <c r="R32" s="266"/>
      <c r="S32" s="266"/>
      <c r="T32" s="266"/>
      <c r="U32" s="266"/>
      <c r="V32" s="266"/>
      <c r="W32" s="28"/>
      <c r="X32" s="28"/>
    </row>
    <row r="33" spans="1:24" ht="16.5">
      <c r="A33" s="126" t="s">
        <v>6909</v>
      </c>
      <c r="B33" s="126" t="s">
        <v>6909</v>
      </c>
      <c r="C33" s="27" t="s">
        <v>218</v>
      </c>
      <c r="D33" s="381">
        <v>0</v>
      </c>
      <c r="E33" s="381">
        <v>0</v>
      </c>
      <c r="F33" s="381">
        <v>4500000000</v>
      </c>
      <c r="G33" s="381">
        <v>6000000000</v>
      </c>
      <c r="H33" s="381">
        <v>6000000000</v>
      </c>
      <c r="I33" s="381">
        <v>6000000000</v>
      </c>
      <c r="J33" s="381">
        <v>6000000000</v>
      </c>
      <c r="K33" s="381">
        <v>6000000000</v>
      </c>
      <c r="L33" s="381">
        <v>6000000000</v>
      </c>
      <c r="M33" s="381">
        <v>6000000000</v>
      </c>
      <c r="N33" s="266"/>
      <c r="O33" s="266"/>
      <c r="P33" s="266"/>
      <c r="Q33" s="266"/>
      <c r="R33" s="266"/>
      <c r="S33" s="266"/>
      <c r="T33" s="266"/>
      <c r="U33" s="266"/>
      <c r="V33" s="266"/>
      <c r="W33" s="28"/>
      <c r="X33" s="28"/>
    </row>
    <row r="34" spans="1:24" ht="16.5">
      <c r="A34" s="126" t="s">
        <v>50</v>
      </c>
      <c r="B34" s="126" t="s">
        <v>50</v>
      </c>
      <c r="C34" s="27" t="s">
        <v>218</v>
      </c>
      <c r="D34" s="382">
        <f>D30-D32-D33</f>
        <v>8600000000</v>
      </c>
      <c r="E34" s="382">
        <f t="shared" ref="E34:M34" si="5">E30-E32-E33</f>
        <v>2000000000</v>
      </c>
      <c r="F34" s="382">
        <f t="shared" si="5"/>
        <v>0</v>
      </c>
      <c r="G34" s="382">
        <f t="shared" si="5"/>
        <v>0</v>
      </c>
      <c r="H34" s="382">
        <f t="shared" si="5"/>
        <v>0</v>
      </c>
      <c r="I34" s="382">
        <f t="shared" si="5"/>
        <v>0</v>
      </c>
      <c r="J34" s="382">
        <f t="shared" si="5"/>
        <v>0</v>
      </c>
      <c r="K34" s="382">
        <f t="shared" si="5"/>
        <v>0</v>
      </c>
      <c r="L34" s="382">
        <f t="shared" si="5"/>
        <v>0</v>
      </c>
      <c r="M34" s="382">
        <f t="shared" si="5"/>
        <v>23000000000</v>
      </c>
      <c r="N34" s="266"/>
      <c r="O34" s="266"/>
      <c r="P34" s="266"/>
      <c r="Q34" s="266"/>
      <c r="R34" s="266"/>
      <c r="S34" s="266"/>
      <c r="T34" s="266"/>
      <c r="U34" s="266"/>
      <c r="V34" s="266"/>
      <c r="W34" s="28"/>
      <c r="X34" s="28"/>
    </row>
    <row r="35" spans="1:24" ht="16.5">
      <c r="A35" s="152" t="s">
        <v>389</v>
      </c>
      <c r="B35" s="152" t="s">
        <v>389</v>
      </c>
      <c r="C35" s="58" t="s">
        <v>204</v>
      </c>
      <c r="D35" s="381">
        <v>53300000000</v>
      </c>
      <c r="E35" s="381">
        <v>61200000000</v>
      </c>
      <c r="F35" s="381">
        <v>74100000000</v>
      </c>
      <c r="G35" s="381">
        <v>75400000000</v>
      </c>
      <c r="H35" s="381">
        <v>83600000000</v>
      </c>
      <c r="I35" s="381">
        <v>99000000000</v>
      </c>
      <c r="J35" s="381">
        <v>109000000000</v>
      </c>
      <c r="K35" s="381">
        <v>126000000000</v>
      </c>
      <c r="L35" s="381">
        <v>188000000000</v>
      </c>
      <c r="M35" s="381">
        <v>133000000000</v>
      </c>
      <c r="N35" s="266">
        <v>143000000000</v>
      </c>
      <c r="O35" s="266">
        <v>146000000000</v>
      </c>
      <c r="P35" s="266">
        <v>204000000000</v>
      </c>
      <c r="Q35" s="266">
        <v>183000000000</v>
      </c>
      <c r="R35" s="266">
        <v>187000000000</v>
      </c>
      <c r="S35" s="266"/>
      <c r="T35" s="266"/>
      <c r="U35" s="266"/>
      <c r="V35" s="266"/>
      <c r="W35" s="28"/>
      <c r="X35" s="28"/>
    </row>
    <row r="36" spans="1:24" ht="16.5">
      <c r="A36" s="100" t="s">
        <v>6910</v>
      </c>
      <c r="B36" s="100" t="s">
        <v>6911</v>
      </c>
      <c r="C36" s="27" t="s">
        <v>486</v>
      </c>
      <c r="D36" s="381">
        <v>10600000000</v>
      </c>
      <c r="E36" s="381">
        <v>12700000000</v>
      </c>
      <c r="F36" s="381">
        <v>18700000000</v>
      </c>
      <c r="G36" s="381">
        <v>18700000000</v>
      </c>
      <c r="H36" s="381">
        <v>20900000000</v>
      </c>
      <c r="I36" s="381">
        <v>22000000000</v>
      </c>
      <c r="J36" s="381">
        <v>18000000000</v>
      </c>
      <c r="K36" s="381">
        <v>23000000000</v>
      </c>
      <c r="L36" s="381">
        <v>34000000000</v>
      </c>
      <c r="M36" s="381">
        <v>43000000000</v>
      </c>
      <c r="N36" s="386"/>
      <c r="O36" s="386"/>
      <c r="P36" s="386"/>
      <c r="Q36" s="266">
        <v>65000000000</v>
      </c>
      <c r="R36" s="266">
        <v>73000000000</v>
      </c>
      <c r="S36" s="386"/>
      <c r="T36" s="386"/>
      <c r="U36" s="386"/>
      <c r="V36" s="386"/>
      <c r="W36" s="28"/>
      <c r="X36" s="28"/>
    </row>
    <row r="37" spans="1:24" ht="16.5">
      <c r="A37" s="100" t="s">
        <v>6912</v>
      </c>
      <c r="B37" s="100" t="s">
        <v>6913</v>
      </c>
      <c r="C37" s="27" t="s">
        <v>486</v>
      </c>
      <c r="D37" s="267"/>
      <c r="E37" s="267"/>
      <c r="F37" s="267"/>
      <c r="G37" s="267"/>
      <c r="H37" s="267"/>
      <c r="I37" s="267"/>
      <c r="J37" s="267"/>
      <c r="K37" s="267"/>
      <c r="L37" s="267"/>
      <c r="M37" s="267"/>
      <c r="N37" s="386"/>
      <c r="O37" s="386"/>
      <c r="P37" s="386"/>
      <c r="Q37" s="266">
        <v>70000000000</v>
      </c>
      <c r="R37" s="266">
        <v>78000000000</v>
      </c>
      <c r="S37" s="386"/>
      <c r="T37" s="386"/>
      <c r="U37" s="386"/>
      <c r="V37" s="386"/>
      <c r="W37" s="28"/>
      <c r="X37" s="28"/>
    </row>
    <row r="38" spans="1:24" ht="16.5">
      <c r="A38" s="100" t="s">
        <v>6914</v>
      </c>
      <c r="B38" s="100" t="s">
        <v>6915</v>
      </c>
      <c r="C38" s="27" t="s">
        <v>486</v>
      </c>
      <c r="D38" s="267"/>
      <c r="E38" s="267"/>
      <c r="F38" s="267"/>
      <c r="G38" s="267"/>
      <c r="H38" s="267"/>
      <c r="I38" s="267"/>
      <c r="J38" s="267"/>
      <c r="K38" s="267"/>
      <c r="L38" s="267"/>
      <c r="M38" s="267"/>
      <c r="N38" s="386"/>
      <c r="O38" s="386"/>
      <c r="P38" s="386"/>
      <c r="Q38" s="266">
        <v>13000000000</v>
      </c>
      <c r="R38" s="266">
        <v>0</v>
      </c>
      <c r="S38" s="386"/>
      <c r="T38" s="386"/>
      <c r="U38" s="386"/>
      <c r="V38" s="386"/>
      <c r="W38" s="28"/>
      <c r="X38" s="28"/>
    </row>
    <row r="39" spans="1:24" ht="16.5">
      <c r="A39" s="138" t="s">
        <v>50</v>
      </c>
      <c r="B39" s="138" t="s">
        <v>50</v>
      </c>
      <c r="C39" s="27" t="s">
        <v>486</v>
      </c>
      <c r="D39" s="382">
        <f>D35-D36</f>
        <v>42700000000</v>
      </c>
      <c r="E39" s="382">
        <f t="shared" ref="E39:M39" si="6">E35-E36</f>
        <v>48500000000</v>
      </c>
      <c r="F39" s="382">
        <f t="shared" si="6"/>
        <v>55400000000</v>
      </c>
      <c r="G39" s="382">
        <f t="shared" si="6"/>
        <v>56700000000</v>
      </c>
      <c r="H39" s="382">
        <f t="shared" si="6"/>
        <v>62700000000</v>
      </c>
      <c r="I39" s="382">
        <f t="shared" si="6"/>
        <v>77000000000</v>
      </c>
      <c r="J39" s="382">
        <f t="shared" si="6"/>
        <v>91000000000</v>
      </c>
      <c r="K39" s="382">
        <f t="shared" si="6"/>
        <v>103000000000</v>
      </c>
      <c r="L39" s="382">
        <f t="shared" si="6"/>
        <v>154000000000</v>
      </c>
      <c r="M39" s="382">
        <f t="shared" si="6"/>
        <v>90000000000</v>
      </c>
      <c r="N39" s="386"/>
      <c r="O39" s="386"/>
      <c r="P39" s="386"/>
      <c r="Q39" s="266">
        <v>35000000000</v>
      </c>
      <c r="R39" s="266">
        <v>36000000000</v>
      </c>
      <c r="S39" s="386"/>
      <c r="T39" s="386"/>
      <c r="U39" s="386"/>
      <c r="V39" s="386"/>
      <c r="W39" s="28"/>
      <c r="X39" s="28"/>
    </row>
    <row r="40" spans="1:24" ht="16.5">
      <c r="A40" s="152" t="s">
        <v>50</v>
      </c>
      <c r="B40" s="152" t="s">
        <v>50</v>
      </c>
      <c r="C40" s="58" t="s">
        <v>204</v>
      </c>
      <c r="D40" s="381">
        <v>7900000000</v>
      </c>
      <c r="E40" s="381">
        <v>9900000000</v>
      </c>
      <c r="F40" s="381">
        <v>11300000000</v>
      </c>
      <c r="G40" s="381">
        <v>13700000000</v>
      </c>
      <c r="H40" s="381">
        <v>17200000000</v>
      </c>
      <c r="I40" s="381">
        <v>19000000000</v>
      </c>
      <c r="J40" s="381">
        <v>37000000000</v>
      </c>
      <c r="K40" s="381">
        <v>50000000000</v>
      </c>
      <c r="L40" s="381">
        <v>58000000000</v>
      </c>
      <c r="M40" s="381">
        <v>29000000000</v>
      </c>
      <c r="N40" s="266">
        <v>33000000000</v>
      </c>
      <c r="O40" s="266">
        <v>36000000000</v>
      </c>
      <c r="P40" s="266">
        <v>45000000000</v>
      </c>
      <c r="Q40" s="266">
        <v>49000000000</v>
      </c>
      <c r="R40" s="266">
        <v>55000000000</v>
      </c>
      <c r="S40" s="266"/>
      <c r="T40" s="266"/>
      <c r="U40" s="266"/>
      <c r="V40" s="266"/>
      <c r="W40" s="28"/>
      <c r="X40" s="28"/>
    </row>
    <row r="41" spans="1:24" ht="16.5">
      <c r="A41" s="90" t="s">
        <v>237</v>
      </c>
      <c r="B41" s="90" t="s">
        <v>342</v>
      </c>
      <c r="C41" s="58" t="s">
        <v>201</v>
      </c>
      <c r="D41" s="381">
        <v>90800000000</v>
      </c>
      <c r="E41" s="381">
        <v>82700000000</v>
      </c>
      <c r="F41" s="381">
        <v>111500000000</v>
      </c>
      <c r="G41" s="381">
        <v>198400000000</v>
      </c>
      <c r="H41" s="381">
        <v>210600000000</v>
      </c>
      <c r="I41" s="381">
        <v>254000000000</v>
      </c>
      <c r="J41" s="381">
        <v>274000000000</v>
      </c>
      <c r="K41" s="381">
        <v>310000000000</v>
      </c>
      <c r="L41" s="381">
        <v>318000000000</v>
      </c>
      <c r="M41" s="381">
        <v>334000000000</v>
      </c>
      <c r="N41" s="266">
        <v>316000000000</v>
      </c>
      <c r="O41" s="266">
        <v>140000000000</v>
      </c>
      <c r="P41" s="266">
        <v>281000000000</v>
      </c>
      <c r="Q41" s="266">
        <v>205000000000</v>
      </c>
      <c r="R41" s="266">
        <v>230000000000</v>
      </c>
      <c r="S41" s="266"/>
      <c r="T41" s="266"/>
      <c r="U41" s="266"/>
      <c r="V41" s="266"/>
      <c r="W41" s="28"/>
      <c r="X41" s="28"/>
    </row>
    <row r="42" spans="1:24" ht="16.5">
      <c r="A42" s="99" t="s">
        <v>6916</v>
      </c>
      <c r="B42" s="99" t="s">
        <v>6917</v>
      </c>
      <c r="C42" s="11" t="s">
        <v>95</v>
      </c>
      <c r="D42" s="381"/>
      <c r="E42" s="381"/>
      <c r="F42" s="381"/>
      <c r="G42" s="381"/>
      <c r="H42" s="381"/>
      <c r="I42" s="381"/>
      <c r="J42" s="381"/>
      <c r="K42" s="381">
        <v>46000000000</v>
      </c>
      <c r="L42" s="381">
        <v>189000000000</v>
      </c>
      <c r="M42" s="381">
        <v>0</v>
      </c>
      <c r="N42" s="266">
        <v>0</v>
      </c>
      <c r="O42" s="266">
        <v>140000000000</v>
      </c>
      <c r="P42" s="266">
        <v>104000000000</v>
      </c>
      <c r="Q42" s="266">
        <v>66000000000</v>
      </c>
      <c r="R42" s="266">
        <v>141000000000</v>
      </c>
      <c r="S42" s="266"/>
      <c r="T42" s="266"/>
      <c r="U42" s="266"/>
      <c r="V42" s="266"/>
      <c r="W42" s="28"/>
      <c r="X42" s="28"/>
    </row>
    <row r="43" spans="1:24">
      <c r="A43" s="99" t="s">
        <v>6918</v>
      </c>
      <c r="B43" s="99" t="s">
        <v>6918</v>
      </c>
      <c r="C43" s="11" t="s">
        <v>95</v>
      </c>
      <c r="D43" s="381"/>
      <c r="E43" s="381"/>
      <c r="F43" s="381"/>
      <c r="G43" s="381"/>
      <c r="H43" s="381"/>
      <c r="I43" s="381"/>
      <c r="J43" s="381"/>
      <c r="K43" s="398">
        <f>K41-K42</f>
        <v>264000000000</v>
      </c>
      <c r="L43" s="398">
        <f t="shared" ref="L43:R43" si="7">L41-L42</f>
        <v>129000000000</v>
      </c>
      <c r="M43" s="398">
        <f t="shared" si="7"/>
        <v>334000000000</v>
      </c>
      <c r="N43" s="398">
        <f t="shared" si="7"/>
        <v>316000000000</v>
      </c>
      <c r="O43" s="398">
        <f t="shared" si="7"/>
        <v>0</v>
      </c>
      <c r="P43" s="398">
        <f t="shared" si="7"/>
        <v>177000000000</v>
      </c>
      <c r="Q43" s="398">
        <f t="shared" si="7"/>
        <v>139000000000</v>
      </c>
      <c r="R43" s="398">
        <f t="shared" si="7"/>
        <v>89000000000</v>
      </c>
      <c r="S43" s="398"/>
      <c r="T43" s="398"/>
      <c r="U43" s="398"/>
      <c r="V43" s="398"/>
      <c r="W43" s="28"/>
      <c r="X43" s="28"/>
    </row>
    <row r="44" spans="1:24" ht="16.5">
      <c r="A44" s="90" t="s">
        <v>612</v>
      </c>
      <c r="B44" s="90" t="s">
        <v>1159</v>
      </c>
      <c r="C44" s="58" t="s">
        <v>201</v>
      </c>
      <c r="D44" s="381">
        <v>21100000000</v>
      </c>
      <c r="E44" s="381">
        <v>29800000000</v>
      </c>
      <c r="F44" s="381">
        <v>25200000000</v>
      </c>
      <c r="G44" s="381">
        <v>38300000000</v>
      </c>
      <c r="H44" s="381">
        <v>40600000000</v>
      </c>
      <c r="I44" s="381">
        <v>63000000000</v>
      </c>
      <c r="J44" s="381">
        <v>69000000000</v>
      </c>
      <c r="K44" s="381">
        <v>76000000000</v>
      </c>
      <c r="L44" s="381">
        <v>47000000000</v>
      </c>
      <c r="M44" s="381">
        <v>0</v>
      </c>
      <c r="N44" s="266">
        <v>0</v>
      </c>
      <c r="O44" s="266">
        <v>0</v>
      </c>
      <c r="P44" s="266">
        <v>0</v>
      </c>
      <c r="Q44" s="266">
        <v>0</v>
      </c>
      <c r="R44" s="266">
        <v>0</v>
      </c>
      <c r="S44" s="266"/>
      <c r="T44" s="266"/>
      <c r="U44" s="266"/>
      <c r="V44" s="266"/>
      <c r="W44" s="28"/>
      <c r="X44" s="28"/>
    </row>
    <row r="45" spans="1:24" ht="16.5">
      <c r="A45" t="s">
        <v>76</v>
      </c>
      <c r="B45" s="90" t="s">
        <v>346</v>
      </c>
      <c r="C45" s="90"/>
      <c r="D45" s="381">
        <v>103700000000</v>
      </c>
      <c r="E45" s="381">
        <v>37500000000</v>
      </c>
      <c r="F45" s="381">
        <v>20000000000</v>
      </c>
      <c r="G45" s="381">
        <v>-101200000000</v>
      </c>
      <c r="H45" s="381">
        <v>-55200000000</v>
      </c>
      <c r="I45" s="381">
        <v>-58000000000</v>
      </c>
      <c r="J45" s="381">
        <v>45000000000</v>
      </c>
      <c r="K45" s="381">
        <v>-309000000000</v>
      </c>
      <c r="L45" s="381">
        <v>-244000000000</v>
      </c>
      <c r="M45" s="381">
        <v>-521000000000</v>
      </c>
      <c r="N45" s="266">
        <v>-275000000000</v>
      </c>
      <c r="O45" s="266">
        <v>-315000000000</v>
      </c>
      <c r="P45" s="266">
        <v>-479000000000</v>
      </c>
      <c r="Q45" s="266">
        <v>-599000000000</v>
      </c>
      <c r="R45" s="266">
        <v>-525000000000</v>
      </c>
      <c r="S45" s="266"/>
      <c r="T45" s="266"/>
      <c r="U45" s="266"/>
      <c r="V45" s="266"/>
      <c r="W45" s="28"/>
      <c r="X45" s="28"/>
    </row>
    <row r="46" spans="1:24" ht="16.5">
      <c r="A46" t="s">
        <v>76</v>
      </c>
      <c r="B46" s="139" t="s">
        <v>1560</v>
      </c>
      <c r="C46" s="90"/>
      <c r="D46" s="267"/>
      <c r="E46" s="267"/>
      <c r="F46" s="267"/>
      <c r="G46" s="267"/>
      <c r="H46" s="267"/>
      <c r="I46" s="381">
        <v>38000000000</v>
      </c>
      <c r="J46" s="381">
        <v>-71000000000</v>
      </c>
      <c r="K46" s="381">
        <v>60000000000</v>
      </c>
      <c r="L46" s="381">
        <v>69000000000</v>
      </c>
      <c r="M46" s="381">
        <v>74000000000</v>
      </c>
      <c r="N46" s="266">
        <v>17000000000</v>
      </c>
      <c r="O46" s="266">
        <v>-44000000000</v>
      </c>
      <c r="P46" s="266">
        <v>-2000000000</v>
      </c>
      <c r="Q46" s="266">
        <v>-26000000000</v>
      </c>
      <c r="R46" s="266">
        <v>0</v>
      </c>
      <c r="S46" s="266"/>
      <c r="T46" s="266"/>
      <c r="U46" s="266"/>
      <c r="V46" s="266"/>
      <c r="W46" s="28"/>
      <c r="X46" s="28"/>
    </row>
    <row r="47" spans="1:24" s="9" customFormat="1" ht="16.5">
      <c r="A47" s="148" t="s">
        <v>115</v>
      </c>
      <c r="B47" s="148" t="s">
        <v>115</v>
      </c>
      <c r="C47" s="239" t="s">
        <v>35</v>
      </c>
      <c r="D47" s="381">
        <v>-150000000000</v>
      </c>
      <c r="E47" s="381">
        <v>61500000000</v>
      </c>
      <c r="F47" s="381">
        <v>3900000000</v>
      </c>
      <c r="G47" s="381">
        <v>113700000000</v>
      </c>
      <c r="H47" s="381">
        <v>42600000000</v>
      </c>
      <c r="I47" s="381">
        <v>20000000000</v>
      </c>
      <c r="J47" s="381">
        <v>26000000000</v>
      </c>
      <c r="K47" s="381">
        <v>250000000000</v>
      </c>
      <c r="L47" s="381">
        <v>174000000000</v>
      </c>
      <c r="M47" s="381">
        <v>447000000000</v>
      </c>
      <c r="N47" s="265">
        <v>341000000000</v>
      </c>
      <c r="O47" s="265">
        <v>360000000000</v>
      </c>
      <c r="P47" s="265">
        <v>481000000000</v>
      </c>
      <c r="Q47" s="265">
        <v>625000000000</v>
      </c>
      <c r="R47" s="265">
        <v>525000000000</v>
      </c>
      <c r="S47" s="265">
        <f>S20-S6</f>
        <v>857270000000</v>
      </c>
      <c r="T47" s="265">
        <f>T20-T6</f>
        <v>894192000000</v>
      </c>
      <c r="U47" s="265"/>
      <c r="V47" s="265"/>
    </row>
    <row r="48" spans="1:24" ht="16.5">
      <c r="A48" s="43" t="s">
        <v>117</v>
      </c>
      <c r="B48" s="139" t="s">
        <v>280</v>
      </c>
      <c r="C48" s="11" t="s">
        <v>119</v>
      </c>
      <c r="D48" s="381">
        <v>4600000000</v>
      </c>
      <c r="E48" s="381">
        <v>92300000000</v>
      </c>
      <c r="F48" s="381">
        <v>17000000000</v>
      </c>
      <c r="G48" s="381">
        <v>12200000000</v>
      </c>
      <c r="H48" s="381">
        <v>18800000000</v>
      </c>
      <c r="I48" s="381">
        <v>13000000000</v>
      </c>
      <c r="J48" s="381">
        <v>53000000000</v>
      </c>
      <c r="K48" s="381">
        <v>47000000000</v>
      </c>
      <c r="L48" s="381">
        <v>21000000000</v>
      </c>
      <c r="M48" s="381">
        <v>7000000000</v>
      </c>
      <c r="N48" s="266">
        <v>38000000000</v>
      </c>
      <c r="O48" s="266">
        <v>-21000000000</v>
      </c>
      <c r="P48" s="266">
        <v>40000000000</v>
      </c>
      <c r="Q48" s="266">
        <v>8000000000</v>
      </c>
      <c r="R48" s="266">
        <v>18000000000</v>
      </c>
      <c r="S48" s="266"/>
      <c r="T48" s="266"/>
      <c r="U48" s="266"/>
      <c r="V48" s="266"/>
      <c r="W48" s="28"/>
      <c r="X48" s="28"/>
    </row>
    <row r="49" spans="1:24" ht="16.5">
      <c r="A49" s="100" t="s">
        <v>6919</v>
      </c>
      <c r="B49" s="100" t="s">
        <v>6920</v>
      </c>
      <c r="C49" s="58" t="s">
        <v>264</v>
      </c>
      <c r="D49" s="267"/>
      <c r="E49" s="267"/>
      <c r="F49" s="267"/>
      <c r="G49" s="267"/>
      <c r="H49" s="267"/>
      <c r="I49" s="267"/>
      <c r="J49" s="267"/>
      <c r="K49" s="267"/>
      <c r="L49" s="267"/>
      <c r="M49" s="267"/>
      <c r="N49" s="266">
        <v>0</v>
      </c>
      <c r="O49" s="266">
        <v>0</v>
      </c>
      <c r="P49" s="266">
        <v>0</v>
      </c>
      <c r="Q49" s="266">
        <v>0</v>
      </c>
      <c r="R49" s="266">
        <v>16100000000.000002</v>
      </c>
      <c r="S49" s="266"/>
      <c r="T49" s="266"/>
      <c r="U49" s="266"/>
      <c r="V49" s="266"/>
      <c r="W49" s="28"/>
      <c r="X49" s="28"/>
    </row>
    <row r="50" spans="1:24" ht="16.5">
      <c r="A50" s="100" t="s">
        <v>421</v>
      </c>
      <c r="B50" s="100" t="s">
        <v>421</v>
      </c>
      <c r="C50" s="58" t="s">
        <v>264</v>
      </c>
      <c r="D50" s="267"/>
      <c r="E50" s="267"/>
      <c r="F50" s="267"/>
      <c r="G50" s="267"/>
      <c r="H50" s="267"/>
      <c r="I50" s="267"/>
      <c r="J50" s="267"/>
      <c r="K50" s="267"/>
      <c r="L50" s="267"/>
      <c r="M50" s="267"/>
      <c r="N50" s="266">
        <f>N48-N49</f>
        <v>38000000000</v>
      </c>
      <c r="O50" s="266">
        <f t="shared" ref="O50:R50" si="8">O48-O49</f>
        <v>-21000000000</v>
      </c>
      <c r="P50" s="266">
        <f t="shared" si="8"/>
        <v>40000000000</v>
      </c>
      <c r="Q50" s="266">
        <f t="shared" si="8"/>
        <v>8000000000</v>
      </c>
      <c r="R50" s="266">
        <f t="shared" si="8"/>
        <v>1899999999.9999981</v>
      </c>
      <c r="S50" s="266"/>
      <c r="T50" s="266"/>
      <c r="U50" s="266"/>
      <c r="V50" s="266"/>
      <c r="W50" s="28"/>
      <c r="X50" s="28"/>
    </row>
    <row r="51" spans="1:24" ht="16.5">
      <c r="A51" s="43" t="s">
        <v>120</v>
      </c>
      <c r="B51" s="139" t="s">
        <v>209</v>
      </c>
      <c r="C51" s="11" t="s">
        <v>119</v>
      </c>
      <c r="D51" s="381">
        <v>-154600000000</v>
      </c>
      <c r="E51" s="381">
        <v>-30800000000</v>
      </c>
      <c r="F51" s="381">
        <v>-13100000000</v>
      </c>
      <c r="G51" s="381">
        <v>101500000000</v>
      </c>
      <c r="H51" s="381">
        <v>23800000000</v>
      </c>
      <c r="I51" s="381">
        <v>7000000000</v>
      </c>
      <c r="J51" s="381">
        <v>-26000000000</v>
      </c>
      <c r="K51" s="381">
        <v>203000000000</v>
      </c>
      <c r="L51" s="381">
        <v>153000000000</v>
      </c>
      <c r="M51" s="381">
        <v>440000000000</v>
      </c>
      <c r="N51" s="266">
        <v>304000000000</v>
      </c>
      <c r="O51" s="266">
        <v>380000000000</v>
      </c>
      <c r="P51" s="266">
        <v>441000000000</v>
      </c>
      <c r="Q51" s="266">
        <v>618000000000</v>
      </c>
      <c r="R51" s="266">
        <v>507000000000</v>
      </c>
      <c r="S51" s="266"/>
      <c r="T51" s="266"/>
      <c r="U51" s="266"/>
      <c r="V51" s="266"/>
      <c r="W51" s="28"/>
      <c r="X51" s="28"/>
    </row>
    <row r="52" spans="1:24" ht="16.5">
      <c r="B52" s="90" t="s">
        <v>6921</v>
      </c>
      <c r="C52" s="90"/>
      <c r="D52" s="267"/>
      <c r="E52" s="267"/>
      <c r="F52" s="267"/>
      <c r="G52" s="267"/>
      <c r="H52" s="267"/>
      <c r="I52" s="267"/>
      <c r="J52" s="267"/>
      <c r="K52" s="267"/>
      <c r="L52" s="267"/>
      <c r="M52" s="267"/>
      <c r="N52" s="386"/>
      <c r="O52" s="386"/>
      <c r="P52" s="386"/>
      <c r="Q52" s="386"/>
      <c r="R52" s="266">
        <v>0</v>
      </c>
      <c r="S52" s="266">
        <v>0</v>
      </c>
      <c r="T52" s="266">
        <v>0</v>
      </c>
      <c r="U52" s="266">
        <v>0</v>
      </c>
      <c r="V52" s="266">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6472</v>
      </c>
      <c r="C57" s="90"/>
      <c r="D57" s="79">
        <f>D6-D7-D19</f>
        <v>0</v>
      </c>
      <c r="E57" s="79">
        <f t="shared" ref="E57:V57" si="9">E6-E7-E19</f>
        <v>0</v>
      </c>
      <c r="F57" s="79">
        <f t="shared" si="9"/>
        <v>100000000</v>
      </c>
      <c r="G57" s="79">
        <f t="shared" si="9"/>
        <v>0</v>
      </c>
      <c r="H57" s="79">
        <f t="shared" si="9"/>
        <v>0</v>
      </c>
      <c r="I57" s="79">
        <f t="shared" si="9"/>
        <v>0</v>
      </c>
      <c r="J57" s="79">
        <f t="shared" si="9"/>
        <v>1000000000</v>
      </c>
      <c r="K57" s="79">
        <f t="shared" si="9"/>
        <v>-1000000000</v>
      </c>
      <c r="L57" s="79">
        <f t="shared" si="9"/>
        <v>0</v>
      </c>
      <c r="M57" s="79">
        <f t="shared" si="9"/>
        <v>0</v>
      </c>
      <c r="N57" s="79">
        <f t="shared" si="9"/>
        <v>0</v>
      </c>
      <c r="O57" s="79">
        <f t="shared" si="9"/>
        <v>0</v>
      </c>
      <c r="P57" s="79">
        <f t="shared" si="9"/>
        <v>0</v>
      </c>
      <c r="Q57" s="79">
        <f t="shared" si="9"/>
        <v>0</v>
      </c>
      <c r="R57" s="79">
        <f t="shared" si="9"/>
        <v>0</v>
      </c>
      <c r="S57" s="79">
        <f t="shared" si="9"/>
        <v>1046422000000</v>
      </c>
      <c r="T57" s="79">
        <f t="shared" si="9"/>
        <v>594135000000</v>
      </c>
      <c r="U57" s="79">
        <f t="shared" si="9"/>
        <v>0</v>
      </c>
      <c r="V57" s="79">
        <f t="shared" si="9"/>
        <v>0</v>
      </c>
      <c r="W57" s="28"/>
      <c r="X57" s="28"/>
    </row>
    <row r="58" spans="1:24">
      <c r="B58" t="s">
        <v>141</v>
      </c>
      <c r="C58" s="90"/>
      <c r="D58" s="79">
        <f>D7-D8-D12</f>
        <v>0</v>
      </c>
      <c r="E58" s="79">
        <f t="shared" ref="E58:V58" si="10">E7-E8-E12</f>
        <v>0</v>
      </c>
      <c r="F58" s="79">
        <f t="shared" si="10"/>
        <v>0</v>
      </c>
      <c r="G58" s="79">
        <f t="shared" si="10"/>
        <v>0</v>
      </c>
      <c r="H58" s="79">
        <f t="shared" si="10"/>
        <v>0</v>
      </c>
      <c r="I58" s="79">
        <f t="shared" si="10"/>
        <v>0</v>
      </c>
      <c r="J58" s="79">
        <f t="shared" si="10"/>
        <v>0</v>
      </c>
      <c r="K58" s="79">
        <f t="shared" si="10"/>
        <v>0</v>
      </c>
      <c r="L58" s="79">
        <f t="shared" si="10"/>
        <v>0</v>
      </c>
      <c r="M58" s="79">
        <f t="shared" si="10"/>
        <v>0</v>
      </c>
      <c r="N58" s="79">
        <f t="shared" si="10"/>
        <v>0</v>
      </c>
      <c r="O58" s="79">
        <f t="shared" si="10"/>
        <v>0</v>
      </c>
      <c r="P58" s="79">
        <f t="shared" si="10"/>
        <v>0</v>
      </c>
      <c r="Q58" s="79">
        <f t="shared" si="10"/>
        <v>0</v>
      </c>
      <c r="R58" s="79">
        <f t="shared" si="10"/>
        <v>0</v>
      </c>
      <c r="S58" s="79">
        <f t="shared" si="10"/>
        <v>0</v>
      </c>
      <c r="T58" s="79">
        <f t="shared" si="10"/>
        <v>0</v>
      </c>
      <c r="U58" s="79">
        <f t="shared" si="10"/>
        <v>0</v>
      </c>
      <c r="V58" s="79">
        <f t="shared" si="10"/>
        <v>0</v>
      </c>
      <c r="W58" s="28"/>
      <c r="X58" s="28"/>
    </row>
    <row r="59" spans="1:24">
      <c r="B59" t="s">
        <v>6922</v>
      </c>
      <c r="C59" s="90"/>
      <c r="D59" s="79">
        <f>D8-D9-D10-D11</f>
        <v>0</v>
      </c>
      <c r="E59" s="79">
        <f t="shared" ref="E59:V59" si="11">E8-E9-E10-E11</f>
        <v>0</v>
      </c>
      <c r="F59" s="79">
        <f t="shared" si="11"/>
        <v>0</v>
      </c>
      <c r="G59" s="79">
        <f t="shared" si="11"/>
        <v>0</v>
      </c>
      <c r="H59" s="79">
        <f t="shared" si="11"/>
        <v>0</v>
      </c>
      <c r="I59" s="79">
        <f t="shared" si="11"/>
        <v>0</v>
      </c>
      <c r="J59" s="79">
        <f t="shared" si="11"/>
        <v>0</v>
      </c>
      <c r="K59" s="79">
        <f t="shared" si="11"/>
        <v>0</v>
      </c>
      <c r="L59" s="79">
        <f t="shared" si="11"/>
        <v>0</v>
      </c>
      <c r="M59" s="79">
        <f t="shared" si="11"/>
        <v>0</v>
      </c>
      <c r="N59" s="79">
        <f t="shared" si="11"/>
        <v>0</v>
      </c>
      <c r="O59" s="79">
        <f t="shared" si="11"/>
        <v>0</v>
      </c>
      <c r="P59" s="79">
        <f t="shared" si="11"/>
        <v>0</v>
      </c>
      <c r="Q59" s="79">
        <f t="shared" si="11"/>
        <v>1000000000</v>
      </c>
      <c r="R59" s="79">
        <f t="shared" si="11"/>
        <v>0</v>
      </c>
      <c r="S59" s="79">
        <f t="shared" si="11"/>
        <v>0</v>
      </c>
      <c r="T59" s="79">
        <f t="shared" si="11"/>
        <v>0</v>
      </c>
      <c r="U59" s="79">
        <f t="shared" si="11"/>
        <v>0</v>
      </c>
      <c r="V59" s="79">
        <f t="shared" si="11"/>
        <v>0</v>
      </c>
      <c r="W59" s="28"/>
      <c r="X59" s="28"/>
    </row>
    <row r="60" spans="1:24">
      <c r="B60" t="s">
        <v>6923</v>
      </c>
      <c r="C60" s="90"/>
      <c r="D60" s="79">
        <f>D12-D13-D18</f>
        <v>0</v>
      </c>
      <c r="E60" s="79">
        <f t="shared" ref="E60:V60" si="12">E12-E13-E18</f>
        <v>0</v>
      </c>
      <c r="F60" s="79">
        <f t="shared" si="12"/>
        <v>0</v>
      </c>
      <c r="G60" s="79">
        <f t="shared" si="12"/>
        <v>100000000</v>
      </c>
      <c r="H60" s="79">
        <f t="shared" si="12"/>
        <v>100000000</v>
      </c>
      <c r="I60" s="79">
        <f t="shared" si="12"/>
        <v>-1000000000</v>
      </c>
      <c r="J60" s="79">
        <f t="shared" si="12"/>
        <v>0</v>
      </c>
      <c r="K60" s="79">
        <f t="shared" si="12"/>
        <v>1000000000</v>
      </c>
      <c r="L60" s="79">
        <f t="shared" si="12"/>
        <v>0</v>
      </c>
      <c r="M60" s="79">
        <f t="shared" si="12"/>
        <v>0</v>
      </c>
      <c r="N60" s="79">
        <f t="shared" si="12"/>
        <v>0</v>
      </c>
      <c r="O60" s="79">
        <f t="shared" si="12"/>
        <v>0</v>
      </c>
      <c r="P60" s="79">
        <f t="shared" si="12"/>
        <v>0</v>
      </c>
      <c r="Q60" s="79">
        <f t="shared" si="12"/>
        <v>0</v>
      </c>
      <c r="R60" s="79">
        <f t="shared" si="12"/>
        <v>1000000000</v>
      </c>
      <c r="S60" s="79">
        <f t="shared" si="12"/>
        <v>0</v>
      </c>
      <c r="T60" s="79">
        <f t="shared" si="12"/>
        <v>0</v>
      </c>
      <c r="U60" s="79">
        <f t="shared" si="12"/>
        <v>0</v>
      </c>
      <c r="V60" s="79">
        <f t="shared" si="12"/>
        <v>0</v>
      </c>
      <c r="W60" s="28"/>
      <c r="X60" s="28"/>
    </row>
    <row r="61" spans="1:24">
      <c r="B61" t="s">
        <v>451</v>
      </c>
      <c r="C61" s="90"/>
      <c r="D61" s="79">
        <f>D13-D14-D15-D16-D17</f>
        <v>100000000</v>
      </c>
      <c r="E61" s="79">
        <f t="shared" ref="E61:V61" si="13">E13-E14-E15-E16-E17</f>
        <v>100000000.00000381</v>
      </c>
      <c r="F61" s="79">
        <f t="shared" si="13"/>
        <v>100000000</v>
      </c>
      <c r="G61" s="79">
        <f t="shared" si="13"/>
        <v>-100000000</v>
      </c>
      <c r="H61" s="79">
        <f t="shared" si="13"/>
        <v>-100000000</v>
      </c>
      <c r="I61" s="79">
        <f t="shared" si="13"/>
        <v>-1000000000</v>
      </c>
      <c r="J61" s="79">
        <f t="shared" si="13"/>
        <v>0</v>
      </c>
      <c r="K61" s="79">
        <f t="shared" si="13"/>
        <v>1000000000</v>
      </c>
      <c r="L61" s="79">
        <f t="shared" si="13"/>
        <v>0</v>
      </c>
      <c r="M61" s="79">
        <f t="shared" si="13"/>
        <v>-1000000000</v>
      </c>
      <c r="N61" s="79">
        <f t="shared" si="13"/>
        <v>0</v>
      </c>
      <c r="O61" s="79">
        <f t="shared" si="13"/>
        <v>-1000000000</v>
      </c>
      <c r="P61" s="79">
        <f t="shared" si="13"/>
        <v>-1000000000</v>
      </c>
      <c r="Q61" s="79">
        <f t="shared" si="13"/>
        <v>0</v>
      </c>
      <c r="R61" s="79">
        <f t="shared" si="13"/>
        <v>0</v>
      </c>
      <c r="S61" s="79">
        <f t="shared" si="13"/>
        <v>0</v>
      </c>
      <c r="T61" s="79">
        <f t="shared" si="13"/>
        <v>0</v>
      </c>
      <c r="U61" s="79">
        <f t="shared" si="13"/>
        <v>0</v>
      </c>
      <c r="V61" s="79">
        <f t="shared" si="13"/>
        <v>0</v>
      </c>
      <c r="W61" s="28"/>
      <c r="X61" s="28"/>
    </row>
    <row r="62" spans="1:24">
      <c r="B62" t="s">
        <v>2342</v>
      </c>
      <c r="C62" s="90"/>
      <c r="D62" s="130">
        <f>D20-D22-D41</f>
        <v>21100000000</v>
      </c>
      <c r="E62" s="130">
        <f t="shared" ref="E62:V62" si="14">E20-E22-E41</f>
        <v>29800000000</v>
      </c>
      <c r="F62" s="130">
        <f t="shared" si="14"/>
        <v>25200000000</v>
      </c>
      <c r="G62" s="130">
        <f t="shared" si="14"/>
        <v>38300000000</v>
      </c>
      <c r="H62" s="130">
        <f t="shared" si="14"/>
        <v>40600000000</v>
      </c>
      <c r="I62" s="130">
        <f t="shared" si="14"/>
        <v>63000000000</v>
      </c>
      <c r="J62" s="130">
        <f t="shared" si="14"/>
        <v>69000000000</v>
      </c>
      <c r="K62" s="130">
        <f t="shared" si="14"/>
        <v>76000000000</v>
      </c>
      <c r="L62" s="130">
        <f t="shared" si="14"/>
        <v>47000000000</v>
      </c>
      <c r="M62" s="130">
        <f t="shared" si="14"/>
        <v>0</v>
      </c>
      <c r="N62" s="130">
        <f t="shared" si="14"/>
        <v>0</v>
      </c>
      <c r="O62" s="130">
        <f t="shared" si="14"/>
        <v>0</v>
      </c>
      <c r="P62" s="130">
        <f t="shared" si="14"/>
        <v>0</v>
      </c>
      <c r="Q62" s="130">
        <f t="shared" si="14"/>
        <v>0</v>
      </c>
      <c r="R62" s="130">
        <f>R20-R22-R41</f>
        <v>0</v>
      </c>
      <c r="S62" s="130">
        <f t="shared" si="14"/>
        <v>1903692000000</v>
      </c>
      <c r="T62" s="130">
        <f t="shared" si="14"/>
        <v>1488327000000</v>
      </c>
      <c r="U62" s="130">
        <f t="shared" si="14"/>
        <v>0</v>
      </c>
      <c r="V62" s="130">
        <f t="shared" si="14"/>
        <v>0</v>
      </c>
      <c r="W62" s="28"/>
      <c r="X62" s="28"/>
    </row>
    <row r="63" spans="1:24">
      <c r="B63" t="s">
        <v>361</v>
      </c>
      <c r="C63" s="90"/>
      <c r="D63" s="130">
        <f>D22-D23-D24-D25-D26-D30-D35-D40</f>
        <v>0</v>
      </c>
      <c r="E63" s="130">
        <f t="shared" ref="E63:V63" si="15">E22-E23-E24-E25-E26-E30-E35-E40</f>
        <v>0</v>
      </c>
      <c r="F63" s="130">
        <f t="shared" si="15"/>
        <v>-100000000</v>
      </c>
      <c r="G63" s="130">
        <f t="shared" si="15"/>
        <v>0</v>
      </c>
      <c r="H63" s="130">
        <f t="shared" si="15"/>
        <v>-100000000</v>
      </c>
      <c r="I63" s="130">
        <f t="shared" si="15"/>
        <v>0</v>
      </c>
      <c r="J63" s="130">
        <f t="shared" si="15"/>
        <v>0</v>
      </c>
      <c r="K63" s="130">
        <f t="shared" si="15"/>
        <v>-1000000000</v>
      </c>
      <c r="L63" s="130">
        <f t="shared" si="15"/>
        <v>1000000000</v>
      </c>
      <c r="M63" s="130">
        <f t="shared" si="15"/>
        <v>1000000000</v>
      </c>
      <c r="N63" s="130">
        <f t="shared" si="15"/>
        <v>-1000000000</v>
      </c>
      <c r="O63" s="130">
        <f t="shared" si="15"/>
        <v>1000000000</v>
      </c>
      <c r="P63" s="130">
        <f t="shared" si="15"/>
        <v>0</v>
      </c>
      <c r="Q63" s="130">
        <f t="shared" si="15"/>
        <v>-1000000000</v>
      </c>
      <c r="R63" s="130">
        <f>R22-R23-R24-R25-R26-R30-R35-R40</f>
        <v>0</v>
      </c>
      <c r="S63" s="130">
        <f t="shared" si="15"/>
        <v>0</v>
      </c>
      <c r="T63" s="130">
        <f t="shared" si="15"/>
        <v>0</v>
      </c>
      <c r="U63" s="130">
        <f t="shared" si="15"/>
        <v>0</v>
      </c>
      <c r="V63" s="130">
        <f t="shared" si="15"/>
        <v>0</v>
      </c>
      <c r="W63" s="28"/>
      <c r="X63" s="28"/>
    </row>
    <row r="64" spans="1:24">
      <c r="B64" t="s">
        <v>291</v>
      </c>
      <c r="C64" s="90"/>
      <c r="D64" s="130">
        <f>D26-D27-D28</f>
        <v>0</v>
      </c>
      <c r="E64" s="130">
        <f t="shared" ref="E64:V64" si="16">E26-E27-E28</f>
        <v>0</v>
      </c>
      <c r="F64" s="130">
        <f t="shared" si="16"/>
        <v>0</v>
      </c>
      <c r="G64" s="130">
        <f t="shared" si="16"/>
        <v>0</v>
      </c>
      <c r="H64" s="130">
        <f t="shared" si="16"/>
        <v>0</v>
      </c>
      <c r="I64" s="130">
        <f t="shared" si="16"/>
        <v>0</v>
      </c>
      <c r="J64" s="130">
        <f t="shared" si="16"/>
        <v>0</v>
      </c>
      <c r="K64" s="130">
        <f t="shared" si="16"/>
        <v>0</v>
      </c>
      <c r="L64" s="130">
        <f t="shared" si="16"/>
        <v>0</v>
      </c>
      <c r="M64" s="130">
        <f t="shared" si="16"/>
        <v>0</v>
      </c>
      <c r="N64" s="130">
        <f t="shared" si="16"/>
        <v>0</v>
      </c>
      <c r="O64" s="130">
        <f t="shared" si="16"/>
        <v>0</v>
      </c>
      <c r="P64" s="130">
        <f t="shared" si="16"/>
        <v>0</v>
      </c>
      <c r="Q64" s="130">
        <f t="shared" si="16"/>
        <v>1000000000</v>
      </c>
      <c r="R64" s="130">
        <f t="shared" si="16"/>
        <v>1000000000</v>
      </c>
      <c r="S64" s="130">
        <f t="shared" si="16"/>
        <v>0</v>
      </c>
      <c r="T64" s="130">
        <f t="shared" si="16"/>
        <v>0</v>
      </c>
      <c r="U64" s="130">
        <f t="shared" si="16"/>
        <v>0</v>
      </c>
      <c r="V64" s="130">
        <f t="shared" si="16"/>
        <v>0</v>
      </c>
      <c r="W64" s="28"/>
      <c r="X64" s="28"/>
    </row>
    <row r="65" spans="2:24">
      <c r="B65" t="s">
        <v>5936</v>
      </c>
      <c r="C65" s="90"/>
      <c r="D65" s="130">
        <f>D30-D32-D33-D34</f>
        <v>0</v>
      </c>
      <c r="E65" s="130">
        <f t="shared" ref="E65:V65" si="17">E30-E32-E33-E34</f>
        <v>0</v>
      </c>
      <c r="F65" s="130">
        <f t="shared" si="17"/>
        <v>0</v>
      </c>
      <c r="G65" s="130">
        <f t="shared" si="17"/>
        <v>0</v>
      </c>
      <c r="H65" s="130">
        <f t="shared" si="17"/>
        <v>0</v>
      </c>
      <c r="I65" s="130">
        <f t="shared" si="17"/>
        <v>0</v>
      </c>
      <c r="J65" s="130">
        <f t="shared" si="17"/>
        <v>0</v>
      </c>
      <c r="K65" s="130">
        <f t="shared" si="17"/>
        <v>0</v>
      </c>
      <c r="L65" s="130">
        <f t="shared" si="17"/>
        <v>0</v>
      </c>
      <c r="M65" s="130">
        <f t="shared" si="17"/>
        <v>0</v>
      </c>
      <c r="N65" s="223">
        <f t="shared" si="17"/>
        <v>591000000000</v>
      </c>
      <c r="O65" s="223">
        <f t="shared" si="17"/>
        <v>567000000000</v>
      </c>
      <c r="P65" s="223">
        <f t="shared" si="17"/>
        <v>708000000000</v>
      </c>
      <c r="Q65" s="223">
        <f t="shared" si="17"/>
        <v>629000000000</v>
      </c>
      <c r="R65" s="223">
        <f t="shared" si="17"/>
        <v>629000000000</v>
      </c>
      <c r="S65" s="223">
        <f t="shared" si="17"/>
        <v>0</v>
      </c>
      <c r="T65" s="223">
        <f t="shared" si="17"/>
        <v>0</v>
      </c>
      <c r="U65" s="223">
        <f t="shared" si="17"/>
        <v>0</v>
      </c>
      <c r="V65" s="223">
        <f t="shared" si="17"/>
        <v>0</v>
      </c>
      <c r="W65" s="28"/>
      <c r="X65" s="28"/>
    </row>
    <row r="66" spans="2:24">
      <c r="B66" t="s">
        <v>1961</v>
      </c>
      <c r="C66" s="90"/>
      <c r="D66" s="130">
        <f>D35-D36-D37-D39-D38</f>
        <v>0</v>
      </c>
      <c r="E66" s="130">
        <f t="shared" ref="E66:V66" si="18">E35-E36-E37-E39-E38</f>
        <v>0</v>
      </c>
      <c r="F66" s="130">
        <f t="shared" si="18"/>
        <v>0</v>
      </c>
      <c r="G66" s="130">
        <f t="shared" si="18"/>
        <v>0</v>
      </c>
      <c r="H66" s="130">
        <f t="shared" si="18"/>
        <v>0</v>
      </c>
      <c r="I66" s="130">
        <f t="shared" si="18"/>
        <v>0</v>
      </c>
      <c r="J66" s="130">
        <f t="shared" si="18"/>
        <v>0</v>
      </c>
      <c r="K66" s="130">
        <f t="shared" si="18"/>
        <v>0</v>
      </c>
      <c r="L66" s="130">
        <f t="shared" si="18"/>
        <v>0</v>
      </c>
      <c r="M66" s="130">
        <f t="shared" si="18"/>
        <v>0</v>
      </c>
      <c r="N66" s="223">
        <f t="shared" si="18"/>
        <v>143000000000</v>
      </c>
      <c r="O66" s="223">
        <f t="shared" si="18"/>
        <v>146000000000</v>
      </c>
      <c r="P66" s="223">
        <f t="shared" si="18"/>
        <v>204000000000</v>
      </c>
      <c r="Q66" s="130">
        <f t="shared" si="18"/>
        <v>0</v>
      </c>
      <c r="R66" s="130">
        <f t="shared" si="18"/>
        <v>0</v>
      </c>
      <c r="S66" s="223">
        <f t="shared" si="18"/>
        <v>0</v>
      </c>
      <c r="T66" s="223">
        <f t="shared" si="18"/>
        <v>0</v>
      </c>
      <c r="U66" s="223">
        <f t="shared" si="18"/>
        <v>0</v>
      </c>
      <c r="V66" s="223">
        <f t="shared" si="18"/>
        <v>0</v>
      </c>
      <c r="W66" s="28"/>
      <c r="X66" s="28"/>
    </row>
    <row r="67" spans="2:24">
      <c r="B67" t="s">
        <v>457</v>
      </c>
      <c r="C67" s="90"/>
      <c r="D67" s="224">
        <f t="shared" ref="D67:V67" si="19">D47-D48-D51</f>
        <v>0</v>
      </c>
      <c r="E67" s="224">
        <f t="shared" si="19"/>
        <v>0</v>
      </c>
      <c r="F67" s="224">
        <f t="shared" si="19"/>
        <v>0</v>
      </c>
      <c r="G67" s="224">
        <f t="shared" si="19"/>
        <v>0</v>
      </c>
      <c r="H67" s="224">
        <f t="shared" si="19"/>
        <v>0</v>
      </c>
      <c r="I67" s="224">
        <f t="shared" si="19"/>
        <v>0</v>
      </c>
      <c r="J67" s="224">
        <f t="shared" si="19"/>
        <v>-1000000000</v>
      </c>
      <c r="K67" s="224">
        <f t="shared" si="19"/>
        <v>0</v>
      </c>
      <c r="L67" s="224">
        <f t="shared" si="19"/>
        <v>0</v>
      </c>
      <c r="M67" s="224">
        <f>M47-M48-M51</f>
        <v>0</v>
      </c>
      <c r="N67" s="224">
        <f t="shared" si="19"/>
        <v>-1000000000</v>
      </c>
      <c r="O67" s="224">
        <f t="shared" si="19"/>
        <v>1000000000</v>
      </c>
      <c r="P67" s="224">
        <f t="shared" si="19"/>
        <v>0</v>
      </c>
      <c r="Q67" s="224">
        <f t="shared" si="19"/>
        <v>-1000000000</v>
      </c>
      <c r="R67" s="224">
        <f t="shared" si="19"/>
        <v>0</v>
      </c>
      <c r="S67" s="224">
        <f t="shared" si="19"/>
        <v>857270000000</v>
      </c>
      <c r="T67" s="224">
        <f t="shared" si="19"/>
        <v>894192000000</v>
      </c>
      <c r="U67" s="224">
        <f t="shared" si="19"/>
        <v>0</v>
      </c>
      <c r="V67" s="224">
        <f t="shared" si="19"/>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20">(D6/D69)*100</f>
        <v>37.776651244569649</v>
      </c>
      <c r="E70">
        <f t="shared" si="20"/>
        <v>33.277159450598973</v>
      </c>
      <c r="F70">
        <f t="shared" si="20"/>
        <v>30.228854312044628</v>
      </c>
      <c r="G70">
        <f t="shared" si="20"/>
        <v>31.116241354285457</v>
      </c>
      <c r="H70">
        <f t="shared" si="20"/>
        <v>32.011047439233231</v>
      </c>
      <c r="I70">
        <f t="shared" si="20"/>
        <v>34.938433866780784</v>
      </c>
      <c r="J70">
        <f t="shared" si="20"/>
        <v>38.563440050339914</v>
      </c>
      <c r="K70">
        <f t="shared" si="20"/>
        <v>33.165948573980252</v>
      </c>
      <c r="L70">
        <f t="shared" si="20"/>
        <v>36.719945310719751</v>
      </c>
      <c r="M70">
        <f t="shared" si="20"/>
        <v>25.011804590911829</v>
      </c>
      <c r="N70">
        <f t="shared" si="20"/>
        <v>26.13892558996395</v>
      </c>
      <c r="O70">
        <f t="shared" si="20"/>
        <v>25.339764364487856</v>
      </c>
      <c r="P70">
        <f t="shared" si="20"/>
        <v>29.908192788553428</v>
      </c>
      <c r="Q70">
        <f t="shared" si="20"/>
        <v>23.903749411329869</v>
      </c>
      <c r="R70">
        <f t="shared" si="20"/>
        <v>23.937256948024309</v>
      </c>
      <c r="S70">
        <f t="shared" si="20"/>
        <v>9.2295059266400248</v>
      </c>
      <c r="T70">
        <f t="shared" si="20"/>
        <v>4.6955070730355315</v>
      </c>
      <c r="U70">
        <f t="shared" si="20"/>
        <v>0</v>
      </c>
      <c r="V70">
        <f t="shared" si="20"/>
        <v>0</v>
      </c>
    </row>
    <row r="71" spans="2:24">
      <c r="B71" t="s">
        <v>152</v>
      </c>
      <c r="D71">
        <f t="shared" ref="D71:V71" si="21">(D20/D69)*100</f>
        <v>31.686954959348551</v>
      </c>
      <c r="E71">
        <f t="shared" si="21"/>
        <v>30.485512011604587</v>
      </c>
      <c r="F71">
        <f t="shared" si="21"/>
        <v>30.782632865585697</v>
      </c>
      <c r="G71">
        <f t="shared" si="21"/>
        <v>35.31876212621632</v>
      </c>
      <c r="H71">
        <f t="shared" si="21"/>
        <v>34.164361866049795</v>
      </c>
      <c r="I71">
        <f t="shared" si="21"/>
        <v>36.74613160475873</v>
      </c>
      <c r="J71">
        <f t="shared" si="21"/>
        <v>37.366643634984541</v>
      </c>
      <c r="K71">
        <f t="shared" si="21"/>
        <v>40.337591757577101</v>
      </c>
      <c r="L71">
        <f t="shared" si="21"/>
        <v>41.240181739546955</v>
      </c>
      <c r="M71">
        <f t="shared" si="21"/>
        <v>35.212697443675864</v>
      </c>
      <c r="N71">
        <f t="shared" si="21"/>
        <v>30.205635546463416</v>
      </c>
      <c r="O71">
        <f t="shared" si="21"/>
        <v>29.841752957163365</v>
      </c>
      <c r="P71">
        <f t="shared" si="21"/>
        <v>36.221998141447692</v>
      </c>
      <c r="Q71">
        <f t="shared" si="21"/>
        <v>30.800833176930347</v>
      </c>
      <c r="R71">
        <f t="shared" si="21"/>
        <v>29.312389496233365</v>
      </c>
      <c r="S71">
        <f t="shared" si="21"/>
        <v>16.790679665084642</v>
      </c>
      <c r="T71">
        <f t="shared" si="21"/>
        <v>11.762393993772042</v>
      </c>
      <c r="U71">
        <f t="shared" si="21"/>
        <v>0</v>
      </c>
      <c r="V71">
        <f t="shared" si="21"/>
        <v>0</v>
      </c>
    </row>
    <row r="72" spans="2:24">
      <c r="B72" s="238" t="s">
        <v>1832</v>
      </c>
      <c r="D72" t="b">
        <f t="shared" ref="D72:V72" si="22">IF(D44&lt;0,(ED6846/D20)*100)</f>
        <v>0</v>
      </c>
      <c r="E72" t="b">
        <f t="shared" si="22"/>
        <v>0</v>
      </c>
      <c r="F72" t="b">
        <f t="shared" si="22"/>
        <v>0</v>
      </c>
      <c r="G72" t="b">
        <f t="shared" si="22"/>
        <v>0</v>
      </c>
      <c r="H72" t="b">
        <f t="shared" si="22"/>
        <v>0</v>
      </c>
      <c r="I72" t="b">
        <f t="shared" si="22"/>
        <v>0</v>
      </c>
      <c r="J72" t="b">
        <f t="shared" si="22"/>
        <v>0</v>
      </c>
      <c r="K72" t="b">
        <f t="shared" si="22"/>
        <v>0</v>
      </c>
      <c r="L72" t="b">
        <f t="shared" si="22"/>
        <v>0</v>
      </c>
      <c r="M72" t="b">
        <f t="shared" si="22"/>
        <v>0</v>
      </c>
      <c r="N72" t="b">
        <f t="shared" si="22"/>
        <v>0</v>
      </c>
      <c r="O72" t="b">
        <f t="shared" si="22"/>
        <v>0</v>
      </c>
      <c r="P72" t="b">
        <f t="shared" si="22"/>
        <v>0</v>
      </c>
      <c r="Q72" t="b">
        <f t="shared" si="22"/>
        <v>0</v>
      </c>
      <c r="R72" t="b">
        <f t="shared" si="22"/>
        <v>0</v>
      </c>
      <c r="S72" t="b">
        <f t="shared" si="22"/>
        <v>0</v>
      </c>
      <c r="T72" t="b">
        <f t="shared" si="22"/>
        <v>0</v>
      </c>
      <c r="U72" t="b">
        <f t="shared" si="22"/>
        <v>0</v>
      </c>
      <c r="V72" t="b">
        <f t="shared" si="22"/>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Q36" activePane="bottomRight" state="frozen"/>
      <selection pane="topRight" activeCell="D1" sqref="D1"/>
      <selection pane="bottomLeft" activeCell="A6" sqref="A6"/>
      <selection pane="bottomRight" activeCell="R62" sqref="R62:U62"/>
    </sheetView>
  </sheetViews>
  <sheetFormatPr defaultRowHeight="15.75"/>
  <cols>
    <col min="1" max="1" width="31" style="1602" bestFit="1" customWidth="1"/>
    <col min="2" max="2" width="54.140625" style="1602" bestFit="1" customWidth="1"/>
    <col min="3" max="3" width="30.5703125" style="1602" bestFit="1" customWidth="1"/>
    <col min="4" max="4" width="20.5703125" style="1602" bestFit="1" customWidth="1"/>
    <col min="5" max="5" width="21.42578125" style="1602" bestFit="1" customWidth="1"/>
    <col min="6" max="6" width="20.7109375" style="1602" bestFit="1" customWidth="1"/>
    <col min="7" max="7" width="21.42578125" style="1602" bestFit="1" customWidth="1"/>
    <col min="8" max="8" width="20.7109375" style="1602" bestFit="1" customWidth="1"/>
    <col min="9" max="9" width="21.7109375" style="1602" bestFit="1" customWidth="1"/>
    <col min="10" max="13" width="24.140625" style="1602" bestFit="1" customWidth="1"/>
    <col min="14" max="14" width="23.7109375" style="1602" bestFit="1" customWidth="1"/>
    <col min="15" max="16" width="22" style="1602" bestFit="1" customWidth="1"/>
    <col min="17" max="17" width="22.5703125" style="1602" bestFit="1" customWidth="1"/>
    <col min="18" max="18" width="24" style="1602" bestFit="1" customWidth="1"/>
    <col min="19" max="19" width="23" style="1602" bestFit="1" customWidth="1"/>
    <col min="20" max="20" width="24" style="1602" bestFit="1" customWidth="1"/>
    <col min="21" max="22" width="23.7109375" style="1602" bestFit="1" customWidth="1"/>
    <col min="23" max="26" width="22.28515625" style="1602" bestFit="1" customWidth="1"/>
  </cols>
  <sheetData>
    <row r="1" spans="1:51">
      <c r="A1" s="2072" t="s">
        <v>6924</v>
      </c>
      <c r="B1" s="1603" t="s">
        <v>6925</v>
      </c>
      <c r="C1" s="1603"/>
      <c r="D1" s="1604"/>
      <c r="E1" s="1604"/>
      <c r="F1" s="1604"/>
      <c r="G1" s="1604"/>
      <c r="H1" s="1604"/>
      <c r="I1" s="1604"/>
      <c r="J1" s="1604"/>
      <c r="K1" s="1604"/>
      <c r="L1" s="1604"/>
      <c r="M1" s="1604"/>
      <c r="N1" s="1604"/>
      <c r="O1" s="1605"/>
      <c r="P1" s="1605"/>
      <c r="Q1" s="1605"/>
      <c r="R1" s="1606"/>
      <c r="S1" s="1605"/>
      <c r="T1" s="1605"/>
      <c r="U1" s="1605"/>
      <c r="V1" s="1605"/>
      <c r="W1" s="1605"/>
      <c r="X1" s="1605"/>
      <c r="Y1" s="1605"/>
    </row>
    <row r="2" spans="1:51">
      <c r="B2" s="1607" t="s">
        <v>6926</v>
      </c>
      <c r="C2" s="1607"/>
      <c r="D2" s="1605"/>
      <c r="E2" s="1605"/>
      <c r="F2" s="1605"/>
      <c r="G2" s="1605"/>
      <c r="H2" s="1605"/>
      <c r="I2" s="1605"/>
      <c r="J2" s="1605"/>
      <c r="K2" s="1605"/>
      <c r="L2" s="1605"/>
      <c r="M2" s="1605"/>
      <c r="N2" s="1605"/>
      <c r="O2" s="1605"/>
      <c r="P2" s="1605"/>
      <c r="Q2" s="1605"/>
      <c r="R2" s="1608"/>
      <c r="S2" s="1609"/>
      <c r="T2" s="1610"/>
      <c r="U2" s="1605"/>
      <c r="V2" s="1605"/>
      <c r="W2" s="1605"/>
      <c r="X2" s="1605"/>
      <c r="Y2" s="1605"/>
    </row>
    <row r="3" spans="1:5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19">
        <v>2021</v>
      </c>
      <c r="Z3" s="1619">
        <v>2022</v>
      </c>
    </row>
    <row r="4" spans="1:5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19" t="s">
        <v>27</v>
      </c>
    </row>
    <row r="5" spans="1:51">
      <c r="A5" s="1602" t="s">
        <v>28</v>
      </c>
      <c r="B5" s="1611" t="s">
        <v>29</v>
      </c>
      <c r="C5" s="1611"/>
      <c r="D5" s="1605" t="s">
        <v>30</v>
      </c>
      <c r="E5" s="2087" t="s">
        <v>30</v>
      </c>
      <c r="F5" s="2087" t="s">
        <v>30</v>
      </c>
      <c r="G5" s="2087" t="s">
        <v>30</v>
      </c>
      <c r="H5" s="2087" t="s">
        <v>30</v>
      </c>
      <c r="I5" s="2180" t="s">
        <v>31</v>
      </c>
      <c r="J5" s="2180" t="s">
        <v>30</v>
      </c>
      <c r="K5" s="2180" t="s">
        <v>30</v>
      </c>
      <c r="L5" s="2180" t="s">
        <v>30</v>
      </c>
      <c r="M5" s="2180" t="s">
        <v>30</v>
      </c>
      <c r="N5" s="2087" t="s">
        <v>31</v>
      </c>
      <c r="O5" s="2087" t="s">
        <v>31</v>
      </c>
      <c r="P5" s="2087" t="s">
        <v>31</v>
      </c>
      <c r="Q5" s="2087" t="s">
        <v>31</v>
      </c>
      <c r="R5" s="2087" t="s">
        <v>31</v>
      </c>
      <c r="S5" s="2087" t="s">
        <v>31</v>
      </c>
      <c r="T5" s="2087" t="s">
        <v>368</v>
      </c>
      <c r="U5" s="2087" t="s">
        <v>32</v>
      </c>
      <c r="V5" s="2087" t="s">
        <v>32</v>
      </c>
      <c r="W5" s="1605" t="s">
        <v>32</v>
      </c>
      <c r="X5" s="1605" t="s">
        <v>32</v>
      </c>
      <c r="Y5" s="1605" t="s">
        <v>32</v>
      </c>
      <c r="Z5" s="1605" t="s">
        <v>32</v>
      </c>
    </row>
    <row r="6" spans="1:51" s="848" customFormat="1">
      <c r="A6" s="1899" t="s">
        <v>33</v>
      </c>
      <c r="B6" s="2326" t="s">
        <v>1499</v>
      </c>
      <c r="C6" s="2326" t="s">
        <v>35</v>
      </c>
      <c r="D6" s="2185">
        <f>(D7+D19)</f>
        <v>3102000000</v>
      </c>
      <c r="E6" s="2185">
        <v>3262000000</v>
      </c>
      <c r="F6" s="2185">
        <v>4259000000</v>
      </c>
      <c r="G6" s="2185">
        <v>5103000000</v>
      </c>
      <c r="H6" s="2185">
        <v>6173000000</v>
      </c>
      <c r="I6" s="2185">
        <v>7467000000</v>
      </c>
      <c r="J6" s="2185">
        <v>16825000000</v>
      </c>
      <c r="K6" s="2185">
        <v>10626000000</v>
      </c>
      <c r="L6" s="2185">
        <v>12290000000</v>
      </c>
      <c r="M6" s="2185">
        <v>12182000000</v>
      </c>
      <c r="N6" s="2185">
        <f>(N7+N19)</f>
        <v>15198000000</v>
      </c>
      <c r="O6" s="2185">
        <f>(O7+O19)</f>
        <v>20233000000</v>
      </c>
      <c r="P6" s="2185">
        <v>24541000000</v>
      </c>
      <c r="Q6" s="2185">
        <v>26678000000</v>
      </c>
      <c r="R6" s="1901">
        <v>31564000000</v>
      </c>
      <c r="S6" s="1901">
        <v>34421000000</v>
      </c>
      <c r="T6" s="1901">
        <v>39410000000</v>
      </c>
      <c r="U6" s="1901">
        <f>U7+U19</f>
        <v>42058000000</v>
      </c>
      <c r="V6" s="1901">
        <v>49740000000</v>
      </c>
      <c r="W6" s="1901">
        <v>55667000000</v>
      </c>
      <c r="X6" s="1901">
        <v>64476000000</v>
      </c>
      <c r="Y6" s="2088">
        <v>73818000000</v>
      </c>
      <c r="Z6" s="2088">
        <v>82459000000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row>
    <row r="7" spans="1:51">
      <c r="A7" s="1602" t="s">
        <v>36</v>
      </c>
      <c r="B7" s="1612" t="s">
        <v>36</v>
      </c>
      <c r="C7" s="1613" t="s">
        <v>38</v>
      </c>
      <c r="D7" s="1618">
        <f>D8+D23</f>
        <v>2527000000</v>
      </c>
      <c r="E7" s="1615">
        <v>2509000000</v>
      </c>
      <c r="F7" s="1615">
        <v>2909000000</v>
      </c>
      <c r="G7" s="1615">
        <v>3679000000</v>
      </c>
      <c r="H7" s="1615">
        <v>4740000000</v>
      </c>
      <c r="I7" s="1614">
        <v>5642000000</v>
      </c>
      <c r="J7" s="1615">
        <v>6618000000</v>
      </c>
      <c r="K7" s="1615">
        <v>8522000000</v>
      </c>
      <c r="L7" s="1615">
        <v>10221000000</v>
      </c>
      <c r="M7" s="1615">
        <v>10315000000</v>
      </c>
      <c r="N7" s="1618">
        <f>N8+N23</f>
        <v>13809000000</v>
      </c>
      <c r="O7" s="2187">
        <f>O8+O23</f>
        <v>19519000000</v>
      </c>
      <c r="P7" s="1615">
        <v>22303000000</v>
      </c>
      <c r="Q7" s="1615">
        <v>24482000000</v>
      </c>
      <c r="R7" s="1633">
        <v>30297000000</v>
      </c>
      <c r="S7" s="1633">
        <v>34051000000</v>
      </c>
      <c r="T7" s="1633">
        <v>38885000000</v>
      </c>
      <c r="U7" s="1633">
        <f>U8+U23</f>
        <v>40249000000</v>
      </c>
      <c r="V7" s="1633">
        <v>48112000000</v>
      </c>
      <c r="W7" s="1633">
        <v>53836000000</v>
      </c>
      <c r="X7" s="1633">
        <v>62413000000</v>
      </c>
      <c r="Y7" s="1913">
        <v>71560000000</v>
      </c>
      <c r="Z7" s="1913">
        <v>79986000000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1602" t="s">
        <v>39</v>
      </c>
      <c r="B8" s="1616" t="s">
        <v>1372</v>
      </c>
      <c r="C8" s="1612" t="s">
        <v>41</v>
      </c>
      <c r="D8" s="1615">
        <f>D9+D10+D11+D12+D13+D14+D15+D16+D17+D18</f>
        <v>2505000000</v>
      </c>
      <c r="E8" s="1615">
        <v>2449000000</v>
      </c>
      <c r="F8" s="1615">
        <v>2849000000</v>
      </c>
      <c r="G8" s="1615">
        <v>3546000000</v>
      </c>
      <c r="H8" s="1615">
        <v>4546000000</v>
      </c>
      <c r="I8" s="1614">
        <v>5512000000</v>
      </c>
      <c r="J8" s="1615">
        <v>6317000000</v>
      </c>
      <c r="K8" s="1615">
        <v>8184000000</v>
      </c>
      <c r="L8" s="1615">
        <v>9653000000</v>
      </c>
      <c r="M8" s="1615">
        <v>9661000000</v>
      </c>
      <c r="N8" s="1615">
        <v>12700000000</v>
      </c>
      <c r="O8" s="1615">
        <v>18018000000</v>
      </c>
      <c r="P8" s="1615">
        <v>19260000000</v>
      </c>
      <c r="Q8" s="1615">
        <v>21307000000</v>
      </c>
      <c r="R8" s="1633">
        <v>25837000000</v>
      </c>
      <c r="S8" s="1633">
        <v>26437000000</v>
      </c>
      <c r="T8" s="1633">
        <v>28028000000</v>
      </c>
      <c r="U8" s="1633">
        <v>33496000000</v>
      </c>
      <c r="V8" s="1633">
        <v>40215000000</v>
      </c>
      <c r="W8" s="1633">
        <v>44750000000</v>
      </c>
      <c r="X8" s="1633">
        <v>52151000000</v>
      </c>
      <c r="Y8" s="1913">
        <v>59893000000</v>
      </c>
      <c r="Z8" s="1913">
        <v>66871000000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1620" t="s">
        <v>6927</v>
      </c>
      <c r="B9" s="1620" t="s">
        <v>6928</v>
      </c>
      <c r="C9" s="1602" t="s">
        <v>44</v>
      </c>
      <c r="D9" s="1615">
        <v>634000000</v>
      </c>
      <c r="E9" s="1615">
        <v>953000000</v>
      </c>
      <c r="F9" s="1615">
        <v>276000000</v>
      </c>
      <c r="G9" s="1615">
        <v>246000000</v>
      </c>
      <c r="H9" s="1615">
        <v>332000000</v>
      </c>
      <c r="I9" s="1614"/>
      <c r="J9" s="1615"/>
      <c r="K9" s="1615"/>
      <c r="L9" s="1615"/>
      <c r="M9" s="1615"/>
      <c r="N9" s="1615"/>
      <c r="O9" s="1615"/>
      <c r="P9" s="1615"/>
      <c r="Q9" s="1615"/>
      <c r="R9" s="1633"/>
      <c r="S9" s="1633"/>
      <c r="T9" s="1633"/>
      <c r="U9" s="1633"/>
      <c r="V9" s="1633"/>
      <c r="W9" s="1633"/>
      <c r="X9" s="1633"/>
      <c r="Y9" s="1913"/>
      <c r="Z9" s="1913"/>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620" t="s">
        <v>170</v>
      </c>
      <c r="B10" s="1620" t="s">
        <v>6929</v>
      </c>
      <c r="C10" s="1602" t="s">
        <v>44</v>
      </c>
      <c r="D10" s="1615">
        <v>278000000</v>
      </c>
      <c r="E10" s="1615">
        <v>366000000</v>
      </c>
      <c r="F10" s="1615">
        <v>968000000</v>
      </c>
      <c r="G10" s="1615">
        <v>1365000000</v>
      </c>
      <c r="H10" s="1615">
        <v>1696000000</v>
      </c>
      <c r="I10" s="1614"/>
      <c r="J10" s="1615"/>
      <c r="K10" s="1615"/>
      <c r="L10" s="1615"/>
      <c r="M10" s="1615"/>
      <c r="N10" s="1615"/>
      <c r="O10" s="1615"/>
      <c r="P10" s="1615"/>
      <c r="Q10" s="1615"/>
      <c r="R10" s="1633"/>
      <c r="S10" s="1633"/>
      <c r="T10" s="1633"/>
      <c r="U10" s="1633"/>
      <c r="V10" s="1633"/>
      <c r="W10" s="1633"/>
      <c r="X10" s="1633"/>
      <c r="Y10" s="1913"/>
      <c r="Z10" s="1913"/>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1620" t="s">
        <v>628</v>
      </c>
      <c r="B11" s="1620" t="s">
        <v>5965</v>
      </c>
      <c r="C11" s="1602" t="s">
        <v>44</v>
      </c>
      <c r="D11" s="1615"/>
      <c r="E11" s="1615"/>
      <c r="F11" s="1615"/>
      <c r="G11" s="1615"/>
      <c r="H11" s="1615"/>
      <c r="I11" s="1614">
        <v>2455000000</v>
      </c>
      <c r="J11" s="1615">
        <v>2960000000</v>
      </c>
      <c r="K11" s="1615">
        <v>3832000000</v>
      </c>
      <c r="L11" s="1615">
        <v>4678000000</v>
      </c>
      <c r="M11" s="1615">
        <v>5073000000</v>
      </c>
      <c r="N11" s="1615">
        <v>6914000000</v>
      </c>
      <c r="O11" s="1615">
        <v>10655000000</v>
      </c>
      <c r="P11" s="1615">
        <v>10275000000</v>
      </c>
      <c r="Q11" s="1615">
        <v>9814000000</v>
      </c>
      <c r="R11" s="1633"/>
      <c r="S11" s="1633"/>
      <c r="T11" s="1633"/>
      <c r="U11" s="1633"/>
      <c r="V11" s="1633"/>
      <c r="W11" s="1633"/>
      <c r="X11" s="1633"/>
      <c r="Y11" s="1913"/>
      <c r="Z11" s="1913"/>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1620" t="s">
        <v>4253</v>
      </c>
      <c r="B12" s="1620" t="s">
        <v>6282</v>
      </c>
      <c r="C12" s="1602" t="s">
        <v>44</v>
      </c>
      <c r="D12" s="1615">
        <v>230000000</v>
      </c>
      <c r="E12" s="1615">
        <v>278000000</v>
      </c>
      <c r="F12" s="1615">
        <v>812000000</v>
      </c>
      <c r="G12" s="1615">
        <v>1034000000</v>
      </c>
      <c r="H12" s="1615">
        <v>1362000000</v>
      </c>
      <c r="I12" s="1614">
        <v>1633000000</v>
      </c>
      <c r="J12" s="1615">
        <v>1792000000</v>
      </c>
      <c r="K12" s="1615">
        <v>2231000000</v>
      </c>
      <c r="L12" s="1615">
        <v>2201000000</v>
      </c>
      <c r="M12" s="1615">
        <v>2475000000</v>
      </c>
      <c r="N12" s="1615">
        <v>3160000000</v>
      </c>
      <c r="O12" s="1615">
        <v>3973000000</v>
      </c>
      <c r="P12" s="1615">
        <v>4743000000</v>
      </c>
      <c r="Q12" s="1615">
        <v>7348000000</v>
      </c>
      <c r="R12" s="1633"/>
      <c r="S12" s="1633"/>
      <c r="T12" s="1633"/>
      <c r="U12" s="1633"/>
      <c r="V12" s="1633"/>
      <c r="W12" s="1633"/>
      <c r="X12" s="1633"/>
      <c r="Y12" s="1913"/>
      <c r="Z12" s="1913"/>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1620" t="s">
        <v>1050</v>
      </c>
      <c r="B13" s="1620" t="s">
        <v>6930</v>
      </c>
      <c r="C13" s="1602" t="s">
        <v>44</v>
      </c>
      <c r="D13" s="1615">
        <v>345000000</v>
      </c>
      <c r="E13" s="1615">
        <v>544000000</v>
      </c>
      <c r="F13" s="1615">
        <v>367000000</v>
      </c>
      <c r="G13" s="1615">
        <v>409000000</v>
      </c>
      <c r="H13" s="1615">
        <v>544000000</v>
      </c>
      <c r="I13" s="1614"/>
      <c r="J13" s="1615"/>
      <c r="K13" s="1615"/>
      <c r="L13" s="1615"/>
      <c r="M13" s="1615"/>
      <c r="N13" s="1615"/>
      <c r="O13" s="1615"/>
      <c r="P13" s="1615"/>
      <c r="Q13" s="1615"/>
      <c r="R13" s="1633"/>
      <c r="S13" s="1633"/>
      <c r="T13" s="1633"/>
      <c r="U13" s="1633"/>
      <c r="V13" s="1633"/>
      <c r="W13" s="1633"/>
      <c r="X13" s="1633"/>
      <c r="Y13" s="1913"/>
      <c r="Z13" s="1913"/>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620" t="s">
        <v>6931</v>
      </c>
      <c r="B14" s="1620" t="s">
        <v>6932</v>
      </c>
      <c r="C14" s="1602" t="s">
        <v>44</v>
      </c>
      <c r="D14" s="1615">
        <v>252000000</v>
      </c>
      <c r="E14" s="1615">
        <v>285000000</v>
      </c>
      <c r="F14" s="1615">
        <v>3000000</v>
      </c>
      <c r="G14" s="1615">
        <v>10000000</v>
      </c>
      <c r="H14" s="1615">
        <v>4000000</v>
      </c>
      <c r="I14" s="1614"/>
      <c r="J14" s="1615"/>
      <c r="K14" s="1615"/>
      <c r="L14" s="1615"/>
      <c r="M14" s="1615"/>
      <c r="N14" s="1615"/>
      <c r="O14" s="1615"/>
      <c r="P14" s="1615"/>
      <c r="Q14" s="1615"/>
      <c r="R14" s="1633"/>
      <c r="S14" s="1633"/>
      <c r="T14" s="1633"/>
      <c r="U14" s="1633"/>
      <c r="V14" s="1633"/>
      <c r="W14" s="1633"/>
      <c r="X14" s="1633"/>
      <c r="Y14" s="1913"/>
      <c r="Z14" s="1913"/>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1620" t="s">
        <v>641</v>
      </c>
      <c r="B15" s="1620" t="s">
        <v>5966</v>
      </c>
      <c r="C15" s="1602" t="s">
        <v>44</v>
      </c>
      <c r="D15" s="1615">
        <v>575000000</v>
      </c>
      <c r="E15" s="1618"/>
      <c r="F15" s="1615">
        <v>423000000</v>
      </c>
      <c r="G15" s="1615">
        <v>482000000</v>
      </c>
      <c r="H15" s="1615">
        <v>607000000</v>
      </c>
      <c r="I15" s="1614">
        <v>768000000</v>
      </c>
      <c r="J15" s="1615">
        <v>821000000</v>
      </c>
      <c r="K15" s="1615">
        <v>1205000000</v>
      </c>
      <c r="L15" s="1615">
        <v>1424000000</v>
      </c>
      <c r="M15" s="1615">
        <v>1024000000</v>
      </c>
      <c r="N15" s="1615">
        <v>1377000000</v>
      </c>
      <c r="O15" s="1615">
        <v>1665000000</v>
      </c>
      <c r="P15" s="1615">
        <v>2201000000</v>
      </c>
      <c r="Q15" s="1615">
        <v>2337000000</v>
      </c>
      <c r="R15" s="1633"/>
      <c r="S15" s="1633"/>
      <c r="T15" s="1633"/>
      <c r="U15" s="1633"/>
      <c r="V15" s="1633"/>
      <c r="W15" s="1633"/>
      <c r="X15" s="1633"/>
      <c r="Y15" s="1913"/>
      <c r="Z15" s="1913"/>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1620" t="s">
        <v>6933</v>
      </c>
      <c r="B16" s="1620" t="s">
        <v>6934</v>
      </c>
      <c r="C16" s="1602" t="s">
        <v>44</v>
      </c>
      <c r="D16" s="1615">
        <v>191000000</v>
      </c>
      <c r="E16" s="1615">
        <v>23000000</v>
      </c>
      <c r="F16" s="1615"/>
      <c r="G16" s="1615"/>
      <c r="H16" s="1615"/>
      <c r="I16" s="1615"/>
      <c r="J16" s="1615"/>
      <c r="K16" s="1615"/>
      <c r="L16" s="1615"/>
      <c r="M16" s="1615"/>
      <c r="N16" s="1615"/>
      <c r="O16" s="1615"/>
      <c r="P16" s="1615"/>
      <c r="Q16" s="1615"/>
      <c r="R16" s="1633"/>
      <c r="S16" s="1633"/>
      <c r="T16" s="1633"/>
      <c r="U16" s="1633"/>
      <c r="V16" s="1633"/>
      <c r="W16" s="1633"/>
      <c r="X16" s="1633"/>
      <c r="Y16" s="1913"/>
      <c r="Z16" s="1913"/>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1620" t="s">
        <v>174</v>
      </c>
      <c r="B17" s="1620" t="s">
        <v>6935</v>
      </c>
      <c r="C17" s="1602" t="s">
        <v>44</v>
      </c>
      <c r="D17" s="1615"/>
      <c r="E17" s="1615"/>
      <c r="F17" s="1615"/>
      <c r="G17" s="1615"/>
      <c r="H17" s="1615"/>
      <c r="I17" s="1614">
        <v>656000000</v>
      </c>
      <c r="J17" s="1615">
        <v>744000000</v>
      </c>
      <c r="K17" s="1615">
        <v>916000000</v>
      </c>
      <c r="L17" s="1615">
        <v>1351000000</v>
      </c>
      <c r="M17" s="1615">
        <v>1089000000</v>
      </c>
      <c r="N17" s="1615">
        <v>1250000000</v>
      </c>
      <c r="O17" s="1615">
        <v>1725000000</v>
      </c>
      <c r="P17" s="1615">
        <v>2041000000</v>
      </c>
      <c r="Q17" s="1615">
        <v>1808000000</v>
      </c>
      <c r="R17" s="1633"/>
      <c r="S17" s="1633"/>
      <c r="T17" s="1633"/>
      <c r="U17" s="1633"/>
      <c r="V17" s="1633"/>
      <c r="W17" s="1633"/>
      <c r="X17" s="1633"/>
      <c r="Y17" s="1913"/>
      <c r="Z17" s="1913"/>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2328" t="s">
        <v>49</v>
      </c>
      <c r="B18" s="2328" t="s">
        <v>1772</v>
      </c>
      <c r="C18" s="2329" t="s">
        <v>44</v>
      </c>
      <c r="D18" s="1615"/>
      <c r="E18" s="1615"/>
      <c r="F18" s="1615"/>
      <c r="G18" s="1615"/>
      <c r="H18" s="1615"/>
      <c r="I18" s="1615"/>
      <c r="J18" s="1615"/>
      <c r="K18" s="1615"/>
      <c r="L18" s="1615"/>
      <c r="M18" s="1615"/>
      <c r="N18" s="1615"/>
      <c r="O18" s="1615"/>
      <c r="P18" s="1615"/>
      <c r="Q18" s="1615"/>
      <c r="R18" s="1633"/>
      <c r="S18" s="1633"/>
      <c r="T18" s="1633"/>
      <c r="U18" s="1633"/>
      <c r="V18" s="1633"/>
      <c r="W18" s="1633"/>
      <c r="X18" s="1633"/>
      <c r="Y18" s="1913"/>
      <c r="Z18" s="1913"/>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848" customFormat="1">
      <c r="A19" s="2327" t="s">
        <v>53</v>
      </c>
      <c r="B19" s="2327" t="s">
        <v>53</v>
      </c>
      <c r="C19" s="1904" t="s">
        <v>38</v>
      </c>
      <c r="D19" s="2185">
        <v>575000000</v>
      </c>
      <c r="E19" s="2185">
        <v>754000000</v>
      </c>
      <c r="F19" s="2185">
        <v>1350000000</v>
      </c>
      <c r="G19" s="2185">
        <v>1424000000</v>
      </c>
      <c r="H19" s="2185">
        <v>1433000000</v>
      </c>
      <c r="I19" s="2186">
        <v>1825000000</v>
      </c>
      <c r="J19" s="2185">
        <v>10207000000</v>
      </c>
      <c r="K19" s="2185">
        <v>2104000000</v>
      </c>
      <c r="L19" s="2185">
        <v>2069000000</v>
      </c>
      <c r="M19" s="2185">
        <v>1867000000</v>
      </c>
      <c r="N19" s="2185">
        <v>1389000000</v>
      </c>
      <c r="O19" s="2185">
        <v>714000000</v>
      </c>
      <c r="P19" s="2185">
        <v>2238000000</v>
      </c>
      <c r="Q19" s="2185">
        <v>2196000000</v>
      </c>
      <c r="R19" s="1901">
        <v>1267000000</v>
      </c>
      <c r="S19" s="1901">
        <v>369000000</v>
      </c>
      <c r="T19" s="1901">
        <v>525000000</v>
      </c>
      <c r="U19" s="1901">
        <v>1809000000</v>
      </c>
      <c r="V19" s="1901">
        <v>1628000000</v>
      </c>
      <c r="W19" s="1901">
        <v>1831000000</v>
      </c>
      <c r="X19" s="1901">
        <v>2063000000</v>
      </c>
      <c r="Y19" s="2088">
        <v>2258000000</v>
      </c>
      <c r="Z19" s="2088">
        <v>2472000000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c r="AY19" s="916"/>
    </row>
    <row r="20" spans="1:51">
      <c r="A20" s="1620" t="s">
        <v>262</v>
      </c>
      <c r="B20" s="1620" t="s">
        <v>6936</v>
      </c>
      <c r="C20" s="1602" t="s">
        <v>57</v>
      </c>
      <c r="D20" s="1615"/>
      <c r="E20" s="1615"/>
      <c r="F20" s="1615"/>
      <c r="G20" s="1615"/>
      <c r="H20" s="1615"/>
      <c r="I20" s="1614">
        <v>543000000</v>
      </c>
      <c r="J20" s="1615">
        <v>423000000</v>
      </c>
      <c r="K20" s="1615">
        <v>582000000</v>
      </c>
      <c r="L20" s="1615">
        <v>642000000</v>
      </c>
      <c r="M20" s="1615">
        <v>879000000</v>
      </c>
      <c r="N20" s="1615">
        <v>912000000</v>
      </c>
      <c r="O20" s="1615">
        <v>602000000</v>
      </c>
      <c r="P20" s="1615">
        <v>755000000</v>
      </c>
      <c r="Q20" s="1615">
        <v>301000000</v>
      </c>
      <c r="R20" s="1633"/>
      <c r="S20" s="1633"/>
      <c r="T20" s="1633"/>
      <c r="U20" s="1633"/>
      <c r="V20" s="1633"/>
      <c r="W20" s="1633"/>
      <c r="X20" s="1633"/>
      <c r="Y20" s="1913"/>
      <c r="Z20" s="1913"/>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620" t="s">
        <v>564</v>
      </c>
      <c r="B21" s="1620" t="s">
        <v>6937</v>
      </c>
      <c r="C21" s="1602" t="s">
        <v>57</v>
      </c>
      <c r="D21" s="1615"/>
      <c r="E21" s="1615"/>
      <c r="F21" s="1615"/>
      <c r="G21" s="1615"/>
      <c r="H21" s="1615"/>
      <c r="I21" s="1614">
        <v>1282000000</v>
      </c>
      <c r="J21" s="1615">
        <v>1374000000</v>
      </c>
      <c r="K21" s="1615">
        <v>1522000000</v>
      </c>
      <c r="L21" s="1615">
        <v>1427000000</v>
      </c>
      <c r="M21" s="1615">
        <v>988000000</v>
      </c>
      <c r="N21" s="1615">
        <v>477000000</v>
      </c>
      <c r="O21" s="1615">
        <v>112000000</v>
      </c>
      <c r="P21" s="1615">
        <v>1482000000</v>
      </c>
      <c r="Q21" s="1615">
        <v>1895000000</v>
      </c>
      <c r="R21" s="1633"/>
      <c r="S21" s="1633"/>
      <c r="T21" s="1633"/>
      <c r="U21" s="1633"/>
      <c r="V21" s="1633"/>
      <c r="W21" s="1633"/>
      <c r="X21" s="1633"/>
      <c r="Y21" s="1913"/>
      <c r="Z21" s="1913"/>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620" t="s">
        <v>6938</v>
      </c>
      <c r="B22" s="1620" t="s">
        <v>6939</v>
      </c>
      <c r="C22" s="1602" t="s">
        <v>57</v>
      </c>
      <c r="D22" s="1615"/>
      <c r="E22" s="1615"/>
      <c r="F22" s="1615"/>
      <c r="G22" s="1615"/>
      <c r="H22" s="1615"/>
      <c r="I22" s="1614">
        <v>0</v>
      </c>
      <c r="J22" s="1615">
        <v>8410000000</v>
      </c>
      <c r="K22" s="1615">
        <v>0</v>
      </c>
      <c r="L22" s="1615"/>
      <c r="M22" s="1615"/>
      <c r="N22" s="1615"/>
      <c r="O22" s="1615"/>
      <c r="P22" s="1615"/>
      <c r="Q22" s="1615"/>
      <c r="R22" s="1633"/>
      <c r="S22" s="1633"/>
      <c r="T22" s="1633"/>
      <c r="U22" s="1633"/>
      <c r="V22" s="1633"/>
      <c r="W22" s="1633"/>
      <c r="X22" s="1633"/>
      <c r="Y22" s="1913"/>
      <c r="Z22" s="1913"/>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616" t="s">
        <v>560</v>
      </c>
      <c r="B23" s="1616" t="s">
        <v>5384</v>
      </c>
      <c r="C23" s="1612" t="s">
        <v>41</v>
      </c>
      <c r="D23" s="1615">
        <v>22000000</v>
      </c>
      <c r="E23" s="1615">
        <v>60000000</v>
      </c>
      <c r="F23" s="1615">
        <v>60000000</v>
      </c>
      <c r="G23" s="1615">
        <v>132000000</v>
      </c>
      <c r="H23" s="1615">
        <v>194000000</v>
      </c>
      <c r="I23" s="1614">
        <v>130000000</v>
      </c>
      <c r="J23" s="1615">
        <v>301000000</v>
      </c>
      <c r="K23" s="1615">
        <v>338000000</v>
      </c>
      <c r="L23" s="1615">
        <v>567000000</v>
      </c>
      <c r="M23" s="1615">
        <v>654000000</v>
      </c>
      <c r="N23" s="1615">
        <v>1109000000</v>
      </c>
      <c r="O23" s="1615">
        <v>1501000000</v>
      </c>
      <c r="P23" s="1615">
        <v>3042000000</v>
      </c>
      <c r="Q23" s="1615">
        <v>3175000000</v>
      </c>
      <c r="R23" s="1633">
        <v>4460000000</v>
      </c>
      <c r="S23" s="1633">
        <v>7615000000</v>
      </c>
      <c r="T23" s="1633">
        <v>10856000000</v>
      </c>
      <c r="U23" s="1633">
        <v>6753000000</v>
      </c>
      <c r="V23" s="1633">
        <v>7897000000</v>
      </c>
      <c r="W23" s="1633">
        <v>9086000000</v>
      </c>
      <c r="X23" s="1633">
        <v>10262000000</v>
      </c>
      <c r="Y23" s="2586">
        <v>11667000000</v>
      </c>
      <c r="Z23" s="2586">
        <v>13116000000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620" t="s">
        <v>7043</v>
      </c>
      <c r="B24" s="1620" t="s">
        <v>6940</v>
      </c>
      <c r="C24" s="1602" t="s">
        <v>998</v>
      </c>
      <c r="D24" s="1615"/>
      <c r="E24" s="1615"/>
      <c r="F24" s="1615"/>
      <c r="G24" s="1615"/>
      <c r="H24" s="1615"/>
      <c r="I24" s="1615"/>
      <c r="J24" s="1615"/>
      <c r="K24" s="1615"/>
      <c r="L24" s="1615"/>
      <c r="M24" s="1615"/>
      <c r="N24" s="1615"/>
      <c r="O24" s="1615">
        <v>868000000</v>
      </c>
      <c r="P24" s="1615">
        <v>1459000000</v>
      </c>
      <c r="Q24" s="1615">
        <v>1761000000</v>
      </c>
      <c r="R24" s="1633">
        <v>1617000000</v>
      </c>
      <c r="S24" s="1633">
        <v>3749000000</v>
      </c>
      <c r="T24" s="1633">
        <v>3053000000</v>
      </c>
      <c r="U24" s="1633">
        <v>2598000000</v>
      </c>
      <c r="V24" s="1633">
        <v>3260000000</v>
      </c>
      <c r="W24" s="1633">
        <v>3688000000</v>
      </c>
      <c r="X24" s="1633">
        <v>4102000000</v>
      </c>
      <c r="Y24" s="2586">
        <v>4782000000</v>
      </c>
      <c r="Z24" s="2586">
        <v>5277000000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1620" t="s">
        <v>50</v>
      </c>
      <c r="B25" s="1620" t="s">
        <v>50</v>
      </c>
      <c r="C25" s="1602" t="s">
        <v>998</v>
      </c>
      <c r="D25" s="1615"/>
      <c r="E25" s="1615"/>
      <c r="F25" s="1615"/>
      <c r="G25" s="1615"/>
      <c r="H25" s="1615"/>
      <c r="I25" s="1615"/>
      <c r="J25" s="1615"/>
      <c r="K25" s="1615"/>
      <c r="L25" s="1615"/>
      <c r="M25" s="1615"/>
      <c r="N25" s="1615"/>
      <c r="O25" s="1615">
        <f t="shared" ref="O25:P25" si="0">O23-O24</f>
        <v>633000000</v>
      </c>
      <c r="P25" s="1615">
        <f t="shared" si="0"/>
        <v>1583000000</v>
      </c>
      <c r="Q25" s="1615">
        <f>Q23-Q24</f>
        <v>1414000000</v>
      </c>
      <c r="R25" s="1615">
        <f t="shared" ref="R25:Z25" si="1">R23-R24</f>
        <v>2843000000</v>
      </c>
      <c r="S25" s="1615">
        <f t="shared" si="1"/>
        <v>3866000000</v>
      </c>
      <c r="T25" s="1615">
        <f t="shared" si="1"/>
        <v>7803000000</v>
      </c>
      <c r="U25" s="1633">
        <f t="shared" si="1"/>
        <v>4155000000</v>
      </c>
      <c r="V25" s="1615">
        <f t="shared" si="1"/>
        <v>4637000000</v>
      </c>
      <c r="W25" s="1615">
        <f t="shared" si="1"/>
        <v>5398000000</v>
      </c>
      <c r="X25" s="1615">
        <f t="shared" si="1"/>
        <v>6160000000</v>
      </c>
      <c r="Y25" s="1615">
        <f t="shared" si="1"/>
        <v>6885000000</v>
      </c>
      <c r="Z25" s="1615">
        <f t="shared" si="1"/>
        <v>7839000000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1602" t="s">
        <v>76</v>
      </c>
      <c r="B26" s="1612" t="s">
        <v>6941</v>
      </c>
      <c r="C26" s="1612"/>
      <c r="D26" s="1615"/>
      <c r="E26" s="1615"/>
      <c r="F26" s="1615"/>
      <c r="G26" s="1615"/>
      <c r="H26" s="1615"/>
      <c r="I26" s="1615"/>
      <c r="J26" s="1615"/>
      <c r="K26" s="1615"/>
      <c r="L26" s="1615"/>
      <c r="M26" s="1615"/>
      <c r="N26" s="1615"/>
      <c r="O26" s="1615">
        <v>18886000000</v>
      </c>
      <c r="P26" s="1615">
        <v>20719000000</v>
      </c>
      <c r="Q26" s="1615">
        <v>22860000000</v>
      </c>
      <c r="R26" s="1633"/>
      <c r="S26" s="1633"/>
      <c r="T26" s="1633"/>
      <c r="U26" s="1633"/>
      <c r="V26" s="1633"/>
      <c r="W26" s="1633"/>
      <c r="X26" s="1633"/>
      <c r="Y26" s="1913"/>
      <c r="Z26" s="1913"/>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602" t="s">
        <v>76</v>
      </c>
      <c r="B27" s="1612" t="s">
        <v>535</v>
      </c>
      <c r="D27" s="1615">
        <v>3122000000</v>
      </c>
      <c r="E27" s="1615">
        <v>4212000000</v>
      </c>
      <c r="F27" s="1615">
        <v>5086000000</v>
      </c>
      <c r="G27" s="1615">
        <v>6337000000</v>
      </c>
      <c r="H27" s="1615">
        <v>6919000000</v>
      </c>
      <c r="I27" s="1614">
        <v>8350000000</v>
      </c>
      <c r="J27" s="1615">
        <v>9051000000</v>
      </c>
      <c r="K27" s="1615">
        <v>11209000000</v>
      </c>
      <c r="L27" s="1615">
        <v>13098000000</v>
      </c>
      <c r="M27" s="1615">
        <v>13847000000</v>
      </c>
      <c r="N27" s="1615">
        <v>17584000000</v>
      </c>
      <c r="O27" s="1615">
        <v>22267000000</v>
      </c>
      <c r="P27" s="1615">
        <v>27600000000</v>
      </c>
      <c r="Q27" s="1615">
        <v>35690000000</v>
      </c>
      <c r="R27" s="1633"/>
      <c r="S27" s="1633"/>
      <c r="T27" s="1633"/>
      <c r="U27" s="1633"/>
      <c r="V27" s="1633"/>
      <c r="W27" s="1636"/>
      <c r="X27" s="1636"/>
      <c r="Y27" s="1913"/>
      <c r="Z27" s="1913"/>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s="848" customFormat="1">
      <c r="A28" s="1902" t="s">
        <v>198</v>
      </c>
      <c r="B28" s="1902" t="s">
        <v>535</v>
      </c>
      <c r="C28" s="2326" t="s">
        <v>35</v>
      </c>
      <c r="D28" s="2185">
        <f>D29+D49+D52+D53</f>
        <v>3040000000</v>
      </c>
      <c r="E28" s="2185">
        <f t="shared" ref="E28:Q28" si="2">E29+E49+E52+E53</f>
        <v>4212000000</v>
      </c>
      <c r="F28" s="2185">
        <f t="shared" si="2"/>
        <v>5086000000</v>
      </c>
      <c r="G28" s="2185">
        <f t="shared" si="2"/>
        <v>6337000000</v>
      </c>
      <c r="H28" s="2185">
        <f t="shared" si="2"/>
        <v>6918000000</v>
      </c>
      <c r="I28" s="2185">
        <f t="shared" si="2"/>
        <v>8349000000</v>
      </c>
      <c r="J28" s="2185">
        <f t="shared" si="2"/>
        <v>9051000000</v>
      </c>
      <c r="K28" s="2185">
        <f t="shared" si="2"/>
        <v>11209000000</v>
      </c>
      <c r="L28" s="2185">
        <f t="shared" si="2"/>
        <v>13098000000</v>
      </c>
      <c r="M28" s="2185">
        <f t="shared" si="2"/>
        <v>13848000000</v>
      </c>
      <c r="N28" s="2185">
        <f t="shared" si="2"/>
        <v>17585000000</v>
      </c>
      <c r="O28" s="2185">
        <f t="shared" si="2"/>
        <v>22266000000</v>
      </c>
      <c r="P28" s="2185">
        <f t="shared" si="2"/>
        <v>28685000000</v>
      </c>
      <c r="Q28" s="2185">
        <f t="shared" si="2"/>
        <v>36357000000</v>
      </c>
      <c r="R28" s="1901">
        <v>40640000000</v>
      </c>
      <c r="S28" s="1901">
        <v>50701000000</v>
      </c>
      <c r="T28" s="1901">
        <v>51713000000</v>
      </c>
      <c r="U28" s="1901">
        <f>U29+U49</f>
        <v>59801000000</v>
      </c>
      <c r="V28" s="1901">
        <f t="shared" ref="V28:Z28" si="3">V29+V49</f>
        <v>65681000000</v>
      </c>
      <c r="W28" s="1901">
        <f t="shared" si="3"/>
        <v>67386000000</v>
      </c>
      <c r="X28" s="1901">
        <f t="shared" si="3"/>
        <v>74882000000</v>
      </c>
      <c r="Y28" s="1901">
        <f t="shared" si="3"/>
        <v>82566000000</v>
      </c>
      <c r="Z28" s="1901">
        <f t="shared" si="3"/>
        <v>91081000000</v>
      </c>
      <c r="AA28" s="916"/>
      <c r="AB28" s="916"/>
      <c r="AC28" s="916"/>
      <c r="AD28" s="916"/>
      <c r="AE28" s="916"/>
      <c r="AF28" s="916"/>
      <c r="AG28" s="916"/>
      <c r="AH28" s="916"/>
      <c r="AI28" s="916"/>
      <c r="AJ28" s="916"/>
      <c r="AK28" s="916"/>
      <c r="AL28" s="916"/>
      <c r="AM28" s="916"/>
      <c r="AN28" s="916"/>
      <c r="AO28" s="916"/>
      <c r="AP28" s="916"/>
      <c r="AQ28" s="916"/>
      <c r="AR28" s="916"/>
      <c r="AS28" s="916"/>
      <c r="AT28" s="916"/>
      <c r="AU28" s="916"/>
      <c r="AV28" s="916"/>
      <c r="AW28" s="916"/>
      <c r="AX28" s="916"/>
      <c r="AY28" s="916"/>
    </row>
    <row r="29" spans="1:51">
      <c r="A29" s="1619" t="s">
        <v>73</v>
      </c>
      <c r="B29" s="1612" t="s">
        <v>382</v>
      </c>
      <c r="C29" s="1612" t="s">
        <v>201</v>
      </c>
      <c r="D29" s="1615">
        <f>D30+D31+D32+D33+D34+D37+D45+D46+D47+D48</f>
        <v>1618000000</v>
      </c>
      <c r="E29" s="1615">
        <v>2578000000</v>
      </c>
      <c r="F29" s="1615">
        <v>3014000000</v>
      </c>
      <c r="G29" s="1615">
        <v>3950000000</v>
      </c>
      <c r="H29" s="1615">
        <v>4569000000</v>
      </c>
      <c r="I29" s="1614">
        <v>5828000000</v>
      </c>
      <c r="J29" s="1615">
        <v>7203000000</v>
      </c>
      <c r="K29" s="1615">
        <v>9045000000</v>
      </c>
      <c r="L29" s="1615">
        <v>10539000000</v>
      </c>
      <c r="M29" s="1615">
        <v>11279000000</v>
      </c>
      <c r="N29" s="1615">
        <v>15073000000</v>
      </c>
      <c r="O29" s="1615">
        <v>18364000000</v>
      </c>
      <c r="P29" s="1615">
        <v>20753000000</v>
      </c>
      <c r="Q29" s="1615">
        <v>27216000000</v>
      </c>
      <c r="R29" s="1633">
        <v>31770000000</v>
      </c>
      <c r="S29" s="1633">
        <v>38508000000</v>
      </c>
      <c r="T29" s="1633">
        <v>43555000000</v>
      </c>
      <c r="U29" s="1633">
        <f>U30+U33+U34+U37+U45</f>
        <v>48626000000</v>
      </c>
      <c r="V29" s="1633">
        <f>V30+V33+V34+V37+V45</f>
        <v>52124000000</v>
      </c>
      <c r="W29" s="1633">
        <f t="shared" ref="W29:Z29" si="4">W30+W33+W34+W37+W45</f>
        <v>54157000000</v>
      </c>
      <c r="X29" s="1633">
        <f t="shared" si="4"/>
        <v>59149000000</v>
      </c>
      <c r="Y29" s="1633">
        <f t="shared" si="4"/>
        <v>64656000000</v>
      </c>
      <c r="Z29" s="1633">
        <f t="shared" si="4"/>
        <v>70715000000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1616" t="s">
        <v>797</v>
      </c>
      <c r="B30" s="1616" t="s">
        <v>6942</v>
      </c>
      <c r="C30" s="1612" t="s">
        <v>204</v>
      </c>
      <c r="D30" s="1615">
        <v>538000000</v>
      </c>
      <c r="E30" s="1615">
        <v>888000000</v>
      </c>
      <c r="F30" s="1615">
        <v>1301000000</v>
      </c>
      <c r="G30" s="1615">
        <v>1728000000</v>
      </c>
      <c r="H30" s="1615">
        <v>2012000000</v>
      </c>
      <c r="I30" s="1614">
        <v>2455000000</v>
      </c>
      <c r="J30" s="1615">
        <v>2833000000</v>
      </c>
      <c r="K30" s="1615">
        <v>3531000000</v>
      </c>
      <c r="L30" s="1615">
        <v>4465000000</v>
      </c>
      <c r="M30" s="1615">
        <v>5274000000</v>
      </c>
      <c r="N30" s="1615">
        <v>6325000000</v>
      </c>
      <c r="O30" s="1615">
        <v>7402000000</v>
      </c>
      <c r="P30" s="1615">
        <v>9393000000</v>
      </c>
      <c r="Q30" s="1615">
        <v>11897000000</v>
      </c>
      <c r="R30" s="1633">
        <v>15750000000</v>
      </c>
      <c r="S30" s="1633">
        <v>16091000000</v>
      </c>
      <c r="T30" s="1633">
        <v>18807000000</v>
      </c>
      <c r="U30" s="1633">
        <v>21070000000</v>
      </c>
      <c r="V30" s="1633">
        <v>22816000000</v>
      </c>
      <c r="W30" s="1633">
        <v>24574000000</v>
      </c>
      <c r="X30" s="1633">
        <v>26976000000</v>
      </c>
      <c r="Y30" s="1913">
        <v>29669000000</v>
      </c>
      <c r="Z30" s="1913">
        <v>32647000000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616" t="s">
        <v>6943</v>
      </c>
      <c r="B31" s="1616" t="s">
        <v>6944</v>
      </c>
      <c r="C31" s="1612" t="s">
        <v>204</v>
      </c>
      <c r="D31" s="1615">
        <v>74000000</v>
      </c>
      <c r="E31" s="1615">
        <v>19000000</v>
      </c>
      <c r="F31" s="1615"/>
      <c r="G31" s="1615"/>
      <c r="H31" s="1615"/>
      <c r="I31" s="1615"/>
      <c r="J31" s="1615"/>
      <c r="K31" s="1615"/>
      <c r="L31" s="1615"/>
      <c r="M31" s="1615"/>
      <c r="N31" s="1615"/>
      <c r="O31" s="1615"/>
      <c r="P31" s="1615"/>
      <c r="Q31" s="1615"/>
      <c r="R31" s="1633"/>
      <c r="S31" s="1633"/>
      <c r="T31" s="1633"/>
      <c r="U31" s="1633"/>
      <c r="V31" s="1633"/>
      <c r="W31" s="1633"/>
      <c r="X31" s="1633"/>
      <c r="Y31" s="1913"/>
      <c r="Z31" s="1913"/>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1616" t="s">
        <v>6945</v>
      </c>
      <c r="B32" s="1616" t="s">
        <v>6946</v>
      </c>
      <c r="C32" s="1612" t="s">
        <v>204</v>
      </c>
      <c r="D32" s="1615">
        <v>300000000</v>
      </c>
      <c r="E32" s="1615">
        <v>801000000</v>
      </c>
      <c r="F32" s="1615"/>
      <c r="G32" s="1615"/>
      <c r="H32" s="1615"/>
      <c r="I32" s="1615"/>
      <c r="J32" s="1615"/>
      <c r="K32" s="1615"/>
      <c r="L32" s="1615"/>
      <c r="M32" s="1615"/>
      <c r="N32" s="1615"/>
      <c r="O32" s="1615"/>
      <c r="P32" s="1615"/>
      <c r="Q32" s="1615"/>
      <c r="R32" s="1633"/>
      <c r="S32" s="1633"/>
      <c r="T32" s="1633"/>
      <c r="U32" s="1633"/>
      <c r="V32" s="1633"/>
      <c r="W32" s="1633"/>
      <c r="X32" s="1633"/>
      <c r="Y32" s="1913"/>
      <c r="Z32" s="1913"/>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1616" t="s">
        <v>1059</v>
      </c>
      <c r="B33" s="1616" t="s">
        <v>6947</v>
      </c>
      <c r="C33" s="1612" t="s">
        <v>204</v>
      </c>
      <c r="D33" s="1615"/>
      <c r="E33" s="1615"/>
      <c r="F33" s="1615">
        <v>546000000</v>
      </c>
      <c r="G33" s="1615">
        <v>612000000</v>
      </c>
      <c r="H33" s="1615">
        <v>784000000</v>
      </c>
      <c r="I33" s="1614">
        <v>1249000000</v>
      </c>
      <c r="J33" s="1615">
        <v>1779000000</v>
      </c>
      <c r="K33" s="1615">
        <v>2784000000</v>
      </c>
      <c r="L33" s="1615">
        <v>2808000000</v>
      </c>
      <c r="M33" s="1615">
        <v>2781000000</v>
      </c>
      <c r="N33" s="1615">
        <v>3272000000</v>
      </c>
      <c r="O33" s="1615">
        <v>4480000000</v>
      </c>
      <c r="P33" s="1615">
        <v>4640000000</v>
      </c>
      <c r="Q33" s="1615">
        <v>4799000000</v>
      </c>
      <c r="R33" s="1633">
        <v>5062000000</v>
      </c>
      <c r="S33" s="1633">
        <v>5519000000</v>
      </c>
      <c r="T33" s="1633">
        <v>4897000000</v>
      </c>
      <c r="U33" s="1633">
        <v>5587000000</v>
      </c>
      <c r="V33" s="1633">
        <v>6516000000</v>
      </c>
      <c r="W33" s="1633">
        <v>7201000000</v>
      </c>
      <c r="X33" s="1633">
        <v>8092000000</v>
      </c>
      <c r="Y33" s="1913">
        <v>9046000000</v>
      </c>
      <c r="Z33" s="1913">
        <v>10089000000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1616" t="s">
        <v>91</v>
      </c>
      <c r="B34" s="1616" t="s">
        <v>91</v>
      </c>
      <c r="C34" s="1612" t="s">
        <v>204</v>
      </c>
      <c r="D34" s="1615">
        <v>307000000</v>
      </c>
      <c r="E34" s="1615">
        <v>331000000</v>
      </c>
      <c r="F34" s="1615">
        <v>660000000</v>
      </c>
      <c r="G34" s="1615">
        <v>792000000</v>
      </c>
      <c r="H34" s="1615">
        <v>898000000</v>
      </c>
      <c r="I34" s="1614">
        <v>865000000</v>
      </c>
      <c r="J34" s="1615">
        <v>749000000</v>
      </c>
      <c r="K34" s="1615">
        <v>776000000</v>
      </c>
      <c r="L34" s="1615">
        <v>950000000</v>
      </c>
      <c r="M34" s="1615">
        <v>1033000000</v>
      </c>
      <c r="N34" s="1615">
        <v>1370000000</v>
      </c>
      <c r="O34" s="1615">
        <v>1082000000</v>
      </c>
      <c r="P34" s="1615">
        <v>1737000000</v>
      </c>
      <c r="Q34" s="1615">
        <v>2231000000</v>
      </c>
      <c r="R34" s="1633">
        <v>3711000000</v>
      </c>
      <c r="S34" s="1633">
        <v>5224000000</v>
      </c>
      <c r="T34" s="1633">
        <v>7448000000</v>
      </c>
      <c r="U34" s="1633">
        <v>8812000000</v>
      </c>
      <c r="V34" s="1633">
        <v>10383000000</v>
      </c>
      <c r="W34" s="1633">
        <v>10860000000</v>
      </c>
      <c r="X34" s="1633">
        <v>11578000000</v>
      </c>
      <c r="Y34" s="1913">
        <v>12136000000</v>
      </c>
      <c r="Z34" s="1913">
        <v>12981000000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1616" t="s">
        <v>209</v>
      </c>
      <c r="B35" s="1620" t="s">
        <v>209</v>
      </c>
      <c r="C35" s="1612" t="s">
        <v>211</v>
      </c>
      <c r="D35" s="1615"/>
      <c r="E35" s="1615"/>
      <c r="F35" s="1615">
        <v>450000000</v>
      </c>
      <c r="G35" s="1615">
        <v>563000000</v>
      </c>
      <c r="H35" s="1615">
        <v>746000000</v>
      </c>
      <c r="I35" s="1614"/>
      <c r="J35" s="1614"/>
      <c r="K35" s="1614"/>
      <c r="L35" s="1614"/>
      <c r="M35" s="1615">
        <v>975000000</v>
      </c>
      <c r="N35" s="1615">
        <v>1280000000</v>
      </c>
      <c r="O35" s="1615">
        <v>1013000000</v>
      </c>
      <c r="P35" s="1615">
        <v>1636000000</v>
      </c>
      <c r="Q35" s="1615">
        <v>1870000000</v>
      </c>
      <c r="R35" s="1633"/>
      <c r="S35" s="1633"/>
      <c r="T35" s="1633"/>
      <c r="U35" s="1633"/>
      <c r="V35" s="1633"/>
      <c r="W35" s="1633"/>
      <c r="X35" s="1633"/>
      <c r="Y35" s="1913"/>
      <c r="Z35" s="1913"/>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1616" t="s">
        <v>280</v>
      </c>
      <c r="B36" s="1620" t="s">
        <v>212</v>
      </c>
      <c r="C36" s="1612" t="s">
        <v>211</v>
      </c>
      <c r="D36" s="1615"/>
      <c r="E36" s="1615"/>
      <c r="F36" s="1615">
        <v>210000000</v>
      </c>
      <c r="G36" s="1615">
        <v>229000000</v>
      </c>
      <c r="H36" s="1615">
        <v>152000000</v>
      </c>
      <c r="I36" s="1614"/>
      <c r="J36" s="1615"/>
      <c r="K36" s="1615"/>
      <c r="L36" s="1615"/>
      <c r="M36" s="1615">
        <v>58000000</v>
      </c>
      <c r="N36" s="1615">
        <v>90000000</v>
      </c>
      <c r="O36" s="1615">
        <v>69000000</v>
      </c>
      <c r="P36" s="1615">
        <v>101000000</v>
      </c>
      <c r="Q36" s="1615">
        <v>361000000</v>
      </c>
      <c r="R36" s="1633"/>
      <c r="S36" s="1633"/>
      <c r="T36" s="1633"/>
      <c r="U36" s="1633"/>
      <c r="V36" s="1633"/>
      <c r="W36" s="1633"/>
      <c r="X36" s="1633"/>
      <c r="Y36" s="1633"/>
      <c r="Z36" s="1633"/>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1616" t="s">
        <v>6948</v>
      </c>
      <c r="B37" s="1616" t="s">
        <v>2238</v>
      </c>
      <c r="C37" s="1612" t="s">
        <v>204</v>
      </c>
      <c r="D37" s="1615">
        <v>219000000</v>
      </c>
      <c r="E37" s="1615">
        <v>353000000</v>
      </c>
      <c r="F37" s="1615"/>
      <c r="G37" s="1614"/>
      <c r="H37" s="1614"/>
      <c r="I37" s="1614"/>
      <c r="J37" s="1615"/>
      <c r="K37" s="1615"/>
      <c r="L37" s="1615"/>
      <c r="M37" s="1615">
        <v>2192000000</v>
      </c>
      <c r="N37" s="2187">
        <f t="shared" ref="N37:Q37" si="5">(N38+N43)</f>
        <v>2995000000</v>
      </c>
      <c r="O37" s="2187">
        <f t="shared" si="5"/>
        <v>4229000000</v>
      </c>
      <c r="P37" s="2187">
        <f t="shared" si="5"/>
        <v>3623000000</v>
      </c>
      <c r="Q37" s="2187">
        <f t="shared" si="5"/>
        <v>7620000000</v>
      </c>
      <c r="R37" s="1645">
        <f>R38+R43</f>
        <v>6504000000</v>
      </c>
      <c r="S37" s="1645">
        <f t="shared" ref="S37:Z37" si="6">S38+S43</f>
        <v>10821000000</v>
      </c>
      <c r="T37" s="1645">
        <f t="shared" si="6"/>
        <v>11867000000</v>
      </c>
      <c r="U37" s="1645">
        <f t="shared" si="6"/>
        <v>10846000000</v>
      </c>
      <c r="V37" s="1645">
        <f t="shared" si="6"/>
        <v>10563000000</v>
      </c>
      <c r="W37" s="1645">
        <f t="shared" si="6"/>
        <v>9525000000</v>
      </c>
      <c r="X37" s="1645">
        <f t="shared" si="6"/>
        <v>10345000000</v>
      </c>
      <c r="Y37" s="1645">
        <f t="shared" si="6"/>
        <v>11293000000</v>
      </c>
      <c r="Z37" s="1645">
        <f t="shared" si="6"/>
        <v>12193000000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1616" t="s">
        <v>215</v>
      </c>
      <c r="B38" s="1616" t="s">
        <v>215</v>
      </c>
      <c r="C38" s="1612" t="s">
        <v>388</v>
      </c>
      <c r="D38" s="1615"/>
      <c r="E38" s="1615"/>
      <c r="F38" s="1615"/>
      <c r="G38" s="1615"/>
      <c r="H38" s="1615"/>
      <c r="I38" s="1615"/>
      <c r="J38" s="1615"/>
      <c r="K38" s="1615"/>
      <c r="L38" s="1615"/>
      <c r="M38" s="1615">
        <v>565000000</v>
      </c>
      <c r="N38" s="1615">
        <v>1897000000</v>
      </c>
      <c r="O38" s="1615">
        <v>2837000000</v>
      </c>
      <c r="P38" s="1615">
        <v>1894000000</v>
      </c>
      <c r="Q38" s="1615">
        <v>5044000000</v>
      </c>
      <c r="R38" s="1633">
        <v>3308000000</v>
      </c>
      <c r="S38" s="1633">
        <v>7083000000</v>
      </c>
      <c r="T38" s="1633">
        <v>7672000000</v>
      </c>
      <c r="U38" s="1633">
        <v>4932000000</v>
      </c>
      <c r="V38" s="1633">
        <v>4895000000</v>
      </c>
      <c r="W38" s="1633">
        <v>3298000000</v>
      </c>
      <c r="X38" s="1633">
        <v>3480000000</v>
      </c>
      <c r="Y38" s="1913">
        <v>3694000000</v>
      </c>
      <c r="Z38" s="1913">
        <v>3817000000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1620" t="s">
        <v>6949</v>
      </c>
      <c r="B39" s="1620" t="s">
        <v>6950</v>
      </c>
      <c r="C39" s="1612" t="s">
        <v>6951</v>
      </c>
      <c r="D39" s="1615"/>
      <c r="E39" s="1615"/>
      <c r="F39" s="1615"/>
      <c r="G39" s="1615"/>
      <c r="H39" s="1615"/>
      <c r="I39" s="1615"/>
      <c r="J39" s="1615"/>
      <c r="K39" s="1615"/>
      <c r="L39" s="1615"/>
      <c r="M39" s="1615">
        <v>565000000</v>
      </c>
      <c r="N39" s="1615">
        <f>N38-N40</f>
        <v>691000000</v>
      </c>
      <c r="O39" s="1615">
        <v>895000000</v>
      </c>
      <c r="P39" s="1615">
        <v>840000000</v>
      </c>
      <c r="Q39" s="1615">
        <v>1122000000</v>
      </c>
      <c r="R39" s="1633">
        <v>1456000000</v>
      </c>
      <c r="S39" s="1633">
        <v>2118000000</v>
      </c>
      <c r="T39" s="1633">
        <v>1902000000</v>
      </c>
      <c r="U39" s="1633">
        <v>2626000000</v>
      </c>
      <c r="V39" s="1633">
        <v>2826000000</v>
      </c>
      <c r="W39" s="1633">
        <v>1877000000</v>
      </c>
      <c r="X39" s="1633">
        <v>1980000000</v>
      </c>
      <c r="Y39" s="1913">
        <v>2074000000</v>
      </c>
      <c r="Z39" s="1913">
        <v>2154000000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1620" t="s">
        <v>6952</v>
      </c>
      <c r="B40" s="1620" t="s">
        <v>6953</v>
      </c>
      <c r="C40" s="1612" t="s">
        <v>6951</v>
      </c>
      <c r="D40" s="1615"/>
      <c r="E40" s="1615"/>
      <c r="F40" s="1615"/>
      <c r="G40" s="1615"/>
      <c r="H40" s="1615"/>
      <c r="I40" s="1615"/>
      <c r="J40" s="1615"/>
      <c r="K40" s="1615"/>
      <c r="L40" s="1615"/>
      <c r="M40" s="1615"/>
      <c r="N40" s="1615">
        <v>1206000000</v>
      </c>
      <c r="O40" s="1615">
        <v>1674000000</v>
      </c>
      <c r="P40" s="1615">
        <v>300000000</v>
      </c>
      <c r="Q40" s="1615">
        <v>2311000000</v>
      </c>
      <c r="R40" s="1633">
        <v>1545000000</v>
      </c>
      <c r="S40" s="1633">
        <v>1887000000</v>
      </c>
      <c r="T40" s="1633">
        <v>910000000</v>
      </c>
      <c r="U40" s="1633">
        <v>1294000000</v>
      </c>
      <c r="V40" s="1633">
        <v>1342000000</v>
      </c>
      <c r="W40" s="1633">
        <v>1421000000</v>
      </c>
      <c r="X40" s="1633">
        <v>1500000000</v>
      </c>
      <c r="Y40" s="1913">
        <v>1620000000</v>
      </c>
      <c r="Z40" s="1913">
        <v>1663000000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2330" t="s">
        <v>6909</v>
      </c>
      <c r="B41" s="2330" t="s">
        <v>6909</v>
      </c>
      <c r="C41" s="2331" t="s">
        <v>6951</v>
      </c>
      <c r="D41" s="1615"/>
      <c r="E41" s="1615"/>
      <c r="F41" s="1615"/>
      <c r="G41" s="1615"/>
      <c r="H41" s="1615"/>
      <c r="I41" s="1615"/>
      <c r="J41" s="1615"/>
      <c r="K41" s="1615"/>
      <c r="L41" s="1615"/>
      <c r="M41" s="1615"/>
      <c r="N41" s="1615"/>
      <c r="O41" s="1615"/>
      <c r="P41" s="1615"/>
      <c r="Q41" s="1615"/>
      <c r="R41" s="1633">
        <v>0</v>
      </c>
      <c r="S41" s="1633">
        <v>364000000</v>
      </c>
      <c r="T41" s="1633">
        <v>1014000000</v>
      </c>
      <c r="U41" s="1633">
        <v>662000000</v>
      </c>
      <c r="V41" s="1633">
        <v>727000000</v>
      </c>
      <c r="W41" s="1633">
        <v>0</v>
      </c>
      <c r="X41" s="1633">
        <v>0</v>
      </c>
      <c r="Y41" s="1913">
        <v>0</v>
      </c>
      <c r="Z41" s="1913">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1620" t="s">
        <v>6954</v>
      </c>
      <c r="B42" s="1620" t="s">
        <v>6954</v>
      </c>
      <c r="C42" s="1612" t="s">
        <v>6951</v>
      </c>
      <c r="D42" s="1615"/>
      <c r="E42" s="1615"/>
      <c r="F42" s="1615"/>
      <c r="G42" s="1615"/>
      <c r="H42" s="1615"/>
      <c r="I42" s="1615"/>
      <c r="J42" s="1615"/>
      <c r="K42" s="1615"/>
      <c r="L42" s="1615"/>
      <c r="M42" s="1615"/>
      <c r="N42" s="1615"/>
      <c r="O42" s="1615">
        <v>268000000</v>
      </c>
      <c r="P42" s="1615">
        <v>754000000</v>
      </c>
      <c r="Q42" s="1615">
        <v>1610000000</v>
      </c>
      <c r="R42" s="1633">
        <v>307000000</v>
      </c>
      <c r="S42" s="1633">
        <v>2713000000</v>
      </c>
      <c r="T42" s="1633">
        <v>3845000000</v>
      </c>
      <c r="U42" s="1633">
        <v>350000000</v>
      </c>
      <c r="V42" s="1633">
        <v>0</v>
      </c>
      <c r="W42" s="1633">
        <v>0</v>
      </c>
      <c r="X42" s="1633">
        <v>0</v>
      </c>
      <c r="Y42" s="1913">
        <v>0</v>
      </c>
      <c r="Z42" s="1913">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1616" t="s">
        <v>6955</v>
      </c>
      <c r="B43" s="1616" t="s">
        <v>6956</v>
      </c>
      <c r="C43" s="1612" t="s">
        <v>388</v>
      </c>
      <c r="D43" s="1615"/>
      <c r="E43" s="1615"/>
      <c r="F43" s="1615"/>
      <c r="G43" s="1615"/>
      <c r="H43" s="1615"/>
      <c r="I43" s="1615"/>
      <c r="J43" s="1615"/>
      <c r="K43" s="1615"/>
      <c r="L43" s="1615"/>
      <c r="M43" s="1615">
        <v>1627000000</v>
      </c>
      <c r="N43" s="1615">
        <v>1098000000</v>
      </c>
      <c r="O43" s="1615">
        <v>1392000000</v>
      </c>
      <c r="P43" s="1615">
        <v>1729000000</v>
      </c>
      <c r="Q43" s="1615">
        <v>2576000000</v>
      </c>
      <c r="R43" s="1633">
        <v>3196000000</v>
      </c>
      <c r="S43" s="1633">
        <v>3738000000</v>
      </c>
      <c r="T43" s="1633">
        <v>4195000000</v>
      </c>
      <c r="U43" s="1633">
        <v>5914000000</v>
      </c>
      <c r="V43" s="1633">
        <v>5668000000</v>
      </c>
      <c r="W43" s="1633">
        <v>6227000000</v>
      </c>
      <c r="X43" s="1633">
        <v>6865000000</v>
      </c>
      <c r="Y43" s="1913">
        <v>7599000000</v>
      </c>
      <c r="Z43" s="1913">
        <v>8376000000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A44" s="1602" t="s">
        <v>76</v>
      </c>
      <c r="B44" s="1620" t="s">
        <v>6957</v>
      </c>
      <c r="C44" s="1612"/>
      <c r="D44" s="1615"/>
      <c r="E44" s="1615"/>
      <c r="F44" s="1615"/>
      <c r="G44" s="1615"/>
      <c r="H44" s="1615"/>
      <c r="I44" s="1615"/>
      <c r="J44" s="1615"/>
      <c r="K44" s="1615"/>
      <c r="L44" s="1615"/>
      <c r="M44" s="1615">
        <v>209000000</v>
      </c>
      <c r="N44" s="1615"/>
      <c r="O44" s="1615"/>
      <c r="P44" s="1615"/>
      <c r="Q44" s="1615"/>
      <c r="R44" s="1633"/>
      <c r="S44" s="1633"/>
      <c r="T44" s="1633"/>
      <c r="U44" s="1633"/>
      <c r="V44" s="1633"/>
      <c r="W44" s="1633"/>
      <c r="X44" s="1633"/>
      <c r="Y44" s="1913"/>
      <c r="Z44" s="1913"/>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A45" s="1616" t="s">
        <v>806</v>
      </c>
      <c r="B45" s="1616" t="s">
        <v>5389</v>
      </c>
      <c r="C45" s="1612" t="s">
        <v>204</v>
      </c>
      <c r="D45" s="1615"/>
      <c r="E45" s="1615"/>
      <c r="F45" s="1615"/>
      <c r="G45" s="1615"/>
      <c r="H45" s="1615"/>
      <c r="I45" s="1615"/>
      <c r="J45" s="1615"/>
      <c r="K45" s="1615"/>
      <c r="L45" s="1615"/>
      <c r="M45" s="1615"/>
      <c r="N45" s="1615">
        <v>194000000</v>
      </c>
      <c r="O45" s="1615">
        <v>977000000</v>
      </c>
      <c r="P45" s="1615">
        <v>874000000</v>
      </c>
      <c r="Q45" s="1615">
        <v>669000000</v>
      </c>
      <c r="R45" s="1633">
        <v>742000000</v>
      </c>
      <c r="S45" s="1633">
        <v>852000000</v>
      </c>
      <c r="T45" s="1633">
        <v>537000000</v>
      </c>
      <c r="U45" s="1633">
        <v>2311000000</v>
      </c>
      <c r="V45" s="1633">
        <v>1846000000</v>
      </c>
      <c r="W45" s="1633">
        <v>1997000000</v>
      </c>
      <c r="X45" s="1633">
        <v>2158000000</v>
      </c>
      <c r="Y45" s="1913">
        <v>2512000000</v>
      </c>
      <c r="Z45" s="1913">
        <v>2805000000</v>
      </c>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1616" t="s">
        <v>50</v>
      </c>
      <c r="B46" s="1616" t="s">
        <v>50</v>
      </c>
      <c r="C46" s="1612" t="s">
        <v>204</v>
      </c>
      <c r="D46" s="1615">
        <v>88000000</v>
      </c>
      <c r="E46" s="1615">
        <v>178000000</v>
      </c>
      <c r="F46" s="1615">
        <v>507000000</v>
      </c>
      <c r="G46" s="1615">
        <v>817000000</v>
      </c>
      <c r="H46" s="1615">
        <v>876000000</v>
      </c>
      <c r="I46" s="1614">
        <v>1259000000</v>
      </c>
      <c r="J46" s="1615">
        <v>1842000000</v>
      </c>
      <c r="K46" s="1615">
        <v>1955000000</v>
      </c>
      <c r="L46" s="1614">
        <v>2315000000</v>
      </c>
      <c r="M46" s="1615"/>
      <c r="N46" s="1615">
        <v>917000000</v>
      </c>
      <c r="O46" s="1615">
        <v>195000000</v>
      </c>
      <c r="P46" s="1615">
        <v>486000000</v>
      </c>
      <c r="Q46" s="1615">
        <v>0</v>
      </c>
      <c r="R46" s="1633"/>
      <c r="S46" s="1633"/>
      <c r="T46" s="1633"/>
      <c r="U46" s="1633"/>
      <c r="V46" s="1633"/>
      <c r="W46" s="1633"/>
      <c r="X46" s="1633"/>
      <c r="Y46" s="1913"/>
      <c r="Z46" s="1913"/>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1616" t="s">
        <v>6958</v>
      </c>
      <c r="B47" s="1616" t="s">
        <v>6959</v>
      </c>
      <c r="C47" s="1612" t="s">
        <v>204</v>
      </c>
      <c r="D47" s="1615">
        <v>10000000</v>
      </c>
      <c r="E47" s="1615">
        <v>0</v>
      </c>
      <c r="F47" s="1615"/>
      <c r="G47" s="1615"/>
      <c r="H47" s="1615"/>
      <c r="I47" s="1615"/>
      <c r="J47" s="1615"/>
      <c r="K47" s="1615"/>
      <c r="L47" s="1615"/>
      <c r="M47" s="1615"/>
      <c r="N47" s="1615"/>
      <c r="O47" s="1615"/>
      <c r="P47" s="1615"/>
      <c r="Q47" s="1615"/>
      <c r="R47" s="1633"/>
      <c r="S47" s="1633"/>
      <c r="T47" s="1633"/>
      <c r="U47" s="1633"/>
      <c r="V47" s="1633"/>
      <c r="W47" s="1633"/>
      <c r="X47" s="1633"/>
      <c r="Y47" s="1913"/>
      <c r="Z47" s="1913"/>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1616" t="s">
        <v>3276</v>
      </c>
      <c r="B48" s="1616" t="s">
        <v>3276</v>
      </c>
      <c r="C48" s="1612" t="s">
        <v>204</v>
      </c>
      <c r="D48" s="1615">
        <v>82000000</v>
      </c>
      <c r="E48" s="1615">
        <v>8000000</v>
      </c>
      <c r="F48" s="1615"/>
      <c r="G48" s="1615"/>
      <c r="H48" s="1615"/>
      <c r="I48" s="1615"/>
      <c r="J48" s="1615"/>
      <c r="K48" s="1615"/>
      <c r="L48" s="1615"/>
      <c r="M48" s="1615"/>
      <c r="N48" s="1615"/>
      <c r="O48" s="1615"/>
      <c r="P48" s="1615"/>
      <c r="Q48" s="1615"/>
      <c r="R48" s="1633"/>
      <c r="S48" s="1633"/>
      <c r="T48" s="1633"/>
      <c r="U48" s="1633"/>
      <c r="V48" s="1633"/>
      <c r="W48" s="1633"/>
      <c r="X48" s="1633"/>
      <c r="Y48" s="1913"/>
      <c r="Z48" s="1913"/>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1602" t="s">
        <v>237</v>
      </c>
      <c r="B49" s="1612" t="s">
        <v>5392</v>
      </c>
      <c r="C49" s="1612" t="s">
        <v>201</v>
      </c>
      <c r="D49" s="1615">
        <v>1009000000</v>
      </c>
      <c r="E49" s="1615">
        <v>1557000000</v>
      </c>
      <c r="F49" s="1615">
        <v>1925000000</v>
      </c>
      <c r="G49" s="1615">
        <v>2335000000</v>
      </c>
      <c r="H49" s="1615">
        <v>2265000000</v>
      </c>
      <c r="I49" s="1614">
        <v>2267000000</v>
      </c>
      <c r="J49" s="1615">
        <v>1601000000</v>
      </c>
      <c r="K49" s="1615">
        <v>1842000000</v>
      </c>
      <c r="L49" s="1614">
        <v>1966000000</v>
      </c>
      <c r="M49" s="1615">
        <v>2291000000</v>
      </c>
      <c r="N49" s="1615">
        <v>2512000000</v>
      </c>
      <c r="O49" s="1615">
        <v>3902000000</v>
      </c>
      <c r="P49" s="1615">
        <v>7932000000</v>
      </c>
      <c r="Q49" s="1615">
        <v>9141000000</v>
      </c>
      <c r="R49" s="1633">
        <v>8870000000</v>
      </c>
      <c r="S49" s="1633">
        <v>12193000000</v>
      </c>
      <c r="T49" s="1633">
        <v>8157000000</v>
      </c>
      <c r="U49" s="1633">
        <v>11175000000</v>
      </c>
      <c r="V49" s="1633">
        <v>13557000000</v>
      </c>
      <c r="W49" s="1633">
        <v>13229000000</v>
      </c>
      <c r="X49" s="1633">
        <v>15733000000</v>
      </c>
      <c r="Y49" s="1913">
        <v>17910000000</v>
      </c>
      <c r="Z49" s="1913">
        <v>20366000000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A50" s="1602" t="s">
        <v>76</v>
      </c>
      <c r="B50" s="1616" t="s">
        <v>6960</v>
      </c>
      <c r="C50" s="1612" t="s">
        <v>7045</v>
      </c>
      <c r="D50" s="1615"/>
      <c r="E50" s="1615"/>
      <c r="F50" s="1615"/>
      <c r="G50" s="1615"/>
      <c r="H50" s="1615"/>
      <c r="I50" s="1614"/>
      <c r="J50" s="1615"/>
      <c r="K50" s="1615"/>
      <c r="L50" s="1614"/>
      <c r="M50" s="1615"/>
      <c r="N50" s="1615"/>
      <c r="O50" s="1615"/>
      <c r="P50" s="1615"/>
      <c r="Q50" s="1615"/>
      <c r="R50" s="1633">
        <v>6210000000</v>
      </c>
      <c r="S50" s="1633">
        <v>7529000000</v>
      </c>
      <c r="T50" s="1633">
        <v>3357000000</v>
      </c>
      <c r="U50" s="1633">
        <v>4611000000</v>
      </c>
      <c r="V50" s="1633">
        <v>5166000000</v>
      </c>
      <c r="W50" s="1633">
        <v>5315000000</v>
      </c>
      <c r="X50" s="1633">
        <v>7555000000</v>
      </c>
      <c r="Y50" s="1633">
        <v>9188000000</v>
      </c>
      <c r="Z50" s="1633">
        <v>10853000000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1616" t="s">
        <v>7044</v>
      </c>
      <c r="C51" s="1612" t="s">
        <v>7045</v>
      </c>
      <c r="D51" s="1633"/>
      <c r="E51" s="1633"/>
      <c r="F51" s="1633"/>
      <c r="G51" s="1633"/>
      <c r="H51" s="1633"/>
      <c r="I51" s="1633"/>
      <c r="J51" s="1633"/>
      <c r="K51" s="1633"/>
      <c r="L51" s="1633"/>
      <c r="M51" s="1633"/>
      <c r="N51" s="1633"/>
      <c r="O51" s="1633"/>
      <c r="P51" s="1633"/>
      <c r="Q51" s="1633"/>
      <c r="R51" s="1633">
        <f t="shared" ref="R51:T51" si="7">R49-R50</f>
        <v>2660000000</v>
      </c>
      <c r="S51" s="1633">
        <f t="shared" si="7"/>
        <v>4664000000</v>
      </c>
      <c r="T51" s="1633">
        <f t="shared" si="7"/>
        <v>4800000000</v>
      </c>
      <c r="U51" s="1633">
        <f>U49-U50</f>
        <v>6564000000</v>
      </c>
      <c r="V51" s="1633">
        <f t="shared" ref="V51:Z51" si="8">V49-V50</f>
        <v>8391000000</v>
      </c>
      <c r="W51" s="1633">
        <f t="shared" si="8"/>
        <v>7914000000</v>
      </c>
      <c r="X51" s="1633">
        <f t="shared" si="8"/>
        <v>8178000000</v>
      </c>
      <c r="Y51" s="1633">
        <f t="shared" si="8"/>
        <v>8722000000</v>
      </c>
      <c r="Z51" s="1633">
        <f t="shared" si="8"/>
        <v>9513000000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A52" s="1616" t="s">
        <v>3579</v>
      </c>
      <c r="B52" s="1616" t="s">
        <v>3579</v>
      </c>
      <c r="C52" s="1612" t="s">
        <v>201</v>
      </c>
      <c r="D52" s="1615">
        <v>413000000</v>
      </c>
      <c r="E52" s="1615">
        <v>77000000</v>
      </c>
      <c r="F52" s="1615"/>
      <c r="G52" s="1615"/>
      <c r="H52" s="1615"/>
      <c r="I52" s="1615"/>
      <c r="J52" s="1615"/>
      <c r="K52" s="1615"/>
      <c r="L52" s="1615"/>
      <c r="M52" s="1615"/>
      <c r="N52" s="1615"/>
      <c r="O52" s="1615"/>
      <c r="P52" s="1615"/>
      <c r="Q52" s="1615"/>
      <c r="R52" s="1633"/>
      <c r="S52" s="1633"/>
      <c r="T52" s="1633"/>
      <c r="U52" s="1633"/>
      <c r="V52" s="1633"/>
      <c r="W52" s="1633"/>
      <c r="X52" s="1633"/>
      <c r="Y52" s="1913"/>
      <c r="Z52" s="1913"/>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A53" s="1616" t="s">
        <v>2452</v>
      </c>
      <c r="B53" s="1616" t="s">
        <v>6961</v>
      </c>
      <c r="C53" s="1612" t="s">
        <v>201</v>
      </c>
      <c r="D53" s="1615"/>
      <c r="E53" s="1615"/>
      <c r="F53" s="1615">
        <v>147000000</v>
      </c>
      <c r="G53" s="1615">
        <v>52000000</v>
      </c>
      <c r="H53" s="1615">
        <v>84000000</v>
      </c>
      <c r="I53" s="1614">
        <v>254000000</v>
      </c>
      <c r="J53" s="1615">
        <v>247000000</v>
      </c>
      <c r="K53" s="1615">
        <v>322000000</v>
      </c>
      <c r="L53" s="1614">
        <v>593000000</v>
      </c>
      <c r="M53" s="1615">
        <v>278000000</v>
      </c>
      <c r="N53" s="1615"/>
      <c r="O53" s="1615"/>
      <c r="P53" s="1615"/>
      <c r="Q53" s="1615"/>
      <c r="R53" s="1633"/>
      <c r="S53" s="1633"/>
      <c r="T53" s="1633"/>
      <c r="U53" s="1633"/>
      <c r="V53" s="1633"/>
      <c r="W53" s="1633"/>
      <c r="X53" s="1633"/>
      <c r="Y53" s="1913"/>
      <c r="Z53" s="1913"/>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ht="13.5" customHeight="1">
      <c r="A54" s="1602" t="s">
        <v>76</v>
      </c>
      <c r="B54" s="1612" t="s">
        <v>6962</v>
      </c>
      <c r="C54" s="1612"/>
      <c r="D54" s="1615"/>
      <c r="E54" s="1615"/>
      <c r="F54" s="1615"/>
      <c r="G54" s="1615"/>
      <c r="H54" s="1615"/>
      <c r="I54" s="1615"/>
      <c r="J54" s="1615"/>
      <c r="K54" s="1615"/>
      <c r="L54" s="1615"/>
      <c r="M54" s="1615"/>
      <c r="N54" s="1615">
        <v>126000000</v>
      </c>
      <c r="O54" s="1615">
        <v>1869000000</v>
      </c>
      <c r="P54" s="1615"/>
      <c r="Q54" s="1615"/>
      <c r="R54" s="1633"/>
      <c r="S54" s="1633"/>
      <c r="T54" s="1633"/>
      <c r="U54" s="1633"/>
      <c r="V54" s="1633"/>
      <c r="W54" s="1633"/>
      <c r="X54" s="1633"/>
      <c r="Y54" s="1913"/>
      <c r="Z54" s="1913"/>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A55" s="1602" t="s">
        <v>76</v>
      </c>
      <c r="B55" s="1612" t="s">
        <v>6963</v>
      </c>
      <c r="C55" s="1612"/>
      <c r="D55" s="1615"/>
      <c r="E55" s="1615"/>
      <c r="F55" s="1615"/>
      <c r="G55" s="1615"/>
      <c r="H55" s="1615"/>
      <c r="I55" s="1615"/>
      <c r="J55" s="1615"/>
      <c r="K55" s="1615"/>
      <c r="L55" s="1615"/>
      <c r="M55" s="1615"/>
      <c r="N55" s="1615"/>
      <c r="O55" s="1615" t="s">
        <v>78</v>
      </c>
      <c r="P55" s="1615"/>
      <c r="Q55" s="1615"/>
      <c r="R55" s="1633"/>
      <c r="S55" s="1633"/>
      <c r="T55" s="1633"/>
      <c r="U55" s="1633"/>
      <c r="V55" s="1633"/>
      <c r="W55" s="1633"/>
      <c r="X55" s="1633"/>
      <c r="Y55" s="1913"/>
      <c r="Z55" s="1913"/>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A56" s="1602" t="s">
        <v>76</v>
      </c>
      <c r="B56" s="1612" t="s">
        <v>6964</v>
      </c>
      <c r="C56" s="1612"/>
      <c r="D56" s="1615">
        <v>-114000000</v>
      </c>
      <c r="E56" s="1615">
        <v>-106000000</v>
      </c>
      <c r="F56" s="1615">
        <v>-69000000</v>
      </c>
      <c r="G56" s="1615">
        <v>-100000000</v>
      </c>
      <c r="H56" s="1615">
        <v>545000000</v>
      </c>
      <c r="I56" s="1614">
        <v>24000000</v>
      </c>
      <c r="J56" s="1615">
        <v>-483000000</v>
      </c>
      <c r="K56" s="1615">
        <v>474000000</v>
      </c>
      <c r="L56" s="1614">
        <v>-427000000</v>
      </c>
      <c r="M56" s="1614">
        <v>12000000</v>
      </c>
      <c r="N56" s="1615">
        <v>13000000</v>
      </c>
      <c r="O56" s="1615">
        <v>925000000</v>
      </c>
      <c r="P56" s="1615">
        <v>427000000</v>
      </c>
      <c r="Q56" s="1615">
        <v>284000000</v>
      </c>
      <c r="R56" s="1633">
        <v>-454000000</v>
      </c>
      <c r="S56" s="1633">
        <v>-844000000</v>
      </c>
      <c r="T56" s="1633">
        <v>-233000000</v>
      </c>
      <c r="U56" s="1633"/>
      <c r="V56" s="1633">
        <v>0</v>
      </c>
      <c r="W56" s="1633">
        <v>0</v>
      </c>
      <c r="X56" s="1633">
        <v>0</v>
      </c>
      <c r="Y56" s="1913">
        <v>0</v>
      </c>
      <c r="Z56" s="1913">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A57" s="1602" t="s">
        <v>76</v>
      </c>
      <c r="B57" s="1612" t="s">
        <v>5393</v>
      </c>
      <c r="C57" s="1612"/>
      <c r="D57" s="1615">
        <v>-708000000</v>
      </c>
      <c r="E57" s="1615">
        <v>-1056000000</v>
      </c>
      <c r="F57" s="1615">
        <v>-896000000</v>
      </c>
      <c r="G57" s="1615">
        <v>-1334000000</v>
      </c>
      <c r="H57" s="1615">
        <v>-201000000</v>
      </c>
      <c r="I57" s="1614">
        <v>-858000000</v>
      </c>
      <c r="J57" s="1615">
        <v>7291000000</v>
      </c>
      <c r="K57" s="1615">
        <v>-109000000</v>
      </c>
      <c r="L57" s="1614">
        <v>-1236000000</v>
      </c>
      <c r="M57" s="1615">
        <v>-1653000000</v>
      </c>
      <c r="N57" s="1615">
        <v>-2373000000</v>
      </c>
      <c r="O57" s="1615">
        <v>-1109000000</v>
      </c>
      <c r="P57" s="1615">
        <v>-3717000000</v>
      </c>
      <c r="Q57" s="1615">
        <v>-9394000000</v>
      </c>
      <c r="R57" s="1633">
        <v>-9530000000</v>
      </c>
      <c r="S57" s="1633">
        <v>-17124000000</v>
      </c>
      <c r="T57" s="1633">
        <v>-12535000000</v>
      </c>
      <c r="U57" s="1633"/>
      <c r="V57" s="1633">
        <v>0</v>
      </c>
      <c r="W57" s="1633">
        <v>0</v>
      </c>
      <c r="X57" s="1633">
        <v>0</v>
      </c>
      <c r="Y57" s="1913">
        <v>-8748000000</v>
      </c>
      <c r="Z57" s="1913">
        <v>-8622000000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A58" s="1602" t="s">
        <v>76</v>
      </c>
      <c r="B58" s="1612" t="s">
        <v>3906</v>
      </c>
      <c r="C58" s="1612"/>
      <c r="D58" s="1615"/>
      <c r="E58" s="1615"/>
      <c r="F58" s="1615"/>
      <c r="G58" s="1615"/>
      <c r="H58" s="1615"/>
      <c r="I58" s="1614">
        <v>-2683000000</v>
      </c>
      <c r="J58" s="1615">
        <v>-2916000000</v>
      </c>
      <c r="K58" s="1615">
        <v>-2213000000</v>
      </c>
      <c r="L58" s="1614">
        <v>-3304000000</v>
      </c>
      <c r="M58" s="1615">
        <v>-3521000000</v>
      </c>
      <c r="N58" s="1615">
        <v>-3762000000</v>
      </c>
      <c r="O58" s="1615">
        <v>-1823000000</v>
      </c>
      <c r="P58" s="1615">
        <v>-5955000000</v>
      </c>
      <c r="Q58" s="1615">
        <v>-11590000000</v>
      </c>
      <c r="R58" s="1633"/>
      <c r="S58" s="1633"/>
      <c r="T58" s="1633"/>
      <c r="U58" s="1633"/>
      <c r="V58" s="1633"/>
      <c r="W58" s="1633"/>
      <c r="X58" s="1633"/>
      <c r="Y58" s="1913"/>
      <c r="Z58" s="1913"/>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s="848" customFormat="1">
      <c r="A59" s="1899" t="s">
        <v>592</v>
      </c>
      <c r="B59" s="1902" t="s">
        <v>115</v>
      </c>
      <c r="C59" s="2326" t="s">
        <v>35</v>
      </c>
      <c r="D59" s="2185">
        <v>708000000</v>
      </c>
      <c r="E59" s="2185">
        <v>1056000000</v>
      </c>
      <c r="F59" s="2185">
        <v>896000000</v>
      </c>
      <c r="G59" s="2185">
        <v>1334000000</v>
      </c>
      <c r="H59" s="2185">
        <v>201000000</v>
      </c>
      <c r="I59" s="2186">
        <v>858000000</v>
      </c>
      <c r="J59" s="2185">
        <v>-7291000000</v>
      </c>
      <c r="K59" s="2185">
        <v>109000000</v>
      </c>
      <c r="L59" s="2186">
        <v>1236000000</v>
      </c>
      <c r="M59" s="2185">
        <v>1653000000</v>
      </c>
      <c r="N59" s="2186">
        <f>-(N60-N68)</f>
        <v>2374000000</v>
      </c>
      <c r="O59" s="2186">
        <f>-(O60-O68)</f>
        <v>1109000000</v>
      </c>
      <c r="P59" s="2185">
        <v>3717000000</v>
      </c>
      <c r="Q59" s="2185">
        <v>9394000000</v>
      </c>
      <c r="R59" s="1901">
        <v>9530000000</v>
      </c>
      <c r="S59" s="1901">
        <v>17124000000</v>
      </c>
      <c r="T59" s="1901">
        <v>12535000000</v>
      </c>
      <c r="U59" s="1901">
        <f>U62+U73</f>
        <v>17744000000</v>
      </c>
      <c r="V59" s="1901">
        <f t="shared" ref="V59:Z59" si="9">V62+V73</f>
        <v>15942000000</v>
      </c>
      <c r="W59" s="1901">
        <f t="shared" si="9"/>
        <v>11720000000</v>
      </c>
      <c r="X59" s="1901">
        <f t="shared" si="9"/>
        <v>10405000000</v>
      </c>
      <c r="Y59" s="1901">
        <f t="shared" si="9"/>
        <v>8748000000</v>
      </c>
      <c r="Z59" s="1901">
        <f t="shared" si="9"/>
        <v>8622000000</v>
      </c>
      <c r="AA59" s="916"/>
      <c r="AB59" s="916"/>
      <c r="AC59" s="916"/>
      <c r="AD59" s="916"/>
      <c r="AE59" s="916"/>
      <c r="AF59" s="916"/>
      <c r="AG59" s="916"/>
      <c r="AH59" s="916"/>
      <c r="AI59" s="916"/>
      <c r="AJ59" s="916"/>
      <c r="AK59" s="916"/>
      <c r="AL59" s="916"/>
      <c r="AM59" s="916"/>
      <c r="AN59" s="916"/>
      <c r="AO59" s="916"/>
      <c r="AP59" s="916"/>
      <c r="AQ59" s="916"/>
      <c r="AR59" s="916"/>
      <c r="AS59" s="916"/>
      <c r="AT59" s="916"/>
      <c r="AU59" s="916"/>
      <c r="AV59" s="916"/>
      <c r="AW59" s="916"/>
      <c r="AX59" s="916"/>
      <c r="AY59" s="916"/>
    </row>
    <row r="60" spans="1:51">
      <c r="A60" s="1602" t="s">
        <v>76</v>
      </c>
      <c r="B60" s="1612" t="s">
        <v>5398</v>
      </c>
      <c r="C60" s="1612"/>
      <c r="D60" s="1615"/>
      <c r="E60" s="1615"/>
      <c r="F60" s="1615"/>
      <c r="G60" s="1615"/>
      <c r="H60" s="1615"/>
      <c r="I60" s="1615"/>
      <c r="J60" s="1615"/>
      <c r="K60" s="1615"/>
      <c r="L60" s="1615"/>
      <c r="M60" s="1615"/>
      <c r="N60" s="1615">
        <v>-201000000</v>
      </c>
      <c r="O60" s="1615">
        <v>2246000000</v>
      </c>
      <c r="P60" s="1615">
        <v>2143000000</v>
      </c>
      <c r="Q60" s="1615">
        <v>-1515000000</v>
      </c>
      <c r="R60" s="1633"/>
      <c r="S60" s="1633"/>
      <c r="T60" s="1633"/>
      <c r="U60" s="1633"/>
      <c r="V60" s="1633"/>
      <c r="W60" s="1633"/>
      <c r="X60" s="1633"/>
      <c r="Y60" s="1913"/>
      <c r="Z60" s="1913"/>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A61" s="1602" t="s">
        <v>76</v>
      </c>
      <c r="B61" s="1612" t="s">
        <v>6965</v>
      </c>
      <c r="C61" s="1612"/>
      <c r="D61" s="1615"/>
      <c r="E61" s="1615"/>
      <c r="F61" s="1615"/>
      <c r="G61" s="1615"/>
      <c r="H61" s="1615"/>
      <c r="I61" s="1615"/>
      <c r="J61" s="1615"/>
      <c r="K61" s="1615"/>
      <c r="L61" s="1615"/>
      <c r="M61" s="1615"/>
      <c r="N61" s="1615"/>
      <c r="O61" s="1615">
        <v>94000000</v>
      </c>
      <c r="P61" s="1615">
        <v>-925000000</v>
      </c>
      <c r="Q61" s="1615">
        <v>8376000000</v>
      </c>
      <c r="R61" s="1633"/>
      <c r="S61" s="1633"/>
      <c r="T61" s="1633"/>
      <c r="U61" s="1633"/>
      <c r="V61" s="1633"/>
      <c r="W61" s="1633"/>
      <c r="X61" s="1633"/>
      <c r="Y61" s="1913"/>
      <c r="Z61" s="1913"/>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A62" s="1602" t="s">
        <v>120</v>
      </c>
      <c r="B62" s="1612" t="s">
        <v>120</v>
      </c>
      <c r="C62" s="1613" t="s">
        <v>119</v>
      </c>
      <c r="D62" s="1615">
        <v>177000000</v>
      </c>
      <c r="E62" s="1615">
        <v>589000000</v>
      </c>
      <c r="F62" s="1615">
        <v>202000000</v>
      </c>
      <c r="G62" s="1615">
        <v>1026000000</v>
      </c>
      <c r="H62" s="1615">
        <v>-29000000</v>
      </c>
      <c r="I62" s="1614">
        <v>617000000</v>
      </c>
      <c r="J62" s="1615">
        <v>-1066000000</v>
      </c>
      <c r="K62" s="1615">
        <v>-36000000</v>
      </c>
      <c r="L62" s="1614">
        <v>979000000</v>
      </c>
      <c r="M62" s="1615">
        <v>1686000000</v>
      </c>
      <c r="N62" s="1615">
        <f>-(N63-N69)</f>
        <v>2134000000</v>
      </c>
      <c r="O62" s="1615">
        <f>-(O63-O69)</f>
        <v>-25000000</v>
      </c>
      <c r="P62" s="1615">
        <f>-(P63-P69)</f>
        <v>-1028000000</v>
      </c>
      <c r="Q62" s="1615">
        <f>-(Q63-Q69)</f>
        <v>8799000000</v>
      </c>
      <c r="R62" s="1615">
        <f t="shared" ref="R62:Z62" si="10">-(R63-R69)</f>
        <v>1349000000</v>
      </c>
      <c r="S62" s="1615">
        <f t="shared" si="10"/>
        <v>3759000000</v>
      </c>
      <c r="T62" s="1615">
        <f t="shared" si="10"/>
        <v>9530000000</v>
      </c>
      <c r="U62" s="1615">
        <f>-(U63-U69)</f>
        <v>9808000000</v>
      </c>
      <c r="V62" s="1615">
        <f t="shared" si="10"/>
        <v>6588000000</v>
      </c>
      <c r="W62" s="1615">
        <f t="shared" si="10"/>
        <v>3876000000</v>
      </c>
      <c r="X62" s="1615">
        <f t="shared" si="10"/>
        <v>6089000000</v>
      </c>
      <c r="Y62" s="1615">
        <f t="shared" si="10"/>
        <v>5036000000</v>
      </c>
      <c r="Z62" s="1615">
        <f t="shared" si="10"/>
        <v>3845000000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1616" t="s">
        <v>209</v>
      </c>
      <c r="D63" s="1615">
        <v>177000000</v>
      </c>
      <c r="E63" s="1615">
        <v>589000000</v>
      </c>
      <c r="F63" s="1615">
        <v>202000000</v>
      </c>
      <c r="G63" s="1615">
        <v>1026000000</v>
      </c>
      <c r="H63" s="1615">
        <v>-29000000</v>
      </c>
      <c r="I63" s="1614">
        <v>617000000</v>
      </c>
      <c r="J63" s="1615">
        <v>-1066000000</v>
      </c>
      <c r="K63" s="1615">
        <v>-36000000</v>
      </c>
      <c r="L63" s="1614">
        <v>979000000</v>
      </c>
      <c r="M63" s="1615">
        <v>1686000000</v>
      </c>
      <c r="N63" s="1615">
        <v>-201000000</v>
      </c>
      <c r="O63" s="1615">
        <v>2246000000</v>
      </c>
      <c r="P63" s="1615">
        <v>2143000000</v>
      </c>
      <c r="Q63" s="1615">
        <v>-1515000000</v>
      </c>
      <c r="R63" s="1633">
        <v>733000000</v>
      </c>
      <c r="S63" s="1633">
        <v>-1103000000</v>
      </c>
      <c r="T63" s="1633">
        <v>-1314000000</v>
      </c>
      <c r="U63" s="1615">
        <v>106000000</v>
      </c>
      <c r="V63" s="1633">
        <v>0</v>
      </c>
      <c r="W63" s="1633">
        <v>0</v>
      </c>
      <c r="X63" s="1633">
        <v>0</v>
      </c>
      <c r="Y63" s="1913">
        <v>0</v>
      </c>
      <c r="Z63" s="1913">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A64" s="1620"/>
      <c r="B64" s="1620" t="s">
        <v>6966</v>
      </c>
      <c r="C64" s="1605"/>
      <c r="D64" s="1615">
        <v>139000000</v>
      </c>
      <c r="E64" s="1615">
        <v>483000000</v>
      </c>
      <c r="F64" s="1615">
        <v>-45000000</v>
      </c>
      <c r="G64" s="1615">
        <v>964000000</v>
      </c>
      <c r="H64" s="1615">
        <v>-196000000</v>
      </c>
      <c r="I64" s="1614">
        <v>-96000000</v>
      </c>
      <c r="J64" s="1615">
        <v>-1806000000</v>
      </c>
      <c r="K64" s="1615">
        <v>-431000000</v>
      </c>
      <c r="L64" s="1614">
        <v>1189000000</v>
      </c>
      <c r="M64" s="1615">
        <v>1820000000</v>
      </c>
      <c r="N64" s="1615">
        <v>272000000</v>
      </c>
      <c r="O64" s="1615">
        <v>-2127000000</v>
      </c>
      <c r="P64" s="1615">
        <v>-2040000000</v>
      </c>
      <c r="Q64" s="1615">
        <v>2278000000</v>
      </c>
      <c r="R64" s="1633">
        <v>171000000</v>
      </c>
      <c r="S64" s="1633">
        <v>-938000000</v>
      </c>
      <c r="T64" s="1633">
        <v>-1437000000</v>
      </c>
      <c r="U64" s="1615">
        <v>-167000000</v>
      </c>
      <c r="V64" s="1633">
        <v>0</v>
      </c>
      <c r="W64" s="1633">
        <v>0</v>
      </c>
      <c r="X64" s="1633">
        <v>0</v>
      </c>
      <c r="Y64" s="1913">
        <v>0</v>
      </c>
      <c r="Z64" s="1913">
        <v>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row>
    <row r="65" spans="1:51">
      <c r="B65" s="1620" t="s">
        <v>444</v>
      </c>
      <c r="D65" s="1615"/>
      <c r="E65" s="1615"/>
      <c r="F65" s="1615"/>
      <c r="G65" s="1615"/>
      <c r="H65" s="1615"/>
      <c r="I65" s="1615"/>
      <c r="J65" s="1615"/>
      <c r="K65" s="1615"/>
      <c r="L65" s="1615"/>
      <c r="M65" s="1615"/>
      <c r="N65" s="1615">
        <v>0</v>
      </c>
      <c r="O65" s="1615">
        <v>0</v>
      </c>
      <c r="P65" s="1615">
        <v>0</v>
      </c>
      <c r="Q65" s="1615">
        <v>0</v>
      </c>
      <c r="R65" s="1633">
        <v>0</v>
      </c>
      <c r="S65" s="1633">
        <v>0</v>
      </c>
      <c r="T65" s="1633">
        <v>0</v>
      </c>
      <c r="U65" s="1615"/>
      <c r="V65" s="1633">
        <v>0</v>
      </c>
      <c r="W65" s="1633">
        <v>0</v>
      </c>
      <c r="X65" s="1633">
        <v>0</v>
      </c>
      <c r="Y65" s="1913">
        <v>0</v>
      </c>
      <c r="Z65" s="1913">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row>
    <row r="66" spans="1:51">
      <c r="A66" s="1620"/>
      <c r="B66" s="1620" t="s">
        <v>6967</v>
      </c>
      <c r="C66" s="1605"/>
      <c r="D66" s="1615">
        <v>38000000</v>
      </c>
      <c r="E66" s="1615">
        <v>106000000</v>
      </c>
      <c r="F66" s="1615">
        <v>247000000</v>
      </c>
      <c r="G66" s="1615">
        <v>62000000</v>
      </c>
      <c r="H66" s="1615">
        <v>167000000</v>
      </c>
      <c r="I66" s="1614">
        <v>713000000</v>
      </c>
      <c r="J66" s="1615">
        <v>740000000</v>
      </c>
      <c r="K66" s="1615">
        <v>395000000</v>
      </c>
      <c r="L66" s="1614">
        <v>-210000000</v>
      </c>
      <c r="M66" s="1615">
        <v>-133000000</v>
      </c>
      <c r="N66" s="1615">
        <v>-71000000</v>
      </c>
      <c r="O66" s="1615">
        <v>-119000000</v>
      </c>
      <c r="P66" s="1615">
        <v>-102000000</v>
      </c>
      <c r="Q66" s="1615">
        <v>-763000000</v>
      </c>
      <c r="R66" s="1633"/>
      <c r="S66" s="1633"/>
      <c r="T66" s="1633"/>
      <c r="U66" s="1615"/>
      <c r="V66" s="1633"/>
      <c r="W66" s="1633"/>
      <c r="X66" s="1633"/>
      <c r="Y66" s="1913"/>
      <c r="Z66" s="1913"/>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row>
    <row r="67" spans="1:51">
      <c r="A67" s="1602" t="s">
        <v>76</v>
      </c>
      <c r="B67" s="1616" t="s">
        <v>212</v>
      </c>
      <c r="D67" s="1615"/>
      <c r="E67" s="1615"/>
      <c r="F67" s="1615"/>
      <c r="G67" s="1615"/>
      <c r="H67" s="1615"/>
      <c r="I67" s="1615"/>
      <c r="J67" s="1615"/>
      <c r="K67" s="1615"/>
      <c r="L67" s="1615"/>
      <c r="M67" s="1615"/>
      <c r="N67" s="1615">
        <v>0</v>
      </c>
      <c r="O67" s="1615">
        <v>0</v>
      </c>
      <c r="P67" s="1615">
        <v>0</v>
      </c>
      <c r="Q67" s="1615">
        <v>0</v>
      </c>
      <c r="R67" s="1633">
        <v>0</v>
      </c>
      <c r="S67" s="1633">
        <v>0</v>
      </c>
      <c r="T67" s="1633">
        <v>0</v>
      </c>
      <c r="U67" s="1615"/>
      <c r="V67" s="1633">
        <v>0</v>
      </c>
      <c r="W67" s="1633">
        <v>0</v>
      </c>
      <c r="X67" s="1633">
        <v>0</v>
      </c>
      <c r="Y67" s="1913">
        <v>0</v>
      </c>
      <c r="Z67" s="1913">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row>
    <row r="68" spans="1:51">
      <c r="A68" s="1602" t="s">
        <v>76</v>
      </c>
      <c r="B68" s="1612" t="s">
        <v>5399</v>
      </c>
      <c r="D68" s="1615"/>
      <c r="E68" s="1615"/>
      <c r="F68" s="1615"/>
      <c r="G68" s="1615"/>
      <c r="H68" s="1615"/>
      <c r="I68" s="1615"/>
      <c r="J68" s="1615"/>
      <c r="K68" s="1615"/>
      <c r="L68" s="1615"/>
      <c r="M68" s="1615"/>
      <c r="N68" s="1615">
        <v>2173000000</v>
      </c>
      <c r="O68" s="1615">
        <v>3355000000</v>
      </c>
      <c r="P68" s="1615">
        <v>5860000000</v>
      </c>
      <c r="Q68" s="1615">
        <v>7879000000</v>
      </c>
      <c r="R68" s="1633">
        <v>10263000000</v>
      </c>
      <c r="S68" s="1633">
        <v>16021000000</v>
      </c>
      <c r="T68" s="1633">
        <v>11221000000</v>
      </c>
      <c r="U68" s="1615"/>
      <c r="V68" s="1633">
        <v>15942000000</v>
      </c>
      <c r="W68" s="1633">
        <v>11720000000</v>
      </c>
      <c r="X68" s="1633">
        <v>10405000000</v>
      </c>
      <c r="Y68" s="1913">
        <v>8748000000</v>
      </c>
      <c r="Z68" s="1913">
        <v>8622000000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row>
    <row r="69" spans="1:51">
      <c r="A69" s="1602" t="s">
        <v>76</v>
      </c>
      <c r="B69" s="1616" t="s">
        <v>209</v>
      </c>
      <c r="D69" s="1615"/>
      <c r="E69" s="1615"/>
      <c r="F69" s="1615"/>
      <c r="G69" s="1615"/>
      <c r="H69" s="1615"/>
      <c r="I69" s="1615"/>
      <c r="J69" s="1615"/>
      <c r="K69" s="1615"/>
      <c r="L69" s="1615"/>
      <c r="M69" s="1615"/>
      <c r="N69" s="1615">
        <v>1933000000</v>
      </c>
      <c r="O69" s="1615">
        <v>2221000000</v>
      </c>
      <c r="P69" s="1615">
        <v>1115000000</v>
      </c>
      <c r="Q69" s="1615">
        <v>7284000000</v>
      </c>
      <c r="R69" s="1633">
        <v>2082000000</v>
      </c>
      <c r="S69" s="1633">
        <v>2656000000</v>
      </c>
      <c r="T69" s="1633">
        <v>8216000000</v>
      </c>
      <c r="U69" s="1615">
        <f>U70+U71+U72</f>
        <v>9914000000</v>
      </c>
      <c r="V69" s="1615">
        <f t="shared" ref="V69:Z69" si="11">V70+V71+V72</f>
        <v>6588000000</v>
      </c>
      <c r="W69" s="1615">
        <f t="shared" si="11"/>
        <v>3876000000</v>
      </c>
      <c r="X69" s="1615">
        <f t="shared" si="11"/>
        <v>6089000000</v>
      </c>
      <c r="Y69" s="1615">
        <f t="shared" si="11"/>
        <v>5036000000</v>
      </c>
      <c r="Z69" s="1615">
        <f t="shared" si="11"/>
        <v>3845000000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row>
    <row r="70" spans="1:51">
      <c r="A70" s="1602" t="s">
        <v>76</v>
      </c>
      <c r="B70" s="1620" t="s">
        <v>6968</v>
      </c>
      <c r="C70" s="1612"/>
      <c r="D70" s="1615"/>
      <c r="E70" s="1615"/>
      <c r="F70" s="1615"/>
      <c r="G70" s="1615"/>
      <c r="H70" s="1615"/>
      <c r="I70" s="1615"/>
      <c r="J70" s="1615"/>
      <c r="K70" s="1615"/>
      <c r="L70" s="1615"/>
      <c r="M70" s="1615"/>
      <c r="N70" s="1615">
        <v>785000000</v>
      </c>
      <c r="O70" s="1615">
        <v>2746000000</v>
      </c>
      <c r="P70" s="1615">
        <v>1262000000</v>
      </c>
      <c r="Q70" s="1615">
        <v>4390000000</v>
      </c>
      <c r="R70" s="1633">
        <v>2432000000</v>
      </c>
      <c r="S70" s="1633">
        <v>720000000</v>
      </c>
      <c r="T70" s="1633">
        <v>4718000000</v>
      </c>
      <c r="U70" s="1615">
        <v>10724000000</v>
      </c>
      <c r="V70" s="1633">
        <v>6588000000</v>
      </c>
      <c r="W70" s="1633">
        <v>3876000000</v>
      </c>
      <c r="X70" s="1633">
        <v>6089000000</v>
      </c>
      <c r="Y70" s="1913">
        <v>5036000000</v>
      </c>
      <c r="Z70" s="1913">
        <v>3845000000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row>
    <row r="71" spans="1:51">
      <c r="A71" s="1602" t="s">
        <v>76</v>
      </c>
      <c r="B71" s="1620" t="s">
        <v>6969</v>
      </c>
      <c r="C71" s="1612"/>
      <c r="D71" s="1615"/>
      <c r="E71" s="1615"/>
      <c r="F71" s="1615"/>
      <c r="G71" s="1615"/>
      <c r="H71" s="1615"/>
      <c r="I71" s="1615"/>
      <c r="J71" s="1615"/>
      <c r="K71" s="1615"/>
      <c r="L71" s="1615"/>
      <c r="M71" s="1615"/>
      <c r="N71" s="1615"/>
      <c r="O71" s="1615"/>
      <c r="P71" s="1615">
        <v>0</v>
      </c>
      <c r="Q71" s="1615">
        <v>390000000</v>
      </c>
      <c r="R71" s="1633"/>
      <c r="S71" s="1633"/>
      <c r="T71" s="1633"/>
      <c r="U71" s="1615"/>
      <c r="V71" s="1633"/>
      <c r="W71" s="1633"/>
      <c r="X71" s="1633"/>
      <c r="Y71" s="1913"/>
      <c r="Z71" s="1913"/>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row>
    <row r="72" spans="1:51">
      <c r="A72" s="1602" t="s">
        <v>76</v>
      </c>
      <c r="B72" s="1620" t="s">
        <v>444</v>
      </c>
      <c r="C72" s="1612"/>
      <c r="D72" s="1615"/>
      <c r="E72" s="1615"/>
      <c r="F72" s="1615"/>
      <c r="G72" s="1615"/>
      <c r="H72" s="1615"/>
      <c r="I72" s="1615"/>
      <c r="J72" s="1615"/>
      <c r="K72" s="1615"/>
      <c r="L72" s="1615"/>
      <c r="M72" s="1615"/>
      <c r="N72" s="1615">
        <v>1148000000</v>
      </c>
      <c r="O72" s="1615">
        <v>-525000000</v>
      </c>
      <c r="P72" s="1615">
        <v>-147000000</v>
      </c>
      <c r="Q72" s="1615">
        <v>2504000000</v>
      </c>
      <c r="R72" s="1633">
        <v>-220000000</v>
      </c>
      <c r="S72" s="1633">
        <v>2066000000</v>
      </c>
      <c r="T72" s="1633">
        <v>3498000000</v>
      </c>
      <c r="U72" s="1615">
        <v>-810000000</v>
      </c>
      <c r="V72" s="1633">
        <v>0</v>
      </c>
      <c r="W72" s="1633">
        <v>0</v>
      </c>
      <c r="X72" s="1633">
        <v>0</v>
      </c>
      <c r="Y72" s="1913">
        <v>0</v>
      </c>
      <c r="Z72" s="1913">
        <v>0</v>
      </c>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row>
    <row r="73" spans="1:51">
      <c r="A73" s="1602" t="s">
        <v>117</v>
      </c>
      <c r="B73" s="1616" t="s">
        <v>212</v>
      </c>
      <c r="C73" s="1613" t="s">
        <v>119</v>
      </c>
      <c r="D73" s="1615">
        <v>531000000</v>
      </c>
      <c r="E73" s="1615">
        <v>467000000</v>
      </c>
      <c r="F73" s="1615">
        <v>693000000</v>
      </c>
      <c r="G73" s="1615">
        <v>308000000</v>
      </c>
      <c r="H73" s="1615">
        <v>230000000</v>
      </c>
      <c r="I73" s="1614">
        <v>241000000</v>
      </c>
      <c r="J73" s="1615">
        <v>-6225000000</v>
      </c>
      <c r="K73" s="1615">
        <v>145000000</v>
      </c>
      <c r="L73" s="1614">
        <v>257000000</v>
      </c>
      <c r="M73" s="1615">
        <v>-33000000</v>
      </c>
      <c r="N73" s="1615">
        <f t="shared" ref="N73:Q73" si="12">-(N67-N74)</f>
        <v>240000000</v>
      </c>
      <c r="O73" s="1615">
        <f t="shared" si="12"/>
        <v>1134000000</v>
      </c>
      <c r="P73" s="1615">
        <f t="shared" si="12"/>
        <v>4745000000</v>
      </c>
      <c r="Q73" s="1615">
        <f t="shared" si="12"/>
        <v>595000000</v>
      </c>
      <c r="R73" s="1633">
        <v>8181000000</v>
      </c>
      <c r="S73" s="1633">
        <v>13365000000</v>
      </c>
      <c r="T73" s="1633">
        <v>3005000000</v>
      </c>
      <c r="U73" s="1615">
        <f>U75+U80</f>
        <v>7936000000</v>
      </c>
      <c r="V73" s="1615">
        <f t="shared" ref="V73:Z73" si="13">V75+V80</f>
        <v>9354000000</v>
      </c>
      <c r="W73" s="1615">
        <f t="shared" si="13"/>
        <v>7844000000</v>
      </c>
      <c r="X73" s="1615">
        <f t="shared" si="13"/>
        <v>4316000000</v>
      </c>
      <c r="Y73" s="1615">
        <f t="shared" si="13"/>
        <v>3712000000</v>
      </c>
      <c r="Z73" s="1615">
        <f t="shared" si="13"/>
        <v>4777000000</v>
      </c>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row>
    <row r="74" spans="1:51">
      <c r="B74" s="1616" t="s">
        <v>212</v>
      </c>
      <c r="C74" s="1613"/>
      <c r="D74" s="1615">
        <v>531000000</v>
      </c>
      <c r="E74" s="1615">
        <v>467000000</v>
      </c>
      <c r="F74" s="1615">
        <v>693000000</v>
      </c>
      <c r="G74" s="1615">
        <v>308000000</v>
      </c>
      <c r="H74" s="1615">
        <v>230000000</v>
      </c>
      <c r="I74" s="1614">
        <v>241000000</v>
      </c>
      <c r="J74" s="1615">
        <v>-6225000000</v>
      </c>
      <c r="K74" s="1615">
        <v>145000000</v>
      </c>
      <c r="L74" s="1614">
        <v>257000000</v>
      </c>
      <c r="M74" s="1615">
        <v>-33000000</v>
      </c>
      <c r="N74" s="1615">
        <v>240000000</v>
      </c>
      <c r="O74" s="1615">
        <v>1134000000</v>
      </c>
      <c r="P74" s="1615">
        <v>4745000000</v>
      </c>
      <c r="Q74" s="1615">
        <v>595000000</v>
      </c>
      <c r="R74" s="1633"/>
      <c r="S74" s="1633"/>
      <c r="T74" s="1633"/>
      <c r="U74" s="1615"/>
      <c r="V74" s="1633"/>
      <c r="W74" s="1633"/>
      <c r="X74" s="1633"/>
      <c r="Y74" s="1913"/>
      <c r="Z74" s="1913"/>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row>
    <row r="75" spans="1:51">
      <c r="A75" s="1620" t="s">
        <v>444</v>
      </c>
      <c r="B75" s="1620" t="s">
        <v>444</v>
      </c>
      <c r="C75" s="1612" t="s">
        <v>264</v>
      </c>
      <c r="D75" s="1615"/>
      <c r="E75" s="1615"/>
      <c r="F75" s="1615"/>
      <c r="G75" s="1615"/>
      <c r="H75" s="1615"/>
      <c r="I75" s="1615"/>
      <c r="J75" s="1615"/>
      <c r="K75" s="1615"/>
      <c r="L75" s="1615"/>
      <c r="M75" s="1615"/>
      <c r="N75" s="1615">
        <v>240000000</v>
      </c>
      <c r="O75" s="1615">
        <v>1134000000</v>
      </c>
      <c r="P75" s="1615">
        <v>885000000</v>
      </c>
      <c r="Q75" s="1615">
        <v>595000000</v>
      </c>
      <c r="R75" s="1633">
        <v>1501000000</v>
      </c>
      <c r="S75" s="1633">
        <v>3342000000</v>
      </c>
      <c r="T75" s="1633">
        <v>3005000000</v>
      </c>
      <c r="U75" s="1615">
        <v>7936000000</v>
      </c>
      <c r="V75" s="1633">
        <v>9354000000</v>
      </c>
      <c r="W75" s="1633">
        <v>7844000000</v>
      </c>
      <c r="X75" s="1633">
        <v>4316000000</v>
      </c>
      <c r="Y75" s="1913">
        <v>3712000000</v>
      </c>
      <c r="Z75" s="1913">
        <v>-4215000000</v>
      </c>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row>
    <row r="76" spans="1:51">
      <c r="A76" s="1620" t="s">
        <v>1510</v>
      </c>
      <c r="B76" s="1620" t="s">
        <v>6970</v>
      </c>
      <c r="C76" s="1612" t="s">
        <v>499</v>
      </c>
      <c r="D76" s="1615"/>
      <c r="E76" s="1615"/>
      <c r="F76" s="1618"/>
      <c r="G76" s="1618"/>
      <c r="H76" s="1618"/>
      <c r="I76" s="2321"/>
      <c r="J76" s="1618"/>
      <c r="K76" s="1618"/>
      <c r="L76" s="2321"/>
      <c r="M76" s="1618"/>
      <c r="N76" s="1615">
        <v>331000000</v>
      </c>
      <c r="O76" s="1615">
        <v>1234000000</v>
      </c>
      <c r="P76" s="1615">
        <v>1821000000</v>
      </c>
      <c r="Q76" s="1615">
        <v>2140000000</v>
      </c>
      <c r="R76" s="1633">
        <v>93000000</v>
      </c>
      <c r="S76" s="1633">
        <v>0</v>
      </c>
      <c r="T76" s="1633">
        <v>0</v>
      </c>
      <c r="U76" s="1615">
        <v>1902000000</v>
      </c>
      <c r="V76" s="1633">
        <v>2269000000</v>
      </c>
      <c r="W76" s="1633">
        <v>1567000000</v>
      </c>
      <c r="X76" s="1633">
        <v>0</v>
      </c>
      <c r="Y76" s="1913">
        <v>0</v>
      </c>
      <c r="Z76" s="1913">
        <v>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row>
    <row r="77" spans="1:51">
      <c r="A77" s="1620" t="s">
        <v>6971</v>
      </c>
      <c r="B77" s="1620" t="s">
        <v>6972</v>
      </c>
      <c r="C77" s="1612" t="s">
        <v>499</v>
      </c>
      <c r="D77" s="1615"/>
      <c r="E77" s="1615"/>
      <c r="F77" s="1618"/>
      <c r="G77" s="1618"/>
      <c r="H77" s="1618"/>
      <c r="I77" s="1618"/>
      <c r="J77" s="1618"/>
      <c r="K77" s="1618"/>
      <c r="L77" s="1618"/>
      <c r="M77" s="1618"/>
      <c r="N77" s="1615">
        <v>53000000</v>
      </c>
      <c r="O77" s="1615">
        <v>0</v>
      </c>
      <c r="P77" s="1615">
        <v>0</v>
      </c>
      <c r="Q77" s="1615">
        <v>0</v>
      </c>
      <c r="R77" s="1633">
        <v>2289000000</v>
      </c>
      <c r="S77" s="1633">
        <v>4964000000</v>
      </c>
      <c r="T77" s="1633">
        <v>4966000000</v>
      </c>
      <c r="U77" s="1615">
        <v>6567000000</v>
      </c>
      <c r="V77" s="1633">
        <v>9509000000</v>
      </c>
      <c r="W77" s="1633">
        <v>9085000000</v>
      </c>
      <c r="X77" s="1633">
        <v>8021000000</v>
      </c>
      <c r="Y77" s="1913">
        <v>8565000000</v>
      </c>
      <c r="Z77" s="1913">
        <v>9355000000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row>
    <row r="78" spans="1:51">
      <c r="A78" s="1620" t="s">
        <v>50</v>
      </c>
      <c r="B78" s="1620" t="s">
        <v>6973</v>
      </c>
      <c r="C78" s="1612" t="s">
        <v>499</v>
      </c>
      <c r="D78" s="1615"/>
      <c r="E78" s="1615"/>
      <c r="F78" s="1615"/>
      <c r="G78" s="1615"/>
      <c r="H78" s="1615"/>
      <c r="I78" s="1615"/>
      <c r="J78" s="1615"/>
      <c r="K78" s="1615"/>
      <c r="L78" s="1614"/>
      <c r="M78" s="1614"/>
      <c r="N78" s="1614"/>
      <c r="O78" s="1615">
        <v>0</v>
      </c>
      <c r="P78" s="2187">
        <f t="shared" ref="P78:Z78" si="14">P75-P76-P79-P77</f>
        <v>276000000</v>
      </c>
      <c r="Q78" s="2187">
        <f t="shared" si="14"/>
        <v>-903000000</v>
      </c>
      <c r="R78" s="2187">
        <f t="shared" si="14"/>
        <v>-93000000</v>
      </c>
      <c r="S78" s="2187">
        <f t="shared" si="14"/>
        <v>-1000000</v>
      </c>
      <c r="T78" s="2187">
        <f t="shared" si="14"/>
        <v>0</v>
      </c>
      <c r="U78" s="1615">
        <v>1275000000</v>
      </c>
      <c r="V78" s="2187">
        <f t="shared" si="14"/>
        <v>0</v>
      </c>
      <c r="W78" s="2187">
        <f t="shared" si="14"/>
        <v>0</v>
      </c>
      <c r="X78" s="2187">
        <f t="shared" si="14"/>
        <v>0</v>
      </c>
      <c r="Y78" s="2187">
        <f t="shared" si="14"/>
        <v>0</v>
      </c>
      <c r="Z78" s="2187">
        <f t="shared" si="14"/>
        <v>0</v>
      </c>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row>
    <row r="79" spans="1:51">
      <c r="A79" s="1620" t="s">
        <v>258</v>
      </c>
      <c r="B79" s="1620" t="s">
        <v>258</v>
      </c>
      <c r="C79" s="1612" t="s">
        <v>499</v>
      </c>
      <c r="D79" s="1615"/>
      <c r="E79" s="1615"/>
      <c r="F79" s="1615"/>
      <c r="G79" s="1615"/>
      <c r="H79" s="1615"/>
      <c r="I79" s="1615"/>
      <c r="J79" s="1615"/>
      <c r="K79" s="1615"/>
      <c r="L79" s="1615"/>
      <c r="M79" s="1615"/>
      <c r="N79" s="1618">
        <f>(N75-N76-N77)</f>
        <v>-144000000</v>
      </c>
      <c r="O79" s="1615">
        <v>-99000000</v>
      </c>
      <c r="P79" s="1615">
        <v>-1212000000</v>
      </c>
      <c r="Q79" s="1615">
        <v>-642000000</v>
      </c>
      <c r="R79" s="1633">
        <v>-788000000</v>
      </c>
      <c r="S79" s="1633">
        <v>-1621000000</v>
      </c>
      <c r="T79" s="1633">
        <v>-1961000000</v>
      </c>
      <c r="U79" s="1615">
        <v>-1808000000</v>
      </c>
      <c r="V79" s="1633">
        <v>-2424000000</v>
      </c>
      <c r="W79" s="1633">
        <v>-2808000000</v>
      </c>
      <c r="X79" s="1633">
        <v>-3705000000</v>
      </c>
      <c r="Y79" s="1913">
        <v>-4853000000</v>
      </c>
      <c r="Z79" s="1913">
        <v>-13570000000</v>
      </c>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row>
    <row r="80" spans="1:51">
      <c r="A80" s="1620" t="s">
        <v>5343</v>
      </c>
      <c r="B80" s="1620" t="s">
        <v>6968</v>
      </c>
      <c r="C80" s="1612" t="s">
        <v>264</v>
      </c>
      <c r="D80" s="1615"/>
      <c r="E80" s="1615"/>
      <c r="F80" s="1615"/>
      <c r="G80" s="1615"/>
      <c r="H80" s="1615"/>
      <c r="I80" s="1615"/>
      <c r="J80" s="1615"/>
      <c r="K80" s="1615"/>
      <c r="L80" s="1614"/>
      <c r="M80" s="1614"/>
      <c r="N80" s="1614"/>
      <c r="O80" s="1615"/>
      <c r="P80" s="1615">
        <v>3860000000</v>
      </c>
      <c r="Q80" s="1615">
        <v>0</v>
      </c>
      <c r="R80" s="1633">
        <v>6680000000</v>
      </c>
      <c r="S80" s="1633">
        <v>10023000000</v>
      </c>
      <c r="T80" s="1633">
        <v>0</v>
      </c>
      <c r="U80" s="1615"/>
      <c r="V80" s="1633">
        <v>0</v>
      </c>
      <c r="W80" s="1633">
        <v>0</v>
      </c>
      <c r="X80" s="1633">
        <v>0</v>
      </c>
      <c r="Y80" s="1913">
        <v>0</v>
      </c>
      <c r="Z80" s="1913">
        <v>8992000000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row>
    <row r="81" spans="1:51">
      <c r="A81" s="1620" t="s">
        <v>6974</v>
      </c>
      <c r="B81" s="1620" t="s">
        <v>6974</v>
      </c>
      <c r="C81" s="1612" t="s">
        <v>264</v>
      </c>
      <c r="D81" s="1615"/>
      <c r="E81" s="1615"/>
      <c r="F81" s="1615"/>
      <c r="G81" s="1615"/>
      <c r="H81" s="1615"/>
      <c r="I81" s="1615"/>
      <c r="J81" s="1615"/>
      <c r="K81" s="1615"/>
      <c r="L81" s="1614"/>
      <c r="M81" s="1614"/>
      <c r="N81" s="1614"/>
      <c r="O81" s="1615"/>
      <c r="P81" s="1615"/>
      <c r="Q81" s="1615"/>
      <c r="R81" s="1615"/>
      <c r="S81" s="1615"/>
      <c r="T81" s="1615"/>
      <c r="U81" s="1615"/>
      <c r="V81" s="1615">
        <f>V73-V75-V80</f>
        <v>0</v>
      </c>
      <c r="W81" s="1615"/>
      <c r="X81" s="1615"/>
      <c r="Y81" s="2073"/>
      <c r="Z81" s="2073"/>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row>
    <row r="82" spans="1:51">
      <c r="B82" s="1616" t="s">
        <v>6975</v>
      </c>
      <c r="C82" s="1612"/>
      <c r="D82" s="1615"/>
      <c r="E82" s="1615"/>
      <c r="F82" s="1615"/>
      <c r="G82" s="1615"/>
      <c r="H82" s="1615"/>
      <c r="I82" s="1615"/>
      <c r="J82" s="1615"/>
      <c r="K82" s="1615"/>
      <c r="L82" s="1615"/>
      <c r="M82" s="1615"/>
      <c r="N82" s="1615"/>
      <c r="O82" s="1615" t="s">
        <v>78</v>
      </c>
      <c r="P82" s="1615" t="s">
        <v>78</v>
      </c>
      <c r="Q82" s="1615"/>
      <c r="R82" s="1615"/>
      <c r="S82" s="1615"/>
      <c r="T82" s="1615"/>
      <c r="U82" s="1615"/>
      <c r="V82" s="1615"/>
      <c r="W82" s="1615"/>
      <c r="X82" s="1615"/>
      <c r="Y82" s="2073"/>
      <c r="Z82" s="2073"/>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row>
    <row r="83" spans="1:51">
      <c r="A83" s="1909"/>
      <c r="B83" s="1909" t="s">
        <v>2427</v>
      </c>
      <c r="C83" s="2331"/>
      <c r="D83" s="2180"/>
      <c r="E83" s="2180"/>
      <c r="F83" s="2180"/>
      <c r="G83" s="2180"/>
      <c r="H83" s="2180"/>
      <c r="I83" s="2180"/>
      <c r="J83" s="2180"/>
      <c r="K83" s="2180"/>
      <c r="L83" s="2183"/>
      <c r="M83" s="2183"/>
      <c r="N83" s="2183"/>
      <c r="O83" s="2183"/>
      <c r="P83" s="2183"/>
      <c r="Q83" s="2183"/>
      <c r="R83" s="2183">
        <f>R62-R64-R65-R66-R70-R72-R71</f>
        <v>-1034000000</v>
      </c>
      <c r="S83" s="2183">
        <f t="shared" ref="S83:Z83" si="15">S62-S64-S65-S66-S70-S72-S71</f>
        <v>1911000000</v>
      </c>
      <c r="T83" s="2183">
        <f t="shared" si="15"/>
        <v>2751000000</v>
      </c>
      <c r="U83" s="2183"/>
      <c r="V83" s="2183">
        <f t="shared" si="15"/>
        <v>0</v>
      </c>
      <c r="W83" s="2183">
        <f t="shared" si="15"/>
        <v>0</v>
      </c>
      <c r="X83" s="2183">
        <f t="shared" si="15"/>
        <v>0</v>
      </c>
      <c r="Y83" s="2183">
        <f t="shared" si="15"/>
        <v>0</v>
      </c>
      <c r="Z83" s="2183">
        <f t="shared" si="15"/>
        <v>0</v>
      </c>
    </row>
    <row r="84" spans="1:51">
      <c r="B84" s="1620"/>
      <c r="C84" s="1612"/>
      <c r="D84" s="2180"/>
      <c r="E84" s="2180"/>
      <c r="F84" s="2180"/>
      <c r="G84" s="2180"/>
      <c r="H84" s="2180"/>
      <c r="I84" s="2180"/>
      <c r="J84" s="2180"/>
      <c r="K84" s="2180"/>
      <c r="L84" s="2183"/>
      <c r="M84" s="2183"/>
      <c r="N84" s="2183"/>
      <c r="O84" s="2183"/>
      <c r="P84" s="2183"/>
      <c r="Q84" s="2183"/>
      <c r="R84" s="2183"/>
      <c r="S84" s="2183"/>
      <c r="T84" s="2183"/>
      <c r="U84" s="2183"/>
      <c r="V84" s="2183"/>
      <c r="W84" s="2183"/>
      <c r="X84" s="2183"/>
      <c r="Y84" s="2183"/>
      <c r="Z84" s="2183"/>
    </row>
    <row r="85" spans="1:51">
      <c r="B85" s="1620"/>
      <c r="C85" s="1612"/>
      <c r="D85" s="1602" t="s">
        <v>139</v>
      </c>
      <c r="E85" s="1602" t="s">
        <v>139</v>
      </c>
      <c r="F85" s="1602" t="s">
        <v>139</v>
      </c>
      <c r="G85" s="1602" t="s">
        <v>139</v>
      </c>
      <c r="H85" s="1602" t="s">
        <v>139</v>
      </c>
      <c r="I85" s="1602" t="s">
        <v>139</v>
      </c>
      <c r="J85" s="1602" t="s">
        <v>139</v>
      </c>
      <c r="K85" s="1602" t="s">
        <v>139</v>
      </c>
      <c r="L85" s="1602" t="s">
        <v>139</v>
      </c>
      <c r="M85" s="1602" t="s">
        <v>139</v>
      </c>
      <c r="N85" s="1602" t="s">
        <v>139</v>
      </c>
      <c r="O85" s="1602" t="s">
        <v>139</v>
      </c>
      <c r="P85" s="1602" t="s">
        <v>139</v>
      </c>
      <c r="Q85" s="1602" t="s">
        <v>139</v>
      </c>
      <c r="R85" s="1602" t="s">
        <v>139</v>
      </c>
      <c r="S85" s="1602" t="s">
        <v>139</v>
      </c>
      <c r="T85" s="1602" t="s">
        <v>139</v>
      </c>
      <c r="U85" s="1602" t="s">
        <v>139</v>
      </c>
      <c r="V85" s="1602" t="s">
        <v>139</v>
      </c>
      <c r="W85" s="1602" t="s">
        <v>139</v>
      </c>
      <c r="X85" s="1602" t="s">
        <v>139</v>
      </c>
      <c r="Y85" s="1602" t="s">
        <v>139</v>
      </c>
      <c r="Z85" s="1602" t="s">
        <v>139</v>
      </c>
    </row>
    <row r="86" spans="1:51">
      <c r="B86" s="1620"/>
      <c r="C86" s="1612"/>
      <c r="D86" s="1612"/>
      <c r="E86" s="1612"/>
      <c r="F86" s="1612"/>
      <c r="G86" s="1612"/>
      <c r="H86" s="1612"/>
      <c r="I86" s="1612"/>
      <c r="J86" s="1612"/>
      <c r="K86" s="2269"/>
      <c r="L86" s="1612"/>
      <c r="M86" s="1612"/>
      <c r="N86" s="1612"/>
      <c r="O86" s="1612"/>
      <c r="P86" s="1612"/>
      <c r="Q86" s="1612"/>
      <c r="R86" s="1612"/>
      <c r="S86" s="1612"/>
      <c r="T86" s="1612"/>
      <c r="U86" s="1612"/>
      <c r="V86" s="1612"/>
      <c r="W86" s="1605"/>
      <c r="X86" s="1605"/>
      <c r="Y86" s="1633"/>
      <c r="Z86" s="1636"/>
    </row>
    <row r="87" spans="1:51">
      <c r="B87" s="1620" t="s">
        <v>2430</v>
      </c>
      <c r="C87" s="1612"/>
      <c r="D87" s="1625">
        <f>D6-D7-D19</f>
        <v>0</v>
      </c>
      <c r="E87" s="1625">
        <f t="shared" ref="E87:V87" si="16">E6-E7-E19</f>
        <v>-1000000</v>
      </c>
      <c r="F87" s="1625">
        <f t="shared" si="16"/>
        <v>0</v>
      </c>
      <c r="G87" s="1625">
        <f t="shared" si="16"/>
        <v>0</v>
      </c>
      <c r="H87" s="1625">
        <f t="shared" si="16"/>
        <v>0</v>
      </c>
      <c r="I87" s="1625">
        <f t="shared" si="16"/>
        <v>0</v>
      </c>
      <c r="J87" s="1625">
        <f t="shared" si="16"/>
        <v>0</v>
      </c>
      <c r="K87" s="1625">
        <f t="shared" si="16"/>
        <v>0</v>
      </c>
      <c r="L87" s="1625">
        <f t="shared" si="16"/>
        <v>0</v>
      </c>
      <c r="M87" s="1625">
        <f t="shared" si="16"/>
        <v>0</v>
      </c>
      <c r="N87" s="1625">
        <f>N6-N7-N19</f>
        <v>0</v>
      </c>
      <c r="O87" s="1625">
        <f t="shared" si="16"/>
        <v>0</v>
      </c>
      <c r="P87" s="1625">
        <f t="shared" si="16"/>
        <v>0</v>
      </c>
      <c r="Q87" s="1625">
        <f t="shared" si="16"/>
        <v>0</v>
      </c>
      <c r="R87" s="1625">
        <f t="shared" si="16"/>
        <v>0</v>
      </c>
      <c r="S87" s="1625">
        <f t="shared" si="16"/>
        <v>1000000</v>
      </c>
      <c r="T87" s="1625">
        <f t="shared" si="16"/>
        <v>0</v>
      </c>
      <c r="U87" s="1625">
        <f t="shared" si="16"/>
        <v>0</v>
      </c>
      <c r="V87" s="1625">
        <f t="shared" si="16"/>
        <v>0</v>
      </c>
      <c r="W87" s="1625">
        <f>W6-W7-W19</f>
        <v>0</v>
      </c>
      <c r="X87" s="1625">
        <f>X6-X7-X19</f>
        <v>0</v>
      </c>
      <c r="Y87" s="1625">
        <f t="shared" ref="Y87:Z87" si="17">Y6-Y7-Y19</f>
        <v>0</v>
      </c>
      <c r="Z87" s="1625">
        <f t="shared" si="17"/>
        <v>1000000</v>
      </c>
    </row>
    <row r="88" spans="1:51">
      <c r="B88" s="1620" t="s">
        <v>358</v>
      </c>
      <c r="C88" s="1612"/>
      <c r="D88" s="1625">
        <f>D7-D8-D23</f>
        <v>0</v>
      </c>
      <c r="E88" s="1625">
        <f t="shared" ref="E88:U88" si="18">E7-E8-E23</f>
        <v>0</v>
      </c>
      <c r="F88" s="1625">
        <f t="shared" si="18"/>
        <v>0</v>
      </c>
      <c r="G88" s="1625">
        <f t="shared" si="18"/>
        <v>1000000</v>
      </c>
      <c r="H88" s="1625">
        <f t="shared" si="18"/>
        <v>0</v>
      </c>
      <c r="I88" s="1625">
        <f t="shared" si="18"/>
        <v>0</v>
      </c>
      <c r="J88" s="1625">
        <f t="shared" si="18"/>
        <v>0</v>
      </c>
      <c r="K88" s="1625">
        <f t="shared" si="18"/>
        <v>0</v>
      </c>
      <c r="L88" s="1625">
        <f t="shared" si="18"/>
        <v>1000000</v>
      </c>
      <c r="M88" s="1625">
        <f t="shared" si="18"/>
        <v>0</v>
      </c>
      <c r="N88" s="1625">
        <f>N7-N8-N23</f>
        <v>0</v>
      </c>
      <c r="O88" s="1625">
        <f t="shared" si="18"/>
        <v>0</v>
      </c>
      <c r="P88" s="1625">
        <f t="shared" si="18"/>
        <v>1000000</v>
      </c>
      <c r="Q88" s="1625">
        <f t="shared" si="18"/>
        <v>0</v>
      </c>
      <c r="R88" s="1625">
        <f t="shared" si="18"/>
        <v>0</v>
      </c>
      <c r="S88" s="1625">
        <f t="shared" si="18"/>
        <v>-1000000</v>
      </c>
      <c r="T88" s="1625">
        <f t="shared" si="18"/>
        <v>1000000</v>
      </c>
      <c r="U88" s="1625">
        <f t="shared" si="18"/>
        <v>0</v>
      </c>
      <c r="V88" s="1625">
        <f>V7-V8-V23</f>
        <v>0</v>
      </c>
      <c r="W88" s="1625">
        <f>W7-W8-W23</f>
        <v>0</v>
      </c>
      <c r="X88" s="1625">
        <f>X7-X8-X23</f>
        <v>0</v>
      </c>
      <c r="Y88" s="1625">
        <f t="shared" ref="Y88:Z88" si="19">Y7-Y8-Y23</f>
        <v>0</v>
      </c>
      <c r="Z88" s="1625">
        <f t="shared" si="19"/>
        <v>-1000000</v>
      </c>
    </row>
    <row r="89" spans="1:51">
      <c r="B89" s="1602" t="s">
        <v>142</v>
      </c>
      <c r="C89" s="1612"/>
      <c r="D89" s="2322">
        <f>D8-D11-D12-D15-D17-D9-D10-D13-D14-D16-D18</f>
        <v>0</v>
      </c>
      <c r="E89" s="2322">
        <f t="shared" ref="E89:V89" si="20">E8-E11-E12-E15-E17-E9-E10-E13-E14-E16-E18</f>
        <v>0</v>
      </c>
      <c r="F89" s="2322">
        <f t="shared" si="20"/>
        <v>0</v>
      </c>
      <c r="G89" s="2322">
        <f t="shared" si="20"/>
        <v>0</v>
      </c>
      <c r="H89" s="2322">
        <f t="shared" si="20"/>
        <v>1000000</v>
      </c>
      <c r="I89" s="2322">
        <f t="shared" si="20"/>
        <v>0</v>
      </c>
      <c r="J89" s="2322">
        <f t="shared" si="20"/>
        <v>0</v>
      </c>
      <c r="K89" s="2322">
        <f t="shared" si="20"/>
        <v>0</v>
      </c>
      <c r="L89" s="2322">
        <f t="shared" si="20"/>
        <v>-1000000</v>
      </c>
      <c r="M89" s="2322">
        <f t="shared" si="20"/>
        <v>0</v>
      </c>
      <c r="N89" s="2322">
        <f t="shared" si="20"/>
        <v>-1000000</v>
      </c>
      <c r="O89" s="2322">
        <f t="shared" si="20"/>
        <v>0</v>
      </c>
      <c r="P89" s="2322">
        <f t="shared" si="20"/>
        <v>0</v>
      </c>
      <c r="Q89" s="2322">
        <f t="shared" si="20"/>
        <v>0</v>
      </c>
      <c r="R89" s="2333">
        <f t="shared" si="20"/>
        <v>25837000000</v>
      </c>
      <c r="S89" s="2333">
        <f t="shared" si="20"/>
        <v>26437000000</v>
      </c>
      <c r="T89" s="2333">
        <f t="shared" si="20"/>
        <v>28028000000</v>
      </c>
      <c r="U89" s="2333">
        <f t="shared" si="20"/>
        <v>33496000000</v>
      </c>
      <c r="V89" s="2333">
        <f t="shared" si="20"/>
        <v>40215000000</v>
      </c>
      <c r="W89" s="2333">
        <f>W8-W11-W12-W15-W17-W9-W10-W13-W14-W16-W18</f>
        <v>44750000000</v>
      </c>
      <c r="X89" s="2333">
        <f>X8-X11-X12-X15-X17-X9-X10-X13-X14-X16-X18</f>
        <v>52151000000</v>
      </c>
      <c r="Y89" s="2333">
        <f t="shared" ref="Y89:Z89" si="21">Y8-Y11-Y12-Y15-Y17-Y9-Y10-Y13-Y14-Y16-Y18</f>
        <v>59893000000</v>
      </c>
      <c r="Z89" s="2333">
        <f t="shared" si="21"/>
        <v>66871000000</v>
      </c>
    </row>
    <row r="90" spans="1:51">
      <c r="B90" s="1602" t="s">
        <v>1362</v>
      </c>
      <c r="C90" s="1612"/>
      <c r="D90" s="2323">
        <f>D19-D20-D21</f>
        <v>575000000</v>
      </c>
      <c r="E90" s="2323">
        <f t="shared" ref="E90:J90" si="22">E19-E20-E21-E22</f>
        <v>754000000</v>
      </c>
      <c r="F90" s="2323">
        <f t="shared" si="22"/>
        <v>1350000000</v>
      </c>
      <c r="G90" s="2323">
        <f t="shared" si="22"/>
        <v>1424000000</v>
      </c>
      <c r="H90" s="2323">
        <f t="shared" si="22"/>
        <v>1433000000</v>
      </c>
      <c r="I90" s="2322">
        <f t="shared" si="22"/>
        <v>0</v>
      </c>
      <c r="J90" s="2322">
        <f t="shared" si="22"/>
        <v>0</v>
      </c>
      <c r="K90" s="2322">
        <f>K19-K20-K21</f>
        <v>0</v>
      </c>
      <c r="L90" s="2322">
        <f>L19-L20-L21</f>
        <v>0</v>
      </c>
      <c r="M90" s="2322">
        <f>M19-M20-M21</f>
        <v>0</v>
      </c>
      <c r="N90" s="2322">
        <f t="shared" ref="N90:V90" si="23">N19-N20-N21</f>
        <v>0</v>
      </c>
      <c r="O90" s="2322">
        <f t="shared" si="23"/>
        <v>0</v>
      </c>
      <c r="P90" s="2322">
        <f t="shared" si="23"/>
        <v>1000000</v>
      </c>
      <c r="Q90" s="2322">
        <f t="shared" si="23"/>
        <v>0</v>
      </c>
      <c r="R90" s="2333">
        <f t="shared" si="23"/>
        <v>1267000000</v>
      </c>
      <c r="S90" s="2333">
        <f t="shared" si="23"/>
        <v>369000000</v>
      </c>
      <c r="T90" s="2333">
        <f t="shared" si="23"/>
        <v>525000000</v>
      </c>
      <c r="U90" s="2333">
        <f t="shared" si="23"/>
        <v>1809000000</v>
      </c>
      <c r="V90" s="2333">
        <f t="shared" si="23"/>
        <v>1628000000</v>
      </c>
      <c r="W90" s="2333">
        <f>W19-W20-W21</f>
        <v>1831000000</v>
      </c>
      <c r="X90" s="2333">
        <f>X19-X20-X21</f>
        <v>2063000000</v>
      </c>
      <c r="Y90" s="2333">
        <f t="shared" ref="Y90:Z90" si="24">Y19-Y20-Y21</f>
        <v>2258000000</v>
      </c>
      <c r="Z90" s="2333">
        <f t="shared" si="24"/>
        <v>2472000000</v>
      </c>
    </row>
    <row r="91" spans="1:51">
      <c r="B91" s="1602" t="s">
        <v>2061</v>
      </c>
      <c r="C91" s="1612"/>
      <c r="D91" s="2322">
        <f>D28-D29-D49-D53-D52</f>
        <v>0</v>
      </c>
      <c r="E91" s="2322">
        <f t="shared" ref="E91:V91" si="25">E28-E29-E49-E53-E52</f>
        <v>0</v>
      </c>
      <c r="F91" s="2322">
        <f t="shared" si="25"/>
        <v>0</v>
      </c>
      <c r="G91" s="2322">
        <f t="shared" si="25"/>
        <v>0</v>
      </c>
      <c r="H91" s="2322">
        <f t="shared" si="25"/>
        <v>0</v>
      </c>
      <c r="I91" s="2322">
        <f t="shared" si="25"/>
        <v>0</v>
      </c>
      <c r="J91" s="2322">
        <f t="shared" si="25"/>
        <v>0</v>
      </c>
      <c r="K91" s="2322">
        <f t="shared" si="25"/>
        <v>0</v>
      </c>
      <c r="L91" s="2322">
        <f t="shared" si="25"/>
        <v>0</v>
      </c>
      <c r="M91" s="2322">
        <f t="shared" si="25"/>
        <v>0</v>
      </c>
      <c r="N91" s="2322">
        <f t="shared" si="25"/>
        <v>0</v>
      </c>
      <c r="O91" s="2322">
        <f t="shared" si="25"/>
        <v>0</v>
      </c>
      <c r="P91" s="2322">
        <f t="shared" si="25"/>
        <v>0</v>
      </c>
      <c r="Q91" s="2322">
        <f t="shared" si="25"/>
        <v>0</v>
      </c>
      <c r="R91" s="2322">
        <f t="shared" si="25"/>
        <v>0</v>
      </c>
      <c r="S91" s="2322">
        <f t="shared" si="25"/>
        <v>0</v>
      </c>
      <c r="T91" s="2322">
        <f t="shared" si="25"/>
        <v>1000000</v>
      </c>
      <c r="U91" s="2322">
        <f t="shared" si="25"/>
        <v>0</v>
      </c>
      <c r="V91" s="2322">
        <f t="shared" si="25"/>
        <v>0</v>
      </c>
      <c r="W91" s="2322">
        <f>W28-W29-W49-W53-W52</f>
        <v>0</v>
      </c>
      <c r="X91" s="2322">
        <f>X28-X29-X49-X53-X52</f>
        <v>0</v>
      </c>
      <c r="Y91" s="2322">
        <f t="shared" ref="Y91:Z91" si="26">Y28-Y29-Y49-Y53-Y52</f>
        <v>0</v>
      </c>
      <c r="Z91" s="2322">
        <f t="shared" si="26"/>
        <v>0</v>
      </c>
    </row>
    <row r="92" spans="1:51">
      <c r="B92" s="1602" t="s">
        <v>361</v>
      </c>
      <c r="C92" s="1612"/>
      <c r="D92" s="2324">
        <f>D29-D30-D31-D32-D33-D37-D46-D47-D48-D34-D45</f>
        <v>0</v>
      </c>
      <c r="E92" s="2322">
        <f t="shared" ref="E92:M92" si="27">E29-E30-E31-E32-E33-E37-E46-E47-E48-E34-E45</f>
        <v>0</v>
      </c>
      <c r="F92" s="2322">
        <f t="shared" si="27"/>
        <v>0</v>
      </c>
      <c r="G92" s="2322">
        <f t="shared" si="27"/>
        <v>1000000</v>
      </c>
      <c r="H92" s="2322">
        <f t="shared" si="27"/>
        <v>-1000000</v>
      </c>
      <c r="I92" s="2322">
        <f t="shared" si="27"/>
        <v>0</v>
      </c>
      <c r="J92" s="2322">
        <f t="shared" si="27"/>
        <v>0</v>
      </c>
      <c r="K92" s="2322">
        <f t="shared" si="27"/>
        <v>-1000000</v>
      </c>
      <c r="L92" s="2322">
        <f t="shared" si="27"/>
        <v>1000000</v>
      </c>
      <c r="M92" s="2322">
        <f t="shared" si="27"/>
        <v>-1000000</v>
      </c>
      <c r="N92" s="2322">
        <f>N29-N30-N31-N32-N33-N37-N46-N47-N48-N34-N45</f>
        <v>0</v>
      </c>
      <c r="O92" s="2322">
        <f t="shared" ref="O92:V92" si="28">O29-O30-O31-O32-O33-O37-O46-O47-O48-O34-O45</f>
        <v>-1000000</v>
      </c>
      <c r="P92" s="2322">
        <f t="shared" si="28"/>
        <v>0</v>
      </c>
      <c r="Q92" s="2322">
        <f t="shared" si="28"/>
        <v>0</v>
      </c>
      <c r="R92" s="2322">
        <f t="shared" si="28"/>
        <v>1000000</v>
      </c>
      <c r="S92" s="2322">
        <f>S29-S30-S31-S32-S33-S37-S46-S47-S48-S34-S45</f>
        <v>1000000</v>
      </c>
      <c r="T92" s="2322">
        <f t="shared" si="28"/>
        <v>-1000000</v>
      </c>
      <c r="U92" s="2322">
        <f t="shared" si="28"/>
        <v>0</v>
      </c>
      <c r="V92" s="2322">
        <f t="shared" si="28"/>
        <v>0</v>
      </c>
      <c r="W92" s="2322">
        <f>W29-W30-W31-W32-W33-W37-W46-W47-W48-W34-W45</f>
        <v>0</v>
      </c>
      <c r="X92" s="2322">
        <f>X29-X30-X31-X32-X33-X37-X46-X47-X48-X34-X45</f>
        <v>0</v>
      </c>
      <c r="Y92" s="2322">
        <f t="shared" ref="Y92:Z92" si="29">Y29-Y30-Y31-Y32-Y33-Y37-Y46-Y47-Y48-Y34-Y45</f>
        <v>0</v>
      </c>
      <c r="Z92" s="2322">
        <f t="shared" si="29"/>
        <v>0</v>
      </c>
    </row>
    <row r="93" spans="1:51">
      <c r="B93" s="1602" t="s">
        <v>291</v>
      </c>
      <c r="C93" s="1612"/>
      <c r="D93" s="2323">
        <f t="shared" ref="D93:X93" si="30">D34-D35-D36</f>
        <v>307000000</v>
      </c>
      <c r="E93" s="2323">
        <f t="shared" si="30"/>
        <v>331000000</v>
      </c>
      <c r="F93" s="2322">
        <f t="shared" si="30"/>
        <v>0</v>
      </c>
      <c r="G93" s="2322">
        <f t="shared" si="30"/>
        <v>0</v>
      </c>
      <c r="H93" s="2322">
        <f t="shared" si="30"/>
        <v>0</v>
      </c>
      <c r="I93" s="2323">
        <f t="shared" si="30"/>
        <v>865000000</v>
      </c>
      <c r="J93" s="2323">
        <f t="shared" si="30"/>
        <v>749000000</v>
      </c>
      <c r="K93" s="2323">
        <f t="shared" si="30"/>
        <v>776000000</v>
      </c>
      <c r="L93" s="2323">
        <f t="shared" si="30"/>
        <v>950000000</v>
      </c>
      <c r="M93" s="2322">
        <f t="shared" si="30"/>
        <v>0</v>
      </c>
      <c r="N93" s="2322">
        <f t="shared" si="30"/>
        <v>0</v>
      </c>
      <c r="O93" s="2322">
        <f t="shared" si="30"/>
        <v>0</v>
      </c>
      <c r="P93" s="2322">
        <f t="shared" si="30"/>
        <v>0</v>
      </c>
      <c r="Q93" s="2322">
        <f t="shared" si="30"/>
        <v>0</v>
      </c>
      <c r="R93" s="2333">
        <f t="shared" si="30"/>
        <v>3711000000</v>
      </c>
      <c r="S93" s="2333">
        <f t="shared" si="30"/>
        <v>5224000000</v>
      </c>
      <c r="T93" s="2333">
        <f t="shared" si="30"/>
        <v>7448000000</v>
      </c>
      <c r="U93" s="2333">
        <f t="shared" si="30"/>
        <v>8812000000</v>
      </c>
      <c r="V93" s="2333">
        <f t="shared" si="30"/>
        <v>10383000000</v>
      </c>
      <c r="W93" s="2333">
        <f t="shared" si="30"/>
        <v>10860000000</v>
      </c>
      <c r="X93" s="2333">
        <f t="shared" si="30"/>
        <v>11578000000</v>
      </c>
      <c r="Y93" s="2333">
        <f t="shared" ref="Y93:Z93" si="31">Y34-Y35-Y36</f>
        <v>12136000000</v>
      </c>
      <c r="Z93" s="2333">
        <f t="shared" si="31"/>
        <v>12981000000</v>
      </c>
    </row>
    <row r="94" spans="1:51">
      <c r="B94" s="1602" t="s">
        <v>1704</v>
      </c>
      <c r="C94" s="1612"/>
      <c r="D94" s="2323">
        <f>D37-D38-D43</f>
        <v>219000000</v>
      </c>
      <c r="E94" s="2323">
        <f>E37-E38-E43</f>
        <v>353000000</v>
      </c>
      <c r="F94" s="2322">
        <f>F37-F38-F43</f>
        <v>0</v>
      </c>
      <c r="G94" s="2322">
        <f>G37-G38-G43</f>
        <v>0</v>
      </c>
      <c r="H94" s="2322">
        <f t="shared" ref="H94:U94" si="32">H37-H38-H43</f>
        <v>0</v>
      </c>
      <c r="I94" s="2322">
        <f t="shared" si="32"/>
        <v>0</v>
      </c>
      <c r="J94" s="2322">
        <f t="shared" si="32"/>
        <v>0</v>
      </c>
      <c r="K94" s="2322">
        <f t="shared" si="32"/>
        <v>0</v>
      </c>
      <c r="L94" s="2322">
        <f t="shared" si="32"/>
        <v>0</v>
      </c>
      <c r="M94" s="2322">
        <f t="shared" si="32"/>
        <v>0</v>
      </c>
      <c r="N94" s="2322">
        <f t="shared" si="32"/>
        <v>0</v>
      </c>
      <c r="O94" s="2322">
        <f t="shared" si="32"/>
        <v>0</v>
      </c>
      <c r="P94" s="2322">
        <f t="shared" si="32"/>
        <v>0</v>
      </c>
      <c r="Q94" s="2322">
        <f t="shared" si="32"/>
        <v>0</v>
      </c>
      <c r="R94" s="2322">
        <f t="shared" si="32"/>
        <v>0</v>
      </c>
      <c r="S94" s="2322">
        <f t="shared" si="32"/>
        <v>0</v>
      </c>
      <c r="T94" s="2322">
        <f t="shared" si="32"/>
        <v>0</v>
      </c>
      <c r="U94" s="2322">
        <f t="shared" si="32"/>
        <v>0</v>
      </c>
      <c r="V94" s="2322">
        <f>V37-V38-V43</f>
        <v>0</v>
      </c>
      <c r="W94" s="2322">
        <f>W37-W38-W43</f>
        <v>0</v>
      </c>
      <c r="X94" s="2322">
        <f>X37-X38-X43</f>
        <v>0</v>
      </c>
      <c r="Y94" s="2322">
        <f t="shared" ref="Y94:Z94" si="33">Y37-Y38-Y43</f>
        <v>0</v>
      </c>
      <c r="Z94" s="2322">
        <f t="shared" si="33"/>
        <v>0</v>
      </c>
    </row>
    <row r="95" spans="1:51">
      <c r="B95" s="1602" t="s">
        <v>5936</v>
      </c>
      <c r="C95" s="1612"/>
      <c r="D95" s="2322">
        <f t="shared" ref="D95:P95" si="34">D38-D39-D40-D42</f>
        <v>0</v>
      </c>
      <c r="E95" s="2322">
        <f t="shared" si="34"/>
        <v>0</v>
      </c>
      <c r="F95" s="2322">
        <f t="shared" si="34"/>
        <v>0</v>
      </c>
      <c r="G95" s="2322">
        <f t="shared" si="34"/>
        <v>0</v>
      </c>
      <c r="H95" s="2322">
        <f t="shared" si="34"/>
        <v>0</v>
      </c>
      <c r="I95" s="2322">
        <f t="shared" si="34"/>
        <v>0</v>
      </c>
      <c r="J95" s="2322">
        <f t="shared" si="34"/>
        <v>0</v>
      </c>
      <c r="K95" s="2322">
        <f t="shared" si="34"/>
        <v>0</v>
      </c>
      <c r="L95" s="2322">
        <f t="shared" si="34"/>
        <v>0</v>
      </c>
      <c r="M95" s="2322">
        <f t="shared" si="34"/>
        <v>0</v>
      </c>
      <c r="N95" s="2322">
        <f t="shared" si="34"/>
        <v>0</v>
      </c>
      <c r="O95" s="2322">
        <f t="shared" si="34"/>
        <v>0</v>
      </c>
      <c r="P95" s="2322">
        <f t="shared" si="34"/>
        <v>0</v>
      </c>
      <c r="Q95" s="2322">
        <f>Q38-Q39-Q40-Q42</f>
        <v>1000000</v>
      </c>
      <c r="R95" s="2322">
        <f>R38-R39-R40-R42-R41</f>
        <v>0</v>
      </c>
      <c r="S95" s="2322">
        <f t="shared" ref="S95:Z95" si="35">S38-S39-S40-S42-S41</f>
        <v>1000000</v>
      </c>
      <c r="T95" s="2322">
        <f t="shared" si="35"/>
        <v>1000000</v>
      </c>
      <c r="U95" s="2322">
        <f t="shared" si="35"/>
        <v>0</v>
      </c>
      <c r="V95" s="2322">
        <f t="shared" si="35"/>
        <v>0</v>
      </c>
      <c r="W95" s="2322">
        <f t="shared" si="35"/>
        <v>0</v>
      </c>
      <c r="X95" s="2322">
        <f t="shared" si="35"/>
        <v>0</v>
      </c>
      <c r="Y95" s="2322">
        <f t="shared" si="35"/>
        <v>0</v>
      </c>
      <c r="Z95" s="2322">
        <f t="shared" si="35"/>
        <v>0</v>
      </c>
    </row>
    <row r="96" spans="1:51">
      <c r="B96" s="1602" t="s">
        <v>2656</v>
      </c>
      <c r="C96" s="1612"/>
      <c r="D96" s="2322">
        <f t="shared" ref="D96:M96" si="36">D59-D63-D74</f>
        <v>0</v>
      </c>
      <c r="E96" s="2322">
        <f t="shared" si="36"/>
        <v>0</v>
      </c>
      <c r="F96" s="2322">
        <f t="shared" si="36"/>
        <v>1000000</v>
      </c>
      <c r="G96" s="2322">
        <f t="shared" si="36"/>
        <v>0</v>
      </c>
      <c r="H96" s="2322">
        <f t="shared" si="36"/>
        <v>0</v>
      </c>
      <c r="I96" s="2322">
        <f t="shared" si="36"/>
        <v>0</v>
      </c>
      <c r="J96" s="2322">
        <f t="shared" si="36"/>
        <v>0</v>
      </c>
      <c r="K96" s="2322">
        <f t="shared" si="36"/>
        <v>0</v>
      </c>
      <c r="L96" s="2322">
        <f t="shared" si="36"/>
        <v>0</v>
      </c>
      <c r="M96" s="2322">
        <f t="shared" si="36"/>
        <v>0</v>
      </c>
      <c r="N96" s="2322">
        <f t="shared" ref="N96:V96" si="37">N59-N62-N73</f>
        <v>0</v>
      </c>
      <c r="O96" s="2322">
        <f t="shared" si="37"/>
        <v>0</v>
      </c>
      <c r="P96" s="2322">
        <f t="shared" si="37"/>
        <v>0</v>
      </c>
      <c r="Q96" s="2322">
        <f t="shared" si="37"/>
        <v>0</v>
      </c>
      <c r="R96" s="2322">
        <f t="shared" si="37"/>
        <v>0</v>
      </c>
      <c r="S96" s="2322">
        <f t="shared" si="37"/>
        <v>0</v>
      </c>
      <c r="T96" s="2322">
        <f t="shared" si="37"/>
        <v>0</v>
      </c>
      <c r="U96" s="2322">
        <f t="shared" si="37"/>
        <v>0</v>
      </c>
      <c r="V96" s="2322">
        <f t="shared" si="37"/>
        <v>0</v>
      </c>
      <c r="W96" s="2322">
        <f>W59-W62-W73</f>
        <v>0</v>
      </c>
      <c r="X96" s="2322">
        <f>X59-X62-X73</f>
        <v>0</v>
      </c>
      <c r="Y96" s="2322">
        <f t="shared" ref="Y96:Z96" si="38">Y59-Y62-Y73</f>
        <v>0</v>
      </c>
      <c r="Z96" s="2322">
        <f t="shared" si="38"/>
        <v>0</v>
      </c>
    </row>
    <row r="97" spans="2:26">
      <c r="B97" s="1602" t="s">
        <v>877</v>
      </c>
      <c r="C97" s="1612"/>
      <c r="D97" s="2325">
        <f t="shared" ref="D97:M97" si="39">D62-D64-D65-D66-D70-D72-D71</f>
        <v>0</v>
      </c>
      <c r="E97" s="2325">
        <f t="shared" si="39"/>
        <v>0</v>
      </c>
      <c r="F97" s="2325">
        <f t="shared" si="39"/>
        <v>0</v>
      </c>
      <c r="G97" s="2325">
        <f t="shared" si="39"/>
        <v>0</v>
      </c>
      <c r="H97" s="2325">
        <f t="shared" si="39"/>
        <v>0</v>
      </c>
      <c r="I97" s="2325">
        <f t="shared" si="39"/>
        <v>0</v>
      </c>
      <c r="J97" s="2325">
        <f t="shared" si="39"/>
        <v>0</v>
      </c>
      <c r="K97" s="2325">
        <f t="shared" si="39"/>
        <v>0</v>
      </c>
      <c r="L97" s="2325">
        <f t="shared" si="39"/>
        <v>0</v>
      </c>
      <c r="M97" s="2325">
        <f t="shared" si="39"/>
        <v>-1000000</v>
      </c>
      <c r="N97" s="2325">
        <f>N62-N64-N65-N66-N70-N72-N71</f>
        <v>0</v>
      </c>
      <c r="O97" s="2325">
        <f>O62-O64-O65-O66-O70-O72-O71</f>
        <v>0</v>
      </c>
      <c r="P97" s="2325">
        <f>P62-P64-P65-P66-P70-P72-P71</f>
        <v>-1000000</v>
      </c>
      <c r="Q97" s="2325">
        <f>Q62-Q64-Q65-Q66-Q70-Q72-Q71</f>
        <v>0</v>
      </c>
      <c r="R97" s="1636">
        <f>R62-R64-R65-R66-R70-R72-R71-R83</f>
        <v>0</v>
      </c>
      <c r="S97" s="1636">
        <f t="shared" ref="S97:Z97" si="40">S62-S64-S65-S66-S70-S72-S71-S83</f>
        <v>0</v>
      </c>
      <c r="T97" s="1636">
        <f t="shared" si="40"/>
        <v>0</v>
      </c>
      <c r="U97" s="1636">
        <f t="shared" si="40"/>
        <v>61000000</v>
      </c>
      <c r="V97" s="1636">
        <f t="shared" si="40"/>
        <v>0</v>
      </c>
      <c r="W97" s="1636">
        <f t="shared" si="40"/>
        <v>0</v>
      </c>
      <c r="X97" s="1636">
        <f t="shared" si="40"/>
        <v>0</v>
      </c>
      <c r="Y97" s="1636">
        <f t="shared" si="40"/>
        <v>0</v>
      </c>
      <c r="Z97" s="1636">
        <f t="shared" si="40"/>
        <v>0</v>
      </c>
    </row>
    <row r="98" spans="2:26">
      <c r="B98" s="1602" t="s">
        <v>6889</v>
      </c>
      <c r="C98" s="1612"/>
      <c r="D98" s="2323">
        <f t="shared" ref="D98:T98" si="41">D73-D75-D80-D81</f>
        <v>531000000</v>
      </c>
      <c r="E98" s="2323">
        <f t="shared" si="41"/>
        <v>467000000</v>
      </c>
      <c r="F98" s="2323">
        <f t="shared" si="41"/>
        <v>693000000</v>
      </c>
      <c r="G98" s="2323">
        <f t="shared" si="41"/>
        <v>308000000</v>
      </c>
      <c r="H98" s="2323">
        <f t="shared" si="41"/>
        <v>230000000</v>
      </c>
      <c r="I98" s="2323">
        <f t="shared" si="41"/>
        <v>241000000</v>
      </c>
      <c r="J98" s="2323">
        <f t="shared" si="41"/>
        <v>-6225000000</v>
      </c>
      <c r="K98" s="2323">
        <f t="shared" si="41"/>
        <v>145000000</v>
      </c>
      <c r="L98" s="2323">
        <f t="shared" si="41"/>
        <v>257000000</v>
      </c>
      <c r="M98" s="2323">
        <f t="shared" si="41"/>
        <v>-33000000</v>
      </c>
      <c r="N98" s="2322">
        <f t="shared" si="41"/>
        <v>0</v>
      </c>
      <c r="O98" s="2322">
        <f t="shared" si="41"/>
        <v>0</v>
      </c>
      <c r="P98" s="2322">
        <f t="shared" si="41"/>
        <v>0</v>
      </c>
      <c r="Q98" s="2322">
        <f t="shared" si="41"/>
        <v>0</v>
      </c>
      <c r="R98" s="2322">
        <f t="shared" si="41"/>
        <v>0</v>
      </c>
      <c r="S98" s="2322">
        <f t="shared" si="41"/>
        <v>0</v>
      </c>
      <c r="T98" s="2322">
        <f t="shared" si="41"/>
        <v>0</v>
      </c>
      <c r="U98" s="2322">
        <f>U73-U75-U80-U81</f>
        <v>0</v>
      </c>
      <c r="V98" s="2322">
        <f>V73-V75-V80-V81</f>
        <v>0</v>
      </c>
      <c r="W98" s="2322">
        <f>W73-W75-W80-W81</f>
        <v>0</v>
      </c>
      <c r="X98" s="2322">
        <f>X73-X75-X80-X81</f>
        <v>0</v>
      </c>
      <c r="Y98" s="2322">
        <f t="shared" ref="Y98:Z98" si="42">Y73-Y75-Y80-Y81</f>
        <v>0</v>
      </c>
      <c r="Z98" s="2322">
        <f t="shared" si="42"/>
        <v>0</v>
      </c>
    </row>
    <row r="99" spans="2:26" ht="17.25" customHeight="1">
      <c r="B99" s="1602" t="s">
        <v>1285</v>
      </c>
      <c r="C99" s="1612"/>
      <c r="D99" s="2322">
        <f t="shared" ref="D99:L99" si="43">D75-D76-D77-D78-D79</f>
        <v>0</v>
      </c>
      <c r="E99" s="2322">
        <f>E75-E76-E77-E78-E79</f>
        <v>0</v>
      </c>
      <c r="F99" s="2322">
        <f>F75-F76-F77-F78-F79</f>
        <v>0</v>
      </c>
      <c r="G99" s="2322">
        <f>G75-G76-G77-G78-G79</f>
        <v>0</v>
      </c>
      <c r="H99" s="2322">
        <f>H75-H76-H77-H78-H79</f>
        <v>0</v>
      </c>
      <c r="I99" s="2322">
        <f>I75-I76-I77-I78-I79</f>
        <v>0</v>
      </c>
      <c r="J99" s="2322">
        <f t="shared" si="43"/>
        <v>0</v>
      </c>
      <c r="K99" s="2322">
        <f t="shared" si="43"/>
        <v>0</v>
      </c>
      <c r="L99" s="2322">
        <f t="shared" si="43"/>
        <v>0</v>
      </c>
      <c r="M99" s="2322">
        <f>M75-M76-M77-M78-M79</f>
        <v>0</v>
      </c>
      <c r="N99" s="2322">
        <f t="shared" ref="N99:U99" si="44">N75-N76-N77-N78-N79</f>
        <v>0</v>
      </c>
      <c r="O99" s="2322">
        <f>O75-O76-O77-O78-O79</f>
        <v>-1000000</v>
      </c>
      <c r="P99" s="2322">
        <f t="shared" si="44"/>
        <v>0</v>
      </c>
      <c r="Q99" s="2322">
        <f t="shared" si="44"/>
        <v>0</v>
      </c>
      <c r="R99" s="2322">
        <f t="shared" si="44"/>
        <v>0</v>
      </c>
      <c r="S99" s="2322">
        <f t="shared" si="44"/>
        <v>0</v>
      </c>
      <c r="T99" s="2322">
        <f t="shared" si="44"/>
        <v>0</v>
      </c>
      <c r="U99" s="2322">
        <f t="shared" si="44"/>
        <v>0</v>
      </c>
      <c r="V99" s="2322">
        <f>V75-V76-V77-V78-V79</f>
        <v>0</v>
      </c>
      <c r="W99" s="2322">
        <f>W75-W76-W77-W78-W79</f>
        <v>0</v>
      </c>
      <c r="X99" s="2322">
        <f>X75-X76-X77-X78-X79</f>
        <v>0</v>
      </c>
      <c r="Y99" s="2322">
        <f t="shared" ref="Y99:Z99" si="45">Y75-Y76-Y77-Y78-Y79</f>
        <v>0</v>
      </c>
      <c r="Z99" s="2322">
        <f t="shared" si="45"/>
        <v>0</v>
      </c>
    </row>
    <row r="100" spans="2:26">
      <c r="C100" s="1612"/>
      <c r="W100" s="1605"/>
      <c r="X100" s="1605"/>
      <c r="Y100" s="1633"/>
      <c r="Z100" s="1636"/>
    </row>
    <row r="101" spans="2:26">
      <c r="C101" s="1624"/>
      <c r="W101" s="1605"/>
      <c r="X101" s="1605"/>
      <c r="Y101" s="1633"/>
      <c r="Z101" s="1636"/>
    </row>
    <row r="102" spans="2:26">
      <c r="B102" s="1602" t="s">
        <v>623</v>
      </c>
      <c r="C102" s="1612"/>
      <c r="D102" s="1602">
        <v>11201000000</v>
      </c>
      <c r="E102" s="1602">
        <v>14785000000</v>
      </c>
      <c r="F102" s="1602">
        <v>18447000000</v>
      </c>
      <c r="G102" s="1602">
        <v>23202000000</v>
      </c>
      <c r="H102" s="1602">
        <v>29730000000</v>
      </c>
      <c r="I102" s="1602">
        <v>37189000000</v>
      </c>
      <c r="J102" s="1602">
        <v>45964000000</v>
      </c>
      <c r="K102" s="1602">
        <v>56263000000</v>
      </c>
      <c r="L102" s="1602">
        <v>67089000000</v>
      </c>
      <c r="M102" s="1602">
        <v>77348000000</v>
      </c>
      <c r="N102" s="1602">
        <v>97216000000</v>
      </c>
      <c r="O102" s="1602">
        <v>115353000000</v>
      </c>
      <c r="P102" s="1602">
        <v>128370000000</v>
      </c>
      <c r="Q102" s="1602">
        <v>144775000000</v>
      </c>
      <c r="R102" s="1636">
        <v>166474000000</v>
      </c>
      <c r="S102" s="1636">
        <v>191397000000</v>
      </c>
      <c r="T102" s="1636">
        <v>218598000000</v>
      </c>
      <c r="U102" s="1636">
        <v>245665000000</v>
      </c>
      <c r="V102" s="1636">
        <v>273700000000</v>
      </c>
      <c r="W102" s="1633"/>
      <c r="X102" s="1633"/>
      <c r="Y102" s="1633"/>
      <c r="Z102" s="1636"/>
    </row>
    <row r="103" spans="2:26">
      <c r="B103" s="1602" t="s">
        <v>151</v>
      </c>
      <c r="C103" s="1612"/>
      <c r="D103" s="2332">
        <f t="shared" ref="D103:V103" si="46">(D6/D102)*100</f>
        <v>27.693955896794932</v>
      </c>
      <c r="E103" s="2332">
        <f t="shared" si="46"/>
        <v>22.062901589448767</v>
      </c>
      <c r="F103" s="2332">
        <f t="shared" si="46"/>
        <v>23.087764948230063</v>
      </c>
      <c r="G103" s="2332">
        <f t="shared" si="46"/>
        <v>21.993793638479442</v>
      </c>
      <c r="H103" s="2332">
        <f t="shared" si="46"/>
        <v>20.763538513286242</v>
      </c>
      <c r="I103" s="2332">
        <f t="shared" si="46"/>
        <v>20.07851784129716</v>
      </c>
      <c r="J103" s="2332">
        <f t="shared" si="46"/>
        <v>36.604734139761554</v>
      </c>
      <c r="K103" s="2332">
        <f t="shared" si="46"/>
        <v>18.886301832465385</v>
      </c>
      <c r="L103" s="2332">
        <f t="shared" si="46"/>
        <v>18.318949455201299</v>
      </c>
      <c r="M103" s="2332">
        <f t="shared" si="46"/>
        <v>15.749599213942183</v>
      </c>
      <c r="N103" s="2332">
        <f t="shared" si="46"/>
        <v>15.633229098090851</v>
      </c>
      <c r="O103" s="2332">
        <f t="shared" si="46"/>
        <v>17.540072646571829</v>
      </c>
      <c r="P103" s="2332">
        <f t="shared" si="46"/>
        <v>19.117395029991428</v>
      </c>
      <c r="Q103" s="2097">
        <f t="shared" si="46"/>
        <v>18.427214643412189</v>
      </c>
      <c r="R103" s="2332">
        <f t="shared" si="46"/>
        <v>18.960318127755684</v>
      </c>
      <c r="S103" s="2332">
        <f t="shared" si="46"/>
        <v>17.984085434985918</v>
      </c>
      <c r="T103" s="2332">
        <f t="shared" si="46"/>
        <v>18.028527250935507</v>
      </c>
      <c r="U103" s="2332">
        <f t="shared" si="46"/>
        <v>17.120061872875663</v>
      </c>
      <c r="V103" s="2332">
        <f t="shared" si="46"/>
        <v>18.173182316404823</v>
      </c>
      <c r="W103" s="1633"/>
      <c r="X103" s="1633"/>
      <c r="Y103" s="1633"/>
      <c r="Z103" s="1636"/>
    </row>
    <row r="104" spans="2:26">
      <c r="B104" s="1602" t="s">
        <v>152</v>
      </c>
      <c r="C104" s="1612"/>
      <c r="D104" s="2332">
        <f t="shared" ref="D104:V104" si="47">(D28/D102)*100</f>
        <v>27.140433889831268</v>
      </c>
      <c r="E104" s="2332">
        <f t="shared" si="47"/>
        <v>28.488332769699021</v>
      </c>
      <c r="F104" s="2332">
        <f t="shared" si="47"/>
        <v>27.570878733669428</v>
      </c>
      <c r="G104" s="2332">
        <f t="shared" si="47"/>
        <v>27.312300663735883</v>
      </c>
      <c r="H104" s="2332">
        <f t="shared" si="47"/>
        <v>23.269424823410699</v>
      </c>
      <c r="I104" s="2332">
        <f t="shared" si="47"/>
        <v>22.450186883218155</v>
      </c>
      <c r="J104" s="2332">
        <f t="shared" si="47"/>
        <v>19.69149769384736</v>
      </c>
      <c r="K104" s="2332">
        <f t="shared" si="47"/>
        <v>19.922506798428806</v>
      </c>
      <c r="L104" s="2332">
        <f t="shared" si="47"/>
        <v>19.523319769261725</v>
      </c>
      <c r="M104" s="2332">
        <f t="shared" si="47"/>
        <v>17.903501060143768</v>
      </c>
      <c r="N104" s="2332">
        <f t="shared" si="47"/>
        <v>18.088586240947993</v>
      </c>
      <c r="O104" s="2332">
        <f t="shared" si="47"/>
        <v>19.302488881953657</v>
      </c>
      <c r="P104" s="2332">
        <f t="shared" si="47"/>
        <v>22.345563605203708</v>
      </c>
      <c r="Q104" s="2097">
        <f t="shared" si="47"/>
        <v>25.112761181143149</v>
      </c>
      <c r="R104" s="2332">
        <f t="shared" si="47"/>
        <v>24.412220526929129</v>
      </c>
      <c r="S104" s="2332">
        <f t="shared" si="47"/>
        <v>26.489965882432848</v>
      </c>
      <c r="T104" s="2332">
        <f t="shared" si="47"/>
        <v>23.656666575174519</v>
      </c>
      <c r="U104" s="2332">
        <f t="shared" si="47"/>
        <v>24.34249893147172</v>
      </c>
      <c r="V104" s="2332">
        <f t="shared" si="47"/>
        <v>23.997442455242968</v>
      </c>
      <c r="W104" s="1633"/>
      <c r="X104" s="1633"/>
      <c r="Y104" s="1633"/>
      <c r="Z104" s="1636"/>
    </row>
    <row r="105" spans="2:26">
      <c r="Y105" s="1636"/>
      <c r="Z105" s="1636"/>
    </row>
    <row r="106" spans="2:26" ht="13.5" customHeight="1">
      <c r="B106" s="1602" t="s">
        <v>153</v>
      </c>
      <c r="D106" s="1602" t="b">
        <f>IF(D52&lt;0, (D52/D27)*100)</f>
        <v>0</v>
      </c>
      <c r="E106" s="1602" t="b">
        <f t="shared" ref="E106:X106" si="48">IF(E52&lt;0, (E52/E27)*100)</f>
        <v>0</v>
      </c>
      <c r="F106" s="1602" t="b">
        <f t="shared" si="48"/>
        <v>0</v>
      </c>
      <c r="G106" s="1602" t="b">
        <f t="shared" si="48"/>
        <v>0</v>
      </c>
      <c r="H106" s="1602" t="b">
        <f t="shared" si="48"/>
        <v>0</v>
      </c>
      <c r="I106" s="1602" t="b">
        <f t="shared" si="48"/>
        <v>0</v>
      </c>
      <c r="J106" s="1602" t="b">
        <f t="shared" si="48"/>
        <v>0</v>
      </c>
      <c r="K106" s="1602" t="b">
        <f t="shared" si="48"/>
        <v>0</v>
      </c>
      <c r="L106" s="1602" t="b">
        <f t="shared" si="48"/>
        <v>0</v>
      </c>
      <c r="M106" s="1602" t="b">
        <f t="shared" si="48"/>
        <v>0</v>
      </c>
      <c r="N106" s="1602" t="b">
        <f t="shared" si="48"/>
        <v>0</v>
      </c>
      <c r="O106" s="1602" t="b">
        <f t="shared" si="48"/>
        <v>0</v>
      </c>
      <c r="P106" s="1602" t="b">
        <f t="shared" si="48"/>
        <v>0</v>
      </c>
      <c r="Q106" s="1602" t="b">
        <f t="shared" si="48"/>
        <v>0</v>
      </c>
      <c r="R106" s="1602" t="b">
        <f t="shared" si="48"/>
        <v>0</v>
      </c>
      <c r="S106" s="1602" t="b">
        <f t="shared" si="48"/>
        <v>0</v>
      </c>
      <c r="T106" s="1602" t="b">
        <f t="shared" si="48"/>
        <v>0</v>
      </c>
      <c r="U106" s="1602" t="b">
        <f t="shared" si="48"/>
        <v>0</v>
      </c>
      <c r="V106" s="1602" t="b">
        <f t="shared" si="48"/>
        <v>0</v>
      </c>
      <c r="W106" s="1602" t="b">
        <f t="shared" si="48"/>
        <v>0</v>
      </c>
      <c r="X106" s="1602" t="b">
        <f t="shared" si="48"/>
        <v>0</v>
      </c>
      <c r="Y106" s="1636"/>
      <c r="Z106" s="1636"/>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X93"/>
  <sheetViews>
    <sheetView zoomScale="60" zoomScaleNormal="60" workbookViewId="0">
      <pane xSplit="3" ySplit="5" topLeftCell="M6" activePane="bottomRight" state="frozen"/>
      <selection pane="topRight" activeCell="D1" sqref="D1"/>
      <selection pane="bottomLeft" activeCell="A6" sqref="A6"/>
      <selection pane="bottomRight" activeCell="T52" sqref="T52"/>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3" width="19.7109375" customWidth="1"/>
    <col min="24" max="24" width="12.28515625" bestFit="1" customWidth="1"/>
  </cols>
  <sheetData>
    <row r="1" spans="1:23">
      <c r="A1" s="26" t="s">
        <v>6976</v>
      </c>
      <c r="B1" s="82" t="s">
        <v>6977</v>
      </c>
      <c r="C1" s="82"/>
      <c r="D1" s="27"/>
      <c r="E1" s="27"/>
      <c r="F1" s="27"/>
      <c r="G1" s="27"/>
      <c r="H1" s="27"/>
      <c r="I1" s="27"/>
      <c r="J1" s="27"/>
      <c r="K1" s="27"/>
      <c r="L1" s="27"/>
      <c r="M1" s="27"/>
      <c r="N1" s="27"/>
      <c r="O1" s="28"/>
      <c r="P1" s="28"/>
      <c r="Q1" s="28"/>
      <c r="R1" s="29"/>
      <c r="S1" s="28"/>
      <c r="T1" s="28"/>
      <c r="U1" s="28"/>
      <c r="V1" s="28"/>
      <c r="W1" s="28"/>
    </row>
    <row r="2" spans="1:23">
      <c r="B2" s="30" t="s">
        <v>2306</v>
      </c>
      <c r="C2" s="30"/>
      <c r="D2" s="28"/>
      <c r="E2" s="28"/>
      <c r="F2" s="28"/>
      <c r="G2" s="28"/>
      <c r="H2" s="28"/>
      <c r="I2" s="28"/>
      <c r="J2" s="28"/>
      <c r="K2" s="28"/>
      <c r="L2" s="28"/>
      <c r="M2" s="28"/>
      <c r="N2" s="28"/>
      <c r="O2" s="28"/>
      <c r="P2" s="28"/>
      <c r="Q2" s="28"/>
      <c r="R2" s="31"/>
      <c r="S2" s="32"/>
      <c r="T2" s="33"/>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row>
    <row r="5" spans="1:23">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row>
    <row r="6" spans="1:23" s="9" customFormat="1" ht="16.5">
      <c r="A6" s="19" t="s">
        <v>33</v>
      </c>
      <c r="B6" s="18" t="s">
        <v>6978</v>
      </c>
      <c r="C6" s="239" t="s">
        <v>35</v>
      </c>
      <c r="D6" s="36"/>
      <c r="E6" s="36"/>
      <c r="F6" s="36"/>
      <c r="G6" s="36"/>
      <c r="H6" s="36"/>
      <c r="I6" s="263">
        <v>942000000</v>
      </c>
      <c r="J6" s="263">
        <v>520000000</v>
      </c>
      <c r="K6" s="263">
        <v>202000000</v>
      </c>
      <c r="L6" s="302">
        <v>133000000</v>
      </c>
      <c r="M6" s="303">
        <f>M7+M19</f>
        <v>1625000000</v>
      </c>
      <c r="N6" s="303">
        <f>N7+N19</f>
        <v>2786000000</v>
      </c>
      <c r="O6" s="412">
        <v>2921000000</v>
      </c>
      <c r="P6" s="412">
        <v>3496000000</v>
      </c>
      <c r="Q6" s="460">
        <f>Q7+Q19</f>
        <v>3739000000</v>
      </c>
      <c r="R6" s="460">
        <v>3770000000</v>
      </c>
      <c r="S6" s="460">
        <v>3737000000</v>
      </c>
      <c r="T6" s="460">
        <f>T7+T19</f>
        <v>3502000000</v>
      </c>
      <c r="U6" s="460">
        <f t="shared" ref="U6:W6" si="0">U7+U19</f>
        <v>3713000000</v>
      </c>
      <c r="V6" s="460">
        <f t="shared" si="0"/>
        <v>3981000000</v>
      </c>
      <c r="W6" s="460">
        <f t="shared" si="0"/>
        <v>4303000000</v>
      </c>
    </row>
    <row r="7" spans="1:23">
      <c r="A7" s="43" t="s">
        <v>370</v>
      </c>
      <c r="B7" s="128" t="s">
        <v>1500</v>
      </c>
      <c r="C7" s="11" t="s">
        <v>38</v>
      </c>
      <c r="D7" s="28"/>
      <c r="E7" s="28"/>
      <c r="F7" s="28"/>
      <c r="G7" s="28"/>
      <c r="H7" s="28"/>
      <c r="I7" s="178">
        <f>I8+I16</f>
        <v>942000000</v>
      </c>
      <c r="J7" s="178">
        <f t="shared" ref="J7:S7" si="1">J8+J16</f>
        <v>521000000</v>
      </c>
      <c r="K7" s="178">
        <f t="shared" si="1"/>
        <v>202000000</v>
      </c>
      <c r="L7" s="178">
        <f t="shared" si="1"/>
        <v>133000000</v>
      </c>
      <c r="M7" s="178">
        <f>M8+M16</f>
        <v>934000000</v>
      </c>
      <c r="N7" s="178">
        <f t="shared" si="1"/>
        <v>2198000000</v>
      </c>
      <c r="O7" s="413">
        <f t="shared" si="1"/>
        <v>2921000000</v>
      </c>
      <c r="P7" s="413">
        <f t="shared" si="1"/>
        <v>3496000000</v>
      </c>
      <c r="Q7" s="164">
        <f t="shared" si="1"/>
        <v>3739000000</v>
      </c>
      <c r="R7" s="164">
        <f t="shared" si="1"/>
        <v>3770000000</v>
      </c>
      <c r="S7" s="164">
        <f t="shared" si="1"/>
        <v>3737000000</v>
      </c>
      <c r="T7" s="164">
        <f>T8+T16</f>
        <v>3502000000</v>
      </c>
      <c r="U7" s="164">
        <f t="shared" ref="U7:W7" si="2">U8+U16</f>
        <v>3713000000</v>
      </c>
      <c r="V7" s="164">
        <f t="shared" si="2"/>
        <v>3981000000</v>
      </c>
      <c r="W7" s="164">
        <f t="shared" si="2"/>
        <v>4303000000</v>
      </c>
    </row>
    <row r="8" spans="1:23" ht="16.5">
      <c r="A8" t="s">
        <v>39</v>
      </c>
      <c r="B8" s="99" t="s">
        <v>315</v>
      </c>
      <c r="C8" s="58" t="s">
        <v>41</v>
      </c>
      <c r="D8" s="28"/>
      <c r="E8" s="28"/>
      <c r="F8" s="28"/>
      <c r="G8" s="28"/>
      <c r="H8" s="28"/>
      <c r="I8" s="178">
        <v>909000000</v>
      </c>
      <c r="J8" s="178">
        <v>504000000</v>
      </c>
      <c r="K8" s="178">
        <v>193000000</v>
      </c>
      <c r="L8" s="305">
        <v>128000000</v>
      </c>
      <c r="M8" s="142">
        <v>883000000</v>
      </c>
      <c r="N8" s="142">
        <v>2074000000</v>
      </c>
      <c r="O8" s="217">
        <v>2660000000</v>
      </c>
      <c r="P8" s="217">
        <v>3279000000</v>
      </c>
      <c r="Q8" s="142">
        <f>Q9+Q10+Q11+Q12+Q13+Q14+Q15</f>
        <v>3412000000</v>
      </c>
      <c r="R8" s="142">
        <v>3519000000</v>
      </c>
      <c r="S8" s="142">
        <v>3548000000</v>
      </c>
      <c r="T8" s="142">
        <f>T9+T10+T11+T12+T13+T14+T15</f>
        <v>3237000000</v>
      </c>
      <c r="U8" s="142">
        <f t="shared" ref="U8:W8" si="3">U9+U10+U11+U12+U13+U14+U15</f>
        <v>3438000000</v>
      </c>
      <c r="V8" s="142">
        <f t="shared" si="3"/>
        <v>3677000000</v>
      </c>
      <c r="W8" s="142">
        <f t="shared" si="3"/>
        <v>3961000000</v>
      </c>
    </row>
    <row r="9" spans="1:23" ht="16.5">
      <c r="A9" s="100" t="s">
        <v>170</v>
      </c>
      <c r="B9" s="100" t="s">
        <v>5408</v>
      </c>
      <c r="C9" s="27" t="s">
        <v>552</v>
      </c>
      <c r="D9" s="28"/>
      <c r="E9" s="28"/>
      <c r="F9" s="28"/>
      <c r="G9" s="28"/>
      <c r="H9" s="28"/>
      <c r="I9" s="178">
        <v>276000000</v>
      </c>
      <c r="J9" s="178">
        <v>122000000</v>
      </c>
      <c r="K9" s="178">
        <v>56000000</v>
      </c>
      <c r="L9" s="305">
        <v>22000000</v>
      </c>
      <c r="M9" s="142">
        <v>156000000</v>
      </c>
      <c r="N9" s="142">
        <v>428000000</v>
      </c>
      <c r="O9" s="217">
        <v>588000000</v>
      </c>
      <c r="P9" s="217">
        <v>661000000</v>
      </c>
      <c r="Q9" s="142">
        <v>744000000</v>
      </c>
      <c r="R9" s="142">
        <v>900000000</v>
      </c>
      <c r="S9" s="142">
        <v>770000000</v>
      </c>
      <c r="T9" s="125">
        <v>736000000</v>
      </c>
      <c r="U9" s="142">
        <v>761000000</v>
      </c>
      <c r="V9" s="125">
        <v>824000000</v>
      </c>
      <c r="W9" s="125">
        <v>890000000</v>
      </c>
    </row>
    <row r="10" spans="1:23" ht="16.5">
      <c r="A10" s="100" t="s">
        <v>1504</v>
      </c>
      <c r="B10" s="100" t="s">
        <v>6594</v>
      </c>
      <c r="C10" s="27" t="s">
        <v>552</v>
      </c>
      <c r="D10" s="28"/>
      <c r="E10" s="28"/>
      <c r="F10" s="28"/>
      <c r="G10" s="28"/>
      <c r="H10" s="28"/>
      <c r="I10" s="178">
        <v>169000000</v>
      </c>
      <c r="J10" s="178">
        <v>88000000</v>
      </c>
      <c r="K10" s="178">
        <v>33000000</v>
      </c>
      <c r="L10" s="305">
        <v>18000000</v>
      </c>
      <c r="M10" s="142">
        <v>44000000</v>
      </c>
      <c r="N10" s="142">
        <v>256000000</v>
      </c>
      <c r="O10" s="217">
        <v>296000000</v>
      </c>
      <c r="P10" s="217">
        <v>445000000</v>
      </c>
      <c r="Q10" s="142">
        <v>404000000</v>
      </c>
      <c r="R10" s="142">
        <v>365000000</v>
      </c>
      <c r="S10" s="142">
        <v>422000000</v>
      </c>
      <c r="T10" s="125">
        <v>338000000</v>
      </c>
      <c r="U10" s="125">
        <v>350000000</v>
      </c>
      <c r="V10" s="125">
        <v>383000000</v>
      </c>
      <c r="W10" s="125">
        <v>409000000</v>
      </c>
    </row>
    <row r="11" spans="1:23" ht="16.5">
      <c r="A11" s="100" t="s">
        <v>6979</v>
      </c>
      <c r="B11" s="100" t="s">
        <v>6980</v>
      </c>
      <c r="C11" s="27" t="s">
        <v>552</v>
      </c>
      <c r="D11" s="28"/>
      <c r="E11" s="28"/>
      <c r="F11" s="28"/>
      <c r="G11" s="28"/>
      <c r="H11" s="28"/>
      <c r="I11" s="178">
        <v>53000000</v>
      </c>
      <c r="J11" s="178">
        <v>50000000</v>
      </c>
      <c r="K11" s="178">
        <v>17000000</v>
      </c>
      <c r="L11" s="305">
        <v>3000000</v>
      </c>
      <c r="M11" s="142">
        <v>21000000</v>
      </c>
      <c r="N11" s="142">
        <v>168000000</v>
      </c>
      <c r="O11" s="217">
        <v>188000000</v>
      </c>
      <c r="P11" s="217">
        <v>287000000</v>
      </c>
      <c r="Q11" s="142">
        <v>227000000</v>
      </c>
      <c r="R11" s="142">
        <v>284000000</v>
      </c>
      <c r="S11" s="142">
        <v>204000000</v>
      </c>
      <c r="T11" s="125">
        <v>187000000</v>
      </c>
      <c r="U11" s="125">
        <v>192000000</v>
      </c>
      <c r="V11" s="125">
        <v>211000000</v>
      </c>
      <c r="W11" s="142">
        <v>227000000</v>
      </c>
    </row>
    <row r="12" spans="1:23" ht="16.5">
      <c r="A12" s="138" t="s">
        <v>3649</v>
      </c>
      <c r="B12" s="138" t="s">
        <v>3649</v>
      </c>
      <c r="C12" s="27" t="s">
        <v>552</v>
      </c>
      <c r="D12" s="28"/>
      <c r="E12" s="28"/>
      <c r="F12" s="28"/>
      <c r="G12" s="28"/>
      <c r="H12" s="28"/>
      <c r="I12" s="178">
        <v>89000000</v>
      </c>
      <c r="J12" s="178">
        <v>68000000</v>
      </c>
      <c r="K12" s="178">
        <v>12000000</v>
      </c>
      <c r="L12" s="305">
        <v>45000000</v>
      </c>
      <c r="M12" s="142">
        <v>212000000</v>
      </c>
      <c r="N12" s="142">
        <v>340000000</v>
      </c>
      <c r="O12" s="217">
        <v>333000000</v>
      </c>
      <c r="P12" s="217">
        <v>354000000</v>
      </c>
      <c r="Q12" s="142">
        <v>361000000</v>
      </c>
      <c r="R12" s="142">
        <v>351000000</v>
      </c>
      <c r="S12" s="142">
        <v>345000000</v>
      </c>
      <c r="T12" s="125">
        <v>273000000</v>
      </c>
      <c r="U12" s="125">
        <v>280000000</v>
      </c>
      <c r="V12" s="125">
        <v>264000000</v>
      </c>
      <c r="W12" s="125">
        <v>266000000</v>
      </c>
    </row>
    <row r="13" spans="1:23" ht="16.5">
      <c r="A13" s="138" t="s">
        <v>3170</v>
      </c>
      <c r="B13" s="138" t="s">
        <v>3170</v>
      </c>
      <c r="C13" s="27" t="s">
        <v>552</v>
      </c>
      <c r="D13" s="28"/>
      <c r="E13" s="28"/>
      <c r="F13" s="28"/>
      <c r="G13" s="28"/>
      <c r="H13" s="28"/>
      <c r="I13" s="178">
        <v>31000000</v>
      </c>
      <c r="J13" s="178">
        <v>17000000</v>
      </c>
      <c r="K13" s="178">
        <v>8000000</v>
      </c>
      <c r="L13" s="305">
        <v>6000000</v>
      </c>
      <c r="M13" s="142">
        <v>68000000</v>
      </c>
      <c r="N13" s="142">
        <v>165000000</v>
      </c>
      <c r="O13" s="217">
        <v>307000000</v>
      </c>
      <c r="P13" s="217">
        <v>394000000</v>
      </c>
      <c r="Q13" s="142">
        <v>510000000</v>
      </c>
      <c r="R13" s="142">
        <v>517000000</v>
      </c>
      <c r="S13" s="142">
        <v>714000000</v>
      </c>
      <c r="T13" s="125">
        <v>642000000</v>
      </c>
      <c r="U13" s="125">
        <v>665000000</v>
      </c>
      <c r="V13" s="125">
        <v>665000000</v>
      </c>
      <c r="W13" s="125">
        <v>758000000</v>
      </c>
    </row>
    <row r="14" spans="1:23" ht="16.5">
      <c r="A14" s="138" t="s">
        <v>4253</v>
      </c>
      <c r="B14" s="138" t="s">
        <v>162</v>
      </c>
      <c r="C14" s="27" t="s">
        <v>552</v>
      </c>
      <c r="D14" s="28"/>
      <c r="E14" s="28"/>
      <c r="F14" s="28"/>
      <c r="G14" s="28"/>
      <c r="H14" s="28"/>
      <c r="I14" s="178">
        <v>270000000</v>
      </c>
      <c r="J14" s="178">
        <v>147000000</v>
      </c>
      <c r="K14" s="178">
        <v>62000000</v>
      </c>
      <c r="L14" s="305">
        <v>32000000</v>
      </c>
      <c r="M14" s="142">
        <v>367000000</v>
      </c>
      <c r="N14" s="142">
        <v>689000000</v>
      </c>
      <c r="O14" s="217">
        <v>912000000</v>
      </c>
      <c r="P14" s="217">
        <v>1086000000</v>
      </c>
      <c r="Q14" s="142">
        <v>1068000000</v>
      </c>
      <c r="R14" s="142">
        <v>972000000</v>
      </c>
      <c r="S14" s="142">
        <v>985000000</v>
      </c>
      <c r="T14" s="125">
        <v>963000000</v>
      </c>
      <c r="U14" s="125">
        <v>1088000000</v>
      </c>
      <c r="V14" s="125">
        <v>1218000000</v>
      </c>
      <c r="W14" s="142">
        <v>1292000000</v>
      </c>
    </row>
    <row r="15" spans="1:23" ht="16.5">
      <c r="A15" s="100" t="s">
        <v>1052</v>
      </c>
      <c r="B15" s="100" t="s">
        <v>6981</v>
      </c>
      <c r="C15" s="27" t="s">
        <v>552</v>
      </c>
      <c r="D15" s="28"/>
      <c r="E15" s="28"/>
      <c r="F15" s="28"/>
      <c r="G15" s="28"/>
      <c r="H15" s="28"/>
      <c r="I15" s="178">
        <v>20000000</v>
      </c>
      <c r="J15" s="178">
        <v>12000000</v>
      </c>
      <c r="K15" s="178">
        <v>5000000</v>
      </c>
      <c r="L15" s="305">
        <v>2000000</v>
      </c>
      <c r="M15" s="142">
        <v>14000000</v>
      </c>
      <c r="N15" s="142">
        <v>28000000</v>
      </c>
      <c r="O15" s="217">
        <v>36000000</v>
      </c>
      <c r="P15" s="217">
        <v>52000000</v>
      </c>
      <c r="Q15" s="142">
        <v>98000000</v>
      </c>
      <c r="R15" s="142">
        <v>129000000</v>
      </c>
      <c r="S15" s="142">
        <v>108000000</v>
      </c>
      <c r="T15" s="125">
        <v>98000000</v>
      </c>
      <c r="U15" s="125">
        <v>102000000</v>
      </c>
      <c r="V15" s="142">
        <v>112000000</v>
      </c>
      <c r="W15" s="125">
        <v>119000000</v>
      </c>
    </row>
    <row r="16" spans="1:23" ht="16.5">
      <c r="A16" s="99" t="s">
        <v>51</v>
      </c>
      <c r="B16" s="99" t="s">
        <v>1911</v>
      </c>
      <c r="C16" s="58" t="s">
        <v>41</v>
      </c>
      <c r="D16" s="28"/>
      <c r="E16" s="28"/>
      <c r="F16" s="28"/>
      <c r="G16" s="28"/>
      <c r="H16" s="28"/>
      <c r="I16" s="178">
        <v>33000000</v>
      </c>
      <c r="J16" s="178">
        <v>17000000</v>
      </c>
      <c r="K16" s="178">
        <v>9000000</v>
      </c>
      <c r="L16" s="305">
        <v>5000000</v>
      </c>
      <c r="M16" s="142">
        <v>51000000</v>
      </c>
      <c r="N16" s="142">
        <v>124000000</v>
      </c>
      <c r="O16" s="217">
        <v>261000000</v>
      </c>
      <c r="P16" s="217">
        <v>217000000</v>
      </c>
      <c r="Q16" s="142">
        <v>327000000</v>
      </c>
      <c r="R16" s="142">
        <v>251000000</v>
      </c>
      <c r="S16" s="142">
        <v>189000000</v>
      </c>
      <c r="T16" s="125">
        <v>265000000</v>
      </c>
      <c r="U16" s="142">
        <v>275000000</v>
      </c>
      <c r="V16" s="125">
        <v>304000000</v>
      </c>
      <c r="W16" s="142">
        <v>342000000</v>
      </c>
    </row>
    <row r="17" spans="1:24" ht="16.5">
      <c r="A17" t="s">
        <v>76</v>
      </c>
      <c r="B17" s="100" t="s">
        <v>6982</v>
      </c>
      <c r="C17" s="34"/>
      <c r="D17" s="28"/>
      <c r="E17" s="28"/>
      <c r="F17" s="28"/>
      <c r="G17" s="28"/>
      <c r="H17" s="28"/>
      <c r="I17" s="298"/>
      <c r="J17" s="298"/>
      <c r="K17" s="298"/>
      <c r="L17" s="298"/>
      <c r="M17" s="142">
        <v>0</v>
      </c>
      <c r="N17" s="142">
        <v>0</v>
      </c>
      <c r="O17" s="74"/>
      <c r="P17" s="74"/>
      <c r="Q17" s="125"/>
      <c r="R17" s="125"/>
      <c r="S17" s="125"/>
      <c r="T17" s="125"/>
      <c r="U17" s="125"/>
      <c r="V17" s="125"/>
      <c r="W17" s="125"/>
    </row>
    <row r="18" spans="1:24" ht="16.5">
      <c r="A18" t="s">
        <v>76</v>
      </c>
      <c r="B18" s="100" t="s">
        <v>6983</v>
      </c>
      <c r="C18" s="34"/>
      <c r="D18" s="28"/>
      <c r="E18" s="28"/>
      <c r="F18" s="28"/>
      <c r="G18" s="28"/>
      <c r="H18" s="28"/>
      <c r="I18" s="298"/>
      <c r="J18" s="298"/>
      <c r="K18" s="298"/>
      <c r="L18" s="298"/>
      <c r="M18" s="142">
        <v>0</v>
      </c>
      <c r="N18" s="142">
        <v>0</v>
      </c>
      <c r="O18" s="74"/>
      <c r="P18" s="74"/>
      <c r="Q18" s="125"/>
      <c r="R18" s="125"/>
      <c r="S18" s="125"/>
      <c r="T18" s="125"/>
      <c r="U18" s="125"/>
      <c r="V18" s="125"/>
      <c r="W18" s="125"/>
    </row>
    <row r="19" spans="1:24" s="9" customFormat="1" ht="16.5">
      <c r="A19" s="55" t="s">
        <v>53</v>
      </c>
      <c r="B19" s="172" t="s">
        <v>6984</v>
      </c>
      <c r="C19" s="137" t="s">
        <v>38</v>
      </c>
      <c r="D19" s="36"/>
      <c r="E19" s="36"/>
      <c r="F19" s="36"/>
      <c r="G19" s="36"/>
      <c r="H19" s="36"/>
      <c r="I19" s="304">
        <f t="shared" ref="I19:X19" si="4">I20+I21</f>
        <v>0</v>
      </c>
      <c r="J19" s="304">
        <f t="shared" si="4"/>
        <v>0</v>
      </c>
      <c r="K19" s="304">
        <f t="shared" si="4"/>
        <v>0</v>
      </c>
      <c r="L19" s="304">
        <f t="shared" si="4"/>
        <v>0</v>
      </c>
      <c r="M19" s="304">
        <f t="shared" si="4"/>
        <v>691000000</v>
      </c>
      <c r="N19" s="304">
        <f t="shared" si="4"/>
        <v>588000000</v>
      </c>
      <c r="O19" s="414">
        <f t="shared" si="4"/>
        <v>0</v>
      </c>
      <c r="P19" s="414">
        <f t="shared" si="4"/>
        <v>0</v>
      </c>
      <c r="Q19" s="414">
        <f t="shared" si="4"/>
        <v>0</v>
      </c>
      <c r="R19" s="414">
        <f t="shared" si="4"/>
        <v>0</v>
      </c>
      <c r="S19" s="414">
        <f t="shared" si="4"/>
        <v>0</v>
      </c>
      <c r="T19" s="174">
        <v>0</v>
      </c>
      <c r="U19" s="174"/>
      <c r="V19" s="174"/>
      <c r="W19" s="174"/>
      <c r="X19" s="414">
        <f t="shared" si="4"/>
        <v>0</v>
      </c>
    </row>
    <row r="20" spans="1:24" ht="16.5">
      <c r="A20" s="90" t="s">
        <v>5278</v>
      </c>
      <c r="B20" s="90" t="s">
        <v>6985</v>
      </c>
      <c r="C20" s="11" t="s">
        <v>57</v>
      </c>
      <c r="I20" s="125"/>
      <c r="J20" s="125"/>
      <c r="K20" s="125"/>
      <c r="L20" s="125">
        <v>0</v>
      </c>
      <c r="M20" s="142">
        <v>41000000</v>
      </c>
      <c r="N20" s="142">
        <v>1000000</v>
      </c>
      <c r="O20" s="74">
        <v>0</v>
      </c>
      <c r="P20" s="74">
        <v>0</v>
      </c>
      <c r="Q20" s="125"/>
      <c r="R20" s="125"/>
      <c r="S20" s="125"/>
      <c r="T20" s="125"/>
      <c r="U20" s="125"/>
      <c r="V20" s="125"/>
      <c r="W20" s="125"/>
    </row>
    <row r="21" spans="1:24" ht="16.5">
      <c r="A21" s="90" t="s">
        <v>6986</v>
      </c>
      <c r="B21" s="90" t="s">
        <v>6987</v>
      </c>
      <c r="C21" s="11" t="s">
        <v>57</v>
      </c>
      <c r="D21" s="28"/>
      <c r="E21" s="28"/>
      <c r="F21" s="28"/>
      <c r="G21" s="28"/>
      <c r="H21" s="28"/>
      <c r="I21" s="298"/>
      <c r="J21" s="298"/>
      <c r="K21" s="298"/>
      <c r="L21" s="125">
        <v>0</v>
      </c>
      <c r="M21" s="142">
        <v>650000000</v>
      </c>
      <c r="N21" s="142">
        <v>587000000</v>
      </c>
      <c r="O21" s="74"/>
      <c r="P21" s="74"/>
      <c r="Q21" s="125"/>
      <c r="R21" s="125"/>
      <c r="S21" s="125"/>
      <c r="T21" s="125"/>
      <c r="U21" s="125"/>
      <c r="V21" s="125"/>
      <c r="W21" s="125"/>
    </row>
    <row r="22" spans="1:24" s="9" customFormat="1" ht="16.5">
      <c r="B22" s="18" t="s">
        <v>6988</v>
      </c>
      <c r="I22" s="263">
        <v>1438000000</v>
      </c>
      <c r="J22" s="263">
        <v>696000000</v>
      </c>
      <c r="K22" s="263">
        <v>384000000</v>
      </c>
      <c r="L22" s="302">
        <v>257000000</v>
      </c>
      <c r="M22" s="304">
        <v>1145000000</v>
      </c>
      <c r="N22" s="304">
        <v>2310000000</v>
      </c>
      <c r="O22" s="304">
        <v>3181000000</v>
      </c>
      <c r="P22" s="304">
        <v>3657000000</v>
      </c>
      <c r="Q22" s="460">
        <v>4065000000</v>
      </c>
      <c r="R22" s="460">
        <v>4024000000</v>
      </c>
      <c r="S22" s="460">
        <v>3901000000</v>
      </c>
      <c r="T22" s="460"/>
      <c r="U22" s="460"/>
      <c r="V22" s="460"/>
      <c r="W22" s="460"/>
    </row>
    <row r="23" spans="1:24" s="9" customFormat="1">
      <c r="A23" s="256" t="s">
        <v>71</v>
      </c>
      <c r="B23" s="18"/>
      <c r="C23" s="9" t="s">
        <v>35</v>
      </c>
      <c r="I23" s="263">
        <f>I25+I42+I44</f>
        <v>1437000000</v>
      </c>
      <c r="J23" s="263">
        <f t="shared" ref="J23:S23" si="5">J25+J42+J44</f>
        <v>695000000</v>
      </c>
      <c r="K23" s="263">
        <f t="shared" si="5"/>
        <v>384000000</v>
      </c>
      <c r="L23" s="263">
        <f t="shared" si="5"/>
        <v>257000000</v>
      </c>
      <c r="M23" s="263">
        <f t="shared" si="5"/>
        <v>1145000000</v>
      </c>
      <c r="N23" s="263">
        <f t="shared" si="5"/>
        <v>2310000000</v>
      </c>
      <c r="O23" s="263">
        <f t="shared" si="5"/>
        <v>3180000000</v>
      </c>
      <c r="P23" s="263">
        <f t="shared" si="5"/>
        <v>3656000000</v>
      </c>
      <c r="Q23" s="263">
        <f t="shared" si="5"/>
        <v>4066000000</v>
      </c>
      <c r="R23" s="263">
        <f t="shared" si="5"/>
        <v>4025000000</v>
      </c>
      <c r="S23" s="263">
        <f t="shared" si="5"/>
        <v>3901000000</v>
      </c>
      <c r="T23" s="263">
        <f>T25+T42</f>
        <v>4970000000</v>
      </c>
      <c r="U23" s="263">
        <f t="shared" ref="U23:W23" si="6">U25+U42</f>
        <v>4784000000</v>
      </c>
      <c r="V23" s="263">
        <f t="shared" si="6"/>
        <v>4793000000</v>
      </c>
      <c r="W23" s="263">
        <f t="shared" si="6"/>
        <v>5146000000</v>
      </c>
    </row>
    <row r="24" spans="1:24" ht="16.5">
      <c r="A24" t="s">
        <v>76</v>
      </c>
      <c r="B24" s="90" t="s">
        <v>6989</v>
      </c>
      <c r="C24" s="34"/>
      <c r="D24" s="28"/>
      <c r="E24" s="28"/>
      <c r="F24" s="28"/>
      <c r="G24" s="28"/>
      <c r="H24" s="28"/>
      <c r="I24" s="298"/>
      <c r="J24" s="298"/>
      <c r="K24" s="298"/>
      <c r="L24" s="306">
        <v>120000000</v>
      </c>
      <c r="M24" s="307">
        <v>919000000</v>
      </c>
      <c r="N24" s="307">
        <v>2228000000</v>
      </c>
      <c r="O24" s="217">
        <v>2974000000</v>
      </c>
      <c r="P24" s="217">
        <v>3568000000</v>
      </c>
      <c r="Q24" s="142">
        <v>4027000000</v>
      </c>
      <c r="R24" s="142">
        <v>3912000000</v>
      </c>
      <c r="S24" s="142">
        <v>3861000000</v>
      </c>
      <c r="T24" s="142"/>
      <c r="U24" s="142"/>
      <c r="V24" s="142"/>
      <c r="W24" s="142"/>
    </row>
    <row r="25" spans="1:24" ht="16.5">
      <c r="A25" s="203" t="s">
        <v>73</v>
      </c>
      <c r="B25" s="90" t="s">
        <v>332</v>
      </c>
      <c r="C25" s="58" t="s">
        <v>201</v>
      </c>
      <c r="I25" s="178">
        <v>1303000000</v>
      </c>
      <c r="J25" s="178">
        <v>572000000</v>
      </c>
      <c r="K25" s="178">
        <v>305000000</v>
      </c>
      <c r="L25" s="305">
        <v>240000000</v>
      </c>
      <c r="M25" s="142">
        <v>1099000000</v>
      </c>
      <c r="N25" s="142">
        <v>1717000000</v>
      </c>
      <c r="O25" s="217">
        <v>2629000000</v>
      </c>
      <c r="P25" s="217">
        <v>3301000000</v>
      </c>
      <c r="Q25" s="142">
        <v>3583000000</v>
      </c>
      <c r="R25" s="142">
        <v>3655000000</v>
      </c>
      <c r="S25" s="142">
        <v>3662000000</v>
      </c>
      <c r="T25" s="142">
        <f>T27+T28+T30+T35+T36</f>
        <v>4004000000</v>
      </c>
      <c r="U25" s="142">
        <f t="shared" ref="U25:W25" si="7">U27+U28+U30+U35+U36</f>
        <v>4013000000</v>
      </c>
      <c r="V25" s="142">
        <f t="shared" si="7"/>
        <v>4076000000</v>
      </c>
      <c r="W25" s="142">
        <f t="shared" si="7"/>
        <v>4404000000</v>
      </c>
    </row>
    <row r="26" spans="1:24" ht="16.5">
      <c r="A26" t="s">
        <v>76</v>
      </c>
      <c r="B26" s="99" t="s">
        <v>6990</v>
      </c>
      <c r="D26" s="28"/>
      <c r="E26" s="28"/>
      <c r="F26" s="28"/>
      <c r="G26" s="28"/>
      <c r="H26" s="28"/>
      <c r="I26" s="298">
        <f>I27+I28</f>
        <v>685000000</v>
      </c>
      <c r="J26" s="298">
        <f>J27+J28</f>
        <v>252000000</v>
      </c>
      <c r="K26" s="298">
        <f>K27+K28</f>
        <v>101000000</v>
      </c>
      <c r="L26" s="305">
        <v>59000000</v>
      </c>
      <c r="M26" s="142">
        <v>508000000</v>
      </c>
      <c r="N26" s="142">
        <v>947000000</v>
      </c>
      <c r="O26" s="217">
        <v>1544000000</v>
      </c>
      <c r="P26" s="217">
        <v>2134000000</v>
      </c>
      <c r="Q26" s="142">
        <v>2344000000</v>
      </c>
      <c r="R26" s="142">
        <v>2583000000</v>
      </c>
      <c r="S26" s="142">
        <v>2575000000</v>
      </c>
      <c r="T26" s="142">
        <f>T27+T28</f>
        <v>2756000000</v>
      </c>
      <c r="U26" s="142">
        <f t="shared" ref="U26:W26" si="8">U27+U28</f>
        <v>2709000000</v>
      </c>
      <c r="V26" s="142">
        <f t="shared" si="8"/>
        <v>2709000000</v>
      </c>
      <c r="W26" s="142">
        <f t="shared" si="8"/>
        <v>2848000000</v>
      </c>
    </row>
    <row r="27" spans="1:24" ht="16.5">
      <c r="A27" t="s">
        <v>79</v>
      </c>
      <c r="B27" s="100" t="s">
        <v>6991</v>
      </c>
      <c r="C27" s="58" t="s">
        <v>204</v>
      </c>
      <c r="I27" s="178">
        <v>565000000</v>
      </c>
      <c r="J27" s="178">
        <v>211000000</v>
      </c>
      <c r="K27" s="178">
        <v>89000000</v>
      </c>
      <c r="L27" s="305">
        <v>52000000</v>
      </c>
      <c r="M27" s="142">
        <v>409000000</v>
      </c>
      <c r="N27" s="142">
        <v>758000000</v>
      </c>
      <c r="O27" s="217">
        <v>1269000000</v>
      </c>
      <c r="P27" s="217">
        <v>1732000000</v>
      </c>
      <c r="Q27" s="142">
        <v>1926000000</v>
      </c>
      <c r="R27" s="142">
        <v>2106000000</v>
      </c>
      <c r="S27" s="142">
        <v>2137000000</v>
      </c>
      <c r="T27" s="142">
        <v>2278000000</v>
      </c>
      <c r="U27" s="125">
        <v>2231000000</v>
      </c>
      <c r="V27" s="125">
        <v>2227000000</v>
      </c>
      <c r="W27" s="125">
        <v>2354000000</v>
      </c>
    </row>
    <row r="28" spans="1:24" ht="16.5">
      <c r="A28" s="138" t="s">
        <v>87</v>
      </c>
      <c r="B28" s="138" t="s">
        <v>87</v>
      </c>
      <c r="C28" s="58" t="s">
        <v>204</v>
      </c>
      <c r="D28" s="28"/>
      <c r="E28" s="28"/>
      <c r="F28" s="28"/>
      <c r="G28" s="28"/>
      <c r="H28" s="28"/>
      <c r="I28" s="178">
        <v>120000000</v>
      </c>
      <c r="J28" s="178">
        <v>41000000</v>
      </c>
      <c r="K28" s="178">
        <v>12000000</v>
      </c>
      <c r="L28" s="305">
        <v>7000000</v>
      </c>
      <c r="M28" s="142">
        <v>98000000</v>
      </c>
      <c r="N28" s="142">
        <v>188000000</v>
      </c>
      <c r="O28" s="217">
        <v>275000000</v>
      </c>
      <c r="P28" s="217">
        <v>402000000</v>
      </c>
      <c r="Q28" s="142">
        <v>418000000</v>
      </c>
      <c r="R28" s="142">
        <v>477000000</v>
      </c>
      <c r="S28" s="142">
        <v>438000000</v>
      </c>
      <c r="T28" s="125">
        <v>478000000</v>
      </c>
      <c r="U28" s="125">
        <v>478000000</v>
      </c>
      <c r="V28" s="125">
        <v>482000000</v>
      </c>
      <c r="W28" s="125">
        <v>494000000</v>
      </c>
    </row>
    <row r="29" spans="1:24" ht="16.5">
      <c r="A29" s="138" t="s">
        <v>6992</v>
      </c>
      <c r="B29" s="138" t="s">
        <v>6992</v>
      </c>
      <c r="C29" s="58" t="s">
        <v>204</v>
      </c>
      <c r="I29" s="125"/>
      <c r="J29" s="125"/>
      <c r="K29" s="125"/>
      <c r="L29" s="305">
        <v>0</v>
      </c>
      <c r="M29" s="142"/>
      <c r="N29" s="142"/>
      <c r="O29" s="74"/>
      <c r="P29" s="74"/>
      <c r="Q29" s="125"/>
      <c r="R29" s="125"/>
      <c r="S29" s="125"/>
      <c r="T29" s="125"/>
      <c r="U29" s="125"/>
      <c r="V29" s="125"/>
      <c r="W29" s="125"/>
    </row>
    <row r="30" spans="1:24" ht="16.5">
      <c r="A30" s="99" t="s">
        <v>90</v>
      </c>
      <c r="B30" s="99" t="s">
        <v>341</v>
      </c>
      <c r="C30" s="58" t="s">
        <v>204</v>
      </c>
      <c r="D30" s="28"/>
      <c r="E30" s="28"/>
      <c r="F30" s="28"/>
      <c r="G30" s="28"/>
      <c r="H30" s="28"/>
      <c r="I30" s="178">
        <v>228000000</v>
      </c>
      <c r="J30" s="178">
        <v>178000000</v>
      </c>
      <c r="K30" s="178">
        <v>125000000</v>
      </c>
      <c r="L30" s="305">
        <v>138000000</v>
      </c>
      <c r="M30" s="142">
        <v>198000000</v>
      </c>
      <c r="N30" s="142">
        <v>113000000</v>
      </c>
      <c r="O30" s="217">
        <v>113000000</v>
      </c>
      <c r="P30" s="217">
        <v>115000000</v>
      </c>
      <c r="Q30" s="142">
        <v>116000000</v>
      </c>
      <c r="R30" s="142">
        <v>136000000</v>
      </c>
      <c r="S30" s="142">
        <v>177000000</v>
      </c>
      <c r="T30" s="142">
        <f>T31+T33</f>
        <v>127000000</v>
      </c>
      <c r="U30" s="142">
        <f t="shared" ref="U30:W30" si="9">U31+U33</f>
        <v>191000000</v>
      </c>
      <c r="V30" s="142">
        <f t="shared" si="9"/>
        <v>225000000</v>
      </c>
      <c r="W30" s="142">
        <f t="shared" si="9"/>
        <v>332000000</v>
      </c>
    </row>
    <row r="31" spans="1:24" ht="16.5">
      <c r="A31" t="s">
        <v>280</v>
      </c>
      <c r="B31" s="138" t="s">
        <v>212</v>
      </c>
      <c r="C31" s="58" t="s">
        <v>211</v>
      </c>
      <c r="I31" s="178">
        <v>110000000</v>
      </c>
      <c r="J31" s="178">
        <v>114000000</v>
      </c>
      <c r="K31" s="178">
        <v>122000000</v>
      </c>
      <c r="L31" s="305">
        <v>137000000</v>
      </c>
      <c r="M31" s="142">
        <v>194000000</v>
      </c>
      <c r="N31" s="142">
        <v>113000000</v>
      </c>
      <c r="O31" s="217">
        <v>113000000</v>
      </c>
      <c r="P31" s="217">
        <v>112000000</v>
      </c>
      <c r="Q31" s="142">
        <v>110000000</v>
      </c>
      <c r="R31" s="142">
        <v>110000000</v>
      </c>
      <c r="S31" s="142">
        <v>102000000</v>
      </c>
      <c r="T31" s="125">
        <v>20000000</v>
      </c>
      <c r="U31" s="125">
        <v>30000000</v>
      </c>
      <c r="V31" s="142">
        <v>22000000</v>
      </c>
      <c r="W31" s="142">
        <v>33000000</v>
      </c>
    </row>
    <row r="32" spans="1:24" ht="16.5">
      <c r="A32" t="s">
        <v>76</v>
      </c>
      <c r="B32" s="100" t="s">
        <v>6993</v>
      </c>
      <c r="C32" s="34"/>
      <c r="D32" s="28"/>
      <c r="E32" s="28"/>
      <c r="F32" s="28"/>
      <c r="G32" s="28"/>
      <c r="H32" s="28"/>
      <c r="I32" s="178">
        <v>0</v>
      </c>
      <c r="J32" s="178">
        <v>0</v>
      </c>
      <c r="K32" s="178">
        <v>0</v>
      </c>
      <c r="L32" s="306">
        <v>0</v>
      </c>
      <c r="M32" s="307">
        <v>16000000</v>
      </c>
      <c r="N32" s="307">
        <v>31000000</v>
      </c>
      <c r="O32" s="217">
        <v>34000000</v>
      </c>
      <c r="P32" s="217">
        <v>18000000</v>
      </c>
      <c r="Q32" s="142">
        <v>17000000</v>
      </c>
      <c r="R32" s="142">
        <v>17000000</v>
      </c>
      <c r="S32" s="142">
        <v>10000000</v>
      </c>
      <c r="T32" s="142"/>
      <c r="U32" s="142"/>
      <c r="V32" s="142"/>
      <c r="W32" s="142"/>
    </row>
    <row r="33" spans="1:23" ht="16.5">
      <c r="A33" t="s">
        <v>209</v>
      </c>
      <c r="B33" s="138" t="s">
        <v>209</v>
      </c>
      <c r="C33" s="58" t="s">
        <v>211</v>
      </c>
      <c r="I33" s="178">
        <v>117000000</v>
      </c>
      <c r="J33" s="178">
        <v>64000000</v>
      </c>
      <c r="K33" s="178">
        <v>3000000</v>
      </c>
      <c r="L33" s="305">
        <v>1000000</v>
      </c>
      <c r="M33" s="142">
        <v>3000000</v>
      </c>
      <c r="N33" s="142">
        <v>0</v>
      </c>
      <c r="O33" s="217">
        <v>0</v>
      </c>
      <c r="P33" s="217">
        <v>3000000</v>
      </c>
      <c r="Q33" s="142">
        <v>6000000</v>
      </c>
      <c r="R33" s="142">
        <v>26000000</v>
      </c>
      <c r="S33" s="142">
        <v>75000000</v>
      </c>
      <c r="T33" s="125">
        <v>107000000</v>
      </c>
      <c r="U33" s="125">
        <v>161000000</v>
      </c>
      <c r="V33" s="125">
        <v>203000000</v>
      </c>
      <c r="W33" s="125">
        <v>299000000</v>
      </c>
    </row>
    <row r="34" spans="1:23" ht="16.5">
      <c r="A34" t="s">
        <v>76</v>
      </c>
      <c r="B34" s="100" t="s">
        <v>6993</v>
      </c>
      <c r="C34" s="34"/>
      <c r="D34" s="28"/>
      <c r="E34" s="28"/>
      <c r="F34" s="28"/>
      <c r="G34" s="28"/>
      <c r="H34" s="28"/>
      <c r="I34" s="178">
        <v>117000000</v>
      </c>
      <c r="J34" s="178">
        <v>64000000</v>
      </c>
      <c r="K34" s="178">
        <v>3000000</v>
      </c>
      <c r="L34" s="306">
        <v>1000000</v>
      </c>
      <c r="M34" s="142">
        <v>3000000</v>
      </c>
      <c r="N34" s="142">
        <v>0</v>
      </c>
      <c r="O34" s="217">
        <v>0</v>
      </c>
      <c r="P34" s="217">
        <v>3000000</v>
      </c>
      <c r="Q34" s="142">
        <v>6000000</v>
      </c>
      <c r="R34" s="142">
        <v>26000000</v>
      </c>
      <c r="S34" s="142">
        <v>75000000</v>
      </c>
      <c r="T34" s="142"/>
      <c r="U34" s="142"/>
      <c r="V34" s="142"/>
      <c r="W34" s="142"/>
    </row>
    <row r="35" spans="1:23" ht="16.5">
      <c r="A35" t="s">
        <v>6994</v>
      </c>
      <c r="B35" s="99" t="s">
        <v>2851</v>
      </c>
      <c r="C35" s="58" t="s">
        <v>204</v>
      </c>
      <c r="I35" s="125"/>
      <c r="J35" s="125"/>
      <c r="K35" s="125"/>
      <c r="L35" s="305">
        <v>32000000</v>
      </c>
      <c r="M35" s="142">
        <v>260000000</v>
      </c>
      <c r="N35" s="142">
        <v>362000000</v>
      </c>
      <c r="O35" s="217">
        <v>504000000</v>
      </c>
      <c r="P35" s="217">
        <v>505000000</v>
      </c>
      <c r="Q35" s="142">
        <v>359000000</v>
      </c>
      <c r="R35" s="142">
        <v>322000000</v>
      </c>
      <c r="S35" s="142">
        <v>319000000</v>
      </c>
      <c r="T35" s="125">
        <v>370000000</v>
      </c>
      <c r="U35" s="125">
        <v>446000000</v>
      </c>
      <c r="V35" s="125">
        <v>464000000</v>
      </c>
      <c r="W35" s="125">
        <v>500000000</v>
      </c>
    </row>
    <row r="36" spans="1:23" ht="16.5">
      <c r="A36" t="s">
        <v>2540</v>
      </c>
      <c r="B36" s="99" t="s">
        <v>6995</v>
      </c>
      <c r="C36" s="58" t="s">
        <v>204</v>
      </c>
      <c r="D36" s="28"/>
      <c r="E36" s="28"/>
      <c r="F36" s="28"/>
      <c r="G36" s="28"/>
      <c r="H36" s="28"/>
      <c r="I36" s="178">
        <v>200000000</v>
      </c>
      <c r="J36" s="178">
        <v>74000000</v>
      </c>
      <c r="K36" s="178">
        <v>49000000</v>
      </c>
      <c r="L36" s="305">
        <v>11000000</v>
      </c>
      <c r="M36" s="142">
        <v>133000000</v>
      </c>
      <c r="N36" s="142">
        <v>295000000</v>
      </c>
      <c r="O36" s="217">
        <v>468000000</v>
      </c>
      <c r="P36" s="217">
        <v>548000000</v>
      </c>
      <c r="Q36" s="142">
        <v>763000000</v>
      </c>
      <c r="R36" s="142">
        <v>613000000</v>
      </c>
      <c r="S36" s="142">
        <v>590000000</v>
      </c>
      <c r="T36" s="125">
        <v>751000000</v>
      </c>
      <c r="U36" s="125">
        <v>667000000</v>
      </c>
      <c r="V36" s="125">
        <v>678000000</v>
      </c>
      <c r="W36" s="125">
        <v>724000000</v>
      </c>
    </row>
    <row r="37" spans="1:23" ht="16.5">
      <c r="A37" s="100" t="s">
        <v>6996</v>
      </c>
      <c r="B37" s="100" t="s">
        <v>6997</v>
      </c>
      <c r="C37" s="58" t="s">
        <v>6998</v>
      </c>
      <c r="I37" s="125"/>
      <c r="J37" s="125"/>
      <c r="K37" s="125"/>
      <c r="L37" s="125"/>
      <c r="M37" s="142">
        <v>10000000</v>
      </c>
      <c r="N37" s="142">
        <v>117000000</v>
      </c>
      <c r="O37" s="217">
        <v>290000000</v>
      </c>
      <c r="P37" s="217">
        <v>370000000</v>
      </c>
      <c r="Q37" s="125"/>
      <c r="R37" s="125"/>
      <c r="S37" s="125"/>
      <c r="T37" s="125"/>
      <c r="U37" s="125"/>
      <c r="V37" s="125"/>
      <c r="W37" s="125"/>
    </row>
    <row r="38" spans="1:23" ht="16.5">
      <c r="A38" s="100" t="s">
        <v>6999</v>
      </c>
      <c r="B38" s="100" t="s">
        <v>7000</v>
      </c>
      <c r="C38" s="58" t="s">
        <v>6998</v>
      </c>
      <c r="D38" s="28"/>
      <c r="E38" s="28"/>
      <c r="F38" s="28"/>
      <c r="G38" s="28"/>
      <c r="H38" s="28"/>
      <c r="I38" s="298"/>
      <c r="J38" s="298"/>
      <c r="K38" s="298"/>
      <c r="L38" s="298"/>
      <c r="M38" s="142">
        <v>0</v>
      </c>
      <c r="N38" s="142">
        <v>0</v>
      </c>
      <c r="O38" s="74"/>
      <c r="P38" s="74"/>
      <c r="Q38" s="125"/>
      <c r="R38" s="125"/>
      <c r="S38" s="125"/>
      <c r="T38" s="125"/>
      <c r="U38" s="125"/>
      <c r="V38" s="125"/>
      <c r="W38" s="125"/>
    </row>
    <row r="39" spans="1:23" ht="16.5">
      <c r="A39" s="100" t="s">
        <v>7001</v>
      </c>
      <c r="B39" s="100" t="s">
        <v>7002</v>
      </c>
      <c r="C39" s="58" t="s">
        <v>6998</v>
      </c>
      <c r="I39" s="125"/>
      <c r="J39" s="125"/>
      <c r="K39" s="125"/>
      <c r="L39" s="125"/>
      <c r="M39" s="142">
        <v>0</v>
      </c>
      <c r="N39" s="142">
        <v>0</v>
      </c>
      <c r="O39" s="74"/>
      <c r="P39" s="74"/>
      <c r="Q39" s="125"/>
      <c r="R39" s="125"/>
      <c r="S39" s="125"/>
      <c r="T39" s="125"/>
      <c r="U39" s="125"/>
      <c r="V39" s="125"/>
      <c r="W39" s="125"/>
    </row>
    <row r="40" spans="1:23" ht="16.5">
      <c r="A40" s="100" t="s">
        <v>7003</v>
      </c>
      <c r="B40" s="102" t="s">
        <v>7004</v>
      </c>
      <c r="C40" s="58" t="s">
        <v>6998</v>
      </c>
      <c r="I40" s="125"/>
      <c r="J40" s="125"/>
      <c r="K40" s="125"/>
      <c r="L40" s="125"/>
      <c r="M40" s="142">
        <f>M36-M37-M38-M39</f>
        <v>123000000</v>
      </c>
      <c r="N40" s="142">
        <f t="shared" ref="N40:S40" si="10">N36-N37-N38-N39</f>
        <v>178000000</v>
      </c>
      <c r="O40" s="74">
        <f t="shared" si="10"/>
        <v>178000000</v>
      </c>
      <c r="P40" s="74">
        <f t="shared" si="10"/>
        <v>178000000</v>
      </c>
      <c r="Q40" s="141">
        <f t="shared" si="10"/>
        <v>763000000</v>
      </c>
      <c r="R40" s="141">
        <f t="shared" si="10"/>
        <v>613000000</v>
      </c>
      <c r="S40" s="141">
        <f t="shared" si="10"/>
        <v>590000000</v>
      </c>
      <c r="T40" s="141"/>
      <c r="U40" s="141"/>
      <c r="V40" s="141"/>
      <c r="W40" s="141"/>
    </row>
    <row r="41" spans="1:23" ht="16.5">
      <c r="A41" s="100" t="s">
        <v>7005</v>
      </c>
      <c r="B41" s="100" t="s">
        <v>899</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row>
    <row r="42" spans="1:23" ht="16.5">
      <c r="A42" s="100" t="s">
        <v>2812</v>
      </c>
      <c r="B42" s="90" t="s">
        <v>848</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966000000</v>
      </c>
      <c r="U42" s="142">
        <v>771000000</v>
      </c>
      <c r="V42" s="125">
        <v>717000000</v>
      </c>
      <c r="W42" s="142">
        <v>742000000</v>
      </c>
    </row>
    <row r="43" spans="1:23" ht="16.5">
      <c r="A43" s="100"/>
      <c r="B43" s="100" t="s">
        <v>904</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row>
    <row r="44" spans="1:23" ht="16.5">
      <c r="A44" s="100" t="s">
        <v>588</v>
      </c>
      <c r="B44" s="100" t="s">
        <v>588</v>
      </c>
      <c r="C44" s="58" t="s">
        <v>201</v>
      </c>
      <c r="I44" s="178">
        <v>19000000</v>
      </c>
      <c r="J44" s="178">
        <v>2000000</v>
      </c>
      <c r="K44" s="178">
        <v>9000000</v>
      </c>
      <c r="L44" s="125"/>
      <c r="M44" s="142"/>
      <c r="N44" s="142"/>
      <c r="O44" s="74"/>
      <c r="P44" s="74"/>
      <c r="Q44" s="125"/>
      <c r="R44" s="125"/>
      <c r="S44" s="125"/>
      <c r="T44" s="125"/>
      <c r="U44" s="125"/>
      <c r="V44" s="125"/>
      <c r="W44" s="125"/>
    </row>
    <row r="45" spans="1:23" ht="16.5">
      <c r="A45" t="s">
        <v>76</v>
      </c>
      <c r="B45" s="90" t="s">
        <v>7006</v>
      </c>
      <c r="C45" s="34"/>
      <c r="D45" s="28"/>
      <c r="E45" s="28"/>
      <c r="F45" s="28"/>
      <c r="G45" s="28"/>
      <c r="H45" s="28"/>
      <c r="I45" s="298"/>
      <c r="J45" s="298"/>
      <c r="K45" s="298"/>
      <c r="L45" s="125">
        <v>0</v>
      </c>
      <c r="M45" s="142">
        <v>650000000</v>
      </c>
      <c r="N45" s="142">
        <v>587000000</v>
      </c>
      <c r="O45" s="74"/>
      <c r="P45" s="74"/>
      <c r="Q45" s="125"/>
      <c r="R45" s="125"/>
      <c r="S45" s="125"/>
      <c r="T45" s="125"/>
      <c r="U45" s="125"/>
      <c r="V45" s="125"/>
      <c r="W45" s="125"/>
    </row>
    <row r="46" spans="1:23" ht="16.5">
      <c r="A46" t="s">
        <v>76</v>
      </c>
      <c r="B46" s="90" t="s">
        <v>7007</v>
      </c>
      <c r="I46" s="178">
        <v>-496000000</v>
      </c>
      <c r="J46" s="178">
        <v>-175000000</v>
      </c>
      <c r="K46" s="178">
        <v>-183000000</v>
      </c>
      <c r="L46" s="308">
        <v>-124000000</v>
      </c>
      <c r="M46" s="142">
        <v>-170000000</v>
      </c>
      <c r="N46" s="142">
        <v>-111000000</v>
      </c>
      <c r="O46" s="412">
        <v>-260000000</v>
      </c>
      <c r="P46" s="412">
        <v>-160000000</v>
      </c>
      <c r="Q46" s="460">
        <v>-324000000</v>
      </c>
      <c r="R46" s="460">
        <v>-254000000</v>
      </c>
      <c r="S46" s="460">
        <v>-164000000</v>
      </c>
      <c r="T46" s="460"/>
      <c r="U46" s="460"/>
      <c r="V46" s="460"/>
      <c r="W46" s="460"/>
    </row>
    <row r="47" spans="1:23" ht="16.5">
      <c r="A47" t="s">
        <v>76</v>
      </c>
      <c r="B47" s="90" t="s">
        <v>7008</v>
      </c>
      <c r="C47" s="34"/>
      <c r="D47" s="28"/>
      <c r="E47" s="28"/>
      <c r="F47" s="28"/>
      <c r="G47" s="28"/>
      <c r="H47" s="28"/>
      <c r="I47" s="178">
        <v>-268000000</v>
      </c>
      <c r="J47" s="178">
        <v>3000000</v>
      </c>
      <c r="K47" s="178">
        <v>-58000000</v>
      </c>
      <c r="L47" s="305">
        <v>14000000</v>
      </c>
      <c r="M47" s="142">
        <v>28000000</v>
      </c>
      <c r="N47" s="142">
        <v>3000000</v>
      </c>
      <c r="O47" s="217">
        <v>-147000000</v>
      </c>
      <c r="P47" s="217">
        <v>-45000000</v>
      </c>
      <c r="Q47" s="142">
        <v>-208000000</v>
      </c>
      <c r="R47" s="142">
        <v>-118000000</v>
      </c>
      <c r="S47" s="142">
        <v>13000000</v>
      </c>
      <c r="T47" s="142"/>
      <c r="U47" s="142"/>
      <c r="V47" s="142"/>
      <c r="W47" s="142"/>
    </row>
    <row r="48" spans="1:23" ht="16.5">
      <c r="A48" t="s">
        <v>76</v>
      </c>
      <c r="B48" s="90" t="s">
        <v>1249</v>
      </c>
      <c r="I48" s="125"/>
      <c r="J48" s="125"/>
      <c r="K48" s="125"/>
      <c r="L48" s="125">
        <v>13000000</v>
      </c>
      <c r="M48" s="142">
        <v>56000000</v>
      </c>
      <c r="N48" s="142">
        <v>-30000000</v>
      </c>
      <c r="O48" s="412">
        <v>-53000000</v>
      </c>
      <c r="P48" s="412">
        <v>-72000000</v>
      </c>
      <c r="Q48" s="460">
        <v>-286000000</v>
      </c>
      <c r="R48" s="460">
        <v>-142000000</v>
      </c>
      <c r="S48" s="460">
        <v>-124000000</v>
      </c>
      <c r="T48" s="460"/>
      <c r="U48" s="460"/>
      <c r="V48" s="460"/>
      <c r="W48" s="460"/>
    </row>
    <row r="49" spans="1:23" ht="16.5">
      <c r="A49" t="s">
        <v>76</v>
      </c>
      <c r="B49" s="90" t="s">
        <v>7009</v>
      </c>
      <c r="C49" s="34"/>
      <c r="D49" s="28"/>
      <c r="E49" s="28"/>
      <c r="F49" s="28"/>
      <c r="G49" s="28"/>
      <c r="H49" s="28"/>
      <c r="I49" s="298"/>
      <c r="J49" s="298"/>
      <c r="K49" s="298"/>
      <c r="L49" s="298"/>
      <c r="M49" s="142">
        <v>76000000</v>
      </c>
      <c r="N49" s="142">
        <v>1000000</v>
      </c>
      <c r="O49" s="217">
        <v>-19000000</v>
      </c>
      <c r="P49" s="217">
        <v>-51000000</v>
      </c>
      <c r="Q49" s="142">
        <v>-262000000</v>
      </c>
      <c r="R49" s="142">
        <v>-98000000</v>
      </c>
      <c r="S49" s="142">
        <v>-39000000</v>
      </c>
      <c r="T49" s="142"/>
      <c r="U49" s="142"/>
      <c r="V49" s="142"/>
      <c r="W49" s="142"/>
    </row>
    <row r="50" spans="1:23" ht="16.5">
      <c r="A50" t="s">
        <v>76</v>
      </c>
      <c r="B50" s="90" t="s">
        <v>7010</v>
      </c>
      <c r="I50" s="178">
        <v>1091000000</v>
      </c>
      <c r="J50" s="178">
        <v>1224000000</v>
      </c>
      <c r="K50" s="178">
        <v>814000000</v>
      </c>
      <c r="L50" s="125">
        <v>1135000000</v>
      </c>
      <c r="M50" s="142">
        <v>23000000</v>
      </c>
      <c r="N50" s="142">
        <v>12000000</v>
      </c>
      <c r="O50" s="74"/>
      <c r="P50" s="74"/>
      <c r="Q50" s="125"/>
      <c r="R50" s="125"/>
      <c r="S50" s="125"/>
      <c r="T50" s="125"/>
      <c r="U50" s="125"/>
      <c r="V50" s="125"/>
      <c r="W50" s="125"/>
    </row>
    <row r="51" spans="1:23" ht="16.5">
      <c r="A51" t="s">
        <v>76</v>
      </c>
      <c r="B51" s="90" t="s">
        <v>7011</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row>
    <row r="52" spans="1:23" s="9" customFormat="1" ht="16.5">
      <c r="A52" s="9" t="s">
        <v>592</v>
      </c>
      <c r="B52" s="260" t="s">
        <v>115</v>
      </c>
      <c r="C52" s="9" t="s">
        <v>35</v>
      </c>
      <c r="I52" s="295">
        <v>496000000</v>
      </c>
      <c r="J52" s="295">
        <v>177000000</v>
      </c>
      <c r="K52" s="295">
        <v>206000000</v>
      </c>
      <c r="L52" s="295">
        <v>133000000</v>
      </c>
      <c r="M52" s="304">
        <v>170000000</v>
      </c>
      <c r="N52" s="304">
        <v>113000000</v>
      </c>
      <c r="O52" s="304">
        <v>260000000</v>
      </c>
      <c r="P52" s="304">
        <v>160000000</v>
      </c>
      <c r="Q52" s="304">
        <v>312000000</v>
      </c>
      <c r="R52" s="304">
        <v>254000000</v>
      </c>
      <c r="S52" s="304">
        <v>163000000</v>
      </c>
      <c r="T52" s="304">
        <f>T53+T58+T64</f>
        <v>1468000000</v>
      </c>
      <c r="U52" s="304">
        <f>U53+U58+U64</f>
        <v>969000000</v>
      </c>
      <c r="V52" s="304">
        <f t="shared" ref="V52:W52" si="11">V53+V58+V64</f>
        <v>813000000</v>
      </c>
      <c r="W52" s="304">
        <f t="shared" si="11"/>
        <v>845000000</v>
      </c>
    </row>
    <row r="53" spans="1:23" ht="16.5">
      <c r="A53" s="58" t="s">
        <v>120</v>
      </c>
      <c r="B53" s="90" t="s">
        <v>7012</v>
      </c>
      <c r="C53" s="11" t="s">
        <v>119</v>
      </c>
      <c r="D53" s="28"/>
      <c r="E53" s="28"/>
      <c r="F53" s="28"/>
      <c r="G53" s="28"/>
      <c r="H53" s="28"/>
      <c r="I53" s="298"/>
      <c r="J53" s="298"/>
      <c r="K53" s="298"/>
      <c r="L53" s="125">
        <v>0</v>
      </c>
      <c r="M53" s="142">
        <v>-156000000</v>
      </c>
      <c r="N53" s="142">
        <v>-72000000</v>
      </c>
      <c r="O53" s="217">
        <v>-25000000</v>
      </c>
      <c r="P53" s="217">
        <v>13000000</v>
      </c>
      <c r="Q53" s="142">
        <v>270000000</v>
      </c>
      <c r="R53" s="142">
        <v>197000000</v>
      </c>
      <c r="S53" s="142">
        <v>192000000</v>
      </c>
      <c r="T53" s="142">
        <f>T54+T57</f>
        <v>1244000000</v>
      </c>
      <c r="U53" s="142">
        <f t="shared" ref="U53:W53" si="12">U54+U57</f>
        <v>659000000</v>
      </c>
      <c r="V53" s="142">
        <f t="shared" si="12"/>
        <v>869000000</v>
      </c>
      <c r="W53" s="142">
        <f t="shared" si="12"/>
        <v>896000000</v>
      </c>
    </row>
    <row r="54" spans="1:23"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21">
        <v>1163000000</v>
      </c>
      <c r="U54" s="13">
        <v>759000000</v>
      </c>
      <c r="V54">
        <v>869000000</v>
      </c>
      <c r="W54">
        <v>896000000</v>
      </c>
    </row>
    <row r="55" spans="1:23" ht="16.5">
      <c r="A55" t="s">
        <v>76</v>
      </c>
      <c r="B55" s="100" t="s">
        <v>7013</v>
      </c>
      <c r="C55" s="34"/>
      <c r="D55" s="28"/>
      <c r="E55" s="28"/>
      <c r="F55" s="28"/>
      <c r="G55" s="28"/>
      <c r="H55" s="28"/>
      <c r="I55" s="298"/>
      <c r="J55" s="298"/>
      <c r="K55" s="298"/>
      <c r="L55" s="298"/>
      <c r="M55" s="142">
        <v>0</v>
      </c>
      <c r="N55" s="142">
        <v>0</v>
      </c>
      <c r="O55" s="74"/>
      <c r="P55" s="74"/>
      <c r="Q55" s="125"/>
      <c r="R55" s="125"/>
      <c r="S55" s="125"/>
      <c r="T55" s="125"/>
      <c r="U55" s="125"/>
      <c r="V55" s="125"/>
      <c r="W55" s="125"/>
    </row>
    <row r="56" spans="1:23" ht="16.5">
      <c r="A56" t="s">
        <v>76</v>
      </c>
      <c r="B56" s="100" t="s">
        <v>7014</v>
      </c>
      <c r="I56" s="125"/>
      <c r="J56" s="125"/>
      <c r="K56" s="125"/>
      <c r="L56" s="125"/>
      <c r="M56" s="142">
        <v>0</v>
      </c>
      <c r="N56" s="142">
        <v>0</v>
      </c>
      <c r="O56" s="74"/>
      <c r="P56" s="74"/>
      <c r="Q56" s="125"/>
      <c r="R56" s="125"/>
      <c r="S56" s="125"/>
      <c r="T56" s="125"/>
      <c r="U56" s="125"/>
      <c r="V56" s="125"/>
      <c r="W56" s="125"/>
    </row>
    <row r="57" spans="1:23" ht="16.5">
      <c r="A57" s="152" t="s">
        <v>350</v>
      </c>
      <c r="B57" s="152" t="s">
        <v>7015</v>
      </c>
      <c r="C57" s="90" t="s">
        <v>124</v>
      </c>
      <c r="D57" s="28"/>
      <c r="E57" s="28"/>
      <c r="F57" s="28"/>
      <c r="G57" s="28"/>
      <c r="H57" s="28"/>
      <c r="I57" s="298"/>
      <c r="J57" s="298"/>
      <c r="K57" s="298"/>
      <c r="L57" s="125">
        <v>0</v>
      </c>
      <c r="M57" s="142">
        <v>0</v>
      </c>
      <c r="N57" s="142">
        <v>-28000000</v>
      </c>
      <c r="O57" s="217">
        <v>-30000000</v>
      </c>
      <c r="P57" s="217">
        <v>-36000000</v>
      </c>
      <c r="Q57" s="142">
        <v>72000000</v>
      </c>
      <c r="R57" s="142">
        <v>-107000000</v>
      </c>
      <c r="S57" s="142">
        <v>26000000</v>
      </c>
      <c r="T57" s="142">
        <v>81000000</v>
      </c>
      <c r="U57" s="142">
        <v>-100000000</v>
      </c>
      <c r="V57" s="142">
        <v>0</v>
      </c>
      <c r="W57" s="142">
        <v>0</v>
      </c>
    </row>
    <row r="58" spans="1:23" ht="16.5">
      <c r="A58" s="43" t="s">
        <v>117</v>
      </c>
      <c r="B58" s="90" t="s">
        <v>3430</v>
      </c>
      <c r="C58" s="11" t="s">
        <v>119</v>
      </c>
      <c r="I58" s="125"/>
      <c r="J58" s="125"/>
      <c r="K58" s="125"/>
      <c r="L58" s="125">
        <v>-226000000</v>
      </c>
      <c r="M58" s="142">
        <v>-41000000</v>
      </c>
      <c r="N58" s="142">
        <v>-231000000</v>
      </c>
      <c r="O58" s="217">
        <v>-48000000</v>
      </c>
      <c r="P58" s="217">
        <v>6000000</v>
      </c>
      <c r="Q58" s="142">
        <v>-127000000</v>
      </c>
      <c r="R58" s="142">
        <v>-151000000</v>
      </c>
      <c r="S58" s="142">
        <v>-183000000</v>
      </c>
      <c r="T58" s="142">
        <f>T59+T60</f>
        <v>77000000</v>
      </c>
      <c r="U58" s="142">
        <f t="shared" ref="U58:W58" si="13">U59+U60</f>
        <v>182000000</v>
      </c>
      <c r="V58" s="142">
        <f t="shared" si="13"/>
        <v>-41000000</v>
      </c>
      <c r="W58" s="142">
        <f t="shared" si="13"/>
        <v>-23000000</v>
      </c>
    </row>
    <row r="59" spans="1:23" ht="16.5">
      <c r="A59" s="152" t="s">
        <v>415</v>
      </c>
      <c r="B59" s="152" t="s">
        <v>415</v>
      </c>
      <c r="C59" s="58" t="s">
        <v>264</v>
      </c>
      <c r="D59" s="28"/>
      <c r="E59" s="28"/>
      <c r="F59" s="28"/>
      <c r="G59" s="28"/>
      <c r="H59" s="28"/>
      <c r="I59" s="298"/>
      <c r="J59" s="298"/>
      <c r="K59" s="298"/>
      <c r="L59" s="125">
        <v>12000000</v>
      </c>
      <c r="M59" s="142">
        <v>50000000</v>
      </c>
      <c r="N59" s="142">
        <v>2000000</v>
      </c>
      <c r="O59" s="217">
        <v>78000000</v>
      </c>
      <c r="P59" s="217">
        <v>0</v>
      </c>
      <c r="Q59" s="142">
        <v>72000000</v>
      </c>
      <c r="R59" s="142">
        <v>0</v>
      </c>
      <c r="S59" s="142">
        <v>8000000</v>
      </c>
      <c r="T59" s="142">
        <v>210000000</v>
      </c>
      <c r="U59" s="142">
        <v>400000000</v>
      </c>
      <c r="V59" s="142">
        <v>120000000</v>
      </c>
      <c r="W59" s="142">
        <v>120000000</v>
      </c>
    </row>
    <row r="60" spans="1:23" ht="16.5">
      <c r="A60" s="99" t="s">
        <v>606</v>
      </c>
      <c r="B60" s="99" t="s">
        <v>1943</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-133000000</v>
      </c>
      <c r="U60" s="142">
        <v>-218000000</v>
      </c>
      <c r="V60" s="142">
        <v>-161000000</v>
      </c>
      <c r="W60" s="142">
        <v>-143000000</v>
      </c>
    </row>
    <row r="61" spans="1:23" ht="16.5">
      <c r="A61" t="s">
        <v>76</v>
      </c>
      <c r="B61" s="100" t="s">
        <v>6993</v>
      </c>
      <c r="C61" s="34"/>
      <c r="D61" s="28"/>
      <c r="E61" s="28"/>
      <c r="F61" s="28"/>
      <c r="G61" s="28"/>
      <c r="H61" s="28"/>
      <c r="I61" s="298"/>
      <c r="J61" s="298"/>
      <c r="K61" s="298"/>
      <c r="L61" s="125">
        <v>-4000000</v>
      </c>
      <c r="M61" s="142">
        <v>0</v>
      </c>
      <c r="N61" s="142">
        <v>0</v>
      </c>
      <c r="O61" s="217">
        <v>0</v>
      </c>
      <c r="P61" s="217">
        <v>49000000</v>
      </c>
      <c r="Q61" s="142">
        <v>68000000</v>
      </c>
      <c r="R61" s="142">
        <v>55000000</v>
      </c>
      <c r="S61" s="142">
        <v>69000000</v>
      </c>
      <c r="T61" s="142"/>
      <c r="U61" s="142"/>
      <c r="V61" s="142"/>
      <c r="W61" s="142"/>
    </row>
    <row r="62" spans="1:23" ht="16.5">
      <c r="A62" s="99" t="s">
        <v>7016</v>
      </c>
      <c r="B62" s="99" t="s">
        <v>7017</v>
      </c>
      <c r="C62" s="58" t="s">
        <v>264</v>
      </c>
      <c r="I62" s="125"/>
      <c r="J62" s="125"/>
      <c r="K62" s="125"/>
      <c r="L62" s="125"/>
      <c r="M62" s="142">
        <v>50000000</v>
      </c>
      <c r="N62" s="142">
        <v>100000000</v>
      </c>
      <c r="O62" s="74"/>
      <c r="P62" s="74"/>
      <c r="Q62" s="125"/>
      <c r="R62" s="125"/>
      <c r="S62" s="125"/>
      <c r="T62" s="125"/>
      <c r="U62" s="125"/>
      <c r="V62" s="125"/>
      <c r="W62" s="125"/>
    </row>
    <row r="63" spans="1:23" ht="16.5">
      <c r="A63" s="152" t="s">
        <v>6697</v>
      </c>
      <c r="B63" s="152" t="s">
        <v>50</v>
      </c>
      <c r="C63" s="58" t="s">
        <v>264</v>
      </c>
      <c r="D63" s="28"/>
      <c r="E63" s="28"/>
      <c r="F63" s="28"/>
      <c r="G63" s="28"/>
      <c r="H63" s="28"/>
      <c r="I63" s="298"/>
      <c r="J63" s="298"/>
      <c r="K63" s="298"/>
      <c r="L63" s="298"/>
      <c r="M63" s="142">
        <v>0</v>
      </c>
      <c r="N63" s="142">
        <v>0</v>
      </c>
      <c r="O63" s="74"/>
      <c r="P63" s="74">
        <f>P58-P59-P60</f>
        <v>108000000</v>
      </c>
      <c r="Q63" s="125"/>
      <c r="R63" s="125"/>
      <c r="S63" s="125"/>
      <c r="T63" s="125"/>
      <c r="U63" s="125"/>
      <c r="V63" s="125"/>
      <c r="W63" s="125"/>
    </row>
    <row r="64" spans="1:23" ht="16.5">
      <c r="A64" t="s">
        <v>3121</v>
      </c>
      <c r="B64" s="90" t="s">
        <v>1936</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147000000</v>
      </c>
      <c r="U64" s="142">
        <v>128000000</v>
      </c>
      <c r="V64" s="142">
        <v>-15000000</v>
      </c>
      <c r="W64" s="142">
        <v>-28000000</v>
      </c>
    </row>
    <row r="65" spans="1:23" ht="16.5">
      <c r="A65" t="s">
        <v>209</v>
      </c>
      <c r="B65" s="152" t="s">
        <v>209</v>
      </c>
      <c r="C65" s="27" t="s">
        <v>7018</v>
      </c>
      <c r="D65" s="28"/>
      <c r="E65" s="28"/>
      <c r="F65" s="28"/>
      <c r="G65" s="28"/>
      <c r="H65" s="28"/>
      <c r="I65" s="298"/>
      <c r="J65" s="298"/>
      <c r="K65" s="298"/>
      <c r="L65" s="125">
        <v>0</v>
      </c>
      <c r="M65" s="142">
        <v>48000000</v>
      </c>
      <c r="N65" s="142">
        <v>0</v>
      </c>
      <c r="O65" s="217">
        <v>128000000</v>
      </c>
      <c r="P65" s="217">
        <v>-6000000</v>
      </c>
      <c r="Q65" s="142">
        <v>-55000000</v>
      </c>
      <c r="R65" s="142">
        <v>20000000</v>
      </c>
      <c r="S65" s="142">
        <v>-53000000</v>
      </c>
      <c r="T65" s="142"/>
      <c r="U65" s="142"/>
      <c r="V65" s="142"/>
      <c r="W65" s="142"/>
    </row>
    <row r="66" spans="1:23" ht="16.5">
      <c r="A66" t="s">
        <v>76</v>
      </c>
      <c r="B66" s="100" t="s">
        <v>7019</v>
      </c>
      <c r="I66" s="125"/>
      <c r="J66" s="125"/>
      <c r="K66" s="125"/>
      <c r="L66" s="125">
        <v>0</v>
      </c>
      <c r="M66" s="142">
        <v>48000000</v>
      </c>
      <c r="N66" s="142">
        <v>0</v>
      </c>
      <c r="O66" s="217">
        <v>128000000</v>
      </c>
      <c r="P66" s="217">
        <v>116000000</v>
      </c>
      <c r="Q66" s="142">
        <v>123000000</v>
      </c>
      <c r="R66" s="142">
        <v>102000000</v>
      </c>
      <c r="S66" s="142">
        <v>10000000</v>
      </c>
      <c r="T66" s="142"/>
      <c r="U66" s="142"/>
      <c r="V66" s="142"/>
      <c r="W66" s="142"/>
    </row>
    <row r="67" spans="1:23" ht="16.5">
      <c r="A67" t="s">
        <v>76</v>
      </c>
      <c r="B67" s="100" t="s">
        <v>7020</v>
      </c>
      <c r="C67" s="27"/>
      <c r="D67" s="28"/>
      <c r="E67" s="28"/>
      <c r="F67" s="28"/>
      <c r="G67" s="28"/>
      <c r="H67" s="28"/>
      <c r="I67" s="298"/>
      <c r="J67" s="298"/>
      <c r="K67" s="298"/>
      <c r="L67" s="125">
        <v>0</v>
      </c>
      <c r="M67" s="142">
        <v>48000000</v>
      </c>
      <c r="N67" s="142">
        <v>0</v>
      </c>
      <c r="O67" s="217">
        <v>0</v>
      </c>
      <c r="P67" s="217">
        <v>-122000000</v>
      </c>
      <c r="Q67" s="142">
        <v>-178000000</v>
      </c>
      <c r="R67" s="142">
        <v>-83000000</v>
      </c>
      <c r="S67" s="142">
        <v>-63000000</v>
      </c>
      <c r="T67" s="142"/>
      <c r="U67" s="142"/>
      <c r="V67" s="142"/>
      <c r="W67" s="142"/>
    </row>
    <row r="68" spans="1:23" ht="16.5">
      <c r="A68" t="s">
        <v>2265</v>
      </c>
      <c r="B68" s="152" t="s">
        <v>212</v>
      </c>
      <c r="C68" s="27" t="s">
        <v>7018</v>
      </c>
      <c r="I68" s="125"/>
      <c r="J68" s="125"/>
      <c r="K68" s="125"/>
      <c r="L68" s="125">
        <v>360000000</v>
      </c>
      <c r="M68" s="142">
        <v>319000000</v>
      </c>
      <c r="N68" s="142">
        <v>415000000</v>
      </c>
      <c r="O68" s="217">
        <v>205000000</v>
      </c>
      <c r="P68" s="217">
        <v>147000000</v>
      </c>
      <c r="Q68" s="142">
        <v>224000000</v>
      </c>
      <c r="R68" s="142">
        <v>189000000</v>
      </c>
      <c r="S68" s="142">
        <v>206000000</v>
      </c>
      <c r="T68" s="142"/>
      <c r="U68" s="142"/>
      <c r="V68" s="142"/>
      <c r="W68" s="142"/>
    </row>
    <row r="69" spans="1:23" ht="16.5">
      <c r="B69" s="138" t="s">
        <v>91</v>
      </c>
      <c r="C69" s="34"/>
      <c r="D69" s="28"/>
      <c r="E69" s="28"/>
      <c r="F69" s="28"/>
      <c r="G69" s="28"/>
      <c r="H69" s="28"/>
      <c r="I69" s="298"/>
      <c r="J69" s="298"/>
      <c r="K69" s="298"/>
      <c r="L69" s="125">
        <v>137000000</v>
      </c>
      <c r="M69" s="142">
        <v>178000000</v>
      </c>
      <c r="N69" s="142">
        <v>82000000</v>
      </c>
      <c r="O69" s="217">
        <v>79000000</v>
      </c>
      <c r="P69" s="217">
        <v>94000000</v>
      </c>
      <c r="Q69" s="142">
        <v>93000000</v>
      </c>
      <c r="R69" s="142">
        <v>93000000</v>
      </c>
      <c r="S69" s="142">
        <v>93000000</v>
      </c>
      <c r="T69" s="142"/>
      <c r="U69" s="142"/>
      <c r="V69" s="142"/>
      <c r="W69" s="142"/>
    </row>
    <row r="70" spans="1:23" ht="16.5">
      <c r="B70" s="138" t="s">
        <v>7021</v>
      </c>
      <c r="I70" s="125"/>
      <c r="J70" s="125"/>
      <c r="K70" s="125"/>
      <c r="L70" s="125">
        <v>223000000</v>
      </c>
      <c r="M70" s="142">
        <v>141000000</v>
      </c>
      <c r="N70" s="142">
        <v>333000000</v>
      </c>
      <c r="O70" s="217">
        <v>127000000</v>
      </c>
      <c r="P70" s="217">
        <v>53000000</v>
      </c>
      <c r="Q70" s="142">
        <v>130000000</v>
      </c>
      <c r="R70" s="142">
        <v>97000000</v>
      </c>
      <c r="S70" s="142">
        <v>113000000</v>
      </c>
      <c r="T70" s="142"/>
      <c r="U70" s="142"/>
      <c r="V70" s="142"/>
      <c r="W70" s="142"/>
    </row>
    <row r="71" spans="1:23" ht="16.5">
      <c r="B71" s="90" t="s">
        <v>7022</v>
      </c>
      <c r="C71" s="34"/>
      <c r="D71" s="28"/>
      <c r="E71" s="28"/>
      <c r="F71" s="28"/>
      <c r="G71" s="28"/>
      <c r="H71" s="28"/>
      <c r="I71" s="298"/>
      <c r="J71" s="298"/>
      <c r="K71" s="298"/>
      <c r="L71" s="125"/>
      <c r="M71" s="142"/>
      <c r="N71" s="142"/>
      <c r="O71" s="142"/>
      <c r="P71" s="142"/>
      <c r="Q71" s="142"/>
      <c r="R71" s="142"/>
      <c r="S71" s="142"/>
      <c r="T71" s="28"/>
      <c r="U71" s="28"/>
      <c r="V71" s="28"/>
      <c r="W71" s="28"/>
    </row>
    <row r="72" spans="1:23" ht="16.5">
      <c r="B72" s="139" t="s">
        <v>614</v>
      </c>
      <c r="I72" s="125"/>
      <c r="J72" s="125"/>
      <c r="K72" s="125"/>
      <c r="L72" s="125"/>
      <c r="M72" s="125"/>
      <c r="N72" s="125"/>
      <c r="O72" s="125"/>
      <c r="P72" s="125"/>
      <c r="Q72" s="125"/>
      <c r="R72" s="125"/>
      <c r="S72" s="125"/>
    </row>
    <row r="73" spans="1:23">
      <c r="C73" s="34"/>
      <c r="D73" s="28"/>
      <c r="E73" s="28"/>
      <c r="F73" s="28"/>
      <c r="G73" s="28"/>
      <c r="H73" s="28"/>
      <c r="I73" s="28"/>
      <c r="J73" s="28"/>
      <c r="K73" s="28"/>
      <c r="L73" s="28"/>
      <c r="M73" s="28"/>
      <c r="N73" s="28"/>
      <c r="O73" s="28"/>
      <c r="P73" s="28"/>
      <c r="Q73" s="28"/>
      <c r="R73" s="28"/>
      <c r="S73" s="28"/>
      <c r="T73" s="28"/>
      <c r="U73" s="28"/>
      <c r="V73" s="28"/>
    </row>
    <row r="74" spans="1:23">
      <c r="I74" t="s">
        <v>139</v>
      </c>
      <c r="J74" t="s">
        <v>139</v>
      </c>
      <c r="K74" t="s">
        <v>139</v>
      </c>
      <c r="L74" t="s">
        <v>139</v>
      </c>
      <c r="M74" t="s">
        <v>139</v>
      </c>
      <c r="N74" t="s">
        <v>139</v>
      </c>
      <c r="O74" t="s">
        <v>139</v>
      </c>
      <c r="P74" t="s">
        <v>139</v>
      </c>
      <c r="Q74" t="s">
        <v>139</v>
      </c>
      <c r="R74" t="s">
        <v>139</v>
      </c>
      <c r="S74" t="s">
        <v>139</v>
      </c>
      <c r="T74" t="s">
        <v>139</v>
      </c>
      <c r="U74" t="s">
        <v>139</v>
      </c>
      <c r="V74" t="s">
        <v>139</v>
      </c>
      <c r="W74" t="s">
        <v>139</v>
      </c>
    </row>
    <row r="75" spans="1:23">
      <c r="I75" t="s">
        <v>1760</v>
      </c>
      <c r="J75" t="s">
        <v>1760</v>
      </c>
      <c r="K75" t="s">
        <v>1760</v>
      </c>
    </row>
    <row r="76" spans="1:23">
      <c r="C76" s="34"/>
      <c r="D76" s="28"/>
      <c r="E76" s="28"/>
      <c r="F76" s="28"/>
      <c r="G76" s="28"/>
      <c r="H76" s="28"/>
      <c r="I76" s="28"/>
      <c r="J76" s="28"/>
      <c r="K76" s="28"/>
      <c r="L76" s="28"/>
      <c r="M76" s="28"/>
      <c r="N76" s="28"/>
      <c r="O76" s="28"/>
      <c r="P76" s="28"/>
      <c r="Q76" s="28"/>
      <c r="R76" s="28"/>
      <c r="S76" s="28"/>
      <c r="T76" s="28"/>
      <c r="U76" s="28"/>
      <c r="V76" s="28"/>
      <c r="W76" s="28"/>
    </row>
    <row r="77" spans="1:23">
      <c r="B77" t="s">
        <v>449</v>
      </c>
      <c r="C77" s="34"/>
      <c r="D77" s="28"/>
      <c r="E77" s="28"/>
      <c r="F77" s="28"/>
      <c r="G77" s="28"/>
      <c r="H77" s="28"/>
      <c r="I77" s="298">
        <f>I6-I7-I19</f>
        <v>0</v>
      </c>
      <c r="J77" s="298">
        <f t="shared" ref="J77:S77" si="14">J6-J7-J19</f>
        <v>-1000000</v>
      </c>
      <c r="K77" s="298">
        <f t="shared" si="14"/>
        <v>0</v>
      </c>
      <c r="L77" s="298">
        <f t="shared" si="14"/>
        <v>0</v>
      </c>
      <c r="M77" s="298">
        <f>M6-M7-M19</f>
        <v>0</v>
      </c>
      <c r="N77" s="298">
        <f t="shared" si="14"/>
        <v>0</v>
      </c>
      <c r="O77" s="298">
        <f t="shared" si="14"/>
        <v>0</v>
      </c>
      <c r="P77" s="298">
        <f t="shared" si="14"/>
        <v>0</v>
      </c>
      <c r="Q77" s="298">
        <f t="shared" si="14"/>
        <v>0</v>
      </c>
      <c r="R77" s="298">
        <f t="shared" si="14"/>
        <v>0</v>
      </c>
      <c r="S77" s="298">
        <f t="shared" si="14"/>
        <v>0</v>
      </c>
      <c r="T77" s="298">
        <f t="shared" ref="T77:W77" si="15">T6-T7-T19</f>
        <v>0</v>
      </c>
      <c r="U77" s="298">
        <f t="shared" si="15"/>
        <v>0</v>
      </c>
      <c r="V77" s="298">
        <f t="shared" si="15"/>
        <v>0</v>
      </c>
      <c r="W77" s="298">
        <f t="shared" si="15"/>
        <v>0</v>
      </c>
    </row>
    <row r="78" spans="1:23">
      <c r="B78" t="s">
        <v>141</v>
      </c>
      <c r="D78" s="21"/>
      <c r="E78" s="21"/>
      <c r="F78" s="21"/>
      <c r="G78" s="21"/>
      <c r="H78" s="21"/>
      <c r="I78" s="21">
        <f>I7-I8-I16</f>
        <v>0</v>
      </c>
      <c r="J78" s="21">
        <f t="shared" ref="J78:S78" si="16">J7-J8-J16</f>
        <v>0</v>
      </c>
      <c r="K78" s="21">
        <f t="shared" si="16"/>
        <v>0</v>
      </c>
      <c r="L78" s="21">
        <f t="shared" si="16"/>
        <v>0</v>
      </c>
      <c r="M78" s="21">
        <f t="shared" si="16"/>
        <v>0</v>
      </c>
      <c r="N78" s="21">
        <f t="shared" si="16"/>
        <v>0</v>
      </c>
      <c r="O78" s="21">
        <f t="shared" si="16"/>
        <v>0</v>
      </c>
      <c r="P78" s="21">
        <f t="shared" si="16"/>
        <v>0</v>
      </c>
      <c r="Q78" s="21">
        <f t="shared" si="16"/>
        <v>0</v>
      </c>
      <c r="R78" s="21">
        <f t="shared" si="16"/>
        <v>0</v>
      </c>
      <c r="S78" s="21">
        <f t="shared" si="16"/>
        <v>0</v>
      </c>
      <c r="T78" s="21">
        <f t="shared" ref="T78:W78" si="17">T7-T8-T16</f>
        <v>0</v>
      </c>
      <c r="U78" s="21">
        <f t="shared" si="17"/>
        <v>0</v>
      </c>
      <c r="V78" s="21">
        <f t="shared" si="17"/>
        <v>0</v>
      </c>
      <c r="W78" s="21">
        <f t="shared" si="17"/>
        <v>0</v>
      </c>
    </row>
    <row r="79" spans="1:23">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18">N8-N9-N10-N11-N12-N13-N14-N15</f>
        <v>0</v>
      </c>
      <c r="O79" s="224">
        <f t="shared" si="18"/>
        <v>0</v>
      </c>
      <c r="P79" s="224">
        <f t="shared" si="18"/>
        <v>0</v>
      </c>
      <c r="Q79" s="224">
        <f>Q8-Q9-Q10-Q11-Q12-Q13-Q14-Q15</f>
        <v>0</v>
      </c>
      <c r="R79" s="224">
        <f t="shared" si="18"/>
        <v>1000000</v>
      </c>
      <c r="S79" s="224">
        <f t="shared" si="18"/>
        <v>0</v>
      </c>
      <c r="T79" s="224">
        <f t="shared" ref="T79:W79" si="19">T8-T9-T10-T11-T12-T13-T14-T15</f>
        <v>0</v>
      </c>
      <c r="U79" s="224">
        <f t="shared" si="19"/>
        <v>0</v>
      </c>
      <c r="V79" s="224">
        <f t="shared" si="19"/>
        <v>0</v>
      </c>
      <c r="W79" s="224">
        <f t="shared" si="19"/>
        <v>0</v>
      </c>
    </row>
    <row r="80" spans="1:23">
      <c r="B80" t="s">
        <v>1362</v>
      </c>
      <c r="C80" s="34"/>
      <c r="D80" s="224"/>
      <c r="E80" s="224"/>
      <c r="F80" s="224"/>
      <c r="G80" s="224"/>
      <c r="H80" s="224"/>
      <c r="I80" s="224">
        <f>I19-I20-I21</f>
        <v>0</v>
      </c>
      <c r="J80" s="224">
        <f t="shared" ref="J80:S80" si="20">J19-J20-J21</f>
        <v>0</v>
      </c>
      <c r="K80" s="224">
        <f t="shared" si="20"/>
        <v>0</v>
      </c>
      <c r="L80" s="224">
        <f t="shared" si="20"/>
        <v>0</v>
      </c>
      <c r="M80" s="224">
        <f t="shared" si="20"/>
        <v>0</v>
      </c>
      <c r="N80" s="224">
        <f t="shared" si="20"/>
        <v>0</v>
      </c>
      <c r="O80" s="224">
        <f t="shared" si="20"/>
        <v>0</v>
      </c>
      <c r="P80" s="224">
        <f t="shared" si="20"/>
        <v>0</v>
      </c>
      <c r="Q80" s="224">
        <f t="shared" si="20"/>
        <v>0</v>
      </c>
      <c r="R80" s="224">
        <f t="shared" si="20"/>
        <v>0</v>
      </c>
      <c r="S80" s="224">
        <f t="shared" si="20"/>
        <v>0</v>
      </c>
      <c r="T80" s="224">
        <f t="shared" ref="T80:W80" si="21">T19-T20-T21</f>
        <v>0</v>
      </c>
      <c r="U80" s="224">
        <f t="shared" si="21"/>
        <v>0</v>
      </c>
      <c r="V80" s="224">
        <f t="shared" si="21"/>
        <v>0</v>
      </c>
      <c r="W80" s="224">
        <f t="shared" si="21"/>
        <v>0</v>
      </c>
    </row>
    <row r="81" spans="2:23">
      <c r="B81" t="s">
        <v>145</v>
      </c>
      <c r="D81" s="130"/>
      <c r="E81" s="130"/>
      <c r="F81" s="130"/>
      <c r="G81" s="130"/>
      <c r="H81" s="130"/>
      <c r="I81" s="130">
        <f>I23-I25-I42-I44</f>
        <v>0</v>
      </c>
      <c r="J81" s="130">
        <f t="shared" ref="J81:S81" si="22">J23-J25-J42-J44</f>
        <v>0</v>
      </c>
      <c r="K81" s="130">
        <f t="shared" si="22"/>
        <v>0</v>
      </c>
      <c r="L81" s="130">
        <f t="shared" si="22"/>
        <v>0</v>
      </c>
      <c r="M81" s="130">
        <f t="shared" si="22"/>
        <v>0</v>
      </c>
      <c r="N81" s="130">
        <f t="shared" si="22"/>
        <v>0</v>
      </c>
      <c r="O81" s="130">
        <f t="shared" si="22"/>
        <v>0</v>
      </c>
      <c r="P81" s="130">
        <f t="shared" si="22"/>
        <v>0</v>
      </c>
      <c r="Q81" s="130">
        <f t="shared" si="22"/>
        <v>0</v>
      </c>
      <c r="R81" s="130">
        <f t="shared" si="22"/>
        <v>0</v>
      </c>
      <c r="S81" s="130">
        <f t="shared" si="22"/>
        <v>0</v>
      </c>
      <c r="T81" s="130">
        <f t="shared" ref="T81:W81" si="23">T23-T25-T42-T44</f>
        <v>0</v>
      </c>
      <c r="U81" s="130">
        <f t="shared" si="23"/>
        <v>0</v>
      </c>
      <c r="V81" s="130">
        <f t="shared" si="23"/>
        <v>0</v>
      </c>
      <c r="W81" s="130">
        <f t="shared" si="23"/>
        <v>0</v>
      </c>
    </row>
    <row r="82" spans="2:23">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24">N25-N26-N30-N35-N36</f>
        <v>0</v>
      </c>
      <c r="O82" s="130">
        <f t="shared" si="24"/>
        <v>0</v>
      </c>
      <c r="P82" s="130">
        <f>P25-P26-P30-P35-P36</f>
        <v>-1000000</v>
      </c>
      <c r="Q82" s="130">
        <f t="shared" si="24"/>
        <v>1000000</v>
      </c>
      <c r="R82" s="130">
        <f t="shared" si="24"/>
        <v>1000000</v>
      </c>
      <c r="S82" s="130">
        <f t="shared" si="24"/>
        <v>1000000</v>
      </c>
      <c r="T82" s="130">
        <f>T25-T27-T28-T30-T35-T36</f>
        <v>0</v>
      </c>
      <c r="U82" s="130">
        <f t="shared" ref="U82:W82" si="25">U25-U27-U28-U30-U35-U36</f>
        <v>0</v>
      </c>
      <c r="V82" s="130">
        <f t="shared" si="25"/>
        <v>0</v>
      </c>
      <c r="W82" s="130">
        <f t="shared" si="25"/>
        <v>0</v>
      </c>
    </row>
    <row r="83" spans="2:23">
      <c r="B83" t="s">
        <v>7023</v>
      </c>
      <c r="D83" s="224"/>
      <c r="E83" s="224"/>
      <c r="F83" s="224"/>
      <c r="G83" s="224"/>
      <c r="H83" s="224"/>
      <c r="I83" s="224">
        <f>I26-I27-I28</f>
        <v>0</v>
      </c>
      <c r="J83" s="224">
        <f>J26-J27-J28</f>
        <v>0</v>
      </c>
      <c r="K83" s="224">
        <f>K26-K27-K28</f>
        <v>0</v>
      </c>
      <c r="L83" s="224">
        <f>L26-L27-L28</f>
        <v>0</v>
      </c>
      <c r="M83" s="224">
        <f>M26-M27-M28</f>
        <v>1000000</v>
      </c>
      <c r="N83" s="224">
        <f t="shared" ref="N83:S83" si="26">N26-N27-N28</f>
        <v>1000000</v>
      </c>
      <c r="O83" s="224">
        <f t="shared" si="26"/>
        <v>0</v>
      </c>
      <c r="P83" s="224">
        <f t="shared" si="26"/>
        <v>0</v>
      </c>
      <c r="Q83" s="224">
        <f t="shared" si="26"/>
        <v>0</v>
      </c>
      <c r="R83" s="224">
        <f t="shared" si="26"/>
        <v>0</v>
      </c>
      <c r="S83" s="224">
        <f t="shared" si="26"/>
        <v>0</v>
      </c>
      <c r="T83" s="224">
        <f>T26-T27-T28</f>
        <v>0</v>
      </c>
      <c r="U83" s="224">
        <f t="shared" ref="U83:W83" si="27">U26-U27-U28</f>
        <v>0</v>
      </c>
      <c r="V83" s="224">
        <f t="shared" si="27"/>
        <v>0</v>
      </c>
      <c r="W83" s="224">
        <f t="shared" si="27"/>
        <v>0</v>
      </c>
    </row>
    <row r="84" spans="2:23">
      <c r="B84" t="s">
        <v>936</v>
      </c>
      <c r="C84" s="34"/>
      <c r="D84" s="224"/>
      <c r="E84" s="224"/>
      <c r="F84" s="224"/>
      <c r="G84" s="224"/>
      <c r="H84" s="224"/>
      <c r="I84" s="224">
        <f>I30-I31-I33</f>
        <v>1000000</v>
      </c>
      <c r="J84" s="224">
        <f>J30-J31-J33</f>
        <v>0</v>
      </c>
      <c r="K84" s="224">
        <f>K30-K31-K33</f>
        <v>0</v>
      </c>
      <c r="L84" s="224">
        <f>L30-L31-L33</f>
        <v>0</v>
      </c>
      <c r="M84" s="224">
        <f>M30-M31-M33</f>
        <v>1000000</v>
      </c>
      <c r="N84" s="224">
        <f t="shared" ref="N84:S84" si="28">N30-N31-N33</f>
        <v>0</v>
      </c>
      <c r="O84" s="224">
        <f t="shared" si="28"/>
        <v>0</v>
      </c>
      <c r="P84" s="224">
        <f t="shared" si="28"/>
        <v>0</v>
      </c>
      <c r="Q84" s="224">
        <f t="shared" si="28"/>
        <v>0</v>
      </c>
      <c r="R84" s="224">
        <f t="shared" si="28"/>
        <v>0</v>
      </c>
      <c r="S84" s="224">
        <f t="shared" si="28"/>
        <v>0</v>
      </c>
      <c r="T84" s="224">
        <f t="shared" ref="T84:W84" si="29">T30-T31-T33</f>
        <v>0</v>
      </c>
      <c r="U84" s="224">
        <f t="shared" si="29"/>
        <v>0</v>
      </c>
      <c r="V84" s="224">
        <f t="shared" si="29"/>
        <v>0</v>
      </c>
      <c r="W84" s="224">
        <f t="shared" si="29"/>
        <v>0</v>
      </c>
    </row>
    <row r="85" spans="2:23">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30">N52-N53-N58-N64</f>
        <v>1000000</v>
      </c>
      <c r="O85" s="224">
        <f t="shared" si="30"/>
        <v>0</v>
      </c>
      <c r="P85" s="224">
        <f t="shared" si="30"/>
        <v>0</v>
      </c>
      <c r="Q85" s="224">
        <f t="shared" si="30"/>
        <v>0</v>
      </c>
      <c r="R85" s="224">
        <f t="shared" si="30"/>
        <v>-1000000</v>
      </c>
      <c r="S85" s="224">
        <f t="shared" si="30"/>
        <v>1000000</v>
      </c>
      <c r="T85" s="224">
        <f t="shared" ref="T85:W85" si="31">T52-T53-T58-T64</f>
        <v>0</v>
      </c>
      <c r="U85" s="224">
        <f t="shared" si="31"/>
        <v>0</v>
      </c>
      <c r="V85" s="224">
        <f t="shared" si="31"/>
        <v>0</v>
      </c>
      <c r="W85" s="224">
        <f t="shared" si="31"/>
        <v>0</v>
      </c>
    </row>
    <row r="86" spans="2:23">
      <c r="B86" t="s">
        <v>362</v>
      </c>
      <c r="C86" s="34"/>
      <c r="D86" s="224"/>
      <c r="E86" s="224"/>
      <c r="F86" s="224"/>
      <c r="G86" s="224"/>
      <c r="H86" s="224"/>
      <c r="I86" s="224">
        <f>I53-I54-I57</f>
        <v>0</v>
      </c>
      <c r="J86" s="224">
        <f>J53-J54-J57</f>
        <v>0</v>
      </c>
      <c r="K86" s="224">
        <f>K53-K54-K57</f>
        <v>0</v>
      </c>
      <c r="L86" s="224">
        <f>L53-L54-L57</f>
        <v>0</v>
      </c>
      <c r="M86" s="224">
        <f>M53-M54-M57</f>
        <v>0</v>
      </c>
      <c r="N86" s="224">
        <f t="shared" ref="N86:S86" si="32">N53-N54-N57</f>
        <v>0</v>
      </c>
      <c r="O86" s="224">
        <f t="shared" si="32"/>
        <v>1000000</v>
      </c>
      <c r="P86" s="224">
        <f t="shared" si="32"/>
        <v>0</v>
      </c>
      <c r="Q86" s="224">
        <f t="shared" si="32"/>
        <v>0</v>
      </c>
      <c r="R86" s="224">
        <f t="shared" si="32"/>
        <v>0</v>
      </c>
      <c r="S86" s="224">
        <f t="shared" si="32"/>
        <v>-1000000</v>
      </c>
      <c r="T86" s="224">
        <f t="shared" ref="T86:W86" si="33">T53-T54-T57</f>
        <v>0</v>
      </c>
      <c r="U86" s="224">
        <f t="shared" si="33"/>
        <v>0</v>
      </c>
      <c r="V86" s="224">
        <f t="shared" si="33"/>
        <v>0</v>
      </c>
      <c r="W86" s="224">
        <f t="shared" si="33"/>
        <v>0</v>
      </c>
    </row>
    <row r="87" spans="2:23">
      <c r="B87" t="s">
        <v>528</v>
      </c>
      <c r="D87" s="224"/>
      <c r="E87" s="224"/>
      <c r="F87" s="224"/>
      <c r="G87" s="224"/>
      <c r="H87" s="224"/>
      <c r="I87" s="224">
        <f>I58-I59-I60-I62-I63</f>
        <v>0</v>
      </c>
      <c r="J87" s="224">
        <f>J58-J59-J60-J62-J63</f>
        <v>0</v>
      </c>
      <c r="K87" s="224">
        <f>K58-K59-K60-K62-K63</f>
        <v>0</v>
      </c>
      <c r="L87" s="224">
        <f>L58-L59-L60-L62-L63</f>
        <v>0</v>
      </c>
      <c r="M87" s="224">
        <f>M58-M59-M60-M62-M63</f>
        <v>0</v>
      </c>
      <c r="N87" s="224">
        <f t="shared" ref="N87:R87" si="34">N58-N59-N60-N62-N63</f>
        <v>0</v>
      </c>
      <c r="O87" s="224">
        <f t="shared" si="34"/>
        <v>1000000</v>
      </c>
      <c r="P87" s="224">
        <f t="shared" si="34"/>
        <v>0</v>
      </c>
      <c r="Q87" s="224">
        <f>Q58-Q59-Q60-Q62-Q63</f>
        <v>0</v>
      </c>
      <c r="R87" s="224">
        <f t="shared" si="34"/>
        <v>0</v>
      </c>
      <c r="S87" s="224">
        <f>S58-S59-S60-S62-S63</f>
        <v>-8000000</v>
      </c>
      <c r="T87" s="224">
        <f>T58-T59-T60-T62-T63</f>
        <v>0</v>
      </c>
      <c r="U87" s="224">
        <f t="shared" ref="U87:W87" si="35">U58-U59-U60-U62-U63</f>
        <v>0</v>
      </c>
      <c r="V87" s="224">
        <f t="shared" si="35"/>
        <v>0</v>
      </c>
      <c r="W87" s="224">
        <f t="shared" si="35"/>
        <v>0</v>
      </c>
    </row>
    <row r="88" spans="2:23">
      <c r="D88" s="21"/>
    </row>
    <row r="89" spans="2:23" ht="16.5">
      <c r="B89" t="s">
        <v>623</v>
      </c>
      <c r="I89">
        <v>7702000000</v>
      </c>
      <c r="J89">
        <v>7122000000</v>
      </c>
      <c r="K89">
        <v>6881000000</v>
      </c>
      <c r="L89">
        <v>5900000000</v>
      </c>
      <c r="M89">
        <v>8157000000</v>
      </c>
      <c r="N89">
        <v>9445000000</v>
      </c>
      <c r="O89">
        <v>10956000000</v>
      </c>
      <c r="P89">
        <v>12472000000</v>
      </c>
      <c r="Q89" s="533">
        <v>13490000000</v>
      </c>
      <c r="R89" s="533">
        <v>14197000000</v>
      </c>
      <c r="S89" s="533">
        <v>14165000000</v>
      </c>
      <c r="T89" s="533">
        <v>14362000000</v>
      </c>
      <c r="U89" s="533">
        <v>15372000000</v>
      </c>
      <c r="V89" s="533">
        <v>16231000000</v>
      </c>
      <c r="W89" s="533">
        <v>17233000000</v>
      </c>
    </row>
    <row r="90" spans="2:23">
      <c r="B90" t="s">
        <v>151</v>
      </c>
      <c r="I90">
        <f>(I6/I89)*100</f>
        <v>12.230589457283822</v>
      </c>
      <c r="J90">
        <f t="shared" ref="J90:W90" si="36">(J6/J89)*100</f>
        <v>7.3013198539736033</v>
      </c>
      <c r="K90">
        <f t="shared" si="36"/>
        <v>2.9356198227001888</v>
      </c>
      <c r="L90">
        <f t="shared" si="36"/>
        <v>2.254237288135593</v>
      </c>
      <c r="M90">
        <f t="shared" si="36"/>
        <v>19.921539781782517</v>
      </c>
      <c r="N90">
        <f t="shared" si="36"/>
        <v>29.49708840656432</v>
      </c>
      <c r="O90">
        <f t="shared" si="36"/>
        <v>26.661190215407082</v>
      </c>
      <c r="P90">
        <f t="shared" si="36"/>
        <v>28.030788967286725</v>
      </c>
      <c r="Q90">
        <f t="shared" si="36"/>
        <v>27.716827279466273</v>
      </c>
      <c r="R90">
        <f t="shared" si="36"/>
        <v>26.554905966049162</v>
      </c>
      <c r="S90">
        <f t="shared" si="36"/>
        <v>26.381927285563005</v>
      </c>
      <c r="T90">
        <f t="shared" si="36"/>
        <v>24.383790558418049</v>
      </c>
      <c r="U90">
        <f t="shared" si="36"/>
        <v>24.154306531355711</v>
      </c>
      <c r="V90">
        <f t="shared" si="36"/>
        <v>24.527139424557944</v>
      </c>
      <c r="W90">
        <f t="shared" si="36"/>
        <v>24.969535194104335</v>
      </c>
    </row>
    <row r="91" spans="2:23">
      <c r="B91" t="s">
        <v>152</v>
      </c>
      <c r="I91">
        <f>(I22/I89)*100</f>
        <v>18.670475201246429</v>
      </c>
      <c r="J91">
        <f t="shared" ref="J91:W91" si="37">(J22/J89)*100</f>
        <v>9.7725358045492836</v>
      </c>
      <c r="K91">
        <f t="shared" si="37"/>
        <v>5.5805842174102605</v>
      </c>
      <c r="L91">
        <f t="shared" si="37"/>
        <v>4.3559322033898304</v>
      </c>
      <c r="M91">
        <f t="shared" si="37"/>
        <v>14.037023415471376</v>
      </c>
      <c r="N91">
        <f t="shared" si="37"/>
        <v>24.457384859714136</v>
      </c>
      <c r="O91">
        <f t="shared" si="37"/>
        <v>29.034319094560058</v>
      </c>
      <c r="P91">
        <f t="shared" si="37"/>
        <v>29.321680564464401</v>
      </c>
      <c r="Q91">
        <f t="shared" si="37"/>
        <v>30.133432171979248</v>
      </c>
      <c r="R91">
        <f t="shared" si="37"/>
        <v>28.344016341480593</v>
      </c>
      <c r="S91">
        <f t="shared" si="37"/>
        <v>27.539710554182843</v>
      </c>
      <c r="T91">
        <f t="shared" si="37"/>
        <v>0</v>
      </c>
      <c r="U91">
        <f t="shared" si="37"/>
        <v>0</v>
      </c>
      <c r="V91">
        <f t="shared" si="37"/>
        <v>0</v>
      </c>
      <c r="W91">
        <f t="shared" si="37"/>
        <v>0</v>
      </c>
    </row>
    <row r="93" spans="2:23" ht="13.5" customHeight="1">
      <c r="B93" t="s">
        <v>153</v>
      </c>
      <c r="D93" t="b">
        <f t="shared" ref="D93:I93" si="38">IF(D44&lt;0, (D44/D22)*100)</f>
        <v>0</v>
      </c>
      <c r="E93" t="b">
        <f t="shared" si="38"/>
        <v>0</v>
      </c>
      <c r="F93" t="b">
        <f t="shared" si="38"/>
        <v>0</v>
      </c>
      <c r="G93" t="b">
        <f t="shared" si="38"/>
        <v>0</v>
      </c>
      <c r="H93" t="b">
        <f t="shared" si="38"/>
        <v>0</v>
      </c>
      <c r="I93" t="b">
        <f t="shared" si="38"/>
        <v>0</v>
      </c>
      <c r="J93" t="b">
        <f t="shared" ref="J93:T93" si="39">IF(J44&lt;0, (J44/J22)*100)</f>
        <v>0</v>
      </c>
      <c r="K93" t="b">
        <f t="shared" si="39"/>
        <v>0</v>
      </c>
      <c r="L93" t="b">
        <f t="shared" si="39"/>
        <v>0</v>
      </c>
      <c r="M93" t="b">
        <f t="shared" si="39"/>
        <v>0</v>
      </c>
      <c r="N93" t="b">
        <f t="shared" si="39"/>
        <v>0</v>
      </c>
      <c r="O93" t="b">
        <f t="shared" si="39"/>
        <v>0</v>
      </c>
      <c r="P93" t="b">
        <f t="shared" si="39"/>
        <v>0</v>
      </c>
      <c r="Q93" t="b">
        <f t="shared" si="39"/>
        <v>0</v>
      </c>
      <c r="R93" t="b">
        <f t="shared" si="39"/>
        <v>0</v>
      </c>
      <c r="S93" t="b">
        <f t="shared" si="39"/>
        <v>0</v>
      </c>
      <c r="T93" t="b">
        <f t="shared" si="39"/>
        <v>0</v>
      </c>
      <c r="U93" t="b">
        <f>IF(U44&lt;0, (U44/U22)*100)</f>
        <v>0</v>
      </c>
      <c r="V93" t="b">
        <f>IF(V44&lt;0, (V44/V22)*100)</f>
        <v>0</v>
      </c>
      <c r="W93" t="b">
        <f>IF(W44&lt;0, (W44/W22)*100)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Nauru</vt:lpstr>
      <vt:lpstr>Nepal </vt:lpstr>
      <vt:lpstr>Nicaragua</vt:lpstr>
      <vt:lpstr>Niger</vt:lpstr>
      <vt:lpstr>Nigeria  </vt:lpstr>
      <vt:lpstr>Pakistan </vt:lpstr>
      <vt:lpstr>Palau</vt:lpstr>
      <vt:lpstr>Panama</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2018-10-12T16:33:59Z</dcterms:modified>
  <cp:category/>
  <cp:contentStatus/>
</cp:coreProperties>
</file>